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queryTables/queryTable6.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320015673\Documents\Sports\Baseball\"/>
    </mc:Choice>
  </mc:AlternateContent>
  <bookViews>
    <workbookView xWindow="0" yWindow="0" windowWidth="28800" windowHeight="11100" tabRatio="749" activeTab="5"/>
  </bookViews>
  <sheets>
    <sheet name="Summary" sheetId="26" r:id="rId1"/>
    <sheet name="Confidence Scale Validation" sheetId="27" r:id="rId2"/>
    <sheet name="Validation_Max" sheetId="25" state="hidden" r:id="rId3"/>
    <sheet name="Validation_WinUnit" sheetId="24" state="hidden" r:id="rId4"/>
    <sheet name="Validation_BetUnit" sheetId="22" state="hidden" r:id="rId5"/>
    <sheet name="Bet" sheetId="5" r:id="rId6"/>
    <sheet name="ScoreImport" sheetId="32" state="hidden" r:id="rId7"/>
    <sheet name="Scores" sheetId="33" state="hidden" r:id="rId8"/>
    <sheet name="Overview" sheetId="4" r:id="rId9"/>
    <sheet name="TeamAdvBatting" sheetId="12" state="hidden" r:id="rId10"/>
    <sheet name="TeamStandardPitching" sheetId="19" state="hidden" r:id="rId11"/>
    <sheet name="538" sheetId="23" r:id="rId12"/>
    <sheet name="PlayerPitching" sheetId="21" r:id="rId13"/>
    <sheet name="BattingRatios" sheetId="29" state="hidden" r:id="rId14"/>
    <sheet name="Honeymoon" sheetId="28" state="hidden" r:id="rId15"/>
    <sheet name="PitchingRatios" sheetId="30" state="hidden" r:id="rId16"/>
  </sheets>
  <definedNames>
    <definedName name="_2019_advanced_batting.shtml" localSheetId="9">TeamAdvBatting!$A$1:$W$456</definedName>
    <definedName name="_2019_ratio_batting.shtml" localSheetId="13">BattingRatios!$A$1:$Q$460</definedName>
    <definedName name="_2019_ratio_pitching.shtml" localSheetId="15">PitchingRatios!$A$1:$S$460</definedName>
    <definedName name="_2019_schedule.shtml" localSheetId="6">ScoreImport!$A$1:$A$6225</definedName>
    <definedName name="_2019_standard_pitching.shtml" localSheetId="10">TeamStandardPitching!$A$1:$AJ$456</definedName>
    <definedName name="_xlnm._FilterDatabase" localSheetId="7" hidden="1">Scores!$C$1:$C$31</definedName>
    <definedName name="games" localSheetId="11">'538'!$A$1:$I$489</definedName>
  </definedNames>
  <calcPr calcId="162913"/>
  <pivotCaches>
    <pivotCache cacheId="4" r:id="rId17"/>
  </pivotCaches>
</workbook>
</file>

<file path=xl/calcChain.xml><?xml version="1.0" encoding="utf-8"?>
<calcChain xmlns="http://schemas.openxmlformats.org/spreadsheetml/2006/main">
  <c r="AU3" i="4" l="1"/>
  <c r="AV3" i="4"/>
  <c r="AW3" i="4"/>
  <c r="AX3" i="4"/>
  <c r="AY3" i="4"/>
  <c r="AZ3" i="4"/>
  <c r="BA3" i="4"/>
  <c r="BB3" i="4"/>
  <c r="BC3" i="4"/>
  <c r="BD3" i="4"/>
  <c r="BE3" i="4"/>
  <c r="BF3" i="4"/>
  <c r="BG3" i="4"/>
  <c r="BH3" i="4"/>
  <c r="BI3" i="4"/>
  <c r="BJ3" i="4"/>
  <c r="BK3" i="4"/>
  <c r="BL3" i="4"/>
  <c r="BM3" i="4"/>
  <c r="AU4" i="4"/>
  <c r="AV4" i="4"/>
  <c r="AW4" i="4"/>
  <c r="AX4" i="4"/>
  <c r="AY4" i="4"/>
  <c r="AZ4" i="4"/>
  <c r="BA4" i="4"/>
  <c r="BB4" i="4"/>
  <c r="BC4" i="4"/>
  <c r="BD4" i="4"/>
  <c r="BE4" i="4"/>
  <c r="BF4" i="4"/>
  <c r="BG4" i="4"/>
  <c r="BH4" i="4"/>
  <c r="BI4" i="4"/>
  <c r="BJ4" i="4"/>
  <c r="BK4" i="4"/>
  <c r="BL4" i="4"/>
  <c r="BM4" i="4"/>
  <c r="AU5" i="4"/>
  <c r="AV5" i="4"/>
  <c r="AW5" i="4"/>
  <c r="AX5" i="4"/>
  <c r="AY5" i="4"/>
  <c r="AZ5" i="4"/>
  <c r="BA5" i="4"/>
  <c r="BB5" i="4"/>
  <c r="BC5" i="4"/>
  <c r="BD5" i="4"/>
  <c r="BE5" i="4"/>
  <c r="BF5" i="4"/>
  <c r="BG5" i="4"/>
  <c r="BH5" i="4"/>
  <c r="BI5" i="4"/>
  <c r="BJ5" i="4"/>
  <c r="BK5" i="4"/>
  <c r="BL5" i="4"/>
  <c r="BM5" i="4"/>
  <c r="AU6" i="4"/>
  <c r="AV6" i="4"/>
  <c r="AW6" i="4"/>
  <c r="AX6" i="4"/>
  <c r="AY6" i="4"/>
  <c r="AZ6" i="4"/>
  <c r="BA6" i="4"/>
  <c r="BB6" i="4"/>
  <c r="BC6" i="4"/>
  <c r="BD6" i="4"/>
  <c r="BE6" i="4"/>
  <c r="BF6" i="4"/>
  <c r="BG6" i="4"/>
  <c r="BH6" i="4"/>
  <c r="BI6" i="4"/>
  <c r="BJ6" i="4"/>
  <c r="BK6" i="4"/>
  <c r="BL6" i="4"/>
  <c r="BM6" i="4"/>
  <c r="AU7" i="4"/>
  <c r="AV7" i="4"/>
  <c r="AW7" i="4"/>
  <c r="AX7" i="4"/>
  <c r="AY7" i="4"/>
  <c r="AZ7" i="4"/>
  <c r="BA7" i="4"/>
  <c r="BB7" i="4"/>
  <c r="BC7" i="4"/>
  <c r="BD7" i="4"/>
  <c r="BE7" i="4"/>
  <c r="BF7" i="4"/>
  <c r="BG7" i="4"/>
  <c r="BH7" i="4"/>
  <c r="BI7" i="4"/>
  <c r="BJ7" i="4"/>
  <c r="BK7" i="4"/>
  <c r="BL7" i="4"/>
  <c r="BM7" i="4"/>
  <c r="AU8" i="4"/>
  <c r="AV8" i="4"/>
  <c r="AW8" i="4"/>
  <c r="AX8" i="4"/>
  <c r="AY8" i="4"/>
  <c r="AZ8" i="4"/>
  <c r="BA8" i="4"/>
  <c r="BB8" i="4"/>
  <c r="BC8" i="4"/>
  <c r="BD8" i="4"/>
  <c r="BE8" i="4"/>
  <c r="BF8" i="4"/>
  <c r="BG8" i="4"/>
  <c r="BH8" i="4"/>
  <c r="BI8" i="4"/>
  <c r="BJ8" i="4"/>
  <c r="BK8" i="4"/>
  <c r="BL8" i="4"/>
  <c r="BM8" i="4"/>
  <c r="AU9" i="4"/>
  <c r="AV9" i="4"/>
  <c r="AW9" i="4"/>
  <c r="AX9" i="4"/>
  <c r="AY9" i="4"/>
  <c r="AZ9" i="4"/>
  <c r="BA9" i="4"/>
  <c r="BB9" i="4"/>
  <c r="BC9" i="4"/>
  <c r="BD9" i="4"/>
  <c r="BE9" i="4"/>
  <c r="BF9" i="4"/>
  <c r="BG9" i="4"/>
  <c r="BH9" i="4"/>
  <c r="BI9" i="4"/>
  <c r="BJ9" i="4"/>
  <c r="BK9" i="4"/>
  <c r="BL9" i="4"/>
  <c r="BM9" i="4"/>
  <c r="AU10" i="4"/>
  <c r="AV10" i="4"/>
  <c r="AW10" i="4"/>
  <c r="AX10" i="4"/>
  <c r="AY10" i="4"/>
  <c r="AZ10" i="4"/>
  <c r="BA10" i="4"/>
  <c r="BB10" i="4"/>
  <c r="BC10" i="4"/>
  <c r="BD10" i="4"/>
  <c r="BE10" i="4"/>
  <c r="BF10" i="4"/>
  <c r="BG10" i="4"/>
  <c r="BH10" i="4"/>
  <c r="BI10" i="4"/>
  <c r="BJ10" i="4"/>
  <c r="BK10" i="4"/>
  <c r="BL10" i="4"/>
  <c r="BM10" i="4"/>
  <c r="AU11" i="4"/>
  <c r="AV11" i="4"/>
  <c r="AW11" i="4"/>
  <c r="AX11" i="4"/>
  <c r="AY11" i="4"/>
  <c r="AZ11" i="4"/>
  <c r="BA11" i="4"/>
  <c r="BB11" i="4"/>
  <c r="BC11" i="4"/>
  <c r="BD11" i="4"/>
  <c r="BE11" i="4"/>
  <c r="BF11" i="4"/>
  <c r="BG11" i="4"/>
  <c r="BH11" i="4"/>
  <c r="BI11" i="4"/>
  <c r="BJ11" i="4"/>
  <c r="BK11" i="4"/>
  <c r="BL11" i="4"/>
  <c r="BM11" i="4"/>
  <c r="AU12" i="4"/>
  <c r="AV12" i="4"/>
  <c r="AW12" i="4"/>
  <c r="AX12" i="4"/>
  <c r="AY12" i="4"/>
  <c r="AZ12" i="4"/>
  <c r="BA12" i="4"/>
  <c r="BB12" i="4"/>
  <c r="BC12" i="4"/>
  <c r="BD12" i="4"/>
  <c r="BE12" i="4"/>
  <c r="BF12" i="4"/>
  <c r="BG12" i="4"/>
  <c r="BH12" i="4"/>
  <c r="BI12" i="4"/>
  <c r="BJ12" i="4"/>
  <c r="BK12" i="4"/>
  <c r="BL12" i="4"/>
  <c r="BM12" i="4"/>
  <c r="AU13" i="4"/>
  <c r="AV13" i="4"/>
  <c r="AW13" i="4"/>
  <c r="AX13" i="4"/>
  <c r="AY13" i="4"/>
  <c r="AZ13" i="4"/>
  <c r="BA13" i="4"/>
  <c r="BB13" i="4"/>
  <c r="BC13" i="4"/>
  <c r="BD13" i="4"/>
  <c r="BE13" i="4"/>
  <c r="BF13" i="4"/>
  <c r="BG13" i="4"/>
  <c r="BH13" i="4"/>
  <c r="BI13" i="4"/>
  <c r="BJ13" i="4"/>
  <c r="BK13" i="4"/>
  <c r="BL13" i="4"/>
  <c r="BM13" i="4"/>
  <c r="AU14" i="4"/>
  <c r="AV14" i="4"/>
  <c r="AW14" i="4"/>
  <c r="AX14" i="4"/>
  <c r="AY14" i="4"/>
  <c r="AZ14" i="4"/>
  <c r="BA14" i="4"/>
  <c r="BB14" i="4"/>
  <c r="BC14" i="4"/>
  <c r="BD14" i="4"/>
  <c r="BE14" i="4"/>
  <c r="BF14" i="4"/>
  <c r="BG14" i="4"/>
  <c r="BH14" i="4"/>
  <c r="BI14" i="4"/>
  <c r="BJ14" i="4"/>
  <c r="BK14" i="4"/>
  <c r="BL14" i="4"/>
  <c r="BM14" i="4"/>
  <c r="AU15" i="4"/>
  <c r="AV15" i="4"/>
  <c r="AW15" i="4"/>
  <c r="AX15" i="4"/>
  <c r="AY15" i="4"/>
  <c r="AZ15" i="4"/>
  <c r="BA15" i="4"/>
  <c r="BB15" i="4"/>
  <c r="BC15" i="4"/>
  <c r="BD15" i="4"/>
  <c r="BE15" i="4"/>
  <c r="BF15" i="4"/>
  <c r="BG15" i="4"/>
  <c r="BH15" i="4"/>
  <c r="BI15" i="4"/>
  <c r="BJ15" i="4"/>
  <c r="BK15" i="4"/>
  <c r="BL15" i="4"/>
  <c r="BM15" i="4"/>
  <c r="AU16" i="4"/>
  <c r="AV16" i="4"/>
  <c r="AW16" i="4"/>
  <c r="AX16" i="4"/>
  <c r="AY16" i="4"/>
  <c r="AZ16" i="4"/>
  <c r="BA16" i="4"/>
  <c r="BB16" i="4"/>
  <c r="BC16" i="4"/>
  <c r="BD16" i="4"/>
  <c r="BE16" i="4"/>
  <c r="BF16" i="4"/>
  <c r="BG16" i="4"/>
  <c r="BH16" i="4"/>
  <c r="BI16" i="4"/>
  <c r="BJ16" i="4"/>
  <c r="BK16" i="4"/>
  <c r="BL16" i="4"/>
  <c r="BM16" i="4"/>
  <c r="AU17" i="4"/>
  <c r="AV17" i="4"/>
  <c r="AW17" i="4"/>
  <c r="AX17" i="4"/>
  <c r="AY17" i="4"/>
  <c r="AZ17" i="4"/>
  <c r="BA17" i="4"/>
  <c r="BB17" i="4"/>
  <c r="BC17" i="4"/>
  <c r="BD17" i="4"/>
  <c r="BE17" i="4"/>
  <c r="BF17" i="4"/>
  <c r="BG17" i="4"/>
  <c r="BH17" i="4"/>
  <c r="BI17" i="4"/>
  <c r="BJ17" i="4"/>
  <c r="BK17" i="4"/>
  <c r="BL17" i="4"/>
  <c r="BM17" i="4"/>
  <c r="AU18" i="4"/>
  <c r="AV18" i="4"/>
  <c r="AW18" i="4"/>
  <c r="AX18" i="4"/>
  <c r="AY18" i="4"/>
  <c r="AZ18" i="4"/>
  <c r="BA18" i="4"/>
  <c r="BB18" i="4"/>
  <c r="BC18" i="4"/>
  <c r="BD18" i="4"/>
  <c r="BE18" i="4"/>
  <c r="BF18" i="4"/>
  <c r="BG18" i="4"/>
  <c r="BH18" i="4"/>
  <c r="BI18" i="4"/>
  <c r="BJ18" i="4"/>
  <c r="BK18" i="4"/>
  <c r="BL18" i="4"/>
  <c r="BM18" i="4"/>
  <c r="AU19" i="4"/>
  <c r="AV19" i="4"/>
  <c r="AW19" i="4"/>
  <c r="AX19" i="4"/>
  <c r="AY19" i="4"/>
  <c r="AZ19" i="4"/>
  <c r="BA19" i="4"/>
  <c r="BB19" i="4"/>
  <c r="BC19" i="4"/>
  <c r="BD19" i="4"/>
  <c r="BE19" i="4"/>
  <c r="BF19" i="4"/>
  <c r="BG19" i="4"/>
  <c r="BH19" i="4"/>
  <c r="BI19" i="4"/>
  <c r="BJ19" i="4"/>
  <c r="BK19" i="4"/>
  <c r="BL19" i="4"/>
  <c r="BM19" i="4"/>
  <c r="AU20" i="4"/>
  <c r="AV20" i="4"/>
  <c r="AW20" i="4"/>
  <c r="AX20" i="4"/>
  <c r="AY20" i="4"/>
  <c r="AZ20" i="4"/>
  <c r="BA20" i="4"/>
  <c r="BB20" i="4"/>
  <c r="BC20" i="4"/>
  <c r="BD20" i="4"/>
  <c r="BE20" i="4"/>
  <c r="BF20" i="4"/>
  <c r="BG20" i="4"/>
  <c r="BH20" i="4"/>
  <c r="BI20" i="4"/>
  <c r="BJ20" i="4"/>
  <c r="BK20" i="4"/>
  <c r="BL20" i="4"/>
  <c r="BM20" i="4"/>
  <c r="AU21" i="4"/>
  <c r="AV21" i="4"/>
  <c r="AW21" i="4"/>
  <c r="AX21" i="4"/>
  <c r="AY21" i="4"/>
  <c r="AZ21" i="4"/>
  <c r="BA21" i="4"/>
  <c r="BB21" i="4"/>
  <c r="BC21" i="4"/>
  <c r="BD21" i="4"/>
  <c r="BE21" i="4"/>
  <c r="BF21" i="4"/>
  <c r="BG21" i="4"/>
  <c r="BH21" i="4"/>
  <c r="BI21" i="4"/>
  <c r="BJ21" i="4"/>
  <c r="BK21" i="4"/>
  <c r="BL21" i="4"/>
  <c r="BM21" i="4"/>
  <c r="AU22" i="4"/>
  <c r="AV22" i="4"/>
  <c r="AW22" i="4"/>
  <c r="AX22" i="4"/>
  <c r="AY22" i="4"/>
  <c r="AZ22" i="4"/>
  <c r="BA22" i="4"/>
  <c r="BB22" i="4"/>
  <c r="BC22" i="4"/>
  <c r="BD22" i="4"/>
  <c r="BE22" i="4"/>
  <c r="BF22" i="4"/>
  <c r="BG22" i="4"/>
  <c r="BH22" i="4"/>
  <c r="BI22" i="4"/>
  <c r="BJ22" i="4"/>
  <c r="BK22" i="4"/>
  <c r="BL22" i="4"/>
  <c r="BM22" i="4"/>
  <c r="AU23" i="4"/>
  <c r="AV23" i="4"/>
  <c r="AW23" i="4"/>
  <c r="AX23" i="4"/>
  <c r="AY23" i="4"/>
  <c r="AZ23" i="4"/>
  <c r="BA23" i="4"/>
  <c r="BB23" i="4"/>
  <c r="BC23" i="4"/>
  <c r="BD23" i="4"/>
  <c r="BE23" i="4"/>
  <c r="BF23" i="4"/>
  <c r="BG23" i="4"/>
  <c r="BH23" i="4"/>
  <c r="BI23" i="4"/>
  <c r="BJ23" i="4"/>
  <c r="BK23" i="4"/>
  <c r="BL23" i="4"/>
  <c r="BM23" i="4"/>
  <c r="AU24" i="4"/>
  <c r="AV24" i="4"/>
  <c r="AW24" i="4"/>
  <c r="AX24" i="4"/>
  <c r="AY24" i="4"/>
  <c r="AZ24" i="4"/>
  <c r="BA24" i="4"/>
  <c r="BB24" i="4"/>
  <c r="BC24" i="4"/>
  <c r="BD24" i="4"/>
  <c r="BE24" i="4"/>
  <c r="BF24" i="4"/>
  <c r="BG24" i="4"/>
  <c r="BH24" i="4"/>
  <c r="BI24" i="4"/>
  <c r="BJ24" i="4"/>
  <c r="BK24" i="4"/>
  <c r="BL24" i="4"/>
  <c r="BM24" i="4"/>
  <c r="AU25" i="4"/>
  <c r="AV25" i="4"/>
  <c r="AW25" i="4"/>
  <c r="AX25" i="4"/>
  <c r="AY25" i="4"/>
  <c r="AZ25" i="4"/>
  <c r="BA25" i="4"/>
  <c r="BB25" i="4"/>
  <c r="BC25" i="4"/>
  <c r="BD25" i="4"/>
  <c r="BE25" i="4"/>
  <c r="BF25" i="4"/>
  <c r="BG25" i="4"/>
  <c r="BH25" i="4"/>
  <c r="BI25" i="4"/>
  <c r="BJ25" i="4"/>
  <c r="BK25" i="4"/>
  <c r="BL25" i="4"/>
  <c r="BM25" i="4"/>
  <c r="AU26" i="4"/>
  <c r="AV26" i="4"/>
  <c r="AW26" i="4"/>
  <c r="AX26" i="4"/>
  <c r="AY26" i="4"/>
  <c r="AZ26" i="4"/>
  <c r="BA26" i="4"/>
  <c r="BB26" i="4"/>
  <c r="BC26" i="4"/>
  <c r="BD26" i="4"/>
  <c r="BE26" i="4"/>
  <c r="BF26" i="4"/>
  <c r="BG26" i="4"/>
  <c r="BH26" i="4"/>
  <c r="BI26" i="4"/>
  <c r="BJ26" i="4"/>
  <c r="BK26" i="4"/>
  <c r="BL26" i="4"/>
  <c r="BM26" i="4"/>
  <c r="AU27" i="4"/>
  <c r="AV27" i="4"/>
  <c r="AW27" i="4"/>
  <c r="AX27" i="4"/>
  <c r="AY27" i="4"/>
  <c r="AZ27" i="4"/>
  <c r="BA27" i="4"/>
  <c r="BB27" i="4"/>
  <c r="BC27" i="4"/>
  <c r="BD27" i="4"/>
  <c r="BE27" i="4"/>
  <c r="BF27" i="4"/>
  <c r="BG27" i="4"/>
  <c r="BH27" i="4"/>
  <c r="BI27" i="4"/>
  <c r="BJ27" i="4"/>
  <c r="BK27" i="4"/>
  <c r="BL27" i="4"/>
  <c r="BM27" i="4"/>
  <c r="AU28" i="4"/>
  <c r="AV28" i="4"/>
  <c r="AW28" i="4"/>
  <c r="AX28" i="4"/>
  <c r="AY28" i="4"/>
  <c r="AZ28" i="4"/>
  <c r="BA28" i="4"/>
  <c r="BB28" i="4"/>
  <c r="BC28" i="4"/>
  <c r="BD28" i="4"/>
  <c r="BE28" i="4"/>
  <c r="BF28" i="4"/>
  <c r="BG28" i="4"/>
  <c r="BH28" i="4"/>
  <c r="BI28" i="4"/>
  <c r="BJ28" i="4"/>
  <c r="BK28" i="4"/>
  <c r="BL28" i="4"/>
  <c r="BM28" i="4"/>
  <c r="AU29" i="4"/>
  <c r="AV29" i="4"/>
  <c r="AW29" i="4"/>
  <c r="AX29" i="4"/>
  <c r="AY29" i="4"/>
  <c r="AZ29" i="4"/>
  <c r="BA29" i="4"/>
  <c r="BB29" i="4"/>
  <c r="BC29" i="4"/>
  <c r="BD29" i="4"/>
  <c r="BE29" i="4"/>
  <c r="BF29" i="4"/>
  <c r="BG29" i="4"/>
  <c r="BH29" i="4"/>
  <c r="BI29" i="4"/>
  <c r="BJ29" i="4"/>
  <c r="BK29" i="4"/>
  <c r="BL29" i="4"/>
  <c r="BM29" i="4"/>
  <c r="AU30" i="4"/>
  <c r="AV30" i="4"/>
  <c r="AW30" i="4"/>
  <c r="AX30" i="4"/>
  <c r="AY30" i="4"/>
  <c r="AZ30" i="4"/>
  <c r="BA30" i="4"/>
  <c r="BB30" i="4"/>
  <c r="BC30" i="4"/>
  <c r="BD30" i="4"/>
  <c r="BE30" i="4"/>
  <c r="BF30" i="4"/>
  <c r="BG30" i="4"/>
  <c r="BH30" i="4"/>
  <c r="BI30" i="4"/>
  <c r="BJ30" i="4"/>
  <c r="BK30" i="4"/>
  <c r="BL30" i="4"/>
  <c r="BM30" i="4"/>
  <c r="AU31" i="4"/>
  <c r="AV31" i="4"/>
  <c r="AW31" i="4"/>
  <c r="AX31" i="4"/>
  <c r="AY31" i="4"/>
  <c r="AZ31" i="4"/>
  <c r="BA31" i="4"/>
  <c r="BB31" i="4"/>
  <c r="BC31" i="4"/>
  <c r="BD31" i="4"/>
  <c r="BE31" i="4"/>
  <c r="BF31" i="4"/>
  <c r="BG31" i="4"/>
  <c r="BH31" i="4"/>
  <c r="BI31" i="4"/>
  <c r="BJ31" i="4"/>
  <c r="BK31" i="4"/>
  <c r="BL31" i="4"/>
  <c r="BM31" i="4"/>
  <c r="AU32" i="4"/>
  <c r="AV32" i="4"/>
  <c r="AW32" i="4"/>
  <c r="AX32" i="4"/>
  <c r="AY32" i="4"/>
  <c r="AZ32" i="4"/>
  <c r="BA32" i="4"/>
  <c r="BB32" i="4"/>
  <c r="BC32" i="4"/>
  <c r="BD32" i="4"/>
  <c r="BE32" i="4"/>
  <c r="BF32" i="4"/>
  <c r="BG32" i="4"/>
  <c r="BH32" i="4"/>
  <c r="BI32" i="4"/>
  <c r="BJ32" i="4"/>
  <c r="BK32" i="4"/>
  <c r="BL32" i="4"/>
  <c r="BM32" i="4"/>
  <c r="AT4" i="4"/>
  <c r="AT5" i="4"/>
  <c r="AT6" i="4"/>
  <c r="AT7" i="4"/>
  <c r="AT8" i="4"/>
  <c r="AT9" i="4"/>
  <c r="AT10" i="4"/>
  <c r="AT11" i="4"/>
  <c r="AT12" i="4"/>
  <c r="AT13" i="4"/>
  <c r="AT14" i="4"/>
  <c r="AT15" i="4"/>
  <c r="AT16" i="4"/>
  <c r="AT17" i="4"/>
  <c r="AT18" i="4"/>
  <c r="AT19" i="4"/>
  <c r="AT20" i="4"/>
  <c r="AT21" i="4"/>
  <c r="AT22" i="4"/>
  <c r="AT23" i="4"/>
  <c r="AT24" i="4"/>
  <c r="AT25" i="4"/>
  <c r="AT26" i="4"/>
  <c r="AT27" i="4"/>
  <c r="AT28" i="4"/>
  <c r="AT29" i="4"/>
  <c r="AT30" i="4"/>
  <c r="AT31" i="4"/>
  <c r="AT32" i="4"/>
  <c r="AT3" i="4"/>
  <c r="AJ3" i="4"/>
  <c r="AK3" i="4"/>
  <c r="AL3" i="4"/>
  <c r="AM3" i="4"/>
  <c r="AN3" i="4"/>
  <c r="AO3" i="4"/>
  <c r="AP3" i="4"/>
  <c r="AQ3" i="4"/>
  <c r="AR3" i="4"/>
  <c r="AS3" i="4"/>
  <c r="AJ4" i="4"/>
  <c r="AK4" i="4"/>
  <c r="AL4" i="4"/>
  <c r="AM4" i="4"/>
  <c r="AN4" i="4"/>
  <c r="AO4" i="4"/>
  <c r="AP4" i="4"/>
  <c r="AQ4" i="4"/>
  <c r="AR4" i="4"/>
  <c r="AS4" i="4"/>
  <c r="AJ5" i="4"/>
  <c r="AK5" i="4"/>
  <c r="AL5" i="4"/>
  <c r="AM5" i="4"/>
  <c r="AN5" i="4"/>
  <c r="AO5" i="4"/>
  <c r="AP5" i="4"/>
  <c r="AQ5" i="4"/>
  <c r="AR5" i="4"/>
  <c r="AS5" i="4"/>
  <c r="AJ6" i="4"/>
  <c r="AK6" i="4"/>
  <c r="AL6" i="4"/>
  <c r="AM6" i="4"/>
  <c r="AN6" i="4"/>
  <c r="AO6" i="4"/>
  <c r="AP6" i="4"/>
  <c r="AQ6" i="4"/>
  <c r="AR6" i="4"/>
  <c r="AS6" i="4"/>
  <c r="AJ7" i="4"/>
  <c r="AK7" i="4"/>
  <c r="AL7" i="4"/>
  <c r="AM7" i="4"/>
  <c r="AN7" i="4"/>
  <c r="AO7" i="4"/>
  <c r="AP7" i="4"/>
  <c r="AQ7" i="4"/>
  <c r="AR7" i="4"/>
  <c r="AS7" i="4"/>
  <c r="AJ8" i="4"/>
  <c r="AK8" i="4"/>
  <c r="AL8" i="4"/>
  <c r="AM8" i="4"/>
  <c r="AN8" i="4"/>
  <c r="AO8" i="4"/>
  <c r="AP8" i="4"/>
  <c r="AQ8" i="4"/>
  <c r="AR8" i="4"/>
  <c r="AS8" i="4"/>
  <c r="AJ9" i="4"/>
  <c r="AK9" i="4"/>
  <c r="AL9" i="4"/>
  <c r="AM9" i="4"/>
  <c r="AN9" i="4"/>
  <c r="AO9" i="4"/>
  <c r="AP9" i="4"/>
  <c r="AQ9" i="4"/>
  <c r="AR9" i="4"/>
  <c r="AS9" i="4"/>
  <c r="AJ10" i="4"/>
  <c r="AK10" i="4"/>
  <c r="AL10" i="4"/>
  <c r="AM10" i="4"/>
  <c r="AN10" i="4"/>
  <c r="AO10" i="4"/>
  <c r="AP10" i="4"/>
  <c r="AQ10" i="4"/>
  <c r="AR10" i="4"/>
  <c r="AS10" i="4"/>
  <c r="AJ11" i="4"/>
  <c r="AK11" i="4"/>
  <c r="AL11" i="4"/>
  <c r="AM11" i="4"/>
  <c r="AN11" i="4"/>
  <c r="AO11" i="4"/>
  <c r="AP11" i="4"/>
  <c r="AQ11" i="4"/>
  <c r="AR11" i="4"/>
  <c r="AS11" i="4"/>
  <c r="AJ12" i="4"/>
  <c r="AK12" i="4"/>
  <c r="AL12" i="4"/>
  <c r="AM12" i="4"/>
  <c r="AN12" i="4"/>
  <c r="AO12" i="4"/>
  <c r="AP12" i="4"/>
  <c r="AQ12" i="4"/>
  <c r="AR12" i="4"/>
  <c r="AS12" i="4"/>
  <c r="AJ13" i="4"/>
  <c r="AK13" i="4"/>
  <c r="AL13" i="4"/>
  <c r="AM13" i="4"/>
  <c r="AN13" i="4"/>
  <c r="AO13" i="4"/>
  <c r="AP13" i="4"/>
  <c r="AQ13" i="4"/>
  <c r="AR13" i="4"/>
  <c r="AS13" i="4"/>
  <c r="AJ14" i="4"/>
  <c r="AK14" i="4"/>
  <c r="AL14" i="4"/>
  <c r="AM14" i="4"/>
  <c r="AN14" i="4"/>
  <c r="AO14" i="4"/>
  <c r="AP14" i="4"/>
  <c r="AQ14" i="4"/>
  <c r="AR14" i="4"/>
  <c r="AS14" i="4"/>
  <c r="AJ15" i="4"/>
  <c r="AK15" i="4"/>
  <c r="AL15" i="4"/>
  <c r="AM15" i="4"/>
  <c r="AN15" i="4"/>
  <c r="AO15" i="4"/>
  <c r="AP15" i="4"/>
  <c r="AQ15" i="4"/>
  <c r="AR15" i="4"/>
  <c r="AS15" i="4"/>
  <c r="AJ16" i="4"/>
  <c r="AK16" i="4"/>
  <c r="AL16" i="4"/>
  <c r="AM16" i="4"/>
  <c r="AN16" i="4"/>
  <c r="AO16" i="4"/>
  <c r="AP16" i="4"/>
  <c r="AQ16" i="4"/>
  <c r="AR16" i="4"/>
  <c r="AS16" i="4"/>
  <c r="AJ17" i="4"/>
  <c r="AK17" i="4"/>
  <c r="AL17" i="4"/>
  <c r="AM17" i="4"/>
  <c r="AN17" i="4"/>
  <c r="AO17" i="4"/>
  <c r="AP17" i="4"/>
  <c r="AQ17" i="4"/>
  <c r="AR17" i="4"/>
  <c r="AS17" i="4"/>
  <c r="AJ18" i="4"/>
  <c r="AK18" i="4"/>
  <c r="AL18" i="4"/>
  <c r="AM18" i="4"/>
  <c r="AN18" i="4"/>
  <c r="AO18" i="4"/>
  <c r="AP18" i="4"/>
  <c r="AQ18" i="4"/>
  <c r="AR18" i="4"/>
  <c r="AS18" i="4"/>
  <c r="AJ19" i="4"/>
  <c r="AK19" i="4"/>
  <c r="AL19" i="4"/>
  <c r="AM19" i="4"/>
  <c r="AN19" i="4"/>
  <c r="AO19" i="4"/>
  <c r="AP19" i="4"/>
  <c r="AQ19" i="4"/>
  <c r="AR19" i="4"/>
  <c r="AS19" i="4"/>
  <c r="AJ20" i="4"/>
  <c r="AK20" i="4"/>
  <c r="AL20" i="4"/>
  <c r="AM20" i="4"/>
  <c r="AN20" i="4"/>
  <c r="AO20" i="4"/>
  <c r="AP20" i="4"/>
  <c r="AQ20" i="4"/>
  <c r="AR20" i="4"/>
  <c r="AS20" i="4"/>
  <c r="AJ21" i="4"/>
  <c r="AK21" i="4"/>
  <c r="AL21" i="4"/>
  <c r="AM21" i="4"/>
  <c r="AN21" i="4"/>
  <c r="AO21" i="4"/>
  <c r="AP21" i="4"/>
  <c r="AQ21" i="4"/>
  <c r="AR21" i="4"/>
  <c r="AS21" i="4"/>
  <c r="AJ22" i="4"/>
  <c r="AK22" i="4"/>
  <c r="AL22" i="4"/>
  <c r="AM22" i="4"/>
  <c r="AN22" i="4"/>
  <c r="AO22" i="4"/>
  <c r="AP22" i="4"/>
  <c r="AQ22" i="4"/>
  <c r="AR22" i="4"/>
  <c r="AS22" i="4"/>
  <c r="AJ23" i="4"/>
  <c r="AK23" i="4"/>
  <c r="AL23" i="4"/>
  <c r="AM23" i="4"/>
  <c r="AN23" i="4"/>
  <c r="AO23" i="4"/>
  <c r="AP23" i="4"/>
  <c r="AQ23" i="4"/>
  <c r="AR23" i="4"/>
  <c r="AS23" i="4"/>
  <c r="AJ24" i="4"/>
  <c r="AK24" i="4"/>
  <c r="AL24" i="4"/>
  <c r="AM24" i="4"/>
  <c r="AN24" i="4"/>
  <c r="AO24" i="4"/>
  <c r="AP24" i="4"/>
  <c r="AQ24" i="4"/>
  <c r="AR24" i="4"/>
  <c r="AS24" i="4"/>
  <c r="AJ25" i="4"/>
  <c r="AK25" i="4"/>
  <c r="AL25" i="4"/>
  <c r="AM25" i="4"/>
  <c r="AN25" i="4"/>
  <c r="AO25" i="4"/>
  <c r="AP25" i="4"/>
  <c r="AQ25" i="4"/>
  <c r="AR25" i="4"/>
  <c r="AS25" i="4"/>
  <c r="AJ26" i="4"/>
  <c r="AK26" i="4"/>
  <c r="AL26" i="4"/>
  <c r="AM26" i="4"/>
  <c r="AN26" i="4"/>
  <c r="AO26" i="4"/>
  <c r="AP26" i="4"/>
  <c r="AQ26" i="4"/>
  <c r="AR26" i="4"/>
  <c r="AS26" i="4"/>
  <c r="AJ27" i="4"/>
  <c r="AK27" i="4"/>
  <c r="AL27" i="4"/>
  <c r="AM27" i="4"/>
  <c r="AN27" i="4"/>
  <c r="AO27" i="4"/>
  <c r="AP27" i="4"/>
  <c r="AQ27" i="4"/>
  <c r="AR27" i="4"/>
  <c r="AS27" i="4"/>
  <c r="AJ28" i="4"/>
  <c r="AK28" i="4"/>
  <c r="AL28" i="4"/>
  <c r="AM28" i="4"/>
  <c r="AN28" i="4"/>
  <c r="AO28" i="4"/>
  <c r="AP28" i="4"/>
  <c r="AQ28" i="4"/>
  <c r="AR28" i="4"/>
  <c r="AS28" i="4"/>
  <c r="AJ29" i="4"/>
  <c r="AK29" i="4"/>
  <c r="AL29" i="4"/>
  <c r="AM29" i="4"/>
  <c r="AN29" i="4"/>
  <c r="AO29" i="4"/>
  <c r="AP29" i="4"/>
  <c r="AQ29" i="4"/>
  <c r="AR29" i="4"/>
  <c r="AS29" i="4"/>
  <c r="AJ30" i="4"/>
  <c r="AK30" i="4"/>
  <c r="AL30" i="4"/>
  <c r="AM30" i="4"/>
  <c r="AN30" i="4"/>
  <c r="AO30" i="4"/>
  <c r="AP30" i="4"/>
  <c r="AQ30" i="4"/>
  <c r="AR30" i="4"/>
  <c r="AS30" i="4"/>
  <c r="AJ31" i="4"/>
  <c r="AK31" i="4"/>
  <c r="AL31" i="4"/>
  <c r="AM31" i="4"/>
  <c r="AN31" i="4"/>
  <c r="AO31" i="4"/>
  <c r="AP31" i="4"/>
  <c r="AQ31" i="4"/>
  <c r="AR31" i="4"/>
  <c r="AS31" i="4"/>
  <c r="AJ32" i="4"/>
  <c r="AK32" i="4"/>
  <c r="AL32" i="4"/>
  <c r="AM32" i="4"/>
  <c r="AN32" i="4"/>
  <c r="AO32" i="4"/>
  <c r="AP32" i="4"/>
  <c r="AQ32" i="4"/>
  <c r="AR32" i="4"/>
  <c r="AS32" i="4"/>
  <c r="AI4" i="4"/>
  <c r="AI5" i="4"/>
  <c r="AI6" i="4"/>
  <c r="AI7" i="4"/>
  <c r="AI8" i="4"/>
  <c r="AI9" i="4"/>
  <c r="AI10" i="4"/>
  <c r="AI11" i="4"/>
  <c r="AI12" i="4"/>
  <c r="AI13" i="4"/>
  <c r="AI14" i="4"/>
  <c r="AI15" i="4"/>
  <c r="AI16" i="4"/>
  <c r="AI17" i="4"/>
  <c r="AI18" i="4"/>
  <c r="AI19" i="4"/>
  <c r="AI20" i="4"/>
  <c r="AI21" i="4"/>
  <c r="AI22" i="4"/>
  <c r="AI23" i="4"/>
  <c r="AI24" i="4"/>
  <c r="AI25" i="4"/>
  <c r="AI26" i="4"/>
  <c r="AI27" i="4"/>
  <c r="AI28" i="4"/>
  <c r="AI29" i="4"/>
  <c r="AI30" i="4"/>
  <c r="AI31" i="4"/>
  <c r="AI32" i="4"/>
  <c r="AI3" i="4"/>
  <c r="Y3" i="4"/>
  <c r="Z3" i="4"/>
  <c r="AA3" i="4"/>
  <c r="AB3" i="4"/>
  <c r="AC3" i="4"/>
  <c r="AD3" i="4"/>
  <c r="AE3" i="4"/>
  <c r="AF3" i="4"/>
  <c r="AG3" i="4"/>
  <c r="AH3" i="4"/>
  <c r="Y4" i="4"/>
  <c r="Z4" i="4"/>
  <c r="AA4" i="4"/>
  <c r="AB4" i="4"/>
  <c r="AC4" i="4"/>
  <c r="AD4" i="4"/>
  <c r="AE4" i="4"/>
  <c r="AF4" i="4"/>
  <c r="AG4" i="4"/>
  <c r="AH4" i="4"/>
  <c r="Y5" i="4"/>
  <c r="Z5" i="4"/>
  <c r="AA5" i="4"/>
  <c r="AB5" i="4"/>
  <c r="AC5" i="4"/>
  <c r="AD5" i="4"/>
  <c r="AE5" i="4"/>
  <c r="AF5" i="4"/>
  <c r="AG5" i="4"/>
  <c r="AH5" i="4"/>
  <c r="Y6" i="4"/>
  <c r="Z6" i="4"/>
  <c r="AA6" i="4"/>
  <c r="AB6" i="4"/>
  <c r="AC6" i="4"/>
  <c r="AD6" i="4"/>
  <c r="AE6" i="4"/>
  <c r="AF6" i="4"/>
  <c r="AG6" i="4"/>
  <c r="AH6" i="4"/>
  <c r="Y7" i="4"/>
  <c r="Z7" i="4"/>
  <c r="AA7" i="4"/>
  <c r="AB7" i="4"/>
  <c r="AC7" i="4"/>
  <c r="AD7" i="4"/>
  <c r="AE7" i="4"/>
  <c r="AF7" i="4"/>
  <c r="AG7" i="4"/>
  <c r="AH7" i="4"/>
  <c r="Y8" i="4"/>
  <c r="Z8" i="4"/>
  <c r="AA8" i="4"/>
  <c r="AB8" i="4"/>
  <c r="AC8" i="4"/>
  <c r="AD8" i="4"/>
  <c r="AE8" i="4"/>
  <c r="AF8" i="4"/>
  <c r="AG8" i="4"/>
  <c r="AH8" i="4"/>
  <c r="Y9" i="4"/>
  <c r="Z9" i="4"/>
  <c r="AA9" i="4"/>
  <c r="AB9" i="4"/>
  <c r="AC9" i="4"/>
  <c r="AD9" i="4"/>
  <c r="AE9" i="4"/>
  <c r="AF9" i="4"/>
  <c r="AG9" i="4"/>
  <c r="AH9" i="4"/>
  <c r="Y10" i="4"/>
  <c r="Z10" i="4"/>
  <c r="AA10" i="4"/>
  <c r="AB10" i="4"/>
  <c r="AC10" i="4"/>
  <c r="AD10" i="4"/>
  <c r="AE10" i="4"/>
  <c r="AF10" i="4"/>
  <c r="AG10" i="4"/>
  <c r="AH10" i="4"/>
  <c r="Y11" i="4"/>
  <c r="Z11" i="4"/>
  <c r="AA11" i="4"/>
  <c r="AB11" i="4"/>
  <c r="AC11" i="4"/>
  <c r="AD11" i="4"/>
  <c r="AE11" i="4"/>
  <c r="AF11" i="4"/>
  <c r="AG11" i="4"/>
  <c r="AH11" i="4"/>
  <c r="Y12" i="4"/>
  <c r="Z12" i="4"/>
  <c r="AA12" i="4"/>
  <c r="AB12" i="4"/>
  <c r="AC12" i="4"/>
  <c r="AD12" i="4"/>
  <c r="AE12" i="4"/>
  <c r="AF12" i="4"/>
  <c r="AG12" i="4"/>
  <c r="AH12" i="4"/>
  <c r="Y13" i="4"/>
  <c r="Z13" i="4"/>
  <c r="AA13" i="4"/>
  <c r="AB13" i="4"/>
  <c r="AC13" i="4"/>
  <c r="AD13" i="4"/>
  <c r="AE13" i="4"/>
  <c r="AF13" i="4"/>
  <c r="AG13" i="4"/>
  <c r="AH13" i="4"/>
  <c r="Y14" i="4"/>
  <c r="Z14" i="4"/>
  <c r="AA14" i="4"/>
  <c r="AB14" i="4"/>
  <c r="AC14" i="4"/>
  <c r="AD14" i="4"/>
  <c r="AE14" i="4"/>
  <c r="AF14" i="4"/>
  <c r="AG14" i="4"/>
  <c r="AH14" i="4"/>
  <c r="Y15" i="4"/>
  <c r="Z15" i="4"/>
  <c r="AA15" i="4"/>
  <c r="AB15" i="4"/>
  <c r="AC15" i="4"/>
  <c r="AD15" i="4"/>
  <c r="AE15" i="4"/>
  <c r="AF15" i="4"/>
  <c r="AG15" i="4"/>
  <c r="AH15" i="4"/>
  <c r="Y16" i="4"/>
  <c r="Z16" i="4"/>
  <c r="AA16" i="4"/>
  <c r="AB16" i="4"/>
  <c r="AC16" i="4"/>
  <c r="AD16" i="4"/>
  <c r="AE16" i="4"/>
  <c r="AF16" i="4"/>
  <c r="AG16" i="4"/>
  <c r="AH16" i="4"/>
  <c r="Y17" i="4"/>
  <c r="Z17" i="4"/>
  <c r="AA17" i="4"/>
  <c r="AB17" i="4"/>
  <c r="AC17" i="4"/>
  <c r="AD17" i="4"/>
  <c r="AE17" i="4"/>
  <c r="AF17" i="4"/>
  <c r="AG17" i="4"/>
  <c r="AH17" i="4"/>
  <c r="Y18" i="4"/>
  <c r="Z18" i="4"/>
  <c r="AA18" i="4"/>
  <c r="AB18" i="4"/>
  <c r="AC18" i="4"/>
  <c r="AD18" i="4"/>
  <c r="AE18" i="4"/>
  <c r="AF18" i="4"/>
  <c r="AG18" i="4"/>
  <c r="AH18" i="4"/>
  <c r="Y19" i="4"/>
  <c r="Z19" i="4"/>
  <c r="AA19" i="4"/>
  <c r="AB19" i="4"/>
  <c r="AC19" i="4"/>
  <c r="AD19" i="4"/>
  <c r="AE19" i="4"/>
  <c r="AF19" i="4"/>
  <c r="AG19" i="4"/>
  <c r="AH19" i="4"/>
  <c r="Y20" i="4"/>
  <c r="Z20" i="4"/>
  <c r="AA20" i="4"/>
  <c r="AB20" i="4"/>
  <c r="AC20" i="4"/>
  <c r="AD20" i="4"/>
  <c r="AE20" i="4"/>
  <c r="AF20" i="4"/>
  <c r="AG20" i="4"/>
  <c r="AH20" i="4"/>
  <c r="Y21" i="4"/>
  <c r="Z21" i="4"/>
  <c r="AA21" i="4"/>
  <c r="AB21" i="4"/>
  <c r="AC21" i="4"/>
  <c r="AD21" i="4"/>
  <c r="AE21" i="4"/>
  <c r="AF21" i="4"/>
  <c r="AG21" i="4"/>
  <c r="AH21" i="4"/>
  <c r="Y22" i="4"/>
  <c r="Z22" i="4"/>
  <c r="AA22" i="4"/>
  <c r="AB22" i="4"/>
  <c r="AC22" i="4"/>
  <c r="AD22" i="4"/>
  <c r="AE22" i="4"/>
  <c r="AF22" i="4"/>
  <c r="AG22" i="4"/>
  <c r="AH22" i="4"/>
  <c r="Y23" i="4"/>
  <c r="Z23" i="4"/>
  <c r="AA23" i="4"/>
  <c r="AB23" i="4"/>
  <c r="AC23" i="4"/>
  <c r="AD23" i="4"/>
  <c r="AE23" i="4"/>
  <c r="AF23" i="4"/>
  <c r="AG23" i="4"/>
  <c r="AH23" i="4"/>
  <c r="Y24" i="4"/>
  <c r="Z24" i="4"/>
  <c r="AA24" i="4"/>
  <c r="AB24" i="4"/>
  <c r="AC24" i="4"/>
  <c r="AD24" i="4"/>
  <c r="AE24" i="4"/>
  <c r="AF24" i="4"/>
  <c r="AG24" i="4"/>
  <c r="AH24" i="4"/>
  <c r="Y25" i="4"/>
  <c r="Z25" i="4"/>
  <c r="AA25" i="4"/>
  <c r="AB25" i="4"/>
  <c r="AC25" i="4"/>
  <c r="AD25" i="4"/>
  <c r="AE25" i="4"/>
  <c r="AF25" i="4"/>
  <c r="AG25" i="4"/>
  <c r="AH25" i="4"/>
  <c r="Y26" i="4"/>
  <c r="Z26" i="4"/>
  <c r="AA26" i="4"/>
  <c r="AB26" i="4"/>
  <c r="AC26" i="4"/>
  <c r="AD26" i="4"/>
  <c r="AE26" i="4"/>
  <c r="AF26" i="4"/>
  <c r="AG26" i="4"/>
  <c r="AH26" i="4"/>
  <c r="Y27" i="4"/>
  <c r="Z27" i="4"/>
  <c r="AA27" i="4"/>
  <c r="AB27" i="4"/>
  <c r="AC27" i="4"/>
  <c r="AD27" i="4"/>
  <c r="AE27" i="4"/>
  <c r="AF27" i="4"/>
  <c r="AG27" i="4"/>
  <c r="AH27" i="4"/>
  <c r="Y28" i="4"/>
  <c r="Z28" i="4"/>
  <c r="AA28" i="4"/>
  <c r="AB28" i="4"/>
  <c r="AC28" i="4"/>
  <c r="AD28" i="4"/>
  <c r="AE28" i="4"/>
  <c r="AF28" i="4"/>
  <c r="AG28" i="4"/>
  <c r="AH28" i="4"/>
  <c r="Y29" i="4"/>
  <c r="Z29" i="4"/>
  <c r="AA29" i="4"/>
  <c r="AB29" i="4"/>
  <c r="AC29" i="4"/>
  <c r="AD29" i="4"/>
  <c r="AE29" i="4"/>
  <c r="AF29" i="4"/>
  <c r="AG29" i="4"/>
  <c r="AH29" i="4"/>
  <c r="Y30" i="4"/>
  <c r="Z30" i="4"/>
  <c r="AA30" i="4"/>
  <c r="AB30" i="4"/>
  <c r="AC30" i="4"/>
  <c r="AD30" i="4"/>
  <c r="AE30" i="4"/>
  <c r="AF30" i="4"/>
  <c r="AG30" i="4"/>
  <c r="AH30" i="4"/>
  <c r="Y31" i="4"/>
  <c r="Z31" i="4"/>
  <c r="AA31" i="4"/>
  <c r="AB31" i="4"/>
  <c r="AC31" i="4"/>
  <c r="AD31" i="4"/>
  <c r="AE31" i="4"/>
  <c r="AF31" i="4"/>
  <c r="AG31" i="4"/>
  <c r="AH31" i="4"/>
  <c r="Y32" i="4"/>
  <c r="Z32" i="4"/>
  <c r="AA32" i="4"/>
  <c r="AB32" i="4"/>
  <c r="AC32" i="4"/>
  <c r="AD32" i="4"/>
  <c r="AE32" i="4"/>
  <c r="AF32" i="4"/>
  <c r="AG32" i="4"/>
  <c r="AH32"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 i="4"/>
  <c r="H4" i="4"/>
  <c r="I4" i="4"/>
  <c r="J4" i="4"/>
  <c r="K4" i="4"/>
  <c r="L4" i="4"/>
  <c r="M4" i="4"/>
  <c r="N4" i="4"/>
  <c r="O4" i="4"/>
  <c r="P4" i="4"/>
  <c r="Q4" i="4"/>
  <c r="R4" i="4"/>
  <c r="S4" i="4"/>
  <c r="T4" i="4"/>
  <c r="U4" i="4"/>
  <c r="V4" i="4"/>
  <c r="W4" i="4"/>
  <c r="H5" i="4"/>
  <c r="I5" i="4"/>
  <c r="J5" i="4"/>
  <c r="K5" i="4"/>
  <c r="L5" i="4"/>
  <c r="M5" i="4"/>
  <c r="N5" i="4"/>
  <c r="O5" i="4"/>
  <c r="P5" i="4"/>
  <c r="Q5" i="4"/>
  <c r="R5" i="4"/>
  <c r="S5" i="4"/>
  <c r="T5" i="4"/>
  <c r="U5" i="4"/>
  <c r="V5" i="4"/>
  <c r="W5" i="4"/>
  <c r="H6" i="4"/>
  <c r="I6" i="4"/>
  <c r="J6" i="4"/>
  <c r="K6" i="4"/>
  <c r="L6" i="4"/>
  <c r="M6" i="4"/>
  <c r="N6" i="4"/>
  <c r="O6" i="4"/>
  <c r="P6" i="4"/>
  <c r="Q6" i="4"/>
  <c r="R6" i="4"/>
  <c r="S6" i="4"/>
  <c r="T6" i="4"/>
  <c r="U6" i="4"/>
  <c r="V6" i="4"/>
  <c r="W6" i="4"/>
  <c r="H7" i="4"/>
  <c r="I7" i="4"/>
  <c r="J7" i="4"/>
  <c r="K7" i="4"/>
  <c r="L7" i="4"/>
  <c r="M7" i="4"/>
  <c r="N7" i="4"/>
  <c r="O7" i="4"/>
  <c r="P7" i="4"/>
  <c r="Q7" i="4"/>
  <c r="R7" i="4"/>
  <c r="S7" i="4"/>
  <c r="T7" i="4"/>
  <c r="U7" i="4"/>
  <c r="V7" i="4"/>
  <c r="W7" i="4"/>
  <c r="H8" i="4"/>
  <c r="I8" i="4"/>
  <c r="J8" i="4"/>
  <c r="K8" i="4"/>
  <c r="L8" i="4"/>
  <c r="M8" i="4"/>
  <c r="N8" i="4"/>
  <c r="O8" i="4"/>
  <c r="P8" i="4"/>
  <c r="Q8" i="4"/>
  <c r="R8" i="4"/>
  <c r="S8" i="4"/>
  <c r="T8" i="4"/>
  <c r="U8" i="4"/>
  <c r="V8" i="4"/>
  <c r="W8" i="4"/>
  <c r="H9" i="4"/>
  <c r="I9" i="4"/>
  <c r="J9" i="4"/>
  <c r="K9" i="4"/>
  <c r="L9" i="4"/>
  <c r="M9" i="4"/>
  <c r="N9" i="4"/>
  <c r="O9" i="4"/>
  <c r="P9" i="4"/>
  <c r="Q9" i="4"/>
  <c r="R9" i="4"/>
  <c r="S9" i="4"/>
  <c r="T9" i="4"/>
  <c r="U9" i="4"/>
  <c r="V9" i="4"/>
  <c r="W9" i="4"/>
  <c r="H10" i="4"/>
  <c r="I10" i="4"/>
  <c r="J10" i="4"/>
  <c r="K10" i="4"/>
  <c r="L10" i="4"/>
  <c r="M10" i="4"/>
  <c r="N10" i="4"/>
  <c r="O10" i="4"/>
  <c r="P10" i="4"/>
  <c r="Q10" i="4"/>
  <c r="R10" i="4"/>
  <c r="S10" i="4"/>
  <c r="T10" i="4"/>
  <c r="U10" i="4"/>
  <c r="V10" i="4"/>
  <c r="W10" i="4"/>
  <c r="H11" i="4"/>
  <c r="I11" i="4"/>
  <c r="J11" i="4"/>
  <c r="K11" i="4"/>
  <c r="L11" i="4"/>
  <c r="M11" i="4"/>
  <c r="N11" i="4"/>
  <c r="O11" i="4"/>
  <c r="P11" i="4"/>
  <c r="Q11" i="4"/>
  <c r="R11" i="4"/>
  <c r="S11" i="4"/>
  <c r="T11" i="4"/>
  <c r="U11" i="4"/>
  <c r="V11" i="4"/>
  <c r="W11" i="4"/>
  <c r="H12" i="4"/>
  <c r="I12" i="4"/>
  <c r="J12" i="4"/>
  <c r="K12" i="4"/>
  <c r="L12" i="4"/>
  <c r="M12" i="4"/>
  <c r="N12" i="4"/>
  <c r="O12" i="4"/>
  <c r="P12" i="4"/>
  <c r="Q12" i="4"/>
  <c r="R12" i="4"/>
  <c r="S12" i="4"/>
  <c r="T12" i="4"/>
  <c r="U12" i="4"/>
  <c r="V12" i="4"/>
  <c r="W12" i="4"/>
  <c r="H13" i="4"/>
  <c r="I13" i="4"/>
  <c r="J13" i="4"/>
  <c r="K13" i="4"/>
  <c r="L13" i="4"/>
  <c r="M13" i="4"/>
  <c r="N13" i="4"/>
  <c r="O13" i="4"/>
  <c r="P13" i="4"/>
  <c r="Q13" i="4"/>
  <c r="R13" i="4"/>
  <c r="S13" i="4"/>
  <c r="T13" i="4"/>
  <c r="U13" i="4"/>
  <c r="V13" i="4"/>
  <c r="W13" i="4"/>
  <c r="H14" i="4"/>
  <c r="I14" i="4"/>
  <c r="J14" i="4"/>
  <c r="K14" i="4"/>
  <c r="L14" i="4"/>
  <c r="M14" i="4"/>
  <c r="N14" i="4"/>
  <c r="O14" i="4"/>
  <c r="P14" i="4"/>
  <c r="Q14" i="4"/>
  <c r="R14" i="4"/>
  <c r="S14" i="4"/>
  <c r="T14" i="4"/>
  <c r="U14" i="4"/>
  <c r="V14" i="4"/>
  <c r="W14" i="4"/>
  <c r="H15" i="4"/>
  <c r="I15" i="4"/>
  <c r="J15" i="4"/>
  <c r="K15" i="4"/>
  <c r="L15" i="4"/>
  <c r="M15" i="4"/>
  <c r="N15" i="4"/>
  <c r="O15" i="4"/>
  <c r="P15" i="4"/>
  <c r="Q15" i="4"/>
  <c r="R15" i="4"/>
  <c r="S15" i="4"/>
  <c r="T15" i="4"/>
  <c r="U15" i="4"/>
  <c r="V15" i="4"/>
  <c r="W15" i="4"/>
  <c r="H16" i="4"/>
  <c r="I16" i="4"/>
  <c r="J16" i="4"/>
  <c r="K16" i="4"/>
  <c r="L16" i="4"/>
  <c r="M16" i="4"/>
  <c r="N16" i="4"/>
  <c r="O16" i="4"/>
  <c r="P16" i="4"/>
  <c r="Q16" i="4"/>
  <c r="R16" i="4"/>
  <c r="S16" i="4"/>
  <c r="T16" i="4"/>
  <c r="U16" i="4"/>
  <c r="V16" i="4"/>
  <c r="W16" i="4"/>
  <c r="H17" i="4"/>
  <c r="I17" i="4"/>
  <c r="J17" i="4"/>
  <c r="K17" i="4"/>
  <c r="L17" i="4"/>
  <c r="M17" i="4"/>
  <c r="N17" i="4"/>
  <c r="O17" i="4"/>
  <c r="P17" i="4"/>
  <c r="Q17" i="4"/>
  <c r="R17" i="4"/>
  <c r="S17" i="4"/>
  <c r="T17" i="4"/>
  <c r="U17" i="4"/>
  <c r="V17" i="4"/>
  <c r="W17" i="4"/>
  <c r="H18" i="4"/>
  <c r="I18" i="4"/>
  <c r="J18" i="4"/>
  <c r="K18" i="4"/>
  <c r="L18" i="4"/>
  <c r="M18" i="4"/>
  <c r="N18" i="4"/>
  <c r="O18" i="4"/>
  <c r="P18" i="4"/>
  <c r="Q18" i="4"/>
  <c r="R18" i="4"/>
  <c r="S18" i="4"/>
  <c r="T18" i="4"/>
  <c r="U18" i="4"/>
  <c r="V18" i="4"/>
  <c r="W18" i="4"/>
  <c r="H19" i="4"/>
  <c r="I19" i="4"/>
  <c r="J19" i="4"/>
  <c r="K19" i="4"/>
  <c r="L19" i="4"/>
  <c r="M19" i="4"/>
  <c r="N19" i="4"/>
  <c r="O19" i="4"/>
  <c r="P19" i="4"/>
  <c r="Q19" i="4"/>
  <c r="R19" i="4"/>
  <c r="S19" i="4"/>
  <c r="T19" i="4"/>
  <c r="U19" i="4"/>
  <c r="V19" i="4"/>
  <c r="W19" i="4"/>
  <c r="H20" i="4"/>
  <c r="I20" i="4"/>
  <c r="J20" i="4"/>
  <c r="K20" i="4"/>
  <c r="L20" i="4"/>
  <c r="M20" i="4"/>
  <c r="N20" i="4"/>
  <c r="O20" i="4"/>
  <c r="P20" i="4"/>
  <c r="Q20" i="4"/>
  <c r="R20" i="4"/>
  <c r="S20" i="4"/>
  <c r="T20" i="4"/>
  <c r="U20" i="4"/>
  <c r="V20" i="4"/>
  <c r="W20" i="4"/>
  <c r="H21" i="4"/>
  <c r="I21" i="4"/>
  <c r="J21" i="4"/>
  <c r="K21" i="4"/>
  <c r="L21" i="4"/>
  <c r="M21" i="4"/>
  <c r="N21" i="4"/>
  <c r="O21" i="4"/>
  <c r="P21" i="4"/>
  <c r="Q21" i="4"/>
  <c r="R21" i="4"/>
  <c r="S21" i="4"/>
  <c r="T21" i="4"/>
  <c r="U21" i="4"/>
  <c r="V21" i="4"/>
  <c r="W21" i="4"/>
  <c r="H22" i="4"/>
  <c r="I22" i="4"/>
  <c r="J22" i="4"/>
  <c r="K22" i="4"/>
  <c r="L22" i="4"/>
  <c r="M22" i="4"/>
  <c r="N22" i="4"/>
  <c r="O22" i="4"/>
  <c r="P22" i="4"/>
  <c r="Q22" i="4"/>
  <c r="R22" i="4"/>
  <c r="S22" i="4"/>
  <c r="T22" i="4"/>
  <c r="U22" i="4"/>
  <c r="V22" i="4"/>
  <c r="W22" i="4"/>
  <c r="H23" i="4"/>
  <c r="I23" i="4"/>
  <c r="J23" i="4"/>
  <c r="K23" i="4"/>
  <c r="L23" i="4"/>
  <c r="M23" i="4"/>
  <c r="N23" i="4"/>
  <c r="O23" i="4"/>
  <c r="P23" i="4"/>
  <c r="Q23" i="4"/>
  <c r="R23" i="4"/>
  <c r="S23" i="4"/>
  <c r="T23" i="4"/>
  <c r="U23" i="4"/>
  <c r="V23" i="4"/>
  <c r="W23" i="4"/>
  <c r="H24" i="4"/>
  <c r="I24" i="4"/>
  <c r="J24" i="4"/>
  <c r="K24" i="4"/>
  <c r="L24" i="4"/>
  <c r="M24" i="4"/>
  <c r="N24" i="4"/>
  <c r="O24" i="4"/>
  <c r="P24" i="4"/>
  <c r="Q24" i="4"/>
  <c r="R24" i="4"/>
  <c r="S24" i="4"/>
  <c r="T24" i="4"/>
  <c r="U24" i="4"/>
  <c r="V24" i="4"/>
  <c r="W24" i="4"/>
  <c r="H25" i="4"/>
  <c r="I25" i="4"/>
  <c r="J25" i="4"/>
  <c r="K25" i="4"/>
  <c r="L25" i="4"/>
  <c r="M25" i="4"/>
  <c r="N25" i="4"/>
  <c r="O25" i="4"/>
  <c r="P25" i="4"/>
  <c r="Q25" i="4"/>
  <c r="R25" i="4"/>
  <c r="S25" i="4"/>
  <c r="T25" i="4"/>
  <c r="U25" i="4"/>
  <c r="V25" i="4"/>
  <c r="W25" i="4"/>
  <c r="H26" i="4"/>
  <c r="I26" i="4"/>
  <c r="J26" i="4"/>
  <c r="K26" i="4"/>
  <c r="L26" i="4"/>
  <c r="M26" i="4"/>
  <c r="N26" i="4"/>
  <c r="O26" i="4"/>
  <c r="P26" i="4"/>
  <c r="Q26" i="4"/>
  <c r="R26" i="4"/>
  <c r="S26" i="4"/>
  <c r="T26" i="4"/>
  <c r="U26" i="4"/>
  <c r="V26" i="4"/>
  <c r="W26" i="4"/>
  <c r="H27" i="4"/>
  <c r="I27" i="4"/>
  <c r="J27" i="4"/>
  <c r="K27" i="4"/>
  <c r="L27" i="4"/>
  <c r="M27" i="4"/>
  <c r="N27" i="4"/>
  <c r="O27" i="4"/>
  <c r="P27" i="4"/>
  <c r="Q27" i="4"/>
  <c r="R27" i="4"/>
  <c r="S27" i="4"/>
  <c r="T27" i="4"/>
  <c r="U27" i="4"/>
  <c r="V27" i="4"/>
  <c r="W27" i="4"/>
  <c r="H28" i="4"/>
  <c r="I28" i="4"/>
  <c r="J28" i="4"/>
  <c r="K28" i="4"/>
  <c r="L28" i="4"/>
  <c r="M28" i="4"/>
  <c r="N28" i="4"/>
  <c r="O28" i="4"/>
  <c r="P28" i="4"/>
  <c r="Q28" i="4"/>
  <c r="R28" i="4"/>
  <c r="S28" i="4"/>
  <c r="T28" i="4"/>
  <c r="U28" i="4"/>
  <c r="V28" i="4"/>
  <c r="W28" i="4"/>
  <c r="H29" i="4"/>
  <c r="I29" i="4"/>
  <c r="J29" i="4"/>
  <c r="K29" i="4"/>
  <c r="L29" i="4"/>
  <c r="M29" i="4"/>
  <c r="N29" i="4"/>
  <c r="O29" i="4"/>
  <c r="P29" i="4"/>
  <c r="Q29" i="4"/>
  <c r="R29" i="4"/>
  <c r="S29" i="4"/>
  <c r="T29" i="4"/>
  <c r="U29" i="4"/>
  <c r="V29" i="4"/>
  <c r="W29" i="4"/>
  <c r="H30" i="4"/>
  <c r="I30" i="4"/>
  <c r="J30" i="4"/>
  <c r="K30" i="4"/>
  <c r="L30" i="4"/>
  <c r="M30" i="4"/>
  <c r="N30" i="4"/>
  <c r="O30" i="4"/>
  <c r="P30" i="4"/>
  <c r="Q30" i="4"/>
  <c r="R30" i="4"/>
  <c r="S30" i="4"/>
  <c r="T30" i="4"/>
  <c r="U30" i="4"/>
  <c r="V30" i="4"/>
  <c r="W30" i="4"/>
  <c r="H31" i="4"/>
  <c r="I31" i="4"/>
  <c r="J31" i="4"/>
  <c r="K31" i="4"/>
  <c r="L31" i="4"/>
  <c r="M31" i="4"/>
  <c r="N31" i="4"/>
  <c r="O31" i="4"/>
  <c r="P31" i="4"/>
  <c r="Q31" i="4"/>
  <c r="R31" i="4"/>
  <c r="S31" i="4"/>
  <c r="T31" i="4"/>
  <c r="U31" i="4"/>
  <c r="V31" i="4"/>
  <c r="W31" i="4"/>
  <c r="H32" i="4"/>
  <c r="I32" i="4"/>
  <c r="J32" i="4"/>
  <c r="K32" i="4"/>
  <c r="L32" i="4"/>
  <c r="M32" i="4"/>
  <c r="N32" i="4"/>
  <c r="O32" i="4"/>
  <c r="P32" i="4"/>
  <c r="Q32" i="4"/>
  <c r="R32" i="4"/>
  <c r="S32" i="4"/>
  <c r="T32" i="4"/>
  <c r="U32" i="4"/>
  <c r="V32" i="4"/>
  <c r="W32" i="4"/>
  <c r="I3" i="4"/>
  <c r="J3" i="4"/>
  <c r="K3" i="4"/>
  <c r="L3" i="4"/>
  <c r="M3" i="4"/>
  <c r="N3" i="4"/>
  <c r="O3" i="4"/>
  <c r="P3" i="4"/>
  <c r="Q3" i="4"/>
  <c r="R3" i="4"/>
  <c r="S3" i="4"/>
  <c r="T3" i="4"/>
  <c r="U3" i="4"/>
  <c r="V3" i="4"/>
  <c r="W3" i="4"/>
  <c r="H3" i="4"/>
  <c r="G9" i="23"/>
  <c r="G11" i="23"/>
  <c r="G13" i="23"/>
  <c r="G15" i="23"/>
  <c r="G17" i="23"/>
  <c r="G19" i="23"/>
  <c r="G21" i="23"/>
  <c r="G23" i="23"/>
  <c r="G25" i="23"/>
  <c r="G27" i="23"/>
  <c r="G29" i="23"/>
  <c r="G31" i="23"/>
  <c r="G33" i="23"/>
  <c r="G35" i="23"/>
  <c r="G37" i="23"/>
  <c r="G39" i="23"/>
  <c r="G41" i="23"/>
  <c r="G43" i="23"/>
  <c r="G45" i="23"/>
  <c r="G47" i="23"/>
  <c r="G49" i="23"/>
  <c r="G51" i="23"/>
  <c r="G53" i="23"/>
  <c r="G55" i="23"/>
  <c r="G60" i="23"/>
  <c r="G62" i="23"/>
  <c r="G64" i="23"/>
  <c r="G66" i="23"/>
  <c r="G68" i="23"/>
  <c r="G70" i="23"/>
  <c r="G72" i="23"/>
  <c r="G74" i="23"/>
  <c r="G76" i="23"/>
  <c r="G78" i="23"/>
  <c r="G80" i="23"/>
  <c r="G82" i="23"/>
  <c r="G84" i="23"/>
  <c r="G86" i="23"/>
  <c r="G88" i="23"/>
  <c r="G90" i="23"/>
  <c r="G92" i="23"/>
  <c r="G94" i="23"/>
  <c r="G96" i="23"/>
  <c r="G98" i="23"/>
  <c r="G100" i="23"/>
  <c r="G102" i="23"/>
  <c r="G104" i="23"/>
  <c r="G106" i="23"/>
  <c r="G108" i="23"/>
  <c r="G110" i="23"/>
  <c r="G112" i="23"/>
  <c r="G114" i="23"/>
  <c r="G116" i="23"/>
  <c r="G118" i="23"/>
  <c r="G120" i="23"/>
  <c r="G122" i="23"/>
  <c r="G124" i="23"/>
  <c r="G126" i="23"/>
  <c r="G128" i="23"/>
  <c r="G130" i="23"/>
  <c r="G132" i="23"/>
  <c r="G134" i="23"/>
  <c r="G136" i="23"/>
  <c r="G138" i="23"/>
  <c r="G140" i="23"/>
  <c r="G142" i="23"/>
  <c r="G144" i="23"/>
  <c r="G146" i="23"/>
  <c r="G148" i="23"/>
  <c r="G150" i="23"/>
  <c r="G152" i="23"/>
  <c r="G154" i="23"/>
  <c r="G156" i="23"/>
  <c r="G158" i="23"/>
  <c r="G160" i="23"/>
  <c r="G162" i="23"/>
  <c r="G164" i="23"/>
  <c r="G166" i="23"/>
  <c r="G168" i="23"/>
  <c r="G170" i="23"/>
  <c r="G172" i="23"/>
  <c r="G174" i="23"/>
  <c r="G176" i="23"/>
  <c r="G178" i="23"/>
  <c r="G180" i="23"/>
  <c r="G182" i="23"/>
  <c r="G184" i="23"/>
  <c r="G186" i="23"/>
  <c r="G188" i="23"/>
  <c r="G190" i="23"/>
  <c r="G192" i="23"/>
  <c r="G194" i="23"/>
  <c r="G196" i="23"/>
  <c r="G198" i="23"/>
  <c r="G200" i="23"/>
  <c r="G202" i="23"/>
  <c r="G204" i="23"/>
  <c r="G206" i="23"/>
  <c r="G208" i="23"/>
  <c r="G210" i="23"/>
  <c r="G212" i="23"/>
  <c r="G214" i="23"/>
  <c r="G216" i="23"/>
  <c r="G218" i="23"/>
  <c r="G220" i="23"/>
  <c r="G222" i="23"/>
  <c r="G224" i="23"/>
  <c r="G226" i="23"/>
  <c r="G228" i="23"/>
  <c r="G230" i="23"/>
  <c r="G232" i="23"/>
  <c r="G234" i="23"/>
  <c r="G236" i="23"/>
  <c r="G238" i="23"/>
  <c r="G240" i="23"/>
  <c r="G242" i="23"/>
  <c r="G244" i="23"/>
  <c r="G246" i="23"/>
  <c r="G248" i="23"/>
  <c r="G250" i="23"/>
  <c r="G252" i="23"/>
  <c r="G254" i="23"/>
  <c r="G256" i="23"/>
  <c r="G258" i="23"/>
  <c r="G260" i="23"/>
  <c r="G262" i="23"/>
  <c r="G264" i="23"/>
  <c r="G266" i="23"/>
  <c r="G268" i="23"/>
  <c r="G270" i="23"/>
  <c r="G272" i="23"/>
  <c r="G274" i="23"/>
  <c r="G276" i="23"/>
  <c r="G278" i="23"/>
  <c r="G280" i="23"/>
  <c r="G282" i="23"/>
  <c r="G284" i="23"/>
  <c r="G286" i="23"/>
  <c r="G288" i="23"/>
  <c r="G290" i="23"/>
  <c r="G292" i="23"/>
  <c r="G294" i="23"/>
  <c r="G296" i="23"/>
  <c r="G298" i="23"/>
  <c r="G300" i="23"/>
  <c r="G302" i="23"/>
  <c r="G304" i="23"/>
  <c r="G306" i="23"/>
  <c r="G308" i="23"/>
  <c r="G310" i="23"/>
  <c r="G312" i="23"/>
  <c r="G314" i="23"/>
  <c r="G316" i="23"/>
  <c r="G318" i="23"/>
  <c r="G320" i="23"/>
  <c r="G322" i="23"/>
  <c r="G324" i="23"/>
  <c r="G326" i="23"/>
  <c r="G328" i="23"/>
  <c r="G330" i="23"/>
  <c r="G332" i="23"/>
  <c r="G334" i="23"/>
  <c r="G336" i="23"/>
  <c r="G338" i="23"/>
  <c r="G340" i="23"/>
  <c r="G342" i="23"/>
  <c r="G344" i="23"/>
  <c r="G346" i="23"/>
  <c r="G348" i="23"/>
  <c r="G350" i="23"/>
  <c r="G352" i="23"/>
  <c r="G354" i="23"/>
  <c r="G356" i="23"/>
  <c r="G358" i="23"/>
  <c r="G360" i="23"/>
  <c r="G362" i="23"/>
  <c r="G364" i="23"/>
  <c r="G366" i="23"/>
  <c r="G368" i="23"/>
  <c r="G370" i="23"/>
  <c r="G372" i="23"/>
  <c r="G374" i="23"/>
  <c r="G376" i="23"/>
  <c r="G378" i="23"/>
  <c r="G380" i="23"/>
  <c r="G382" i="23"/>
  <c r="G384" i="23"/>
  <c r="G386" i="23"/>
  <c r="G388" i="23"/>
  <c r="G390" i="23"/>
  <c r="G392" i="23"/>
  <c r="G394" i="23"/>
  <c r="G396" i="23"/>
  <c r="G398" i="23"/>
  <c r="G400" i="23"/>
  <c r="G402" i="23"/>
  <c r="G404" i="23"/>
  <c r="G406" i="23"/>
  <c r="G408" i="23"/>
  <c r="G410" i="23"/>
  <c r="G412" i="23"/>
  <c r="G414" i="23"/>
  <c r="G416" i="23"/>
  <c r="G418" i="23"/>
  <c r="G420" i="23"/>
  <c r="G422" i="23"/>
  <c r="G424" i="23"/>
  <c r="G426" i="23"/>
  <c r="G428" i="23"/>
  <c r="G430" i="23"/>
  <c r="G432" i="23"/>
  <c r="G434" i="23"/>
  <c r="G436" i="23"/>
  <c r="G438" i="23"/>
  <c r="G440" i="23"/>
  <c r="G442" i="23"/>
  <c r="G444" i="23"/>
  <c r="G446" i="23"/>
  <c r="G448" i="23"/>
  <c r="G450" i="23"/>
  <c r="G452" i="23"/>
  <c r="G454" i="23"/>
  <c r="G456" i="23"/>
  <c r="G458" i="23"/>
  <c r="T868" i="21" l="1"/>
  <c r="T869" i="21"/>
  <c r="T870" i="21"/>
  <c r="T871" i="21"/>
  <c r="T872" i="21"/>
  <c r="T873" i="21"/>
  <c r="T874" i="21"/>
  <c r="T875" i="21"/>
  <c r="T876" i="21"/>
  <c r="U868" i="21"/>
  <c r="U869" i="21"/>
  <c r="U870" i="21"/>
  <c r="U871" i="21"/>
  <c r="U872" i="21"/>
  <c r="U873" i="21"/>
  <c r="U874" i="21"/>
  <c r="U875" i="21"/>
  <c r="U876" i="21"/>
  <c r="AA868" i="21"/>
  <c r="AA869" i="21"/>
  <c r="AA870" i="21"/>
  <c r="AA871" i="21"/>
  <c r="AA872" i="21"/>
  <c r="AA873" i="21"/>
  <c r="AA874" i="21"/>
  <c r="AA875" i="21"/>
  <c r="AA876" i="21"/>
  <c r="J195" i="27" l="1"/>
  <c r="J196" i="27"/>
  <c r="J197" i="27"/>
  <c r="J198" i="27"/>
  <c r="J199" i="27"/>
  <c r="J200" i="27"/>
  <c r="J202" i="27"/>
  <c r="J203" i="27"/>
  <c r="J204" i="27"/>
  <c r="J205" i="27"/>
  <c r="J206" i="27"/>
  <c r="J207" i="27"/>
  <c r="J208" i="27"/>
  <c r="J210" i="27"/>
  <c r="J211" i="27"/>
  <c r="J212" i="27"/>
  <c r="J213" i="27"/>
  <c r="I210" i="27"/>
  <c r="I211" i="27"/>
  <c r="I212" i="27"/>
  <c r="I213" i="27"/>
  <c r="I214" i="27"/>
  <c r="K210" i="27"/>
  <c r="K211" i="27"/>
  <c r="K212" i="27"/>
  <c r="K213" i="27"/>
  <c r="K214" i="27"/>
  <c r="T857" i="21"/>
  <c r="T858" i="21"/>
  <c r="T859" i="21"/>
  <c r="T860" i="21"/>
  <c r="T861" i="21"/>
  <c r="T862" i="21"/>
  <c r="T863" i="21"/>
  <c r="T864" i="21"/>
  <c r="T865" i="21"/>
  <c r="T866" i="21"/>
  <c r="T867" i="21"/>
  <c r="U857" i="21"/>
  <c r="U858" i="21"/>
  <c r="U859" i="21"/>
  <c r="U860" i="21"/>
  <c r="U861" i="21"/>
  <c r="U862" i="21"/>
  <c r="U863" i="21"/>
  <c r="U864" i="21"/>
  <c r="U865" i="21"/>
  <c r="U866" i="21"/>
  <c r="U867" i="21"/>
  <c r="AA857" i="21"/>
  <c r="AA858" i="21"/>
  <c r="AA859" i="21"/>
  <c r="AA860" i="21"/>
  <c r="AA861" i="21"/>
  <c r="AA862" i="21"/>
  <c r="AA863" i="21"/>
  <c r="AA864" i="21"/>
  <c r="AA865" i="21"/>
  <c r="AA866" i="21"/>
  <c r="AA867" i="21"/>
  <c r="J6" i="27" l="1"/>
  <c r="J7" i="27"/>
  <c r="J8" i="27"/>
  <c r="J9" i="27"/>
  <c r="J10" i="27"/>
  <c r="J11" i="27"/>
  <c r="J12" i="27"/>
  <c r="J13" i="27"/>
  <c r="J14" i="27"/>
  <c r="J15" i="27"/>
  <c r="J16" i="27"/>
  <c r="J17" i="27"/>
  <c r="J18" i="27"/>
  <c r="J19" i="27"/>
  <c r="J20" i="27"/>
  <c r="J21" i="27"/>
  <c r="J23" i="27"/>
  <c r="J24" i="27"/>
  <c r="J25" i="27"/>
  <c r="J26" i="27"/>
  <c r="J27" i="27"/>
  <c r="J28" i="27"/>
  <c r="J29" i="27"/>
  <c r="J30" i="27"/>
  <c r="J31" i="27"/>
  <c r="J32" i="27"/>
  <c r="J33" i="27"/>
  <c r="J34" i="27"/>
  <c r="J35" i="27"/>
  <c r="J36" i="27"/>
  <c r="J37" i="27"/>
  <c r="J39" i="27"/>
  <c r="J40" i="27"/>
  <c r="J41" i="27"/>
  <c r="J42" i="27"/>
  <c r="J43" i="27"/>
  <c r="J44" i="27"/>
  <c r="J46" i="27"/>
  <c r="J47" i="27"/>
  <c r="J48" i="27"/>
  <c r="J49" i="27"/>
  <c r="J50" i="27"/>
  <c r="J51" i="27"/>
  <c r="J53" i="27"/>
  <c r="J54" i="27"/>
  <c r="J55" i="27"/>
  <c r="J56" i="27"/>
  <c r="J57" i="27"/>
  <c r="J58" i="27"/>
  <c r="J60" i="27"/>
  <c r="J61" i="27"/>
  <c r="J62" i="27"/>
  <c r="J63" i="27"/>
  <c r="J64" i="27"/>
  <c r="J65" i="27"/>
  <c r="J67" i="27"/>
  <c r="J68" i="27"/>
  <c r="J69" i="27"/>
  <c r="J70" i="27"/>
  <c r="J71" i="27"/>
  <c r="J72" i="27"/>
  <c r="J73" i="27"/>
  <c r="J74" i="27"/>
  <c r="J75" i="27"/>
  <c r="J76" i="27"/>
  <c r="J78" i="27"/>
  <c r="J79" i="27"/>
  <c r="J80" i="27"/>
  <c r="J81" i="27"/>
  <c r="J82" i="27"/>
  <c r="J83" i="27"/>
  <c r="J84" i="27"/>
  <c r="J85" i="27"/>
  <c r="J86" i="27"/>
  <c r="J87" i="27"/>
  <c r="J89" i="27"/>
  <c r="J90" i="27"/>
  <c r="J91" i="27"/>
  <c r="J92" i="27"/>
  <c r="J93" i="27"/>
  <c r="J95" i="27"/>
  <c r="J96" i="27"/>
  <c r="J97" i="27"/>
  <c r="J98" i="27"/>
  <c r="J99" i="27"/>
  <c r="J101" i="27"/>
  <c r="J102" i="27"/>
  <c r="J103" i="27"/>
  <c r="J104" i="27"/>
  <c r="J105" i="27"/>
  <c r="J107" i="27"/>
  <c r="J108" i="27"/>
  <c r="J109" i="27"/>
  <c r="J110" i="27"/>
  <c r="J112" i="27"/>
  <c r="J113" i="27"/>
  <c r="J114" i="27"/>
  <c r="J115" i="27"/>
  <c r="J116" i="27"/>
  <c r="J117" i="27"/>
  <c r="J118" i="27"/>
  <c r="J120" i="27"/>
  <c r="J121" i="27"/>
  <c r="J122" i="27"/>
  <c r="J123" i="27"/>
  <c r="J124" i="27"/>
  <c r="J125" i="27"/>
  <c r="J126" i="27"/>
  <c r="J127" i="27"/>
  <c r="J128" i="27"/>
  <c r="J129" i="27"/>
  <c r="J130" i="27"/>
  <c r="J132" i="27"/>
  <c r="J133" i="27"/>
  <c r="J134" i="27"/>
  <c r="J135" i="27"/>
  <c r="J136" i="27"/>
  <c r="J137" i="27"/>
  <c r="J138" i="27"/>
  <c r="J139" i="27"/>
  <c r="J140" i="27"/>
  <c r="J141" i="27"/>
  <c r="J143" i="27"/>
  <c r="J144" i="27"/>
  <c r="J145" i="27"/>
  <c r="J146" i="27"/>
  <c r="J147" i="27"/>
  <c r="J148" i="27"/>
  <c r="J149" i="27"/>
  <c r="J151" i="27"/>
  <c r="J152" i="27"/>
  <c r="J153" i="27"/>
  <c r="J155" i="27"/>
  <c r="J156" i="27"/>
  <c r="J157" i="27"/>
  <c r="J158" i="27"/>
  <c r="J159" i="27"/>
  <c r="J160" i="27"/>
  <c r="J161" i="27"/>
  <c r="J162" i="27"/>
  <c r="J163" i="27"/>
  <c r="J164" i="27"/>
  <c r="J165" i="27"/>
  <c r="J167" i="27"/>
  <c r="J168" i="27"/>
  <c r="J169" i="27"/>
  <c r="J170" i="27"/>
  <c r="J171" i="27"/>
  <c r="J172" i="27"/>
  <c r="J173" i="27"/>
  <c r="J174" i="27"/>
  <c r="J175" i="27"/>
  <c r="J176" i="27"/>
  <c r="J177" i="27"/>
  <c r="J178" i="27"/>
  <c r="J179" i="27"/>
  <c r="J180" i="27"/>
  <c r="J182" i="27"/>
  <c r="J183" i="27"/>
  <c r="J184" i="27"/>
  <c r="J185" i="27"/>
  <c r="J186" i="27"/>
  <c r="J187" i="27"/>
  <c r="J188" i="27"/>
  <c r="J189" i="27"/>
  <c r="J191" i="27"/>
  <c r="J192" i="27"/>
  <c r="J193" i="27"/>
  <c r="I202" i="27"/>
  <c r="I203" i="27"/>
  <c r="I204" i="27"/>
  <c r="I205" i="27"/>
  <c r="I206" i="27"/>
  <c r="I207" i="27"/>
  <c r="I208" i="27"/>
  <c r="I209" i="27"/>
  <c r="K202" i="27"/>
  <c r="K203" i="27"/>
  <c r="K204" i="27"/>
  <c r="K205" i="27"/>
  <c r="K206" i="27"/>
  <c r="K207" i="27"/>
  <c r="K208" i="27"/>
  <c r="K209" i="27"/>
  <c r="I196" i="27" l="1"/>
  <c r="I195" i="27" l="1"/>
  <c r="I197" i="27"/>
  <c r="I198" i="27"/>
  <c r="I199" i="27"/>
  <c r="I200" i="27"/>
  <c r="I201" i="27"/>
  <c r="K195" i="27"/>
  <c r="K196" i="27"/>
  <c r="K197" i="27"/>
  <c r="K198" i="27"/>
  <c r="K199" i="27"/>
  <c r="K200" i="27"/>
  <c r="K201" i="27"/>
  <c r="I191" i="27" l="1"/>
  <c r="I192" i="27"/>
  <c r="I193" i="27"/>
  <c r="I194" i="27"/>
  <c r="K191" i="27"/>
  <c r="K192" i="27"/>
  <c r="K193" i="27"/>
  <c r="K194" i="27"/>
  <c r="T821" i="21"/>
  <c r="T822" i="21"/>
  <c r="T823" i="21"/>
  <c r="T824" i="21"/>
  <c r="T825" i="21"/>
  <c r="T826" i="21"/>
  <c r="T827" i="21"/>
  <c r="T828" i="21"/>
  <c r="T829" i="21"/>
  <c r="T830" i="21"/>
  <c r="T831" i="21"/>
  <c r="T832" i="21"/>
  <c r="T833" i="21"/>
  <c r="T834" i="21"/>
  <c r="T835" i="21"/>
  <c r="T836" i="21"/>
  <c r="T837" i="21"/>
  <c r="T838" i="21"/>
  <c r="T839" i="21"/>
  <c r="T840" i="21"/>
  <c r="T841" i="21"/>
  <c r="T842" i="21"/>
  <c r="T843" i="21"/>
  <c r="T844" i="21"/>
  <c r="T845" i="21"/>
  <c r="T846" i="21"/>
  <c r="T847" i="21"/>
  <c r="T848" i="21"/>
  <c r="T849" i="21"/>
  <c r="T850" i="21"/>
  <c r="T851" i="21"/>
  <c r="T852" i="21"/>
  <c r="T853" i="21"/>
  <c r="T854" i="21"/>
  <c r="T855" i="21"/>
  <c r="T856" i="21"/>
  <c r="U821" i="21"/>
  <c r="U822" i="21"/>
  <c r="U823" i="21"/>
  <c r="U824" i="21"/>
  <c r="U825" i="21"/>
  <c r="U826" i="21"/>
  <c r="U827" i="21"/>
  <c r="U828" i="21"/>
  <c r="U829" i="21"/>
  <c r="U830" i="21"/>
  <c r="U831" i="21"/>
  <c r="U832" i="21"/>
  <c r="U833" i="21"/>
  <c r="U834" i="21"/>
  <c r="U835" i="21"/>
  <c r="U836" i="21"/>
  <c r="U837" i="21"/>
  <c r="U838" i="21"/>
  <c r="U839" i="21"/>
  <c r="U840" i="21"/>
  <c r="U841" i="21"/>
  <c r="U842" i="21"/>
  <c r="U843" i="21"/>
  <c r="U844" i="21"/>
  <c r="U845" i="21"/>
  <c r="U846" i="21"/>
  <c r="U847" i="21"/>
  <c r="U848" i="21"/>
  <c r="U849" i="21"/>
  <c r="U850" i="21"/>
  <c r="U851" i="21"/>
  <c r="U852" i="21"/>
  <c r="U853" i="21"/>
  <c r="U854" i="21"/>
  <c r="U855" i="21"/>
  <c r="U856" i="21"/>
  <c r="AA821" i="21"/>
  <c r="AA822" i="21"/>
  <c r="AA823" i="21"/>
  <c r="AA824" i="21"/>
  <c r="AA825" i="21"/>
  <c r="AA826" i="21"/>
  <c r="AA827" i="21"/>
  <c r="AA828" i="21"/>
  <c r="AA829" i="21"/>
  <c r="AA830" i="21"/>
  <c r="AA831" i="21"/>
  <c r="AA832" i="21"/>
  <c r="AA833" i="21"/>
  <c r="AA834" i="21"/>
  <c r="AA835" i="21"/>
  <c r="AA836" i="21"/>
  <c r="AA837" i="21"/>
  <c r="AA838" i="21"/>
  <c r="AA839" i="21"/>
  <c r="AA840" i="21"/>
  <c r="AA841" i="21"/>
  <c r="AA842" i="21"/>
  <c r="AA843" i="21"/>
  <c r="AA844" i="21"/>
  <c r="AA845" i="21"/>
  <c r="AA846" i="21"/>
  <c r="AA847" i="21"/>
  <c r="AA848" i="21"/>
  <c r="AA849" i="21"/>
  <c r="AA850" i="21"/>
  <c r="AA851" i="21"/>
  <c r="AA852" i="21"/>
  <c r="AA853" i="21"/>
  <c r="AA854" i="21"/>
  <c r="AA855" i="21"/>
  <c r="AA856" i="21"/>
  <c r="I182" i="27" l="1"/>
  <c r="I183" i="27"/>
  <c r="I184" i="27"/>
  <c r="I185" i="27"/>
  <c r="I186" i="27"/>
  <c r="I187" i="27"/>
  <c r="I188" i="27"/>
  <c r="I189" i="27"/>
  <c r="I190" i="27"/>
  <c r="K182" i="27"/>
  <c r="K183" i="27"/>
  <c r="K184" i="27"/>
  <c r="K185" i="27"/>
  <c r="K186" i="27"/>
  <c r="K187" i="27"/>
  <c r="K188" i="27"/>
  <c r="K189" i="27"/>
  <c r="K190" i="27"/>
  <c r="I167" i="27" l="1"/>
  <c r="I168" i="27"/>
  <c r="I169" i="27"/>
  <c r="I170" i="27"/>
  <c r="I171" i="27"/>
  <c r="I172" i="27"/>
  <c r="I173" i="27"/>
  <c r="I174" i="27"/>
  <c r="I175" i="27"/>
  <c r="I176" i="27"/>
  <c r="I177" i="27"/>
  <c r="I178" i="27"/>
  <c r="I179" i="27"/>
  <c r="I180" i="27"/>
  <c r="I181" i="27"/>
  <c r="K167" i="27"/>
  <c r="K168" i="27"/>
  <c r="K169" i="27"/>
  <c r="K170" i="27"/>
  <c r="K171" i="27"/>
  <c r="K172" i="27"/>
  <c r="K173" i="27"/>
  <c r="K174" i="27"/>
  <c r="K175" i="27"/>
  <c r="K176" i="27"/>
  <c r="K177" i="27"/>
  <c r="K178" i="27"/>
  <c r="K179" i="27"/>
  <c r="K180" i="27"/>
  <c r="K181" i="27"/>
  <c r="T820" i="21"/>
  <c r="U820" i="21"/>
  <c r="AA820" i="21"/>
  <c r="I155" i="27"/>
  <c r="I156" i="27"/>
  <c r="I157" i="27"/>
  <c r="I158" i="27"/>
  <c r="I159" i="27"/>
  <c r="I160" i="27"/>
  <c r="I161" i="27"/>
  <c r="I162" i="27"/>
  <c r="I163" i="27"/>
  <c r="I164" i="27"/>
  <c r="I165" i="27"/>
  <c r="I166" i="27"/>
  <c r="K155" i="27"/>
  <c r="K156" i="27"/>
  <c r="K157" i="27"/>
  <c r="K158" i="27"/>
  <c r="K159" i="27"/>
  <c r="K160" i="27"/>
  <c r="K161" i="27"/>
  <c r="K162" i="27"/>
  <c r="K163" i="27"/>
  <c r="K164" i="27"/>
  <c r="K165" i="27"/>
  <c r="K166" i="27"/>
  <c r="I151" i="27" l="1"/>
  <c r="I152" i="27"/>
  <c r="I153" i="27"/>
  <c r="I154" i="27"/>
  <c r="K151" i="27"/>
  <c r="K152" i="27"/>
  <c r="K153" i="27"/>
  <c r="K154" i="27"/>
  <c r="T772" i="21"/>
  <c r="T773" i="21"/>
  <c r="T774" i="21"/>
  <c r="T775" i="21"/>
  <c r="T776" i="21"/>
  <c r="T777" i="21"/>
  <c r="T778" i="21"/>
  <c r="T779" i="21"/>
  <c r="T780" i="21"/>
  <c r="T781" i="21"/>
  <c r="T782" i="21"/>
  <c r="T783" i="21"/>
  <c r="T784" i="21"/>
  <c r="T785" i="21"/>
  <c r="T786" i="21"/>
  <c r="T787" i="21"/>
  <c r="T788" i="21"/>
  <c r="T789" i="21"/>
  <c r="T790" i="21"/>
  <c r="T791" i="21"/>
  <c r="T792" i="21"/>
  <c r="T793" i="21"/>
  <c r="T794" i="21"/>
  <c r="T795" i="21"/>
  <c r="T796" i="21"/>
  <c r="T797" i="21"/>
  <c r="T798" i="21"/>
  <c r="T799" i="21"/>
  <c r="T800" i="21"/>
  <c r="T801" i="21"/>
  <c r="T802" i="21"/>
  <c r="T803" i="21"/>
  <c r="T804" i="21"/>
  <c r="T805" i="21"/>
  <c r="T806" i="21"/>
  <c r="T807" i="21"/>
  <c r="T808" i="21"/>
  <c r="T809" i="21"/>
  <c r="T810" i="21"/>
  <c r="T811" i="21"/>
  <c r="T812" i="21"/>
  <c r="T813" i="21"/>
  <c r="T814" i="21"/>
  <c r="T815" i="21"/>
  <c r="T816" i="21"/>
  <c r="T817" i="21"/>
  <c r="T818" i="21"/>
  <c r="T819" i="21"/>
  <c r="U772" i="21"/>
  <c r="U773" i="21"/>
  <c r="U774" i="21"/>
  <c r="U775" i="21"/>
  <c r="U776" i="21"/>
  <c r="U777" i="21"/>
  <c r="U778" i="21"/>
  <c r="U779" i="21"/>
  <c r="U780" i="21"/>
  <c r="U781" i="21"/>
  <c r="U782" i="21"/>
  <c r="U783" i="21"/>
  <c r="U784" i="21"/>
  <c r="U785" i="21"/>
  <c r="U786" i="21"/>
  <c r="U787" i="21"/>
  <c r="U788" i="21"/>
  <c r="U789" i="21"/>
  <c r="U790" i="21"/>
  <c r="U791" i="21"/>
  <c r="U792" i="21"/>
  <c r="U793" i="21"/>
  <c r="U794" i="21"/>
  <c r="U795" i="21"/>
  <c r="U796" i="21"/>
  <c r="U797" i="21"/>
  <c r="U798" i="21"/>
  <c r="U799" i="21"/>
  <c r="U800" i="21"/>
  <c r="U801" i="21"/>
  <c r="U802" i="21"/>
  <c r="U803" i="21"/>
  <c r="U804" i="21"/>
  <c r="U805" i="21"/>
  <c r="U806" i="21"/>
  <c r="U807" i="21"/>
  <c r="U808" i="21"/>
  <c r="U809" i="21"/>
  <c r="U810" i="21"/>
  <c r="U811" i="21"/>
  <c r="U812" i="21"/>
  <c r="U813" i="21"/>
  <c r="U814" i="21"/>
  <c r="U815" i="21"/>
  <c r="U816" i="21"/>
  <c r="U817" i="21"/>
  <c r="U818" i="21"/>
  <c r="U819" i="21"/>
  <c r="AA772" i="21"/>
  <c r="AA773" i="21"/>
  <c r="AA774" i="21"/>
  <c r="AA775" i="21"/>
  <c r="AA776" i="21"/>
  <c r="AA777" i="21"/>
  <c r="AA778" i="21"/>
  <c r="AA779" i="21"/>
  <c r="AA780" i="21"/>
  <c r="AA781" i="21"/>
  <c r="AA782" i="21"/>
  <c r="AA783" i="21"/>
  <c r="AA784" i="21"/>
  <c r="AA785" i="21"/>
  <c r="AA786" i="21"/>
  <c r="AA787" i="21"/>
  <c r="AA788" i="21"/>
  <c r="AA789" i="21"/>
  <c r="AA790" i="21"/>
  <c r="AA791" i="21"/>
  <c r="AA792" i="21"/>
  <c r="AA793" i="21"/>
  <c r="AA794" i="21"/>
  <c r="AA795" i="21"/>
  <c r="AA796" i="21"/>
  <c r="AA797" i="21"/>
  <c r="AA798" i="21"/>
  <c r="AA799" i="21"/>
  <c r="AA800" i="21"/>
  <c r="AA801" i="21"/>
  <c r="AA802" i="21"/>
  <c r="AA803" i="21"/>
  <c r="AA804" i="21"/>
  <c r="AA805" i="21"/>
  <c r="AA806" i="21"/>
  <c r="AA807" i="21"/>
  <c r="AA808" i="21"/>
  <c r="AA809" i="21"/>
  <c r="AA810" i="21"/>
  <c r="AA811" i="21"/>
  <c r="AA812" i="21"/>
  <c r="AA813" i="21"/>
  <c r="AA814" i="21"/>
  <c r="AA815" i="21"/>
  <c r="AA816" i="21"/>
  <c r="AA817" i="21"/>
  <c r="AA818" i="21"/>
  <c r="AA819" i="21"/>
  <c r="I148" i="27" l="1"/>
  <c r="I149" i="27"/>
  <c r="I150" i="27"/>
  <c r="K148" i="27"/>
  <c r="K149" i="27"/>
  <c r="K150" i="27"/>
  <c r="I143" i="27"/>
  <c r="I144" i="27"/>
  <c r="I145" i="27"/>
  <c r="I146" i="27"/>
  <c r="I147" i="27"/>
  <c r="K143" i="27"/>
  <c r="K144" i="27"/>
  <c r="K145" i="27"/>
  <c r="K146" i="27"/>
  <c r="K147" i="27"/>
  <c r="I132" i="27" l="1"/>
  <c r="I133" i="27"/>
  <c r="I134" i="27"/>
  <c r="I135" i="27"/>
  <c r="I136" i="27"/>
  <c r="I137" i="27"/>
  <c r="I138" i="27"/>
  <c r="I139" i="27"/>
  <c r="I140" i="27"/>
  <c r="I141" i="27"/>
  <c r="I142" i="27"/>
  <c r="K132" i="27"/>
  <c r="K133" i="27"/>
  <c r="K134" i="27"/>
  <c r="K135" i="27"/>
  <c r="K136" i="27"/>
  <c r="K137" i="27"/>
  <c r="K138" i="27"/>
  <c r="K139" i="27"/>
  <c r="K140" i="27"/>
  <c r="K141" i="27"/>
  <c r="K142" i="27"/>
  <c r="T764" i="21"/>
  <c r="T765" i="21"/>
  <c r="T766" i="21"/>
  <c r="T767" i="21"/>
  <c r="T768" i="21"/>
  <c r="T769" i="21"/>
  <c r="T770" i="21"/>
  <c r="T771" i="21"/>
  <c r="U764" i="21"/>
  <c r="U765" i="21"/>
  <c r="U766" i="21"/>
  <c r="U767" i="21"/>
  <c r="U768" i="21"/>
  <c r="U769" i="21"/>
  <c r="U770" i="21"/>
  <c r="U771" i="21"/>
  <c r="AA764" i="21"/>
  <c r="AA765" i="21"/>
  <c r="AA766" i="21"/>
  <c r="AA767" i="21"/>
  <c r="AA768" i="21"/>
  <c r="AA769" i="21"/>
  <c r="AA770" i="21"/>
  <c r="AA771" i="21"/>
  <c r="I120" i="27"/>
  <c r="I121" i="27"/>
  <c r="I122" i="27"/>
  <c r="I123" i="27"/>
  <c r="I124" i="27"/>
  <c r="I125" i="27"/>
  <c r="I126" i="27"/>
  <c r="I127" i="27"/>
  <c r="I128" i="27"/>
  <c r="I129" i="27"/>
  <c r="I130" i="27"/>
  <c r="I131" i="27"/>
  <c r="K120" i="27"/>
  <c r="K121" i="27"/>
  <c r="K122" i="27"/>
  <c r="K123" i="27"/>
  <c r="K124" i="27"/>
  <c r="K125" i="27"/>
  <c r="K126" i="27"/>
  <c r="K127" i="27"/>
  <c r="K128" i="27"/>
  <c r="K129" i="27"/>
  <c r="K130" i="27"/>
  <c r="K131" i="27"/>
  <c r="EJ2" i="5"/>
  <c r="R32" i="33"/>
  <c r="P32" i="33" s="1"/>
  <c r="Q32" i="33" s="1"/>
  <c r="AD32" i="33" s="1"/>
  <c r="R33" i="33"/>
  <c r="P33" i="33" s="1"/>
  <c r="Q33" i="33" s="1"/>
  <c r="AA32" i="33" s="1"/>
  <c r="Z33" i="33"/>
  <c r="AA33" i="33"/>
  <c r="AB33" i="33"/>
  <c r="AD33" i="33"/>
  <c r="AE33" i="33"/>
  <c r="T759" i="21"/>
  <c r="T760" i="21"/>
  <c r="T761" i="21"/>
  <c r="T762" i="21"/>
  <c r="T763" i="21"/>
  <c r="U759" i="21"/>
  <c r="U760" i="21"/>
  <c r="U761" i="21"/>
  <c r="U762" i="21"/>
  <c r="U763" i="21"/>
  <c r="AA759" i="21"/>
  <c r="AA760" i="21"/>
  <c r="AA761" i="21"/>
  <c r="AA762" i="21"/>
  <c r="AA763" i="21"/>
  <c r="F229" i="24" l="1"/>
  <c r="F230" i="24"/>
  <c r="F231" i="24"/>
  <c r="F232" i="24"/>
  <c r="F233" i="24"/>
  <c r="F234" i="24"/>
  <c r="F235" i="24"/>
  <c r="F236" i="24"/>
  <c r="F237" i="24"/>
  <c r="F238" i="24"/>
  <c r="F239" i="24"/>
  <c r="F240" i="24"/>
  <c r="F241" i="24"/>
  <c r="F242" i="24"/>
  <c r="F243" i="24"/>
  <c r="F244" i="24"/>
  <c r="F245" i="24"/>
  <c r="F246" i="24"/>
  <c r="F247" i="24"/>
  <c r="F248" i="24"/>
  <c r="F249" i="24"/>
  <c r="F250" i="24"/>
  <c r="F251" i="24"/>
  <c r="F252" i="24"/>
  <c r="F253" i="24"/>
  <c r="F254" i="24"/>
  <c r="F255" i="24"/>
  <c r="F256" i="24"/>
  <c r="F257" i="24"/>
  <c r="F258" i="24"/>
  <c r="F259" i="24"/>
  <c r="F260" i="24"/>
  <c r="F261" i="24"/>
  <c r="F262" i="24"/>
  <c r="F263" i="24"/>
  <c r="F264" i="24"/>
  <c r="F265" i="24"/>
  <c r="F266" i="24"/>
  <c r="F267" i="24"/>
  <c r="F268" i="24"/>
  <c r="F269" i="24"/>
  <c r="F270" i="24"/>
  <c r="F271" i="24"/>
  <c r="F272" i="24"/>
  <c r="F273" i="24"/>
  <c r="F274" i="24"/>
  <c r="F275" i="24"/>
  <c r="F276" i="24"/>
  <c r="F277" i="24"/>
  <c r="F278" i="24"/>
  <c r="F279" i="24"/>
  <c r="F280" i="24"/>
  <c r="F281" i="24"/>
  <c r="F282" i="24"/>
  <c r="F283" i="24"/>
  <c r="F284" i="24"/>
  <c r="F285" i="24"/>
  <c r="F286" i="24"/>
  <c r="F287" i="24"/>
  <c r="F288" i="24"/>
  <c r="F289" i="24"/>
  <c r="F290" i="24"/>
  <c r="F291" i="24"/>
  <c r="F292" i="24"/>
  <c r="F293" i="24"/>
  <c r="F294" i="24"/>
  <c r="F295" i="24"/>
  <c r="F296" i="24"/>
  <c r="F297" i="24"/>
  <c r="F298" i="24"/>
  <c r="F299" i="24"/>
  <c r="F300" i="24"/>
  <c r="F301" i="24"/>
  <c r="F302" i="24"/>
  <c r="F303" i="24"/>
  <c r="F304" i="24"/>
  <c r="F305" i="24"/>
  <c r="F306" i="24"/>
  <c r="F307" i="24"/>
  <c r="F308" i="24"/>
  <c r="F309" i="24"/>
  <c r="F310" i="24"/>
  <c r="F311" i="24"/>
  <c r="F312" i="24"/>
  <c r="F313" i="24"/>
  <c r="F314" i="24"/>
  <c r="F315" i="24"/>
  <c r="F316" i="24"/>
  <c r="F317" i="24"/>
  <c r="F318" i="24"/>
  <c r="F319" i="24"/>
  <c r="F320" i="24"/>
  <c r="F321" i="24"/>
  <c r="F322" i="24"/>
  <c r="F323" i="24"/>
  <c r="F324" i="24"/>
  <c r="F325" i="24"/>
  <c r="F326" i="24"/>
  <c r="F327" i="24"/>
  <c r="F328" i="24"/>
  <c r="F329" i="24"/>
  <c r="F330" i="24"/>
  <c r="F331" i="24"/>
  <c r="F332" i="24"/>
  <c r="F333" i="24"/>
  <c r="F334" i="24"/>
  <c r="F335" i="24"/>
  <c r="F336" i="24"/>
  <c r="F337" i="24"/>
  <c r="F338" i="24"/>
  <c r="F339" i="24"/>
  <c r="F340" i="24"/>
  <c r="F341" i="24"/>
  <c r="F342" i="24"/>
  <c r="F343" i="24"/>
  <c r="F344" i="24"/>
  <c r="I229" i="24"/>
  <c r="I230" i="24"/>
  <c r="I231" i="24"/>
  <c r="I232" i="24"/>
  <c r="I233" i="24"/>
  <c r="I234" i="24"/>
  <c r="I235" i="24"/>
  <c r="I236" i="24"/>
  <c r="I237" i="24"/>
  <c r="I238" i="24"/>
  <c r="I239" i="24"/>
  <c r="I240" i="24"/>
  <c r="I241" i="24"/>
  <c r="I242" i="24"/>
  <c r="I243" i="24"/>
  <c r="I244" i="24"/>
  <c r="I245" i="24"/>
  <c r="I246" i="24"/>
  <c r="I247" i="24"/>
  <c r="I248" i="24"/>
  <c r="I249" i="24"/>
  <c r="I250" i="24"/>
  <c r="I251" i="24"/>
  <c r="I252" i="24"/>
  <c r="I253" i="24"/>
  <c r="I254" i="24"/>
  <c r="I255" i="24"/>
  <c r="I256" i="24"/>
  <c r="I257" i="24"/>
  <c r="I258" i="24"/>
  <c r="I259" i="24"/>
  <c r="I260" i="24"/>
  <c r="I261" i="24"/>
  <c r="I262" i="24"/>
  <c r="I263" i="24"/>
  <c r="I264" i="24"/>
  <c r="I265" i="24"/>
  <c r="I266" i="24"/>
  <c r="I267" i="24"/>
  <c r="I268" i="24"/>
  <c r="I269" i="24"/>
  <c r="I270" i="24"/>
  <c r="I271" i="24"/>
  <c r="I272" i="24"/>
  <c r="I273" i="24"/>
  <c r="I274" i="24"/>
  <c r="I275" i="24"/>
  <c r="I276" i="24"/>
  <c r="I277" i="24"/>
  <c r="I278" i="24"/>
  <c r="I279" i="24"/>
  <c r="I280" i="24"/>
  <c r="I281" i="24"/>
  <c r="I282" i="24"/>
  <c r="I283" i="24"/>
  <c r="I284" i="24"/>
  <c r="I285" i="24"/>
  <c r="I286" i="24"/>
  <c r="I287" i="24"/>
  <c r="I288" i="24"/>
  <c r="I289" i="24"/>
  <c r="I290" i="24"/>
  <c r="I291" i="24"/>
  <c r="I292" i="24"/>
  <c r="I293" i="24"/>
  <c r="I294" i="24"/>
  <c r="I295" i="24"/>
  <c r="I296" i="24"/>
  <c r="I297" i="24"/>
  <c r="I298" i="24"/>
  <c r="I299" i="24"/>
  <c r="I300" i="24"/>
  <c r="I301" i="24"/>
  <c r="I302" i="24"/>
  <c r="I303" i="24"/>
  <c r="I304" i="24"/>
  <c r="I305" i="24"/>
  <c r="I306" i="24"/>
  <c r="I307" i="24"/>
  <c r="I308" i="24"/>
  <c r="I309" i="24"/>
  <c r="I310" i="24"/>
  <c r="I311" i="24"/>
  <c r="I312" i="24"/>
  <c r="I313" i="24"/>
  <c r="I314" i="24"/>
  <c r="I315" i="24"/>
  <c r="I316" i="24"/>
  <c r="I317" i="24"/>
  <c r="I318" i="24"/>
  <c r="I319" i="24"/>
  <c r="I320" i="24"/>
  <c r="I321" i="24"/>
  <c r="I322" i="24"/>
  <c r="I323" i="24"/>
  <c r="I324" i="24"/>
  <c r="I325" i="24"/>
  <c r="I326" i="24"/>
  <c r="I327" i="24"/>
  <c r="I328" i="24"/>
  <c r="I329" i="24"/>
  <c r="I330" i="24"/>
  <c r="I331" i="24"/>
  <c r="I332" i="24"/>
  <c r="I333" i="24"/>
  <c r="I334" i="24"/>
  <c r="I335" i="24"/>
  <c r="I336" i="24"/>
  <c r="I337" i="24"/>
  <c r="I338" i="24"/>
  <c r="I339" i="24"/>
  <c r="I340" i="24"/>
  <c r="I341" i="24"/>
  <c r="I342" i="24"/>
  <c r="I343" i="24"/>
  <c r="I344" i="24"/>
  <c r="J229" i="24"/>
  <c r="J230" i="24"/>
  <c r="J231" i="24"/>
  <c r="J232" i="24"/>
  <c r="J233" i="24"/>
  <c r="J234" i="24"/>
  <c r="J235" i="24"/>
  <c r="J236" i="24"/>
  <c r="J237" i="24"/>
  <c r="J238" i="24"/>
  <c r="J239" i="24"/>
  <c r="J240" i="24"/>
  <c r="J241" i="24"/>
  <c r="J242" i="24"/>
  <c r="J243" i="24"/>
  <c r="J244" i="24"/>
  <c r="J245" i="24"/>
  <c r="J246" i="24"/>
  <c r="J247" i="24"/>
  <c r="J248" i="24"/>
  <c r="J249" i="24"/>
  <c r="J250" i="24"/>
  <c r="J251" i="24"/>
  <c r="J252" i="24"/>
  <c r="J253" i="24"/>
  <c r="J254" i="24"/>
  <c r="J255" i="24"/>
  <c r="J256" i="24"/>
  <c r="J257" i="24"/>
  <c r="J258" i="24"/>
  <c r="J259" i="24"/>
  <c r="J260" i="24"/>
  <c r="J261" i="24"/>
  <c r="J262" i="24"/>
  <c r="J263" i="24"/>
  <c r="J264" i="24"/>
  <c r="J265" i="24"/>
  <c r="J266" i="24"/>
  <c r="J267" i="24"/>
  <c r="J268" i="24"/>
  <c r="J269" i="24"/>
  <c r="J270" i="24"/>
  <c r="J271" i="24"/>
  <c r="J272" i="24"/>
  <c r="J273" i="24"/>
  <c r="J274" i="24"/>
  <c r="J275" i="24"/>
  <c r="J276" i="24"/>
  <c r="J277" i="24"/>
  <c r="J278" i="24"/>
  <c r="J279" i="24"/>
  <c r="J280" i="24"/>
  <c r="J281" i="24"/>
  <c r="J282" i="24"/>
  <c r="J283" i="24"/>
  <c r="J284" i="24"/>
  <c r="J285" i="24"/>
  <c r="J286" i="24"/>
  <c r="J287" i="24"/>
  <c r="J288" i="24"/>
  <c r="J289" i="24"/>
  <c r="J290" i="24"/>
  <c r="J291" i="24"/>
  <c r="J292" i="24"/>
  <c r="J293" i="24"/>
  <c r="J294" i="24"/>
  <c r="J295" i="24"/>
  <c r="J296" i="24"/>
  <c r="J297" i="24"/>
  <c r="J298" i="24"/>
  <c r="J299" i="24"/>
  <c r="J300" i="24"/>
  <c r="J301" i="24"/>
  <c r="J302" i="24"/>
  <c r="J303" i="24"/>
  <c r="J304" i="24"/>
  <c r="J305" i="24"/>
  <c r="J306" i="24"/>
  <c r="J307" i="24"/>
  <c r="J308" i="24"/>
  <c r="J309" i="24"/>
  <c r="J310" i="24"/>
  <c r="J311" i="24"/>
  <c r="J312" i="24"/>
  <c r="J313" i="24"/>
  <c r="J314" i="24"/>
  <c r="J315" i="24"/>
  <c r="J316" i="24"/>
  <c r="J317" i="24"/>
  <c r="J318" i="24"/>
  <c r="J319" i="24"/>
  <c r="J320" i="24"/>
  <c r="J321" i="24"/>
  <c r="J322" i="24"/>
  <c r="J323" i="24"/>
  <c r="J324" i="24"/>
  <c r="J325" i="24"/>
  <c r="J326" i="24"/>
  <c r="J327" i="24"/>
  <c r="J328" i="24"/>
  <c r="J329" i="24"/>
  <c r="J330" i="24"/>
  <c r="J331" i="24"/>
  <c r="J332" i="24"/>
  <c r="J333" i="24"/>
  <c r="J334" i="24"/>
  <c r="J335" i="24"/>
  <c r="J336" i="24"/>
  <c r="J337" i="24"/>
  <c r="J338" i="24"/>
  <c r="J339" i="24"/>
  <c r="J340" i="24"/>
  <c r="J341" i="24"/>
  <c r="J342" i="24"/>
  <c r="J343" i="24"/>
  <c r="J344" i="24"/>
  <c r="F257" i="25"/>
  <c r="F258" i="25"/>
  <c r="F259" i="25"/>
  <c r="F260" i="25"/>
  <c r="F261" i="25"/>
  <c r="F262" i="25"/>
  <c r="F263" i="25"/>
  <c r="F264" i="25"/>
  <c r="F265" i="25"/>
  <c r="F266" i="25"/>
  <c r="F267" i="25"/>
  <c r="F268" i="25"/>
  <c r="F269" i="25"/>
  <c r="F270" i="25"/>
  <c r="F271" i="25"/>
  <c r="F272" i="25"/>
  <c r="F273" i="25"/>
  <c r="F274" i="25"/>
  <c r="F275" i="25"/>
  <c r="F276" i="25"/>
  <c r="F277" i="25"/>
  <c r="F278" i="25"/>
  <c r="F279" i="25"/>
  <c r="F280" i="25"/>
  <c r="F281" i="25"/>
  <c r="F282" i="25"/>
  <c r="F283" i="25"/>
  <c r="F284" i="25"/>
  <c r="F285" i="25"/>
  <c r="F286" i="25"/>
  <c r="F287" i="25"/>
  <c r="F288" i="25"/>
  <c r="F289" i="25"/>
  <c r="F290" i="25"/>
  <c r="F291" i="25"/>
  <c r="F292" i="25"/>
  <c r="F293" i="25"/>
  <c r="F294" i="25"/>
  <c r="F295" i="25"/>
  <c r="F296" i="25"/>
  <c r="F297" i="25"/>
  <c r="F298" i="25"/>
  <c r="F299" i="25"/>
  <c r="F300" i="25"/>
  <c r="F301" i="25"/>
  <c r="F302" i="25"/>
  <c r="F303" i="25"/>
  <c r="F304" i="25"/>
  <c r="F305" i="25"/>
  <c r="F306" i="25"/>
  <c r="F307" i="25"/>
  <c r="F308" i="25"/>
  <c r="F309" i="25"/>
  <c r="F310" i="25"/>
  <c r="F311" i="25"/>
  <c r="F312" i="25"/>
  <c r="F313" i="25"/>
  <c r="F314" i="25"/>
  <c r="F315" i="25"/>
  <c r="F316" i="25"/>
  <c r="F317" i="25"/>
  <c r="F318" i="25"/>
  <c r="F319" i="25"/>
  <c r="F320" i="25"/>
  <c r="F321" i="25"/>
  <c r="F322" i="25"/>
  <c r="F323" i="25"/>
  <c r="F324" i="25"/>
  <c r="F325" i="25"/>
  <c r="F326" i="25"/>
  <c r="F327" i="25"/>
  <c r="F328" i="25"/>
  <c r="F329" i="25"/>
  <c r="F330" i="25"/>
  <c r="F331" i="25"/>
  <c r="F332" i="25"/>
  <c r="F333" i="25"/>
  <c r="F334" i="25"/>
  <c r="F335" i="25"/>
  <c r="F336" i="25"/>
  <c r="F337" i="25"/>
  <c r="F338" i="25"/>
  <c r="F339" i="25"/>
  <c r="F340" i="25"/>
  <c r="F341" i="25"/>
  <c r="F342" i="25"/>
  <c r="F343" i="25"/>
  <c r="F344" i="25"/>
  <c r="F345" i="25"/>
  <c r="F346" i="25"/>
  <c r="F347" i="25"/>
  <c r="F348" i="25"/>
  <c r="F349" i="25"/>
  <c r="F350" i="25"/>
  <c r="F351" i="25"/>
  <c r="F352" i="25"/>
  <c r="F353" i="25"/>
  <c r="F238" i="25"/>
  <c r="F239" i="25"/>
  <c r="F240" i="25"/>
  <c r="F241" i="25"/>
  <c r="F242" i="25"/>
  <c r="F243" i="25"/>
  <c r="F244" i="25"/>
  <c r="F245" i="25"/>
  <c r="F246" i="25"/>
  <c r="F247" i="25"/>
  <c r="F248" i="25"/>
  <c r="F249" i="25"/>
  <c r="F250" i="25"/>
  <c r="F251" i="25"/>
  <c r="F252" i="25"/>
  <c r="F253" i="25"/>
  <c r="F254" i="25"/>
  <c r="F255" i="25"/>
  <c r="F256" i="25"/>
  <c r="I257" i="25"/>
  <c r="I258" i="25"/>
  <c r="I259" i="25"/>
  <c r="I260" i="25"/>
  <c r="I261" i="25"/>
  <c r="I262" i="25"/>
  <c r="I263" i="25"/>
  <c r="I264" i="25"/>
  <c r="I265" i="25"/>
  <c r="I266" i="25"/>
  <c r="I267" i="25"/>
  <c r="I268" i="25"/>
  <c r="I269" i="25"/>
  <c r="I270" i="25"/>
  <c r="I271" i="25"/>
  <c r="I272" i="25"/>
  <c r="I273" i="25"/>
  <c r="I274" i="25"/>
  <c r="I275" i="25"/>
  <c r="I276" i="25"/>
  <c r="I277" i="25"/>
  <c r="I278" i="25"/>
  <c r="I279" i="25"/>
  <c r="I280" i="25"/>
  <c r="I281" i="25"/>
  <c r="I282" i="25"/>
  <c r="I283" i="25"/>
  <c r="I284" i="25"/>
  <c r="I285" i="25"/>
  <c r="I286" i="25"/>
  <c r="I287" i="25"/>
  <c r="I288" i="25"/>
  <c r="I289" i="25"/>
  <c r="I290" i="25"/>
  <c r="I291" i="25"/>
  <c r="I292" i="25"/>
  <c r="I293" i="25"/>
  <c r="I294" i="25"/>
  <c r="I295" i="25"/>
  <c r="I296" i="25"/>
  <c r="I297" i="25"/>
  <c r="I298" i="25"/>
  <c r="I299" i="25"/>
  <c r="I300" i="25"/>
  <c r="I301" i="25"/>
  <c r="I302" i="25"/>
  <c r="I303" i="25"/>
  <c r="I304" i="25"/>
  <c r="I305" i="25"/>
  <c r="I306" i="25"/>
  <c r="I307" i="25"/>
  <c r="I308" i="25"/>
  <c r="I309" i="25"/>
  <c r="I310" i="25"/>
  <c r="I311" i="25"/>
  <c r="I312" i="25"/>
  <c r="I313" i="25"/>
  <c r="I314" i="25"/>
  <c r="I315" i="25"/>
  <c r="I316" i="25"/>
  <c r="I317" i="25"/>
  <c r="I318" i="25"/>
  <c r="I319" i="25"/>
  <c r="I320" i="25"/>
  <c r="I321" i="25"/>
  <c r="I322" i="25"/>
  <c r="I323" i="25"/>
  <c r="I324" i="25"/>
  <c r="I325" i="25"/>
  <c r="I326" i="25"/>
  <c r="I327" i="25"/>
  <c r="I328" i="25"/>
  <c r="I329" i="25"/>
  <c r="I330" i="25"/>
  <c r="I331" i="25"/>
  <c r="I332" i="25"/>
  <c r="I333" i="25"/>
  <c r="I334" i="25"/>
  <c r="I335" i="25"/>
  <c r="I336" i="25"/>
  <c r="I337" i="25"/>
  <c r="I338" i="25"/>
  <c r="I339" i="25"/>
  <c r="I340" i="25"/>
  <c r="I341" i="25"/>
  <c r="I342" i="25"/>
  <c r="I343" i="25"/>
  <c r="I344" i="25"/>
  <c r="I345" i="25"/>
  <c r="I346" i="25"/>
  <c r="I347" i="25"/>
  <c r="I348" i="25"/>
  <c r="I349" i="25"/>
  <c r="I350" i="25"/>
  <c r="I351" i="25"/>
  <c r="I352" i="25"/>
  <c r="I353" i="25"/>
  <c r="J257" i="25"/>
  <c r="J258" i="25"/>
  <c r="J259" i="25"/>
  <c r="J260" i="25"/>
  <c r="J261" i="25"/>
  <c r="J262" i="25"/>
  <c r="J263" i="25"/>
  <c r="J264" i="25"/>
  <c r="J265" i="25"/>
  <c r="J266" i="25"/>
  <c r="J267" i="25"/>
  <c r="J268" i="25"/>
  <c r="J269" i="25"/>
  <c r="J270" i="25"/>
  <c r="J271" i="25"/>
  <c r="J272" i="25"/>
  <c r="J273" i="25"/>
  <c r="J274" i="25"/>
  <c r="J275" i="25"/>
  <c r="J276" i="25"/>
  <c r="J277" i="25"/>
  <c r="J278" i="25"/>
  <c r="J279" i="25"/>
  <c r="J280" i="25"/>
  <c r="J281" i="25"/>
  <c r="J282" i="25"/>
  <c r="J283" i="25"/>
  <c r="J284" i="25"/>
  <c r="J285" i="25"/>
  <c r="J286" i="25"/>
  <c r="J287" i="25"/>
  <c r="J288" i="25"/>
  <c r="J289" i="25"/>
  <c r="J290" i="25"/>
  <c r="J291" i="25"/>
  <c r="J292" i="25"/>
  <c r="J293" i="25"/>
  <c r="J294" i="25"/>
  <c r="J295" i="25"/>
  <c r="J296" i="25"/>
  <c r="J297" i="25"/>
  <c r="J298" i="25"/>
  <c r="J299" i="25"/>
  <c r="J300" i="25"/>
  <c r="J301" i="25"/>
  <c r="J302" i="25"/>
  <c r="J303" i="25"/>
  <c r="J304" i="25"/>
  <c r="J305" i="25"/>
  <c r="J306" i="25"/>
  <c r="J307" i="25"/>
  <c r="J308" i="25"/>
  <c r="J309" i="25"/>
  <c r="J310" i="25"/>
  <c r="J311" i="25"/>
  <c r="J312" i="25"/>
  <c r="J313" i="25"/>
  <c r="J314" i="25"/>
  <c r="J315" i="25"/>
  <c r="J316" i="25"/>
  <c r="J317" i="25"/>
  <c r="J318" i="25"/>
  <c r="J319" i="25"/>
  <c r="J320" i="25"/>
  <c r="J321" i="25"/>
  <c r="J322" i="25"/>
  <c r="J323" i="25"/>
  <c r="J324" i="25"/>
  <c r="J325" i="25"/>
  <c r="J326" i="25"/>
  <c r="J327" i="25"/>
  <c r="J328" i="25"/>
  <c r="J329" i="25"/>
  <c r="J330" i="25"/>
  <c r="J331" i="25"/>
  <c r="J332" i="25"/>
  <c r="J333" i="25"/>
  <c r="J334" i="25"/>
  <c r="J335" i="25"/>
  <c r="J336" i="25"/>
  <c r="J337" i="25"/>
  <c r="J338" i="25"/>
  <c r="J339" i="25"/>
  <c r="J340" i="25"/>
  <c r="J341" i="25"/>
  <c r="J342" i="25"/>
  <c r="J343" i="25"/>
  <c r="J344" i="25"/>
  <c r="J345" i="25"/>
  <c r="J346" i="25"/>
  <c r="J347" i="25"/>
  <c r="J348" i="25"/>
  <c r="J349" i="25"/>
  <c r="J350" i="25"/>
  <c r="J351" i="25"/>
  <c r="J352" i="25"/>
  <c r="J353" i="25"/>
  <c r="I112" i="27" l="1"/>
  <c r="I113" i="27"/>
  <c r="I114" i="27"/>
  <c r="I115" i="27"/>
  <c r="I116" i="27"/>
  <c r="I117" i="27"/>
  <c r="I118" i="27"/>
  <c r="I119" i="27"/>
  <c r="K112" i="27"/>
  <c r="K113" i="27"/>
  <c r="K114" i="27"/>
  <c r="K115" i="27"/>
  <c r="K116" i="27"/>
  <c r="K117" i="27"/>
  <c r="K118" i="27"/>
  <c r="K119" i="27"/>
  <c r="T751" i="21"/>
  <c r="T752" i="21"/>
  <c r="T753" i="21"/>
  <c r="T754" i="21"/>
  <c r="T755" i="21"/>
  <c r="T756" i="21"/>
  <c r="T757" i="21"/>
  <c r="T758" i="21"/>
  <c r="U751" i="21"/>
  <c r="U752" i="21"/>
  <c r="U753" i="21"/>
  <c r="U754" i="21"/>
  <c r="U755" i="21"/>
  <c r="U756" i="21"/>
  <c r="U757" i="21"/>
  <c r="U758" i="21"/>
  <c r="AA751" i="21"/>
  <c r="AA752" i="21"/>
  <c r="AA753" i="21"/>
  <c r="AA754" i="21"/>
  <c r="AA755" i="21"/>
  <c r="AA756" i="21"/>
  <c r="AA757" i="21"/>
  <c r="AA758" i="21"/>
  <c r="I107" i="27"/>
  <c r="I108" i="27"/>
  <c r="I109" i="27"/>
  <c r="I110" i="27"/>
  <c r="I111" i="27"/>
  <c r="K107" i="27"/>
  <c r="K108" i="27"/>
  <c r="K109" i="27"/>
  <c r="K110" i="27"/>
  <c r="K111" i="27"/>
  <c r="T734" i="21"/>
  <c r="T735" i="21"/>
  <c r="T736" i="21"/>
  <c r="T737" i="21"/>
  <c r="T738" i="21"/>
  <c r="T739" i="21"/>
  <c r="T740" i="21"/>
  <c r="T741" i="21"/>
  <c r="T742" i="21"/>
  <c r="T743" i="21"/>
  <c r="T744" i="21"/>
  <c r="T745" i="21"/>
  <c r="T746" i="21"/>
  <c r="T747" i="21"/>
  <c r="T748" i="21"/>
  <c r="T749" i="21"/>
  <c r="T750" i="21"/>
  <c r="U734" i="21"/>
  <c r="U735" i="21"/>
  <c r="U736" i="21"/>
  <c r="U737" i="21"/>
  <c r="U738" i="21"/>
  <c r="U739" i="21"/>
  <c r="U740" i="21"/>
  <c r="U741" i="21"/>
  <c r="U742" i="21"/>
  <c r="U743" i="21"/>
  <c r="U744" i="21"/>
  <c r="U745" i="21"/>
  <c r="U746" i="21"/>
  <c r="U747" i="21"/>
  <c r="U748" i="21"/>
  <c r="U749" i="21"/>
  <c r="U750" i="21"/>
  <c r="AA734" i="21"/>
  <c r="AA735" i="21"/>
  <c r="AA736" i="21"/>
  <c r="AA737" i="21"/>
  <c r="AA738" i="21"/>
  <c r="AA739" i="21"/>
  <c r="AA740" i="21"/>
  <c r="AA741" i="21"/>
  <c r="AA742" i="21"/>
  <c r="AA743" i="21"/>
  <c r="AA744" i="21"/>
  <c r="AA745" i="21"/>
  <c r="AA746" i="21"/>
  <c r="AA747" i="21"/>
  <c r="AA748" i="21"/>
  <c r="AA749" i="21"/>
  <c r="AA750" i="21"/>
  <c r="I101" i="27"/>
  <c r="I102" i="27"/>
  <c r="I103" i="27"/>
  <c r="I104" i="27"/>
  <c r="I105" i="27"/>
  <c r="I106" i="27"/>
  <c r="K101" i="27"/>
  <c r="K102" i="27"/>
  <c r="K103" i="27"/>
  <c r="K104" i="27"/>
  <c r="K105" i="27"/>
  <c r="K106" i="27"/>
  <c r="I95" i="27" l="1"/>
  <c r="I96" i="27"/>
  <c r="I97" i="27"/>
  <c r="I98" i="27"/>
  <c r="I99" i="27"/>
  <c r="I100" i="27"/>
  <c r="K95" i="27"/>
  <c r="K96" i="27"/>
  <c r="K97" i="27"/>
  <c r="K98" i="27"/>
  <c r="K99" i="27"/>
  <c r="K100" i="27"/>
  <c r="T723" i="21"/>
  <c r="T724" i="21"/>
  <c r="T725" i="21"/>
  <c r="T726" i="21"/>
  <c r="T727" i="21"/>
  <c r="T728" i="21"/>
  <c r="T729" i="21"/>
  <c r="T730" i="21"/>
  <c r="T731" i="21"/>
  <c r="T732" i="21"/>
  <c r="T733" i="21"/>
  <c r="U723" i="21"/>
  <c r="U724" i="21"/>
  <c r="U725" i="21"/>
  <c r="U726" i="21"/>
  <c r="U727" i="21"/>
  <c r="U728" i="21"/>
  <c r="U729" i="21"/>
  <c r="U730" i="21"/>
  <c r="U731" i="21"/>
  <c r="U732" i="21"/>
  <c r="U733" i="21"/>
  <c r="AA723" i="21"/>
  <c r="AA724" i="21"/>
  <c r="AA725" i="21"/>
  <c r="AA726" i="21"/>
  <c r="AA727" i="21"/>
  <c r="AA728" i="21"/>
  <c r="AA729" i="21"/>
  <c r="AA730" i="21"/>
  <c r="AA731" i="21"/>
  <c r="AA732" i="21"/>
  <c r="AA733" i="21"/>
  <c r="I89" i="27" l="1"/>
  <c r="I90" i="27"/>
  <c r="I91" i="27"/>
  <c r="I92" i="27"/>
  <c r="I93" i="27"/>
  <c r="I94" i="27"/>
  <c r="K89" i="27"/>
  <c r="K90" i="27"/>
  <c r="K91" i="27"/>
  <c r="K92" i="27"/>
  <c r="K93" i="27"/>
  <c r="K94" i="27"/>
  <c r="AA4" i="5"/>
  <c r="AA1" i="5" s="1"/>
  <c r="AA5" i="5"/>
  <c r="AA6" i="5"/>
  <c r="AA7" i="5"/>
  <c r="AA8" i="5"/>
  <c r="AA9" i="5"/>
  <c r="AA10" i="5"/>
  <c r="AA11" i="5"/>
  <c r="AA12" i="5"/>
  <c r="AA13" i="5"/>
  <c r="AA14" i="5"/>
  <c r="AA15" i="5"/>
  <c r="AA16" i="5"/>
  <c r="AA17" i="5"/>
  <c r="AA18" i="5"/>
  <c r="AA19" i="5"/>
  <c r="AA20" i="5"/>
  <c r="AA21" i="5"/>
  <c r="AA22" i="5"/>
  <c r="AA23" i="5"/>
  <c r="AA24" i="5"/>
  <c r="AA25" i="5"/>
  <c r="AA26" i="5"/>
  <c r="AA27" i="5"/>
  <c r="AA28" i="5"/>
  <c r="AA29" i="5"/>
  <c r="AA30" i="5"/>
  <c r="AA31" i="5"/>
  <c r="AA32" i="5"/>
  <c r="AA33" i="5"/>
  <c r="AA34" i="5"/>
  <c r="AA3" i="5"/>
  <c r="I78" i="27" l="1"/>
  <c r="K78" i="27"/>
  <c r="I79" i="27"/>
  <c r="I80" i="27"/>
  <c r="I81" i="27"/>
  <c r="I82" i="27"/>
  <c r="I83" i="27"/>
  <c r="I84" i="27"/>
  <c r="I85" i="27"/>
  <c r="I86" i="27"/>
  <c r="I87" i="27"/>
  <c r="I88" i="27"/>
  <c r="K79" i="27"/>
  <c r="K80" i="27"/>
  <c r="K81" i="27"/>
  <c r="K82" i="27"/>
  <c r="K83" i="27"/>
  <c r="K84" i="27"/>
  <c r="K85" i="27"/>
  <c r="K86" i="27"/>
  <c r="K87" i="27"/>
  <c r="K88" i="27"/>
  <c r="T721" i="21"/>
  <c r="T722" i="21"/>
  <c r="U721" i="21"/>
  <c r="U722" i="21"/>
  <c r="AA721" i="21"/>
  <c r="AA722" i="21"/>
  <c r="K77" i="27"/>
  <c r="I77" i="27"/>
  <c r="K76" i="27"/>
  <c r="I76" i="27"/>
  <c r="T720" i="21"/>
  <c r="U720" i="21"/>
  <c r="AA720" i="21"/>
  <c r="I67" i="27"/>
  <c r="I68" i="27"/>
  <c r="I69" i="27"/>
  <c r="I70" i="27"/>
  <c r="I71" i="27"/>
  <c r="I72" i="27"/>
  <c r="I73" i="27"/>
  <c r="I74" i="27"/>
  <c r="I75" i="27"/>
  <c r="K67" i="27"/>
  <c r="K68" i="27"/>
  <c r="K69" i="27"/>
  <c r="K70" i="27"/>
  <c r="K71" i="27"/>
  <c r="K72" i="27"/>
  <c r="K73" i="27"/>
  <c r="K74" i="27"/>
  <c r="K75" i="27"/>
  <c r="K66" i="27"/>
  <c r="I66" i="27"/>
  <c r="K65" i="27"/>
  <c r="I65" i="27"/>
  <c r="K64" i="27"/>
  <c r="I64" i="27"/>
  <c r="K63" i="27"/>
  <c r="I63" i="27"/>
  <c r="K62" i="27"/>
  <c r="I62" i="27"/>
  <c r="K61" i="27"/>
  <c r="I61" i="27"/>
  <c r="K60" i="27"/>
  <c r="I60" i="27"/>
  <c r="K59" i="27"/>
  <c r="I59" i="27"/>
  <c r="K58" i="27"/>
  <c r="I58" i="27"/>
  <c r="K57" i="27"/>
  <c r="I57" i="27"/>
  <c r="K56" i="27"/>
  <c r="I56" i="27"/>
  <c r="K55" i="27"/>
  <c r="I55" i="27"/>
  <c r="K54" i="27"/>
  <c r="I54" i="27"/>
  <c r="K53" i="27"/>
  <c r="I53" i="27"/>
  <c r="K52" i="27"/>
  <c r="I52" i="27"/>
  <c r="K51" i="27"/>
  <c r="I51" i="27"/>
  <c r="K50" i="27"/>
  <c r="I50" i="27"/>
  <c r="K49" i="27"/>
  <c r="I49" i="27"/>
  <c r="K48" i="27"/>
  <c r="I48" i="27"/>
  <c r="K47" i="27"/>
  <c r="I47" i="27"/>
  <c r="K46" i="27"/>
  <c r="I46" i="27"/>
  <c r="T708" i="21"/>
  <c r="T709" i="21"/>
  <c r="T710" i="21"/>
  <c r="T711" i="21"/>
  <c r="T712" i="21"/>
  <c r="T713" i="21"/>
  <c r="T714" i="21"/>
  <c r="T715" i="21"/>
  <c r="T716" i="21"/>
  <c r="T717" i="21"/>
  <c r="T718" i="21"/>
  <c r="T719" i="21"/>
  <c r="U708" i="21"/>
  <c r="U709" i="21"/>
  <c r="U710" i="21"/>
  <c r="U711" i="21"/>
  <c r="U712" i="21"/>
  <c r="U713" i="21"/>
  <c r="U714" i="21"/>
  <c r="U715" i="21"/>
  <c r="U716" i="21"/>
  <c r="U717" i="21"/>
  <c r="U718" i="21"/>
  <c r="U719" i="21"/>
  <c r="AA708" i="21"/>
  <c r="AA709" i="21"/>
  <c r="AA710" i="21"/>
  <c r="AA711" i="21"/>
  <c r="AA712" i="21"/>
  <c r="AA713" i="21"/>
  <c r="AA714" i="21"/>
  <c r="AA715" i="21"/>
  <c r="AA716" i="21"/>
  <c r="AA717" i="21"/>
  <c r="AA718" i="21"/>
  <c r="AA719" i="21"/>
  <c r="J4" i="27" l="1"/>
  <c r="J5" i="27"/>
  <c r="I4" i="27"/>
  <c r="I5" i="27"/>
  <c r="I6" i="27"/>
  <c r="I7" i="27"/>
  <c r="I8" i="27"/>
  <c r="I9"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DX2" i="5"/>
  <c r="J201" i="27" l="1"/>
  <c r="J209" i="27"/>
  <c r="J214" i="27"/>
  <c r="J22" i="27"/>
  <c r="J38" i="27"/>
  <c r="J66" i="27"/>
  <c r="J94" i="27"/>
  <c r="J106" i="27"/>
  <c r="J142" i="27"/>
  <c r="J150" i="27"/>
  <c r="J154" i="27"/>
  <c r="J166" i="27"/>
  <c r="J190" i="27"/>
  <c r="J194" i="27"/>
  <c r="J45" i="27"/>
  <c r="J181" i="27"/>
  <c r="J59" i="27"/>
  <c r="J111" i="27"/>
  <c r="J119" i="27"/>
  <c r="J131" i="27"/>
  <c r="J77" i="27"/>
  <c r="J52" i="27"/>
  <c r="J88" i="27"/>
  <c r="J100" i="27"/>
  <c r="AA5" i="21"/>
  <c r="AA6" i="21"/>
  <c r="AA7" i="21"/>
  <c r="AA8" i="21"/>
  <c r="AA9" i="21"/>
  <c r="AA10" i="21"/>
  <c r="AA11" i="21"/>
  <c r="AA12" i="21"/>
  <c r="AA13" i="21"/>
  <c r="AA14" i="21"/>
  <c r="AA15" i="21"/>
  <c r="AA16" i="21"/>
  <c r="AA17" i="21"/>
  <c r="AA18" i="21"/>
  <c r="AA19" i="21"/>
  <c r="AA20" i="21"/>
  <c r="AA21" i="21"/>
  <c r="AA22" i="21"/>
  <c r="AA23" i="21"/>
  <c r="AA24" i="21"/>
  <c r="AA25" i="21"/>
  <c r="AA26" i="21"/>
  <c r="AA27" i="21"/>
  <c r="AA28" i="21"/>
  <c r="AA29" i="21"/>
  <c r="AA30" i="21"/>
  <c r="AA31" i="21"/>
  <c r="AA32" i="21"/>
  <c r="AA33" i="21"/>
  <c r="AA34" i="21"/>
  <c r="AA35" i="21"/>
  <c r="AA36" i="21"/>
  <c r="AA37" i="21"/>
  <c r="AA38" i="21"/>
  <c r="AA39" i="21"/>
  <c r="AA40" i="21"/>
  <c r="AA41" i="21"/>
  <c r="AA42" i="21"/>
  <c r="AA43" i="21"/>
  <c r="AA44" i="21"/>
  <c r="AA45" i="21"/>
  <c r="AA46" i="21"/>
  <c r="AA47" i="21"/>
  <c r="AA48" i="21"/>
  <c r="AA49" i="21"/>
  <c r="AA50" i="21"/>
  <c r="AA51" i="21"/>
  <c r="AA52" i="21"/>
  <c r="AA53" i="21"/>
  <c r="AA54" i="21"/>
  <c r="AA55" i="21"/>
  <c r="AA56" i="21"/>
  <c r="AA57" i="21"/>
  <c r="AA58" i="21"/>
  <c r="AA59" i="21"/>
  <c r="AA60" i="21"/>
  <c r="AA61" i="21"/>
  <c r="AA62" i="21"/>
  <c r="AA63" i="21"/>
  <c r="AA64" i="21"/>
  <c r="AA65" i="21"/>
  <c r="AA66" i="21"/>
  <c r="AA67" i="21"/>
  <c r="AA68" i="21"/>
  <c r="AA69" i="21"/>
  <c r="AA70" i="21"/>
  <c r="AA71" i="21"/>
  <c r="AA72" i="21"/>
  <c r="AA73" i="21"/>
  <c r="AA74" i="21"/>
  <c r="AA75" i="21"/>
  <c r="AA76" i="21"/>
  <c r="AA77" i="21"/>
  <c r="AA78" i="21"/>
  <c r="AA79" i="21"/>
  <c r="AA80" i="21"/>
  <c r="AA81" i="21"/>
  <c r="AA82" i="21"/>
  <c r="AA83" i="21"/>
  <c r="AA84" i="21"/>
  <c r="AA85" i="21"/>
  <c r="AA86" i="21"/>
  <c r="AA87" i="21"/>
  <c r="AA88" i="21"/>
  <c r="AA89" i="21"/>
  <c r="AA90" i="21"/>
  <c r="AA91" i="21"/>
  <c r="AA92" i="21"/>
  <c r="AA93" i="21"/>
  <c r="AA94" i="21"/>
  <c r="AA95" i="21"/>
  <c r="AA96" i="21"/>
  <c r="AA97" i="21"/>
  <c r="AA98" i="21"/>
  <c r="AA99" i="21"/>
  <c r="AA100" i="21"/>
  <c r="AA101" i="21"/>
  <c r="AA102" i="21"/>
  <c r="AA103" i="21"/>
  <c r="AA104" i="21"/>
  <c r="AA105" i="21"/>
  <c r="AA106" i="21"/>
  <c r="AA107" i="21"/>
  <c r="AA108" i="21"/>
  <c r="AA109" i="21"/>
  <c r="AA110" i="21"/>
  <c r="AA111" i="21"/>
  <c r="AA112" i="21"/>
  <c r="AA113" i="21"/>
  <c r="AA114" i="21"/>
  <c r="AA115" i="21"/>
  <c r="AA116" i="21"/>
  <c r="AA117" i="21"/>
  <c r="AA118" i="21"/>
  <c r="AA119" i="21"/>
  <c r="AA120" i="21"/>
  <c r="AA121" i="21"/>
  <c r="AA122" i="21"/>
  <c r="AA123" i="21"/>
  <c r="AA124" i="21"/>
  <c r="AA125" i="21"/>
  <c r="AA126" i="21"/>
  <c r="AA127" i="21"/>
  <c r="AA128" i="21"/>
  <c r="AA129" i="21"/>
  <c r="AA130" i="21"/>
  <c r="AA131" i="21"/>
  <c r="AA132" i="21"/>
  <c r="AA133" i="21"/>
  <c r="AA134" i="21"/>
  <c r="AA135" i="21"/>
  <c r="AA136" i="21"/>
  <c r="AA137" i="21"/>
  <c r="AA138" i="21"/>
  <c r="AA139" i="21"/>
  <c r="AA140" i="21"/>
  <c r="AA141" i="21"/>
  <c r="AA142" i="21"/>
  <c r="AA143" i="21"/>
  <c r="AA144" i="21"/>
  <c r="AA145" i="21"/>
  <c r="AA146" i="21"/>
  <c r="AA147" i="21"/>
  <c r="AA148" i="21"/>
  <c r="AA149" i="21"/>
  <c r="AA150" i="21"/>
  <c r="AA151" i="21"/>
  <c r="AA152" i="21"/>
  <c r="AA153" i="21"/>
  <c r="AA154" i="21"/>
  <c r="AA155" i="21"/>
  <c r="AA156" i="21"/>
  <c r="AA157" i="21"/>
  <c r="AA158" i="21"/>
  <c r="AA159" i="21"/>
  <c r="AA160" i="21"/>
  <c r="AA161" i="21"/>
  <c r="AA162" i="21"/>
  <c r="AA163" i="21"/>
  <c r="AA164" i="21"/>
  <c r="AA165" i="21"/>
  <c r="AA166" i="21"/>
  <c r="AA167" i="21"/>
  <c r="AA168" i="21"/>
  <c r="AA169" i="21"/>
  <c r="AA170" i="21"/>
  <c r="AA171" i="21"/>
  <c r="AA172" i="21"/>
  <c r="AA173" i="21"/>
  <c r="AA174" i="21"/>
  <c r="AA175" i="21"/>
  <c r="AA176" i="21"/>
  <c r="AA177" i="21"/>
  <c r="AA178" i="21"/>
  <c r="AA179" i="21"/>
  <c r="AA180" i="21"/>
  <c r="AA181" i="21"/>
  <c r="AA182" i="21"/>
  <c r="AA183" i="21"/>
  <c r="AA184" i="21"/>
  <c r="AA185" i="21"/>
  <c r="AA186" i="21"/>
  <c r="AA187" i="21"/>
  <c r="AA188" i="21"/>
  <c r="AA189" i="21"/>
  <c r="AA190" i="21"/>
  <c r="AA191" i="21"/>
  <c r="AA192" i="21"/>
  <c r="AA193" i="21"/>
  <c r="AA194" i="21"/>
  <c r="AA195" i="21"/>
  <c r="AA196" i="21"/>
  <c r="AA197" i="21"/>
  <c r="AA198" i="21"/>
  <c r="AA199" i="21"/>
  <c r="AA200" i="21"/>
  <c r="AA201" i="21"/>
  <c r="AA202" i="21"/>
  <c r="AA203" i="21"/>
  <c r="AA204" i="21"/>
  <c r="AA205" i="21"/>
  <c r="AA206" i="21"/>
  <c r="AA207" i="21"/>
  <c r="AA208" i="21"/>
  <c r="AA209" i="21"/>
  <c r="AA210" i="21"/>
  <c r="AA211" i="21"/>
  <c r="AA212" i="21"/>
  <c r="AA213" i="21"/>
  <c r="AA214" i="21"/>
  <c r="AA215" i="21"/>
  <c r="AA216" i="21"/>
  <c r="AA217" i="21"/>
  <c r="AA218" i="21"/>
  <c r="AA219" i="21"/>
  <c r="AA220" i="21"/>
  <c r="AA221" i="21"/>
  <c r="AA222" i="21"/>
  <c r="AA223" i="21"/>
  <c r="AA224" i="21"/>
  <c r="AA225" i="21"/>
  <c r="AA226" i="21"/>
  <c r="AA227" i="21"/>
  <c r="AA228" i="21"/>
  <c r="AA229" i="21"/>
  <c r="AA230" i="21"/>
  <c r="AA231" i="21"/>
  <c r="AA232" i="21"/>
  <c r="AA233" i="21"/>
  <c r="AA234" i="21"/>
  <c r="AA235" i="21"/>
  <c r="AA236" i="21"/>
  <c r="AA237" i="21"/>
  <c r="AA238" i="21"/>
  <c r="AA239" i="21"/>
  <c r="AA240" i="21"/>
  <c r="AA241" i="21"/>
  <c r="AA242" i="21"/>
  <c r="AA243" i="21"/>
  <c r="AA244" i="21"/>
  <c r="AA245" i="21"/>
  <c r="AA246" i="21"/>
  <c r="AA247" i="21"/>
  <c r="AA248" i="21"/>
  <c r="AA249" i="21"/>
  <c r="AA250" i="21"/>
  <c r="AA251" i="21"/>
  <c r="AA252" i="21"/>
  <c r="AA253" i="21"/>
  <c r="AA254" i="21"/>
  <c r="AA255" i="21"/>
  <c r="AA256" i="21"/>
  <c r="AA257" i="21"/>
  <c r="AA258" i="21"/>
  <c r="AA259" i="21"/>
  <c r="AA260" i="21"/>
  <c r="AA261" i="21"/>
  <c r="AA262" i="21"/>
  <c r="AA263" i="21"/>
  <c r="AA264" i="21"/>
  <c r="AA265" i="21"/>
  <c r="AA266" i="21"/>
  <c r="AA267" i="21"/>
  <c r="AA268" i="21"/>
  <c r="AA269" i="21"/>
  <c r="AA270" i="21"/>
  <c r="AA271" i="21"/>
  <c r="AA272" i="21"/>
  <c r="AA273" i="21"/>
  <c r="AA274" i="21"/>
  <c r="AA275" i="21"/>
  <c r="AA276" i="21"/>
  <c r="AA277" i="21"/>
  <c r="AA278" i="21"/>
  <c r="AA279" i="21"/>
  <c r="AA280" i="21"/>
  <c r="AA281" i="21"/>
  <c r="AA282" i="21"/>
  <c r="AA283" i="21"/>
  <c r="AA284" i="21"/>
  <c r="AA285" i="21"/>
  <c r="AA286" i="21"/>
  <c r="AA287" i="21"/>
  <c r="AA288" i="21"/>
  <c r="AA289" i="21"/>
  <c r="AA290" i="21"/>
  <c r="AA291" i="21"/>
  <c r="AA292" i="21"/>
  <c r="AA293" i="21"/>
  <c r="AA294" i="21"/>
  <c r="AA295" i="21"/>
  <c r="AA296" i="21"/>
  <c r="AA297" i="21"/>
  <c r="AA298" i="21"/>
  <c r="AA299" i="21"/>
  <c r="AA300" i="21"/>
  <c r="AA301" i="21"/>
  <c r="AA302" i="21"/>
  <c r="AA303" i="21"/>
  <c r="AA304" i="21"/>
  <c r="AA305" i="21"/>
  <c r="AA306" i="21"/>
  <c r="AA307" i="21"/>
  <c r="AA308" i="21"/>
  <c r="AA309" i="21"/>
  <c r="AA310" i="21"/>
  <c r="AA311" i="21"/>
  <c r="AA312" i="21"/>
  <c r="AA313" i="21"/>
  <c r="AA314" i="21"/>
  <c r="AA315" i="21"/>
  <c r="AA316" i="21"/>
  <c r="AA317" i="21"/>
  <c r="AA318" i="21"/>
  <c r="AA319" i="21"/>
  <c r="AA320" i="21"/>
  <c r="AA321" i="21"/>
  <c r="AA322" i="21"/>
  <c r="AA323" i="21"/>
  <c r="AA324" i="21"/>
  <c r="AA325" i="21"/>
  <c r="AA326" i="21"/>
  <c r="AA327" i="21"/>
  <c r="AA328" i="21"/>
  <c r="AA329" i="21"/>
  <c r="AA330" i="21"/>
  <c r="AA331" i="21"/>
  <c r="AA332" i="21"/>
  <c r="AA333" i="21"/>
  <c r="AA334" i="21"/>
  <c r="AA335" i="21"/>
  <c r="AA336" i="21"/>
  <c r="AA337" i="21"/>
  <c r="AA338" i="21"/>
  <c r="AA339" i="21"/>
  <c r="AA340" i="21"/>
  <c r="AA341" i="21"/>
  <c r="AA342" i="21"/>
  <c r="AA343" i="21"/>
  <c r="AA344" i="21"/>
  <c r="AA345" i="21"/>
  <c r="AA346" i="21"/>
  <c r="AA347" i="21"/>
  <c r="AA348" i="21"/>
  <c r="AA349" i="21"/>
  <c r="AA350" i="21"/>
  <c r="AA351" i="21"/>
  <c r="AA352" i="21"/>
  <c r="AA353" i="21"/>
  <c r="AA354" i="21"/>
  <c r="AA355" i="21"/>
  <c r="AA356" i="21"/>
  <c r="AA357" i="21"/>
  <c r="AA358" i="21"/>
  <c r="AA359" i="21"/>
  <c r="AA360" i="21"/>
  <c r="AA361" i="21"/>
  <c r="AA362" i="21"/>
  <c r="AA363" i="21"/>
  <c r="AA364" i="21"/>
  <c r="AA365" i="21"/>
  <c r="AA366" i="21"/>
  <c r="AA367" i="21"/>
  <c r="AA368" i="21"/>
  <c r="AA369" i="21"/>
  <c r="AA370" i="21"/>
  <c r="AA371" i="21"/>
  <c r="AA372" i="21"/>
  <c r="AA373" i="21"/>
  <c r="AA374" i="21"/>
  <c r="AA375" i="21"/>
  <c r="AA376" i="21"/>
  <c r="AA377" i="21"/>
  <c r="AA378" i="21"/>
  <c r="AA379" i="21"/>
  <c r="AA380" i="21"/>
  <c r="AA381" i="21"/>
  <c r="AA382" i="21"/>
  <c r="AA383" i="21"/>
  <c r="AA384" i="21"/>
  <c r="AA385" i="21"/>
  <c r="AA386" i="21"/>
  <c r="AA387" i="21"/>
  <c r="AA388" i="21"/>
  <c r="AA389" i="21"/>
  <c r="AA390" i="21"/>
  <c r="AA391" i="21"/>
  <c r="AA392" i="21"/>
  <c r="AA393" i="21"/>
  <c r="AA394" i="21"/>
  <c r="AA395" i="21"/>
  <c r="AA396" i="21"/>
  <c r="AA397" i="21"/>
  <c r="AA398" i="21"/>
  <c r="AA399" i="21"/>
  <c r="AA400" i="21"/>
  <c r="AA401" i="21"/>
  <c r="AA402" i="21"/>
  <c r="AA403" i="21"/>
  <c r="AA404" i="21"/>
  <c r="AA405" i="21"/>
  <c r="AA406" i="21"/>
  <c r="AA407" i="21"/>
  <c r="AA408" i="21"/>
  <c r="AA409" i="21"/>
  <c r="AA410" i="21"/>
  <c r="AA411" i="21"/>
  <c r="AA412" i="21"/>
  <c r="AA413" i="21"/>
  <c r="AA414" i="21"/>
  <c r="AA415" i="21"/>
  <c r="AA416" i="21"/>
  <c r="AA417" i="21"/>
  <c r="AA418" i="21"/>
  <c r="AA419" i="21"/>
  <c r="AA420" i="21"/>
  <c r="AA421" i="21"/>
  <c r="AA422" i="21"/>
  <c r="AA423" i="21"/>
  <c r="AA424" i="21"/>
  <c r="AA425" i="21"/>
  <c r="AA426" i="21"/>
  <c r="AA427" i="21"/>
  <c r="AA428" i="21"/>
  <c r="AA429" i="21"/>
  <c r="AA430" i="21"/>
  <c r="AA431" i="21"/>
  <c r="AA432" i="21"/>
  <c r="AA433" i="21"/>
  <c r="AA434" i="21"/>
  <c r="AA435" i="21"/>
  <c r="AA436" i="21"/>
  <c r="AA437" i="21"/>
  <c r="AA438" i="21"/>
  <c r="AA439" i="21"/>
  <c r="AA440" i="21"/>
  <c r="AA441" i="21"/>
  <c r="AA442" i="21"/>
  <c r="AA443" i="21"/>
  <c r="AA444" i="21"/>
  <c r="AA445" i="21"/>
  <c r="AA446" i="21"/>
  <c r="AA447" i="21"/>
  <c r="AA448" i="21"/>
  <c r="AA449" i="21"/>
  <c r="AA450" i="21"/>
  <c r="AA451" i="21"/>
  <c r="AA452" i="21"/>
  <c r="AA453" i="21"/>
  <c r="AA454" i="21"/>
  <c r="AA455" i="21"/>
  <c r="AA456" i="21"/>
  <c r="AA457" i="21"/>
  <c r="AA458" i="21"/>
  <c r="AA459" i="21"/>
  <c r="AA460" i="21"/>
  <c r="AA461" i="21"/>
  <c r="AA462" i="21"/>
  <c r="AA463" i="21"/>
  <c r="AA464" i="21"/>
  <c r="AA465" i="21"/>
  <c r="AA466" i="21"/>
  <c r="AA467" i="21"/>
  <c r="AA468" i="21"/>
  <c r="AA469" i="21"/>
  <c r="AA470" i="21"/>
  <c r="AA471" i="21"/>
  <c r="AA472" i="21"/>
  <c r="AA473" i="21"/>
  <c r="AA474" i="21"/>
  <c r="AA475" i="21"/>
  <c r="AA476" i="21"/>
  <c r="AA477" i="21"/>
  <c r="AA478" i="21"/>
  <c r="AA479" i="21"/>
  <c r="AA480" i="21"/>
  <c r="AA481" i="21"/>
  <c r="AA482" i="21"/>
  <c r="AA483" i="21"/>
  <c r="AA484" i="21"/>
  <c r="AA485" i="21"/>
  <c r="AA486" i="21"/>
  <c r="AA487" i="21"/>
  <c r="AA488" i="21"/>
  <c r="AA489" i="21"/>
  <c r="AA490" i="21"/>
  <c r="AA491" i="21"/>
  <c r="AA492" i="21"/>
  <c r="AA493" i="21"/>
  <c r="AA494" i="21"/>
  <c r="AA495" i="21"/>
  <c r="AA496" i="21"/>
  <c r="AA497" i="21"/>
  <c r="AA498" i="21"/>
  <c r="AA499" i="21"/>
  <c r="AA500" i="21"/>
  <c r="AA501" i="21"/>
  <c r="AA502" i="21"/>
  <c r="AA503" i="21"/>
  <c r="AA504" i="21"/>
  <c r="AA505" i="21"/>
  <c r="AA506" i="21"/>
  <c r="AA507" i="21"/>
  <c r="AA508" i="21"/>
  <c r="AA509" i="21"/>
  <c r="AA510" i="21"/>
  <c r="AA511" i="21"/>
  <c r="AA512" i="21"/>
  <c r="AA513" i="21"/>
  <c r="AA514" i="21"/>
  <c r="AA515" i="21"/>
  <c r="AA516" i="21"/>
  <c r="AA517" i="21"/>
  <c r="AA518" i="21"/>
  <c r="AA519" i="21"/>
  <c r="AA520" i="21"/>
  <c r="AA521" i="21"/>
  <c r="AA522" i="21"/>
  <c r="AA523" i="21"/>
  <c r="AA524" i="21"/>
  <c r="AA525" i="21"/>
  <c r="AA526" i="21"/>
  <c r="AA527" i="21"/>
  <c r="AA528" i="21"/>
  <c r="AA529" i="21"/>
  <c r="AA530" i="21"/>
  <c r="AA531" i="21"/>
  <c r="AA532" i="21"/>
  <c r="AA533" i="21"/>
  <c r="AA534" i="21"/>
  <c r="AA535" i="21"/>
  <c r="AA536" i="21"/>
  <c r="AA537" i="21"/>
  <c r="AA538" i="21"/>
  <c r="AA539" i="21"/>
  <c r="AA540" i="21"/>
  <c r="AA541" i="21"/>
  <c r="AA542" i="21"/>
  <c r="AA543" i="21"/>
  <c r="AA544" i="21"/>
  <c r="AA545" i="21"/>
  <c r="AA546" i="21"/>
  <c r="AA547" i="21"/>
  <c r="AA548" i="21"/>
  <c r="AA549" i="21"/>
  <c r="AA550" i="21"/>
  <c r="AA551" i="21"/>
  <c r="AA552" i="21"/>
  <c r="AA553" i="21"/>
  <c r="AA554" i="21"/>
  <c r="AA555" i="21"/>
  <c r="AA556" i="21"/>
  <c r="AA557" i="21"/>
  <c r="AA558" i="21"/>
  <c r="AA559" i="21"/>
  <c r="AA560" i="21"/>
  <c r="AA561" i="21"/>
  <c r="AA562" i="21"/>
  <c r="AA563" i="21"/>
  <c r="AA564" i="21"/>
  <c r="AA565" i="21"/>
  <c r="AA566" i="21"/>
  <c r="AA567" i="21"/>
  <c r="AA568" i="21"/>
  <c r="AA569" i="21"/>
  <c r="AA570" i="21"/>
  <c r="AA571" i="21"/>
  <c r="AA572" i="21"/>
  <c r="AA573" i="21"/>
  <c r="AA574" i="21"/>
  <c r="AA575" i="21"/>
  <c r="AA576" i="21"/>
  <c r="AA577" i="21"/>
  <c r="AA578" i="21"/>
  <c r="AA579" i="21"/>
  <c r="AA580" i="21"/>
  <c r="AA581" i="21"/>
  <c r="AA582" i="21"/>
  <c r="AA583" i="21"/>
  <c r="AA584" i="21"/>
  <c r="AA585" i="21"/>
  <c r="AA586" i="21"/>
  <c r="AA587" i="21"/>
  <c r="AA588" i="21"/>
  <c r="AA589" i="21"/>
  <c r="AA590" i="21"/>
  <c r="AA591" i="21"/>
  <c r="AA592" i="21"/>
  <c r="AA593" i="21"/>
  <c r="AA594" i="21"/>
  <c r="AA595" i="21"/>
  <c r="AA596" i="21"/>
  <c r="AA597" i="21"/>
  <c r="AA598" i="21"/>
  <c r="AA599" i="21"/>
  <c r="AA600" i="21"/>
  <c r="AA601" i="21"/>
  <c r="AA602" i="21"/>
  <c r="AA603" i="21"/>
  <c r="AA604" i="21"/>
  <c r="AA605" i="21"/>
  <c r="AA606" i="21"/>
  <c r="AA607" i="21"/>
  <c r="AA608" i="21"/>
  <c r="AA609" i="21"/>
  <c r="AA610" i="21"/>
  <c r="AA611" i="21"/>
  <c r="AA612" i="21"/>
  <c r="AA613" i="21"/>
  <c r="AA614" i="21"/>
  <c r="AA615" i="21"/>
  <c r="AA616" i="21"/>
  <c r="AA617" i="21"/>
  <c r="AA618" i="21"/>
  <c r="AA619" i="21"/>
  <c r="AA620" i="21"/>
  <c r="AA621" i="21"/>
  <c r="AA622" i="21"/>
  <c r="AA623" i="21"/>
  <c r="AA624" i="21"/>
  <c r="AA625" i="21"/>
  <c r="AA626" i="21"/>
  <c r="AA627" i="21"/>
  <c r="AA628" i="21"/>
  <c r="AA629" i="21"/>
  <c r="AA630" i="21"/>
  <c r="AA631" i="21"/>
  <c r="AA632" i="21"/>
  <c r="AA633" i="21"/>
  <c r="AA634" i="21"/>
  <c r="AA635" i="21"/>
  <c r="AA636" i="21"/>
  <c r="AA637" i="21"/>
  <c r="AA638" i="21"/>
  <c r="AA639" i="21"/>
  <c r="AA640" i="21"/>
  <c r="AA641" i="21"/>
  <c r="AA642" i="21"/>
  <c r="AA643" i="21"/>
  <c r="AA644" i="21"/>
  <c r="AA645" i="21"/>
  <c r="AA646" i="21"/>
  <c r="AA647" i="21"/>
  <c r="AA648" i="21"/>
  <c r="AA649" i="21"/>
  <c r="AA650" i="21"/>
  <c r="AA651" i="21"/>
  <c r="AA652" i="21"/>
  <c r="AA653" i="21"/>
  <c r="AA654" i="21"/>
  <c r="AA655" i="21"/>
  <c r="AA656" i="21"/>
  <c r="AA657" i="21"/>
  <c r="AA658" i="21"/>
  <c r="AA659" i="21"/>
  <c r="AA660" i="21"/>
  <c r="AA661" i="21"/>
  <c r="AA662" i="21"/>
  <c r="AA663" i="21"/>
  <c r="AA664" i="21"/>
  <c r="AA665" i="21"/>
  <c r="AA666" i="21"/>
  <c r="AA667" i="21"/>
  <c r="AA668" i="21"/>
  <c r="AA669" i="21"/>
  <c r="AA670" i="21"/>
  <c r="AA671" i="21"/>
  <c r="AA672" i="21"/>
  <c r="AA673" i="21"/>
  <c r="AA674" i="21"/>
  <c r="AA675" i="21"/>
  <c r="AA676" i="21"/>
  <c r="AA677" i="21"/>
  <c r="AA678" i="21"/>
  <c r="AA679" i="21"/>
  <c r="AA680" i="21"/>
  <c r="AA681" i="21"/>
  <c r="AA682" i="21"/>
  <c r="AA683" i="21"/>
  <c r="AA684" i="21"/>
  <c r="AA685" i="21"/>
  <c r="AA686" i="21"/>
  <c r="AA687" i="21"/>
  <c r="AA688" i="21"/>
  <c r="AA689" i="21"/>
  <c r="AA690" i="21"/>
  <c r="AA691" i="21"/>
  <c r="AA692" i="21"/>
  <c r="AA693" i="21"/>
  <c r="AA694" i="21"/>
  <c r="AA695" i="21"/>
  <c r="AA696" i="21"/>
  <c r="AA697" i="21"/>
  <c r="AA698" i="21"/>
  <c r="AA699" i="21"/>
  <c r="AA700" i="21"/>
  <c r="AA701" i="21"/>
  <c r="AA702" i="21"/>
  <c r="AA703" i="21"/>
  <c r="AA704" i="21"/>
  <c r="AA705" i="21"/>
  <c r="AA706" i="21"/>
  <c r="AA707" i="21"/>
  <c r="AD3" i="33"/>
  <c r="AD5" i="33"/>
  <c r="AD7" i="33"/>
  <c r="AD9" i="33"/>
  <c r="AD11" i="33"/>
  <c r="AD13" i="33"/>
  <c r="AD15" i="33"/>
  <c r="AD17" i="33"/>
  <c r="AD19" i="33"/>
  <c r="AD21" i="33"/>
  <c r="AD23" i="33"/>
  <c r="AD25" i="33"/>
  <c r="AD27" i="33"/>
  <c r="AD29" i="33"/>
  <c r="AD31" i="33"/>
  <c r="AA3" i="33"/>
  <c r="AA5" i="33"/>
  <c r="AA7" i="33"/>
  <c r="AA9" i="33"/>
  <c r="AA11" i="33"/>
  <c r="AA13" i="33"/>
  <c r="AA15" i="33"/>
  <c r="AA17" i="33"/>
  <c r="AA19" i="33"/>
  <c r="AA21" i="33"/>
  <c r="AA23" i="33"/>
  <c r="AA25" i="33"/>
  <c r="AA27" i="33"/>
  <c r="AA29" i="33"/>
  <c r="AA31" i="33"/>
  <c r="T700" i="21"/>
  <c r="T701" i="21"/>
  <c r="T702" i="21"/>
  <c r="T703" i="21"/>
  <c r="T704" i="21"/>
  <c r="T705" i="21"/>
  <c r="T706" i="21"/>
  <c r="T707" i="21"/>
  <c r="U700" i="21"/>
  <c r="U701" i="21"/>
  <c r="U702" i="21"/>
  <c r="U703" i="21"/>
  <c r="U704" i="21"/>
  <c r="U705" i="21"/>
  <c r="U706" i="21"/>
  <c r="U707" i="21"/>
  <c r="K45" i="27" l="1"/>
  <c r="K44" i="27"/>
  <c r="K43" i="27"/>
  <c r="K42" i="27"/>
  <c r="K39" i="27"/>
  <c r="K40" i="27"/>
  <c r="K41" i="27"/>
  <c r="Z3" i="33"/>
  <c r="Z5" i="33"/>
  <c r="Z7" i="33"/>
  <c r="Z9" i="33"/>
  <c r="Z11" i="33"/>
  <c r="Z13" i="33"/>
  <c r="Z15" i="33"/>
  <c r="Z17" i="33"/>
  <c r="Z19" i="33"/>
  <c r="Z21" i="33"/>
  <c r="Z23" i="33"/>
  <c r="Z25" i="33"/>
  <c r="Z27" i="33"/>
  <c r="Z29" i="33"/>
  <c r="Z31" i="33"/>
  <c r="AE3" i="33"/>
  <c r="AE5" i="33"/>
  <c r="AE7" i="33"/>
  <c r="AE9" i="33"/>
  <c r="AE11" i="33"/>
  <c r="AE13" i="33"/>
  <c r="AE15" i="33"/>
  <c r="AE17" i="33"/>
  <c r="AE19" i="33"/>
  <c r="AE21" i="33"/>
  <c r="AE23" i="33"/>
  <c r="AE25" i="33"/>
  <c r="AE27" i="33"/>
  <c r="AE29" i="33"/>
  <c r="AE31" i="33"/>
  <c r="AB17" i="33"/>
  <c r="AB19" i="33"/>
  <c r="AB21" i="33"/>
  <c r="AB23" i="33"/>
  <c r="AB25" i="33"/>
  <c r="AB27" i="33"/>
  <c r="AB29" i="33"/>
  <c r="AB31" i="33"/>
  <c r="AB3" i="33"/>
  <c r="AB5" i="33"/>
  <c r="AB7" i="33"/>
  <c r="AB9" i="33"/>
  <c r="AB11" i="33"/>
  <c r="AB13" i="33"/>
  <c r="AB15" i="33"/>
  <c r="R3" i="33"/>
  <c r="R4" i="33"/>
  <c r="P4" i="33" s="1"/>
  <c r="Q4" i="33" s="1"/>
  <c r="R5" i="33"/>
  <c r="P5" i="33" s="1"/>
  <c r="Q5" i="33" s="1"/>
  <c r="R6" i="33"/>
  <c r="R7" i="33"/>
  <c r="P7" i="33" s="1"/>
  <c r="Q7" i="33" s="1"/>
  <c r="R8" i="33"/>
  <c r="P8" i="33" s="1"/>
  <c r="Q8" i="33" s="1"/>
  <c r="R9" i="33"/>
  <c r="P9" i="33" s="1"/>
  <c r="Q9" i="33" s="1"/>
  <c r="R10" i="33"/>
  <c r="R11" i="33"/>
  <c r="P11" i="33" s="1"/>
  <c r="Q11" i="33" s="1"/>
  <c r="R12" i="33"/>
  <c r="R13" i="33"/>
  <c r="P13" i="33" s="1"/>
  <c r="Q13" i="33" s="1"/>
  <c r="R14" i="33"/>
  <c r="P14" i="33" s="1"/>
  <c r="Q14" i="33" s="1"/>
  <c r="R15" i="33"/>
  <c r="P15" i="33" s="1"/>
  <c r="Q15" i="33" s="1"/>
  <c r="R16" i="33"/>
  <c r="R17" i="33"/>
  <c r="P17" i="33" s="1"/>
  <c r="Q17" i="33" s="1"/>
  <c r="R18" i="33"/>
  <c r="P18" i="33" s="1"/>
  <c r="Q18" i="33" s="1"/>
  <c r="R19" i="33"/>
  <c r="P19" i="33" s="1"/>
  <c r="Q19" i="33" s="1"/>
  <c r="R20" i="33"/>
  <c r="P20" i="33" s="1"/>
  <c r="Q20" i="33" s="1"/>
  <c r="R21" i="33"/>
  <c r="P21" i="33" s="1"/>
  <c r="Q21" i="33" s="1"/>
  <c r="R22" i="33"/>
  <c r="P22" i="33" s="1"/>
  <c r="Q22" i="33" s="1"/>
  <c r="R23" i="33"/>
  <c r="P23" i="33" s="1"/>
  <c r="Q23" i="33" s="1"/>
  <c r="R24" i="33"/>
  <c r="R25" i="33"/>
  <c r="P25" i="33" s="1"/>
  <c r="Q25" i="33" s="1"/>
  <c r="R26" i="33"/>
  <c r="P26" i="33" s="1"/>
  <c r="Q26" i="33" s="1"/>
  <c r="R27" i="33"/>
  <c r="P27" i="33" s="1"/>
  <c r="Q27" i="33" s="1"/>
  <c r="R28" i="33"/>
  <c r="P28" i="33" s="1"/>
  <c r="Q28" i="33" s="1"/>
  <c r="R29" i="33"/>
  <c r="P29" i="33" s="1"/>
  <c r="Q29" i="33" s="1"/>
  <c r="R30" i="33"/>
  <c r="P30" i="33" s="1"/>
  <c r="Q30" i="33" s="1"/>
  <c r="R31" i="33"/>
  <c r="P31" i="33" s="1"/>
  <c r="Q31" i="33" s="1"/>
  <c r="R2" i="33"/>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60" i="5"/>
  <c r="I400" i="32"/>
  <c r="I401" i="32"/>
  <c r="I402" i="32"/>
  <c r="I403" i="32"/>
  <c r="I404" i="32"/>
  <c r="I405" i="32"/>
  <c r="I406" i="32"/>
  <c r="I407" i="32"/>
  <c r="I408" i="32"/>
  <c r="I409" i="32"/>
  <c r="I410" i="32"/>
  <c r="I411" i="32"/>
  <c r="I412" i="32"/>
  <c r="I413" i="32"/>
  <c r="I414" i="32"/>
  <c r="I415" i="32"/>
  <c r="I416" i="32"/>
  <c r="I417" i="32"/>
  <c r="I418" i="32"/>
  <c r="I419" i="32"/>
  <c r="I420" i="32"/>
  <c r="I421" i="32"/>
  <c r="I422" i="32"/>
  <c r="I423" i="32"/>
  <c r="I424" i="32"/>
  <c r="I425" i="32"/>
  <c r="I426" i="32"/>
  <c r="I427" i="32"/>
  <c r="I428" i="32"/>
  <c r="I429" i="32"/>
  <c r="I430" i="32"/>
  <c r="I431" i="32"/>
  <c r="I432" i="32"/>
  <c r="I433" i="32"/>
  <c r="I434" i="32"/>
  <c r="I435" i="32"/>
  <c r="I436" i="32"/>
  <c r="I437" i="32"/>
  <c r="I438" i="32"/>
  <c r="I439" i="32"/>
  <c r="I440" i="32"/>
  <c r="I441" i="32"/>
  <c r="I442" i="32"/>
  <c r="I443" i="32"/>
  <c r="I444" i="32"/>
  <c r="I445" i="32"/>
  <c r="I446" i="32"/>
  <c r="I447" i="32"/>
  <c r="I448" i="32"/>
  <c r="I449" i="32"/>
  <c r="I450" i="32"/>
  <c r="I451" i="32"/>
  <c r="I452" i="32"/>
  <c r="I453" i="32"/>
  <c r="I454" i="32"/>
  <c r="I455" i="32"/>
  <c r="I456" i="32"/>
  <c r="I457" i="32"/>
  <c r="I458" i="32"/>
  <c r="I459" i="32"/>
  <c r="I460" i="32"/>
  <c r="I461" i="32"/>
  <c r="I462" i="32"/>
  <c r="I463" i="32"/>
  <c r="I464" i="32"/>
  <c r="I465" i="32"/>
  <c r="I466" i="32"/>
  <c r="I467" i="32"/>
  <c r="I468" i="32"/>
  <c r="I469" i="32"/>
  <c r="I470" i="32"/>
  <c r="I471" i="32"/>
  <c r="I472" i="32"/>
  <c r="I473" i="32"/>
  <c r="I474" i="32"/>
  <c r="I475" i="32"/>
  <c r="I476" i="32"/>
  <c r="I477" i="32"/>
  <c r="I478" i="32"/>
  <c r="I479" i="32"/>
  <c r="I480" i="32"/>
  <c r="I481" i="32"/>
  <c r="I482" i="32"/>
  <c r="I483" i="32"/>
  <c r="I484" i="32"/>
  <c r="I485" i="32"/>
  <c r="I486" i="32"/>
  <c r="I487" i="32"/>
  <c r="I488" i="32"/>
  <c r="I489" i="32"/>
  <c r="I490" i="32"/>
  <c r="I491" i="32"/>
  <c r="I492" i="32"/>
  <c r="I493" i="32"/>
  <c r="I494" i="32"/>
  <c r="I495" i="32"/>
  <c r="I496" i="32"/>
  <c r="I497" i="32"/>
  <c r="I498" i="32"/>
  <c r="I499" i="32"/>
  <c r="I500" i="32"/>
  <c r="I501" i="32"/>
  <c r="I502" i="32"/>
  <c r="I503" i="32"/>
  <c r="I504" i="32"/>
  <c r="I505" i="32"/>
  <c r="I506" i="32"/>
  <c r="I507" i="32"/>
  <c r="I508" i="32"/>
  <c r="I509" i="32"/>
  <c r="I510" i="32"/>
  <c r="I511" i="32"/>
  <c r="I512" i="32"/>
  <c r="I513" i="32"/>
  <c r="I514" i="32"/>
  <c r="I515" i="32"/>
  <c r="I516" i="32"/>
  <c r="I517" i="32"/>
  <c r="I518" i="32"/>
  <c r="I519" i="32"/>
  <c r="I520" i="32"/>
  <c r="I521" i="32"/>
  <c r="I522" i="32"/>
  <c r="I523" i="32"/>
  <c r="I524" i="32"/>
  <c r="I525" i="32"/>
  <c r="I526" i="32"/>
  <c r="I527" i="32"/>
  <c r="I528" i="32"/>
  <c r="I529" i="32"/>
  <c r="I530" i="32"/>
  <c r="I531" i="32"/>
  <c r="I532" i="32"/>
  <c r="I533" i="32"/>
  <c r="I534" i="32"/>
  <c r="I535" i="32"/>
  <c r="I536" i="32"/>
  <c r="I537" i="32"/>
  <c r="I538" i="32"/>
  <c r="I539" i="32"/>
  <c r="I540" i="32"/>
  <c r="I541" i="32"/>
  <c r="I542" i="32"/>
  <c r="I543" i="32"/>
  <c r="I544" i="32"/>
  <c r="I545" i="32"/>
  <c r="I546" i="32"/>
  <c r="I547" i="32"/>
  <c r="I548" i="32"/>
  <c r="I549" i="32"/>
  <c r="I550" i="32"/>
  <c r="I551" i="32"/>
  <c r="I552" i="32"/>
  <c r="I553" i="32"/>
  <c r="I554" i="32"/>
  <c r="I555" i="32"/>
  <c r="I556" i="32"/>
  <c r="I557" i="32"/>
  <c r="I558" i="32"/>
  <c r="I559" i="32"/>
  <c r="I560" i="32"/>
  <c r="I561" i="32"/>
  <c r="I562" i="32"/>
  <c r="I563" i="32"/>
  <c r="I564" i="32"/>
  <c r="I565" i="32"/>
  <c r="I566" i="32"/>
  <c r="I567" i="32"/>
  <c r="I568" i="32"/>
  <c r="I569" i="32"/>
  <c r="I570" i="32"/>
  <c r="I571" i="32"/>
  <c r="I572" i="32"/>
  <c r="I573" i="32"/>
  <c r="I574" i="32"/>
  <c r="I575" i="32"/>
  <c r="I576" i="32"/>
  <c r="I577" i="32"/>
  <c r="I578" i="32"/>
  <c r="I579" i="32"/>
  <c r="I580" i="32"/>
  <c r="I581" i="32"/>
  <c r="I582" i="32"/>
  <c r="I583" i="32"/>
  <c r="I584" i="32"/>
  <c r="I585" i="32"/>
  <c r="I586" i="32"/>
  <c r="I587" i="32"/>
  <c r="I588" i="32"/>
  <c r="I589" i="32"/>
  <c r="I590" i="32"/>
  <c r="I591" i="32"/>
  <c r="I592" i="32"/>
  <c r="I593" i="32"/>
  <c r="I594" i="32"/>
  <c r="I595" i="32"/>
  <c r="I596" i="32"/>
  <c r="I597" i="32"/>
  <c r="I598" i="32"/>
  <c r="I599" i="32"/>
  <c r="I600" i="32"/>
  <c r="I601" i="32"/>
  <c r="I602" i="32"/>
  <c r="I603" i="32"/>
  <c r="I604" i="32"/>
  <c r="I605" i="32"/>
  <c r="I606" i="32"/>
  <c r="I607" i="32"/>
  <c r="I608" i="32"/>
  <c r="I609" i="32"/>
  <c r="I610" i="32"/>
  <c r="I611" i="32"/>
  <c r="I612" i="32"/>
  <c r="I613" i="32"/>
  <c r="I614" i="32"/>
  <c r="I615" i="32"/>
  <c r="I616" i="32"/>
  <c r="I617" i="32"/>
  <c r="I618" i="32"/>
  <c r="I619" i="32"/>
  <c r="I620" i="32"/>
  <c r="I621" i="32"/>
  <c r="I622" i="32"/>
  <c r="I623" i="32"/>
  <c r="I624" i="32"/>
  <c r="I625" i="32"/>
  <c r="I626" i="32"/>
  <c r="I627" i="32"/>
  <c r="I628" i="32"/>
  <c r="I629" i="32"/>
  <c r="I630" i="32"/>
  <c r="I631" i="32"/>
  <c r="I632" i="32"/>
  <c r="I633" i="32"/>
  <c r="I634" i="32"/>
  <c r="I635" i="32"/>
  <c r="I636" i="32"/>
  <c r="I637" i="32"/>
  <c r="I638" i="32"/>
  <c r="I639" i="32"/>
  <c r="I640" i="32"/>
  <c r="I641" i="32"/>
  <c r="I642" i="32"/>
  <c r="I643" i="32"/>
  <c r="I644" i="32"/>
  <c r="I645" i="32"/>
  <c r="I646" i="32"/>
  <c r="I647" i="32"/>
  <c r="I648" i="32"/>
  <c r="I649" i="32"/>
  <c r="I650" i="32"/>
  <c r="I651" i="32"/>
  <c r="I652" i="32"/>
  <c r="I653" i="32"/>
  <c r="I654" i="32"/>
  <c r="I655" i="32"/>
  <c r="I656" i="32"/>
  <c r="I657" i="32"/>
  <c r="I658" i="32"/>
  <c r="I659" i="32"/>
  <c r="I660" i="32"/>
  <c r="I661" i="32"/>
  <c r="I662" i="32"/>
  <c r="I663" i="32"/>
  <c r="I664" i="32"/>
  <c r="I665" i="32"/>
  <c r="I666" i="32"/>
  <c r="I667" i="32"/>
  <c r="I668" i="32"/>
  <c r="I669" i="32"/>
  <c r="I670" i="32"/>
  <c r="I671" i="32"/>
  <c r="I672" i="32"/>
  <c r="I673" i="32"/>
  <c r="I674" i="32"/>
  <c r="I675" i="32"/>
  <c r="I676" i="32"/>
  <c r="I677" i="32"/>
  <c r="I678" i="32"/>
  <c r="I679" i="32"/>
  <c r="I680" i="32"/>
  <c r="I681" i="32"/>
  <c r="I682" i="32"/>
  <c r="I683" i="32"/>
  <c r="I684" i="32"/>
  <c r="I685" i="32"/>
  <c r="I686" i="32"/>
  <c r="I687" i="32"/>
  <c r="I688" i="32"/>
  <c r="I689" i="32"/>
  <c r="I690" i="32"/>
  <c r="I691" i="32"/>
  <c r="I692" i="32"/>
  <c r="I693" i="32"/>
  <c r="I694" i="32"/>
  <c r="I695" i="32"/>
  <c r="I696" i="32"/>
  <c r="I697" i="32"/>
  <c r="I698" i="32"/>
  <c r="I699" i="32"/>
  <c r="I700" i="32"/>
  <c r="I701" i="32"/>
  <c r="I702" i="32"/>
  <c r="I703" i="32"/>
  <c r="I704" i="32"/>
  <c r="I705" i="32"/>
  <c r="I706" i="32"/>
  <c r="I707" i="32"/>
  <c r="I708" i="32"/>
  <c r="I709" i="32"/>
  <c r="I710" i="32"/>
  <c r="I711" i="32"/>
  <c r="I712" i="32"/>
  <c r="I713" i="32"/>
  <c r="I714" i="32"/>
  <c r="I715" i="32"/>
  <c r="I716" i="32"/>
  <c r="I717" i="32"/>
  <c r="I718" i="32"/>
  <c r="I719" i="32"/>
  <c r="I720" i="32"/>
  <c r="I721" i="32"/>
  <c r="I722" i="32"/>
  <c r="I723" i="32"/>
  <c r="I724" i="32"/>
  <c r="I725" i="32"/>
  <c r="I726" i="32"/>
  <c r="I727" i="32"/>
  <c r="I728" i="32"/>
  <c r="I729" i="32"/>
  <c r="I730" i="32"/>
  <c r="I731" i="32"/>
  <c r="I732" i="32"/>
  <c r="I733" i="32"/>
  <c r="I734" i="32"/>
  <c r="I735" i="32"/>
  <c r="I736" i="32"/>
  <c r="I737" i="32"/>
  <c r="I738" i="32"/>
  <c r="I739" i="32"/>
  <c r="I740" i="32"/>
  <c r="I741" i="32"/>
  <c r="I742" i="32"/>
  <c r="I743" i="32"/>
  <c r="I744" i="32"/>
  <c r="I745" i="32"/>
  <c r="I746" i="32"/>
  <c r="I747" i="32"/>
  <c r="I748" i="32"/>
  <c r="I749" i="32"/>
  <c r="I750" i="32"/>
  <c r="I751" i="32"/>
  <c r="I752" i="32"/>
  <c r="I753" i="32"/>
  <c r="I754" i="32"/>
  <c r="I755" i="32"/>
  <c r="I756" i="32"/>
  <c r="I757" i="32"/>
  <c r="I758" i="32"/>
  <c r="I759" i="32"/>
  <c r="I760" i="32"/>
  <c r="I761" i="32"/>
  <c r="I762" i="32"/>
  <c r="I763" i="32"/>
  <c r="I764" i="32"/>
  <c r="I765" i="32"/>
  <c r="I766" i="32"/>
  <c r="I767" i="32"/>
  <c r="I768" i="32"/>
  <c r="I769" i="32"/>
  <c r="I770" i="32"/>
  <c r="I771" i="32"/>
  <c r="I772" i="32"/>
  <c r="I773" i="32"/>
  <c r="I774" i="32"/>
  <c r="I775" i="32"/>
  <c r="I776" i="32"/>
  <c r="I777" i="32"/>
  <c r="I778" i="32"/>
  <c r="I779" i="32"/>
  <c r="I780" i="32"/>
  <c r="I781" i="32"/>
  <c r="I782" i="32"/>
  <c r="I783" i="32"/>
  <c r="I784" i="32"/>
  <c r="I785" i="32"/>
  <c r="I786" i="32"/>
  <c r="I787" i="32"/>
  <c r="I788" i="32"/>
  <c r="I789" i="32"/>
  <c r="I790" i="32"/>
  <c r="I791" i="32"/>
  <c r="I792" i="32"/>
  <c r="I793" i="32"/>
  <c r="I794" i="32"/>
  <c r="I795" i="32"/>
  <c r="I796" i="32"/>
  <c r="I797" i="32"/>
  <c r="I798" i="32"/>
  <c r="I799" i="32"/>
  <c r="I800" i="32"/>
  <c r="I801" i="32"/>
  <c r="I802" i="32"/>
  <c r="I803" i="32"/>
  <c r="I804" i="32"/>
  <c r="I805" i="32"/>
  <c r="I806" i="32"/>
  <c r="I807" i="32"/>
  <c r="I808" i="32"/>
  <c r="I809" i="32"/>
  <c r="I810" i="32"/>
  <c r="I811" i="32"/>
  <c r="I812" i="32"/>
  <c r="I813" i="32"/>
  <c r="I814" i="32"/>
  <c r="I815" i="32"/>
  <c r="I816" i="32"/>
  <c r="I817" i="32"/>
  <c r="I818" i="32"/>
  <c r="I819" i="32"/>
  <c r="I820" i="32"/>
  <c r="I821" i="32"/>
  <c r="I822" i="32"/>
  <c r="I823" i="32"/>
  <c r="I824" i="32"/>
  <c r="I825" i="32"/>
  <c r="I826" i="32"/>
  <c r="I827" i="32"/>
  <c r="I828" i="32"/>
  <c r="I829" i="32"/>
  <c r="I830" i="32"/>
  <c r="I831" i="32"/>
  <c r="I832" i="32"/>
  <c r="I833" i="32"/>
  <c r="I834" i="32"/>
  <c r="I835" i="32"/>
  <c r="I836" i="32"/>
  <c r="I837" i="32"/>
  <c r="I838" i="32"/>
  <c r="I839" i="32"/>
  <c r="I840" i="32"/>
  <c r="I841" i="32"/>
  <c r="I842" i="32"/>
  <c r="I843" i="32"/>
  <c r="I844" i="32"/>
  <c r="I845" i="32"/>
  <c r="I846" i="32"/>
  <c r="I847" i="32"/>
  <c r="I848" i="32"/>
  <c r="I849" i="32"/>
  <c r="I850" i="32"/>
  <c r="I851" i="32"/>
  <c r="I852" i="32"/>
  <c r="I853" i="32"/>
  <c r="I854" i="32"/>
  <c r="I855" i="32"/>
  <c r="I856" i="32"/>
  <c r="I857" i="32"/>
  <c r="I858" i="32"/>
  <c r="I859" i="32"/>
  <c r="I860" i="32"/>
  <c r="I861" i="32"/>
  <c r="I862" i="32"/>
  <c r="I863" i="32"/>
  <c r="I864" i="32"/>
  <c r="I865" i="32"/>
  <c r="I866" i="32"/>
  <c r="I867" i="32"/>
  <c r="I868" i="32"/>
  <c r="I869" i="32"/>
  <c r="I870" i="32"/>
  <c r="I871" i="32"/>
  <c r="I872" i="32"/>
  <c r="I873" i="32"/>
  <c r="I874" i="32"/>
  <c r="I875" i="32"/>
  <c r="I876" i="32"/>
  <c r="I877" i="32"/>
  <c r="I878" i="32"/>
  <c r="I879" i="32"/>
  <c r="I880" i="32"/>
  <c r="I881" i="32"/>
  <c r="I882" i="32"/>
  <c r="I883" i="32"/>
  <c r="I884" i="32"/>
  <c r="I885" i="32"/>
  <c r="I886" i="32"/>
  <c r="I887" i="32"/>
  <c r="I888" i="32"/>
  <c r="I889" i="32"/>
  <c r="I890" i="32"/>
  <c r="I891" i="32"/>
  <c r="I892" i="32"/>
  <c r="I893" i="32"/>
  <c r="I894" i="32"/>
  <c r="I895" i="32"/>
  <c r="I896" i="32"/>
  <c r="I897" i="32"/>
  <c r="I898" i="32"/>
  <c r="I899" i="32"/>
  <c r="I900" i="32"/>
  <c r="I901" i="32"/>
  <c r="I902" i="32"/>
  <c r="I903" i="32"/>
  <c r="I904" i="32"/>
  <c r="I905" i="32"/>
  <c r="I906" i="32"/>
  <c r="I907" i="32"/>
  <c r="I908" i="32"/>
  <c r="I909" i="32"/>
  <c r="I910" i="32"/>
  <c r="I911" i="32"/>
  <c r="I912" i="32"/>
  <c r="I913" i="32"/>
  <c r="I914" i="32"/>
  <c r="I915" i="32"/>
  <c r="I916" i="32"/>
  <c r="I917" i="32"/>
  <c r="I918" i="32"/>
  <c r="I919" i="32"/>
  <c r="I920" i="32"/>
  <c r="I921" i="32"/>
  <c r="I922" i="32"/>
  <c r="I923" i="32"/>
  <c r="I924" i="32"/>
  <c r="I925" i="32"/>
  <c r="I926" i="32"/>
  <c r="I927" i="32"/>
  <c r="I928" i="32"/>
  <c r="I929" i="32"/>
  <c r="I930" i="32"/>
  <c r="I931" i="32"/>
  <c r="I932" i="32"/>
  <c r="I933" i="32"/>
  <c r="I934" i="32"/>
  <c r="I935" i="32"/>
  <c r="I936" i="32"/>
  <c r="I937" i="32"/>
  <c r="I938" i="32"/>
  <c r="I939" i="32"/>
  <c r="I940" i="32"/>
  <c r="I941" i="32"/>
  <c r="I942" i="32"/>
  <c r="I943" i="32"/>
  <c r="I944" i="32"/>
  <c r="I945" i="32"/>
  <c r="I946" i="32"/>
  <c r="I947" i="32"/>
  <c r="I948" i="32"/>
  <c r="I949" i="32"/>
  <c r="I950" i="32"/>
  <c r="I951" i="32"/>
  <c r="I952" i="32"/>
  <c r="I953" i="32"/>
  <c r="I954" i="32"/>
  <c r="I955" i="32"/>
  <c r="I956" i="32"/>
  <c r="I957" i="32"/>
  <c r="I958" i="32"/>
  <c r="I959" i="32"/>
  <c r="I960" i="32"/>
  <c r="I961" i="32"/>
  <c r="I962" i="32"/>
  <c r="I963" i="32"/>
  <c r="I964" i="32"/>
  <c r="I965" i="32"/>
  <c r="I966" i="32"/>
  <c r="I967" i="32"/>
  <c r="I968" i="32"/>
  <c r="I969" i="32"/>
  <c r="I970" i="32"/>
  <c r="I971" i="32"/>
  <c r="I972" i="32"/>
  <c r="I973" i="32"/>
  <c r="I974" i="32"/>
  <c r="I975" i="32"/>
  <c r="I976" i="32"/>
  <c r="I977" i="32"/>
  <c r="I978" i="32"/>
  <c r="I979" i="32"/>
  <c r="I980" i="32"/>
  <c r="I981" i="32"/>
  <c r="I982" i="32"/>
  <c r="I983" i="32"/>
  <c r="I984" i="32"/>
  <c r="I985" i="32"/>
  <c r="I986" i="32"/>
  <c r="I987" i="32"/>
  <c r="I988" i="32"/>
  <c r="I989" i="32"/>
  <c r="I990" i="32"/>
  <c r="I991" i="32"/>
  <c r="I992" i="32"/>
  <c r="I993" i="32"/>
  <c r="I994" i="32"/>
  <c r="I995" i="32"/>
  <c r="I996" i="32"/>
  <c r="I997" i="32"/>
  <c r="I998" i="32"/>
  <c r="I999" i="32"/>
  <c r="I1000" i="32"/>
  <c r="I1001" i="32"/>
  <c r="I1002" i="32"/>
  <c r="I1003" i="32"/>
  <c r="I1004" i="32"/>
  <c r="I1005" i="32"/>
  <c r="I1006" i="32"/>
  <c r="I1007" i="32"/>
  <c r="I1008" i="32"/>
  <c r="I1009" i="32"/>
  <c r="I1010" i="32"/>
  <c r="I1011" i="32"/>
  <c r="I1012" i="32"/>
  <c r="I1013" i="32"/>
  <c r="I1014" i="32"/>
  <c r="I1015" i="32"/>
  <c r="I1016" i="32"/>
  <c r="I1017" i="32"/>
  <c r="I1018" i="32"/>
  <c r="I1019" i="32"/>
  <c r="I1020" i="32"/>
  <c r="I1021" i="32"/>
  <c r="I1022" i="32"/>
  <c r="I1023" i="32"/>
  <c r="I1024" i="32"/>
  <c r="I1025" i="32"/>
  <c r="I1026" i="32"/>
  <c r="I1027" i="32"/>
  <c r="I1028" i="32"/>
  <c r="I1029" i="32"/>
  <c r="I1030" i="32"/>
  <c r="I1031" i="32"/>
  <c r="I1032" i="32"/>
  <c r="I1033" i="32"/>
  <c r="I1034" i="32"/>
  <c r="I1035" i="32"/>
  <c r="I1036" i="32"/>
  <c r="I1037" i="32"/>
  <c r="I1038" i="32"/>
  <c r="I1039" i="32"/>
  <c r="I1040" i="32"/>
  <c r="I1041" i="32"/>
  <c r="I1042" i="32"/>
  <c r="I1043" i="32"/>
  <c r="I1044" i="32"/>
  <c r="I1045" i="32"/>
  <c r="I1046" i="32"/>
  <c r="I1047" i="32"/>
  <c r="I1048" i="32"/>
  <c r="I1049" i="32"/>
  <c r="I1050" i="32"/>
  <c r="I1051" i="32"/>
  <c r="I1052" i="32"/>
  <c r="I1053" i="32"/>
  <c r="I1054" i="32"/>
  <c r="I1055" i="32"/>
  <c r="I1056" i="32"/>
  <c r="I1057" i="32"/>
  <c r="I1058" i="32"/>
  <c r="I1059" i="32"/>
  <c r="I1060" i="32"/>
  <c r="I1061" i="32"/>
  <c r="I1062" i="32"/>
  <c r="I1063" i="32"/>
  <c r="I1064" i="32"/>
  <c r="I1065" i="32"/>
  <c r="I1066" i="32"/>
  <c r="I1067" i="32"/>
  <c r="I1068" i="32"/>
  <c r="I1069" i="32"/>
  <c r="I1070" i="32"/>
  <c r="I1071" i="32"/>
  <c r="I1072" i="32"/>
  <c r="I1073" i="32"/>
  <c r="I1074" i="32"/>
  <c r="I1075" i="32"/>
  <c r="I1076" i="32"/>
  <c r="I1077" i="32"/>
  <c r="I1078" i="32"/>
  <c r="I1079" i="32"/>
  <c r="I1080" i="32"/>
  <c r="I1081" i="32"/>
  <c r="I1082" i="32"/>
  <c r="I1083" i="32"/>
  <c r="I1084" i="32"/>
  <c r="I1085" i="32"/>
  <c r="I1086" i="32"/>
  <c r="I1087" i="32"/>
  <c r="I1088" i="32"/>
  <c r="I1089" i="32"/>
  <c r="I1090" i="32"/>
  <c r="I1091" i="32"/>
  <c r="I1092" i="32"/>
  <c r="I1093" i="32"/>
  <c r="I1094" i="32"/>
  <c r="I1095" i="32"/>
  <c r="I1096" i="32"/>
  <c r="I1097" i="32"/>
  <c r="I1098" i="32"/>
  <c r="I1099" i="32"/>
  <c r="I1100" i="32"/>
  <c r="I1101" i="32"/>
  <c r="I1102" i="32"/>
  <c r="I1103" i="32"/>
  <c r="I1104" i="32"/>
  <c r="I1105" i="32"/>
  <c r="I1106" i="32"/>
  <c r="I1107" i="32"/>
  <c r="I1108" i="32"/>
  <c r="I1109" i="32"/>
  <c r="I1110" i="32"/>
  <c r="I1111" i="32"/>
  <c r="I1112" i="32"/>
  <c r="I1113" i="32"/>
  <c r="I1114" i="32"/>
  <c r="I1115" i="32"/>
  <c r="I1116" i="32"/>
  <c r="I1117" i="32"/>
  <c r="I1118" i="32"/>
  <c r="I1119" i="32"/>
  <c r="I1120" i="32"/>
  <c r="I1121" i="32"/>
  <c r="I1122" i="32"/>
  <c r="I1123" i="32"/>
  <c r="I1124" i="32"/>
  <c r="I1125" i="32"/>
  <c r="I1126" i="32"/>
  <c r="I1127" i="32"/>
  <c r="I1128" i="32"/>
  <c r="I1129" i="32"/>
  <c r="I1130" i="32"/>
  <c r="I1131" i="32"/>
  <c r="I1132" i="32"/>
  <c r="I1133" i="32"/>
  <c r="I1134" i="32"/>
  <c r="I1135" i="32"/>
  <c r="I1136" i="32"/>
  <c r="I1137" i="32"/>
  <c r="I1138" i="32"/>
  <c r="I1139" i="32"/>
  <c r="I1140" i="32"/>
  <c r="I1141" i="32"/>
  <c r="I1142" i="32"/>
  <c r="I1143" i="32"/>
  <c r="I1144" i="32"/>
  <c r="I1145" i="32"/>
  <c r="I1146" i="32"/>
  <c r="I1147" i="32"/>
  <c r="I1148" i="32"/>
  <c r="I1149" i="32"/>
  <c r="I1150" i="32"/>
  <c r="I1151" i="32"/>
  <c r="I1152" i="32"/>
  <c r="I1153" i="32"/>
  <c r="I1154" i="32"/>
  <c r="I1155" i="32"/>
  <c r="I1156" i="32"/>
  <c r="I1157" i="32"/>
  <c r="I1158" i="32"/>
  <c r="I1159" i="32"/>
  <c r="I1160" i="32"/>
  <c r="I1161" i="32"/>
  <c r="I1162" i="32"/>
  <c r="I1163" i="32"/>
  <c r="I1164" i="32"/>
  <c r="I1165" i="32"/>
  <c r="I1166" i="32"/>
  <c r="I1167" i="32"/>
  <c r="I1168" i="32"/>
  <c r="I1169" i="32"/>
  <c r="I1170" i="32"/>
  <c r="I1171" i="32"/>
  <c r="I1172" i="32"/>
  <c r="I1173" i="32"/>
  <c r="I1174" i="32"/>
  <c r="I1175" i="32"/>
  <c r="I1176" i="32"/>
  <c r="I1177" i="32"/>
  <c r="I1178" i="32"/>
  <c r="I1179" i="32"/>
  <c r="I1180" i="32"/>
  <c r="I1181" i="32"/>
  <c r="I1182" i="32"/>
  <c r="I1183" i="32"/>
  <c r="I1184" i="32"/>
  <c r="I1185" i="32"/>
  <c r="I1186" i="32"/>
  <c r="I1187" i="32"/>
  <c r="I1188" i="32"/>
  <c r="I1189" i="32"/>
  <c r="I1190" i="32"/>
  <c r="I1191" i="32"/>
  <c r="I1192" i="32"/>
  <c r="I1193" i="32"/>
  <c r="I1194" i="32"/>
  <c r="I1195" i="32"/>
  <c r="I1196" i="32"/>
  <c r="I1197" i="32"/>
  <c r="I1198" i="32"/>
  <c r="I1199" i="32"/>
  <c r="I1200" i="32"/>
  <c r="I1201" i="32"/>
  <c r="I1202" i="32"/>
  <c r="I1203" i="32"/>
  <c r="I1204" i="32"/>
  <c r="I1205" i="32"/>
  <c r="I1206" i="32"/>
  <c r="I1207" i="32"/>
  <c r="I1208" i="32"/>
  <c r="I1209" i="32"/>
  <c r="I1210" i="32"/>
  <c r="I1211" i="32"/>
  <c r="I1212" i="32"/>
  <c r="I1213" i="32"/>
  <c r="I1214" i="32"/>
  <c r="I1215" i="32"/>
  <c r="I1216" i="32"/>
  <c r="I1217" i="32"/>
  <c r="I1218" i="32"/>
  <c r="I1219" i="32"/>
  <c r="I1220" i="32"/>
  <c r="I1221" i="32"/>
  <c r="I1222" i="32"/>
  <c r="I1223" i="32"/>
  <c r="I1224" i="32"/>
  <c r="I1225" i="32"/>
  <c r="I1226" i="32"/>
  <c r="I1227" i="32"/>
  <c r="I1228" i="32"/>
  <c r="I1229" i="32"/>
  <c r="I1230" i="32"/>
  <c r="I1231" i="32"/>
  <c r="I1232" i="32"/>
  <c r="I1233" i="32"/>
  <c r="I1234" i="32"/>
  <c r="I1235" i="32"/>
  <c r="I1236" i="32"/>
  <c r="I1237" i="32"/>
  <c r="I1238" i="32"/>
  <c r="I1239" i="32"/>
  <c r="I1240" i="32"/>
  <c r="I1241" i="32"/>
  <c r="I1242" i="32"/>
  <c r="I1243" i="32"/>
  <c r="I1244" i="32"/>
  <c r="I1245" i="32"/>
  <c r="I1246" i="32"/>
  <c r="I1247" i="32"/>
  <c r="I1248" i="32"/>
  <c r="I1249" i="32"/>
  <c r="I1250" i="32"/>
  <c r="I1251" i="32"/>
  <c r="I1252" i="32"/>
  <c r="I1253" i="32"/>
  <c r="I1254" i="32"/>
  <c r="I1255" i="32"/>
  <c r="I1256" i="32"/>
  <c r="I1257" i="32"/>
  <c r="I1258" i="32"/>
  <c r="I1259" i="32"/>
  <c r="I1260" i="32"/>
  <c r="I1261" i="32"/>
  <c r="I1262" i="32"/>
  <c r="I1263" i="32"/>
  <c r="I1264" i="32"/>
  <c r="I1265" i="32"/>
  <c r="I1266" i="32"/>
  <c r="I1267" i="32"/>
  <c r="I1268" i="32"/>
  <c r="I1269" i="32"/>
  <c r="I1270" i="32"/>
  <c r="I1271" i="32"/>
  <c r="I1272" i="32"/>
  <c r="I1273" i="32"/>
  <c r="I1274" i="32"/>
  <c r="I1275" i="32"/>
  <c r="I1276" i="32"/>
  <c r="I1277" i="32"/>
  <c r="I1278" i="32"/>
  <c r="I1279" i="32"/>
  <c r="I1280" i="32"/>
  <c r="I1281" i="32"/>
  <c r="I1282" i="32"/>
  <c r="I1283" i="32"/>
  <c r="I1284" i="32"/>
  <c r="I1285" i="32"/>
  <c r="I1286" i="32"/>
  <c r="I1287" i="32"/>
  <c r="I1288" i="32"/>
  <c r="I1289" i="32"/>
  <c r="I1290" i="32"/>
  <c r="I1291" i="32"/>
  <c r="I1292" i="32"/>
  <c r="I1293" i="32"/>
  <c r="I1294" i="32"/>
  <c r="I1295" i="32"/>
  <c r="I1296" i="32"/>
  <c r="I1297" i="32"/>
  <c r="I1298" i="32"/>
  <c r="I1299" i="32"/>
  <c r="I1300" i="32"/>
  <c r="I1301" i="32"/>
  <c r="I1302" i="32"/>
  <c r="I1303" i="32"/>
  <c r="I1304" i="32"/>
  <c r="I1305" i="32"/>
  <c r="I1306" i="32"/>
  <c r="I1307" i="32"/>
  <c r="I1308" i="32"/>
  <c r="I1309" i="32"/>
  <c r="I1310" i="32"/>
  <c r="I1311" i="32"/>
  <c r="I1312" i="32"/>
  <c r="I1313" i="32"/>
  <c r="I1314" i="32"/>
  <c r="I1315" i="32"/>
  <c r="I1316" i="32"/>
  <c r="I1317" i="32"/>
  <c r="I1318" i="32"/>
  <c r="I1319" i="32"/>
  <c r="I1320" i="32"/>
  <c r="I1321" i="32"/>
  <c r="I1322" i="32"/>
  <c r="I1323" i="32"/>
  <c r="I1324" i="32"/>
  <c r="I1325" i="32"/>
  <c r="I1326" i="32"/>
  <c r="I1327" i="32"/>
  <c r="I1328" i="32"/>
  <c r="I1329" i="32"/>
  <c r="I1330" i="32"/>
  <c r="I1331" i="32"/>
  <c r="I1332" i="32"/>
  <c r="I1333" i="32"/>
  <c r="I1334" i="32"/>
  <c r="I1335" i="32"/>
  <c r="I1336" i="32"/>
  <c r="I1337" i="32"/>
  <c r="I1338" i="32"/>
  <c r="I1339" i="32"/>
  <c r="I1340" i="32"/>
  <c r="I1341" i="32"/>
  <c r="I1342" i="32"/>
  <c r="I1343" i="32"/>
  <c r="I1344" i="32"/>
  <c r="I1345" i="32"/>
  <c r="I1346" i="32"/>
  <c r="I1347" i="32"/>
  <c r="I1348" i="32"/>
  <c r="I1349" i="32"/>
  <c r="I1350" i="32"/>
  <c r="I1351" i="32"/>
  <c r="I1352" i="32"/>
  <c r="I1353" i="32"/>
  <c r="I1354" i="32"/>
  <c r="I1355" i="32"/>
  <c r="I1356" i="32"/>
  <c r="I1357" i="32"/>
  <c r="I1358" i="32"/>
  <c r="I1359" i="32"/>
  <c r="I1360" i="32"/>
  <c r="I1361" i="32"/>
  <c r="I1362" i="32"/>
  <c r="I1363" i="32"/>
  <c r="I1364" i="32"/>
  <c r="I1365" i="32"/>
  <c r="I1366" i="32"/>
  <c r="I1367" i="32"/>
  <c r="I1368" i="32"/>
  <c r="I1369" i="32"/>
  <c r="I1370" i="32"/>
  <c r="I1371" i="32"/>
  <c r="I1372" i="32"/>
  <c r="I1373" i="32"/>
  <c r="I1374" i="32"/>
  <c r="I1375" i="32"/>
  <c r="I1376" i="32"/>
  <c r="I1377" i="32"/>
  <c r="I1378" i="32"/>
  <c r="I1379" i="32"/>
  <c r="I1380" i="32"/>
  <c r="I1381" i="32"/>
  <c r="I1382" i="32"/>
  <c r="I1383" i="32"/>
  <c r="I1384" i="32"/>
  <c r="I1385" i="32"/>
  <c r="I1386" i="32"/>
  <c r="I1387" i="32"/>
  <c r="I1388" i="32"/>
  <c r="I1389" i="32"/>
  <c r="I1390" i="32"/>
  <c r="I1391" i="32"/>
  <c r="I1392" i="32"/>
  <c r="I1393" i="32"/>
  <c r="I1394" i="32"/>
  <c r="I1395" i="32"/>
  <c r="I1396" i="32"/>
  <c r="I1397" i="32"/>
  <c r="I1398" i="32"/>
  <c r="I1399" i="32"/>
  <c r="I1400" i="32"/>
  <c r="I1401" i="32"/>
  <c r="I1402" i="32"/>
  <c r="I1403" i="32"/>
  <c r="I1404" i="32"/>
  <c r="I1405" i="32"/>
  <c r="I1406" i="32"/>
  <c r="I1407" i="32"/>
  <c r="I1408" i="32"/>
  <c r="I1409" i="32"/>
  <c r="I1410" i="32"/>
  <c r="I1411" i="32"/>
  <c r="I1412" i="32"/>
  <c r="I1413" i="32"/>
  <c r="I1414" i="32"/>
  <c r="I1415" i="32"/>
  <c r="I1416" i="32"/>
  <c r="I1417" i="32"/>
  <c r="I1418" i="32"/>
  <c r="I1419" i="32"/>
  <c r="I1420" i="32"/>
  <c r="I1421" i="32"/>
  <c r="I1422" i="32"/>
  <c r="I1423" i="32"/>
  <c r="I1424" i="32"/>
  <c r="I1425" i="32"/>
  <c r="I1426" i="32"/>
  <c r="I1427" i="32"/>
  <c r="I1428" i="32"/>
  <c r="I1429" i="32"/>
  <c r="I1430" i="32"/>
  <c r="I1431" i="32"/>
  <c r="I1432" i="32"/>
  <c r="I1433" i="32"/>
  <c r="I1434" i="32"/>
  <c r="I1435" i="32"/>
  <c r="I1436" i="32"/>
  <c r="I1437" i="32"/>
  <c r="I1438" i="32"/>
  <c r="I1439" i="32"/>
  <c r="I1440" i="32"/>
  <c r="I1441" i="32"/>
  <c r="I1442" i="32"/>
  <c r="I1443" i="32"/>
  <c r="I1444" i="32"/>
  <c r="I1445" i="32"/>
  <c r="I1446" i="32"/>
  <c r="I1447" i="32"/>
  <c r="I1448" i="32"/>
  <c r="I1449" i="32"/>
  <c r="I1450" i="32"/>
  <c r="I1451" i="32"/>
  <c r="I1452" i="32"/>
  <c r="I1453" i="32"/>
  <c r="I1454" i="32"/>
  <c r="I1455" i="32"/>
  <c r="I1456" i="32"/>
  <c r="I1457" i="32"/>
  <c r="I1458" i="32"/>
  <c r="I1459" i="32"/>
  <c r="I1460" i="32"/>
  <c r="I1461" i="32"/>
  <c r="I1462" i="32"/>
  <c r="I1463" i="32"/>
  <c r="I1464" i="32"/>
  <c r="I1465" i="32"/>
  <c r="I1466" i="32"/>
  <c r="I1467" i="32"/>
  <c r="I1468" i="32"/>
  <c r="I1469" i="32"/>
  <c r="I1470" i="32"/>
  <c r="I1471" i="32"/>
  <c r="I1472" i="32"/>
  <c r="I1473" i="32"/>
  <c r="I1474" i="32"/>
  <c r="I1475" i="32"/>
  <c r="I1476" i="32"/>
  <c r="I1477" i="32"/>
  <c r="I1478" i="32"/>
  <c r="I1479" i="32"/>
  <c r="I1480" i="32"/>
  <c r="I1481" i="32"/>
  <c r="I1482" i="32"/>
  <c r="I1483" i="32"/>
  <c r="I1484" i="32"/>
  <c r="I1485" i="32"/>
  <c r="I1486" i="32"/>
  <c r="I1487" i="32"/>
  <c r="I1488" i="32"/>
  <c r="I1489" i="32"/>
  <c r="I1490" i="32"/>
  <c r="I1491" i="32"/>
  <c r="I1492" i="32"/>
  <c r="I1493" i="32"/>
  <c r="I1494" i="32"/>
  <c r="I1495" i="32"/>
  <c r="I1496" i="32"/>
  <c r="I1497" i="32"/>
  <c r="I1498" i="32"/>
  <c r="I1499" i="32"/>
  <c r="I1500" i="32"/>
  <c r="I1501" i="32"/>
  <c r="I1502" i="32"/>
  <c r="I1503" i="32"/>
  <c r="I1504" i="32"/>
  <c r="I1505" i="32"/>
  <c r="I1506" i="32"/>
  <c r="I1507" i="32"/>
  <c r="I1508" i="32"/>
  <c r="I1509" i="32"/>
  <c r="I1510" i="32"/>
  <c r="I1511" i="32"/>
  <c r="I1512" i="32"/>
  <c r="I1513" i="32"/>
  <c r="I1514" i="32"/>
  <c r="I1515" i="32"/>
  <c r="I1516" i="32"/>
  <c r="I1517" i="32"/>
  <c r="I1518" i="32"/>
  <c r="I1519" i="32"/>
  <c r="I1520" i="32"/>
  <c r="I1521" i="32"/>
  <c r="I1522" i="32"/>
  <c r="I1523" i="32"/>
  <c r="I1524" i="32"/>
  <c r="I1525" i="32"/>
  <c r="I1526" i="32"/>
  <c r="I1527" i="32"/>
  <c r="I1528" i="32"/>
  <c r="I1529" i="32"/>
  <c r="I1530" i="32"/>
  <c r="I1531" i="32"/>
  <c r="I1532" i="32"/>
  <c r="I1533" i="32"/>
  <c r="I1534" i="32"/>
  <c r="I1535" i="32"/>
  <c r="I1536" i="32"/>
  <c r="I1537" i="32"/>
  <c r="I1538" i="32"/>
  <c r="I1539" i="32"/>
  <c r="I1540" i="32"/>
  <c r="I1541" i="32"/>
  <c r="I1542" i="32"/>
  <c r="I1543" i="32"/>
  <c r="I1544" i="32"/>
  <c r="I1545" i="32"/>
  <c r="I1546" i="32"/>
  <c r="I1547" i="32"/>
  <c r="I1548" i="32"/>
  <c r="I1549" i="32"/>
  <c r="I1550" i="32"/>
  <c r="I1551" i="32"/>
  <c r="I1552" i="32"/>
  <c r="I1553" i="32"/>
  <c r="I1554" i="32"/>
  <c r="I1555" i="32"/>
  <c r="I1556" i="32"/>
  <c r="I1557" i="32"/>
  <c r="I1558" i="32"/>
  <c r="I1559" i="32"/>
  <c r="I1560" i="32"/>
  <c r="I1561" i="32"/>
  <c r="I1562" i="32"/>
  <c r="I1563" i="32"/>
  <c r="I1564" i="32"/>
  <c r="I1565" i="32"/>
  <c r="I1566" i="32"/>
  <c r="I1567" i="32"/>
  <c r="I1568" i="32"/>
  <c r="I1569" i="32"/>
  <c r="I1570" i="32"/>
  <c r="I1571" i="32"/>
  <c r="I1572" i="32"/>
  <c r="I1573" i="32"/>
  <c r="I1574" i="32"/>
  <c r="I1575" i="32"/>
  <c r="I1576" i="32"/>
  <c r="I1577" i="32"/>
  <c r="I1578" i="32"/>
  <c r="I1579" i="32"/>
  <c r="I1580" i="32"/>
  <c r="I1581" i="32"/>
  <c r="I1582" i="32"/>
  <c r="I1583" i="32"/>
  <c r="I1584" i="32"/>
  <c r="I1585" i="32"/>
  <c r="I1586" i="32"/>
  <c r="I1587" i="32"/>
  <c r="I1588" i="32"/>
  <c r="I1589" i="32"/>
  <c r="I1590" i="32"/>
  <c r="I1591" i="32"/>
  <c r="I1592" i="32"/>
  <c r="I1593" i="32"/>
  <c r="I1594" i="32"/>
  <c r="I1595" i="32"/>
  <c r="I1596" i="32"/>
  <c r="I1597" i="32"/>
  <c r="I1598" i="32"/>
  <c r="I1599" i="32"/>
  <c r="I1600" i="32"/>
  <c r="I1601" i="32"/>
  <c r="I1602" i="32"/>
  <c r="I1603" i="32"/>
  <c r="I1604" i="32"/>
  <c r="I1605" i="32"/>
  <c r="I1606" i="32"/>
  <c r="I1607" i="32"/>
  <c r="I1608" i="32"/>
  <c r="I1609" i="32"/>
  <c r="I1610" i="32"/>
  <c r="I1611" i="32"/>
  <c r="I1612" i="32"/>
  <c r="I1613" i="32"/>
  <c r="I1614" i="32"/>
  <c r="I1615" i="32"/>
  <c r="I1616" i="32"/>
  <c r="I1617" i="32"/>
  <c r="I1618" i="32"/>
  <c r="I1619" i="32"/>
  <c r="I1620" i="32"/>
  <c r="I1621" i="32"/>
  <c r="I1622" i="32"/>
  <c r="I1623" i="32"/>
  <c r="I1624" i="32"/>
  <c r="I1625" i="32"/>
  <c r="I1626" i="32"/>
  <c r="I1627" i="32"/>
  <c r="I1628" i="32"/>
  <c r="I1629" i="32"/>
  <c r="I1630" i="32"/>
  <c r="I1631" i="32"/>
  <c r="I1632" i="32"/>
  <c r="I1633" i="32"/>
  <c r="I1634" i="32"/>
  <c r="I1635" i="32"/>
  <c r="I1636" i="32"/>
  <c r="I1637" i="32"/>
  <c r="I1638" i="32"/>
  <c r="I1639" i="32"/>
  <c r="I1640" i="32"/>
  <c r="I1641" i="32"/>
  <c r="I1642" i="32"/>
  <c r="I1643" i="32"/>
  <c r="I1644" i="32"/>
  <c r="I1645" i="32"/>
  <c r="I1646" i="32"/>
  <c r="I1647" i="32"/>
  <c r="I1648" i="32"/>
  <c r="I1649" i="32"/>
  <c r="I1650" i="32"/>
  <c r="I1651" i="32"/>
  <c r="I1652" i="32"/>
  <c r="I1653" i="32"/>
  <c r="I1654" i="32"/>
  <c r="I1655" i="32"/>
  <c r="I1656" i="32"/>
  <c r="I1657" i="32"/>
  <c r="I1658" i="32"/>
  <c r="I1659" i="32"/>
  <c r="I1660" i="32"/>
  <c r="I1661" i="32"/>
  <c r="I1662" i="32"/>
  <c r="I1663" i="32"/>
  <c r="I1664" i="32"/>
  <c r="I1665" i="32"/>
  <c r="I1666" i="32"/>
  <c r="I1667" i="32"/>
  <c r="I1668" i="32"/>
  <c r="I1669" i="32"/>
  <c r="I1670" i="32"/>
  <c r="I1671" i="32"/>
  <c r="I1672" i="32"/>
  <c r="I1673" i="32"/>
  <c r="I1674" i="32"/>
  <c r="I1675" i="32"/>
  <c r="I1676" i="32"/>
  <c r="I1677" i="32"/>
  <c r="I1678" i="32"/>
  <c r="I1679" i="32"/>
  <c r="I1680" i="32"/>
  <c r="I1681" i="32"/>
  <c r="I1682" i="32"/>
  <c r="I1683" i="32"/>
  <c r="I1684" i="32"/>
  <c r="I1685" i="32"/>
  <c r="I1686" i="32"/>
  <c r="I1687" i="32"/>
  <c r="I1688" i="32"/>
  <c r="I1689" i="32"/>
  <c r="I1690" i="32"/>
  <c r="I1691" i="32"/>
  <c r="I1692" i="32"/>
  <c r="I1693" i="32"/>
  <c r="I1694" i="32"/>
  <c r="I1695" i="32"/>
  <c r="I1696" i="32"/>
  <c r="I1697" i="32"/>
  <c r="I1698" i="32"/>
  <c r="I1699" i="32"/>
  <c r="I1700" i="32"/>
  <c r="I1701" i="32"/>
  <c r="I1702" i="32"/>
  <c r="I1703" i="32"/>
  <c r="I1704" i="32"/>
  <c r="I1705" i="32"/>
  <c r="I1706" i="32"/>
  <c r="I1707" i="32"/>
  <c r="I1708" i="32"/>
  <c r="I1709" i="32"/>
  <c r="I1710" i="32"/>
  <c r="I1711" i="32"/>
  <c r="I1712" i="32"/>
  <c r="I1713" i="32"/>
  <c r="I1714" i="32"/>
  <c r="I1715" i="32"/>
  <c r="I1716" i="32"/>
  <c r="I1717" i="32"/>
  <c r="I1718" i="32"/>
  <c r="I1719" i="32"/>
  <c r="I1720" i="32"/>
  <c r="I1721" i="32"/>
  <c r="I1722" i="32"/>
  <c r="I1723" i="32"/>
  <c r="I1724" i="32"/>
  <c r="I1725" i="32"/>
  <c r="I1726" i="32"/>
  <c r="I1727" i="32"/>
  <c r="I1728" i="32"/>
  <c r="I1729" i="32"/>
  <c r="I1730" i="32"/>
  <c r="I1731" i="32"/>
  <c r="I1732" i="32"/>
  <c r="I1733" i="32"/>
  <c r="I1734" i="32"/>
  <c r="I1735" i="32"/>
  <c r="I1736" i="32"/>
  <c r="I1737" i="32"/>
  <c r="I1738" i="32"/>
  <c r="I1739" i="32"/>
  <c r="I1740" i="32"/>
  <c r="I1741" i="32"/>
  <c r="I1742" i="32"/>
  <c r="I1743" i="32"/>
  <c r="I1744" i="32"/>
  <c r="I1745" i="32"/>
  <c r="I1746" i="32"/>
  <c r="I1747" i="32"/>
  <c r="I1748" i="32"/>
  <c r="I1749" i="32"/>
  <c r="I1750" i="32"/>
  <c r="I1751" i="32"/>
  <c r="I1752" i="32"/>
  <c r="I1753" i="32"/>
  <c r="I1754" i="32"/>
  <c r="I1755" i="32"/>
  <c r="I1756" i="32"/>
  <c r="I1757" i="32"/>
  <c r="I1758" i="32"/>
  <c r="I1759" i="32"/>
  <c r="I1760" i="32"/>
  <c r="I1761" i="32"/>
  <c r="I1762" i="32"/>
  <c r="I1763" i="32"/>
  <c r="I1764" i="32"/>
  <c r="I1765" i="32"/>
  <c r="I1766" i="32"/>
  <c r="I1767" i="32"/>
  <c r="I1768" i="32"/>
  <c r="I1769" i="32"/>
  <c r="I1770" i="32"/>
  <c r="I1771" i="32"/>
  <c r="I1772" i="32"/>
  <c r="I1773" i="32"/>
  <c r="I1774" i="32"/>
  <c r="I1775" i="32"/>
  <c r="I1776" i="32"/>
  <c r="I1777" i="32"/>
  <c r="I1778" i="32"/>
  <c r="I1779" i="32"/>
  <c r="I1780" i="32"/>
  <c r="I1781" i="32"/>
  <c r="I1782" i="32"/>
  <c r="I1783" i="32"/>
  <c r="I1784" i="32"/>
  <c r="I1785" i="32"/>
  <c r="I1786" i="32"/>
  <c r="I1787" i="32"/>
  <c r="I1788" i="32"/>
  <c r="I1789" i="32"/>
  <c r="I1790" i="32"/>
  <c r="I1791" i="32"/>
  <c r="I1792" i="32"/>
  <c r="I1793" i="32"/>
  <c r="I1794" i="32"/>
  <c r="I1795" i="32"/>
  <c r="I1796" i="32"/>
  <c r="I1797" i="32"/>
  <c r="I1798" i="32"/>
  <c r="I1799" i="32"/>
  <c r="I1800" i="32"/>
  <c r="I1801" i="32"/>
  <c r="I1802" i="32"/>
  <c r="I1803" i="32"/>
  <c r="I1804" i="32"/>
  <c r="I1805" i="32"/>
  <c r="I1806" i="32"/>
  <c r="I1807" i="32"/>
  <c r="I1808" i="32"/>
  <c r="I1809" i="32"/>
  <c r="I1810" i="32"/>
  <c r="I1811" i="32"/>
  <c r="I1812" i="32"/>
  <c r="I1813" i="32"/>
  <c r="I1814" i="32"/>
  <c r="I1815" i="32"/>
  <c r="I1816" i="32"/>
  <c r="I1817" i="32"/>
  <c r="I1818" i="32"/>
  <c r="I1819" i="32"/>
  <c r="I1820" i="32"/>
  <c r="I1821" i="32"/>
  <c r="I1822" i="32"/>
  <c r="I1823" i="32"/>
  <c r="I1824" i="32"/>
  <c r="I1825" i="32"/>
  <c r="I1826" i="32"/>
  <c r="I1827" i="32"/>
  <c r="I1828" i="32"/>
  <c r="I1829" i="32"/>
  <c r="I1830" i="32"/>
  <c r="I1831" i="32"/>
  <c r="I1832" i="32"/>
  <c r="I1833" i="32"/>
  <c r="I1834" i="32"/>
  <c r="I1835" i="32"/>
  <c r="I1836" i="32"/>
  <c r="I1837" i="32"/>
  <c r="I1838" i="32"/>
  <c r="I1839" i="32"/>
  <c r="I1840" i="32"/>
  <c r="I1841" i="32"/>
  <c r="I1842" i="32"/>
  <c r="I1843" i="32"/>
  <c r="I1844" i="32"/>
  <c r="I1845" i="32"/>
  <c r="I1846" i="32"/>
  <c r="I1847" i="32"/>
  <c r="I1848" i="32"/>
  <c r="I1849" i="32"/>
  <c r="I1850" i="32"/>
  <c r="I1851" i="32"/>
  <c r="I1852" i="32"/>
  <c r="I1853" i="32"/>
  <c r="I1854" i="32"/>
  <c r="I1855" i="32"/>
  <c r="I1856" i="32"/>
  <c r="I1857" i="32"/>
  <c r="I1858" i="32"/>
  <c r="I1859" i="32"/>
  <c r="I1860" i="32"/>
  <c r="I1861" i="32"/>
  <c r="I1862" i="32"/>
  <c r="I1863" i="32"/>
  <c r="I1864" i="32"/>
  <c r="I1865" i="32"/>
  <c r="I1866" i="32"/>
  <c r="I1867" i="32"/>
  <c r="I1868" i="32"/>
  <c r="I1869" i="32"/>
  <c r="I1870" i="32"/>
  <c r="I1871" i="32"/>
  <c r="I1872" i="32"/>
  <c r="I1873" i="32"/>
  <c r="I1874" i="32"/>
  <c r="I1875" i="32"/>
  <c r="I1876" i="32"/>
  <c r="I1877" i="32"/>
  <c r="I1878" i="32"/>
  <c r="I1879" i="32"/>
  <c r="I1880" i="32"/>
  <c r="I1881" i="32"/>
  <c r="I1882" i="32"/>
  <c r="I1883" i="32"/>
  <c r="I1884" i="32"/>
  <c r="I1885" i="32"/>
  <c r="I1886" i="32"/>
  <c r="I1887" i="32"/>
  <c r="I1888" i="32"/>
  <c r="I1889" i="32"/>
  <c r="I1890" i="32"/>
  <c r="I1891" i="32"/>
  <c r="I1892" i="32"/>
  <c r="I1893" i="32"/>
  <c r="I1894" i="32"/>
  <c r="I1895" i="32"/>
  <c r="I1896" i="32"/>
  <c r="I1897" i="32"/>
  <c r="I1898" i="32"/>
  <c r="I1899" i="32"/>
  <c r="I1900" i="32"/>
  <c r="I1901" i="32"/>
  <c r="I1902" i="32"/>
  <c r="I1903" i="32"/>
  <c r="I1904" i="32"/>
  <c r="I1905" i="32"/>
  <c r="I1906" i="32"/>
  <c r="I1907" i="32"/>
  <c r="I1908" i="32"/>
  <c r="I1909" i="32"/>
  <c r="I1910" i="32"/>
  <c r="I1911" i="32"/>
  <c r="I1912" i="32"/>
  <c r="I1913" i="32"/>
  <c r="I1914" i="32"/>
  <c r="I1915" i="32"/>
  <c r="I1916" i="32"/>
  <c r="I1917" i="32"/>
  <c r="I1918" i="32"/>
  <c r="I1919" i="32"/>
  <c r="I1920" i="32"/>
  <c r="I1921" i="32"/>
  <c r="I1922" i="32"/>
  <c r="I1923" i="32"/>
  <c r="I1924" i="32"/>
  <c r="I1925" i="32"/>
  <c r="I1926" i="32"/>
  <c r="I1927" i="32"/>
  <c r="I1928" i="32"/>
  <c r="I1929" i="32"/>
  <c r="I1930" i="32"/>
  <c r="I1931" i="32"/>
  <c r="I1932" i="32"/>
  <c r="I1933" i="32"/>
  <c r="I1934" i="32"/>
  <c r="I1935" i="32"/>
  <c r="I1936" i="32"/>
  <c r="I1937" i="32"/>
  <c r="I1938" i="32"/>
  <c r="I1939" i="32"/>
  <c r="I1940" i="32"/>
  <c r="I1941" i="32"/>
  <c r="I1942" i="32"/>
  <c r="I1943" i="32"/>
  <c r="I1944" i="32"/>
  <c r="I1945" i="32"/>
  <c r="I1946" i="32"/>
  <c r="I1947" i="32"/>
  <c r="I1948" i="32"/>
  <c r="I1949" i="32"/>
  <c r="I1950" i="32"/>
  <c r="I1951" i="32"/>
  <c r="I1952" i="32"/>
  <c r="I1953" i="32"/>
  <c r="I1954" i="32"/>
  <c r="I1955" i="32"/>
  <c r="I1956" i="32"/>
  <c r="I1957" i="32"/>
  <c r="I1958" i="32"/>
  <c r="I1959" i="32"/>
  <c r="I1960" i="32"/>
  <c r="I1961" i="32"/>
  <c r="I1962" i="32"/>
  <c r="I1963" i="32"/>
  <c r="I1964" i="32"/>
  <c r="I1965" i="32"/>
  <c r="I1966" i="32"/>
  <c r="I1967" i="32"/>
  <c r="I1968" i="32"/>
  <c r="I1969" i="32"/>
  <c r="I1970" i="32"/>
  <c r="I1971" i="32"/>
  <c r="I1972" i="32"/>
  <c r="I1973" i="32"/>
  <c r="I1974" i="32"/>
  <c r="I1975" i="32"/>
  <c r="I1976" i="32"/>
  <c r="I1977" i="32"/>
  <c r="I1978" i="32"/>
  <c r="I1979" i="32"/>
  <c r="I1980" i="32"/>
  <c r="I1981" i="32"/>
  <c r="I1982" i="32"/>
  <c r="I1983" i="32"/>
  <c r="I1984" i="32"/>
  <c r="I1985" i="32"/>
  <c r="I1986" i="32"/>
  <c r="I1987" i="32"/>
  <c r="I1988" i="32"/>
  <c r="I1989" i="32"/>
  <c r="I1990" i="32"/>
  <c r="I1991" i="32"/>
  <c r="I1992" i="32"/>
  <c r="I1993" i="32"/>
  <c r="I1994" i="32"/>
  <c r="I1995" i="32"/>
  <c r="I1996" i="32"/>
  <c r="I1997" i="32"/>
  <c r="I1998" i="32"/>
  <c r="I1999" i="32"/>
  <c r="I2000" i="32"/>
  <c r="I2001" i="32"/>
  <c r="I2002" i="32"/>
  <c r="I2003" i="32"/>
  <c r="I2004" i="32"/>
  <c r="I2005" i="32"/>
  <c r="I2006" i="32"/>
  <c r="I2007" i="32"/>
  <c r="I2008" i="32"/>
  <c r="I2009" i="32"/>
  <c r="I2010" i="32"/>
  <c r="I2011" i="32"/>
  <c r="I2012" i="32"/>
  <c r="I2013" i="32"/>
  <c r="I2014" i="32"/>
  <c r="I2015" i="32"/>
  <c r="I2016" i="32"/>
  <c r="I2017" i="32"/>
  <c r="I2018" i="32"/>
  <c r="I2019" i="32"/>
  <c r="I2020" i="32"/>
  <c r="I2021" i="32"/>
  <c r="I2022" i="32"/>
  <c r="I2023" i="32"/>
  <c r="I2024" i="32"/>
  <c r="I2025" i="32"/>
  <c r="I2026" i="32"/>
  <c r="I2027" i="32"/>
  <c r="I2028" i="32"/>
  <c r="I2029" i="32"/>
  <c r="I2030" i="32"/>
  <c r="I2031" i="32"/>
  <c r="I2032" i="32"/>
  <c r="I2033" i="32"/>
  <c r="I2034" i="32"/>
  <c r="I2035" i="32"/>
  <c r="I2036" i="32"/>
  <c r="I2037" i="32"/>
  <c r="I2038" i="32"/>
  <c r="I2039" i="32"/>
  <c r="I2040" i="32"/>
  <c r="I2041" i="32"/>
  <c r="I2042" i="32"/>
  <c r="I2043" i="32"/>
  <c r="I2044" i="32"/>
  <c r="I2045" i="32"/>
  <c r="I2046" i="32"/>
  <c r="I2047" i="32"/>
  <c r="I2048" i="32"/>
  <c r="I2049" i="32"/>
  <c r="I2050" i="32"/>
  <c r="I2051" i="32"/>
  <c r="I2052" i="32"/>
  <c r="I2053" i="32"/>
  <c r="I2054" i="32"/>
  <c r="I2055" i="32"/>
  <c r="I2056" i="32"/>
  <c r="I2057" i="32"/>
  <c r="I2058" i="32"/>
  <c r="I2059" i="32"/>
  <c r="I2060" i="32"/>
  <c r="I2061" i="32"/>
  <c r="I2062" i="32"/>
  <c r="I2063" i="32"/>
  <c r="I2064" i="32"/>
  <c r="I2065" i="32"/>
  <c r="I2066" i="32"/>
  <c r="I2067" i="32"/>
  <c r="I2068" i="32"/>
  <c r="I2069" i="32"/>
  <c r="I2070" i="32"/>
  <c r="I2071" i="32"/>
  <c r="I2072" i="32"/>
  <c r="I2073" i="32"/>
  <c r="I2074" i="32"/>
  <c r="I2075" i="32"/>
  <c r="I2076" i="32"/>
  <c r="I2077" i="32"/>
  <c r="I2078" i="32"/>
  <c r="I2079" i="32"/>
  <c r="I2080" i="32"/>
  <c r="I2081" i="32"/>
  <c r="I2082" i="32"/>
  <c r="I2083" i="32"/>
  <c r="I2084" i="32"/>
  <c r="I2085" i="32"/>
  <c r="I2086" i="32"/>
  <c r="I2087" i="32"/>
  <c r="I2088" i="32"/>
  <c r="I2089" i="32"/>
  <c r="I2090" i="32"/>
  <c r="I2091" i="32"/>
  <c r="I2092" i="32"/>
  <c r="I2093" i="32"/>
  <c r="I2094" i="32"/>
  <c r="I2095" i="32"/>
  <c r="I2096" i="32"/>
  <c r="I2097" i="32"/>
  <c r="I2098" i="32"/>
  <c r="I2099" i="32"/>
  <c r="I2100" i="32"/>
  <c r="I2101" i="32"/>
  <c r="I2102" i="32"/>
  <c r="I2103" i="32"/>
  <c r="I2104" i="32"/>
  <c r="I2105" i="32"/>
  <c r="I2106" i="32"/>
  <c r="I2107" i="32"/>
  <c r="I2108" i="32"/>
  <c r="I2109" i="32"/>
  <c r="I2110" i="32"/>
  <c r="I2111" i="32"/>
  <c r="I2112" i="32"/>
  <c r="I2113" i="32"/>
  <c r="I2114" i="32"/>
  <c r="I2115" i="32"/>
  <c r="I2116" i="32"/>
  <c r="I2117" i="32"/>
  <c r="I2118" i="32"/>
  <c r="I2119" i="32"/>
  <c r="I2120" i="32"/>
  <c r="I2121" i="32"/>
  <c r="I2122" i="32"/>
  <c r="I2123" i="32"/>
  <c r="I2124" i="32"/>
  <c r="I2125" i="32"/>
  <c r="I2126" i="32"/>
  <c r="I2127" i="32"/>
  <c r="I2128" i="32"/>
  <c r="I2129" i="32"/>
  <c r="I2130" i="32"/>
  <c r="I2131" i="32"/>
  <c r="I2132" i="32"/>
  <c r="I2133" i="32"/>
  <c r="I2134" i="32"/>
  <c r="I2135" i="32"/>
  <c r="I2136" i="32"/>
  <c r="I2137" i="32"/>
  <c r="I2138" i="32"/>
  <c r="I2139" i="32"/>
  <c r="I2140" i="32"/>
  <c r="I2141" i="32"/>
  <c r="I2142" i="32"/>
  <c r="I2143" i="32"/>
  <c r="I2144" i="32"/>
  <c r="I2145" i="32"/>
  <c r="I2146" i="32"/>
  <c r="I2147" i="32"/>
  <c r="I2148" i="32"/>
  <c r="I2149" i="32"/>
  <c r="I2150" i="32"/>
  <c r="I2151" i="32"/>
  <c r="I2152" i="32"/>
  <c r="I2153" i="32"/>
  <c r="I2154" i="32"/>
  <c r="I2155" i="32"/>
  <c r="I2156" i="32"/>
  <c r="I2157" i="32"/>
  <c r="I2158" i="32"/>
  <c r="I2159" i="32"/>
  <c r="I2160" i="32"/>
  <c r="I2161" i="32"/>
  <c r="I2162" i="32"/>
  <c r="I2163" i="32"/>
  <c r="I2164" i="32"/>
  <c r="I2165" i="32"/>
  <c r="I2166" i="32"/>
  <c r="I2167" i="32"/>
  <c r="I2168" i="32"/>
  <c r="I2169" i="32"/>
  <c r="I2170" i="32"/>
  <c r="I2171" i="32"/>
  <c r="I2172" i="32"/>
  <c r="I2173" i="32"/>
  <c r="I2174" i="32"/>
  <c r="I2175" i="32"/>
  <c r="I2176" i="32"/>
  <c r="I2177" i="32"/>
  <c r="I2178" i="32"/>
  <c r="I2179" i="32"/>
  <c r="I2180" i="32"/>
  <c r="I2181" i="32"/>
  <c r="I2182" i="32"/>
  <c r="I2183" i="32"/>
  <c r="I2184" i="32"/>
  <c r="I2185" i="32"/>
  <c r="I2186" i="32"/>
  <c r="I2187" i="32"/>
  <c r="I2188" i="32"/>
  <c r="I2189" i="32"/>
  <c r="I2190" i="32"/>
  <c r="I2191" i="32"/>
  <c r="I2192" i="32"/>
  <c r="I2193" i="32"/>
  <c r="I2194" i="32"/>
  <c r="I2195" i="32"/>
  <c r="I2196" i="32"/>
  <c r="I2197" i="32"/>
  <c r="I2198" i="32"/>
  <c r="I2199" i="32"/>
  <c r="I2200" i="32"/>
  <c r="I2201" i="32"/>
  <c r="I2202" i="32"/>
  <c r="I2203" i="32"/>
  <c r="I2204" i="32"/>
  <c r="I2205" i="32"/>
  <c r="I2206" i="32"/>
  <c r="I2207" i="32"/>
  <c r="I2208" i="32"/>
  <c r="I2209" i="32"/>
  <c r="I2210" i="32"/>
  <c r="I2211" i="32"/>
  <c r="I2212" i="32"/>
  <c r="I2213" i="32"/>
  <c r="I2214" i="32"/>
  <c r="I2215" i="32"/>
  <c r="I2216" i="32"/>
  <c r="I2217" i="32"/>
  <c r="I2218" i="32"/>
  <c r="I2219" i="32"/>
  <c r="I2220" i="32"/>
  <c r="I2221" i="32"/>
  <c r="I2222" i="32"/>
  <c r="I2223" i="32"/>
  <c r="I2224" i="32"/>
  <c r="I2225" i="32"/>
  <c r="I2226" i="32"/>
  <c r="I2227" i="32"/>
  <c r="I2228" i="32"/>
  <c r="I2229" i="32"/>
  <c r="I2230" i="32"/>
  <c r="I2231" i="32"/>
  <c r="I2232" i="32"/>
  <c r="I2233" i="32"/>
  <c r="I2234" i="32"/>
  <c r="I2235" i="32"/>
  <c r="I2236" i="32"/>
  <c r="I2237" i="32"/>
  <c r="I2238" i="32"/>
  <c r="I2239" i="32"/>
  <c r="I2240" i="32"/>
  <c r="I2241" i="32"/>
  <c r="I2242" i="32"/>
  <c r="I2243" i="32"/>
  <c r="I2244" i="32"/>
  <c r="I2245" i="32"/>
  <c r="I2246" i="32"/>
  <c r="I2247" i="32"/>
  <c r="I2248" i="32"/>
  <c r="I2249" i="32"/>
  <c r="I2250" i="32"/>
  <c r="I2251" i="32"/>
  <c r="I2252" i="32"/>
  <c r="I2253" i="32"/>
  <c r="I2254" i="32"/>
  <c r="I2255" i="32"/>
  <c r="I2256" i="32"/>
  <c r="I2257" i="32"/>
  <c r="I2258" i="32"/>
  <c r="I2259" i="32"/>
  <c r="I2260" i="32"/>
  <c r="I2261" i="32"/>
  <c r="I2262" i="32"/>
  <c r="I2263" i="32"/>
  <c r="I2264" i="32"/>
  <c r="I2265" i="32"/>
  <c r="I2266" i="32"/>
  <c r="I2267" i="32"/>
  <c r="I2268" i="32"/>
  <c r="I2269" i="32"/>
  <c r="I2270" i="32"/>
  <c r="I2271" i="32"/>
  <c r="I2272" i="32"/>
  <c r="I2273" i="32"/>
  <c r="I2274" i="32"/>
  <c r="I2275" i="32"/>
  <c r="I2276" i="32"/>
  <c r="I2277" i="32"/>
  <c r="I2278" i="32"/>
  <c r="I2279" i="32"/>
  <c r="I2280" i="32"/>
  <c r="I2281" i="32"/>
  <c r="I2282" i="32"/>
  <c r="I2283" i="32"/>
  <c r="I2284" i="32"/>
  <c r="I2285" i="32"/>
  <c r="I2286" i="32"/>
  <c r="I2287" i="32"/>
  <c r="I2288" i="32"/>
  <c r="I2289" i="32"/>
  <c r="I2290" i="32"/>
  <c r="I2291" i="32"/>
  <c r="I2292" i="32"/>
  <c r="I2293" i="32"/>
  <c r="I2294" i="32"/>
  <c r="I2295" i="32"/>
  <c r="I2296" i="32"/>
  <c r="I2297" i="32"/>
  <c r="I2298" i="32"/>
  <c r="I2299" i="32"/>
  <c r="I2300" i="32"/>
  <c r="I2301" i="32"/>
  <c r="I2302" i="32"/>
  <c r="I2303" i="32"/>
  <c r="I2304" i="32"/>
  <c r="I2305" i="32"/>
  <c r="I2306" i="32"/>
  <c r="I2307" i="32"/>
  <c r="I2308" i="32"/>
  <c r="I2309" i="32"/>
  <c r="I2310" i="32"/>
  <c r="I2311" i="32"/>
  <c r="I2312" i="32"/>
  <c r="I2313" i="32"/>
  <c r="I2314" i="32"/>
  <c r="I2315" i="32"/>
  <c r="I2316" i="32"/>
  <c r="I2317" i="32"/>
  <c r="I2318" i="32"/>
  <c r="I2319" i="32"/>
  <c r="I2320" i="32"/>
  <c r="I2321" i="32"/>
  <c r="I2322" i="32"/>
  <c r="I2323" i="32"/>
  <c r="I2324" i="32"/>
  <c r="I2325" i="32"/>
  <c r="I2326" i="32"/>
  <c r="I2327" i="32"/>
  <c r="I2328" i="32"/>
  <c r="I2329" i="32"/>
  <c r="I2330" i="32"/>
  <c r="I2331" i="32"/>
  <c r="I2332" i="32"/>
  <c r="I2333" i="32"/>
  <c r="I2334" i="32"/>
  <c r="I2335" i="32"/>
  <c r="I2336" i="32"/>
  <c r="I2337" i="32"/>
  <c r="I2338" i="32"/>
  <c r="I2339" i="32"/>
  <c r="I2340" i="32"/>
  <c r="I2341" i="32"/>
  <c r="I2342" i="32"/>
  <c r="I2343" i="32"/>
  <c r="I2344" i="32"/>
  <c r="I2345" i="32"/>
  <c r="I2346" i="32"/>
  <c r="I2347" i="32"/>
  <c r="I2348" i="32"/>
  <c r="I2349" i="32"/>
  <c r="I2350" i="32"/>
  <c r="I2351" i="32"/>
  <c r="I2352" i="32"/>
  <c r="I2353" i="32"/>
  <c r="I2354" i="32"/>
  <c r="I2355" i="32"/>
  <c r="I2356" i="32"/>
  <c r="I2357" i="32"/>
  <c r="I2358" i="32"/>
  <c r="I2359" i="32"/>
  <c r="I2360" i="32"/>
  <c r="I2361" i="32"/>
  <c r="I2362" i="32"/>
  <c r="I2363" i="32"/>
  <c r="I2364" i="32"/>
  <c r="I2365" i="32"/>
  <c r="I2366" i="32"/>
  <c r="I2367" i="32"/>
  <c r="I2368" i="32"/>
  <c r="I2369" i="32"/>
  <c r="I2370" i="32"/>
  <c r="I2371" i="32"/>
  <c r="I2372" i="32"/>
  <c r="I2373" i="32"/>
  <c r="I2374" i="32"/>
  <c r="I2375" i="32"/>
  <c r="I2376" i="32"/>
  <c r="I2377" i="32"/>
  <c r="I2378" i="32"/>
  <c r="I2379" i="32"/>
  <c r="I2380" i="32"/>
  <c r="I2381" i="32"/>
  <c r="I2382" i="32"/>
  <c r="I2383" i="32"/>
  <c r="I2384" i="32"/>
  <c r="I2385" i="32"/>
  <c r="I2386" i="32"/>
  <c r="I2387" i="32"/>
  <c r="I2388" i="32"/>
  <c r="I2389" i="32"/>
  <c r="I2390" i="32"/>
  <c r="I2391" i="32"/>
  <c r="I2392" i="32"/>
  <c r="I2393" i="32"/>
  <c r="I2394" i="32"/>
  <c r="I2395" i="32"/>
  <c r="I2396" i="32"/>
  <c r="I2397" i="32"/>
  <c r="I2398" i="32"/>
  <c r="I2399" i="32"/>
  <c r="I2400" i="32"/>
  <c r="I2401" i="32"/>
  <c r="I2402" i="32"/>
  <c r="I2403" i="32"/>
  <c r="I2404" i="32"/>
  <c r="I2405" i="32"/>
  <c r="I2406" i="32"/>
  <c r="I2407" i="32"/>
  <c r="I2408" i="32"/>
  <c r="I2409" i="32"/>
  <c r="I2410" i="32"/>
  <c r="I2411" i="32"/>
  <c r="I2412" i="32"/>
  <c r="I2413" i="32"/>
  <c r="I2414" i="32"/>
  <c r="I2415" i="32"/>
  <c r="I2416" i="32"/>
  <c r="I2417" i="32"/>
  <c r="I2418" i="32"/>
  <c r="I2419" i="32"/>
  <c r="I2420" i="32"/>
  <c r="I2421" i="32"/>
  <c r="I2422" i="32"/>
  <c r="I2423" i="32"/>
  <c r="I2424" i="32"/>
  <c r="I2425" i="32"/>
  <c r="I2426" i="32"/>
  <c r="I2427" i="32"/>
  <c r="I2428" i="32"/>
  <c r="I2429" i="32"/>
  <c r="I2430" i="32"/>
  <c r="I2431" i="32"/>
  <c r="I2432" i="32"/>
  <c r="I2433" i="32"/>
  <c r="I2434" i="32"/>
  <c r="I2435" i="32"/>
  <c r="I2436" i="32"/>
  <c r="I2437" i="32"/>
  <c r="I2438" i="32"/>
  <c r="I2439" i="32"/>
  <c r="I2440" i="32"/>
  <c r="I2441" i="32"/>
  <c r="I2442" i="32"/>
  <c r="I2443" i="32"/>
  <c r="I2444" i="32"/>
  <c r="I2445" i="32"/>
  <c r="I2446" i="32"/>
  <c r="I2447" i="32"/>
  <c r="I2448" i="32"/>
  <c r="I2449" i="32"/>
  <c r="I2450" i="32"/>
  <c r="I2451" i="32"/>
  <c r="I2452" i="32"/>
  <c r="I2453" i="32"/>
  <c r="I2454" i="32"/>
  <c r="I2455" i="32"/>
  <c r="I2456" i="32"/>
  <c r="I2457" i="32"/>
  <c r="I2458" i="32"/>
  <c r="I2459" i="32"/>
  <c r="I2460" i="32"/>
  <c r="I2461" i="32"/>
  <c r="I2462" i="32"/>
  <c r="I2463" i="32"/>
  <c r="I2464" i="32"/>
  <c r="I2465" i="32"/>
  <c r="I2466" i="32"/>
  <c r="I2467" i="32"/>
  <c r="I2468" i="32"/>
  <c r="I2469" i="32"/>
  <c r="I2470" i="32"/>
  <c r="I2471" i="32"/>
  <c r="I2472" i="32"/>
  <c r="I2473" i="32"/>
  <c r="I2474" i="32"/>
  <c r="I2475" i="32"/>
  <c r="I2476" i="32"/>
  <c r="I2477" i="32"/>
  <c r="I2478" i="32"/>
  <c r="I2479" i="32"/>
  <c r="I2480" i="32"/>
  <c r="I2481" i="32"/>
  <c r="I2482" i="32"/>
  <c r="I2483" i="32"/>
  <c r="I2484" i="32"/>
  <c r="I2485" i="32"/>
  <c r="I2486" i="32"/>
  <c r="I2487" i="32"/>
  <c r="I2488" i="32"/>
  <c r="I2489" i="32"/>
  <c r="I2490" i="32"/>
  <c r="I2491" i="32"/>
  <c r="I2492" i="32"/>
  <c r="I2493" i="32"/>
  <c r="I2494" i="32"/>
  <c r="I2495" i="32"/>
  <c r="I2496" i="32"/>
  <c r="I2497" i="32"/>
  <c r="I2498" i="32"/>
  <c r="I2499" i="32"/>
  <c r="I2500" i="32"/>
  <c r="I2501" i="32"/>
  <c r="I2502" i="32"/>
  <c r="I2503" i="32"/>
  <c r="I2504" i="32"/>
  <c r="I2505" i="32"/>
  <c r="I2506" i="32"/>
  <c r="I2507" i="32"/>
  <c r="I2508" i="32"/>
  <c r="I2509" i="32"/>
  <c r="I2510" i="32"/>
  <c r="I2511" i="32"/>
  <c r="I2512" i="32"/>
  <c r="I2513" i="32"/>
  <c r="I2514" i="32"/>
  <c r="I2515" i="32"/>
  <c r="I2516" i="32"/>
  <c r="I2517" i="32"/>
  <c r="I2518" i="32"/>
  <c r="I2519" i="32"/>
  <c r="I2520" i="32"/>
  <c r="I2521" i="32"/>
  <c r="I2522" i="32"/>
  <c r="I2523" i="32"/>
  <c r="I2524" i="32"/>
  <c r="I2525" i="32"/>
  <c r="I2526" i="32"/>
  <c r="I2527" i="32"/>
  <c r="I2528" i="32"/>
  <c r="I2529" i="32"/>
  <c r="I2530" i="32"/>
  <c r="I2531" i="32"/>
  <c r="I2532" i="32"/>
  <c r="I2533" i="32"/>
  <c r="I2534" i="32"/>
  <c r="I2535" i="32"/>
  <c r="I2536" i="32"/>
  <c r="I2537" i="32"/>
  <c r="I2538" i="32"/>
  <c r="I2539" i="32"/>
  <c r="I2540" i="32"/>
  <c r="I2541" i="32"/>
  <c r="I2542" i="32"/>
  <c r="I2543" i="32"/>
  <c r="I2544" i="32"/>
  <c r="I2545" i="32"/>
  <c r="I2546" i="32"/>
  <c r="I2547" i="32"/>
  <c r="I2548" i="32"/>
  <c r="I2549" i="32"/>
  <c r="I2550" i="32"/>
  <c r="I2551" i="32"/>
  <c r="I2552" i="32"/>
  <c r="I2553" i="32"/>
  <c r="I2554" i="32"/>
  <c r="I2555" i="32"/>
  <c r="I2556" i="32"/>
  <c r="I2557" i="32"/>
  <c r="I2558" i="32"/>
  <c r="I2559" i="32"/>
  <c r="I2560" i="32"/>
  <c r="I2561" i="32"/>
  <c r="I2562" i="32"/>
  <c r="I2563" i="32"/>
  <c r="I2564" i="32"/>
  <c r="I2565" i="32"/>
  <c r="I2566" i="32"/>
  <c r="I2567" i="32"/>
  <c r="I2568" i="32"/>
  <c r="I2569" i="32"/>
  <c r="I2570" i="32"/>
  <c r="I2571" i="32"/>
  <c r="I2572" i="32"/>
  <c r="I2573" i="32"/>
  <c r="I2574" i="32"/>
  <c r="I2575" i="32"/>
  <c r="I2576" i="32"/>
  <c r="I2577" i="32"/>
  <c r="I2578" i="32"/>
  <c r="I2579" i="32"/>
  <c r="I2580" i="32"/>
  <c r="I2581" i="32"/>
  <c r="I2582" i="32"/>
  <c r="I2583" i="32"/>
  <c r="I2584" i="32"/>
  <c r="I2585" i="32"/>
  <c r="I2586" i="32"/>
  <c r="I2587" i="32"/>
  <c r="I2588" i="32"/>
  <c r="I2589" i="32"/>
  <c r="I2590" i="32"/>
  <c r="I2591" i="32"/>
  <c r="I2592" i="32"/>
  <c r="I2593" i="32"/>
  <c r="I2594" i="32"/>
  <c r="I2595" i="32"/>
  <c r="I2596" i="32"/>
  <c r="I2597" i="32"/>
  <c r="I2598" i="32"/>
  <c r="I2599" i="32"/>
  <c r="I2600" i="32"/>
  <c r="I2601" i="32"/>
  <c r="I2602" i="32"/>
  <c r="I2603" i="32"/>
  <c r="I2604" i="32"/>
  <c r="I2605" i="32"/>
  <c r="I2606" i="32"/>
  <c r="I2607" i="32"/>
  <c r="I2608" i="32"/>
  <c r="I2609" i="32"/>
  <c r="I2610" i="32"/>
  <c r="I2611" i="32"/>
  <c r="I2612" i="32"/>
  <c r="I2613" i="32"/>
  <c r="I2614" i="32"/>
  <c r="I2615" i="32"/>
  <c r="I2616" i="32"/>
  <c r="I2617" i="32"/>
  <c r="I2618" i="32"/>
  <c r="I2619" i="32"/>
  <c r="I2620" i="32"/>
  <c r="I2621" i="32"/>
  <c r="I2622" i="32"/>
  <c r="I2623" i="32"/>
  <c r="I2624" i="32"/>
  <c r="I2625" i="32"/>
  <c r="I2626" i="32"/>
  <c r="I2627" i="32"/>
  <c r="I2628" i="32"/>
  <c r="I2629" i="32"/>
  <c r="I2630" i="32"/>
  <c r="I2631" i="32"/>
  <c r="I2632" i="32"/>
  <c r="I2633" i="32"/>
  <c r="I2634" i="32"/>
  <c r="I2635" i="32"/>
  <c r="I2636" i="32"/>
  <c r="I2637" i="32"/>
  <c r="I2638" i="32"/>
  <c r="I2639" i="32"/>
  <c r="I2640" i="32"/>
  <c r="I2641" i="32"/>
  <c r="I2642" i="32"/>
  <c r="I2643" i="32"/>
  <c r="I2644" i="32"/>
  <c r="I2645" i="32"/>
  <c r="I2646" i="32"/>
  <c r="I2647" i="32"/>
  <c r="I2648" i="32"/>
  <c r="I2649" i="32"/>
  <c r="I2650" i="32"/>
  <c r="I2651" i="32"/>
  <c r="I2652" i="32"/>
  <c r="I2653" i="32"/>
  <c r="I2654" i="32"/>
  <c r="I2655" i="32"/>
  <c r="I2656" i="32"/>
  <c r="I2657" i="32"/>
  <c r="I2658" i="32"/>
  <c r="I2659" i="32"/>
  <c r="I2660" i="32"/>
  <c r="I2661" i="32"/>
  <c r="I2662" i="32"/>
  <c r="I2663" i="32"/>
  <c r="I2664" i="32"/>
  <c r="I2665" i="32"/>
  <c r="I2666" i="32"/>
  <c r="I2667" i="32"/>
  <c r="I2668" i="32"/>
  <c r="I2669" i="32"/>
  <c r="I2670" i="32"/>
  <c r="I2671" i="32"/>
  <c r="I2672" i="32"/>
  <c r="I2673" i="32"/>
  <c r="I2674" i="32"/>
  <c r="I2675" i="32"/>
  <c r="I2676" i="32"/>
  <c r="I2677" i="32"/>
  <c r="I2678" i="32"/>
  <c r="I2679" i="32"/>
  <c r="I2680" i="32"/>
  <c r="I2681" i="32"/>
  <c r="I2682" i="32"/>
  <c r="I2683" i="32"/>
  <c r="I2684" i="32"/>
  <c r="I2685" i="32"/>
  <c r="I2686" i="32"/>
  <c r="I2687" i="32"/>
  <c r="I2688" i="32"/>
  <c r="I2689" i="32"/>
  <c r="I2690" i="32"/>
  <c r="I2691" i="32"/>
  <c r="I2692" i="32"/>
  <c r="I2693" i="32"/>
  <c r="I2694" i="32"/>
  <c r="I2695" i="32"/>
  <c r="I2696" i="32"/>
  <c r="I2697" i="32"/>
  <c r="I2698" i="32"/>
  <c r="I2699" i="32"/>
  <c r="I2700" i="32"/>
  <c r="I2701" i="32"/>
  <c r="I2702" i="32"/>
  <c r="I2703" i="32"/>
  <c r="I2704" i="32"/>
  <c r="I2705" i="32"/>
  <c r="I2706" i="32"/>
  <c r="I2707" i="32"/>
  <c r="I2708" i="32"/>
  <c r="I2709" i="32"/>
  <c r="I2710" i="32"/>
  <c r="I2711" i="32"/>
  <c r="I2712" i="32"/>
  <c r="I2713" i="32"/>
  <c r="I2714" i="32"/>
  <c r="I2715" i="32"/>
  <c r="I2716" i="32"/>
  <c r="I2717" i="32"/>
  <c r="I2718" i="32"/>
  <c r="I2719" i="32"/>
  <c r="I2720" i="32"/>
  <c r="I2721" i="32"/>
  <c r="I2722" i="32"/>
  <c r="I2723" i="32"/>
  <c r="I2724" i="32"/>
  <c r="I2725" i="32"/>
  <c r="I2726" i="32"/>
  <c r="I2727" i="32"/>
  <c r="I2728" i="32"/>
  <c r="I2729" i="32"/>
  <c r="I2730" i="32"/>
  <c r="I2731" i="32"/>
  <c r="I2732" i="32"/>
  <c r="I2733" i="32"/>
  <c r="I2734" i="32"/>
  <c r="I2735" i="32"/>
  <c r="I2736" i="32"/>
  <c r="I2737" i="32"/>
  <c r="I2738" i="32"/>
  <c r="I2739" i="32"/>
  <c r="I2740" i="32"/>
  <c r="I2741" i="32"/>
  <c r="I2742" i="32"/>
  <c r="I2743" i="32"/>
  <c r="I2744" i="32"/>
  <c r="I2745" i="32"/>
  <c r="I2746" i="32"/>
  <c r="I2747" i="32"/>
  <c r="I2748" i="32"/>
  <c r="I2749" i="32"/>
  <c r="I2750" i="32"/>
  <c r="I2751" i="32"/>
  <c r="I2752" i="32"/>
  <c r="I2753" i="32"/>
  <c r="I2754" i="32"/>
  <c r="I2755" i="32"/>
  <c r="I2756" i="32"/>
  <c r="I2757" i="32"/>
  <c r="I2758" i="32"/>
  <c r="I2759" i="32"/>
  <c r="I2760" i="32"/>
  <c r="I2761" i="32"/>
  <c r="I2762" i="32"/>
  <c r="I2763" i="32"/>
  <c r="I2764" i="32"/>
  <c r="I2765" i="32"/>
  <c r="I2766" i="32"/>
  <c r="I2767" i="32"/>
  <c r="I2768" i="32"/>
  <c r="I2769" i="32"/>
  <c r="I2770" i="32"/>
  <c r="I2771" i="32"/>
  <c r="I2772" i="32"/>
  <c r="I2773" i="32"/>
  <c r="I2774" i="32"/>
  <c r="I2775" i="32"/>
  <c r="I2776" i="32"/>
  <c r="I2777" i="32"/>
  <c r="I2778" i="32"/>
  <c r="I2779" i="32"/>
  <c r="I2780" i="32"/>
  <c r="I2781" i="32"/>
  <c r="I2782" i="32"/>
  <c r="I2783" i="32"/>
  <c r="I2784" i="32"/>
  <c r="I2785" i="32"/>
  <c r="I2786" i="32"/>
  <c r="I2787" i="32"/>
  <c r="I2788" i="32"/>
  <c r="I2789" i="32"/>
  <c r="I2790" i="32"/>
  <c r="I2791" i="32"/>
  <c r="I2792" i="32"/>
  <c r="I2793" i="32"/>
  <c r="I2794" i="32"/>
  <c r="I2795" i="32"/>
  <c r="I2796" i="32"/>
  <c r="I2797" i="32"/>
  <c r="I2798" i="32"/>
  <c r="I2799" i="32"/>
  <c r="I2800" i="32"/>
  <c r="I2801" i="32"/>
  <c r="I2802" i="32"/>
  <c r="I2803" i="32"/>
  <c r="I2804" i="32"/>
  <c r="I2805" i="32"/>
  <c r="I2806" i="32"/>
  <c r="I2807" i="32"/>
  <c r="I2808" i="32"/>
  <c r="I2809" i="32"/>
  <c r="I2810" i="32"/>
  <c r="I2811" i="32"/>
  <c r="I2812" i="32"/>
  <c r="I2813" i="32"/>
  <c r="I2814" i="32"/>
  <c r="I2815" i="32"/>
  <c r="I2816" i="32"/>
  <c r="I2817" i="32"/>
  <c r="I2818" i="32"/>
  <c r="I2819" i="32"/>
  <c r="I2820" i="32"/>
  <c r="I2821" i="32"/>
  <c r="I2822" i="32"/>
  <c r="I2823" i="32"/>
  <c r="I2824" i="32"/>
  <c r="I2825" i="32"/>
  <c r="I2826" i="32"/>
  <c r="I2827" i="32"/>
  <c r="I2828" i="32"/>
  <c r="I2829" i="32"/>
  <c r="I2830" i="32"/>
  <c r="I2831" i="32"/>
  <c r="I2832" i="32"/>
  <c r="I2833" i="32"/>
  <c r="I2834" i="32"/>
  <c r="I2835" i="32"/>
  <c r="I2836" i="32"/>
  <c r="I2837" i="32"/>
  <c r="I2838" i="32"/>
  <c r="I2839" i="32"/>
  <c r="I2840" i="32"/>
  <c r="I2841" i="32"/>
  <c r="I2842" i="32"/>
  <c r="I2843" i="32"/>
  <c r="I2844" i="32"/>
  <c r="I2845" i="32"/>
  <c r="I2846" i="32"/>
  <c r="I2847" i="32"/>
  <c r="I2848" i="32"/>
  <c r="I2849" i="32"/>
  <c r="I2850" i="32"/>
  <c r="I2851" i="32"/>
  <c r="I2852" i="32"/>
  <c r="I2853" i="32"/>
  <c r="I2854" i="32"/>
  <c r="I2855" i="32"/>
  <c r="I2856" i="32"/>
  <c r="I2857" i="32"/>
  <c r="I2858" i="32"/>
  <c r="I2859" i="32"/>
  <c r="I2860" i="32"/>
  <c r="I2861" i="32"/>
  <c r="I2862" i="32"/>
  <c r="I2863" i="32"/>
  <c r="I2864" i="32"/>
  <c r="I2865" i="32"/>
  <c r="I2866" i="32"/>
  <c r="I2867" i="32"/>
  <c r="I2868" i="32"/>
  <c r="I2869" i="32"/>
  <c r="I2870" i="32"/>
  <c r="I2871" i="32"/>
  <c r="I2872" i="32"/>
  <c r="I2873" i="32"/>
  <c r="I2874" i="32"/>
  <c r="I2875" i="32"/>
  <c r="I2876" i="32"/>
  <c r="I2877" i="32"/>
  <c r="I2878" i="32"/>
  <c r="I2879" i="32"/>
  <c r="I2880" i="32"/>
  <c r="I2881" i="32"/>
  <c r="I2882" i="32"/>
  <c r="I2883" i="32"/>
  <c r="I2884" i="32"/>
  <c r="I2885" i="32"/>
  <c r="I2886" i="32"/>
  <c r="I2887" i="32"/>
  <c r="I2888" i="32"/>
  <c r="I2889" i="32"/>
  <c r="I2890" i="32"/>
  <c r="I2891" i="32"/>
  <c r="I2892" i="32"/>
  <c r="I2893" i="32"/>
  <c r="I2894" i="32"/>
  <c r="I2895" i="32"/>
  <c r="I2896" i="32"/>
  <c r="I2897" i="32"/>
  <c r="I2898" i="32"/>
  <c r="I2899" i="32"/>
  <c r="I2900" i="32"/>
  <c r="I2901" i="32"/>
  <c r="I2902" i="32"/>
  <c r="I2903" i="32"/>
  <c r="I2904" i="32"/>
  <c r="I2905" i="32"/>
  <c r="I2906" i="32"/>
  <c r="I2907" i="32"/>
  <c r="I2908" i="32"/>
  <c r="I2909" i="32"/>
  <c r="I2910" i="32"/>
  <c r="I2911" i="32"/>
  <c r="I2912" i="32"/>
  <c r="I2913" i="32"/>
  <c r="I2914" i="32"/>
  <c r="I2915" i="32"/>
  <c r="I2916" i="32"/>
  <c r="I2917" i="32"/>
  <c r="I2918" i="32"/>
  <c r="I2919" i="32"/>
  <c r="I2920" i="32"/>
  <c r="I2921" i="32"/>
  <c r="I2922" i="32"/>
  <c r="I2923" i="32"/>
  <c r="I2924" i="32"/>
  <c r="I2925" i="32"/>
  <c r="I2926" i="32"/>
  <c r="I2927" i="32"/>
  <c r="I2928" i="32"/>
  <c r="I2929" i="32"/>
  <c r="I2930" i="32"/>
  <c r="I2931" i="32"/>
  <c r="I2932" i="32"/>
  <c r="I2933" i="32"/>
  <c r="I2934" i="32"/>
  <c r="I2935" i="32"/>
  <c r="I2936" i="32"/>
  <c r="I2937" i="32"/>
  <c r="I2938" i="32"/>
  <c r="I2939" i="32"/>
  <c r="I2940" i="32"/>
  <c r="I2941" i="32"/>
  <c r="I2942" i="32"/>
  <c r="I2943" i="32"/>
  <c r="I2944" i="32"/>
  <c r="I2945" i="32"/>
  <c r="I2946" i="32"/>
  <c r="I2947" i="32"/>
  <c r="I2948" i="32"/>
  <c r="I2949" i="32"/>
  <c r="I2950" i="32"/>
  <c r="I2951" i="32"/>
  <c r="I2952" i="32"/>
  <c r="I2953" i="32"/>
  <c r="I2954" i="32"/>
  <c r="I2955" i="32"/>
  <c r="I2956" i="32"/>
  <c r="I2957" i="32"/>
  <c r="I2958" i="32"/>
  <c r="I2959" i="32"/>
  <c r="I2960" i="32"/>
  <c r="I2961" i="32"/>
  <c r="I2962" i="32"/>
  <c r="I2963" i="32"/>
  <c r="I2964" i="32"/>
  <c r="I2965" i="32"/>
  <c r="I2966" i="32"/>
  <c r="I2967" i="32"/>
  <c r="I2968" i="32"/>
  <c r="I2969" i="32"/>
  <c r="I2970" i="32"/>
  <c r="I2971" i="32"/>
  <c r="I2972" i="32"/>
  <c r="I2973" i="32"/>
  <c r="I2974" i="32"/>
  <c r="I2975" i="32"/>
  <c r="I2976" i="32"/>
  <c r="I2977" i="32"/>
  <c r="I2978" i="32"/>
  <c r="I2979" i="32"/>
  <c r="I2980" i="32"/>
  <c r="I2981" i="32"/>
  <c r="I2982" i="32"/>
  <c r="I2983" i="32"/>
  <c r="I2984" i="32"/>
  <c r="I2985" i="32"/>
  <c r="I2986" i="32"/>
  <c r="I2987" i="32"/>
  <c r="I2988" i="32"/>
  <c r="I2989" i="32"/>
  <c r="I2990" i="32"/>
  <c r="I2991" i="32"/>
  <c r="I2992" i="32"/>
  <c r="I2993" i="32"/>
  <c r="I2994" i="32"/>
  <c r="I2995" i="32"/>
  <c r="I2996" i="32"/>
  <c r="I2997" i="32"/>
  <c r="I2998" i="32"/>
  <c r="I2999" i="32"/>
  <c r="I3000" i="32"/>
  <c r="I3001" i="32"/>
  <c r="I3002" i="32"/>
  <c r="I3003" i="32"/>
  <c r="I3004" i="32"/>
  <c r="I3005" i="32"/>
  <c r="I3006" i="32"/>
  <c r="I3007" i="32"/>
  <c r="I3008" i="32"/>
  <c r="I3009" i="32"/>
  <c r="I3010" i="32"/>
  <c r="I3011" i="32"/>
  <c r="I3012" i="32"/>
  <c r="I3013" i="32"/>
  <c r="I3014" i="32"/>
  <c r="I3015" i="32"/>
  <c r="I3016" i="32"/>
  <c r="I3017" i="32"/>
  <c r="I3018" i="32"/>
  <c r="I3019" i="32"/>
  <c r="I3020" i="32"/>
  <c r="I3021" i="32"/>
  <c r="I3022" i="32"/>
  <c r="I3023" i="32"/>
  <c r="I3024" i="32"/>
  <c r="I3025" i="32"/>
  <c r="I3026" i="32"/>
  <c r="I3027" i="32"/>
  <c r="I3028" i="32"/>
  <c r="I3029" i="32"/>
  <c r="I3030" i="32"/>
  <c r="I3031" i="32"/>
  <c r="I3032" i="32"/>
  <c r="I3033" i="32"/>
  <c r="I3034" i="32"/>
  <c r="I3035" i="32"/>
  <c r="I3036" i="32"/>
  <c r="I3037" i="32"/>
  <c r="I3038" i="32"/>
  <c r="I3039" i="32"/>
  <c r="I3040" i="32"/>
  <c r="I3041" i="32"/>
  <c r="I3042" i="32"/>
  <c r="I3043" i="32"/>
  <c r="I3044" i="32"/>
  <c r="I3045" i="32"/>
  <c r="I3046" i="32"/>
  <c r="I3047" i="32"/>
  <c r="I3048" i="32"/>
  <c r="I3049" i="32"/>
  <c r="I3050" i="32"/>
  <c r="I3051" i="32"/>
  <c r="I3052" i="32"/>
  <c r="I3053" i="32"/>
  <c r="I3054" i="32"/>
  <c r="I3055" i="32"/>
  <c r="I3056" i="32"/>
  <c r="I3057" i="32"/>
  <c r="I3058" i="32"/>
  <c r="I3059" i="32"/>
  <c r="I3060" i="32"/>
  <c r="I3061" i="32"/>
  <c r="I3062" i="32"/>
  <c r="I3063" i="32"/>
  <c r="I3064" i="32"/>
  <c r="I3065" i="32"/>
  <c r="I3066" i="32"/>
  <c r="I3067" i="32"/>
  <c r="I3068" i="32"/>
  <c r="I3069" i="32"/>
  <c r="I3070" i="32"/>
  <c r="I3071" i="32"/>
  <c r="I3072" i="32"/>
  <c r="I3073" i="32"/>
  <c r="I3074" i="32"/>
  <c r="I3075" i="32"/>
  <c r="I3076" i="32"/>
  <c r="I3077" i="32"/>
  <c r="I3078" i="32"/>
  <c r="I3079" i="32"/>
  <c r="I3080" i="32"/>
  <c r="I3081" i="32"/>
  <c r="I3082" i="32"/>
  <c r="I3083" i="32"/>
  <c r="I3084" i="32"/>
  <c r="I3085" i="32"/>
  <c r="I3086" i="32"/>
  <c r="I3087" i="32"/>
  <c r="I3088" i="32"/>
  <c r="I3089" i="32"/>
  <c r="I3090" i="32"/>
  <c r="I3091" i="32"/>
  <c r="I3092" i="32"/>
  <c r="I3093" i="32"/>
  <c r="I3094" i="32"/>
  <c r="I3095" i="32"/>
  <c r="I3096" i="32"/>
  <c r="I3097" i="32"/>
  <c r="I3098" i="32"/>
  <c r="I3099" i="32"/>
  <c r="I3100" i="32"/>
  <c r="I3101" i="32"/>
  <c r="I3102" i="32"/>
  <c r="I3103" i="32"/>
  <c r="I3104" i="32"/>
  <c r="I3105" i="32"/>
  <c r="I3106" i="32"/>
  <c r="I3107" i="32"/>
  <c r="I3108" i="32"/>
  <c r="I3109" i="32"/>
  <c r="I3110" i="32"/>
  <c r="I3111" i="32"/>
  <c r="I3112" i="32"/>
  <c r="I3113" i="32"/>
  <c r="I3114" i="32"/>
  <c r="I3115" i="32"/>
  <c r="I3116" i="32"/>
  <c r="I3117" i="32"/>
  <c r="I3118" i="32"/>
  <c r="I3119" i="32"/>
  <c r="I3120" i="32"/>
  <c r="I3121" i="32"/>
  <c r="I3122" i="32"/>
  <c r="I3123" i="32"/>
  <c r="I3124" i="32"/>
  <c r="I3125" i="32"/>
  <c r="I3126" i="32"/>
  <c r="I3127" i="32"/>
  <c r="I3128" i="32"/>
  <c r="I3129" i="32"/>
  <c r="I3130" i="32"/>
  <c r="I3131" i="32"/>
  <c r="I3132" i="32"/>
  <c r="I3133" i="32"/>
  <c r="I3134" i="32"/>
  <c r="I3135" i="32"/>
  <c r="I3136" i="32"/>
  <c r="I3137" i="32"/>
  <c r="I3138" i="32"/>
  <c r="I3139" i="32"/>
  <c r="I3140" i="32"/>
  <c r="I3141" i="32"/>
  <c r="I3142" i="32"/>
  <c r="I3143" i="32"/>
  <c r="I3144" i="32"/>
  <c r="I3145" i="32"/>
  <c r="I3146" i="32"/>
  <c r="I3147" i="32"/>
  <c r="I3148" i="32"/>
  <c r="I3149" i="32"/>
  <c r="I3150" i="32"/>
  <c r="I3151" i="32"/>
  <c r="I3152" i="32"/>
  <c r="I3153" i="32"/>
  <c r="I3154" i="32"/>
  <c r="I3155" i="32"/>
  <c r="I3156" i="32"/>
  <c r="I3157" i="32"/>
  <c r="I3158" i="32"/>
  <c r="I3159" i="32"/>
  <c r="I3160" i="32"/>
  <c r="I3161" i="32"/>
  <c r="I3162" i="32"/>
  <c r="I3163" i="32"/>
  <c r="I3164" i="32"/>
  <c r="I3165" i="32"/>
  <c r="I3166" i="32"/>
  <c r="I3167" i="32"/>
  <c r="I3168" i="32"/>
  <c r="I3169" i="32"/>
  <c r="I3170" i="32"/>
  <c r="I3171" i="32"/>
  <c r="I3172" i="32"/>
  <c r="I3173" i="32"/>
  <c r="I3174" i="32"/>
  <c r="I3175" i="32"/>
  <c r="I3176" i="32"/>
  <c r="I3177" i="32"/>
  <c r="I3178" i="32"/>
  <c r="I3179" i="32"/>
  <c r="I3180" i="32"/>
  <c r="I3181" i="32"/>
  <c r="I3182" i="32"/>
  <c r="I3183" i="32"/>
  <c r="I3184" i="32"/>
  <c r="I3185" i="32"/>
  <c r="I3186" i="32"/>
  <c r="I3187" i="32"/>
  <c r="I3188" i="32"/>
  <c r="I3189" i="32"/>
  <c r="I3190" i="32"/>
  <c r="I3191" i="32"/>
  <c r="I3192" i="32"/>
  <c r="I3193" i="32"/>
  <c r="I3194" i="32"/>
  <c r="I3195" i="32"/>
  <c r="I3196" i="32"/>
  <c r="I3197" i="32"/>
  <c r="I3198" i="32"/>
  <c r="I3199" i="32"/>
  <c r="I3200" i="32"/>
  <c r="I3201" i="32"/>
  <c r="I3202" i="32"/>
  <c r="I3203" i="32"/>
  <c r="I3204" i="32"/>
  <c r="I3205" i="32"/>
  <c r="I3206" i="32"/>
  <c r="I3207" i="32"/>
  <c r="I3208" i="32"/>
  <c r="I3209" i="32"/>
  <c r="I3210" i="32"/>
  <c r="I3211" i="32"/>
  <c r="I3212" i="32"/>
  <c r="I3213" i="32"/>
  <c r="I3214" i="32"/>
  <c r="I3215" i="32"/>
  <c r="I3216" i="32"/>
  <c r="I3217" i="32"/>
  <c r="I3218" i="32"/>
  <c r="I3219" i="32"/>
  <c r="I3220" i="32"/>
  <c r="I3221" i="32"/>
  <c r="I3222" i="32"/>
  <c r="I3223" i="32"/>
  <c r="I3224" i="32"/>
  <c r="I3225" i="32"/>
  <c r="I3226" i="32"/>
  <c r="I3227" i="32"/>
  <c r="I3228" i="32"/>
  <c r="I3229" i="32"/>
  <c r="I3230" i="32"/>
  <c r="I3231" i="32"/>
  <c r="I3232" i="32"/>
  <c r="I3233" i="32"/>
  <c r="I3234" i="32"/>
  <c r="I3235" i="32"/>
  <c r="I3236" i="32"/>
  <c r="I3237" i="32"/>
  <c r="I3238" i="32"/>
  <c r="I3239" i="32"/>
  <c r="I3240" i="32"/>
  <c r="I3241" i="32"/>
  <c r="I3242" i="32"/>
  <c r="I3243" i="32"/>
  <c r="I3244" i="32"/>
  <c r="I3245" i="32"/>
  <c r="I3246" i="32"/>
  <c r="I3247" i="32"/>
  <c r="I3248" i="32"/>
  <c r="I3249" i="32"/>
  <c r="I3250" i="32"/>
  <c r="I3251" i="32"/>
  <c r="I3252" i="32"/>
  <c r="I3253" i="32"/>
  <c r="I3254" i="32"/>
  <c r="I3255" i="32"/>
  <c r="I3256" i="32"/>
  <c r="I3257" i="32"/>
  <c r="I3258" i="32"/>
  <c r="I3259" i="32"/>
  <c r="I3260" i="32"/>
  <c r="I3261" i="32"/>
  <c r="I3262" i="32"/>
  <c r="I3263" i="32"/>
  <c r="I3264" i="32"/>
  <c r="I3265" i="32"/>
  <c r="I3266" i="32"/>
  <c r="I3267" i="32"/>
  <c r="I3268" i="32"/>
  <c r="I3269" i="32"/>
  <c r="I3270" i="32"/>
  <c r="I3271" i="32"/>
  <c r="I3272" i="32"/>
  <c r="I3273" i="32"/>
  <c r="I3274" i="32"/>
  <c r="I3275" i="32"/>
  <c r="I3276" i="32"/>
  <c r="I3277" i="32"/>
  <c r="I3278" i="32"/>
  <c r="I3279" i="32"/>
  <c r="I3280" i="32"/>
  <c r="I3281" i="32"/>
  <c r="I3282" i="32"/>
  <c r="I3283" i="32"/>
  <c r="I3284" i="32"/>
  <c r="I3285" i="32"/>
  <c r="I3286" i="32"/>
  <c r="I3287" i="32"/>
  <c r="I3288" i="32"/>
  <c r="I3289" i="32"/>
  <c r="I3290" i="32"/>
  <c r="I3291" i="32"/>
  <c r="I3292" i="32"/>
  <c r="I3293" i="32"/>
  <c r="I3294" i="32"/>
  <c r="I3295" i="32"/>
  <c r="I3296" i="32"/>
  <c r="I3297" i="32"/>
  <c r="I3298" i="32"/>
  <c r="I3299" i="32"/>
  <c r="I3300" i="32"/>
  <c r="I3301" i="32"/>
  <c r="I3302" i="32"/>
  <c r="I3303" i="32"/>
  <c r="I3304" i="32"/>
  <c r="I3305" i="32"/>
  <c r="I3306" i="32"/>
  <c r="I3307" i="32"/>
  <c r="I3308" i="32"/>
  <c r="I3309" i="32"/>
  <c r="I3310" i="32"/>
  <c r="I3311" i="32"/>
  <c r="I3312" i="32"/>
  <c r="I3313" i="32"/>
  <c r="I3314" i="32"/>
  <c r="I3315" i="32"/>
  <c r="I3316" i="32"/>
  <c r="I3317" i="32"/>
  <c r="I3318" i="32"/>
  <c r="I3319" i="32"/>
  <c r="I3320" i="32"/>
  <c r="I3321" i="32"/>
  <c r="I3322" i="32"/>
  <c r="I3323" i="32"/>
  <c r="I3324" i="32"/>
  <c r="I3325" i="32"/>
  <c r="I3326" i="32"/>
  <c r="I3327" i="32"/>
  <c r="I3328" i="32"/>
  <c r="I3329" i="32"/>
  <c r="I3330" i="32"/>
  <c r="I3331" i="32"/>
  <c r="I3332" i="32"/>
  <c r="I3333" i="32"/>
  <c r="I3334" i="32"/>
  <c r="I3335" i="32"/>
  <c r="I3336" i="32"/>
  <c r="I3337" i="32"/>
  <c r="I3338" i="32"/>
  <c r="I3339" i="32"/>
  <c r="I3340" i="32"/>
  <c r="I3341" i="32"/>
  <c r="I3342" i="32"/>
  <c r="I3343" i="32"/>
  <c r="I3344" i="32"/>
  <c r="I3345" i="32"/>
  <c r="I3346" i="32"/>
  <c r="I3347" i="32"/>
  <c r="I3348" i="32"/>
  <c r="I3349" i="32"/>
  <c r="I3350" i="32"/>
  <c r="I3351" i="32"/>
  <c r="I3352" i="32"/>
  <c r="I3353" i="32"/>
  <c r="I3354" i="32"/>
  <c r="I3355" i="32"/>
  <c r="I3356" i="32"/>
  <c r="I3357" i="32"/>
  <c r="I3358" i="32"/>
  <c r="I3359" i="32"/>
  <c r="I3360" i="32"/>
  <c r="I3361" i="32"/>
  <c r="I3362" i="32"/>
  <c r="I3363" i="32"/>
  <c r="I3364" i="32"/>
  <c r="I3365" i="32"/>
  <c r="I3366" i="32"/>
  <c r="I3367" i="32"/>
  <c r="I3368" i="32"/>
  <c r="I3369" i="32"/>
  <c r="I3370" i="32"/>
  <c r="I3371" i="32"/>
  <c r="I3372" i="32"/>
  <c r="I3373" i="32"/>
  <c r="I3374" i="32"/>
  <c r="I3375" i="32"/>
  <c r="I3376" i="32"/>
  <c r="I3377" i="32"/>
  <c r="I3378" i="32"/>
  <c r="I3379" i="32"/>
  <c r="I3380" i="32"/>
  <c r="I3381" i="32"/>
  <c r="I3382" i="32"/>
  <c r="I3383" i="32"/>
  <c r="I3384" i="32"/>
  <c r="I3385" i="32"/>
  <c r="I3386" i="32"/>
  <c r="I3387" i="32"/>
  <c r="I3388" i="32"/>
  <c r="I3389" i="32"/>
  <c r="I3390" i="32"/>
  <c r="I3391" i="32"/>
  <c r="I3392" i="32"/>
  <c r="I3393" i="32"/>
  <c r="I3394" i="32"/>
  <c r="I3395" i="32"/>
  <c r="I3396" i="32"/>
  <c r="I3397" i="32"/>
  <c r="I3398" i="32"/>
  <c r="I3399" i="32"/>
  <c r="I3400" i="32"/>
  <c r="I3401" i="32"/>
  <c r="I3402" i="32"/>
  <c r="I3403" i="32"/>
  <c r="I3404" i="32"/>
  <c r="I3405" i="32"/>
  <c r="I3406" i="32"/>
  <c r="I3407" i="32"/>
  <c r="I3408" i="32"/>
  <c r="I3409" i="32"/>
  <c r="I3410" i="32"/>
  <c r="I3411" i="32"/>
  <c r="I3412" i="32"/>
  <c r="I3413" i="32"/>
  <c r="I3414" i="32"/>
  <c r="I3415" i="32"/>
  <c r="I3416" i="32"/>
  <c r="I3417" i="32"/>
  <c r="I3418" i="32"/>
  <c r="I3419" i="32"/>
  <c r="I3420" i="32"/>
  <c r="I3421" i="32"/>
  <c r="I3422" i="32"/>
  <c r="I3423" i="32"/>
  <c r="I3424" i="32"/>
  <c r="I3425" i="32"/>
  <c r="I3426" i="32"/>
  <c r="I3427" i="32"/>
  <c r="I3428" i="32"/>
  <c r="I3429" i="32"/>
  <c r="I3430" i="32"/>
  <c r="I3431" i="32"/>
  <c r="I3432" i="32"/>
  <c r="I3433" i="32"/>
  <c r="I3434" i="32"/>
  <c r="I3435" i="32"/>
  <c r="I3436" i="32"/>
  <c r="I3437" i="32"/>
  <c r="I3438" i="32"/>
  <c r="I3439" i="32"/>
  <c r="I3440" i="32"/>
  <c r="I3441" i="32"/>
  <c r="I3442" i="32"/>
  <c r="I3443" i="32"/>
  <c r="I3444" i="32"/>
  <c r="I3445" i="32"/>
  <c r="I3446" i="32"/>
  <c r="I3447" i="32"/>
  <c r="I3448" i="32"/>
  <c r="I3449" i="32"/>
  <c r="I3450" i="32"/>
  <c r="I3451" i="32"/>
  <c r="I3452" i="32"/>
  <c r="I3453" i="32"/>
  <c r="I3454" i="32"/>
  <c r="I3455" i="32"/>
  <c r="I3456" i="32"/>
  <c r="I3457" i="32"/>
  <c r="I3458" i="32"/>
  <c r="I3459" i="32"/>
  <c r="I3460" i="32"/>
  <c r="I3461" i="32"/>
  <c r="I3462" i="32"/>
  <c r="I3463" i="32"/>
  <c r="I3464" i="32"/>
  <c r="I3465" i="32"/>
  <c r="I3466" i="32"/>
  <c r="I3467" i="32"/>
  <c r="I3468" i="32"/>
  <c r="I3469" i="32"/>
  <c r="I3470" i="32"/>
  <c r="I3471" i="32"/>
  <c r="I3472" i="32"/>
  <c r="I3473" i="32"/>
  <c r="I3474" i="32"/>
  <c r="I3475" i="32"/>
  <c r="I3476" i="32"/>
  <c r="I3477" i="32"/>
  <c r="I3478" i="32"/>
  <c r="I3479" i="32"/>
  <c r="I3480" i="32"/>
  <c r="I3481" i="32"/>
  <c r="I3482" i="32"/>
  <c r="I3483" i="32"/>
  <c r="I3484" i="32"/>
  <c r="I3485" i="32"/>
  <c r="I3486" i="32"/>
  <c r="I3487" i="32"/>
  <c r="I3488" i="32"/>
  <c r="I3489" i="32"/>
  <c r="I3490" i="32"/>
  <c r="I3491" i="32"/>
  <c r="I3492" i="32"/>
  <c r="I3493" i="32"/>
  <c r="I3494" i="32"/>
  <c r="I3495" i="32"/>
  <c r="I3496" i="32"/>
  <c r="I3497" i="32"/>
  <c r="I3498" i="32"/>
  <c r="I3499" i="32"/>
  <c r="I3500" i="32"/>
  <c r="I3501" i="32"/>
  <c r="I3502" i="32"/>
  <c r="I3503" i="32"/>
  <c r="I3504" i="32"/>
  <c r="I3505" i="32"/>
  <c r="I3506" i="32"/>
  <c r="I3507" i="32"/>
  <c r="I3508" i="32"/>
  <c r="I3509" i="32"/>
  <c r="I3510" i="32"/>
  <c r="I3511" i="32"/>
  <c r="I3512" i="32"/>
  <c r="I3513" i="32"/>
  <c r="I3514" i="32"/>
  <c r="I3515" i="32"/>
  <c r="I3516" i="32"/>
  <c r="I3517" i="32"/>
  <c r="I3518" i="32"/>
  <c r="I3519" i="32"/>
  <c r="I3520" i="32"/>
  <c r="I3521" i="32"/>
  <c r="I3522" i="32"/>
  <c r="I3523" i="32"/>
  <c r="I3524" i="32"/>
  <c r="I3525" i="32"/>
  <c r="I3526" i="32"/>
  <c r="I3527" i="32"/>
  <c r="I3528" i="32"/>
  <c r="I3529" i="32"/>
  <c r="I3530" i="32"/>
  <c r="I3531" i="32"/>
  <c r="I3532" i="32"/>
  <c r="I3533" i="32"/>
  <c r="I3534" i="32"/>
  <c r="I3535" i="32"/>
  <c r="I3536" i="32"/>
  <c r="I3537" i="32"/>
  <c r="I3538" i="32"/>
  <c r="I3539" i="32"/>
  <c r="I3540" i="32"/>
  <c r="I3541" i="32"/>
  <c r="I3542" i="32"/>
  <c r="I3543" i="32"/>
  <c r="I3544" i="32"/>
  <c r="I3545" i="32"/>
  <c r="I3546" i="32"/>
  <c r="I3547" i="32"/>
  <c r="I3548" i="32"/>
  <c r="I3549" i="32"/>
  <c r="I3550" i="32"/>
  <c r="I3551" i="32"/>
  <c r="I3552" i="32"/>
  <c r="I3553" i="32"/>
  <c r="I3554" i="32"/>
  <c r="I3555" i="32"/>
  <c r="I3556" i="32"/>
  <c r="I3557" i="32"/>
  <c r="I3558" i="32"/>
  <c r="I3559" i="32"/>
  <c r="I3560" i="32"/>
  <c r="I3561" i="32"/>
  <c r="I3562" i="32"/>
  <c r="I3563" i="32"/>
  <c r="I3564" i="32"/>
  <c r="I3565" i="32"/>
  <c r="I3566" i="32"/>
  <c r="I3567" i="32"/>
  <c r="I3568" i="32"/>
  <c r="I3569" i="32"/>
  <c r="I3570" i="32"/>
  <c r="I3571" i="32"/>
  <c r="I3572" i="32"/>
  <c r="I3573" i="32"/>
  <c r="I3574" i="32"/>
  <c r="I3575" i="32"/>
  <c r="I3576" i="32"/>
  <c r="I3577" i="32"/>
  <c r="I3578" i="32"/>
  <c r="I3579" i="32"/>
  <c r="I3580" i="32"/>
  <c r="I3581" i="32"/>
  <c r="I3582" i="32"/>
  <c r="I3583" i="32"/>
  <c r="I3584" i="32"/>
  <c r="I3585" i="32"/>
  <c r="I3586" i="32"/>
  <c r="I3587" i="32"/>
  <c r="I3588" i="32"/>
  <c r="I3589" i="32"/>
  <c r="I3590" i="32"/>
  <c r="I3591" i="32"/>
  <c r="I3592" i="32"/>
  <c r="I3593" i="32"/>
  <c r="I3594" i="32"/>
  <c r="I3595" i="32"/>
  <c r="I3596" i="32"/>
  <c r="I3597" i="32"/>
  <c r="I3598" i="32"/>
  <c r="I3599" i="32"/>
  <c r="I3600" i="32"/>
  <c r="I3601" i="32"/>
  <c r="I3602" i="32"/>
  <c r="I3603" i="32"/>
  <c r="I3604" i="32"/>
  <c r="I3605" i="32"/>
  <c r="I3606" i="32"/>
  <c r="I3607" i="32"/>
  <c r="I3608" i="32"/>
  <c r="I3609" i="32"/>
  <c r="I3610" i="32"/>
  <c r="I3611" i="32"/>
  <c r="I3612" i="32"/>
  <c r="I3613" i="32"/>
  <c r="I3614" i="32"/>
  <c r="I3615" i="32"/>
  <c r="I3616" i="32"/>
  <c r="I3617" i="32"/>
  <c r="I3618" i="32"/>
  <c r="I3619" i="32"/>
  <c r="I3620" i="32"/>
  <c r="I3621" i="32"/>
  <c r="I3622" i="32"/>
  <c r="I3623" i="32"/>
  <c r="I3624" i="32"/>
  <c r="I3625" i="32"/>
  <c r="I3626" i="32"/>
  <c r="I3627" i="32"/>
  <c r="I3628" i="32"/>
  <c r="I3629" i="32"/>
  <c r="I3630" i="32"/>
  <c r="I3631" i="32"/>
  <c r="I3632" i="32"/>
  <c r="I3633" i="32"/>
  <c r="I3634" i="32"/>
  <c r="I3635" i="32"/>
  <c r="I3636" i="32"/>
  <c r="I3637" i="32"/>
  <c r="I3638" i="32"/>
  <c r="I3639" i="32"/>
  <c r="I3640" i="32"/>
  <c r="I3641" i="32"/>
  <c r="I3642" i="32"/>
  <c r="I3643" i="32"/>
  <c r="I3644" i="32"/>
  <c r="I3645" i="32"/>
  <c r="I3646" i="32"/>
  <c r="I3647" i="32"/>
  <c r="I3648" i="32"/>
  <c r="I3649" i="32"/>
  <c r="I3650" i="32"/>
  <c r="I3651" i="32"/>
  <c r="I3652" i="32"/>
  <c r="I3653" i="32"/>
  <c r="I3654" i="32"/>
  <c r="I3655" i="32"/>
  <c r="I3656" i="32"/>
  <c r="I3657" i="32"/>
  <c r="I3658" i="32"/>
  <c r="I3659" i="32"/>
  <c r="I3660" i="32"/>
  <c r="I3661" i="32"/>
  <c r="I3662" i="32"/>
  <c r="I3663" i="32"/>
  <c r="I3664" i="32"/>
  <c r="I3665" i="32"/>
  <c r="I3666" i="32"/>
  <c r="I3667" i="32"/>
  <c r="I3668" i="32"/>
  <c r="I3669" i="32"/>
  <c r="I3670" i="32"/>
  <c r="I3671" i="32"/>
  <c r="I3672" i="32"/>
  <c r="I3673" i="32"/>
  <c r="I3674" i="32"/>
  <c r="I3675" i="32"/>
  <c r="I3676" i="32"/>
  <c r="I3677" i="32"/>
  <c r="I3678" i="32"/>
  <c r="I3679" i="32"/>
  <c r="I3680" i="32"/>
  <c r="I3681" i="32"/>
  <c r="I3682" i="32"/>
  <c r="I3683" i="32"/>
  <c r="I3684" i="32"/>
  <c r="I3685" i="32"/>
  <c r="I3686" i="32"/>
  <c r="I3687" i="32"/>
  <c r="I3688" i="32"/>
  <c r="I3689" i="32"/>
  <c r="I3690" i="32"/>
  <c r="I3691" i="32"/>
  <c r="I3692" i="32"/>
  <c r="I3693" i="32"/>
  <c r="I3694" i="32"/>
  <c r="I3695" i="32"/>
  <c r="I3696" i="32"/>
  <c r="I3697" i="32"/>
  <c r="I3698" i="32"/>
  <c r="I3699" i="32"/>
  <c r="I3700" i="32"/>
  <c r="I3701" i="32"/>
  <c r="I3702" i="32"/>
  <c r="I3703" i="32"/>
  <c r="I3704" i="32"/>
  <c r="I3705" i="32"/>
  <c r="I3706" i="32"/>
  <c r="I3707" i="32"/>
  <c r="I3708" i="32"/>
  <c r="I3709" i="32"/>
  <c r="I3710" i="32"/>
  <c r="I3711" i="32"/>
  <c r="I3712" i="32"/>
  <c r="I3713" i="32"/>
  <c r="I3714" i="32"/>
  <c r="I3715" i="32"/>
  <c r="I3716" i="32"/>
  <c r="I3717" i="32"/>
  <c r="I3718" i="32"/>
  <c r="I3719" i="32"/>
  <c r="I3720" i="32"/>
  <c r="I3721" i="32"/>
  <c r="I3722" i="32"/>
  <c r="I3723" i="32"/>
  <c r="I3724" i="32"/>
  <c r="I3725" i="32"/>
  <c r="I3726" i="32"/>
  <c r="I3727" i="32"/>
  <c r="I3728" i="32"/>
  <c r="I3729" i="32"/>
  <c r="I3730" i="32"/>
  <c r="I3731" i="32"/>
  <c r="I3732" i="32"/>
  <c r="I3733" i="32"/>
  <c r="I3734" i="32"/>
  <c r="I3735" i="32"/>
  <c r="I3736" i="32"/>
  <c r="I3737" i="32"/>
  <c r="I3738" i="32"/>
  <c r="I3739" i="32"/>
  <c r="I3740" i="32"/>
  <c r="I3741" i="32"/>
  <c r="I3742" i="32"/>
  <c r="I3743" i="32"/>
  <c r="I3744" i="32"/>
  <c r="I3745" i="32"/>
  <c r="I3746" i="32"/>
  <c r="I3747" i="32"/>
  <c r="I3748" i="32"/>
  <c r="I3749" i="32"/>
  <c r="I3750" i="32"/>
  <c r="I3751" i="32"/>
  <c r="I3752" i="32"/>
  <c r="I3753" i="32"/>
  <c r="I3754" i="32"/>
  <c r="I3755" i="32"/>
  <c r="I3756" i="32"/>
  <c r="I3757" i="32"/>
  <c r="I3758" i="32"/>
  <c r="I3759" i="32"/>
  <c r="I3760" i="32"/>
  <c r="I3761" i="32"/>
  <c r="I3762" i="32"/>
  <c r="I3763" i="32"/>
  <c r="I3764" i="32"/>
  <c r="I3765" i="32"/>
  <c r="I3766" i="32"/>
  <c r="I3767" i="32"/>
  <c r="I3768" i="32"/>
  <c r="I3769" i="32"/>
  <c r="I3770" i="32"/>
  <c r="I3771" i="32"/>
  <c r="I3772" i="32"/>
  <c r="I3773" i="32"/>
  <c r="I3774" i="32"/>
  <c r="I3775" i="32"/>
  <c r="I3776" i="32"/>
  <c r="I3777" i="32"/>
  <c r="I3778" i="32"/>
  <c r="I3779" i="32"/>
  <c r="I3780" i="32"/>
  <c r="I3781" i="32"/>
  <c r="I3782" i="32"/>
  <c r="I3783" i="32"/>
  <c r="I3784" i="32"/>
  <c r="I3785" i="32"/>
  <c r="I3786" i="32"/>
  <c r="I3787" i="32"/>
  <c r="I3788" i="32"/>
  <c r="I3789" i="32"/>
  <c r="I3790" i="32"/>
  <c r="I3791" i="32"/>
  <c r="I3792" i="32"/>
  <c r="I3793" i="32"/>
  <c r="I3794" i="32"/>
  <c r="I3795" i="32"/>
  <c r="I3796" i="32"/>
  <c r="I3797" i="32"/>
  <c r="I3798" i="32"/>
  <c r="I3799" i="32"/>
  <c r="I3800" i="32"/>
  <c r="I3801" i="32"/>
  <c r="I3802" i="32"/>
  <c r="I3803" i="32"/>
  <c r="I3804" i="32"/>
  <c r="I3805" i="32"/>
  <c r="I3806" i="32"/>
  <c r="I3807" i="32"/>
  <c r="I3808" i="32"/>
  <c r="I3809" i="32"/>
  <c r="I3810" i="32"/>
  <c r="I3811" i="32"/>
  <c r="I3812" i="32"/>
  <c r="I3813" i="32"/>
  <c r="I3814" i="32"/>
  <c r="I3815" i="32"/>
  <c r="I3816" i="32"/>
  <c r="I3817" i="32"/>
  <c r="I3818" i="32"/>
  <c r="I3819" i="32"/>
  <c r="I3820" i="32"/>
  <c r="I3821" i="32"/>
  <c r="I3822" i="32"/>
  <c r="I3823" i="32"/>
  <c r="I3824" i="32"/>
  <c r="I3825" i="32"/>
  <c r="I3826" i="32"/>
  <c r="I3827" i="32"/>
  <c r="I3828" i="32"/>
  <c r="I3829" i="32"/>
  <c r="I3830" i="32"/>
  <c r="I3831" i="32"/>
  <c r="I3832" i="32"/>
  <c r="I3833" i="32"/>
  <c r="I3834" i="32"/>
  <c r="I3835" i="32"/>
  <c r="I3836" i="32"/>
  <c r="I3837" i="32"/>
  <c r="I3838" i="32"/>
  <c r="I3839" i="32"/>
  <c r="I3840" i="32"/>
  <c r="I3841" i="32"/>
  <c r="I3842" i="32"/>
  <c r="I3843" i="32"/>
  <c r="I3844" i="32"/>
  <c r="I3845" i="32"/>
  <c r="I3846" i="32"/>
  <c r="I3847" i="32"/>
  <c r="I3848" i="32"/>
  <c r="I3849" i="32"/>
  <c r="I3850" i="32"/>
  <c r="I3851" i="32"/>
  <c r="I3852" i="32"/>
  <c r="I3853" i="32"/>
  <c r="I3854" i="32"/>
  <c r="I3855" i="32"/>
  <c r="I3856" i="32"/>
  <c r="I3857" i="32"/>
  <c r="I3858" i="32"/>
  <c r="I3859" i="32"/>
  <c r="I3860" i="32"/>
  <c r="I3861" i="32"/>
  <c r="I3862" i="32"/>
  <c r="I3863" i="32"/>
  <c r="I3864" i="32"/>
  <c r="I3865" i="32"/>
  <c r="I3866" i="32"/>
  <c r="I3867" i="32"/>
  <c r="I3868" i="32"/>
  <c r="I3869" i="32"/>
  <c r="I3870" i="32"/>
  <c r="I3871" i="32"/>
  <c r="I3872" i="32"/>
  <c r="I3873" i="32"/>
  <c r="I3874" i="32"/>
  <c r="I3875" i="32"/>
  <c r="I3876" i="32"/>
  <c r="I3877" i="32"/>
  <c r="I3878" i="32"/>
  <c r="I3879" i="32"/>
  <c r="I3880" i="32"/>
  <c r="I3881" i="32"/>
  <c r="I3882" i="32"/>
  <c r="I3883" i="32"/>
  <c r="I3884" i="32"/>
  <c r="I3885" i="32"/>
  <c r="I3886" i="32"/>
  <c r="I3887" i="32"/>
  <c r="I3888" i="32"/>
  <c r="I3889" i="32"/>
  <c r="I3890" i="32"/>
  <c r="I3891" i="32"/>
  <c r="I3892" i="32"/>
  <c r="I3893" i="32"/>
  <c r="I3894" i="32"/>
  <c r="I3895" i="32"/>
  <c r="I3896" i="32"/>
  <c r="I3897" i="32"/>
  <c r="I3898" i="32"/>
  <c r="I3899" i="32"/>
  <c r="I3900" i="32"/>
  <c r="I3901" i="32"/>
  <c r="I3902" i="32"/>
  <c r="I3903" i="32"/>
  <c r="I3904" i="32"/>
  <c r="I3905" i="32"/>
  <c r="I3906" i="32"/>
  <c r="I3907" i="32"/>
  <c r="I3908" i="32"/>
  <c r="I3909" i="32"/>
  <c r="I3910" i="32"/>
  <c r="I3911" i="32"/>
  <c r="I3912" i="32"/>
  <c r="I3913" i="32"/>
  <c r="I3914" i="32"/>
  <c r="I3915" i="32"/>
  <c r="I3916" i="32"/>
  <c r="I3917" i="32"/>
  <c r="I3918" i="32"/>
  <c r="I3919" i="32"/>
  <c r="I3920" i="32"/>
  <c r="I3921" i="32"/>
  <c r="I3922" i="32"/>
  <c r="I3923" i="32"/>
  <c r="I3924" i="32"/>
  <c r="I3925" i="32"/>
  <c r="I3926" i="32"/>
  <c r="I3927" i="32"/>
  <c r="I3928" i="32"/>
  <c r="I3929" i="32"/>
  <c r="I3930" i="32"/>
  <c r="I3931" i="32"/>
  <c r="I3932" i="32"/>
  <c r="I3933" i="32"/>
  <c r="I3934" i="32"/>
  <c r="I3935" i="32"/>
  <c r="I3936" i="32"/>
  <c r="I3937" i="32"/>
  <c r="I3938" i="32"/>
  <c r="I3939" i="32"/>
  <c r="I3940" i="32"/>
  <c r="I3941" i="32"/>
  <c r="I3942" i="32"/>
  <c r="I3943" i="32"/>
  <c r="I3944" i="32"/>
  <c r="I3945" i="32"/>
  <c r="I3946" i="32"/>
  <c r="I3947" i="32"/>
  <c r="I3948" i="32"/>
  <c r="I3949" i="32"/>
  <c r="I3950" i="32"/>
  <c r="I3951" i="32"/>
  <c r="I3952" i="32"/>
  <c r="I3953" i="32"/>
  <c r="I3954" i="32"/>
  <c r="I3955" i="32"/>
  <c r="I3956" i="32"/>
  <c r="I3957" i="32"/>
  <c r="I3958" i="32"/>
  <c r="I3959" i="32"/>
  <c r="I3960" i="32"/>
  <c r="I3961" i="32"/>
  <c r="I3962" i="32"/>
  <c r="I3963" i="32"/>
  <c r="I3964" i="32"/>
  <c r="I3965" i="32"/>
  <c r="I3966" i="32"/>
  <c r="I3967" i="32"/>
  <c r="I3968" i="32"/>
  <c r="I3969" i="32"/>
  <c r="I3970" i="32"/>
  <c r="I3971" i="32"/>
  <c r="I3972" i="32"/>
  <c r="I3973" i="32"/>
  <c r="I3974" i="32"/>
  <c r="I3975" i="32"/>
  <c r="I3976" i="32"/>
  <c r="I3977" i="32"/>
  <c r="I3978" i="32"/>
  <c r="I3979" i="32"/>
  <c r="I3980" i="32"/>
  <c r="I3981" i="32"/>
  <c r="I3982" i="32"/>
  <c r="I3983" i="32"/>
  <c r="I3984" i="32"/>
  <c r="I3985" i="32"/>
  <c r="I3986" i="32"/>
  <c r="I3987" i="32"/>
  <c r="I3988" i="32"/>
  <c r="I3989" i="32"/>
  <c r="I3990" i="32"/>
  <c r="I3991" i="32"/>
  <c r="I3992" i="32"/>
  <c r="I3993" i="32"/>
  <c r="I3994" i="32"/>
  <c r="I3995" i="32"/>
  <c r="I3996" i="32"/>
  <c r="I3997" i="32"/>
  <c r="I3998" i="32"/>
  <c r="I3999" i="32"/>
  <c r="I4000" i="32"/>
  <c r="I4001" i="32"/>
  <c r="I4002" i="32"/>
  <c r="I4003" i="32"/>
  <c r="I4004" i="32"/>
  <c r="I4005" i="32"/>
  <c r="I4006" i="32"/>
  <c r="I4007" i="32"/>
  <c r="I4008" i="32"/>
  <c r="I4009" i="32"/>
  <c r="I4010" i="32"/>
  <c r="I4011" i="32"/>
  <c r="I4012" i="32"/>
  <c r="I4013" i="32"/>
  <c r="I4014" i="32"/>
  <c r="I4015" i="32"/>
  <c r="I4016" i="32"/>
  <c r="I4017" i="32"/>
  <c r="I4018" i="32"/>
  <c r="I4019" i="32"/>
  <c r="I4020" i="32"/>
  <c r="I4021" i="32"/>
  <c r="I4022" i="32"/>
  <c r="I4023" i="32"/>
  <c r="I4024" i="32"/>
  <c r="I4025" i="32"/>
  <c r="I4026" i="32"/>
  <c r="I4027" i="32"/>
  <c r="I4028" i="32"/>
  <c r="I4029" i="32"/>
  <c r="I4030" i="32"/>
  <c r="I4031" i="32"/>
  <c r="I4032" i="32"/>
  <c r="I4033" i="32"/>
  <c r="I4034" i="32"/>
  <c r="I4035" i="32"/>
  <c r="I4036" i="32"/>
  <c r="I4037" i="32"/>
  <c r="I4038" i="32"/>
  <c r="I4039" i="32"/>
  <c r="I4040" i="32"/>
  <c r="I4041" i="32"/>
  <c r="I4042" i="32"/>
  <c r="I4043" i="32"/>
  <c r="I4044" i="32"/>
  <c r="I4045" i="32"/>
  <c r="I4046" i="32"/>
  <c r="I4047" i="32"/>
  <c r="I4048" i="32"/>
  <c r="I4049" i="32"/>
  <c r="I4050" i="32"/>
  <c r="I4051" i="32"/>
  <c r="I4052" i="32"/>
  <c r="I4053" i="32"/>
  <c r="I4054" i="32"/>
  <c r="I4055" i="32"/>
  <c r="I4056" i="32"/>
  <c r="I4057" i="32"/>
  <c r="I4058" i="32"/>
  <c r="I4059" i="32"/>
  <c r="I4060" i="32"/>
  <c r="I4061" i="32"/>
  <c r="I4062" i="32"/>
  <c r="I4063" i="32"/>
  <c r="I4064" i="32"/>
  <c r="I4065" i="32"/>
  <c r="I4066" i="32"/>
  <c r="I4067" i="32"/>
  <c r="I4068" i="32"/>
  <c r="I4069" i="32"/>
  <c r="I4070" i="32"/>
  <c r="I4071" i="32"/>
  <c r="I4072" i="32"/>
  <c r="I4073" i="32"/>
  <c r="I4074" i="32"/>
  <c r="I4075" i="32"/>
  <c r="I4076" i="32"/>
  <c r="I4077" i="32"/>
  <c r="I4078" i="32"/>
  <c r="I4079" i="32"/>
  <c r="I4080" i="32"/>
  <c r="I4081" i="32"/>
  <c r="I4082" i="32"/>
  <c r="I4083" i="32"/>
  <c r="I4084" i="32"/>
  <c r="I4085" i="32"/>
  <c r="I4086" i="32"/>
  <c r="I4087" i="32"/>
  <c r="I4088" i="32"/>
  <c r="I4089" i="32"/>
  <c r="I4090" i="32"/>
  <c r="I4091" i="32"/>
  <c r="I4092" i="32"/>
  <c r="I4093" i="32"/>
  <c r="I4094" i="32"/>
  <c r="I4095" i="32"/>
  <c r="I4096" i="32"/>
  <c r="I4097" i="32"/>
  <c r="I4098" i="32"/>
  <c r="I4099" i="32"/>
  <c r="I4100" i="32"/>
  <c r="I4101" i="32"/>
  <c r="I4102" i="32"/>
  <c r="I4103" i="32"/>
  <c r="I4104" i="32"/>
  <c r="I4105" i="32"/>
  <c r="I4106" i="32"/>
  <c r="I4107" i="32"/>
  <c r="I4108" i="32"/>
  <c r="I4109" i="32"/>
  <c r="I4110" i="32"/>
  <c r="I4111" i="32"/>
  <c r="I4112" i="32"/>
  <c r="I4113" i="32"/>
  <c r="I4114" i="32"/>
  <c r="I4115" i="32"/>
  <c r="I4116" i="32"/>
  <c r="I4117" i="32"/>
  <c r="I4118" i="32"/>
  <c r="I4119" i="32"/>
  <c r="I4120" i="32"/>
  <c r="I4121" i="32"/>
  <c r="I4122" i="32"/>
  <c r="I4123" i="32"/>
  <c r="I4124" i="32"/>
  <c r="I4125" i="32"/>
  <c r="I4126" i="32"/>
  <c r="I4127" i="32"/>
  <c r="I4128" i="32"/>
  <c r="I4129" i="32"/>
  <c r="I4130" i="32"/>
  <c r="I4131" i="32"/>
  <c r="I4132" i="32"/>
  <c r="I4133" i="32"/>
  <c r="I4134" i="32"/>
  <c r="I4135" i="32"/>
  <c r="I4136" i="32"/>
  <c r="I4137" i="32"/>
  <c r="I4138" i="32"/>
  <c r="I4139" i="32"/>
  <c r="I4140" i="32"/>
  <c r="I4141" i="32"/>
  <c r="I4142" i="32"/>
  <c r="I4143" i="32"/>
  <c r="I4144" i="32"/>
  <c r="I4145" i="32"/>
  <c r="I4146" i="32"/>
  <c r="I4147" i="32"/>
  <c r="I4148" i="32"/>
  <c r="I4149" i="32"/>
  <c r="I4150" i="32"/>
  <c r="I4151" i="32"/>
  <c r="I4152" i="32"/>
  <c r="I4153" i="32"/>
  <c r="I4154" i="32"/>
  <c r="I4155" i="32"/>
  <c r="I4156" i="32"/>
  <c r="I4157" i="32"/>
  <c r="I4158" i="32"/>
  <c r="I4159" i="32"/>
  <c r="I4160" i="32"/>
  <c r="I4161" i="32"/>
  <c r="I4162" i="32"/>
  <c r="I4163" i="32"/>
  <c r="I4164" i="32"/>
  <c r="I4165" i="32"/>
  <c r="I4166" i="32"/>
  <c r="I4167" i="32"/>
  <c r="I4168" i="32"/>
  <c r="I4169" i="32"/>
  <c r="I4170" i="32"/>
  <c r="I4171" i="32"/>
  <c r="I4172" i="32"/>
  <c r="I4173" i="32"/>
  <c r="I4174" i="32"/>
  <c r="I4175" i="32"/>
  <c r="I4176" i="32"/>
  <c r="I4177" i="32"/>
  <c r="I4178" i="32"/>
  <c r="I4179" i="32"/>
  <c r="I4180" i="32"/>
  <c r="I4181" i="32"/>
  <c r="I4182" i="32"/>
  <c r="I4183" i="32"/>
  <c r="I4184" i="32"/>
  <c r="I4185" i="32"/>
  <c r="I4186" i="32"/>
  <c r="I4187" i="32"/>
  <c r="I4188" i="32"/>
  <c r="I4189" i="32"/>
  <c r="I4190" i="32"/>
  <c r="I4191" i="32"/>
  <c r="I4192" i="32"/>
  <c r="I4193" i="32"/>
  <c r="I4194" i="32"/>
  <c r="I4195" i="32"/>
  <c r="I4196" i="32"/>
  <c r="I4197" i="32"/>
  <c r="I4198" i="32"/>
  <c r="I4199" i="32"/>
  <c r="I4200" i="32"/>
  <c r="I4201" i="32"/>
  <c r="I4202" i="32"/>
  <c r="I4203" i="32"/>
  <c r="I4204" i="32"/>
  <c r="I4205" i="32"/>
  <c r="I4206" i="32"/>
  <c r="I4207" i="32"/>
  <c r="I4208" i="32"/>
  <c r="I4209" i="32"/>
  <c r="I4210" i="32"/>
  <c r="I4211" i="32"/>
  <c r="I4212" i="32"/>
  <c r="I4213" i="32"/>
  <c r="I4214" i="32"/>
  <c r="I4215" i="32"/>
  <c r="I4216" i="32"/>
  <c r="I4217" i="32"/>
  <c r="I4218" i="32"/>
  <c r="I4219" i="32"/>
  <c r="I4220" i="32"/>
  <c r="I4221" i="32"/>
  <c r="I4222" i="32"/>
  <c r="I4223" i="32"/>
  <c r="I4224" i="32"/>
  <c r="I4225" i="32"/>
  <c r="I4226" i="32"/>
  <c r="I4227" i="32"/>
  <c r="I4228" i="32"/>
  <c r="I4229" i="32"/>
  <c r="I4230" i="32"/>
  <c r="I4231" i="32"/>
  <c r="I4232" i="32"/>
  <c r="I4233" i="32"/>
  <c r="I4234" i="32"/>
  <c r="I4235" i="32"/>
  <c r="I4236" i="32"/>
  <c r="I4237" i="32"/>
  <c r="I4238" i="32"/>
  <c r="I4239" i="32"/>
  <c r="I4240" i="32"/>
  <c r="I4241" i="32"/>
  <c r="I4242" i="32"/>
  <c r="I4243" i="32"/>
  <c r="I4244" i="32"/>
  <c r="I4245" i="32"/>
  <c r="I4246" i="32"/>
  <c r="I4247" i="32"/>
  <c r="I4248" i="32"/>
  <c r="I4249" i="32"/>
  <c r="I4250" i="32"/>
  <c r="I4251" i="32"/>
  <c r="I4252" i="32"/>
  <c r="I4253" i="32"/>
  <c r="I4254" i="32"/>
  <c r="I4255" i="32"/>
  <c r="I4256" i="32"/>
  <c r="I4257" i="32"/>
  <c r="I4258" i="32"/>
  <c r="I4259" i="32"/>
  <c r="I4260" i="32"/>
  <c r="I4261" i="32"/>
  <c r="I4262" i="32"/>
  <c r="I4263" i="32"/>
  <c r="I4264" i="32"/>
  <c r="I4265" i="32"/>
  <c r="I4266" i="32"/>
  <c r="I4267" i="32"/>
  <c r="I4268" i="32"/>
  <c r="I4269" i="32"/>
  <c r="I4270" i="32"/>
  <c r="I4271" i="32"/>
  <c r="I4272" i="32"/>
  <c r="I4273" i="32"/>
  <c r="I4274" i="32"/>
  <c r="I4275" i="32"/>
  <c r="I4276" i="32"/>
  <c r="I4277" i="32"/>
  <c r="I4278" i="32"/>
  <c r="I4279" i="32"/>
  <c r="I4280" i="32"/>
  <c r="I4281" i="32"/>
  <c r="I4282" i="32"/>
  <c r="I4283" i="32"/>
  <c r="I4284" i="32"/>
  <c r="I4285" i="32"/>
  <c r="I4286" i="32"/>
  <c r="I4287" i="32"/>
  <c r="I4288" i="32"/>
  <c r="I4289" i="32"/>
  <c r="I4290" i="32"/>
  <c r="I4291" i="32"/>
  <c r="I4292" i="32"/>
  <c r="I4293" i="32"/>
  <c r="I4294" i="32"/>
  <c r="I4295" i="32"/>
  <c r="I4296" i="32"/>
  <c r="I4297" i="32"/>
  <c r="I4298" i="32"/>
  <c r="I4299" i="32"/>
  <c r="I4300" i="32"/>
  <c r="I4301" i="32"/>
  <c r="I4302" i="32"/>
  <c r="I4303" i="32"/>
  <c r="I4304" i="32"/>
  <c r="I4305" i="32"/>
  <c r="I4306" i="32"/>
  <c r="I4307" i="32"/>
  <c r="I4308" i="32"/>
  <c r="I4309" i="32"/>
  <c r="I4310" i="32"/>
  <c r="I4311" i="32"/>
  <c r="I4312" i="32"/>
  <c r="I4313" i="32"/>
  <c r="I4314" i="32"/>
  <c r="I4315" i="32"/>
  <c r="I4316" i="32"/>
  <c r="I4317" i="32"/>
  <c r="I4318" i="32"/>
  <c r="I4319" i="32"/>
  <c r="I4320" i="32"/>
  <c r="I4321" i="32"/>
  <c r="I4322" i="32"/>
  <c r="I4323" i="32"/>
  <c r="I4324" i="32"/>
  <c r="I4325" i="32"/>
  <c r="I4326" i="32"/>
  <c r="I4327" i="32"/>
  <c r="I4328" i="32"/>
  <c r="I4329" i="32"/>
  <c r="I4330" i="32"/>
  <c r="I4331" i="32"/>
  <c r="I4332" i="32"/>
  <c r="I4333" i="32"/>
  <c r="I4334" i="32"/>
  <c r="I4335" i="32"/>
  <c r="I4336" i="32"/>
  <c r="I4337" i="32"/>
  <c r="I4338" i="32"/>
  <c r="I4339" i="32"/>
  <c r="I4340" i="32"/>
  <c r="I4341" i="32"/>
  <c r="I4342" i="32"/>
  <c r="I4343" i="32"/>
  <c r="I4344" i="32"/>
  <c r="I4345" i="32"/>
  <c r="I4346" i="32"/>
  <c r="I4347" i="32"/>
  <c r="I4348" i="32"/>
  <c r="I4349" i="32"/>
  <c r="I4350" i="32"/>
  <c r="I4351" i="32"/>
  <c r="I4352" i="32"/>
  <c r="I4353" i="32"/>
  <c r="I4354" i="32"/>
  <c r="I4355" i="32"/>
  <c r="I4356" i="32"/>
  <c r="I4357" i="32"/>
  <c r="I4358" i="32"/>
  <c r="I4359" i="32"/>
  <c r="I4360" i="32"/>
  <c r="I4361" i="32"/>
  <c r="I4362" i="32"/>
  <c r="I4363" i="32"/>
  <c r="I4364" i="32"/>
  <c r="I4365" i="32"/>
  <c r="I4366" i="32"/>
  <c r="I4367" i="32"/>
  <c r="I4368" i="32"/>
  <c r="I4369" i="32"/>
  <c r="I4370" i="32"/>
  <c r="I4371" i="32"/>
  <c r="I4372" i="32"/>
  <c r="I4373" i="32"/>
  <c r="I4374" i="32"/>
  <c r="I4375" i="32"/>
  <c r="I4376" i="32"/>
  <c r="I4377" i="32"/>
  <c r="I4378" i="32"/>
  <c r="I4379" i="32"/>
  <c r="I4380" i="32"/>
  <c r="I4381" i="32"/>
  <c r="I4382" i="32"/>
  <c r="I4383" i="32"/>
  <c r="I4384" i="32"/>
  <c r="I4385" i="32"/>
  <c r="I4386" i="32"/>
  <c r="I4387" i="32"/>
  <c r="I4388" i="32"/>
  <c r="I4389" i="32"/>
  <c r="I4390" i="32"/>
  <c r="I4391" i="32"/>
  <c r="I4392" i="32"/>
  <c r="I4393" i="32"/>
  <c r="I4394" i="32"/>
  <c r="I4395" i="32"/>
  <c r="I4396" i="32"/>
  <c r="I4397" i="32"/>
  <c r="I4398" i="32"/>
  <c r="I4399" i="32"/>
  <c r="I4400" i="32"/>
  <c r="I4401" i="32"/>
  <c r="I4402" i="32"/>
  <c r="I4403" i="32"/>
  <c r="I4404" i="32"/>
  <c r="I4405" i="32"/>
  <c r="I4406" i="32"/>
  <c r="I4407" i="32"/>
  <c r="I4408" i="32"/>
  <c r="I4409" i="32"/>
  <c r="I4410" i="32"/>
  <c r="I4411" i="32"/>
  <c r="I4412" i="32"/>
  <c r="I4413" i="32"/>
  <c r="I4414" i="32"/>
  <c r="I4415" i="32"/>
  <c r="I4416" i="32"/>
  <c r="I4417" i="32"/>
  <c r="I4418" i="32"/>
  <c r="I4419" i="32"/>
  <c r="I4420" i="32"/>
  <c r="I4421" i="32"/>
  <c r="I4422" i="32"/>
  <c r="I4423" i="32"/>
  <c r="I4424" i="32"/>
  <c r="I4425" i="32"/>
  <c r="I4426" i="32"/>
  <c r="I4427" i="32"/>
  <c r="I4428" i="32"/>
  <c r="I4429" i="32"/>
  <c r="I4430" i="32"/>
  <c r="I4431" i="32"/>
  <c r="I4432" i="32"/>
  <c r="I4433" i="32"/>
  <c r="I4434" i="32"/>
  <c r="I4435" i="32"/>
  <c r="I4436" i="32"/>
  <c r="I4437" i="32"/>
  <c r="I4438" i="32"/>
  <c r="I4439" i="32"/>
  <c r="I4440" i="32"/>
  <c r="I4441" i="32"/>
  <c r="I4442" i="32"/>
  <c r="I4443" i="32"/>
  <c r="I4444" i="32"/>
  <c r="I4445" i="32"/>
  <c r="I4446" i="32"/>
  <c r="I4447" i="32"/>
  <c r="I4448" i="32"/>
  <c r="I4449" i="32"/>
  <c r="I4450" i="32"/>
  <c r="I4451" i="32"/>
  <c r="I4452" i="32"/>
  <c r="I4453" i="32"/>
  <c r="I4454" i="32"/>
  <c r="I4455" i="32"/>
  <c r="I4456" i="32"/>
  <c r="I4457" i="32"/>
  <c r="I4458" i="32"/>
  <c r="I4459" i="32"/>
  <c r="I4460" i="32"/>
  <c r="I4461" i="32"/>
  <c r="I4462" i="32"/>
  <c r="I4463" i="32"/>
  <c r="I4464" i="32"/>
  <c r="I4465" i="32"/>
  <c r="I4466" i="32"/>
  <c r="I4467" i="32"/>
  <c r="I4468" i="32"/>
  <c r="I4469" i="32"/>
  <c r="I4470" i="32"/>
  <c r="I4471" i="32"/>
  <c r="I4472" i="32"/>
  <c r="I4473" i="32"/>
  <c r="I4474" i="32"/>
  <c r="I4475" i="32"/>
  <c r="I4476" i="32"/>
  <c r="I4477" i="32"/>
  <c r="I4478" i="32"/>
  <c r="I4479" i="32"/>
  <c r="I4480" i="32"/>
  <c r="I4481" i="32"/>
  <c r="I4482" i="32"/>
  <c r="I4483" i="32"/>
  <c r="I4484" i="32"/>
  <c r="I4485" i="32"/>
  <c r="I4486" i="32"/>
  <c r="I4487" i="32"/>
  <c r="I4488" i="32"/>
  <c r="I4489" i="32"/>
  <c r="I4490" i="32"/>
  <c r="I4491" i="32"/>
  <c r="I4492" i="32"/>
  <c r="I4493" i="32"/>
  <c r="I4494" i="32"/>
  <c r="I4495" i="32"/>
  <c r="I4496" i="32"/>
  <c r="I4497" i="32"/>
  <c r="I4498" i="32"/>
  <c r="I4499" i="32"/>
  <c r="I4500" i="32"/>
  <c r="I4501" i="32"/>
  <c r="I4502" i="32"/>
  <c r="I4503" i="32"/>
  <c r="I4504" i="32"/>
  <c r="I4505" i="32"/>
  <c r="I4506" i="32"/>
  <c r="I4507" i="32"/>
  <c r="I4508" i="32"/>
  <c r="I4509" i="32"/>
  <c r="I4510" i="32"/>
  <c r="I4511" i="32"/>
  <c r="I4512" i="32"/>
  <c r="I4513" i="32"/>
  <c r="I4514" i="32"/>
  <c r="I4515" i="32"/>
  <c r="I4516" i="32"/>
  <c r="I4517" i="32"/>
  <c r="I4518" i="32"/>
  <c r="I4519" i="32"/>
  <c r="I4520" i="32"/>
  <c r="I4521" i="32"/>
  <c r="I4522" i="32"/>
  <c r="I4523" i="32"/>
  <c r="I4524" i="32"/>
  <c r="I4525" i="32"/>
  <c r="I4526" i="32"/>
  <c r="I4527" i="32"/>
  <c r="I4528" i="32"/>
  <c r="I4529" i="32"/>
  <c r="I4530" i="32"/>
  <c r="I4531" i="32"/>
  <c r="I4532" i="32"/>
  <c r="I4533" i="32"/>
  <c r="I4534" i="32"/>
  <c r="I4535" i="32"/>
  <c r="I4536" i="32"/>
  <c r="I4537" i="32"/>
  <c r="I4538" i="32"/>
  <c r="I4539" i="32"/>
  <c r="I4540" i="32"/>
  <c r="I4541" i="32"/>
  <c r="I4542" i="32"/>
  <c r="I4543" i="32"/>
  <c r="I4544" i="32"/>
  <c r="I4545" i="32"/>
  <c r="I4546" i="32"/>
  <c r="I4547" i="32"/>
  <c r="I4548" i="32"/>
  <c r="I4549" i="32"/>
  <c r="I4550" i="32"/>
  <c r="I4551" i="32"/>
  <c r="I4552" i="32"/>
  <c r="I4553" i="32"/>
  <c r="I4554" i="32"/>
  <c r="I4555" i="32"/>
  <c r="I4556" i="32"/>
  <c r="I4557" i="32"/>
  <c r="I4558" i="32"/>
  <c r="I4559" i="32"/>
  <c r="I4560" i="32"/>
  <c r="I4561" i="32"/>
  <c r="I4562" i="32"/>
  <c r="I4563" i="32"/>
  <c r="I4564" i="32"/>
  <c r="I4565" i="32"/>
  <c r="I4566" i="32"/>
  <c r="I4567" i="32"/>
  <c r="I4568" i="32"/>
  <c r="I4569" i="32"/>
  <c r="I4570" i="32"/>
  <c r="I4571" i="32"/>
  <c r="I4572" i="32"/>
  <c r="I4573" i="32"/>
  <c r="I4574" i="32"/>
  <c r="I4575" i="32"/>
  <c r="I4576" i="32"/>
  <c r="I4577" i="32"/>
  <c r="I4578" i="32"/>
  <c r="I4579" i="32"/>
  <c r="I4580" i="32"/>
  <c r="I4581" i="32"/>
  <c r="I4582" i="32"/>
  <c r="I4583" i="32"/>
  <c r="I4584" i="32"/>
  <c r="I4585" i="32"/>
  <c r="I4586" i="32"/>
  <c r="I4587" i="32"/>
  <c r="I4588" i="32"/>
  <c r="I4589" i="32"/>
  <c r="I4590" i="32"/>
  <c r="I4591" i="32"/>
  <c r="I4592" i="32"/>
  <c r="I4593" i="32"/>
  <c r="I4594" i="32"/>
  <c r="I4595" i="32"/>
  <c r="I4596" i="32"/>
  <c r="I4597" i="32"/>
  <c r="I4598" i="32"/>
  <c r="I4599" i="32"/>
  <c r="I4600" i="32"/>
  <c r="I4601" i="32"/>
  <c r="I4602" i="32"/>
  <c r="I4603" i="32"/>
  <c r="I4604" i="32"/>
  <c r="I4605" i="32"/>
  <c r="I4606" i="32"/>
  <c r="I4607" i="32"/>
  <c r="I4608" i="32"/>
  <c r="I4609" i="32"/>
  <c r="I4610" i="32"/>
  <c r="I4611" i="32"/>
  <c r="I4612" i="32"/>
  <c r="I4613" i="32"/>
  <c r="I4614" i="32"/>
  <c r="I4615" i="32"/>
  <c r="I4616" i="32"/>
  <c r="I4617" i="32"/>
  <c r="I4618" i="32"/>
  <c r="I4619" i="32"/>
  <c r="I4620" i="32"/>
  <c r="I4621" i="32"/>
  <c r="I4622" i="32"/>
  <c r="I4623" i="32"/>
  <c r="I4624" i="32"/>
  <c r="I4625" i="32"/>
  <c r="I4626" i="32"/>
  <c r="I4627" i="32"/>
  <c r="I4628" i="32"/>
  <c r="I4629" i="32"/>
  <c r="I4630" i="32"/>
  <c r="I4631" i="32"/>
  <c r="I4632" i="32"/>
  <c r="I4633" i="32"/>
  <c r="I4634" i="32"/>
  <c r="I4635" i="32"/>
  <c r="I4636" i="32"/>
  <c r="I4637" i="32"/>
  <c r="I4638" i="32"/>
  <c r="I4639" i="32"/>
  <c r="I4640" i="32"/>
  <c r="I4641" i="32"/>
  <c r="I4642" i="32"/>
  <c r="I4643" i="32"/>
  <c r="I4644" i="32"/>
  <c r="I4645" i="32"/>
  <c r="I4646" i="32"/>
  <c r="I4647" i="32"/>
  <c r="I4648" i="32"/>
  <c r="I4649" i="32"/>
  <c r="I4650" i="32"/>
  <c r="I4651" i="32"/>
  <c r="I4652" i="32"/>
  <c r="I4653" i="32"/>
  <c r="I4654" i="32"/>
  <c r="I4655" i="32"/>
  <c r="I4656" i="32"/>
  <c r="I4657" i="32"/>
  <c r="I4658" i="32"/>
  <c r="I4659" i="32"/>
  <c r="I4660" i="32"/>
  <c r="I4661" i="32"/>
  <c r="I4662" i="32"/>
  <c r="I4663" i="32"/>
  <c r="I4664" i="32"/>
  <c r="I4665" i="32"/>
  <c r="I4666" i="32"/>
  <c r="I4667" i="32"/>
  <c r="I4668" i="32"/>
  <c r="I4669" i="32"/>
  <c r="I4670" i="32"/>
  <c r="I4671" i="32"/>
  <c r="I4672" i="32"/>
  <c r="I4673" i="32"/>
  <c r="I4674" i="32"/>
  <c r="I4675" i="32"/>
  <c r="I4676" i="32"/>
  <c r="I4677" i="32"/>
  <c r="I4678" i="32"/>
  <c r="I4679" i="32"/>
  <c r="I4680" i="32"/>
  <c r="I4681" i="32"/>
  <c r="I4682" i="32"/>
  <c r="I4683" i="32"/>
  <c r="I4684" i="32"/>
  <c r="I4685" i="32"/>
  <c r="I4686" i="32"/>
  <c r="I4687" i="32"/>
  <c r="I4688" i="32"/>
  <c r="I4689" i="32"/>
  <c r="I4690" i="32"/>
  <c r="I4691" i="32"/>
  <c r="I4692" i="32"/>
  <c r="I4693" i="32"/>
  <c r="I4694" i="32"/>
  <c r="I4695" i="32"/>
  <c r="I4696" i="32"/>
  <c r="I4697" i="32"/>
  <c r="I4698" i="32"/>
  <c r="I4699" i="32"/>
  <c r="I4700" i="32"/>
  <c r="I4701" i="32"/>
  <c r="I4702" i="32"/>
  <c r="I4703" i="32"/>
  <c r="I4704" i="32"/>
  <c r="I4705" i="32"/>
  <c r="I4706" i="32"/>
  <c r="I4707" i="32"/>
  <c r="I4708" i="32"/>
  <c r="I4709" i="32"/>
  <c r="I4710" i="32"/>
  <c r="I4711" i="32"/>
  <c r="I4712" i="32"/>
  <c r="I4713" i="32"/>
  <c r="I4714" i="32"/>
  <c r="I4715" i="32"/>
  <c r="I4716" i="32"/>
  <c r="I4717" i="32"/>
  <c r="I4718" i="32"/>
  <c r="I4719" i="32"/>
  <c r="I4720" i="32"/>
  <c r="I4721" i="32"/>
  <c r="I4722" i="32"/>
  <c r="I4723" i="32"/>
  <c r="I4724" i="32"/>
  <c r="I4725" i="32"/>
  <c r="I4726" i="32"/>
  <c r="I4727" i="32"/>
  <c r="I4728" i="32"/>
  <c r="I4729" i="32"/>
  <c r="I4730" i="32"/>
  <c r="I4731" i="32"/>
  <c r="I4732" i="32"/>
  <c r="I4733" i="32"/>
  <c r="I4734" i="32"/>
  <c r="I4735" i="32"/>
  <c r="I4736" i="32"/>
  <c r="I4737" i="32"/>
  <c r="I4738" i="32"/>
  <c r="I4739" i="32"/>
  <c r="I4740" i="32"/>
  <c r="I4741" i="32"/>
  <c r="I4742" i="32"/>
  <c r="I4743" i="32"/>
  <c r="I4744" i="32"/>
  <c r="I4745" i="32"/>
  <c r="I4746" i="32"/>
  <c r="I4747" i="32"/>
  <c r="I4748" i="32"/>
  <c r="I4749" i="32"/>
  <c r="I4750" i="32"/>
  <c r="I4751" i="32"/>
  <c r="I4752" i="32"/>
  <c r="I4753" i="32"/>
  <c r="I4754" i="32"/>
  <c r="I4755" i="32"/>
  <c r="I4756" i="32"/>
  <c r="I4757" i="32"/>
  <c r="I4758" i="32"/>
  <c r="I4759" i="32"/>
  <c r="I4760" i="32"/>
  <c r="I4761" i="32"/>
  <c r="I4762" i="32"/>
  <c r="I4763" i="32"/>
  <c r="I4764" i="32"/>
  <c r="I4765" i="32"/>
  <c r="I4766" i="32"/>
  <c r="I4767" i="32"/>
  <c r="I4768" i="32"/>
  <c r="I4769" i="32"/>
  <c r="I4770" i="32"/>
  <c r="I4771" i="32"/>
  <c r="I4772" i="32"/>
  <c r="I4773" i="32"/>
  <c r="I4774" i="32"/>
  <c r="I4775" i="32"/>
  <c r="I4776" i="32"/>
  <c r="I4777" i="32"/>
  <c r="I4778" i="32"/>
  <c r="I4779" i="32"/>
  <c r="I4780" i="32"/>
  <c r="I4781" i="32"/>
  <c r="I4782" i="32"/>
  <c r="I4783" i="32"/>
  <c r="I4784" i="32"/>
  <c r="I4785" i="32"/>
  <c r="I4786" i="32"/>
  <c r="I4787" i="32"/>
  <c r="I4788" i="32"/>
  <c r="I4789" i="32"/>
  <c r="I4790" i="32"/>
  <c r="I4791" i="32"/>
  <c r="I4792" i="32"/>
  <c r="I4793" i="32"/>
  <c r="I4794" i="32"/>
  <c r="I4795" i="32"/>
  <c r="I4796" i="32"/>
  <c r="I4797" i="32"/>
  <c r="I4798" i="32"/>
  <c r="I4799" i="32"/>
  <c r="I4800" i="32"/>
  <c r="I4801" i="32"/>
  <c r="I4802" i="32"/>
  <c r="I4803" i="32"/>
  <c r="I4804" i="32"/>
  <c r="I4805" i="32"/>
  <c r="I4806" i="32"/>
  <c r="I4807" i="32"/>
  <c r="I4808" i="32"/>
  <c r="I4809" i="32"/>
  <c r="I4810" i="32"/>
  <c r="I4811" i="32"/>
  <c r="I4812" i="32"/>
  <c r="I4813" i="32"/>
  <c r="I4814" i="32"/>
  <c r="I4815" i="32"/>
  <c r="I4816" i="32"/>
  <c r="I4817" i="32"/>
  <c r="I4818" i="32"/>
  <c r="I4819" i="32"/>
  <c r="I4820" i="32"/>
  <c r="I4821" i="32"/>
  <c r="I4822" i="32"/>
  <c r="I4823" i="32"/>
  <c r="I4824" i="32"/>
  <c r="I4825" i="32"/>
  <c r="I4826" i="32"/>
  <c r="I4827" i="32"/>
  <c r="I4828" i="32"/>
  <c r="I4829" i="32"/>
  <c r="I4830" i="32"/>
  <c r="I4831" i="32"/>
  <c r="I4832" i="32"/>
  <c r="I4833" i="32"/>
  <c r="I4834" i="32"/>
  <c r="I4835" i="32"/>
  <c r="I4836" i="32"/>
  <c r="I4837" i="32"/>
  <c r="I4838" i="32"/>
  <c r="I4839" i="32"/>
  <c r="I4840" i="32"/>
  <c r="I4841" i="32"/>
  <c r="I4842" i="32"/>
  <c r="I4843" i="32"/>
  <c r="I4844" i="32"/>
  <c r="I4845" i="32"/>
  <c r="I4846" i="32"/>
  <c r="I4847" i="32"/>
  <c r="I4848" i="32"/>
  <c r="I4849" i="32"/>
  <c r="I4850" i="32"/>
  <c r="I4851" i="32"/>
  <c r="I4852" i="32"/>
  <c r="I4853" i="32"/>
  <c r="I4854" i="32"/>
  <c r="I4855" i="32"/>
  <c r="I4856" i="32"/>
  <c r="I4857" i="32"/>
  <c r="I4858" i="32"/>
  <c r="I4859" i="32"/>
  <c r="I4860" i="32"/>
  <c r="I4861" i="32"/>
  <c r="I4862" i="32"/>
  <c r="I4863" i="32"/>
  <c r="I4864" i="32"/>
  <c r="I4865" i="32"/>
  <c r="I4866" i="32"/>
  <c r="I4867" i="32"/>
  <c r="I4868" i="32"/>
  <c r="I4869" i="32"/>
  <c r="I4870" i="32"/>
  <c r="I4871" i="32"/>
  <c r="I4872" i="32"/>
  <c r="I4873" i="32"/>
  <c r="I4874" i="32"/>
  <c r="I4875" i="32"/>
  <c r="I4876" i="32"/>
  <c r="I4877" i="32"/>
  <c r="I4878" i="32"/>
  <c r="I4879" i="32"/>
  <c r="I4880" i="32"/>
  <c r="I4881" i="32"/>
  <c r="I4882" i="32"/>
  <c r="I4883" i="32"/>
  <c r="I4884" i="32"/>
  <c r="I4885" i="32"/>
  <c r="I4886" i="32"/>
  <c r="I4887" i="32"/>
  <c r="I4888" i="32"/>
  <c r="I4889" i="32"/>
  <c r="I4890" i="32"/>
  <c r="I4891" i="32"/>
  <c r="I4892" i="32"/>
  <c r="I4893" i="32"/>
  <c r="I4894" i="32"/>
  <c r="I4895" i="32"/>
  <c r="I4896" i="32"/>
  <c r="I4897" i="32"/>
  <c r="I4898" i="32"/>
  <c r="I4899" i="32"/>
  <c r="I4900" i="32"/>
  <c r="I4901" i="32"/>
  <c r="I4902" i="32"/>
  <c r="I4903" i="32"/>
  <c r="I4904" i="32"/>
  <c r="I4905" i="32"/>
  <c r="I4906" i="32"/>
  <c r="I4907" i="32"/>
  <c r="I4908" i="32"/>
  <c r="I4909" i="32"/>
  <c r="I4910" i="32"/>
  <c r="I4911" i="32"/>
  <c r="I4912" i="32"/>
  <c r="I4913" i="32"/>
  <c r="I4914" i="32"/>
  <c r="I4915" i="32"/>
  <c r="I4916" i="32"/>
  <c r="I4917" i="32"/>
  <c r="I4918" i="32"/>
  <c r="I4919" i="32"/>
  <c r="I4920" i="32"/>
  <c r="I4921" i="32"/>
  <c r="I4922" i="32"/>
  <c r="I4923" i="32"/>
  <c r="I4924" i="32"/>
  <c r="I4925" i="32"/>
  <c r="I4926" i="32"/>
  <c r="I4927" i="32"/>
  <c r="I4928" i="32"/>
  <c r="I4929" i="32"/>
  <c r="I4930" i="32"/>
  <c r="I4931" i="32"/>
  <c r="I4932" i="32"/>
  <c r="I4933" i="32"/>
  <c r="I4934" i="32"/>
  <c r="I4935" i="32"/>
  <c r="I4936" i="32"/>
  <c r="I4937" i="32"/>
  <c r="I4938" i="32"/>
  <c r="I4939" i="32"/>
  <c r="I4940" i="32"/>
  <c r="I4941" i="32"/>
  <c r="I4942" i="32"/>
  <c r="I4943" i="32"/>
  <c r="I4944" i="32"/>
  <c r="I4945" i="32"/>
  <c r="I4946" i="32"/>
  <c r="I4947" i="32"/>
  <c r="I4948" i="32"/>
  <c r="I4949" i="32"/>
  <c r="I4950" i="32"/>
  <c r="I4951" i="32"/>
  <c r="I4952" i="32"/>
  <c r="I4953" i="32"/>
  <c r="I4954" i="32"/>
  <c r="I4955" i="32"/>
  <c r="I4956" i="32"/>
  <c r="I4957" i="32"/>
  <c r="I4958" i="32"/>
  <c r="I4959" i="32"/>
  <c r="I4960" i="32"/>
  <c r="I4961" i="32"/>
  <c r="I4962" i="32"/>
  <c r="I4963" i="32"/>
  <c r="I4964" i="32"/>
  <c r="I4965" i="32"/>
  <c r="I4966" i="32"/>
  <c r="I4967" i="32"/>
  <c r="I4968" i="32"/>
  <c r="I4969" i="32"/>
  <c r="I4970" i="32"/>
  <c r="I4971" i="32"/>
  <c r="I4972" i="32"/>
  <c r="I4973" i="32"/>
  <c r="I4974" i="32"/>
  <c r="I4975" i="32"/>
  <c r="I4976" i="32"/>
  <c r="I4977" i="32"/>
  <c r="I4978" i="32"/>
  <c r="I4979" i="32"/>
  <c r="I4980" i="32"/>
  <c r="I4981" i="32"/>
  <c r="I4982" i="32"/>
  <c r="I4983" i="32"/>
  <c r="I4984" i="32"/>
  <c r="I4985" i="32"/>
  <c r="I4986" i="32"/>
  <c r="I4987" i="32"/>
  <c r="I4988" i="32"/>
  <c r="I4989" i="32"/>
  <c r="I4990" i="32"/>
  <c r="I4991" i="32"/>
  <c r="I4992" i="32"/>
  <c r="I4993" i="32"/>
  <c r="I4994" i="32"/>
  <c r="I4995" i="32"/>
  <c r="I4996" i="32"/>
  <c r="I4997" i="32"/>
  <c r="I4998" i="32"/>
  <c r="I4999" i="32"/>
  <c r="I5000" i="32"/>
  <c r="I5001" i="32"/>
  <c r="I5002" i="32"/>
  <c r="I5003" i="32"/>
  <c r="I5004" i="32"/>
  <c r="I5005" i="32"/>
  <c r="I5006" i="32"/>
  <c r="I5007" i="32"/>
  <c r="I5008" i="32"/>
  <c r="I5009" i="32"/>
  <c r="I5010" i="32"/>
  <c r="I5011" i="32"/>
  <c r="I5012" i="32"/>
  <c r="I5013" i="32"/>
  <c r="I5014" i="32"/>
  <c r="I5015" i="32"/>
  <c r="I5016" i="32"/>
  <c r="I5017" i="32"/>
  <c r="I5018" i="32"/>
  <c r="I5019" i="32"/>
  <c r="I5020" i="32"/>
  <c r="I5021" i="32"/>
  <c r="I5022" i="32"/>
  <c r="I5023" i="32"/>
  <c r="I5024" i="32"/>
  <c r="I5025" i="32"/>
  <c r="I5026" i="32"/>
  <c r="I5027" i="32"/>
  <c r="I5028" i="32"/>
  <c r="I5029" i="32"/>
  <c r="I5030" i="32"/>
  <c r="I5031" i="32"/>
  <c r="I5032" i="32"/>
  <c r="I5033" i="32"/>
  <c r="I5034" i="32"/>
  <c r="I5035" i="32"/>
  <c r="I5036" i="32"/>
  <c r="I5037" i="32"/>
  <c r="I5038" i="32"/>
  <c r="I5039" i="32"/>
  <c r="I5040" i="32"/>
  <c r="I5041" i="32"/>
  <c r="I5042" i="32"/>
  <c r="I5043" i="32"/>
  <c r="I5044" i="32"/>
  <c r="I5045" i="32"/>
  <c r="I5046" i="32"/>
  <c r="I5047" i="32"/>
  <c r="I5048" i="32"/>
  <c r="I5049" i="32"/>
  <c r="I5050" i="32"/>
  <c r="I5051" i="32"/>
  <c r="I5052" i="32"/>
  <c r="I5053" i="32"/>
  <c r="I5054" i="32"/>
  <c r="I5055" i="32"/>
  <c r="I5056" i="32"/>
  <c r="I5057" i="32"/>
  <c r="I5058" i="32"/>
  <c r="I5059" i="32"/>
  <c r="I5060" i="32"/>
  <c r="I5061" i="32"/>
  <c r="I5062" i="32"/>
  <c r="I5063" i="32"/>
  <c r="I5064" i="32"/>
  <c r="I5065" i="32"/>
  <c r="I5066" i="32"/>
  <c r="I5067" i="32"/>
  <c r="I5068" i="32"/>
  <c r="I5069" i="32"/>
  <c r="I5070" i="32"/>
  <c r="I5071" i="32"/>
  <c r="I5072" i="32"/>
  <c r="I5073" i="32"/>
  <c r="I5074" i="32"/>
  <c r="I5075" i="32"/>
  <c r="I5076" i="32"/>
  <c r="I5077" i="32"/>
  <c r="I5078" i="32"/>
  <c r="I5079" i="32"/>
  <c r="I5080" i="32"/>
  <c r="I5081" i="32"/>
  <c r="I5082" i="32"/>
  <c r="I5083" i="32"/>
  <c r="I5084" i="32"/>
  <c r="I5085" i="32"/>
  <c r="I5086" i="32"/>
  <c r="I5087" i="32"/>
  <c r="I5088" i="32"/>
  <c r="I5089" i="32"/>
  <c r="I5090" i="32"/>
  <c r="I5091" i="32"/>
  <c r="I5092" i="32"/>
  <c r="I5093" i="32"/>
  <c r="I5094" i="32"/>
  <c r="I5095" i="32"/>
  <c r="I5096" i="32"/>
  <c r="I5097" i="32"/>
  <c r="I5098" i="32"/>
  <c r="I5099" i="32"/>
  <c r="I5100" i="32"/>
  <c r="I5101" i="32"/>
  <c r="I5102" i="32"/>
  <c r="I5103" i="32"/>
  <c r="I5104" i="32"/>
  <c r="I5105" i="32"/>
  <c r="I5106" i="32"/>
  <c r="I5107" i="32"/>
  <c r="I5108" i="32"/>
  <c r="I5109" i="32"/>
  <c r="I5110" i="32"/>
  <c r="I5111" i="32"/>
  <c r="I5112" i="32"/>
  <c r="I5113" i="32"/>
  <c r="I5114" i="32"/>
  <c r="I5115" i="32"/>
  <c r="I5116" i="32"/>
  <c r="I5117" i="32"/>
  <c r="I5118" i="32"/>
  <c r="I5119" i="32"/>
  <c r="I5120" i="32"/>
  <c r="I5121" i="32"/>
  <c r="I5122" i="32"/>
  <c r="I5123" i="32"/>
  <c r="I5124" i="32"/>
  <c r="I5125" i="32"/>
  <c r="I5126" i="32"/>
  <c r="I5127" i="32"/>
  <c r="I5128" i="32"/>
  <c r="I5129" i="32"/>
  <c r="I5130" i="32"/>
  <c r="I5131" i="32"/>
  <c r="I5132" i="32"/>
  <c r="I5133" i="32"/>
  <c r="I5134" i="32"/>
  <c r="I5135" i="32"/>
  <c r="I5136" i="32"/>
  <c r="I5137" i="32"/>
  <c r="I5138" i="32"/>
  <c r="I5139" i="32"/>
  <c r="I5140" i="32"/>
  <c r="I5141" i="32"/>
  <c r="I5142" i="32"/>
  <c r="I5143" i="32"/>
  <c r="I5144" i="32"/>
  <c r="I5145" i="32"/>
  <c r="I5146" i="32"/>
  <c r="I5147" i="32"/>
  <c r="I5148" i="32"/>
  <c r="I5149" i="32"/>
  <c r="I5150" i="32"/>
  <c r="I5151" i="32"/>
  <c r="I5152" i="32"/>
  <c r="I5153" i="32"/>
  <c r="I5154" i="32"/>
  <c r="I5155" i="32"/>
  <c r="I5156" i="32"/>
  <c r="I5157" i="32"/>
  <c r="I5158" i="32"/>
  <c r="I5159" i="32"/>
  <c r="I5160" i="32"/>
  <c r="I5161" i="32"/>
  <c r="I5162" i="32"/>
  <c r="I5163" i="32"/>
  <c r="I5164" i="32"/>
  <c r="I5165" i="32"/>
  <c r="I5166" i="32"/>
  <c r="I5167" i="32"/>
  <c r="I5168" i="32"/>
  <c r="I5169" i="32"/>
  <c r="I5170" i="32"/>
  <c r="I5171" i="32"/>
  <c r="I5172" i="32"/>
  <c r="I5173" i="32"/>
  <c r="I5174" i="32"/>
  <c r="I5175" i="32"/>
  <c r="I5176" i="32"/>
  <c r="I5177" i="32"/>
  <c r="I5178" i="32"/>
  <c r="I5179" i="32"/>
  <c r="I5180" i="32"/>
  <c r="I5181" i="32"/>
  <c r="I5182" i="32"/>
  <c r="I5183" i="32"/>
  <c r="I5184" i="32"/>
  <c r="I5185" i="32"/>
  <c r="I5186" i="32"/>
  <c r="I5187" i="32"/>
  <c r="I5188" i="32"/>
  <c r="I5189" i="32"/>
  <c r="I5190" i="32"/>
  <c r="I5191" i="32"/>
  <c r="I5192" i="32"/>
  <c r="I5193" i="32"/>
  <c r="I5194" i="32"/>
  <c r="I5195" i="32"/>
  <c r="I5196" i="32"/>
  <c r="I5197" i="32"/>
  <c r="I5198" i="32"/>
  <c r="I5199" i="32"/>
  <c r="I5200" i="32"/>
  <c r="I5201" i="32"/>
  <c r="I5202" i="32"/>
  <c r="I5203" i="32"/>
  <c r="I5204" i="32"/>
  <c r="I5205" i="32"/>
  <c r="I5206" i="32"/>
  <c r="I5207" i="32"/>
  <c r="I5208" i="32"/>
  <c r="I5209" i="32"/>
  <c r="I5210" i="32"/>
  <c r="I5211" i="32"/>
  <c r="I5212" i="32"/>
  <c r="I5213" i="32"/>
  <c r="I5214" i="32"/>
  <c r="I5215" i="32"/>
  <c r="I5216" i="32"/>
  <c r="I5217" i="32"/>
  <c r="I5218" i="32"/>
  <c r="I5219" i="32"/>
  <c r="I5220" i="32"/>
  <c r="I5221" i="32"/>
  <c r="I5222" i="32"/>
  <c r="I5223" i="32"/>
  <c r="I5224" i="32"/>
  <c r="I5225" i="32"/>
  <c r="I5226" i="32"/>
  <c r="I5227" i="32"/>
  <c r="I5228" i="32"/>
  <c r="I5229" i="32"/>
  <c r="I5230" i="32"/>
  <c r="I5231" i="32"/>
  <c r="I5232" i="32"/>
  <c r="I5233" i="32"/>
  <c r="I5234" i="32"/>
  <c r="I5235" i="32"/>
  <c r="I5236" i="32"/>
  <c r="I5237" i="32"/>
  <c r="I5238" i="32"/>
  <c r="I5239" i="32"/>
  <c r="I5240" i="32"/>
  <c r="I5241" i="32"/>
  <c r="I5242" i="32"/>
  <c r="I5243" i="32"/>
  <c r="I5244" i="32"/>
  <c r="I5245" i="32"/>
  <c r="I5246" i="32"/>
  <c r="I5247" i="32"/>
  <c r="I5248" i="32"/>
  <c r="I5249" i="32"/>
  <c r="I5250" i="32"/>
  <c r="I5251" i="32"/>
  <c r="I5252" i="32"/>
  <c r="I5253" i="32"/>
  <c r="I5254" i="32"/>
  <c r="I5255" i="32"/>
  <c r="I5256" i="32"/>
  <c r="I5257" i="32"/>
  <c r="I5258" i="32"/>
  <c r="I5259" i="32"/>
  <c r="I5260" i="32"/>
  <c r="I5261" i="32"/>
  <c r="I5262" i="32"/>
  <c r="I5263" i="32"/>
  <c r="I5264" i="32"/>
  <c r="I5265" i="32"/>
  <c r="I5266" i="32"/>
  <c r="I5267" i="32"/>
  <c r="I5268" i="32"/>
  <c r="I5269" i="32"/>
  <c r="I5270" i="32"/>
  <c r="I5271" i="32"/>
  <c r="I5272" i="32"/>
  <c r="I5273" i="32"/>
  <c r="I5274" i="32"/>
  <c r="I5275" i="32"/>
  <c r="I5276" i="32"/>
  <c r="I5277" i="32"/>
  <c r="I5278" i="32"/>
  <c r="I5279" i="32"/>
  <c r="I5280" i="32"/>
  <c r="I5281" i="32"/>
  <c r="I5282" i="32"/>
  <c r="I5283" i="32"/>
  <c r="I5284" i="32"/>
  <c r="I5285" i="32"/>
  <c r="I5286" i="32"/>
  <c r="I5287" i="32"/>
  <c r="I5288" i="32"/>
  <c r="I5289" i="32"/>
  <c r="I5290" i="32"/>
  <c r="I5291" i="32"/>
  <c r="I5292" i="32"/>
  <c r="I5293" i="32"/>
  <c r="I5294" i="32"/>
  <c r="I5295" i="32"/>
  <c r="I5296" i="32"/>
  <c r="I5297" i="32"/>
  <c r="I5298" i="32"/>
  <c r="I5299" i="32"/>
  <c r="I5300" i="32"/>
  <c r="I5301" i="32"/>
  <c r="I5302" i="32"/>
  <c r="I5303" i="32"/>
  <c r="I5304" i="32"/>
  <c r="I5305" i="32"/>
  <c r="I5306" i="32"/>
  <c r="I5307" i="32"/>
  <c r="I5308" i="32"/>
  <c r="I5309" i="32"/>
  <c r="I5310" i="32"/>
  <c r="I5311" i="32"/>
  <c r="I5312" i="32"/>
  <c r="I5313" i="32"/>
  <c r="I5314" i="32"/>
  <c r="I5315" i="32"/>
  <c r="I5316" i="32"/>
  <c r="I5317" i="32"/>
  <c r="I5318" i="32"/>
  <c r="I5319" i="32"/>
  <c r="I5320" i="32"/>
  <c r="I5321" i="32"/>
  <c r="I5322" i="32"/>
  <c r="I5323" i="32"/>
  <c r="I5324" i="32"/>
  <c r="I5325" i="32"/>
  <c r="I5326" i="32"/>
  <c r="I5327" i="32"/>
  <c r="I5328" i="32"/>
  <c r="I5329" i="32"/>
  <c r="I5330" i="32"/>
  <c r="I5331" i="32"/>
  <c r="I5332" i="32"/>
  <c r="I5333" i="32"/>
  <c r="I5334" i="32"/>
  <c r="I5335" i="32"/>
  <c r="I5336" i="32"/>
  <c r="I5337" i="32"/>
  <c r="I5338" i="32"/>
  <c r="I5339" i="32"/>
  <c r="I5340" i="32"/>
  <c r="I5341" i="32"/>
  <c r="I5342" i="32"/>
  <c r="I5343" i="32"/>
  <c r="I5344" i="32"/>
  <c r="I5345" i="32"/>
  <c r="I5346" i="32"/>
  <c r="I5347" i="32"/>
  <c r="I5348" i="32"/>
  <c r="I5349" i="32"/>
  <c r="I5350" i="32"/>
  <c r="I5351" i="32"/>
  <c r="I5352" i="32"/>
  <c r="I5353" i="32"/>
  <c r="I5354" i="32"/>
  <c r="I5355" i="32"/>
  <c r="I5356" i="32"/>
  <c r="I5357" i="32"/>
  <c r="I5358" i="32"/>
  <c r="I5359" i="32"/>
  <c r="I5360" i="32"/>
  <c r="I5361" i="32"/>
  <c r="I5362" i="32"/>
  <c r="I5363" i="32"/>
  <c r="I5364" i="32"/>
  <c r="I5365" i="32"/>
  <c r="I5366" i="32"/>
  <c r="I5367" i="32"/>
  <c r="I5368" i="32"/>
  <c r="I5369" i="32"/>
  <c r="I5370" i="32"/>
  <c r="I5371" i="32"/>
  <c r="I5372" i="32"/>
  <c r="I5373" i="32"/>
  <c r="I5374" i="32"/>
  <c r="I5375" i="32"/>
  <c r="I5376" i="32"/>
  <c r="I5377" i="32"/>
  <c r="I5378" i="32"/>
  <c r="I5379" i="32"/>
  <c r="I5380" i="32"/>
  <c r="I5381" i="32"/>
  <c r="I5382" i="32"/>
  <c r="I5383" i="32"/>
  <c r="I5384" i="32"/>
  <c r="I5385" i="32"/>
  <c r="I5386" i="32"/>
  <c r="I5387" i="32"/>
  <c r="I5388" i="32"/>
  <c r="I5389" i="32"/>
  <c r="I5390" i="32"/>
  <c r="I5391" i="32"/>
  <c r="I5392" i="32"/>
  <c r="I5393" i="32"/>
  <c r="I5394" i="32"/>
  <c r="I5395" i="32"/>
  <c r="I5396" i="32"/>
  <c r="I5397" i="32"/>
  <c r="I5398" i="32"/>
  <c r="I5399" i="32"/>
  <c r="I5400" i="32"/>
  <c r="I5401" i="32"/>
  <c r="I5402" i="32"/>
  <c r="I5403" i="32"/>
  <c r="I5404" i="32"/>
  <c r="I5405" i="32"/>
  <c r="I5406" i="32"/>
  <c r="I5407" i="32"/>
  <c r="I5408" i="32"/>
  <c r="I5409" i="32"/>
  <c r="I5410" i="32"/>
  <c r="I5411" i="32"/>
  <c r="I5412" i="32"/>
  <c r="I5413" i="32"/>
  <c r="I5414" i="32"/>
  <c r="I5415" i="32"/>
  <c r="I5416" i="32"/>
  <c r="I5417" i="32"/>
  <c r="I5418" i="32"/>
  <c r="I5419" i="32"/>
  <c r="I5420" i="32"/>
  <c r="I5421" i="32"/>
  <c r="I5422" i="32"/>
  <c r="I5423" i="32"/>
  <c r="I5424" i="32"/>
  <c r="I5425" i="32"/>
  <c r="I5426" i="32"/>
  <c r="I5427" i="32"/>
  <c r="I5428" i="32"/>
  <c r="I5429" i="32"/>
  <c r="I5430" i="32"/>
  <c r="I5431" i="32"/>
  <c r="I5432" i="32"/>
  <c r="I5433" i="32"/>
  <c r="I5434" i="32"/>
  <c r="I5435" i="32"/>
  <c r="I5436" i="32"/>
  <c r="I5437" i="32"/>
  <c r="I5438" i="32"/>
  <c r="I5439" i="32"/>
  <c r="I5440" i="32"/>
  <c r="I5441" i="32"/>
  <c r="I5442" i="32"/>
  <c r="I5443" i="32"/>
  <c r="I5444" i="32"/>
  <c r="I5445" i="32"/>
  <c r="I5446" i="32"/>
  <c r="I5447" i="32"/>
  <c r="I5448" i="32"/>
  <c r="I5449" i="32"/>
  <c r="I5450" i="32"/>
  <c r="I5451" i="32"/>
  <c r="I5452" i="32"/>
  <c r="I5453" i="32"/>
  <c r="I5454" i="32"/>
  <c r="I5455" i="32"/>
  <c r="I5456" i="32"/>
  <c r="I5457" i="32"/>
  <c r="I5458" i="32"/>
  <c r="I5459" i="32"/>
  <c r="I5460" i="32"/>
  <c r="I5461" i="32"/>
  <c r="I5462" i="32"/>
  <c r="I5463" i="32"/>
  <c r="I5464" i="32"/>
  <c r="I5465" i="32"/>
  <c r="I5466" i="32"/>
  <c r="I5467" i="32"/>
  <c r="I5468" i="32"/>
  <c r="I5469" i="32"/>
  <c r="I5470" i="32"/>
  <c r="I5471" i="32"/>
  <c r="I5472" i="32"/>
  <c r="I5473" i="32"/>
  <c r="I5474" i="32"/>
  <c r="I5475" i="32"/>
  <c r="I5476" i="32"/>
  <c r="I5477" i="32"/>
  <c r="I5478" i="32"/>
  <c r="I5479" i="32"/>
  <c r="I5480" i="32"/>
  <c r="I5481" i="32"/>
  <c r="I5482" i="32"/>
  <c r="I5483" i="32"/>
  <c r="I5484" i="32"/>
  <c r="I5485" i="32"/>
  <c r="I5486" i="32"/>
  <c r="I5487" i="32"/>
  <c r="I5488" i="32"/>
  <c r="I5489" i="32"/>
  <c r="I5490" i="32"/>
  <c r="I5491" i="32"/>
  <c r="I5492" i="32"/>
  <c r="I5493" i="32"/>
  <c r="I5494" i="32"/>
  <c r="I5495" i="32"/>
  <c r="I5496" i="32"/>
  <c r="I5497" i="32"/>
  <c r="I5498" i="32"/>
  <c r="I5499" i="32"/>
  <c r="I5500" i="32"/>
  <c r="I5501" i="32"/>
  <c r="I5502" i="32"/>
  <c r="I5503" i="32"/>
  <c r="I5504" i="32"/>
  <c r="I5505" i="32"/>
  <c r="I5506" i="32"/>
  <c r="I5507" i="32"/>
  <c r="I5508" i="32"/>
  <c r="I5509" i="32"/>
  <c r="I5510" i="32"/>
  <c r="I5511" i="32"/>
  <c r="I5512" i="32"/>
  <c r="I5513" i="32"/>
  <c r="I5514" i="32"/>
  <c r="I5515" i="32"/>
  <c r="I5516" i="32"/>
  <c r="I5517" i="32"/>
  <c r="I5518" i="32"/>
  <c r="I5519" i="32"/>
  <c r="I5520" i="32"/>
  <c r="I5521" i="32"/>
  <c r="I5522" i="32"/>
  <c r="I5523" i="32"/>
  <c r="I5524" i="32"/>
  <c r="I5525" i="32"/>
  <c r="I5526" i="32"/>
  <c r="I5527" i="32"/>
  <c r="I5528" i="32"/>
  <c r="I5529" i="32"/>
  <c r="I5530" i="32"/>
  <c r="I5531" i="32"/>
  <c r="I5532" i="32"/>
  <c r="I5533" i="32"/>
  <c r="I5534" i="32"/>
  <c r="I5535" i="32"/>
  <c r="I5536" i="32"/>
  <c r="I5537" i="32"/>
  <c r="I5538" i="32"/>
  <c r="I5539" i="32"/>
  <c r="I5540" i="32"/>
  <c r="I5541" i="32"/>
  <c r="I5542" i="32"/>
  <c r="I5543" i="32"/>
  <c r="I5544" i="32"/>
  <c r="I5545" i="32"/>
  <c r="I5546" i="32"/>
  <c r="I5547" i="32"/>
  <c r="I5548" i="32"/>
  <c r="I5549" i="32"/>
  <c r="I5550" i="32"/>
  <c r="I5551" i="32"/>
  <c r="I5552" i="32"/>
  <c r="I5553" i="32"/>
  <c r="I5554" i="32"/>
  <c r="I5555" i="32"/>
  <c r="I5556" i="32"/>
  <c r="I5557" i="32"/>
  <c r="I5558" i="32"/>
  <c r="I5559" i="32"/>
  <c r="I5560" i="32"/>
  <c r="I5561" i="32"/>
  <c r="I5562" i="32"/>
  <c r="I5563" i="32"/>
  <c r="I5564" i="32"/>
  <c r="I5565" i="32"/>
  <c r="I5566" i="32"/>
  <c r="I5567" i="32"/>
  <c r="I5568" i="32"/>
  <c r="I5569" i="32"/>
  <c r="I5570" i="32"/>
  <c r="I5571" i="32"/>
  <c r="I5572" i="32"/>
  <c r="I5573" i="32"/>
  <c r="I5574" i="32"/>
  <c r="I5575" i="32"/>
  <c r="I5576" i="32"/>
  <c r="I5577" i="32"/>
  <c r="I5578" i="32"/>
  <c r="I5579" i="32"/>
  <c r="I5580" i="32"/>
  <c r="I5581" i="32"/>
  <c r="I5582" i="32"/>
  <c r="I5583" i="32"/>
  <c r="I5584" i="32"/>
  <c r="I5585" i="32"/>
  <c r="I5586" i="32"/>
  <c r="I5587" i="32"/>
  <c r="I5588" i="32"/>
  <c r="I5589" i="32"/>
  <c r="I5590" i="32"/>
  <c r="I5591" i="32"/>
  <c r="I5592" i="32"/>
  <c r="I5593" i="32"/>
  <c r="I5594" i="32"/>
  <c r="I5595" i="32"/>
  <c r="I5596" i="32"/>
  <c r="I5597" i="32"/>
  <c r="I5598" i="32"/>
  <c r="I5599" i="32"/>
  <c r="I5600" i="32"/>
  <c r="I5601" i="32"/>
  <c r="I5602" i="32"/>
  <c r="I5603" i="32"/>
  <c r="I5604" i="32"/>
  <c r="I5605" i="32"/>
  <c r="I5606" i="32"/>
  <c r="I5607" i="32"/>
  <c r="I5608" i="32"/>
  <c r="I5609" i="32"/>
  <c r="I5610" i="32"/>
  <c r="I5611" i="32"/>
  <c r="I5612" i="32"/>
  <c r="I5613" i="32"/>
  <c r="I5614" i="32"/>
  <c r="I5615" i="32"/>
  <c r="I5616" i="32"/>
  <c r="I5617" i="32"/>
  <c r="I5618" i="32"/>
  <c r="I5619" i="32"/>
  <c r="I5620" i="32"/>
  <c r="I5621" i="32"/>
  <c r="I5622" i="32"/>
  <c r="I5623" i="32"/>
  <c r="I5624" i="32"/>
  <c r="I5625" i="32"/>
  <c r="I5626" i="32"/>
  <c r="I5627" i="32"/>
  <c r="I5628" i="32"/>
  <c r="I5629" i="32"/>
  <c r="I5630" i="32"/>
  <c r="I5631" i="32"/>
  <c r="I5632" i="32"/>
  <c r="I5633" i="32"/>
  <c r="I5634" i="32"/>
  <c r="I5635" i="32"/>
  <c r="I5636" i="32"/>
  <c r="I5637" i="32"/>
  <c r="I5638" i="32"/>
  <c r="I5639" i="32"/>
  <c r="I5640" i="32"/>
  <c r="I5641" i="32"/>
  <c r="I5642" i="32"/>
  <c r="I5643" i="32"/>
  <c r="I5644" i="32"/>
  <c r="I5645" i="32"/>
  <c r="I5646" i="32"/>
  <c r="I5647" i="32"/>
  <c r="I5648" i="32"/>
  <c r="I5649" i="32"/>
  <c r="I5650" i="32"/>
  <c r="I5651" i="32"/>
  <c r="I5652" i="32"/>
  <c r="I5653" i="32"/>
  <c r="I5654" i="32"/>
  <c r="I5655" i="32"/>
  <c r="I5656" i="32"/>
  <c r="I5657" i="32"/>
  <c r="I5658" i="32"/>
  <c r="I5659" i="32"/>
  <c r="I5660" i="32"/>
  <c r="I5661" i="32"/>
  <c r="I5662" i="32"/>
  <c r="I5663" i="32"/>
  <c r="I5664" i="32"/>
  <c r="I5665" i="32"/>
  <c r="I5666" i="32"/>
  <c r="I5667" i="32"/>
  <c r="I5668" i="32"/>
  <c r="I5669" i="32"/>
  <c r="I5670" i="32"/>
  <c r="I5671" i="32"/>
  <c r="I5672" i="32"/>
  <c r="I5673" i="32"/>
  <c r="I5674" i="32"/>
  <c r="I5675" i="32"/>
  <c r="I5676" i="32"/>
  <c r="I5677" i="32"/>
  <c r="I5678" i="32"/>
  <c r="I5679" i="32"/>
  <c r="I5680" i="32"/>
  <c r="I5681" i="32"/>
  <c r="I5682" i="32"/>
  <c r="I5683" i="32"/>
  <c r="I5684" i="32"/>
  <c r="I5685" i="32"/>
  <c r="I5686" i="32"/>
  <c r="I5687" i="32"/>
  <c r="I5688" i="32"/>
  <c r="I5689" i="32"/>
  <c r="I5690" i="32"/>
  <c r="I5691" i="32"/>
  <c r="I5692" i="32"/>
  <c r="I5693" i="32"/>
  <c r="I5694" i="32"/>
  <c r="I5695" i="32"/>
  <c r="I5696" i="32"/>
  <c r="I5697" i="32"/>
  <c r="I5698" i="32"/>
  <c r="I5699" i="32"/>
  <c r="I5700" i="32"/>
  <c r="I5701" i="32"/>
  <c r="I5702" i="32"/>
  <c r="I5703" i="32"/>
  <c r="I5704" i="32"/>
  <c r="I5705" i="32"/>
  <c r="I5706" i="32"/>
  <c r="I5707" i="32"/>
  <c r="I5708" i="32"/>
  <c r="I5709" i="32"/>
  <c r="I5710" i="32"/>
  <c r="I5711" i="32"/>
  <c r="I5712" i="32"/>
  <c r="I5713" i="32"/>
  <c r="I5714" i="32"/>
  <c r="I5715" i="32"/>
  <c r="I5716" i="32"/>
  <c r="I5717" i="32"/>
  <c r="I5718" i="32"/>
  <c r="I5719" i="32"/>
  <c r="I5720" i="32"/>
  <c r="I5721" i="32"/>
  <c r="I5722" i="32"/>
  <c r="I5723" i="32"/>
  <c r="I5724" i="32"/>
  <c r="I5725" i="32"/>
  <c r="I5726" i="32"/>
  <c r="I5727" i="32"/>
  <c r="I5728" i="32"/>
  <c r="I5729" i="32"/>
  <c r="I5730" i="32"/>
  <c r="I5731" i="32"/>
  <c r="I5732" i="32"/>
  <c r="I5733" i="32"/>
  <c r="I5734" i="32"/>
  <c r="I5735" i="32"/>
  <c r="I5736" i="32"/>
  <c r="I5737" i="32"/>
  <c r="I5738" i="32"/>
  <c r="I5739" i="32"/>
  <c r="I5740" i="32"/>
  <c r="I5741" i="32"/>
  <c r="I5742" i="32"/>
  <c r="I5743" i="32"/>
  <c r="I5744" i="32"/>
  <c r="I5745" i="32"/>
  <c r="I5746" i="32"/>
  <c r="I5747" i="32"/>
  <c r="I5748" i="32"/>
  <c r="I5749" i="32"/>
  <c r="I5750" i="32"/>
  <c r="I5751" i="32"/>
  <c r="I5752" i="32"/>
  <c r="I5753" i="32"/>
  <c r="I5754" i="32"/>
  <c r="I5755" i="32"/>
  <c r="I5756" i="32"/>
  <c r="I5757" i="32"/>
  <c r="I5758" i="32"/>
  <c r="I5759" i="32"/>
  <c r="I5760" i="32"/>
  <c r="I5761" i="32"/>
  <c r="I5762" i="32"/>
  <c r="I5763" i="32"/>
  <c r="I5764" i="32"/>
  <c r="I5765" i="32"/>
  <c r="I5766" i="32"/>
  <c r="I5767" i="32"/>
  <c r="I5768" i="32"/>
  <c r="I5769" i="32"/>
  <c r="I5770" i="32"/>
  <c r="I5771" i="32"/>
  <c r="I5772" i="32"/>
  <c r="I5773" i="32"/>
  <c r="I5774" i="32"/>
  <c r="I5775" i="32"/>
  <c r="I5776" i="32"/>
  <c r="I5777" i="32"/>
  <c r="I5778" i="32"/>
  <c r="I5779" i="32"/>
  <c r="I5780" i="32"/>
  <c r="I5781" i="32"/>
  <c r="I5782" i="32"/>
  <c r="I5783" i="32"/>
  <c r="I5784" i="32"/>
  <c r="I5785" i="32"/>
  <c r="I5786" i="32"/>
  <c r="I5787" i="32"/>
  <c r="I5788" i="32"/>
  <c r="I5789" i="32"/>
  <c r="I5790" i="32"/>
  <c r="I5791" i="32"/>
  <c r="I5792" i="32"/>
  <c r="I5793" i="32"/>
  <c r="I5794" i="32"/>
  <c r="I5795" i="32"/>
  <c r="I5796" i="32"/>
  <c r="I5797" i="32"/>
  <c r="I5798" i="32"/>
  <c r="I5799" i="32"/>
  <c r="I5800" i="32"/>
  <c r="I5801" i="32"/>
  <c r="I5802" i="32"/>
  <c r="I5803" i="32"/>
  <c r="I5804" i="32"/>
  <c r="I5805" i="32"/>
  <c r="I5806" i="32"/>
  <c r="I5807" i="32"/>
  <c r="I5808" i="32"/>
  <c r="I5809" i="32"/>
  <c r="I5810" i="32"/>
  <c r="I5811" i="32"/>
  <c r="I5812" i="32"/>
  <c r="I5813" i="32"/>
  <c r="I5814" i="32"/>
  <c r="I5815" i="32"/>
  <c r="I5816" i="32"/>
  <c r="I5817" i="32"/>
  <c r="I5818" i="32"/>
  <c r="I5819" i="32"/>
  <c r="I5820" i="32"/>
  <c r="I5821" i="32"/>
  <c r="I5822" i="32"/>
  <c r="I5823" i="32"/>
  <c r="I5824" i="32"/>
  <c r="I5825" i="32"/>
  <c r="I5826" i="32"/>
  <c r="I5827" i="32"/>
  <c r="I5828" i="32"/>
  <c r="I5829" i="32"/>
  <c r="I5830" i="32"/>
  <c r="I5831" i="32"/>
  <c r="I5832" i="32"/>
  <c r="I5833" i="32"/>
  <c r="I5834" i="32"/>
  <c r="I5835" i="32"/>
  <c r="I399" i="32"/>
  <c r="H502" i="32"/>
  <c r="H503" i="32"/>
  <c r="H504" i="32"/>
  <c r="H505" i="32"/>
  <c r="H506" i="32"/>
  <c r="H507" i="32"/>
  <c r="H508" i="32"/>
  <c r="H509" i="32"/>
  <c r="H510" i="32"/>
  <c r="H511" i="32"/>
  <c r="H512" i="32"/>
  <c r="H513" i="32"/>
  <c r="H514" i="32"/>
  <c r="H515" i="32"/>
  <c r="H516" i="32"/>
  <c r="H517" i="32"/>
  <c r="H518" i="32"/>
  <c r="H519" i="32"/>
  <c r="H520" i="32"/>
  <c r="H521" i="32"/>
  <c r="H522" i="32"/>
  <c r="H523" i="32"/>
  <c r="H524" i="32"/>
  <c r="H525" i="32"/>
  <c r="H526" i="32"/>
  <c r="H527" i="32"/>
  <c r="H528" i="32"/>
  <c r="H529" i="32"/>
  <c r="H530" i="32"/>
  <c r="H531" i="32"/>
  <c r="H532" i="32"/>
  <c r="H533" i="32"/>
  <c r="H534" i="32"/>
  <c r="H535" i="32"/>
  <c r="H536" i="32"/>
  <c r="H537" i="32"/>
  <c r="H538" i="32"/>
  <c r="H539" i="32"/>
  <c r="H540" i="32"/>
  <c r="H541" i="32"/>
  <c r="H542" i="32"/>
  <c r="H543" i="32"/>
  <c r="H544" i="32"/>
  <c r="H545" i="32"/>
  <c r="H546" i="32"/>
  <c r="H547" i="32"/>
  <c r="H548" i="32"/>
  <c r="H549" i="32"/>
  <c r="H550" i="32"/>
  <c r="H551" i="32"/>
  <c r="H552" i="32"/>
  <c r="H553" i="32"/>
  <c r="H554" i="32"/>
  <c r="H555" i="32"/>
  <c r="H556" i="32"/>
  <c r="H557" i="32"/>
  <c r="H558" i="32"/>
  <c r="H559" i="32"/>
  <c r="H560" i="32"/>
  <c r="H561" i="32"/>
  <c r="H562" i="32"/>
  <c r="H563" i="32"/>
  <c r="H564" i="32"/>
  <c r="H565" i="32"/>
  <c r="H566" i="32"/>
  <c r="H567" i="32"/>
  <c r="H568" i="32"/>
  <c r="H569" i="32"/>
  <c r="H570" i="32"/>
  <c r="H571" i="32"/>
  <c r="H572" i="32"/>
  <c r="H573" i="32"/>
  <c r="H574" i="32"/>
  <c r="H575" i="32"/>
  <c r="H576" i="32"/>
  <c r="H577" i="32"/>
  <c r="H578" i="32"/>
  <c r="H579" i="32"/>
  <c r="H580" i="32"/>
  <c r="H581" i="32"/>
  <c r="H582" i="32"/>
  <c r="H583" i="32"/>
  <c r="H584" i="32"/>
  <c r="H585" i="32"/>
  <c r="H586" i="32"/>
  <c r="H587" i="32"/>
  <c r="H588" i="32"/>
  <c r="H589" i="32"/>
  <c r="H590" i="32"/>
  <c r="H591" i="32"/>
  <c r="H592" i="32"/>
  <c r="H593" i="32"/>
  <c r="H594" i="32"/>
  <c r="H595" i="32"/>
  <c r="H596" i="32"/>
  <c r="H597" i="32"/>
  <c r="H598" i="32"/>
  <c r="H599" i="32"/>
  <c r="H600" i="32"/>
  <c r="H601" i="32"/>
  <c r="H602" i="32"/>
  <c r="H603" i="32"/>
  <c r="H604" i="32"/>
  <c r="H605" i="32"/>
  <c r="H606" i="32"/>
  <c r="H607" i="32"/>
  <c r="H608" i="32"/>
  <c r="H609" i="32"/>
  <c r="H610" i="32"/>
  <c r="H611" i="32"/>
  <c r="H612" i="32"/>
  <c r="H613" i="32"/>
  <c r="H614" i="32"/>
  <c r="H615" i="32"/>
  <c r="H616" i="32"/>
  <c r="H617" i="32"/>
  <c r="H618" i="32"/>
  <c r="H619" i="32"/>
  <c r="H620" i="32"/>
  <c r="H621" i="32"/>
  <c r="H622" i="32"/>
  <c r="H623" i="32"/>
  <c r="H624" i="32"/>
  <c r="H625" i="32"/>
  <c r="H626" i="32"/>
  <c r="H627" i="32"/>
  <c r="H628" i="32"/>
  <c r="H629" i="32"/>
  <c r="H630" i="32"/>
  <c r="H631" i="32"/>
  <c r="H632" i="32"/>
  <c r="H633" i="32"/>
  <c r="H634" i="32"/>
  <c r="H635" i="32"/>
  <c r="H636" i="32"/>
  <c r="H637" i="32"/>
  <c r="H638" i="32"/>
  <c r="H639" i="32"/>
  <c r="H640" i="32"/>
  <c r="H641" i="32"/>
  <c r="H642" i="32"/>
  <c r="H643" i="32"/>
  <c r="H644" i="32"/>
  <c r="H645" i="32"/>
  <c r="H646" i="32"/>
  <c r="H647" i="32"/>
  <c r="H648" i="32"/>
  <c r="H649" i="32"/>
  <c r="H650" i="32"/>
  <c r="H651" i="32"/>
  <c r="H652" i="32"/>
  <c r="H653" i="32"/>
  <c r="H654" i="32"/>
  <c r="H655" i="32"/>
  <c r="H656" i="32"/>
  <c r="H657" i="32"/>
  <c r="H658" i="32"/>
  <c r="H659" i="32"/>
  <c r="H660" i="32"/>
  <c r="H661" i="32"/>
  <c r="H662" i="32"/>
  <c r="H663" i="32"/>
  <c r="H664" i="32"/>
  <c r="H665" i="32"/>
  <c r="H666" i="32"/>
  <c r="H667" i="32"/>
  <c r="H668" i="32"/>
  <c r="H669" i="32"/>
  <c r="H670" i="32"/>
  <c r="H671" i="32"/>
  <c r="H672" i="32"/>
  <c r="H673" i="32"/>
  <c r="H674" i="32"/>
  <c r="H675" i="32"/>
  <c r="H676" i="32"/>
  <c r="H677" i="32"/>
  <c r="H678" i="32"/>
  <c r="H679" i="32"/>
  <c r="H680" i="32"/>
  <c r="H681" i="32"/>
  <c r="H682" i="32"/>
  <c r="H683" i="32"/>
  <c r="H684" i="32"/>
  <c r="H685" i="32"/>
  <c r="H686" i="32"/>
  <c r="H687" i="32"/>
  <c r="H688" i="32"/>
  <c r="H689" i="32"/>
  <c r="H690" i="32"/>
  <c r="H691" i="32"/>
  <c r="H692" i="32"/>
  <c r="H693" i="32"/>
  <c r="H694" i="32"/>
  <c r="H695" i="32"/>
  <c r="H696" i="32"/>
  <c r="H697" i="32"/>
  <c r="H698" i="32"/>
  <c r="H699" i="32"/>
  <c r="H700" i="32"/>
  <c r="H701" i="32"/>
  <c r="H702" i="32"/>
  <c r="H703" i="32"/>
  <c r="H704" i="32"/>
  <c r="H705" i="32"/>
  <c r="H706" i="32"/>
  <c r="H707" i="32"/>
  <c r="H708" i="32"/>
  <c r="H709" i="32"/>
  <c r="H710" i="32"/>
  <c r="H711" i="32"/>
  <c r="H712" i="32"/>
  <c r="H713" i="32"/>
  <c r="H714" i="32"/>
  <c r="H715" i="32"/>
  <c r="H716" i="32"/>
  <c r="H717" i="32"/>
  <c r="H718" i="32"/>
  <c r="H719" i="32"/>
  <c r="H720" i="32"/>
  <c r="H721" i="32"/>
  <c r="H722" i="32"/>
  <c r="H723" i="32"/>
  <c r="H724" i="32"/>
  <c r="H725" i="32"/>
  <c r="H726" i="32"/>
  <c r="H727" i="32"/>
  <c r="H728" i="32"/>
  <c r="H729" i="32"/>
  <c r="H730" i="32"/>
  <c r="H731" i="32"/>
  <c r="H732" i="32"/>
  <c r="H733" i="32"/>
  <c r="H734" i="32"/>
  <c r="H735" i="32"/>
  <c r="H736" i="32"/>
  <c r="H737" i="32"/>
  <c r="H738" i="32"/>
  <c r="H739" i="32"/>
  <c r="H740" i="32"/>
  <c r="H741" i="32"/>
  <c r="H742" i="32"/>
  <c r="H743" i="32"/>
  <c r="H744" i="32"/>
  <c r="H745" i="32"/>
  <c r="H746" i="32"/>
  <c r="H747" i="32"/>
  <c r="H748" i="32"/>
  <c r="H749" i="32"/>
  <c r="H750" i="32"/>
  <c r="H751" i="32"/>
  <c r="H752" i="32"/>
  <c r="H753" i="32"/>
  <c r="H754" i="32"/>
  <c r="H755" i="32"/>
  <c r="H756" i="32"/>
  <c r="H757" i="32"/>
  <c r="H758" i="32"/>
  <c r="H759" i="32"/>
  <c r="H760" i="32"/>
  <c r="H761" i="32"/>
  <c r="H762" i="32"/>
  <c r="H763" i="32"/>
  <c r="H764" i="32"/>
  <c r="H765" i="32"/>
  <c r="H766" i="32"/>
  <c r="H767" i="32"/>
  <c r="H768" i="32"/>
  <c r="H769" i="32"/>
  <c r="H770" i="32"/>
  <c r="H771" i="32"/>
  <c r="H772" i="32"/>
  <c r="H773" i="32"/>
  <c r="H774" i="32"/>
  <c r="H775" i="32"/>
  <c r="H776" i="32"/>
  <c r="H777" i="32"/>
  <c r="H778" i="32"/>
  <c r="H779" i="32"/>
  <c r="H780" i="32"/>
  <c r="H781" i="32"/>
  <c r="H782" i="32"/>
  <c r="H783" i="32"/>
  <c r="H784" i="32"/>
  <c r="H785" i="32"/>
  <c r="H786" i="32"/>
  <c r="H787" i="32"/>
  <c r="H788" i="32"/>
  <c r="H789" i="32"/>
  <c r="H790" i="32"/>
  <c r="H791" i="32"/>
  <c r="H792" i="32"/>
  <c r="H793" i="32"/>
  <c r="H794" i="32"/>
  <c r="H795" i="32"/>
  <c r="H796" i="32"/>
  <c r="H797" i="32"/>
  <c r="H798" i="32"/>
  <c r="H799" i="32"/>
  <c r="H800" i="32"/>
  <c r="H801" i="32"/>
  <c r="H802" i="32"/>
  <c r="H803" i="32"/>
  <c r="H804" i="32"/>
  <c r="H805" i="32"/>
  <c r="H806" i="32"/>
  <c r="H807" i="32"/>
  <c r="H808" i="32"/>
  <c r="H809" i="32"/>
  <c r="H810" i="32"/>
  <c r="H811" i="32"/>
  <c r="H812" i="32"/>
  <c r="H813" i="32"/>
  <c r="H814" i="32"/>
  <c r="H815" i="32"/>
  <c r="H816" i="32"/>
  <c r="H817" i="32"/>
  <c r="H818" i="32"/>
  <c r="H819" i="32"/>
  <c r="H820" i="32"/>
  <c r="H821" i="32"/>
  <c r="H822" i="32"/>
  <c r="H823" i="32"/>
  <c r="H824" i="32"/>
  <c r="H825" i="32"/>
  <c r="H826" i="32"/>
  <c r="H827" i="32"/>
  <c r="H828" i="32"/>
  <c r="H829" i="32"/>
  <c r="H830" i="32"/>
  <c r="H831" i="32"/>
  <c r="H832" i="32"/>
  <c r="H833" i="32"/>
  <c r="H834" i="32"/>
  <c r="H835" i="32"/>
  <c r="H836" i="32"/>
  <c r="H837" i="32"/>
  <c r="H838" i="32"/>
  <c r="H839" i="32"/>
  <c r="H840" i="32"/>
  <c r="H841" i="32"/>
  <c r="H842" i="32"/>
  <c r="H843" i="32"/>
  <c r="H844" i="32"/>
  <c r="H845" i="32"/>
  <c r="H846" i="32"/>
  <c r="H847" i="32"/>
  <c r="H848" i="32"/>
  <c r="H849" i="32"/>
  <c r="H850" i="32"/>
  <c r="H851" i="32"/>
  <c r="H852" i="32"/>
  <c r="H853" i="32"/>
  <c r="H854" i="32"/>
  <c r="H855" i="32"/>
  <c r="H856" i="32"/>
  <c r="H857" i="32"/>
  <c r="H858" i="32"/>
  <c r="H859" i="32"/>
  <c r="H860" i="32"/>
  <c r="H861" i="32"/>
  <c r="H862" i="32"/>
  <c r="H863" i="32"/>
  <c r="H864" i="32"/>
  <c r="H865" i="32"/>
  <c r="H866" i="32"/>
  <c r="H867" i="32"/>
  <c r="H868" i="32"/>
  <c r="H869" i="32"/>
  <c r="H870" i="32"/>
  <c r="H871" i="32"/>
  <c r="H872" i="32"/>
  <c r="H873" i="32"/>
  <c r="H874" i="32"/>
  <c r="H875" i="32"/>
  <c r="H876" i="32"/>
  <c r="H877" i="32"/>
  <c r="H878" i="32"/>
  <c r="H879" i="32"/>
  <c r="H880" i="32"/>
  <c r="H881" i="32"/>
  <c r="H882" i="32"/>
  <c r="H883" i="32"/>
  <c r="H884" i="32"/>
  <c r="H885" i="32"/>
  <c r="H886" i="32"/>
  <c r="H887" i="32"/>
  <c r="H888" i="32"/>
  <c r="H889" i="32"/>
  <c r="H890" i="32"/>
  <c r="H891" i="32"/>
  <c r="H892" i="32"/>
  <c r="H893" i="32"/>
  <c r="H894" i="32"/>
  <c r="H895" i="32"/>
  <c r="H896" i="32"/>
  <c r="H897" i="32"/>
  <c r="H898" i="32"/>
  <c r="H899" i="32"/>
  <c r="H900" i="32"/>
  <c r="H901" i="32"/>
  <c r="H902" i="32"/>
  <c r="H903" i="32"/>
  <c r="H904" i="32"/>
  <c r="H905" i="32"/>
  <c r="H906" i="32"/>
  <c r="H907" i="32"/>
  <c r="H908" i="32"/>
  <c r="H909" i="32"/>
  <c r="H910" i="32"/>
  <c r="H911" i="32"/>
  <c r="H912" i="32"/>
  <c r="H913" i="32"/>
  <c r="H914" i="32"/>
  <c r="H915" i="32"/>
  <c r="H916" i="32"/>
  <c r="H917" i="32"/>
  <c r="H918" i="32"/>
  <c r="H919" i="32"/>
  <c r="H920" i="32"/>
  <c r="H921" i="32"/>
  <c r="H922" i="32"/>
  <c r="H923" i="32"/>
  <c r="H924" i="32"/>
  <c r="H925" i="32"/>
  <c r="H926" i="32"/>
  <c r="H927" i="32"/>
  <c r="H928" i="32"/>
  <c r="H929" i="32"/>
  <c r="H930" i="32"/>
  <c r="H931" i="32"/>
  <c r="H932" i="32"/>
  <c r="H933" i="32"/>
  <c r="H934" i="32"/>
  <c r="H935" i="32"/>
  <c r="H936" i="32"/>
  <c r="H937" i="32"/>
  <c r="H938" i="32"/>
  <c r="H939" i="32"/>
  <c r="H940" i="32"/>
  <c r="H941" i="32"/>
  <c r="H942" i="32"/>
  <c r="H943" i="32"/>
  <c r="H944" i="32"/>
  <c r="H945" i="32"/>
  <c r="H946" i="32"/>
  <c r="H947" i="32"/>
  <c r="H948" i="32"/>
  <c r="H949" i="32"/>
  <c r="H950" i="32"/>
  <c r="H951" i="32"/>
  <c r="H952" i="32"/>
  <c r="H953" i="32"/>
  <c r="H954" i="32"/>
  <c r="H955" i="32"/>
  <c r="H956" i="32"/>
  <c r="H957" i="32"/>
  <c r="H958" i="32"/>
  <c r="H959" i="32"/>
  <c r="H960" i="32"/>
  <c r="H961" i="32"/>
  <c r="H962" i="32"/>
  <c r="H963" i="32"/>
  <c r="H964" i="32"/>
  <c r="H965" i="32"/>
  <c r="H966" i="32"/>
  <c r="H967" i="32"/>
  <c r="H968" i="32"/>
  <c r="H969" i="32"/>
  <c r="H970" i="32"/>
  <c r="H971" i="32"/>
  <c r="H972" i="32"/>
  <c r="H973" i="32"/>
  <c r="H974" i="32"/>
  <c r="H975" i="32"/>
  <c r="H976" i="32"/>
  <c r="H977" i="32"/>
  <c r="H978" i="32"/>
  <c r="H979" i="32"/>
  <c r="H980" i="32"/>
  <c r="H981" i="32"/>
  <c r="H982" i="32"/>
  <c r="H983" i="32"/>
  <c r="H984" i="32"/>
  <c r="H985" i="32"/>
  <c r="H986" i="32"/>
  <c r="H987" i="32"/>
  <c r="H988" i="32"/>
  <c r="H989" i="32"/>
  <c r="H990" i="32"/>
  <c r="H991" i="32"/>
  <c r="H992" i="32"/>
  <c r="H993" i="32"/>
  <c r="H994" i="32"/>
  <c r="H995" i="32"/>
  <c r="H996" i="32"/>
  <c r="H997" i="32"/>
  <c r="H998" i="32"/>
  <c r="H999" i="32"/>
  <c r="H1000" i="32"/>
  <c r="H1001" i="32"/>
  <c r="H1002" i="32"/>
  <c r="H1003" i="32"/>
  <c r="H1004" i="32"/>
  <c r="H1005" i="32"/>
  <c r="H1006" i="32"/>
  <c r="H1007" i="32"/>
  <c r="H1008" i="32"/>
  <c r="H1009" i="32"/>
  <c r="H1010" i="32"/>
  <c r="H1011" i="32"/>
  <c r="H1012" i="32"/>
  <c r="H1013" i="32"/>
  <c r="H1014" i="32"/>
  <c r="H1015" i="32"/>
  <c r="H1016" i="32"/>
  <c r="H1017" i="32"/>
  <c r="H1018" i="32"/>
  <c r="H1019" i="32"/>
  <c r="H1020" i="32"/>
  <c r="H1021" i="32"/>
  <c r="H1022" i="32"/>
  <c r="H1023" i="32"/>
  <c r="H1024" i="32"/>
  <c r="H1025" i="32"/>
  <c r="H1026" i="32"/>
  <c r="H1027" i="32"/>
  <c r="H1028" i="32"/>
  <c r="H1029" i="32"/>
  <c r="H1030" i="32"/>
  <c r="H1031" i="32"/>
  <c r="H1032" i="32"/>
  <c r="H1033" i="32"/>
  <c r="H1034" i="32"/>
  <c r="H1035" i="32"/>
  <c r="H1036" i="32"/>
  <c r="H1037" i="32"/>
  <c r="H1038" i="32"/>
  <c r="H1039" i="32"/>
  <c r="H1040" i="32"/>
  <c r="H1041" i="32"/>
  <c r="H1042" i="32"/>
  <c r="H1043" i="32"/>
  <c r="H1044" i="32"/>
  <c r="H1045" i="32"/>
  <c r="H1046" i="32"/>
  <c r="H1047" i="32"/>
  <c r="H1048" i="32"/>
  <c r="H1049" i="32"/>
  <c r="H1050" i="32"/>
  <c r="H1051" i="32"/>
  <c r="H1052" i="32"/>
  <c r="H1053" i="32"/>
  <c r="H1054" i="32"/>
  <c r="H1055" i="32"/>
  <c r="H1056" i="32"/>
  <c r="H1057" i="32"/>
  <c r="H1058" i="32"/>
  <c r="H1059" i="32"/>
  <c r="H1060" i="32"/>
  <c r="H1061" i="32"/>
  <c r="H1062" i="32"/>
  <c r="H1063" i="32"/>
  <c r="H1064" i="32"/>
  <c r="H1065" i="32"/>
  <c r="H1066" i="32"/>
  <c r="H1067" i="32"/>
  <c r="H1068" i="32"/>
  <c r="H1069" i="32"/>
  <c r="H1070" i="32"/>
  <c r="H1071" i="32"/>
  <c r="H1072" i="32"/>
  <c r="H1073" i="32"/>
  <c r="H1074" i="32"/>
  <c r="H1075" i="32"/>
  <c r="H1076" i="32"/>
  <c r="H1077" i="32"/>
  <c r="H1078" i="32"/>
  <c r="H1079" i="32"/>
  <c r="H1080" i="32"/>
  <c r="H1081" i="32"/>
  <c r="H1082" i="32"/>
  <c r="H1083" i="32"/>
  <c r="H1084" i="32"/>
  <c r="H1085" i="32"/>
  <c r="H1086" i="32"/>
  <c r="H1087" i="32"/>
  <c r="H1088" i="32"/>
  <c r="H1089" i="32"/>
  <c r="H1090" i="32"/>
  <c r="H1091" i="32"/>
  <c r="H1092" i="32"/>
  <c r="H1093" i="32"/>
  <c r="H1094" i="32"/>
  <c r="H1095" i="32"/>
  <c r="H1096" i="32"/>
  <c r="H1097" i="32"/>
  <c r="H1098" i="32"/>
  <c r="H1099" i="32"/>
  <c r="H1100" i="32"/>
  <c r="H1101" i="32"/>
  <c r="H1102" i="32"/>
  <c r="H1103" i="32"/>
  <c r="H1104" i="32"/>
  <c r="H1105" i="32"/>
  <c r="H1106" i="32"/>
  <c r="H1107" i="32"/>
  <c r="H1108" i="32"/>
  <c r="H1109" i="32"/>
  <c r="H1110" i="32"/>
  <c r="H1111" i="32"/>
  <c r="H1112" i="32"/>
  <c r="H1113" i="32"/>
  <c r="H1114" i="32"/>
  <c r="H1115" i="32"/>
  <c r="H1116" i="32"/>
  <c r="H1117" i="32"/>
  <c r="H1118" i="32"/>
  <c r="H1119" i="32"/>
  <c r="H1120" i="32"/>
  <c r="H1121" i="32"/>
  <c r="H1122" i="32"/>
  <c r="H1123" i="32"/>
  <c r="H1124" i="32"/>
  <c r="H1125" i="32"/>
  <c r="H1126" i="32"/>
  <c r="H1127" i="32"/>
  <c r="H1128" i="32"/>
  <c r="H1129" i="32"/>
  <c r="H1130" i="32"/>
  <c r="H1131" i="32"/>
  <c r="H1132" i="32"/>
  <c r="H1133" i="32"/>
  <c r="H1134" i="32"/>
  <c r="H1135" i="32"/>
  <c r="H1136" i="32"/>
  <c r="H1137" i="32"/>
  <c r="H1138" i="32"/>
  <c r="H1139" i="32"/>
  <c r="H1140" i="32"/>
  <c r="H1141" i="32"/>
  <c r="H1142" i="32"/>
  <c r="H1143" i="32"/>
  <c r="H1144" i="32"/>
  <c r="H1145" i="32"/>
  <c r="H1146" i="32"/>
  <c r="H1147" i="32"/>
  <c r="H1148" i="32"/>
  <c r="H1149" i="32"/>
  <c r="H1150" i="32"/>
  <c r="H1151" i="32"/>
  <c r="H1152" i="32"/>
  <c r="H1153" i="32"/>
  <c r="H1154" i="32"/>
  <c r="H1155" i="32"/>
  <c r="H1156" i="32"/>
  <c r="H1157" i="32"/>
  <c r="H1158" i="32"/>
  <c r="H1159" i="32"/>
  <c r="H1160" i="32"/>
  <c r="H1161" i="32"/>
  <c r="H1162" i="32"/>
  <c r="H1163" i="32"/>
  <c r="H1164" i="32"/>
  <c r="H1165" i="32"/>
  <c r="H1166" i="32"/>
  <c r="H1167" i="32"/>
  <c r="H1168" i="32"/>
  <c r="H1169" i="32"/>
  <c r="H1170" i="32"/>
  <c r="H1171" i="32"/>
  <c r="H1172" i="32"/>
  <c r="H1173" i="32"/>
  <c r="H1174" i="32"/>
  <c r="H1175" i="32"/>
  <c r="H1176" i="32"/>
  <c r="H1177" i="32"/>
  <c r="H1178" i="32"/>
  <c r="H1179" i="32"/>
  <c r="H1180" i="32"/>
  <c r="H1181" i="32"/>
  <c r="H1182" i="32"/>
  <c r="H1183" i="32"/>
  <c r="H1184" i="32"/>
  <c r="H1185" i="32"/>
  <c r="H1186" i="32"/>
  <c r="H1187" i="32"/>
  <c r="H1188" i="32"/>
  <c r="H1189" i="32"/>
  <c r="H1190" i="32"/>
  <c r="H1191" i="32"/>
  <c r="H1192" i="32"/>
  <c r="H1193" i="32"/>
  <c r="H1194" i="32"/>
  <c r="H1195" i="32"/>
  <c r="H1196" i="32"/>
  <c r="H1197" i="32"/>
  <c r="H1198" i="32"/>
  <c r="H1199" i="32"/>
  <c r="H1200" i="32"/>
  <c r="H1201" i="32"/>
  <c r="H1202" i="32"/>
  <c r="H1203" i="32"/>
  <c r="H1204" i="32"/>
  <c r="H1205" i="32"/>
  <c r="H1206" i="32"/>
  <c r="H1207" i="32"/>
  <c r="H1208" i="32"/>
  <c r="H1209" i="32"/>
  <c r="H1210" i="32"/>
  <c r="H1211" i="32"/>
  <c r="H1212" i="32"/>
  <c r="H1213" i="32"/>
  <c r="H1214" i="32"/>
  <c r="H1215" i="32"/>
  <c r="H1216" i="32"/>
  <c r="H1217" i="32"/>
  <c r="H1218" i="32"/>
  <c r="H1219" i="32"/>
  <c r="H1220" i="32"/>
  <c r="H1221" i="32"/>
  <c r="H1222" i="32"/>
  <c r="H1223" i="32"/>
  <c r="H1224" i="32"/>
  <c r="H1225" i="32"/>
  <c r="H1226" i="32"/>
  <c r="H1227" i="32"/>
  <c r="H1228" i="32"/>
  <c r="H1229" i="32"/>
  <c r="H1230" i="32"/>
  <c r="H1231" i="32"/>
  <c r="H1232" i="32"/>
  <c r="H1233" i="32"/>
  <c r="H1234" i="32"/>
  <c r="H1235" i="32"/>
  <c r="H1236" i="32"/>
  <c r="H1237" i="32"/>
  <c r="H1238" i="32"/>
  <c r="H1239" i="32"/>
  <c r="H1240" i="32"/>
  <c r="H1241" i="32"/>
  <c r="H1242" i="32"/>
  <c r="H1243" i="32"/>
  <c r="H1244" i="32"/>
  <c r="H1245" i="32"/>
  <c r="H1246" i="32"/>
  <c r="H1247" i="32"/>
  <c r="H1248" i="32"/>
  <c r="H1249" i="32"/>
  <c r="H1250" i="32"/>
  <c r="H1251" i="32"/>
  <c r="H1252" i="32"/>
  <c r="H1253" i="32"/>
  <c r="H1254" i="32"/>
  <c r="H1255" i="32"/>
  <c r="H1256" i="32"/>
  <c r="H1257" i="32"/>
  <c r="H1258" i="32"/>
  <c r="H1259" i="32"/>
  <c r="H1260" i="32"/>
  <c r="H1261" i="32"/>
  <c r="H1262" i="32"/>
  <c r="H1263" i="32"/>
  <c r="H1264" i="32"/>
  <c r="H1265" i="32"/>
  <c r="H1266" i="32"/>
  <c r="H1267" i="32"/>
  <c r="H1268" i="32"/>
  <c r="H1269" i="32"/>
  <c r="H1270" i="32"/>
  <c r="H1271" i="32"/>
  <c r="H1272" i="32"/>
  <c r="H1273" i="32"/>
  <c r="H1274" i="32"/>
  <c r="H1275" i="32"/>
  <c r="H1276" i="32"/>
  <c r="H1277" i="32"/>
  <c r="H1278" i="32"/>
  <c r="H1279" i="32"/>
  <c r="H1280" i="32"/>
  <c r="H1281" i="32"/>
  <c r="H1282" i="32"/>
  <c r="H1283" i="32"/>
  <c r="H1284" i="32"/>
  <c r="H1285" i="32"/>
  <c r="H1286" i="32"/>
  <c r="H1287" i="32"/>
  <c r="H1288" i="32"/>
  <c r="H1289" i="32"/>
  <c r="H1290" i="32"/>
  <c r="H1291" i="32"/>
  <c r="H1292" i="32"/>
  <c r="H1293" i="32"/>
  <c r="H1294" i="32"/>
  <c r="H1295" i="32"/>
  <c r="H1296" i="32"/>
  <c r="H1297" i="32"/>
  <c r="H1298" i="32"/>
  <c r="H1299" i="32"/>
  <c r="H1300" i="32"/>
  <c r="H1301" i="32"/>
  <c r="H1302" i="32"/>
  <c r="H1303" i="32"/>
  <c r="H1304" i="32"/>
  <c r="H1305" i="32"/>
  <c r="H1306" i="32"/>
  <c r="H1307" i="32"/>
  <c r="H1308" i="32"/>
  <c r="H1309" i="32"/>
  <c r="H1310" i="32"/>
  <c r="H1311" i="32"/>
  <c r="H1312" i="32"/>
  <c r="H1313" i="32"/>
  <c r="H1314" i="32"/>
  <c r="H1315" i="32"/>
  <c r="H1316" i="32"/>
  <c r="H1317" i="32"/>
  <c r="H1318" i="32"/>
  <c r="H1319" i="32"/>
  <c r="H1320" i="32"/>
  <c r="H1321" i="32"/>
  <c r="H1322" i="32"/>
  <c r="H1323" i="32"/>
  <c r="H1324" i="32"/>
  <c r="H1325" i="32"/>
  <c r="H1326" i="32"/>
  <c r="H1327" i="32"/>
  <c r="H1328" i="32"/>
  <c r="H1329" i="32"/>
  <c r="H1330" i="32"/>
  <c r="H1331" i="32"/>
  <c r="H1332" i="32"/>
  <c r="H1333" i="32"/>
  <c r="H1334" i="32"/>
  <c r="H1335" i="32"/>
  <c r="H1336" i="32"/>
  <c r="H1337" i="32"/>
  <c r="H1338" i="32"/>
  <c r="H1339" i="32"/>
  <c r="H1340" i="32"/>
  <c r="H1341" i="32"/>
  <c r="H1342" i="32"/>
  <c r="H1343" i="32"/>
  <c r="H1344" i="32"/>
  <c r="H1345" i="32"/>
  <c r="H1346" i="32"/>
  <c r="H1347" i="32"/>
  <c r="H1348" i="32"/>
  <c r="H1349" i="32"/>
  <c r="H1350" i="32"/>
  <c r="H1351" i="32"/>
  <c r="H1352" i="32"/>
  <c r="H1353" i="32"/>
  <c r="H1354" i="32"/>
  <c r="H1355" i="32"/>
  <c r="H1356" i="32"/>
  <c r="H1357" i="32"/>
  <c r="H1358" i="32"/>
  <c r="H1359" i="32"/>
  <c r="H1360" i="32"/>
  <c r="H1361" i="32"/>
  <c r="H1362" i="32"/>
  <c r="H1363" i="32"/>
  <c r="H1364" i="32"/>
  <c r="H1365" i="32"/>
  <c r="H1366" i="32"/>
  <c r="H1367" i="32"/>
  <c r="H1368" i="32"/>
  <c r="H1369" i="32"/>
  <c r="H1370" i="32"/>
  <c r="H1371" i="32"/>
  <c r="H1372" i="32"/>
  <c r="H1373" i="32"/>
  <c r="H1374" i="32"/>
  <c r="H1375" i="32"/>
  <c r="H1376" i="32"/>
  <c r="H1377" i="32"/>
  <c r="H1378" i="32"/>
  <c r="H1379" i="32"/>
  <c r="H1380" i="32"/>
  <c r="H1381" i="32"/>
  <c r="H1382" i="32"/>
  <c r="H1383" i="32"/>
  <c r="H1384" i="32"/>
  <c r="H1385" i="32"/>
  <c r="H1386" i="32"/>
  <c r="H1387" i="32"/>
  <c r="H1388" i="32"/>
  <c r="H1389" i="32"/>
  <c r="H1390" i="32"/>
  <c r="H1391" i="32"/>
  <c r="H1392" i="32"/>
  <c r="H1393" i="32"/>
  <c r="H1394" i="32"/>
  <c r="H1395" i="32"/>
  <c r="H1396" i="32"/>
  <c r="H1397" i="32"/>
  <c r="H1398" i="32"/>
  <c r="H1399" i="32"/>
  <c r="H1400" i="32"/>
  <c r="H1401" i="32"/>
  <c r="H1402" i="32"/>
  <c r="H1403" i="32"/>
  <c r="H1404" i="32"/>
  <c r="H1405" i="32"/>
  <c r="H1406" i="32"/>
  <c r="H1407" i="32"/>
  <c r="H1408" i="32"/>
  <c r="H1409" i="32"/>
  <c r="H1410" i="32"/>
  <c r="H1411" i="32"/>
  <c r="H1412" i="32"/>
  <c r="H1413" i="32"/>
  <c r="H1414" i="32"/>
  <c r="H1415" i="32"/>
  <c r="H1416" i="32"/>
  <c r="H1417" i="32"/>
  <c r="H1418" i="32"/>
  <c r="H1419" i="32"/>
  <c r="H1420" i="32"/>
  <c r="H1421" i="32"/>
  <c r="H1422" i="32"/>
  <c r="H1423" i="32"/>
  <c r="H1424" i="32"/>
  <c r="H1425" i="32"/>
  <c r="H1426" i="32"/>
  <c r="H1427" i="32"/>
  <c r="H1428" i="32"/>
  <c r="H1429" i="32"/>
  <c r="H1430" i="32"/>
  <c r="H1431" i="32"/>
  <c r="H1432" i="32"/>
  <c r="H1433" i="32"/>
  <c r="H1434" i="32"/>
  <c r="H1435" i="32"/>
  <c r="H1436" i="32"/>
  <c r="H1437" i="32"/>
  <c r="H1438" i="32"/>
  <c r="H1439" i="32"/>
  <c r="H1440" i="32"/>
  <c r="H1441" i="32"/>
  <c r="H1442" i="32"/>
  <c r="H1443" i="32"/>
  <c r="H1444" i="32"/>
  <c r="H1445" i="32"/>
  <c r="H1446" i="32"/>
  <c r="H1447" i="32"/>
  <c r="H1448" i="32"/>
  <c r="H1449" i="32"/>
  <c r="H1450" i="32"/>
  <c r="H1451" i="32"/>
  <c r="H1452" i="32"/>
  <c r="H1453" i="32"/>
  <c r="H1454" i="32"/>
  <c r="H1455" i="32"/>
  <c r="H1456" i="32"/>
  <c r="H1457" i="32"/>
  <c r="H1458" i="32"/>
  <c r="H1459" i="32"/>
  <c r="H1460" i="32"/>
  <c r="H1461" i="32"/>
  <c r="H1462" i="32"/>
  <c r="H1463" i="32"/>
  <c r="H1464" i="32"/>
  <c r="H1465" i="32"/>
  <c r="H1466" i="32"/>
  <c r="H1467" i="32"/>
  <c r="H1468" i="32"/>
  <c r="H1469" i="32"/>
  <c r="H1470" i="32"/>
  <c r="H1471" i="32"/>
  <c r="H1472" i="32"/>
  <c r="H1473" i="32"/>
  <c r="H1474" i="32"/>
  <c r="H1475" i="32"/>
  <c r="H1476" i="32"/>
  <c r="H1477" i="32"/>
  <c r="H1478" i="32"/>
  <c r="H1479" i="32"/>
  <c r="H1480" i="32"/>
  <c r="H1481" i="32"/>
  <c r="H1482" i="32"/>
  <c r="H1483" i="32"/>
  <c r="H1484" i="32"/>
  <c r="H1485" i="32"/>
  <c r="H1486" i="32"/>
  <c r="H1487" i="32"/>
  <c r="H1488" i="32"/>
  <c r="H1489" i="32"/>
  <c r="H1490" i="32"/>
  <c r="H1491" i="32"/>
  <c r="H1492" i="32"/>
  <c r="H1493" i="32"/>
  <c r="H1494" i="32"/>
  <c r="H1495" i="32"/>
  <c r="H1496" i="32"/>
  <c r="H1497" i="32"/>
  <c r="H1498" i="32"/>
  <c r="H1499" i="32"/>
  <c r="H1500" i="32"/>
  <c r="H1501" i="32"/>
  <c r="H1502" i="32"/>
  <c r="H1503" i="32"/>
  <c r="H1504" i="32"/>
  <c r="H1505" i="32"/>
  <c r="H1506" i="32"/>
  <c r="H1507" i="32"/>
  <c r="H1508" i="32"/>
  <c r="H1509" i="32"/>
  <c r="H1510" i="32"/>
  <c r="H1511" i="32"/>
  <c r="H1512" i="32"/>
  <c r="H1513" i="32"/>
  <c r="H1514" i="32"/>
  <c r="H1515" i="32"/>
  <c r="H1516" i="32"/>
  <c r="H1517" i="32"/>
  <c r="H1518" i="32"/>
  <c r="H1519" i="32"/>
  <c r="H1520" i="32"/>
  <c r="H1521" i="32"/>
  <c r="H1522" i="32"/>
  <c r="H1523" i="32"/>
  <c r="H1524" i="32"/>
  <c r="H1525" i="32"/>
  <c r="H1526" i="32"/>
  <c r="H1527" i="32"/>
  <c r="H1528" i="32"/>
  <c r="H1529" i="32"/>
  <c r="H1530" i="32"/>
  <c r="H1531" i="32"/>
  <c r="H1532" i="32"/>
  <c r="H1533" i="32"/>
  <c r="H1534" i="32"/>
  <c r="H1535" i="32"/>
  <c r="H1536" i="32"/>
  <c r="H1537" i="32"/>
  <c r="H1538" i="32"/>
  <c r="H1539" i="32"/>
  <c r="H1540" i="32"/>
  <c r="H1541" i="32"/>
  <c r="H1542" i="32"/>
  <c r="H1543" i="32"/>
  <c r="H1544" i="32"/>
  <c r="H1545" i="32"/>
  <c r="H1546" i="32"/>
  <c r="H1547" i="32"/>
  <c r="H1548" i="32"/>
  <c r="H1549" i="32"/>
  <c r="H1550" i="32"/>
  <c r="H1551" i="32"/>
  <c r="H1552" i="32"/>
  <c r="H1553" i="32"/>
  <c r="H1554" i="32"/>
  <c r="H1555" i="32"/>
  <c r="H1556" i="32"/>
  <c r="H1557" i="32"/>
  <c r="H1558" i="32"/>
  <c r="H1559" i="32"/>
  <c r="H1560" i="32"/>
  <c r="H1561" i="32"/>
  <c r="H1562" i="32"/>
  <c r="H1563" i="32"/>
  <c r="H1564" i="32"/>
  <c r="H1565" i="32"/>
  <c r="H1566" i="32"/>
  <c r="H1567" i="32"/>
  <c r="H1568" i="32"/>
  <c r="H1569" i="32"/>
  <c r="H1570" i="32"/>
  <c r="H1571" i="32"/>
  <c r="H1572" i="32"/>
  <c r="H1573" i="32"/>
  <c r="H1574" i="32"/>
  <c r="H1575" i="32"/>
  <c r="H1576" i="32"/>
  <c r="H1577" i="32"/>
  <c r="H1578" i="32"/>
  <c r="H1579" i="32"/>
  <c r="H1580" i="32"/>
  <c r="H1581" i="32"/>
  <c r="H1582" i="32"/>
  <c r="H1583" i="32"/>
  <c r="H1584" i="32"/>
  <c r="H1585" i="32"/>
  <c r="H1586" i="32"/>
  <c r="H1587" i="32"/>
  <c r="H1588" i="32"/>
  <c r="H1589" i="32"/>
  <c r="H1590" i="32"/>
  <c r="H1591" i="32"/>
  <c r="H1592" i="32"/>
  <c r="H1593" i="32"/>
  <c r="H1594" i="32"/>
  <c r="H1595" i="32"/>
  <c r="H1596" i="32"/>
  <c r="H1597" i="32"/>
  <c r="H1598" i="32"/>
  <c r="H1599" i="32"/>
  <c r="H1600" i="32"/>
  <c r="H1601" i="32"/>
  <c r="H1602" i="32"/>
  <c r="H1603" i="32"/>
  <c r="H1604" i="32"/>
  <c r="H1605" i="32"/>
  <c r="H1606" i="32"/>
  <c r="H1607" i="32"/>
  <c r="H1608" i="32"/>
  <c r="H1609" i="32"/>
  <c r="H1610" i="32"/>
  <c r="H1611" i="32"/>
  <c r="H1612" i="32"/>
  <c r="H1613" i="32"/>
  <c r="H1614" i="32"/>
  <c r="H1615" i="32"/>
  <c r="H1616" i="32"/>
  <c r="H1617" i="32"/>
  <c r="H1618" i="32"/>
  <c r="H1619" i="32"/>
  <c r="H1620" i="32"/>
  <c r="H1621" i="32"/>
  <c r="H1622" i="32"/>
  <c r="H1623" i="32"/>
  <c r="H1624" i="32"/>
  <c r="H1625" i="32"/>
  <c r="H1626" i="32"/>
  <c r="H1627" i="32"/>
  <c r="H1628" i="32"/>
  <c r="H1629" i="32"/>
  <c r="H1630" i="32"/>
  <c r="H1631" i="32"/>
  <c r="H1632" i="32"/>
  <c r="H1633" i="32"/>
  <c r="H1634" i="32"/>
  <c r="H1635" i="32"/>
  <c r="H1636" i="32"/>
  <c r="H1637" i="32"/>
  <c r="H1638" i="32"/>
  <c r="H1639" i="32"/>
  <c r="H1640" i="32"/>
  <c r="H1641" i="32"/>
  <c r="H1642" i="32"/>
  <c r="H1643" i="32"/>
  <c r="H1644" i="32"/>
  <c r="H1645" i="32"/>
  <c r="H1646" i="32"/>
  <c r="H1647" i="32"/>
  <c r="H1648" i="32"/>
  <c r="H1649" i="32"/>
  <c r="H1650" i="32"/>
  <c r="H1651" i="32"/>
  <c r="H1652" i="32"/>
  <c r="H1653" i="32"/>
  <c r="H1654" i="32"/>
  <c r="H1655" i="32"/>
  <c r="H1656" i="32"/>
  <c r="H1657" i="32"/>
  <c r="H1658" i="32"/>
  <c r="H1659" i="32"/>
  <c r="H1660" i="32"/>
  <c r="H1661" i="32"/>
  <c r="H1662" i="32"/>
  <c r="H1663" i="32"/>
  <c r="H1664" i="32"/>
  <c r="H1665" i="32"/>
  <c r="H1666" i="32"/>
  <c r="H1667" i="32"/>
  <c r="H1668" i="32"/>
  <c r="H1669" i="32"/>
  <c r="H1670" i="32"/>
  <c r="H1671" i="32"/>
  <c r="H1672" i="32"/>
  <c r="H1673" i="32"/>
  <c r="H1674" i="32"/>
  <c r="H1675" i="32"/>
  <c r="H1676" i="32"/>
  <c r="H1677" i="32"/>
  <c r="H1678" i="32"/>
  <c r="H1679" i="32"/>
  <c r="H1680" i="32"/>
  <c r="H1681" i="32"/>
  <c r="H1682" i="32"/>
  <c r="H1683" i="32"/>
  <c r="H1684" i="32"/>
  <c r="H1685" i="32"/>
  <c r="H1686" i="32"/>
  <c r="H1687" i="32"/>
  <c r="H1688" i="32"/>
  <c r="H1689" i="32"/>
  <c r="H1690" i="32"/>
  <c r="H1691" i="32"/>
  <c r="H1692" i="32"/>
  <c r="H1693" i="32"/>
  <c r="H1694" i="32"/>
  <c r="H1695" i="32"/>
  <c r="H1696" i="32"/>
  <c r="H1697" i="32"/>
  <c r="H1698" i="32"/>
  <c r="H1699" i="32"/>
  <c r="H1700" i="32"/>
  <c r="H1701" i="32"/>
  <c r="H1702" i="32"/>
  <c r="H1703" i="32"/>
  <c r="H1704" i="32"/>
  <c r="H1705" i="32"/>
  <c r="H1706" i="32"/>
  <c r="H1707" i="32"/>
  <c r="H1708" i="32"/>
  <c r="H1709" i="32"/>
  <c r="H1710" i="32"/>
  <c r="H1711" i="32"/>
  <c r="H1712" i="32"/>
  <c r="H1713" i="32"/>
  <c r="H1714" i="32"/>
  <c r="H1715" i="32"/>
  <c r="H1716" i="32"/>
  <c r="H1717" i="32"/>
  <c r="H1718" i="32"/>
  <c r="H1719" i="32"/>
  <c r="H1720" i="32"/>
  <c r="H1721" i="32"/>
  <c r="H1722" i="32"/>
  <c r="H1723" i="32"/>
  <c r="H1724" i="32"/>
  <c r="H1725" i="32"/>
  <c r="H1726" i="32"/>
  <c r="H1727" i="32"/>
  <c r="H1728" i="32"/>
  <c r="H1729" i="32"/>
  <c r="H1730" i="32"/>
  <c r="H1731" i="32"/>
  <c r="H1732" i="32"/>
  <c r="H1733" i="32"/>
  <c r="H1734" i="32"/>
  <c r="H1735" i="32"/>
  <c r="H1736" i="32"/>
  <c r="H1737" i="32"/>
  <c r="H1738" i="32"/>
  <c r="H1739" i="32"/>
  <c r="H1740" i="32"/>
  <c r="H1741" i="32"/>
  <c r="H1742" i="32"/>
  <c r="H1743" i="32"/>
  <c r="H1744" i="32"/>
  <c r="H1745" i="32"/>
  <c r="H1746" i="32"/>
  <c r="H1747" i="32"/>
  <c r="H1748" i="32"/>
  <c r="H1749" i="32"/>
  <c r="H1750" i="32"/>
  <c r="H1751" i="32"/>
  <c r="H1752" i="32"/>
  <c r="H1753" i="32"/>
  <c r="H1754" i="32"/>
  <c r="H1755" i="32"/>
  <c r="H1756" i="32"/>
  <c r="H1757" i="32"/>
  <c r="H1758" i="32"/>
  <c r="H1759" i="32"/>
  <c r="H1760" i="32"/>
  <c r="H1761" i="32"/>
  <c r="H1762" i="32"/>
  <c r="H1763" i="32"/>
  <c r="H1764" i="32"/>
  <c r="H1765" i="32"/>
  <c r="H1766" i="32"/>
  <c r="H1767" i="32"/>
  <c r="H1768" i="32"/>
  <c r="H1769" i="32"/>
  <c r="H1770" i="32"/>
  <c r="H1771" i="32"/>
  <c r="H1772" i="32"/>
  <c r="H1773" i="32"/>
  <c r="H1774" i="32"/>
  <c r="H1775" i="32"/>
  <c r="H1776" i="32"/>
  <c r="H1777" i="32"/>
  <c r="H1778" i="32"/>
  <c r="H1779" i="32"/>
  <c r="H1780" i="32"/>
  <c r="H1781" i="32"/>
  <c r="H1782" i="32"/>
  <c r="H1783" i="32"/>
  <c r="H1784" i="32"/>
  <c r="H1785" i="32"/>
  <c r="H1786" i="32"/>
  <c r="H1787" i="32"/>
  <c r="H1788" i="32"/>
  <c r="H1789" i="32"/>
  <c r="H1790" i="32"/>
  <c r="H1791" i="32"/>
  <c r="H1792" i="32"/>
  <c r="H1793" i="32"/>
  <c r="H1794" i="32"/>
  <c r="H1795" i="32"/>
  <c r="H1796" i="32"/>
  <c r="H1797" i="32"/>
  <c r="H1798" i="32"/>
  <c r="H1799" i="32"/>
  <c r="H1800" i="32"/>
  <c r="H1801" i="32"/>
  <c r="H1802" i="32"/>
  <c r="H1803" i="32"/>
  <c r="H1804" i="32"/>
  <c r="H1805" i="32"/>
  <c r="H1806" i="32"/>
  <c r="H1807" i="32"/>
  <c r="H1808" i="32"/>
  <c r="H1809" i="32"/>
  <c r="H1810" i="32"/>
  <c r="H1811" i="32"/>
  <c r="H1812" i="32"/>
  <c r="H1813" i="32"/>
  <c r="H1814" i="32"/>
  <c r="H1815" i="32"/>
  <c r="H1816" i="32"/>
  <c r="H1817" i="32"/>
  <c r="H1818" i="32"/>
  <c r="H1819" i="32"/>
  <c r="H1820" i="32"/>
  <c r="H1821" i="32"/>
  <c r="H1822" i="32"/>
  <c r="H1823" i="32"/>
  <c r="H1824" i="32"/>
  <c r="H1825" i="32"/>
  <c r="H1826" i="32"/>
  <c r="H1827" i="32"/>
  <c r="H1828" i="32"/>
  <c r="H1829" i="32"/>
  <c r="H1830" i="32"/>
  <c r="H1831" i="32"/>
  <c r="H1832" i="32"/>
  <c r="H1833" i="32"/>
  <c r="H1834" i="32"/>
  <c r="H1835" i="32"/>
  <c r="H1836" i="32"/>
  <c r="H1837" i="32"/>
  <c r="H1838" i="32"/>
  <c r="H1839" i="32"/>
  <c r="H1840" i="32"/>
  <c r="H1841" i="32"/>
  <c r="H1842" i="32"/>
  <c r="H1843" i="32"/>
  <c r="H1844" i="32"/>
  <c r="H1845" i="32"/>
  <c r="H1846" i="32"/>
  <c r="H1847" i="32"/>
  <c r="H1848" i="32"/>
  <c r="H1849" i="32"/>
  <c r="H1850" i="32"/>
  <c r="H1851" i="32"/>
  <c r="H1852" i="32"/>
  <c r="H1853" i="32"/>
  <c r="H1854" i="32"/>
  <c r="H1855" i="32"/>
  <c r="H1856" i="32"/>
  <c r="H1857" i="32"/>
  <c r="H1858" i="32"/>
  <c r="H1859" i="32"/>
  <c r="H1860" i="32"/>
  <c r="H1861" i="32"/>
  <c r="H1862" i="32"/>
  <c r="H1863" i="32"/>
  <c r="H1864" i="32"/>
  <c r="H1865" i="32"/>
  <c r="H1866" i="32"/>
  <c r="H1867" i="32"/>
  <c r="H1868" i="32"/>
  <c r="H1869" i="32"/>
  <c r="H1870" i="32"/>
  <c r="H1871" i="32"/>
  <c r="H1872" i="32"/>
  <c r="H1873" i="32"/>
  <c r="H1874" i="32"/>
  <c r="H1875" i="32"/>
  <c r="H1876" i="32"/>
  <c r="H1877" i="32"/>
  <c r="H1878" i="32"/>
  <c r="H1879" i="32"/>
  <c r="H1880" i="32"/>
  <c r="H1881" i="32"/>
  <c r="H1882" i="32"/>
  <c r="H1883" i="32"/>
  <c r="H1884" i="32"/>
  <c r="H1885" i="32"/>
  <c r="H1886" i="32"/>
  <c r="H1887" i="32"/>
  <c r="H1888" i="32"/>
  <c r="H1889" i="32"/>
  <c r="H1890" i="32"/>
  <c r="H1891" i="32"/>
  <c r="H1892" i="32"/>
  <c r="H1893" i="32"/>
  <c r="H1894" i="32"/>
  <c r="H1895" i="32"/>
  <c r="H1896" i="32"/>
  <c r="H1897" i="32"/>
  <c r="H1898" i="32"/>
  <c r="H1899" i="32"/>
  <c r="H1900" i="32"/>
  <c r="H1901" i="32"/>
  <c r="H1902" i="32"/>
  <c r="H1903" i="32"/>
  <c r="H1904" i="32"/>
  <c r="H1905" i="32"/>
  <c r="H1906" i="32"/>
  <c r="H1907" i="32"/>
  <c r="H1908" i="32"/>
  <c r="H1909" i="32"/>
  <c r="H1910" i="32"/>
  <c r="H1911" i="32"/>
  <c r="H1912" i="32"/>
  <c r="H1913" i="32"/>
  <c r="H1914" i="32"/>
  <c r="H1915" i="32"/>
  <c r="H1916" i="32"/>
  <c r="H1917" i="32"/>
  <c r="H1918" i="32"/>
  <c r="H1919" i="32"/>
  <c r="H1920" i="32"/>
  <c r="H1921" i="32"/>
  <c r="H1922" i="32"/>
  <c r="H1923" i="32"/>
  <c r="H1924" i="32"/>
  <c r="H1925" i="32"/>
  <c r="H1926" i="32"/>
  <c r="H1927" i="32"/>
  <c r="H1928" i="32"/>
  <c r="H1929" i="32"/>
  <c r="H1930" i="32"/>
  <c r="H1931" i="32"/>
  <c r="H1932" i="32"/>
  <c r="H1933" i="32"/>
  <c r="H1934" i="32"/>
  <c r="H1935" i="32"/>
  <c r="H1936" i="32"/>
  <c r="H1937" i="32"/>
  <c r="H1938" i="32"/>
  <c r="H1939" i="32"/>
  <c r="H1940" i="32"/>
  <c r="H1941" i="32"/>
  <c r="H1942" i="32"/>
  <c r="H1943" i="32"/>
  <c r="H1944" i="32"/>
  <c r="H1945" i="32"/>
  <c r="H1946" i="32"/>
  <c r="H1947" i="32"/>
  <c r="H1948" i="32"/>
  <c r="H1949" i="32"/>
  <c r="H1950" i="32"/>
  <c r="H1951" i="32"/>
  <c r="H1952" i="32"/>
  <c r="H1953" i="32"/>
  <c r="H1954" i="32"/>
  <c r="H1955" i="32"/>
  <c r="H1956" i="32"/>
  <c r="H1957" i="32"/>
  <c r="H1958" i="32"/>
  <c r="H1959" i="32"/>
  <c r="H1960" i="32"/>
  <c r="H1961" i="32"/>
  <c r="H1962" i="32"/>
  <c r="H1963" i="32"/>
  <c r="H1964" i="32"/>
  <c r="H1965" i="32"/>
  <c r="H1966" i="32"/>
  <c r="H1967" i="32"/>
  <c r="H1968" i="32"/>
  <c r="H1969" i="32"/>
  <c r="H1970" i="32"/>
  <c r="H1971" i="32"/>
  <c r="H1972" i="32"/>
  <c r="H1973" i="32"/>
  <c r="H1974" i="32"/>
  <c r="H1975" i="32"/>
  <c r="H1976" i="32"/>
  <c r="H1977" i="32"/>
  <c r="H1978" i="32"/>
  <c r="H1979" i="32"/>
  <c r="H1980" i="32"/>
  <c r="H1981" i="32"/>
  <c r="H1982" i="32"/>
  <c r="H1983" i="32"/>
  <c r="H1984" i="32"/>
  <c r="H1985" i="32"/>
  <c r="H1986" i="32"/>
  <c r="H1987" i="32"/>
  <c r="H1988" i="32"/>
  <c r="H1989" i="32"/>
  <c r="H1990" i="32"/>
  <c r="H1991" i="32"/>
  <c r="H1992" i="32"/>
  <c r="H1993" i="32"/>
  <c r="H1994" i="32"/>
  <c r="H1995" i="32"/>
  <c r="H1996" i="32"/>
  <c r="H1997" i="32"/>
  <c r="H1998" i="32"/>
  <c r="H1999" i="32"/>
  <c r="H2000" i="32"/>
  <c r="H2001" i="32"/>
  <c r="H2002" i="32"/>
  <c r="H2003" i="32"/>
  <c r="H2004" i="32"/>
  <c r="H2005" i="32"/>
  <c r="H2006" i="32"/>
  <c r="H2007" i="32"/>
  <c r="H2008" i="32"/>
  <c r="H2009" i="32"/>
  <c r="H2010" i="32"/>
  <c r="H2011" i="32"/>
  <c r="H2012" i="32"/>
  <c r="H2013" i="32"/>
  <c r="H2014" i="32"/>
  <c r="H2015" i="32"/>
  <c r="H2016" i="32"/>
  <c r="H2017" i="32"/>
  <c r="H2018" i="32"/>
  <c r="H2019" i="32"/>
  <c r="H2020" i="32"/>
  <c r="H2021" i="32"/>
  <c r="H2022" i="32"/>
  <c r="H2023" i="32"/>
  <c r="H2024" i="32"/>
  <c r="H2025" i="32"/>
  <c r="H2026" i="32"/>
  <c r="H2027" i="32"/>
  <c r="H2028" i="32"/>
  <c r="H2029" i="32"/>
  <c r="H2030" i="32"/>
  <c r="H2031" i="32"/>
  <c r="H2032" i="32"/>
  <c r="H2033" i="32"/>
  <c r="H2034" i="32"/>
  <c r="H2035" i="32"/>
  <c r="H2036" i="32"/>
  <c r="H2037" i="32"/>
  <c r="H2038" i="32"/>
  <c r="H2039" i="32"/>
  <c r="H2040" i="32"/>
  <c r="H2041" i="32"/>
  <c r="H2042" i="32"/>
  <c r="H2043" i="32"/>
  <c r="H2044" i="32"/>
  <c r="H2045" i="32"/>
  <c r="H2046" i="32"/>
  <c r="H2047" i="32"/>
  <c r="H2048" i="32"/>
  <c r="H2049" i="32"/>
  <c r="H2050" i="32"/>
  <c r="H2051" i="32"/>
  <c r="H2052" i="32"/>
  <c r="H2053" i="32"/>
  <c r="H2054" i="32"/>
  <c r="H2055" i="32"/>
  <c r="H2056" i="32"/>
  <c r="H2057" i="32"/>
  <c r="H2058" i="32"/>
  <c r="H2059" i="32"/>
  <c r="H2060" i="32"/>
  <c r="H2061" i="32"/>
  <c r="H2062" i="32"/>
  <c r="H2063" i="32"/>
  <c r="H2064" i="32"/>
  <c r="H2065" i="32"/>
  <c r="H2066" i="32"/>
  <c r="H2067" i="32"/>
  <c r="H2068" i="32"/>
  <c r="H2069" i="32"/>
  <c r="H2070" i="32"/>
  <c r="H2071" i="32"/>
  <c r="H2072" i="32"/>
  <c r="H2073" i="32"/>
  <c r="H2074" i="32"/>
  <c r="H2075" i="32"/>
  <c r="H2076" i="32"/>
  <c r="H2077" i="32"/>
  <c r="H2078" i="32"/>
  <c r="H2079" i="32"/>
  <c r="H2080" i="32"/>
  <c r="H2081" i="32"/>
  <c r="H2082" i="32"/>
  <c r="H2083" i="32"/>
  <c r="H2084" i="32"/>
  <c r="H2085" i="32"/>
  <c r="H2086" i="32"/>
  <c r="H2087" i="32"/>
  <c r="H2088" i="32"/>
  <c r="H2089" i="32"/>
  <c r="H2090" i="32"/>
  <c r="H2091" i="32"/>
  <c r="H2092" i="32"/>
  <c r="H2093" i="32"/>
  <c r="H2094" i="32"/>
  <c r="H2095" i="32"/>
  <c r="H2096" i="32"/>
  <c r="H2097" i="32"/>
  <c r="H2098" i="32"/>
  <c r="H2099" i="32"/>
  <c r="H2100" i="32"/>
  <c r="H2101" i="32"/>
  <c r="H2102" i="32"/>
  <c r="H2103" i="32"/>
  <c r="H2104" i="32"/>
  <c r="H2105" i="32"/>
  <c r="H2106" i="32"/>
  <c r="H2107" i="32"/>
  <c r="H2108" i="32"/>
  <c r="H2109" i="32"/>
  <c r="H2110" i="32"/>
  <c r="H2111" i="32"/>
  <c r="H2112" i="32"/>
  <c r="H2113" i="32"/>
  <c r="H2114" i="32"/>
  <c r="H2115" i="32"/>
  <c r="H2116" i="32"/>
  <c r="H2117" i="32"/>
  <c r="H2118" i="32"/>
  <c r="H2119" i="32"/>
  <c r="H2120" i="32"/>
  <c r="H2121" i="32"/>
  <c r="H2122" i="32"/>
  <c r="H2123" i="32"/>
  <c r="H2124" i="32"/>
  <c r="H2125" i="32"/>
  <c r="H2126" i="32"/>
  <c r="H2127" i="32"/>
  <c r="H2128" i="32"/>
  <c r="H2129" i="32"/>
  <c r="H2130" i="32"/>
  <c r="H2131" i="32"/>
  <c r="H2132" i="32"/>
  <c r="H2133" i="32"/>
  <c r="H2134" i="32"/>
  <c r="H2135" i="32"/>
  <c r="H2136" i="32"/>
  <c r="H2137" i="32"/>
  <c r="H2138" i="32"/>
  <c r="H2139" i="32"/>
  <c r="H2140" i="32"/>
  <c r="H2141" i="32"/>
  <c r="H2142" i="32"/>
  <c r="H2143" i="32"/>
  <c r="H2144" i="32"/>
  <c r="H2145" i="32"/>
  <c r="H2146" i="32"/>
  <c r="H2147" i="32"/>
  <c r="H2148" i="32"/>
  <c r="H2149" i="32"/>
  <c r="H2150" i="32"/>
  <c r="H2151" i="32"/>
  <c r="H2152" i="32"/>
  <c r="H2153" i="32"/>
  <c r="H2154" i="32"/>
  <c r="H2155" i="32"/>
  <c r="H2156" i="32"/>
  <c r="H2157" i="32"/>
  <c r="H2158" i="32"/>
  <c r="H2159" i="32"/>
  <c r="H2160" i="32"/>
  <c r="H2161" i="32"/>
  <c r="H2162" i="32"/>
  <c r="H2163" i="32"/>
  <c r="H2164" i="32"/>
  <c r="H2165" i="32"/>
  <c r="H2166" i="32"/>
  <c r="H2167" i="32"/>
  <c r="H2168" i="32"/>
  <c r="H2169" i="32"/>
  <c r="H2170" i="32"/>
  <c r="H2171" i="32"/>
  <c r="H2172" i="32"/>
  <c r="H2173" i="32"/>
  <c r="H2174" i="32"/>
  <c r="H2175" i="32"/>
  <c r="H2176" i="32"/>
  <c r="H2177" i="32"/>
  <c r="H2178" i="32"/>
  <c r="H2179" i="32"/>
  <c r="H2180" i="32"/>
  <c r="H2181" i="32"/>
  <c r="H2182" i="32"/>
  <c r="H2183" i="32"/>
  <c r="H2184" i="32"/>
  <c r="H2185" i="32"/>
  <c r="H2186" i="32"/>
  <c r="H2187" i="32"/>
  <c r="H2188" i="32"/>
  <c r="H2189" i="32"/>
  <c r="H2190" i="32"/>
  <c r="H2191" i="32"/>
  <c r="H2192" i="32"/>
  <c r="H2193" i="32"/>
  <c r="H2194" i="32"/>
  <c r="H2195" i="32"/>
  <c r="H2196" i="32"/>
  <c r="H2197" i="32"/>
  <c r="H2198" i="32"/>
  <c r="H2199" i="32"/>
  <c r="H2200" i="32"/>
  <c r="H2201" i="32"/>
  <c r="H2202" i="32"/>
  <c r="H2203" i="32"/>
  <c r="H2204" i="32"/>
  <c r="H2205" i="32"/>
  <c r="H2206" i="32"/>
  <c r="H2207" i="32"/>
  <c r="H2208" i="32"/>
  <c r="H2209" i="32"/>
  <c r="H2210" i="32"/>
  <c r="H2211" i="32"/>
  <c r="H2212" i="32"/>
  <c r="H2213" i="32"/>
  <c r="H2214" i="32"/>
  <c r="H2215" i="32"/>
  <c r="H2216" i="32"/>
  <c r="H2217" i="32"/>
  <c r="H2218" i="32"/>
  <c r="H2219" i="32"/>
  <c r="H2220" i="32"/>
  <c r="H2221" i="32"/>
  <c r="H2222" i="32"/>
  <c r="H2223" i="32"/>
  <c r="H2224" i="32"/>
  <c r="H2225" i="32"/>
  <c r="H2226" i="32"/>
  <c r="H2227" i="32"/>
  <c r="H2228" i="32"/>
  <c r="H2229" i="32"/>
  <c r="H2230" i="32"/>
  <c r="H2231" i="32"/>
  <c r="H2232" i="32"/>
  <c r="H2233" i="32"/>
  <c r="H2234" i="32"/>
  <c r="H2235" i="32"/>
  <c r="H2236" i="32"/>
  <c r="H2237" i="32"/>
  <c r="H2238" i="32"/>
  <c r="H2239" i="32"/>
  <c r="H2240" i="32"/>
  <c r="H2241" i="32"/>
  <c r="H2242" i="32"/>
  <c r="H2243" i="32"/>
  <c r="H2244" i="32"/>
  <c r="H2245" i="32"/>
  <c r="H2246" i="32"/>
  <c r="H2247" i="32"/>
  <c r="H2248" i="32"/>
  <c r="H2249" i="32"/>
  <c r="H2250" i="32"/>
  <c r="H2251" i="32"/>
  <c r="H2252" i="32"/>
  <c r="H2253" i="32"/>
  <c r="H2254" i="32"/>
  <c r="H2255" i="32"/>
  <c r="H2256" i="32"/>
  <c r="H2257" i="32"/>
  <c r="H2258" i="32"/>
  <c r="H2259" i="32"/>
  <c r="H2260" i="32"/>
  <c r="H2261" i="32"/>
  <c r="H2262" i="32"/>
  <c r="H2263" i="32"/>
  <c r="H2264" i="32"/>
  <c r="H2265" i="32"/>
  <c r="H2266" i="32"/>
  <c r="H2267" i="32"/>
  <c r="H2268" i="32"/>
  <c r="H2269" i="32"/>
  <c r="H2270" i="32"/>
  <c r="H2271" i="32"/>
  <c r="H2272" i="32"/>
  <c r="H2273" i="32"/>
  <c r="H2274" i="32"/>
  <c r="H2275" i="32"/>
  <c r="H2276" i="32"/>
  <c r="H2277" i="32"/>
  <c r="H2278" i="32"/>
  <c r="H2279" i="32"/>
  <c r="H2280" i="32"/>
  <c r="H2281" i="32"/>
  <c r="H2282" i="32"/>
  <c r="H2283" i="32"/>
  <c r="H2284" i="32"/>
  <c r="H2285" i="32"/>
  <c r="H2286" i="32"/>
  <c r="H2287" i="32"/>
  <c r="H2288" i="32"/>
  <c r="H2289" i="32"/>
  <c r="H2290" i="32"/>
  <c r="H2291" i="32"/>
  <c r="H2292" i="32"/>
  <c r="H2293" i="32"/>
  <c r="H2294" i="32"/>
  <c r="H2295" i="32"/>
  <c r="H2296" i="32"/>
  <c r="H2297" i="32"/>
  <c r="H2298" i="32"/>
  <c r="H2299" i="32"/>
  <c r="H2300" i="32"/>
  <c r="H2301" i="32"/>
  <c r="H2302" i="32"/>
  <c r="H2303" i="32"/>
  <c r="H2304" i="32"/>
  <c r="H2305" i="32"/>
  <c r="H2306" i="32"/>
  <c r="H2307" i="32"/>
  <c r="H2308" i="32"/>
  <c r="H2309" i="32"/>
  <c r="H2310" i="32"/>
  <c r="H2311" i="32"/>
  <c r="H2312" i="32"/>
  <c r="H2313" i="32"/>
  <c r="H2314" i="32"/>
  <c r="H2315" i="32"/>
  <c r="H2316" i="32"/>
  <c r="H2317" i="32"/>
  <c r="H2318" i="32"/>
  <c r="H2319" i="32"/>
  <c r="H2320" i="32"/>
  <c r="H2321" i="32"/>
  <c r="H2322" i="32"/>
  <c r="H2323" i="32"/>
  <c r="H2324" i="32"/>
  <c r="H2325" i="32"/>
  <c r="H2326" i="32"/>
  <c r="H2327" i="32"/>
  <c r="H2328" i="32"/>
  <c r="H2329" i="32"/>
  <c r="H2330" i="32"/>
  <c r="H2331" i="32"/>
  <c r="H2332" i="32"/>
  <c r="H2333" i="32"/>
  <c r="H2334" i="32"/>
  <c r="H2335" i="32"/>
  <c r="H2336" i="32"/>
  <c r="H2337" i="32"/>
  <c r="H2338" i="32"/>
  <c r="H2339" i="32"/>
  <c r="H2340" i="32"/>
  <c r="H2341" i="32"/>
  <c r="H2342" i="32"/>
  <c r="H2343" i="32"/>
  <c r="H2344" i="32"/>
  <c r="H2345" i="32"/>
  <c r="H2346" i="32"/>
  <c r="H2347" i="32"/>
  <c r="H2348" i="32"/>
  <c r="H2349" i="32"/>
  <c r="H2350" i="32"/>
  <c r="H2351" i="32"/>
  <c r="H2352" i="32"/>
  <c r="H2353" i="32"/>
  <c r="H2354" i="32"/>
  <c r="H2355" i="32"/>
  <c r="H2356" i="32"/>
  <c r="H2357" i="32"/>
  <c r="H2358" i="32"/>
  <c r="H2359" i="32"/>
  <c r="H2360" i="32"/>
  <c r="H2361" i="32"/>
  <c r="H2362" i="32"/>
  <c r="H2363" i="32"/>
  <c r="H2364" i="32"/>
  <c r="H2365" i="32"/>
  <c r="H2366" i="32"/>
  <c r="H2367" i="32"/>
  <c r="H2368" i="32"/>
  <c r="H2369" i="32"/>
  <c r="H2370" i="32"/>
  <c r="H2371" i="32"/>
  <c r="H2372" i="32"/>
  <c r="H2373" i="32"/>
  <c r="H2374" i="32"/>
  <c r="H2375" i="32"/>
  <c r="H2376" i="32"/>
  <c r="H2377" i="32"/>
  <c r="H2378" i="32"/>
  <c r="H2379" i="32"/>
  <c r="H2380" i="32"/>
  <c r="H2381" i="32"/>
  <c r="H2382" i="32"/>
  <c r="H2383" i="32"/>
  <c r="H2384" i="32"/>
  <c r="H2385" i="32"/>
  <c r="H2386" i="32"/>
  <c r="H2387" i="32"/>
  <c r="H2388" i="32"/>
  <c r="H2389" i="32"/>
  <c r="H2390" i="32"/>
  <c r="H2391" i="32"/>
  <c r="H2392" i="32"/>
  <c r="H2393" i="32"/>
  <c r="H2394" i="32"/>
  <c r="H2395" i="32"/>
  <c r="H2396" i="32"/>
  <c r="H2397" i="32"/>
  <c r="H2398" i="32"/>
  <c r="H2399" i="32"/>
  <c r="H2400" i="32"/>
  <c r="H2401" i="32"/>
  <c r="H2402" i="32"/>
  <c r="H2403" i="32"/>
  <c r="H2404" i="32"/>
  <c r="H2405" i="32"/>
  <c r="H2406" i="32"/>
  <c r="H2407" i="32"/>
  <c r="H2408" i="32"/>
  <c r="H2409" i="32"/>
  <c r="H2410" i="32"/>
  <c r="H2411" i="32"/>
  <c r="H2412" i="32"/>
  <c r="H2413" i="32"/>
  <c r="H2414" i="32"/>
  <c r="H2415" i="32"/>
  <c r="H2416" i="32"/>
  <c r="H2417" i="32"/>
  <c r="H2418" i="32"/>
  <c r="H2419" i="32"/>
  <c r="H2420" i="32"/>
  <c r="H2421" i="32"/>
  <c r="H2422" i="32"/>
  <c r="H2423" i="32"/>
  <c r="H2424" i="32"/>
  <c r="H2425" i="32"/>
  <c r="H2426" i="32"/>
  <c r="H2427" i="32"/>
  <c r="H2428" i="32"/>
  <c r="H2429" i="32"/>
  <c r="H2430" i="32"/>
  <c r="H2431" i="32"/>
  <c r="H2432" i="32"/>
  <c r="H2433" i="32"/>
  <c r="H2434" i="32"/>
  <c r="H2435" i="32"/>
  <c r="H2436" i="32"/>
  <c r="H2437" i="32"/>
  <c r="H2438" i="32"/>
  <c r="H2439" i="32"/>
  <c r="H2440" i="32"/>
  <c r="H2441" i="32"/>
  <c r="H2442" i="32"/>
  <c r="H2443" i="32"/>
  <c r="H2444" i="32"/>
  <c r="H2445" i="32"/>
  <c r="H2446" i="32"/>
  <c r="H2447" i="32"/>
  <c r="H2448" i="32"/>
  <c r="H2449" i="32"/>
  <c r="H2450" i="32"/>
  <c r="H2451" i="32"/>
  <c r="H2452" i="32"/>
  <c r="H2453" i="32"/>
  <c r="H2454" i="32"/>
  <c r="H2455" i="32"/>
  <c r="H2456" i="32"/>
  <c r="H2457" i="32"/>
  <c r="H2458" i="32"/>
  <c r="H2459" i="32"/>
  <c r="H2460" i="32"/>
  <c r="H2461" i="32"/>
  <c r="H2462" i="32"/>
  <c r="H2463" i="32"/>
  <c r="H2464" i="32"/>
  <c r="H2465" i="32"/>
  <c r="H2466" i="32"/>
  <c r="H2467" i="32"/>
  <c r="H2468" i="32"/>
  <c r="H2469" i="32"/>
  <c r="H2470" i="32"/>
  <c r="H2471" i="32"/>
  <c r="H2472" i="32"/>
  <c r="H2473" i="32"/>
  <c r="H2474" i="32"/>
  <c r="H2475" i="32"/>
  <c r="H2476" i="32"/>
  <c r="H2477" i="32"/>
  <c r="H2478" i="32"/>
  <c r="H2479" i="32"/>
  <c r="H2480" i="32"/>
  <c r="H2481" i="32"/>
  <c r="H2482" i="32"/>
  <c r="H2483" i="32"/>
  <c r="H2484" i="32"/>
  <c r="H2485" i="32"/>
  <c r="H2486" i="32"/>
  <c r="H2487" i="32"/>
  <c r="H2488" i="32"/>
  <c r="H2489" i="32"/>
  <c r="H2490" i="32"/>
  <c r="H2491" i="32"/>
  <c r="H2492" i="32"/>
  <c r="H2493" i="32"/>
  <c r="H2494" i="32"/>
  <c r="H2495" i="32"/>
  <c r="H2496" i="32"/>
  <c r="H2497" i="32"/>
  <c r="H2498" i="32"/>
  <c r="H2499" i="32"/>
  <c r="H2500" i="32"/>
  <c r="H2501" i="32"/>
  <c r="H2502" i="32"/>
  <c r="H2503" i="32"/>
  <c r="H2504" i="32"/>
  <c r="H2505" i="32"/>
  <c r="H2506" i="32"/>
  <c r="H2507" i="32"/>
  <c r="H2508" i="32"/>
  <c r="H2509" i="32"/>
  <c r="H2510" i="32"/>
  <c r="H2511" i="32"/>
  <c r="H2512" i="32"/>
  <c r="H2513" i="32"/>
  <c r="H2514" i="32"/>
  <c r="H2515" i="32"/>
  <c r="H2516" i="32"/>
  <c r="H2517" i="32"/>
  <c r="H2518" i="32"/>
  <c r="H2519" i="32"/>
  <c r="H2520" i="32"/>
  <c r="H2521" i="32"/>
  <c r="H2522" i="32"/>
  <c r="H2523" i="32"/>
  <c r="H2524" i="32"/>
  <c r="H2525" i="32"/>
  <c r="H2526" i="32"/>
  <c r="H2527" i="32"/>
  <c r="H2528" i="32"/>
  <c r="H2529" i="32"/>
  <c r="H2530" i="32"/>
  <c r="H2531" i="32"/>
  <c r="H2532" i="32"/>
  <c r="H2533" i="32"/>
  <c r="H2534" i="32"/>
  <c r="H2535" i="32"/>
  <c r="H2536" i="32"/>
  <c r="H2537" i="32"/>
  <c r="H2538" i="32"/>
  <c r="H2539" i="32"/>
  <c r="H2540" i="32"/>
  <c r="H2541" i="32"/>
  <c r="H2542" i="32"/>
  <c r="H2543" i="32"/>
  <c r="H2544" i="32"/>
  <c r="H2545" i="32"/>
  <c r="H2546" i="32"/>
  <c r="H2547" i="32"/>
  <c r="H2548" i="32"/>
  <c r="H2549" i="32"/>
  <c r="H2550" i="32"/>
  <c r="H2551" i="32"/>
  <c r="H2552" i="32"/>
  <c r="H2553" i="32"/>
  <c r="H2554" i="32"/>
  <c r="H2555" i="32"/>
  <c r="H2556" i="32"/>
  <c r="H2557" i="32"/>
  <c r="H2558" i="32"/>
  <c r="H2559" i="32"/>
  <c r="H2560" i="32"/>
  <c r="H2561" i="32"/>
  <c r="H2562" i="32"/>
  <c r="H2563" i="32"/>
  <c r="H2564" i="32"/>
  <c r="H2565" i="32"/>
  <c r="H2566" i="32"/>
  <c r="H2567" i="32"/>
  <c r="H2568" i="32"/>
  <c r="H2569" i="32"/>
  <c r="H2570" i="32"/>
  <c r="H2571" i="32"/>
  <c r="H2572" i="32"/>
  <c r="H2573" i="32"/>
  <c r="H2574" i="32"/>
  <c r="H2575" i="32"/>
  <c r="H2576" i="32"/>
  <c r="H2577" i="32"/>
  <c r="H2578" i="32"/>
  <c r="H2579" i="32"/>
  <c r="H2580" i="32"/>
  <c r="H2581" i="32"/>
  <c r="H2582" i="32"/>
  <c r="H2583" i="32"/>
  <c r="H2584" i="32"/>
  <c r="H2585" i="32"/>
  <c r="H2586" i="32"/>
  <c r="H2587" i="32"/>
  <c r="H2588" i="32"/>
  <c r="H2589" i="32"/>
  <c r="H2590" i="32"/>
  <c r="H2591" i="32"/>
  <c r="H2592" i="32"/>
  <c r="H2593" i="32"/>
  <c r="H2594" i="32"/>
  <c r="H2595" i="32"/>
  <c r="H2596" i="32"/>
  <c r="H2597" i="32"/>
  <c r="H2598" i="32"/>
  <c r="H2599" i="32"/>
  <c r="H2600" i="32"/>
  <c r="H2601" i="32"/>
  <c r="H2602" i="32"/>
  <c r="H2603" i="32"/>
  <c r="H2604" i="32"/>
  <c r="H2605" i="32"/>
  <c r="H2606" i="32"/>
  <c r="H2607" i="32"/>
  <c r="H2608" i="32"/>
  <c r="H2609" i="32"/>
  <c r="H2610" i="32"/>
  <c r="H2611" i="32"/>
  <c r="H2612" i="32"/>
  <c r="H2613" i="32"/>
  <c r="H2614" i="32"/>
  <c r="H2615" i="32"/>
  <c r="H2616" i="32"/>
  <c r="H2617" i="32"/>
  <c r="H2618" i="32"/>
  <c r="H2619" i="32"/>
  <c r="H2620" i="32"/>
  <c r="H2621" i="32"/>
  <c r="H2622" i="32"/>
  <c r="H2623" i="32"/>
  <c r="H2624" i="32"/>
  <c r="H2625" i="32"/>
  <c r="H2626" i="32"/>
  <c r="H2627" i="32"/>
  <c r="H2628" i="32"/>
  <c r="H2629" i="32"/>
  <c r="H2630" i="32"/>
  <c r="H2631" i="32"/>
  <c r="H2632" i="32"/>
  <c r="H2633" i="32"/>
  <c r="H2634" i="32"/>
  <c r="H2635" i="32"/>
  <c r="H2636" i="32"/>
  <c r="H2637" i="32"/>
  <c r="H2638" i="32"/>
  <c r="H2639" i="32"/>
  <c r="H2640" i="32"/>
  <c r="H2641" i="32"/>
  <c r="H2642" i="32"/>
  <c r="H2643" i="32"/>
  <c r="H2644" i="32"/>
  <c r="H2645" i="32"/>
  <c r="H2646" i="32"/>
  <c r="H2647" i="32"/>
  <c r="H2648" i="32"/>
  <c r="H2649" i="32"/>
  <c r="H2650" i="32"/>
  <c r="H2651" i="32"/>
  <c r="H2652" i="32"/>
  <c r="H2653" i="32"/>
  <c r="H2654" i="32"/>
  <c r="H2655" i="32"/>
  <c r="H2656" i="32"/>
  <c r="H2657" i="32"/>
  <c r="H2658" i="32"/>
  <c r="H2659" i="32"/>
  <c r="H2660" i="32"/>
  <c r="H2661" i="32"/>
  <c r="H2662" i="32"/>
  <c r="H2663" i="32"/>
  <c r="H2664" i="32"/>
  <c r="H2665" i="32"/>
  <c r="H2666" i="32"/>
  <c r="H2667" i="32"/>
  <c r="H2668" i="32"/>
  <c r="H2669" i="32"/>
  <c r="H2670" i="32"/>
  <c r="H2671" i="32"/>
  <c r="H2672" i="32"/>
  <c r="H2673" i="32"/>
  <c r="H2674" i="32"/>
  <c r="H2675" i="32"/>
  <c r="H2676" i="32"/>
  <c r="H2677" i="32"/>
  <c r="H2678" i="32"/>
  <c r="H2679" i="32"/>
  <c r="H2680" i="32"/>
  <c r="H2681" i="32"/>
  <c r="H2682" i="32"/>
  <c r="H2683" i="32"/>
  <c r="H2684" i="32"/>
  <c r="H2685" i="32"/>
  <c r="H2686" i="32"/>
  <c r="H2687" i="32"/>
  <c r="H2688" i="32"/>
  <c r="H2689" i="32"/>
  <c r="H2690" i="32"/>
  <c r="H2691" i="32"/>
  <c r="H2692" i="32"/>
  <c r="H2693" i="32"/>
  <c r="H2694" i="32"/>
  <c r="H2695" i="32"/>
  <c r="H2696" i="32"/>
  <c r="H2697" i="32"/>
  <c r="H2698" i="32"/>
  <c r="H2699" i="32"/>
  <c r="H2700" i="32"/>
  <c r="H2701" i="32"/>
  <c r="H2702" i="32"/>
  <c r="H2703" i="32"/>
  <c r="H2704" i="32"/>
  <c r="H2705" i="32"/>
  <c r="H2706" i="32"/>
  <c r="H2707" i="32"/>
  <c r="H2708" i="32"/>
  <c r="H2709" i="32"/>
  <c r="H2710" i="32"/>
  <c r="H2711" i="32"/>
  <c r="H2712" i="32"/>
  <c r="H2713" i="32"/>
  <c r="H2714" i="32"/>
  <c r="H2715" i="32"/>
  <c r="H2716" i="32"/>
  <c r="H2717" i="32"/>
  <c r="H2718" i="32"/>
  <c r="H2719" i="32"/>
  <c r="H2720" i="32"/>
  <c r="H2721" i="32"/>
  <c r="H2722" i="32"/>
  <c r="H2723" i="32"/>
  <c r="H2724" i="32"/>
  <c r="H2725" i="32"/>
  <c r="H2726" i="32"/>
  <c r="H2727" i="32"/>
  <c r="H2728" i="32"/>
  <c r="H2729" i="32"/>
  <c r="H2730" i="32"/>
  <c r="H2731" i="32"/>
  <c r="H2732" i="32"/>
  <c r="H2733" i="32"/>
  <c r="H2734" i="32"/>
  <c r="H2735" i="32"/>
  <c r="H2736" i="32"/>
  <c r="H2737" i="32"/>
  <c r="H2738" i="32"/>
  <c r="H2739" i="32"/>
  <c r="H2740" i="32"/>
  <c r="H2741" i="32"/>
  <c r="H2742" i="32"/>
  <c r="H2743" i="32"/>
  <c r="H2744" i="32"/>
  <c r="H2745" i="32"/>
  <c r="H2746" i="32"/>
  <c r="H2747" i="32"/>
  <c r="H2748" i="32"/>
  <c r="H2749" i="32"/>
  <c r="H2750" i="32"/>
  <c r="H2751" i="32"/>
  <c r="H2752" i="32"/>
  <c r="H2753" i="32"/>
  <c r="H2754" i="32"/>
  <c r="H2755" i="32"/>
  <c r="H2756" i="32"/>
  <c r="H2757" i="32"/>
  <c r="H2758" i="32"/>
  <c r="H2759" i="32"/>
  <c r="H2760" i="32"/>
  <c r="H2761" i="32"/>
  <c r="H2762" i="32"/>
  <c r="H2763" i="32"/>
  <c r="H2764" i="32"/>
  <c r="H2765" i="32"/>
  <c r="H2766" i="32"/>
  <c r="H2767" i="32"/>
  <c r="H2768" i="32"/>
  <c r="H2769" i="32"/>
  <c r="H2770" i="32"/>
  <c r="H2771" i="32"/>
  <c r="H2772" i="32"/>
  <c r="H2773" i="32"/>
  <c r="H2774" i="32"/>
  <c r="H2775" i="32"/>
  <c r="H2776" i="32"/>
  <c r="H2777" i="32"/>
  <c r="H2778" i="32"/>
  <c r="H2779" i="32"/>
  <c r="H2780" i="32"/>
  <c r="H2781" i="32"/>
  <c r="H2782" i="32"/>
  <c r="H2783" i="32"/>
  <c r="H2784" i="32"/>
  <c r="H2785" i="32"/>
  <c r="H2786" i="32"/>
  <c r="H2787" i="32"/>
  <c r="H2788" i="32"/>
  <c r="H2789" i="32"/>
  <c r="H2790" i="32"/>
  <c r="H2791" i="32"/>
  <c r="H2792" i="32"/>
  <c r="H2793" i="32"/>
  <c r="H2794" i="32"/>
  <c r="H2795" i="32"/>
  <c r="H2796" i="32"/>
  <c r="H2797" i="32"/>
  <c r="H2798" i="32"/>
  <c r="H2799" i="32"/>
  <c r="H2800" i="32"/>
  <c r="H2801" i="32"/>
  <c r="H2802" i="32"/>
  <c r="H2803" i="32"/>
  <c r="H2804" i="32"/>
  <c r="H2805" i="32"/>
  <c r="H2806" i="32"/>
  <c r="H2807" i="32"/>
  <c r="H2808" i="32"/>
  <c r="H2809" i="32"/>
  <c r="H2810" i="32"/>
  <c r="H2811" i="32"/>
  <c r="H2812" i="32"/>
  <c r="H2813" i="32"/>
  <c r="H2814" i="32"/>
  <c r="H2815" i="32"/>
  <c r="H2816" i="32"/>
  <c r="H2817" i="32"/>
  <c r="H2818" i="32"/>
  <c r="H2819" i="32"/>
  <c r="H2820" i="32"/>
  <c r="H2821" i="32"/>
  <c r="H2822" i="32"/>
  <c r="H2823" i="32"/>
  <c r="H2824" i="32"/>
  <c r="H2825" i="32"/>
  <c r="H2826" i="32"/>
  <c r="H2827" i="32"/>
  <c r="H2828" i="32"/>
  <c r="H2829" i="32"/>
  <c r="H2830" i="32"/>
  <c r="H2831" i="32"/>
  <c r="H2832" i="32"/>
  <c r="H2833" i="32"/>
  <c r="H2834" i="32"/>
  <c r="H2835" i="32"/>
  <c r="H2836" i="32"/>
  <c r="H2837" i="32"/>
  <c r="H2838" i="32"/>
  <c r="H2839" i="32"/>
  <c r="H2840" i="32"/>
  <c r="H2841" i="32"/>
  <c r="H2842" i="32"/>
  <c r="H2843" i="32"/>
  <c r="H2844" i="32"/>
  <c r="H2845" i="32"/>
  <c r="H2846" i="32"/>
  <c r="H2847" i="32"/>
  <c r="H2848" i="32"/>
  <c r="H2849" i="32"/>
  <c r="H2850" i="32"/>
  <c r="H2851" i="32"/>
  <c r="H2852" i="32"/>
  <c r="H2853" i="32"/>
  <c r="H2854" i="32"/>
  <c r="H2855" i="32"/>
  <c r="H2856" i="32"/>
  <c r="H2857" i="32"/>
  <c r="H2858" i="32"/>
  <c r="H2859" i="32"/>
  <c r="H2860" i="32"/>
  <c r="H2861" i="32"/>
  <c r="H2862" i="32"/>
  <c r="H2863" i="32"/>
  <c r="H2864" i="32"/>
  <c r="H2865" i="32"/>
  <c r="H2866" i="32"/>
  <c r="H2867" i="32"/>
  <c r="H2868" i="32"/>
  <c r="H2869" i="32"/>
  <c r="H2870" i="32"/>
  <c r="H2871" i="32"/>
  <c r="H2872" i="32"/>
  <c r="H2873" i="32"/>
  <c r="H2874" i="32"/>
  <c r="H2875" i="32"/>
  <c r="H2876" i="32"/>
  <c r="H2877" i="32"/>
  <c r="H2878" i="32"/>
  <c r="H2879" i="32"/>
  <c r="H2880" i="32"/>
  <c r="H2881" i="32"/>
  <c r="H2882" i="32"/>
  <c r="H2883" i="32"/>
  <c r="H2884" i="32"/>
  <c r="H2885" i="32"/>
  <c r="H2886" i="32"/>
  <c r="H2887" i="32"/>
  <c r="H2888" i="32"/>
  <c r="H2889" i="32"/>
  <c r="H2890" i="32"/>
  <c r="H2891" i="32"/>
  <c r="H2892" i="32"/>
  <c r="H2893" i="32"/>
  <c r="H2894" i="32"/>
  <c r="H2895" i="32"/>
  <c r="H2896" i="32"/>
  <c r="H2897" i="32"/>
  <c r="H2898" i="32"/>
  <c r="H2899" i="32"/>
  <c r="H2900" i="32"/>
  <c r="H2901" i="32"/>
  <c r="H2902" i="32"/>
  <c r="H2903" i="32"/>
  <c r="H2904" i="32"/>
  <c r="H2905" i="32"/>
  <c r="H2906" i="32"/>
  <c r="H2907" i="32"/>
  <c r="H2908" i="32"/>
  <c r="H2909" i="32"/>
  <c r="H2910" i="32"/>
  <c r="H2911" i="32"/>
  <c r="H2912" i="32"/>
  <c r="H2913" i="32"/>
  <c r="H2914" i="32"/>
  <c r="H2915" i="32"/>
  <c r="H2916" i="32"/>
  <c r="H2917" i="32"/>
  <c r="H2918" i="32"/>
  <c r="H2919" i="32"/>
  <c r="H2920" i="32"/>
  <c r="H2921" i="32"/>
  <c r="H2922" i="32"/>
  <c r="H2923" i="32"/>
  <c r="H2924" i="32"/>
  <c r="H2925" i="32"/>
  <c r="H2926" i="32"/>
  <c r="H2927" i="32"/>
  <c r="H2928" i="32"/>
  <c r="H2929" i="32"/>
  <c r="H2930" i="32"/>
  <c r="H2931" i="32"/>
  <c r="H2932" i="32"/>
  <c r="H2933" i="32"/>
  <c r="H2934" i="32"/>
  <c r="H2935" i="32"/>
  <c r="H2936" i="32"/>
  <c r="H2937" i="32"/>
  <c r="H2938" i="32"/>
  <c r="H2939" i="32"/>
  <c r="H2940" i="32"/>
  <c r="H2941" i="32"/>
  <c r="H2942" i="32"/>
  <c r="H2943" i="32"/>
  <c r="H2944" i="32"/>
  <c r="H2945" i="32"/>
  <c r="H2946" i="32"/>
  <c r="H2947" i="32"/>
  <c r="H2948" i="32"/>
  <c r="H2949" i="32"/>
  <c r="H2950" i="32"/>
  <c r="H2951" i="32"/>
  <c r="H2952" i="32"/>
  <c r="H2953" i="32"/>
  <c r="H2954" i="32"/>
  <c r="H2955" i="32"/>
  <c r="H2956" i="32"/>
  <c r="H2957" i="32"/>
  <c r="H2958" i="32"/>
  <c r="H2959" i="32"/>
  <c r="H2960" i="32"/>
  <c r="H2961" i="32"/>
  <c r="H2962" i="32"/>
  <c r="H2963" i="32"/>
  <c r="H2964" i="32"/>
  <c r="H2965" i="32"/>
  <c r="H2966" i="32"/>
  <c r="H2967" i="32"/>
  <c r="H2968" i="32"/>
  <c r="H2969" i="32"/>
  <c r="H2970" i="32"/>
  <c r="H2971" i="32"/>
  <c r="H2972" i="32"/>
  <c r="H2973" i="32"/>
  <c r="H2974" i="32"/>
  <c r="H2975" i="32"/>
  <c r="H2976" i="32"/>
  <c r="H2977" i="32"/>
  <c r="H2978" i="32"/>
  <c r="H2979" i="32"/>
  <c r="H2980" i="32"/>
  <c r="H2981" i="32"/>
  <c r="H2982" i="32"/>
  <c r="H2983" i="32"/>
  <c r="H2984" i="32"/>
  <c r="H2985" i="32"/>
  <c r="H2986" i="32"/>
  <c r="H2987" i="32"/>
  <c r="H2988" i="32"/>
  <c r="H2989" i="32"/>
  <c r="H2990" i="32"/>
  <c r="H2991" i="32"/>
  <c r="H2992" i="32"/>
  <c r="H2993" i="32"/>
  <c r="H2994" i="32"/>
  <c r="H2995" i="32"/>
  <c r="H2996" i="32"/>
  <c r="H2997" i="32"/>
  <c r="H2998" i="32"/>
  <c r="H2999" i="32"/>
  <c r="H3000" i="32"/>
  <c r="H3001" i="32"/>
  <c r="H3002" i="32"/>
  <c r="H3003" i="32"/>
  <c r="H3004" i="32"/>
  <c r="H3005" i="32"/>
  <c r="H3006" i="32"/>
  <c r="H3007" i="32"/>
  <c r="H3008" i="32"/>
  <c r="H3009" i="32"/>
  <c r="H3010" i="32"/>
  <c r="H3011" i="32"/>
  <c r="H3012" i="32"/>
  <c r="H3013" i="32"/>
  <c r="H3014" i="32"/>
  <c r="H3015" i="32"/>
  <c r="H3016" i="32"/>
  <c r="H3017" i="32"/>
  <c r="H3018" i="32"/>
  <c r="H3019" i="32"/>
  <c r="H3020" i="32"/>
  <c r="H3021" i="32"/>
  <c r="H3022" i="32"/>
  <c r="H3023" i="32"/>
  <c r="H3024" i="32"/>
  <c r="H3025" i="32"/>
  <c r="H3026" i="32"/>
  <c r="H3027" i="32"/>
  <c r="H3028" i="32"/>
  <c r="H3029" i="32"/>
  <c r="H3030" i="32"/>
  <c r="H3031" i="32"/>
  <c r="H3032" i="32"/>
  <c r="H3033" i="32"/>
  <c r="H3034" i="32"/>
  <c r="H3035" i="32"/>
  <c r="H3036" i="32"/>
  <c r="H3037" i="32"/>
  <c r="H3038" i="32"/>
  <c r="H3039" i="32"/>
  <c r="H3040" i="32"/>
  <c r="H3041" i="32"/>
  <c r="H3042" i="32"/>
  <c r="H3043" i="32"/>
  <c r="H3044" i="32"/>
  <c r="H3045" i="32"/>
  <c r="H3046" i="32"/>
  <c r="H3047" i="32"/>
  <c r="H3048" i="32"/>
  <c r="H3049" i="32"/>
  <c r="H3050" i="32"/>
  <c r="H3051" i="32"/>
  <c r="H3052" i="32"/>
  <c r="H3053" i="32"/>
  <c r="H3054" i="32"/>
  <c r="H3055" i="32"/>
  <c r="H3056" i="32"/>
  <c r="H3057" i="32"/>
  <c r="H3058" i="32"/>
  <c r="H3059" i="32"/>
  <c r="H3060" i="32"/>
  <c r="H3061" i="32"/>
  <c r="H3062" i="32"/>
  <c r="H3063" i="32"/>
  <c r="H3064" i="32"/>
  <c r="H3065" i="32"/>
  <c r="H3066" i="32"/>
  <c r="H3067" i="32"/>
  <c r="H3068" i="32"/>
  <c r="H3069" i="32"/>
  <c r="H3070" i="32"/>
  <c r="H3071" i="32"/>
  <c r="H3072" i="32"/>
  <c r="H3073" i="32"/>
  <c r="H3074" i="32"/>
  <c r="H3075" i="32"/>
  <c r="H3076" i="32"/>
  <c r="H3077" i="32"/>
  <c r="H3078" i="32"/>
  <c r="H3079" i="32"/>
  <c r="H3080" i="32"/>
  <c r="H3081" i="32"/>
  <c r="H3082" i="32"/>
  <c r="H3083" i="32"/>
  <c r="H3084" i="32"/>
  <c r="H3085" i="32"/>
  <c r="H3086" i="32"/>
  <c r="H3087" i="32"/>
  <c r="H3088" i="32"/>
  <c r="H3089" i="32"/>
  <c r="H3090" i="32"/>
  <c r="H3091" i="32"/>
  <c r="H3092" i="32"/>
  <c r="H3093" i="32"/>
  <c r="H3094" i="32"/>
  <c r="H3095" i="32"/>
  <c r="H3096" i="32"/>
  <c r="H3097" i="32"/>
  <c r="H3098" i="32"/>
  <c r="H3099" i="32"/>
  <c r="H3100" i="32"/>
  <c r="H3101" i="32"/>
  <c r="H3102" i="32"/>
  <c r="H3103" i="32"/>
  <c r="H3104" i="32"/>
  <c r="H3105" i="32"/>
  <c r="H3106" i="32"/>
  <c r="H3107" i="32"/>
  <c r="H3108" i="32"/>
  <c r="H3109" i="32"/>
  <c r="H3110" i="32"/>
  <c r="H3111" i="32"/>
  <c r="H3112" i="32"/>
  <c r="H3113" i="32"/>
  <c r="H3114" i="32"/>
  <c r="H3115" i="32"/>
  <c r="H3116" i="32"/>
  <c r="H3117" i="32"/>
  <c r="H3118" i="32"/>
  <c r="H3119" i="32"/>
  <c r="H3120" i="32"/>
  <c r="H3121" i="32"/>
  <c r="H3122" i="32"/>
  <c r="H3123" i="32"/>
  <c r="H3124" i="32"/>
  <c r="H3125" i="32"/>
  <c r="H3126" i="32"/>
  <c r="H3127" i="32"/>
  <c r="H3128" i="32"/>
  <c r="H3129" i="32"/>
  <c r="H3130" i="32"/>
  <c r="H3131" i="32"/>
  <c r="H3132" i="32"/>
  <c r="H3133" i="32"/>
  <c r="H3134" i="32"/>
  <c r="H3135" i="32"/>
  <c r="H3136" i="32"/>
  <c r="H3137" i="32"/>
  <c r="H3138" i="32"/>
  <c r="H3139" i="32"/>
  <c r="H3140" i="32"/>
  <c r="H3141" i="32"/>
  <c r="H3142" i="32"/>
  <c r="H3143" i="32"/>
  <c r="H3144" i="32"/>
  <c r="H3145" i="32"/>
  <c r="H3146" i="32"/>
  <c r="H3147" i="32"/>
  <c r="H3148" i="32"/>
  <c r="H3149" i="32"/>
  <c r="H3150" i="32"/>
  <c r="H3151" i="32"/>
  <c r="H3152" i="32"/>
  <c r="H3153" i="32"/>
  <c r="H3154" i="32"/>
  <c r="H3155" i="32"/>
  <c r="H3156" i="32"/>
  <c r="H3157" i="32"/>
  <c r="H3158" i="32"/>
  <c r="H3159" i="32"/>
  <c r="H3160" i="32"/>
  <c r="H3161" i="32"/>
  <c r="H3162" i="32"/>
  <c r="H3163" i="32"/>
  <c r="H3164" i="32"/>
  <c r="H3165" i="32"/>
  <c r="H3166" i="32"/>
  <c r="H3167" i="32"/>
  <c r="H3168" i="32"/>
  <c r="H3169" i="32"/>
  <c r="H3170" i="32"/>
  <c r="H3171" i="32"/>
  <c r="H3172" i="32"/>
  <c r="H3173" i="32"/>
  <c r="H3174" i="32"/>
  <c r="H3175" i="32"/>
  <c r="H3176" i="32"/>
  <c r="H3177" i="32"/>
  <c r="H3178" i="32"/>
  <c r="H3179" i="32"/>
  <c r="H3180" i="32"/>
  <c r="H3181" i="32"/>
  <c r="H3182" i="32"/>
  <c r="H3183" i="32"/>
  <c r="H3184" i="32"/>
  <c r="H3185" i="32"/>
  <c r="H3186" i="32"/>
  <c r="H3187" i="32"/>
  <c r="H3188" i="32"/>
  <c r="H3189" i="32"/>
  <c r="H3190" i="32"/>
  <c r="H3191" i="32"/>
  <c r="H3192" i="32"/>
  <c r="H3193" i="32"/>
  <c r="H3194" i="32"/>
  <c r="H3195" i="32"/>
  <c r="H3196" i="32"/>
  <c r="H3197" i="32"/>
  <c r="H3198" i="32"/>
  <c r="H3199" i="32"/>
  <c r="H3200" i="32"/>
  <c r="H3201" i="32"/>
  <c r="H3202" i="32"/>
  <c r="H3203" i="32"/>
  <c r="H3204" i="32"/>
  <c r="H3205" i="32"/>
  <c r="H3206" i="32"/>
  <c r="H3207" i="32"/>
  <c r="H3208" i="32"/>
  <c r="H3209" i="32"/>
  <c r="H3210" i="32"/>
  <c r="H3211" i="32"/>
  <c r="H3212" i="32"/>
  <c r="H3213" i="32"/>
  <c r="H3214" i="32"/>
  <c r="H3215" i="32"/>
  <c r="H3216" i="32"/>
  <c r="H3217" i="32"/>
  <c r="H3218" i="32"/>
  <c r="H3219" i="32"/>
  <c r="H3220" i="32"/>
  <c r="H3221" i="32"/>
  <c r="H3222" i="32"/>
  <c r="H3223" i="32"/>
  <c r="H3224" i="32"/>
  <c r="H3225" i="32"/>
  <c r="H3226" i="32"/>
  <c r="H3227" i="32"/>
  <c r="H3228" i="32"/>
  <c r="H3229" i="32"/>
  <c r="H3230" i="32"/>
  <c r="H3231" i="32"/>
  <c r="H3232" i="32"/>
  <c r="H3233" i="32"/>
  <c r="H3234" i="32"/>
  <c r="H3235" i="32"/>
  <c r="H3236" i="32"/>
  <c r="H3237" i="32"/>
  <c r="H3238" i="32"/>
  <c r="H3239" i="32"/>
  <c r="H3240" i="32"/>
  <c r="H3241" i="32"/>
  <c r="H3242" i="32"/>
  <c r="H3243" i="32"/>
  <c r="H3244" i="32"/>
  <c r="H3245" i="32"/>
  <c r="H3246" i="32"/>
  <c r="H3247" i="32"/>
  <c r="H3248" i="32"/>
  <c r="H3249" i="32"/>
  <c r="H3250" i="32"/>
  <c r="H3251" i="32"/>
  <c r="H3252" i="32"/>
  <c r="H3253" i="32"/>
  <c r="H3254" i="32"/>
  <c r="H3255" i="32"/>
  <c r="H3256" i="32"/>
  <c r="H3257" i="32"/>
  <c r="H3258" i="32"/>
  <c r="H3259" i="32"/>
  <c r="H3260" i="32"/>
  <c r="H3261" i="32"/>
  <c r="H3262" i="32"/>
  <c r="H3263" i="32"/>
  <c r="H3264" i="32"/>
  <c r="H3265" i="32"/>
  <c r="H3266" i="32"/>
  <c r="H3267" i="32"/>
  <c r="H3268" i="32"/>
  <c r="H3269" i="32"/>
  <c r="H3270" i="32"/>
  <c r="H3271" i="32"/>
  <c r="H3272" i="32"/>
  <c r="H3273" i="32"/>
  <c r="H3274" i="32"/>
  <c r="H3275" i="32"/>
  <c r="H3276" i="32"/>
  <c r="H3277" i="32"/>
  <c r="H3278" i="32"/>
  <c r="H3279" i="32"/>
  <c r="H3280" i="32"/>
  <c r="H3281" i="32"/>
  <c r="H3282" i="32"/>
  <c r="H3283" i="32"/>
  <c r="H3284" i="32"/>
  <c r="H3285" i="32"/>
  <c r="H3286" i="32"/>
  <c r="H3287" i="32"/>
  <c r="H3288" i="32"/>
  <c r="H3289" i="32"/>
  <c r="H3290" i="32"/>
  <c r="H3291" i="32"/>
  <c r="H3292" i="32"/>
  <c r="H3293" i="32"/>
  <c r="H3294" i="32"/>
  <c r="H3295" i="32"/>
  <c r="H3296" i="32"/>
  <c r="H3297" i="32"/>
  <c r="H3298" i="32"/>
  <c r="H3299" i="32"/>
  <c r="H3300" i="32"/>
  <c r="H3301" i="32"/>
  <c r="H3302" i="32"/>
  <c r="H3303" i="32"/>
  <c r="H3304" i="32"/>
  <c r="H3305" i="32"/>
  <c r="H3306" i="32"/>
  <c r="H3307" i="32"/>
  <c r="H3308" i="32"/>
  <c r="H3309" i="32"/>
  <c r="H3310" i="32"/>
  <c r="H3311" i="32"/>
  <c r="H3312" i="32"/>
  <c r="H3313" i="32"/>
  <c r="H3314" i="32"/>
  <c r="H3315" i="32"/>
  <c r="H3316" i="32"/>
  <c r="H3317" i="32"/>
  <c r="H3318" i="32"/>
  <c r="H3319" i="32"/>
  <c r="H3320" i="32"/>
  <c r="H3321" i="32"/>
  <c r="H3322" i="32"/>
  <c r="H3323" i="32"/>
  <c r="H3324" i="32"/>
  <c r="H3325" i="32"/>
  <c r="H3326" i="32"/>
  <c r="H3327" i="32"/>
  <c r="H3328" i="32"/>
  <c r="H3329" i="32"/>
  <c r="H3330" i="32"/>
  <c r="H3331" i="32"/>
  <c r="H3332" i="32"/>
  <c r="H3333" i="32"/>
  <c r="H3334" i="32"/>
  <c r="H3335" i="32"/>
  <c r="H3336" i="32"/>
  <c r="H3337" i="32"/>
  <c r="H3338" i="32"/>
  <c r="H3339" i="32"/>
  <c r="H3340" i="32"/>
  <c r="H3341" i="32"/>
  <c r="H3342" i="32"/>
  <c r="H3343" i="32"/>
  <c r="H3344" i="32"/>
  <c r="H3345" i="32"/>
  <c r="H3346" i="32"/>
  <c r="H3347" i="32"/>
  <c r="H3348" i="32"/>
  <c r="H3349" i="32"/>
  <c r="H3350" i="32"/>
  <c r="H3351" i="32"/>
  <c r="H3352" i="32"/>
  <c r="H3353" i="32"/>
  <c r="H3354" i="32"/>
  <c r="H3355" i="32"/>
  <c r="H3356" i="32"/>
  <c r="H3357" i="32"/>
  <c r="H3358" i="32"/>
  <c r="H3359" i="32"/>
  <c r="H3360" i="32"/>
  <c r="H3361" i="32"/>
  <c r="H3362" i="32"/>
  <c r="H3363" i="32"/>
  <c r="H3364" i="32"/>
  <c r="H3365" i="32"/>
  <c r="H3366" i="32"/>
  <c r="H3367" i="32"/>
  <c r="H3368" i="32"/>
  <c r="H3369" i="32"/>
  <c r="H3370" i="32"/>
  <c r="H3371" i="32"/>
  <c r="H3372" i="32"/>
  <c r="H3373" i="32"/>
  <c r="H3374" i="32"/>
  <c r="H3375" i="32"/>
  <c r="H3376" i="32"/>
  <c r="H3377" i="32"/>
  <c r="H3378" i="32"/>
  <c r="H3379" i="32"/>
  <c r="H3380" i="32"/>
  <c r="H3381" i="32"/>
  <c r="H3382" i="32"/>
  <c r="H3383" i="32"/>
  <c r="H3384" i="32"/>
  <c r="H3385" i="32"/>
  <c r="H3386" i="32"/>
  <c r="H3387" i="32"/>
  <c r="H3388" i="32"/>
  <c r="H3389" i="32"/>
  <c r="H3390" i="32"/>
  <c r="H3391" i="32"/>
  <c r="H3392" i="32"/>
  <c r="H3393" i="32"/>
  <c r="H3394" i="32"/>
  <c r="H3395" i="32"/>
  <c r="H3396" i="32"/>
  <c r="H3397" i="32"/>
  <c r="H3398" i="32"/>
  <c r="H3399" i="32"/>
  <c r="H3400" i="32"/>
  <c r="H3401" i="32"/>
  <c r="H3402" i="32"/>
  <c r="H3403" i="32"/>
  <c r="H3404" i="32"/>
  <c r="H3405" i="32"/>
  <c r="H3406" i="32"/>
  <c r="H3407" i="32"/>
  <c r="H3408" i="32"/>
  <c r="H3409" i="32"/>
  <c r="H3410" i="32"/>
  <c r="H3411" i="32"/>
  <c r="H3412" i="32"/>
  <c r="H3413" i="32"/>
  <c r="H3414" i="32"/>
  <c r="H3415" i="32"/>
  <c r="H3416" i="32"/>
  <c r="H3417" i="32"/>
  <c r="H3418" i="32"/>
  <c r="H3419" i="32"/>
  <c r="H3420" i="32"/>
  <c r="H3421" i="32"/>
  <c r="H3422" i="32"/>
  <c r="H3423" i="32"/>
  <c r="H3424" i="32"/>
  <c r="H3425" i="32"/>
  <c r="H3426" i="32"/>
  <c r="H3427" i="32"/>
  <c r="H3428" i="32"/>
  <c r="H3429" i="32"/>
  <c r="H3430" i="32"/>
  <c r="H3431" i="32"/>
  <c r="H3432" i="32"/>
  <c r="H3433" i="32"/>
  <c r="H3434" i="32"/>
  <c r="H3435" i="32"/>
  <c r="H3436" i="32"/>
  <c r="H3437" i="32"/>
  <c r="H3438" i="32"/>
  <c r="H3439" i="32"/>
  <c r="H3440" i="32"/>
  <c r="H3441" i="32"/>
  <c r="H3442" i="32"/>
  <c r="H3443" i="32"/>
  <c r="H3444" i="32"/>
  <c r="H3445" i="32"/>
  <c r="H3446" i="32"/>
  <c r="H3447" i="32"/>
  <c r="H3448" i="32"/>
  <c r="H3449" i="32"/>
  <c r="H3450" i="32"/>
  <c r="H3451" i="32"/>
  <c r="H3452" i="32"/>
  <c r="H3453" i="32"/>
  <c r="H3454" i="32"/>
  <c r="H3455" i="32"/>
  <c r="H3456" i="32"/>
  <c r="H3457" i="32"/>
  <c r="H3458" i="32"/>
  <c r="H3459" i="32"/>
  <c r="H3460" i="32"/>
  <c r="H3461" i="32"/>
  <c r="H3462" i="32"/>
  <c r="H3463" i="32"/>
  <c r="H3464" i="32"/>
  <c r="H3465" i="32"/>
  <c r="H3466" i="32"/>
  <c r="H3467" i="32"/>
  <c r="H3468" i="32"/>
  <c r="H3469" i="32"/>
  <c r="H3470" i="32"/>
  <c r="H3471" i="32"/>
  <c r="H3472" i="32"/>
  <c r="H3473" i="32"/>
  <c r="H3474" i="32"/>
  <c r="H3475" i="32"/>
  <c r="H3476" i="32"/>
  <c r="H3477" i="32"/>
  <c r="H3478" i="32"/>
  <c r="H3479" i="32"/>
  <c r="H3480" i="32"/>
  <c r="H3481" i="32"/>
  <c r="H3482" i="32"/>
  <c r="H3483" i="32"/>
  <c r="H3484" i="32"/>
  <c r="H3485" i="32"/>
  <c r="H3486" i="32"/>
  <c r="H3487" i="32"/>
  <c r="H3488" i="32"/>
  <c r="H3489" i="32"/>
  <c r="H3490" i="32"/>
  <c r="H3491" i="32"/>
  <c r="H3492" i="32"/>
  <c r="H3493" i="32"/>
  <c r="H3494" i="32"/>
  <c r="H3495" i="32"/>
  <c r="H3496" i="32"/>
  <c r="H3497" i="32"/>
  <c r="H3498" i="32"/>
  <c r="H3499" i="32"/>
  <c r="H3500" i="32"/>
  <c r="H3501" i="32"/>
  <c r="H3502" i="32"/>
  <c r="H3503" i="32"/>
  <c r="H3504" i="32"/>
  <c r="H3505" i="32"/>
  <c r="H3506" i="32"/>
  <c r="H3507" i="32"/>
  <c r="H3508" i="32"/>
  <c r="H3509" i="32"/>
  <c r="H3510" i="32"/>
  <c r="H3511" i="32"/>
  <c r="H3512" i="32"/>
  <c r="H3513" i="32"/>
  <c r="H3514" i="32"/>
  <c r="H3515" i="32"/>
  <c r="H3516" i="32"/>
  <c r="H3517" i="32"/>
  <c r="H3518" i="32"/>
  <c r="H3519" i="32"/>
  <c r="H3520" i="32"/>
  <c r="H3521" i="32"/>
  <c r="H3522" i="32"/>
  <c r="H3523" i="32"/>
  <c r="H3524" i="32"/>
  <c r="H3525" i="32"/>
  <c r="H3526" i="32"/>
  <c r="H3527" i="32"/>
  <c r="H3528" i="32"/>
  <c r="H3529" i="32"/>
  <c r="H3530" i="32"/>
  <c r="H3531" i="32"/>
  <c r="H3532" i="32"/>
  <c r="H3533" i="32"/>
  <c r="H3534" i="32"/>
  <c r="H3535" i="32"/>
  <c r="H3536" i="32"/>
  <c r="H3537" i="32"/>
  <c r="H3538" i="32"/>
  <c r="H3539" i="32"/>
  <c r="H3540" i="32"/>
  <c r="H3541" i="32"/>
  <c r="H3542" i="32"/>
  <c r="H3543" i="32"/>
  <c r="H3544" i="32"/>
  <c r="H3545" i="32"/>
  <c r="H3546" i="32"/>
  <c r="H3547" i="32"/>
  <c r="H3548" i="32"/>
  <c r="H3549" i="32"/>
  <c r="H3550" i="32"/>
  <c r="H3551" i="32"/>
  <c r="H3552" i="32"/>
  <c r="H3553" i="32"/>
  <c r="H3554" i="32"/>
  <c r="H3555" i="32"/>
  <c r="H3556" i="32"/>
  <c r="H3557" i="32"/>
  <c r="H3558" i="32"/>
  <c r="H3559" i="32"/>
  <c r="H3560" i="32"/>
  <c r="H3561" i="32"/>
  <c r="H3562" i="32"/>
  <c r="H3563" i="32"/>
  <c r="H3564" i="32"/>
  <c r="H3565" i="32"/>
  <c r="H3566" i="32"/>
  <c r="H3567" i="32"/>
  <c r="H3568" i="32"/>
  <c r="H3569" i="32"/>
  <c r="H3570" i="32"/>
  <c r="H3571" i="32"/>
  <c r="H3572" i="32"/>
  <c r="H3573" i="32"/>
  <c r="H3574" i="32"/>
  <c r="H3575" i="32"/>
  <c r="H3576" i="32"/>
  <c r="H3577" i="32"/>
  <c r="H3578" i="32"/>
  <c r="H3579" i="32"/>
  <c r="H3580" i="32"/>
  <c r="H3581" i="32"/>
  <c r="H3582" i="32"/>
  <c r="H3583" i="32"/>
  <c r="H3584" i="32"/>
  <c r="H3585" i="32"/>
  <c r="H3586" i="32"/>
  <c r="H3587" i="32"/>
  <c r="H3588" i="32"/>
  <c r="H3589" i="32"/>
  <c r="H3590" i="32"/>
  <c r="H3591" i="32"/>
  <c r="H3592" i="32"/>
  <c r="H3593" i="32"/>
  <c r="H3594" i="32"/>
  <c r="H3595" i="32"/>
  <c r="H3596" i="32"/>
  <c r="H3597" i="32"/>
  <c r="H3598" i="32"/>
  <c r="H3599" i="32"/>
  <c r="H3600" i="32"/>
  <c r="H3601" i="32"/>
  <c r="H3602" i="32"/>
  <c r="H3603" i="32"/>
  <c r="H3604" i="32"/>
  <c r="H3605" i="32"/>
  <c r="H3606" i="32"/>
  <c r="H3607" i="32"/>
  <c r="H3608" i="32"/>
  <c r="H3609" i="32"/>
  <c r="H3610" i="32"/>
  <c r="H3611" i="32"/>
  <c r="H3612" i="32"/>
  <c r="H3613" i="32"/>
  <c r="H3614" i="32"/>
  <c r="H3615" i="32"/>
  <c r="H3616" i="32"/>
  <c r="H3617" i="32"/>
  <c r="H3618" i="32"/>
  <c r="H3619" i="32"/>
  <c r="H3620" i="32"/>
  <c r="H3621" i="32"/>
  <c r="H3622" i="32"/>
  <c r="H3623" i="32"/>
  <c r="H3624" i="32"/>
  <c r="H3625" i="32"/>
  <c r="H3626" i="32"/>
  <c r="H3627" i="32"/>
  <c r="H3628" i="32"/>
  <c r="H3629" i="32"/>
  <c r="H3630" i="32"/>
  <c r="H3631" i="32"/>
  <c r="H3632" i="32"/>
  <c r="H3633" i="32"/>
  <c r="H3634" i="32"/>
  <c r="H3635" i="32"/>
  <c r="H3636" i="32"/>
  <c r="H3637" i="32"/>
  <c r="H3638" i="32"/>
  <c r="H3639" i="32"/>
  <c r="H3640" i="32"/>
  <c r="H3641" i="32"/>
  <c r="H3642" i="32"/>
  <c r="H3643" i="32"/>
  <c r="H3644" i="32"/>
  <c r="H3645" i="32"/>
  <c r="H3646" i="32"/>
  <c r="H3647" i="32"/>
  <c r="H3648" i="32"/>
  <c r="H3649" i="32"/>
  <c r="H3650" i="32"/>
  <c r="H3651" i="32"/>
  <c r="H3652" i="32"/>
  <c r="H3653" i="32"/>
  <c r="H3654" i="32"/>
  <c r="H3655" i="32"/>
  <c r="H3656" i="32"/>
  <c r="H3657" i="32"/>
  <c r="H3658" i="32"/>
  <c r="H3659" i="32"/>
  <c r="H3660" i="32"/>
  <c r="H3661" i="32"/>
  <c r="H3662" i="32"/>
  <c r="H3663" i="32"/>
  <c r="H3664" i="32"/>
  <c r="H3665" i="32"/>
  <c r="H3666" i="32"/>
  <c r="H3667" i="32"/>
  <c r="H3668" i="32"/>
  <c r="H3669" i="32"/>
  <c r="H3670" i="32"/>
  <c r="H3671" i="32"/>
  <c r="H3672" i="32"/>
  <c r="H3673" i="32"/>
  <c r="H3674" i="32"/>
  <c r="H3675" i="32"/>
  <c r="H3676" i="32"/>
  <c r="H3677" i="32"/>
  <c r="H3678" i="32"/>
  <c r="H3679" i="32"/>
  <c r="H3680" i="32"/>
  <c r="H3681" i="32"/>
  <c r="H3682" i="32"/>
  <c r="H3683" i="32"/>
  <c r="H3684" i="32"/>
  <c r="H3685" i="32"/>
  <c r="H3686" i="32"/>
  <c r="H3687" i="32"/>
  <c r="H3688" i="32"/>
  <c r="H3689" i="32"/>
  <c r="H3690" i="32"/>
  <c r="H3691" i="32"/>
  <c r="H3692" i="32"/>
  <c r="H3693" i="32"/>
  <c r="H3694" i="32"/>
  <c r="H3695" i="32"/>
  <c r="H3696" i="32"/>
  <c r="H3697" i="32"/>
  <c r="H3698" i="32"/>
  <c r="H3699" i="32"/>
  <c r="H3700" i="32"/>
  <c r="H3701" i="32"/>
  <c r="H3702" i="32"/>
  <c r="H3703" i="32"/>
  <c r="H3704" i="32"/>
  <c r="H3705" i="32"/>
  <c r="H3706" i="32"/>
  <c r="H3707" i="32"/>
  <c r="H3708" i="32"/>
  <c r="H3709" i="32"/>
  <c r="H3710" i="32"/>
  <c r="H3711" i="32"/>
  <c r="H3712" i="32"/>
  <c r="H3713" i="32"/>
  <c r="H3714" i="32"/>
  <c r="H3715" i="32"/>
  <c r="H3716" i="32"/>
  <c r="H3717" i="32"/>
  <c r="H3718" i="32"/>
  <c r="H3719" i="32"/>
  <c r="H3720" i="32"/>
  <c r="H3721" i="32"/>
  <c r="H3722" i="32"/>
  <c r="H3723" i="32"/>
  <c r="H3724" i="32"/>
  <c r="H3725" i="32"/>
  <c r="H3726" i="32"/>
  <c r="H3727" i="32"/>
  <c r="H3728" i="32"/>
  <c r="H3729" i="32"/>
  <c r="H3730" i="32"/>
  <c r="H3731" i="32"/>
  <c r="H3732" i="32"/>
  <c r="H3733" i="32"/>
  <c r="H3734" i="32"/>
  <c r="H3735" i="32"/>
  <c r="H3736" i="32"/>
  <c r="H3737" i="32"/>
  <c r="H3738" i="32"/>
  <c r="H3739" i="32"/>
  <c r="H3740" i="32"/>
  <c r="H3741" i="32"/>
  <c r="H3742" i="32"/>
  <c r="H3743" i="32"/>
  <c r="H3744" i="32"/>
  <c r="H3745" i="32"/>
  <c r="H3746" i="32"/>
  <c r="H3747" i="32"/>
  <c r="H3748" i="32"/>
  <c r="H3749" i="32"/>
  <c r="H3750" i="32"/>
  <c r="H3751" i="32"/>
  <c r="H3752" i="32"/>
  <c r="H3753" i="32"/>
  <c r="H3754" i="32"/>
  <c r="H3755" i="32"/>
  <c r="H3756" i="32"/>
  <c r="H3757" i="32"/>
  <c r="H3758" i="32"/>
  <c r="H3759" i="32"/>
  <c r="H3760" i="32"/>
  <c r="H3761" i="32"/>
  <c r="H3762" i="32"/>
  <c r="H3763" i="32"/>
  <c r="H3764" i="32"/>
  <c r="H3765" i="32"/>
  <c r="H3766" i="32"/>
  <c r="H3767" i="32"/>
  <c r="H3768" i="32"/>
  <c r="H3769" i="32"/>
  <c r="H3770" i="32"/>
  <c r="H3771" i="32"/>
  <c r="H3772" i="32"/>
  <c r="H3773" i="32"/>
  <c r="H3774" i="32"/>
  <c r="H3775" i="32"/>
  <c r="H3776" i="32"/>
  <c r="H3777" i="32"/>
  <c r="H3778" i="32"/>
  <c r="H3779" i="32"/>
  <c r="H3780" i="32"/>
  <c r="H3781" i="32"/>
  <c r="H3782" i="32"/>
  <c r="H3783" i="32"/>
  <c r="H3784" i="32"/>
  <c r="H3785" i="32"/>
  <c r="H3786" i="32"/>
  <c r="H3787" i="32"/>
  <c r="H3788" i="32"/>
  <c r="H3789" i="32"/>
  <c r="H3790" i="32"/>
  <c r="H3791" i="32"/>
  <c r="H3792" i="32"/>
  <c r="H3793" i="32"/>
  <c r="H3794" i="32"/>
  <c r="H3795" i="32"/>
  <c r="H3796" i="32"/>
  <c r="H3797" i="32"/>
  <c r="H3798" i="32"/>
  <c r="H3799" i="32"/>
  <c r="H3800" i="32"/>
  <c r="H3801" i="32"/>
  <c r="H3802" i="32"/>
  <c r="H3803" i="32"/>
  <c r="H3804" i="32"/>
  <c r="H3805" i="32"/>
  <c r="H3806" i="32"/>
  <c r="H3807" i="32"/>
  <c r="H3808" i="32"/>
  <c r="H3809" i="32"/>
  <c r="H3810" i="32"/>
  <c r="H3811" i="32"/>
  <c r="H3812" i="32"/>
  <c r="H3813" i="32"/>
  <c r="H3814" i="32"/>
  <c r="H3815" i="32"/>
  <c r="H3816" i="32"/>
  <c r="H3817" i="32"/>
  <c r="H3818" i="32"/>
  <c r="H3819" i="32"/>
  <c r="H3820" i="32"/>
  <c r="H3821" i="32"/>
  <c r="H3822" i="32"/>
  <c r="H3823" i="32"/>
  <c r="H3824" i="32"/>
  <c r="H3825" i="32"/>
  <c r="H3826" i="32"/>
  <c r="H3827" i="32"/>
  <c r="H3828" i="32"/>
  <c r="H3829" i="32"/>
  <c r="H3830" i="32"/>
  <c r="H3831" i="32"/>
  <c r="H3832" i="32"/>
  <c r="H3833" i="32"/>
  <c r="H3834" i="32"/>
  <c r="H3835" i="32"/>
  <c r="H3836" i="32"/>
  <c r="H3837" i="32"/>
  <c r="H3838" i="32"/>
  <c r="H3839" i="32"/>
  <c r="H3840" i="32"/>
  <c r="H3841" i="32"/>
  <c r="H3842" i="32"/>
  <c r="H3843" i="32"/>
  <c r="H3844" i="32"/>
  <c r="H3845" i="32"/>
  <c r="H3846" i="32"/>
  <c r="H3847" i="32"/>
  <c r="H3848" i="32"/>
  <c r="H3849" i="32"/>
  <c r="H3850" i="32"/>
  <c r="H3851" i="32"/>
  <c r="H3852" i="32"/>
  <c r="H3853" i="32"/>
  <c r="H3854" i="32"/>
  <c r="H3855" i="32"/>
  <c r="H3856" i="32"/>
  <c r="H3857" i="32"/>
  <c r="H3858" i="32"/>
  <c r="H3859" i="32"/>
  <c r="H3860" i="32"/>
  <c r="H3861" i="32"/>
  <c r="H3862" i="32"/>
  <c r="H3863" i="32"/>
  <c r="H3864" i="32"/>
  <c r="H3865" i="32"/>
  <c r="H3866" i="32"/>
  <c r="H3867" i="32"/>
  <c r="H3868" i="32"/>
  <c r="H3869" i="32"/>
  <c r="H3870" i="32"/>
  <c r="H3871" i="32"/>
  <c r="H3872" i="32"/>
  <c r="H3873" i="32"/>
  <c r="H3874" i="32"/>
  <c r="H3875" i="32"/>
  <c r="H3876" i="32"/>
  <c r="H3877" i="32"/>
  <c r="H3878" i="32"/>
  <c r="H3879" i="32"/>
  <c r="H3880" i="32"/>
  <c r="H3881" i="32"/>
  <c r="H3882" i="32"/>
  <c r="H3883" i="32"/>
  <c r="H3884" i="32"/>
  <c r="H3885" i="32"/>
  <c r="H3886" i="32"/>
  <c r="H3887" i="32"/>
  <c r="H3888" i="32"/>
  <c r="H3889" i="32"/>
  <c r="H3890" i="32"/>
  <c r="H3891" i="32"/>
  <c r="H3892" i="32"/>
  <c r="H3893" i="32"/>
  <c r="H3894" i="32"/>
  <c r="H3895" i="32"/>
  <c r="H3896" i="32"/>
  <c r="H3897" i="32"/>
  <c r="H3898" i="32"/>
  <c r="H3899" i="32"/>
  <c r="H3900" i="32"/>
  <c r="H3901" i="32"/>
  <c r="H3902" i="32"/>
  <c r="H3903" i="32"/>
  <c r="H3904" i="32"/>
  <c r="H3905" i="32"/>
  <c r="H3906" i="32"/>
  <c r="H3907" i="32"/>
  <c r="H3908" i="32"/>
  <c r="H3909" i="32"/>
  <c r="H3910" i="32"/>
  <c r="H3911" i="32"/>
  <c r="H3912" i="32"/>
  <c r="H3913" i="32"/>
  <c r="H3914" i="32"/>
  <c r="H3915" i="32"/>
  <c r="H3916" i="32"/>
  <c r="H3917" i="32"/>
  <c r="H3918" i="32"/>
  <c r="H3919" i="32"/>
  <c r="H3920" i="32"/>
  <c r="H3921" i="32"/>
  <c r="H3922" i="32"/>
  <c r="H3923" i="32"/>
  <c r="H3924" i="32"/>
  <c r="H3925" i="32"/>
  <c r="H3926" i="32"/>
  <c r="H3927" i="32"/>
  <c r="H3928" i="32"/>
  <c r="H3929" i="32"/>
  <c r="H3930" i="32"/>
  <c r="H3931" i="32"/>
  <c r="H3932" i="32"/>
  <c r="H3933" i="32"/>
  <c r="H3934" i="32"/>
  <c r="H3935" i="32"/>
  <c r="H3936" i="32"/>
  <c r="H3937" i="32"/>
  <c r="H3938" i="32"/>
  <c r="H3939" i="32"/>
  <c r="H3940" i="32"/>
  <c r="H3941" i="32"/>
  <c r="H3942" i="32"/>
  <c r="H3943" i="32"/>
  <c r="H3944" i="32"/>
  <c r="H3945" i="32"/>
  <c r="H3946" i="32"/>
  <c r="H3947" i="32"/>
  <c r="H3948" i="32"/>
  <c r="H3949" i="32"/>
  <c r="H3950" i="32"/>
  <c r="H3951" i="32"/>
  <c r="H3952" i="32"/>
  <c r="H3953" i="32"/>
  <c r="H3954" i="32"/>
  <c r="H3955" i="32"/>
  <c r="H3956" i="32"/>
  <c r="H3957" i="32"/>
  <c r="H3958" i="32"/>
  <c r="H3959" i="32"/>
  <c r="H3960" i="32"/>
  <c r="H3961" i="32"/>
  <c r="H3962" i="32"/>
  <c r="H3963" i="32"/>
  <c r="H3964" i="32"/>
  <c r="H3965" i="32"/>
  <c r="H3966" i="32"/>
  <c r="H3967" i="32"/>
  <c r="H3968" i="32"/>
  <c r="H3969" i="32"/>
  <c r="H3970" i="32"/>
  <c r="H3971" i="32"/>
  <c r="H3972" i="32"/>
  <c r="H3973" i="32"/>
  <c r="H3974" i="32"/>
  <c r="H3975" i="32"/>
  <c r="H3976" i="32"/>
  <c r="H3977" i="32"/>
  <c r="H3978" i="32"/>
  <c r="H3979" i="32"/>
  <c r="H3980" i="32"/>
  <c r="H3981" i="32"/>
  <c r="H3982" i="32"/>
  <c r="H3983" i="32"/>
  <c r="H3984" i="32"/>
  <c r="H3985" i="32"/>
  <c r="H3986" i="32"/>
  <c r="H3987" i="32"/>
  <c r="H3988" i="32"/>
  <c r="H3989" i="32"/>
  <c r="H3990" i="32"/>
  <c r="H3991" i="32"/>
  <c r="H3992" i="32"/>
  <c r="H3993" i="32"/>
  <c r="H3994" i="32"/>
  <c r="H3995" i="32"/>
  <c r="H3996" i="32"/>
  <c r="H3997" i="32"/>
  <c r="H3998" i="32"/>
  <c r="H3999" i="32"/>
  <c r="H4000" i="32"/>
  <c r="H4001" i="32"/>
  <c r="H4002" i="32"/>
  <c r="H4003" i="32"/>
  <c r="H4004" i="32"/>
  <c r="H4005" i="32"/>
  <c r="H4006" i="32"/>
  <c r="H4007" i="32"/>
  <c r="H4008" i="32"/>
  <c r="H4009" i="32"/>
  <c r="H4010" i="32"/>
  <c r="H4011" i="32"/>
  <c r="H4012" i="32"/>
  <c r="H4013" i="32"/>
  <c r="H4014" i="32"/>
  <c r="H4015" i="32"/>
  <c r="H4016" i="32"/>
  <c r="H4017" i="32"/>
  <c r="H4018" i="32"/>
  <c r="H4019" i="32"/>
  <c r="H4020" i="32"/>
  <c r="H4021" i="32"/>
  <c r="H4022" i="32"/>
  <c r="H4023" i="32"/>
  <c r="H4024" i="32"/>
  <c r="H4025" i="32"/>
  <c r="H4026" i="32"/>
  <c r="H4027" i="32"/>
  <c r="H4028" i="32"/>
  <c r="H4029" i="32"/>
  <c r="H4030" i="32"/>
  <c r="H4031" i="32"/>
  <c r="H4032" i="32"/>
  <c r="H4033" i="32"/>
  <c r="H4034" i="32"/>
  <c r="H4035" i="32"/>
  <c r="H4036" i="32"/>
  <c r="H4037" i="32"/>
  <c r="H4038" i="32"/>
  <c r="H4039" i="32"/>
  <c r="H4040" i="32"/>
  <c r="H4041" i="32"/>
  <c r="H4042" i="32"/>
  <c r="H4043" i="32"/>
  <c r="H4044" i="32"/>
  <c r="H4045" i="32"/>
  <c r="H4046" i="32"/>
  <c r="H4047" i="32"/>
  <c r="H4048" i="32"/>
  <c r="H4049" i="32"/>
  <c r="H4050" i="32"/>
  <c r="H4051" i="32"/>
  <c r="H4052" i="32"/>
  <c r="H4053" i="32"/>
  <c r="H4054" i="32"/>
  <c r="H4055" i="32"/>
  <c r="H4056" i="32"/>
  <c r="H4057" i="32"/>
  <c r="H4058" i="32"/>
  <c r="H4059" i="32"/>
  <c r="H4060" i="32"/>
  <c r="H4061" i="32"/>
  <c r="H4062" i="32"/>
  <c r="H4063" i="32"/>
  <c r="H4064" i="32"/>
  <c r="H4065" i="32"/>
  <c r="H4066" i="32"/>
  <c r="H4067" i="32"/>
  <c r="H4068" i="32"/>
  <c r="H4069" i="32"/>
  <c r="H4070" i="32"/>
  <c r="H4071" i="32"/>
  <c r="H4072" i="32"/>
  <c r="H4073" i="32"/>
  <c r="H4074" i="32"/>
  <c r="H4075" i="32"/>
  <c r="H4076" i="32"/>
  <c r="H4077" i="32"/>
  <c r="H4078" i="32"/>
  <c r="H4079" i="32"/>
  <c r="H4080" i="32"/>
  <c r="H4081" i="32"/>
  <c r="H4082" i="32"/>
  <c r="H4083" i="32"/>
  <c r="H4084" i="32"/>
  <c r="H4085" i="32"/>
  <c r="H4086" i="32"/>
  <c r="H4087" i="32"/>
  <c r="H4088" i="32"/>
  <c r="H4089" i="32"/>
  <c r="H4090" i="32"/>
  <c r="H4091" i="32"/>
  <c r="H4092" i="32"/>
  <c r="H4093" i="32"/>
  <c r="H4094" i="32"/>
  <c r="H4095" i="32"/>
  <c r="H4096" i="32"/>
  <c r="H4097" i="32"/>
  <c r="H4098" i="32"/>
  <c r="H4099" i="32"/>
  <c r="H4100" i="32"/>
  <c r="H4101" i="32"/>
  <c r="H4102" i="32"/>
  <c r="H4103" i="32"/>
  <c r="H4104" i="32"/>
  <c r="H4105" i="32"/>
  <c r="H4106" i="32"/>
  <c r="H4107" i="32"/>
  <c r="H4108" i="32"/>
  <c r="H4109" i="32"/>
  <c r="H4110" i="32"/>
  <c r="H4111" i="32"/>
  <c r="H4112" i="32"/>
  <c r="H4113" i="32"/>
  <c r="H4114" i="32"/>
  <c r="H4115" i="32"/>
  <c r="H4116" i="32"/>
  <c r="H4117" i="32"/>
  <c r="H4118" i="32"/>
  <c r="H4119" i="32"/>
  <c r="H4120" i="32"/>
  <c r="H4121" i="32"/>
  <c r="H4122" i="32"/>
  <c r="H4123" i="32"/>
  <c r="H4124" i="32"/>
  <c r="H4125" i="32"/>
  <c r="H4126" i="32"/>
  <c r="H4127" i="32"/>
  <c r="H4128" i="32"/>
  <c r="H4129" i="32"/>
  <c r="H4130" i="32"/>
  <c r="H4131" i="32"/>
  <c r="H4132" i="32"/>
  <c r="H4133" i="32"/>
  <c r="H4134" i="32"/>
  <c r="H4135" i="32"/>
  <c r="H4136" i="32"/>
  <c r="H4137" i="32"/>
  <c r="H4138" i="32"/>
  <c r="H4139" i="32"/>
  <c r="H4140" i="32"/>
  <c r="H4141" i="32"/>
  <c r="H4142" i="32"/>
  <c r="H4143" i="32"/>
  <c r="H4144" i="32"/>
  <c r="H4145" i="32"/>
  <c r="H4146" i="32"/>
  <c r="H4147" i="32"/>
  <c r="H4148" i="32"/>
  <c r="H4149" i="32"/>
  <c r="H4150" i="32"/>
  <c r="H4151" i="32"/>
  <c r="H4152" i="32"/>
  <c r="H4153" i="32"/>
  <c r="H4154" i="32"/>
  <c r="H4155" i="32"/>
  <c r="H4156" i="32"/>
  <c r="H4157" i="32"/>
  <c r="H4158" i="32"/>
  <c r="H4159" i="32"/>
  <c r="H4160" i="32"/>
  <c r="H4161" i="32"/>
  <c r="H4162" i="32"/>
  <c r="H4163" i="32"/>
  <c r="H4164" i="32"/>
  <c r="H4165" i="32"/>
  <c r="H4166" i="32"/>
  <c r="H4167" i="32"/>
  <c r="H4168" i="32"/>
  <c r="H4169" i="32"/>
  <c r="H4170" i="32"/>
  <c r="H4171" i="32"/>
  <c r="H4172" i="32"/>
  <c r="H4173" i="32"/>
  <c r="H4174" i="32"/>
  <c r="H4175" i="32"/>
  <c r="H4176" i="32"/>
  <c r="H4177" i="32"/>
  <c r="H4178" i="32"/>
  <c r="H4179" i="32"/>
  <c r="H4180" i="32"/>
  <c r="H4181" i="32"/>
  <c r="H4182" i="32"/>
  <c r="H4183" i="32"/>
  <c r="H4184" i="32"/>
  <c r="H4185" i="32"/>
  <c r="H4186" i="32"/>
  <c r="H4187" i="32"/>
  <c r="H4188" i="32"/>
  <c r="H4189" i="32"/>
  <c r="H4190" i="32"/>
  <c r="H4191" i="32"/>
  <c r="H4192" i="32"/>
  <c r="H4193" i="32"/>
  <c r="H4194" i="32"/>
  <c r="H4195" i="32"/>
  <c r="H4196" i="32"/>
  <c r="H4197" i="32"/>
  <c r="H4198" i="32"/>
  <c r="H4199" i="32"/>
  <c r="H4200" i="32"/>
  <c r="H4201" i="32"/>
  <c r="H4202" i="32"/>
  <c r="H4203" i="32"/>
  <c r="H4204" i="32"/>
  <c r="H4205" i="32"/>
  <c r="H4206" i="32"/>
  <c r="H4207" i="32"/>
  <c r="H4208" i="32"/>
  <c r="H4209" i="32"/>
  <c r="H4210" i="32"/>
  <c r="H4211" i="32"/>
  <c r="H4212" i="32"/>
  <c r="H4213" i="32"/>
  <c r="H4214" i="32"/>
  <c r="H4215" i="32"/>
  <c r="H4216" i="32"/>
  <c r="H4217" i="32"/>
  <c r="H4218" i="32"/>
  <c r="H4219" i="32"/>
  <c r="H4220" i="32"/>
  <c r="H4221" i="32"/>
  <c r="H4222" i="32"/>
  <c r="H4223" i="32"/>
  <c r="H4224" i="32"/>
  <c r="H4225" i="32"/>
  <c r="H4226" i="32"/>
  <c r="H4227" i="32"/>
  <c r="H4228" i="32"/>
  <c r="H4229" i="32"/>
  <c r="H4230" i="32"/>
  <c r="H4231" i="32"/>
  <c r="H4232" i="32"/>
  <c r="H4233" i="32"/>
  <c r="H4234" i="32"/>
  <c r="H4235" i="32"/>
  <c r="H4236" i="32"/>
  <c r="H4237" i="32"/>
  <c r="H4238" i="32"/>
  <c r="H4239" i="32"/>
  <c r="H4240" i="32"/>
  <c r="H4241" i="32"/>
  <c r="H4242" i="32"/>
  <c r="H4243" i="32"/>
  <c r="H4244" i="32"/>
  <c r="H4245" i="32"/>
  <c r="H4246" i="32"/>
  <c r="H4247" i="32"/>
  <c r="H4248" i="32"/>
  <c r="H4249" i="32"/>
  <c r="H4250" i="32"/>
  <c r="H4251" i="32"/>
  <c r="H4252" i="32"/>
  <c r="H4253" i="32"/>
  <c r="H4254" i="32"/>
  <c r="H4255" i="32"/>
  <c r="H4256" i="32"/>
  <c r="H4257" i="32"/>
  <c r="H4258" i="32"/>
  <c r="H4259" i="32"/>
  <c r="H4260" i="32"/>
  <c r="H4261" i="32"/>
  <c r="H4262" i="32"/>
  <c r="H4263" i="32"/>
  <c r="H4264" i="32"/>
  <c r="H4265" i="32"/>
  <c r="H4266" i="32"/>
  <c r="H4267" i="32"/>
  <c r="H4268" i="32"/>
  <c r="H4269" i="32"/>
  <c r="H4270" i="32"/>
  <c r="H4271" i="32"/>
  <c r="H4272" i="32"/>
  <c r="H4273" i="32"/>
  <c r="H4274" i="32"/>
  <c r="H4275" i="32"/>
  <c r="H4276" i="32"/>
  <c r="H4277" i="32"/>
  <c r="H4278" i="32"/>
  <c r="H4279" i="32"/>
  <c r="H4280" i="32"/>
  <c r="H4281" i="32"/>
  <c r="H4282" i="32"/>
  <c r="H4283" i="32"/>
  <c r="H4284" i="32"/>
  <c r="H4285" i="32"/>
  <c r="H4286" i="32"/>
  <c r="H4287" i="32"/>
  <c r="H4288" i="32"/>
  <c r="H4289" i="32"/>
  <c r="H4290" i="32"/>
  <c r="H4291" i="32"/>
  <c r="H4292" i="32"/>
  <c r="H4293" i="32"/>
  <c r="H4294" i="32"/>
  <c r="H4295" i="32"/>
  <c r="H4296" i="32"/>
  <c r="H4297" i="32"/>
  <c r="H4298" i="32"/>
  <c r="H4299" i="32"/>
  <c r="H4300" i="32"/>
  <c r="H4301" i="32"/>
  <c r="H4302" i="32"/>
  <c r="H4303" i="32"/>
  <c r="H4304" i="32"/>
  <c r="H4305" i="32"/>
  <c r="H4306" i="32"/>
  <c r="H4307" i="32"/>
  <c r="H4308" i="32"/>
  <c r="H4309" i="32"/>
  <c r="H4310" i="32"/>
  <c r="H4311" i="32"/>
  <c r="H4312" i="32"/>
  <c r="H4313" i="32"/>
  <c r="H4314" i="32"/>
  <c r="H4315" i="32"/>
  <c r="H4316" i="32"/>
  <c r="H4317" i="32"/>
  <c r="H4318" i="32"/>
  <c r="H4319" i="32"/>
  <c r="H4320" i="32"/>
  <c r="H4321" i="32"/>
  <c r="H4322" i="32"/>
  <c r="H4323" i="32"/>
  <c r="H4324" i="32"/>
  <c r="H4325" i="32"/>
  <c r="H4326" i="32"/>
  <c r="H4327" i="32"/>
  <c r="H4328" i="32"/>
  <c r="H4329" i="32"/>
  <c r="H4330" i="32"/>
  <c r="H4331" i="32"/>
  <c r="H4332" i="32"/>
  <c r="H4333" i="32"/>
  <c r="H4334" i="32"/>
  <c r="H4335" i="32"/>
  <c r="H4336" i="32"/>
  <c r="H4337" i="32"/>
  <c r="H4338" i="32"/>
  <c r="H4339" i="32"/>
  <c r="H4340" i="32"/>
  <c r="H4341" i="32"/>
  <c r="H4342" i="32"/>
  <c r="H4343" i="32"/>
  <c r="H4344" i="32"/>
  <c r="H4345" i="32"/>
  <c r="H4346" i="32"/>
  <c r="H4347" i="32"/>
  <c r="H4348" i="32"/>
  <c r="H4349" i="32"/>
  <c r="H4350" i="32"/>
  <c r="H4351" i="32"/>
  <c r="H4352" i="32"/>
  <c r="H4353" i="32"/>
  <c r="H4354" i="32"/>
  <c r="H4355" i="32"/>
  <c r="H4356" i="32"/>
  <c r="H4357" i="32"/>
  <c r="H4358" i="32"/>
  <c r="H4359" i="32"/>
  <c r="H4360" i="32"/>
  <c r="H4361" i="32"/>
  <c r="H4362" i="32"/>
  <c r="H4363" i="32"/>
  <c r="H4364" i="32"/>
  <c r="H4365" i="32"/>
  <c r="H4366" i="32"/>
  <c r="H4367" i="32"/>
  <c r="H4368" i="32"/>
  <c r="H4369" i="32"/>
  <c r="H4370" i="32"/>
  <c r="H4371" i="32"/>
  <c r="H4372" i="32"/>
  <c r="H4373" i="32"/>
  <c r="H4374" i="32"/>
  <c r="H4375" i="32"/>
  <c r="H4376" i="32"/>
  <c r="H4377" i="32"/>
  <c r="H4378" i="32"/>
  <c r="H4379" i="32"/>
  <c r="H4380" i="32"/>
  <c r="H4381" i="32"/>
  <c r="H4382" i="32"/>
  <c r="H4383" i="32"/>
  <c r="H4384" i="32"/>
  <c r="H4385" i="32"/>
  <c r="H4386" i="32"/>
  <c r="H4387" i="32"/>
  <c r="H4388" i="32"/>
  <c r="H4389" i="32"/>
  <c r="H4390" i="32"/>
  <c r="H4391" i="32"/>
  <c r="H4392" i="32"/>
  <c r="H4393" i="32"/>
  <c r="H4394" i="32"/>
  <c r="H4395" i="32"/>
  <c r="H4396" i="32"/>
  <c r="H4397" i="32"/>
  <c r="H4398" i="32"/>
  <c r="H4399" i="32"/>
  <c r="H4400" i="32"/>
  <c r="H4401" i="32"/>
  <c r="H4402" i="32"/>
  <c r="H4403" i="32"/>
  <c r="H4404" i="32"/>
  <c r="H4405" i="32"/>
  <c r="H4406" i="32"/>
  <c r="H4407" i="32"/>
  <c r="H4408" i="32"/>
  <c r="H4409" i="32"/>
  <c r="H4410" i="32"/>
  <c r="H4411" i="32"/>
  <c r="H4412" i="32"/>
  <c r="H4413" i="32"/>
  <c r="H4414" i="32"/>
  <c r="H4415" i="32"/>
  <c r="H4416" i="32"/>
  <c r="H4417" i="32"/>
  <c r="H4418" i="32"/>
  <c r="H4419" i="32"/>
  <c r="H4420" i="32"/>
  <c r="H4421" i="32"/>
  <c r="H4422" i="32"/>
  <c r="H4423" i="32"/>
  <c r="H4424" i="32"/>
  <c r="H4425" i="32"/>
  <c r="H4426" i="32"/>
  <c r="H4427" i="32"/>
  <c r="H4428" i="32"/>
  <c r="H4429" i="32"/>
  <c r="H4430" i="32"/>
  <c r="H4431" i="32"/>
  <c r="H4432" i="32"/>
  <c r="H4433" i="32"/>
  <c r="H4434" i="32"/>
  <c r="H4435" i="32"/>
  <c r="H4436" i="32"/>
  <c r="H4437" i="32"/>
  <c r="H4438" i="32"/>
  <c r="H4439" i="32"/>
  <c r="H4440" i="32"/>
  <c r="H4441" i="32"/>
  <c r="H4442" i="32"/>
  <c r="H4443" i="32"/>
  <c r="H4444" i="32"/>
  <c r="H4445" i="32"/>
  <c r="H4446" i="32"/>
  <c r="H4447" i="32"/>
  <c r="H4448" i="32"/>
  <c r="H4449" i="32"/>
  <c r="H4450" i="32"/>
  <c r="H4451" i="32"/>
  <c r="H4452" i="32"/>
  <c r="H4453" i="32"/>
  <c r="H4454" i="32"/>
  <c r="H4455" i="32"/>
  <c r="H4456" i="32"/>
  <c r="H4457" i="32"/>
  <c r="H4458" i="32"/>
  <c r="H4459" i="32"/>
  <c r="H4460" i="32"/>
  <c r="H4461" i="32"/>
  <c r="H4462" i="32"/>
  <c r="H4463" i="32"/>
  <c r="H4464" i="32"/>
  <c r="H4465" i="32"/>
  <c r="H4466" i="32"/>
  <c r="H4467" i="32"/>
  <c r="H4468" i="32"/>
  <c r="H4469" i="32"/>
  <c r="H4470" i="32"/>
  <c r="H4471" i="32"/>
  <c r="H4472" i="32"/>
  <c r="H4473" i="32"/>
  <c r="H4474" i="32"/>
  <c r="H4475" i="32"/>
  <c r="H4476" i="32"/>
  <c r="H4477" i="32"/>
  <c r="H4478" i="32"/>
  <c r="H4479" i="32"/>
  <c r="H4480" i="32"/>
  <c r="H4481" i="32"/>
  <c r="H4482" i="32"/>
  <c r="H4483" i="32"/>
  <c r="H4484" i="32"/>
  <c r="H4485" i="32"/>
  <c r="H4486" i="32"/>
  <c r="H4487" i="32"/>
  <c r="H4488" i="32"/>
  <c r="H4489" i="32"/>
  <c r="H4490" i="32"/>
  <c r="H4491" i="32"/>
  <c r="H4492" i="32"/>
  <c r="H4493" i="32"/>
  <c r="H4494" i="32"/>
  <c r="H4495" i="32"/>
  <c r="H4496" i="32"/>
  <c r="H4497" i="32"/>
  <c r="H4498" i="32"/>
  <c r="H4499" i="32"/>
  <c r="H4500" i="32"/>
  <c r="H4501" i="32"/>
  <c r="H4502" i="32"/>
  <c r="H4503" i="32"/>
  <c r="H4504" i="32"/>
  <c r="H4505" i="32"/>
  <c r="H4506" i="32"/>
  <c r="H4507" i="32"/>
  <c r="H4508" i="32"/>
  <c r="H4509" i="32"/>
  <c r="H4510" i="32"/>
  <c r="H4511" i="32"/>
  <c r="H4512" i="32"/>
  <c r="H4513" i="32"/>
  <c r="H4514" i="32"/>
  <c r="H4515" i="32"/>
  <c r="H4516" i="32"/>
  <c r="H4517" i="32"/>
  <c r="H4518" i="32"/>
  <c r="H4519" i="32"/>
  <c r="H4520" i="32"/>
  <c r="H4521" i="32"/>
  <c r="H4522" i="32"/>
  <c r="H4523" i="32"/>
  <c r="H4524" i="32"/>
  <c r="H4525" i="32"/>
  <c r="H4526" i="32"/>
  <c r="H4527" i="32"/>
  <c r="H4528" i="32"/>
  <c r="H4529" i="32"/>
  <c r="H4530" i="32"/>
  <c r="H4531" i="32"/>
  <c r="H4532" i="32"/>
  <c r="H4533" i="32"/>
  <c r="H4534" i="32"/>
  <c r="H4535" i="32"/>
  <c r="H4536" i="32"/>
  <c r="H4537" i="32"/>
  <c r="H4538" i="32"/>
  <c r="H4539" i="32"/>
  <c r="H4540" i="32"/>
  <c r="H4541" i="32"/>
  <c r="H4542" i="32"/>
  <c r="H4543" i="32"/>
  <c r="H4544" i="32"/>
  <c r="H4545" i="32"/>
  <c r="H4546" i="32"/>
  <c r="H4547" i="32"/>
  <c r="H4548" i="32"/>
  <c r="H4549" i="32"/>
  <c r="H4550" i="32"/>
  <c r="H4551" i="32"/>
  <c r="H4552" i="32"/>
  <c r="H4553" i="32"/>
  <c r="H4554" i="32"/>
  <c r="H4555" i="32"/>
  <c r="H4556" i="32"/>
  <c r="H4557" i="32"/>
  <c r="H4558" i="32"/>
  <c r="H4559" i="32"/>
  <c r="H4560" i="32"/>
  <c r="H4561" i="32"/>
  <c r="H4562" i="32"/>
  <c r="H4563" i="32"/>
  <c r="H4564" i="32"/>
  <c r="H4565" i="32"/>
  <c r="H4566" i="32"/>
  <c r="H4567" i="32"/>
  <c r="H4568" i="32"/>
  <c r="H4569" i="32"/>
  <c r="H4570" i="32"/>
  <c r="H4571" i="32"/>
  <c r="H4572" i="32"/>
  <c r="H4573" i="32"/>
  <c r="H4574" i="32"/>
  <c r="H4575" i="32"/>
  <c r="H4576" i="32"/>
  <c r="H4577" i="32"/>
  <c r="H4578" i="32"/>
  <c r="H4579" i="32"/>
  <c r="H4580" i="32"/>
  <c r="H4581" i="32"/>
  <c r="H4582" i="32"/>
  <c r="H4583" i="32"/>
  <c r="H4584" i="32"/>
  <c r="H4585" i="32"/>
  <c r="H4586" i="32"/>
  <c r="H4587" i="32"/>
  <c r="H4588" i="32"/>
  <c r="H4589" i="32"/>
  <c r="H4590" i="32"/>
  <c r="H4591" i="32"/>
  <c r="H4592" i="32"/>
  <c r="H4593" i="32"/>
  <c r="H4594" i="32"/>
  <c r="H4595" i="32"/>
  <c r="H4596" i="32"/>
  <c r="H4597" i="32"/>
  <c r="H4598" i="32"/>
  <c r="H4599" i="32"/>
  <c r="H4600" i="32"/>
  <c r="H4601" i="32"/>
  <c r="H4602" i="32"/>
  <c r="H4603" i="32"/>
  <c r="H4604" i="32"/>
  <c r="H4605" i="32"/>
  <c r="H4606" i="32"/>
  <c r="H4607" i="32"/>
  <c r="H4608" i="32"/>
  <c r="H4609" i="32"/>
  <c r="H4610" i="32"/>
  <c r="H4611" i="32"/>
  <c r="H4612" i="32"/>
  <c r="H4613" i="32"/>
  <c r="H4614" i="32"/>
  <c r="H4615" i="32"/>
  <c r="H4616" i="32"/>
  <c r="H4617" i="32"/>
  <c r="H4618" i="32"/>
  <c r="H4619" i="32"/>
  <c r="H4620" i="32"/>
  <c r="H4621" i="32"/>
  <c r="H4622" i="32"/>
  <c r="H4623" i="32"/>
  <c r="H4624" i="32"/>
  <c r="H4625" i="32"/>
  <c r="H4626" i="32"/>
  <c r="H4627" i="32"/>
  <c r="H4628" i="32"/>
  <c r="H4629" i="32"/>
  <c r="H4630" i="32"/>
  <c r="H4631" i="32"/>
  <c r="H4632" i="32"/>
  <c r="H4633" i="32"/>
  <c r="H4634" i="32"/>
  <c r="H4635" i="32"/>
  <c r="H4636" i="32"/>
  <c r="H4637" i="32"/>
  <c r="H4638" i="32"/>
  <c r="H4639" i="32"/>
  <c r="H4640" i="32"/>
  <c r="H4641" i="32"/>
  <c r="H4642" i="32"/>
  <c r="H4643" i="32"/>
  <c r="H4644" i="32"/>
  <c r="H4645" i="32"/>
  <c r="H4646" i="32"/>
  <c r="H4647" i="32"/>
  <c r="H4648" i="32"/>
  <c r="H4649" i="32"/>
  <c r="H4650" i="32"/>
  <c r="H4651" i="32"/>
  <c r="H4652" i="32"/>
  <c r="H4653" i="32"/>
  <c r="H4654" i="32"/>
  <c r="H4655" i="32"/>
  <c r="H4656" i="32"/>
  <c r="H4657" i="32"/>
  <c r="H4658" i="32"/>
  <c r="H4659" i="32"/>
  <c r="H4660" i="32"/>
  <c r="H4661" i="32"/>
  <c r="H4662" i="32"/>
  <c r="H4663" i="32"/>
  <c r="H4664" i="32"/>
  <c r="H4665" i="32"/>
  <c r="H4666" i="32"/>
  <c r="H4667" i="32"/>
  <c r="H4668" i="32"/>
  <c r="H4669" i="32"/>
  <c r="H4670" i="32"/>
  <c r="H4671" i="32"/>
  <c r="H4672" i="32"/>
  <c r="H4673" i="32"/>
  <c r="H4674" i="32"/>
  <c r="H4675" i="32"/>
  <c r="H4676" i="32"/>
  <c r="H4677" i="32"/>
  <c r="H4678" i="32"/>
  <c r="H4679" i="32"/>
  <c r="H4680" i="32"/>
  <c r="H4681" i="32"/>
  <c r="H4682" i="32"/>
  <c r="H4683" i="32"/>
  <c r="H4684" i="32"/>
  <c r="H4685" i="32"/>
  <c r="H4686" i="32"/>
  <c r="H4687" i="32"/>
  <c r="H4688" i="32"/>
  <c r="H4689" i="32"/>
  <c r="H4690" i="32"/>
  <c r="H4691" i="32"/>
  <c r="H4692" i="32"/>
  <c r="H4693" i="32"/>
  <c r="H4694" i="32"/>
  <c r="H4695" i="32"/>
  <c r="H4696" i="32"/>
  <c r="H4697" i="32"/>
  <c r="H4698" i="32"/>
  <c r="H4699" i="32"/>
  <c r="H4700" i="32"/>
  <c r="H4701" i="32"/>
  <c r="H4702" i="32"/>
  <c r="H4703" i="32"/>
  <c r="H4704" i="32"/>
  <c r="H4705" i="32"/>
  <c r="H4706" i="32"/>
  <c r="H4707" i="32"/>
  <c r="H4708" i="32"/>
  <c r="H4709" i="32"/>
  <c r="H4710" i="32"/>
  <c r="H4711" i="32"/>
  <c r="H4712" i="32"/>
  <c r="H4713" i="32"/>
  <c r="H4714" i="32"/>
  <c r="H4715" i="32"/>
  <c r="H4716" i="32"/>
  <c r="H4717" i="32"/>
  <c r="H4718" i="32"/>
  <c r="H4719" i="32"/>
  <c r="H4720" i="32"/>
  <c r="H4721" i="32"/>
  <c r="H4722" i="32"/>
  <c r="H4723" i="32"/>
  <c r="H4724" i="32"/>
  <c r="H4725" i="32"/>
  <c r="H4726" i="32"/>
  <c r="H4727" i="32"/>
  <c r="H4728" i="32"/>
  <c r="H4729" i="32"/>
  <c r="H4730" i="32"/>
  <c r="H4731" i="32"/>
  <c r="H4732" i="32"/>
  <c r="H4733" i="32"/>
  <c r="H4734" i="32"/>
  <c r="H4735" i="32"/>
  <c r="H4736" i="32"/>
  <c r="H4737" i="32"/>
  <c r="H4738" i="32"/>
  <c r="H4739" i="32"/>
  <c r="H4740" i="32"/>
  <c r="H4741" i="32"/>
  <c r="H4742" i="32"/>
  <c r="H4743" i="32"/>
  <c r="H4744" i="32"/>
  <c r="H4745" i="32"/>
  <c r="H4746" i="32"/>
  <c r="H4747" i="32"/>
  <c r="H4748" i="32"/>
  <c r="H4749" i="32"/>
  <c r="H4750" i="32"/>
  <c r="H4751" i="32"/>
  <c r="H4752" i="32"/>
  <c r="H4753" i="32"/>
  <c r="H4754" i="32"/>
  <c r="H4755" i="32"/>
  <c r="H4756" i="32"/>
  <c r="H4757" i="32"/>
  <c r="H4758" i="32"/>
  <c r="H4759" i="32"/>
  <c r="H4760" i="32"/>
  <c r="H4761" i="32"/>
  <c r="H4762" i="32"/>
  <c r="H4763" i="32"/>
  <c r="H4764" i="32"/>
  <c r="H4765" i="32"/>
  <c r="H4766" i="32"/>
  <c r="H4767" i="32"/>
  <c r="H4768" i="32"/>
  <c r="H4769" i="32"/>
  <c r="H4770" i="32"/>
  <c r="H4771" i="32"/>
  <c r="H4772" i="32"/>
  <c r="H4773" i="32"/>
  <c r="H4774" i="32"/>
  <c r="H4775" i="32"/>
  <c r="H4776" i="32"/>
  <c r="H4777" i="32"/>
  <c r="H4778" i="32"/>
  <c r="H4779" i="32"/>
  <c r="H4780" i="32"/>
  <c r="H4781" i="32"/>
  <c r="H4782" i="32"/>
  <c r="H4783" i="32"/>
  <c r="H4784" i="32"/>
  <c r="H4785" i="32"/>
  <c r="H4786" i="32"/>
  <c r="H4787" i="32"/>
  <c r="H4788" i="32"/>
  <c r="H4789" i="32"/>
  <c r="H4790" i="32"/>
  <c r="H4791" i="32"/>
  <c r="H4792" i="32"/>
  <c r="H4793" i="32"/>
  <c r="H4794" i="32"/>
  <c r="H4795" i="32"/>
  <c r="H4796" i="32"/>
  <c r="H4797" i="32"/>
  <c r="H4798" i="32"/>
  <c r="H4799" i="32"/>
  <c r="H4800" i="32"/>
  <c r="H4801" i="32"/>
  <c r="H4802" i="32"/>
  <c r="H4803" i="32"/>
  <c r="H4804" i="32"/>
  <c r="H4805" i="32"/>
  <c r="H4806" i="32"/>
  <c r="H4807" i="32"/>
  <c r="H4808" i="32"/>
  <c r="H4809" i="32"/>
  <c r="H4810" i="32"/>
  <c r="H4811" i="32"/>
  <c r="H4812" i="32"/>
  <c r="H4813" i="32"/>
  <c r="H4814" i="32"/>
  <c r="H4815" i="32"/>
  <c r="H4816" i="32"/>
  <c r="H4817" i="32"/>
  <c r="H4818" i="32"/>
  <c r="H4819" i="32"/>
  <c r="H4820" i="32"/>
  <c r="H4821" i="32"/>
  <c r="H4822" i="32"/>
  <c r="H4823" i="32"/>
  <c r="H4824" i="32"/>
  <c r="H4825" i="32"/>
  <c r="H4826" i="32"/>
  <c r="H4827" i="32"/>
  <c r="H4828" i="32"/>
  <c r="H4829" i="32"/>
  <c r="H4830" i="32"/>
  <c r="H4831" i="32"/>
  <c r="H4832" i="32"/>
  <c r="H4833" i="32"/>
  <c r="H4834" i="32"/>
  <c r="H4835" i="32"/>
  <c r="H4836" i="32"/>
  <c r="H4837" i="32"/>
  <c r="H4838" i="32"/>
  <c r="H4839" i="32"/>
  <c r="H4840" i="32"/>
  <c r="H4841" i="32"/>
  <c r="H4842" i="32"/>
  <c r="H4843" i="32"/>
  <c r="H4844" i="32"/>
  <c r="H4845" i="32"/>
  <c r="H4846" i="32"/>
  <c r="H4847" i="32"/>
  <c r="H4848" i="32"/>
  <c r="H4849" i="32"/>
  <c r="H4850" i="32"/>
  <c r="H4851" i="32"/>
  <c r="H4852" i="32"/>
  <c r="H4853" i="32"/>
  <c r="H4854" i="32"/>
  <c r="H4855" i="32"/>
  <c r="H4856" i="32"/>
  <c r="H4857" i="32"/>
  <c r="H4858" i="32"/>
  <c r="H4859" i="32"/>
  <c r="H4860" i="32"/>
  <c r="H4861" i="32"/>
  <c r="H4862" i="32"/>
  <c r="H4863" i="32"/>
  <c r="H4864" i="32"/>
  <c r="H4865" i="32"/>
  <c r="H4866" i="32"/>
  <c r="H4867" i="32"/>
  <c r="H4868" i="32"/>
  <c r="H4869" i="32"/>
  <c r="H4870" i="32"/>
  <c r="H4871" i="32"/>
  <c r="H4872" i="32"/>
  <c r="H4873" i="32"/>
  <c r="H4874" i="32"/>
  <c r="H4875" i="32"/>
  <c r="H4876" i="32"/>
  <c r="H4877" i="32"/>
  <c r="H4878" i="32"/>
  <c r="H4879" i="32"/>
  <c r="H4880" i="32"/>
  <c r="H4881" i="32"/>
  <c r="H4882" i="32"/>
  <c r="H4883" i="32"/>
  <c r="H4884" i="32"/>
  <c r="H4885" i="32"/>
  <c r="H4886" i="32"/>
  <c r="H4887" i="32"/>
  <c r="H4888" i="32"/>
  <c r="H4889" i="32"/>
  <c r="H4890" i="32"/>
  <c r="H4891" i="32"/>
  <c r="H4892" i="32"/>
  <c r="H4893" i="32"/>
  <c r="H4894" i="32"/>
  <c r="H4895" i="32"/>
  <c r="H4896" i="32"/>
  <c r="H4897" i="32"/>
  <c r="H4898" i="32"/>
  <c r="H4899" i="32"/>
  <c r="H4900" i="32"/>
  <c r="H4901" i="32"/>
  <c r="H4902" i="32"/>
  <c r="H4903" i="32"/>
  <c r="H4904" i="32"/>
  <c r="H4905" i="32"/>
  <c r="H4906" i="32"/>
  <c r="H4907" i="32"/>
  <c r="H4908" i="32"/>
  <c r="H4909" i="32"/>
  <c r="H4910" i="32"/>
  <c r="H4911" i="32"/>
  <c r="H4912" i="32"/>
  <c r="H4913" i="32"/>
  <c r="H4914" i="32"/>
  <c r="H4915" i="32"/>
  <c r="H4916" i="32"/>
  <c r="H4917" i="32"/>
  <c r="H4918" i="32"/>
  <c r="H4919" i="32"/>
  <c r="H4920" i="32"/>
  <c r="H4921" i="32"/>
  <c r="H4922" i="32"/>
  <c r="H4923" i="32"/>
  <c r="H4924" i="32"/>
  <c r="H4925" i="32"/>
  <c r="H4926" i="32"/>
  <c r="H4927" i="32"/>
  <c r="H4928" i="32"/>
  <c r="H4929" i="32"/>
  <c r="H4930" i="32"/>
  <c r="H4931" i="32"/>
  <c r="H4932" i="32"/>
  <c r="H4933" i="32"/>
  <c r="H4934" i="32"/>
  <c r="H4935" i="32"/>
  <c r="H4936" i="32"/>
  <c r="H4937" i="32"/>
  <c r="H4938" i="32"/>
  <c r="H4939" i="32"/>
  <c r="H4940" i="32"/>
  <c r="H4941" i="32"/>
  <c r="H4942" i="32"/>
  <c r="H4943" i="32"/>
  <c r="H4944" i="32"/>
  <c r="H4945" i="32"/>
  <c r="H4946" i="32"/>
  <c r="H4947" i="32"/>
  <c r="H4948" i="32"/>
  <c r="H4949" i="32"/>
  <c r="H4950" i="32"/>
  <c r="H4951" i="32"/>
  <c r="H4952" i="32"/>
  <c r="H4953" i="32"/>
  <c r="H4954" i="32"/>
  <c r="H4955" i="32"/>
  <c r="H4956" i="32"/>
  <c r="H4957" i="32"/>
  <c r="H4958" i="32"/>
  <c r="H4959" i="32"/>
  <c r="H4960" i="32"/>
  <c r="H4961" i="32"/>
  <c r="H4962" i="32"/>
  <c r="H4963" i="32"/>
  <c r="H4964" i="32"/>
  <c r="H4965" i="32"/>
  <c r="H4966" i="32"/>
  <c r="H4967" i="32"/>
  <c r="H4968" i="32"/>
  <c r="H4969" i="32"/>
  <c r="H4970" i="32"/>
  <c r="H4971" i="32"/>
  <c r="H4972" i="32"/>
  <c r="H4973" i="32"/>
  <c r="H4974" i="32"/>
  <c r="H4975" i="32"/>
  <c r="H4976" i="32"/>
  <c r="H4977" i="32"/>
  <c r="H4978" i="32"/>
  <c r="H4979" i="32"/>
  <c r="H4980" i="32"/>
  <c r="H4981" i="32"/>
  <c r="H4982" i="32"/>
  <c r="H4983" i="32"/>
  <c r="H4984" i="32"/>
  <c r="H4985" i="32"/>
  <c r="H4986" i="32"/>
  <c r="H4987" i="32"/>
  <c r="H4988" i="32"/>
  <c r="H4989" i="32"/>
  <c r="H4990" i="32"/>
  <c r="H4991" i="32"/>
  <c r="H4992" i="32"/>
  <c r="H4993" i="32"/>
  <c r="H4994" i="32"/>
  <c r="H4995" i="32"/>
  <c r="H4996" i="32"/>
  <c r="H4997" i="32"/>
  <c r="H4998" i="32"/>
  <c r="H4999" i="32"/>
  <c r="H5000" i="32"/>
  <c r="H5001" i="32"/>
  <c r="H5002" i="32"/>
  <c r="H5003" i="32"/>
  <c r="H5004" i="32"/>
  <c r="H5005" i="32"/>
  <c r="H5006" i="32"/>
  <c r="H5007" i="32"/>
  <c r="H5008" i="32"/>
  <c r="H5009" i="32"/>
  <c r="H5010" i="32"/>
  <c r="H5011" i="32"/>
  <c r="H5012" i="32"/>
  <c r="H5013" i="32"/>
  <c r="H5014" i="32"/>
  <c r="H5015" i="32"/>
  <c r="H5016" i="32"/>
  <c r="H5017" i="32"/>
  <c r="H5018" i="32"/>
  <c r="H5019" i="32"/>
  <c r="H5020" i="32"/>
  <c r="H5021" i="32"/>
  <c r="H5022" i="32"/>
  <c r="H5023" i="32"/>
  <c r="H5024" i="32"/>
  <c r="H5025" i="32"/>
  <c r="H5026" i="32"/>
  <c r="H5027" i="32"/>
  <c r="H5028" i="32"/>
  <c r="H5029" i="32"/>
  <c r="H5030" i="32"/>
  <c r="H5031" i="32"/>
  <c r="H5032" i="32"/>
  <c r="H5033" i="32"/>
  <c r="H5034" i="32"/>
  <c r="H5035" i="32"/>
  <c r="H5036" i="32"/>
  <c r="H5037" i="32"/>
  <c r="H5038" i="32"/>
  <c r="H5039" i="32"/>
  <c r="H5040" i="32"/>
  <c r="H5041" i="32"/>
  <c r="H5042" i="32"/>
  <c r="H5043" i="32"/>
  <c r="H5044" i="32"/>
  <c r="H5045" i="32"/>
  <c r="H5046" i="32"/>
  <c r="H5047" i="32"/>
  <c r="H5048" i="32"/>
  <c r="H5049" i="32"/>
  <c r="H5050" i="32"/>
  <c r="H5051" i="32"/>
  <c r="H5052" i="32"/>
  <c r="H5053" i="32"/>
  <c r="H5054" i="32"/>
  <c r="H5055" i="32"/>
  <c r="H5056" i="32"/>
  <c r="H5057" i="32"/>
  <c r="H5058" i="32"/>
  <c r="H5059" i="32"/>
  <c r="H5060" i="32"/>
  <c r="H5061" i="32"/>
  <c r="H5062" i="32"/>
  <c r="H5063" i="32"/>
  <c r="H5064" i="32"/>
  <c r="H5065" i="32"/>
  <c r="H5066" i="32"/>
  <c r="H5067" i="32"/>
  <c r="H5068" i="32"/>
  <c r="H5069" i="32"/>
  <c r="H5070" i="32"/>
  <c r="H5071" i="32"/>
  <c r="H5072" i="32"/>
  <c r="H5073" i="32"/>
  <c r="H5074" i="32"/>
  <c r="H5075" i="32"/>
  <c r="H5076" i="32"/>
  <c r="H5077" i="32"/>
  <c r="H5078" i="32"/>
  <c r="H5079" i="32"/>
  <c r="H5080" i="32"/>
  <c r="H5081" i="32"/>
  <c r="H5082" i="32"/>
  <c r="H5083" i="32"/>
  <c r="H5084" i="32"/>
  <c r="H5085" i="32"/>
  <c r="H5086" i="32"/>
  <c r="H5087" i="32"/>
  <c r="H5088" i="32"/>
  <c r="H5089" i="32"/>
  <c r="H5090" i="32"/>
  <c r="H5091" i="32"/>
  <c r="H5092" i="32"/>
  <c r="H5093" i="32"/>
  <c r="H5094" i="32"/>
  <c r="H5095" i="32"/>
  <c r="H5096" i="32"/>
  <c r="H5097" i="32"/>
  <c r="H5098" i="32"/>
  <c r="H5099" i="32"/>
  <c r="H5100" i="32"/>
  <c r="H5101" i="32"/>
  <c r="H5102" i="32"/>
  <c r="H5103" i="32"/>
  <c r="H5104" i="32"/>
  <c r="H5105" i="32"/>
  <c r="H5106" i="32"/>
  <c r="H5107" i="32"/>
  <c r="H5108" i="32"/>
  <c r="H5109" i="32"/>
  <c r="H5110" i="32"/>
  <c r="H5111" i="32"/>
  <c r="H5112" i="32"/>
  <c r="H5113" i="32"/>
  <c r="H5114" i="32"/>
  <c r="H5115" i="32"/>
  <c r="H5116" i="32"/>
  <c r="H5117" i="32"/>
  <c r="H5118" i="32"/>
  <c r="H5119" i="32"/>
  <c r="H5120" i="32"/>
  <c r="H5121" i="32"/>
  <c r="H5122" i="32"/>
  <c r="H5123" i="32"/>
  <c r="H5124" i="32"/>
  <c r="H5125" i="32"/>
  <c r="H5126" i="32"/>
  <c r="H5127" i="32"/>
  <c r="H5128" i="32"/>
  <c r="H5129" i="32"/>
  <c r="H5130" i="32"/>
  <c r="H5131" i="32"/>
  <c r="H5132" i="32"/>
  <c r="H5133" i="32"/>
  <c r="H5134" i="32"/>
  <c r="H5135" i="32"/>
  <c r="H5136" i="32"/>
  <c r="H5137" i="32"/>
  <c r="H5138" i="32"/>
  <c r="H5139" i="32"/>
  <c r="H5140" i="32"/>
  <c r="H5141" i="32"/>
  <c r="H5142" i="32"/>
  <c r="H5143" i="32"/>
  <c r="H5144" i="32"/>
  <c r="H5145" i="32"/>
  <c r="H5146" i="32"/>
  <c r="H5147" i="32"/>
  <c r="H5148" i="32"/>
  <c r="H5149" i="32"/>
  <c r="H5150" i="32"/>
  <c r="H5151" i="32"/>
  <c r="H5152" i="32"/>
  <c r="H5153" i="32"/>
  <c r="H5154" i="32"/>
  <c r="H5155" i="32"/>
  <c r="H5156" i="32"/>
  <c r="H5157" i="32"/>
  <c r="H5158" i="32"/>
  <c r="H5159" i="32"/>
  <c r="H5160" i="32"/>
  <c r="H5161" i="32"/>
  <c r="H5162" i="32"/>
  <c r="H5163" i="32"/>
  <c r="H5164" i="32"/>
  <c r="H5165" i="32"/>
  <c r="H5166" i="32"/>
  <c r="H5167" i="32"/>
  <c r="H5168" i="32"/>
  <c r="H5169" i="32"/>
  <c r="H5170" i="32"/>
  <c r="H5171" i="32"/>
  <c r="H5172" i="32"/>
  <c r="H5173" i="32"/>
  <c r="H5174" i="32"/>
  <c r="H5175" i="32"/>
  <c r="H5176" i="32"/>
  <c r="H5177" i="32"/>
  <c r="H5178" i="32"/>
  <c r="H5179" i="32"/>
  <c r="H5180" i="32"/>
  <c r="H5181" i="32"/>
  <c r="H5182" i="32"/>
  <c r="H5183" i="32"/>
  <c r="H5184" i="32"/>
  <c r="H5185" i="32"/>
  <c r="H5186" i="32"/>
  <c r="H5187" i="32"/>
  <c r="H5188" i="32"/>
  <c r="H5189" i="32"/>
  <c r="H5190" i="32"/>
  <c r="H5191" i="32"/>
  <c r="H5192" i="32"/>
  <c r="H5193" i="32"/>
  <c r="H5194" i="32"/>
  <c r="H5195" i="32"/>
  <c r="H5196" i="32"/>
  <c r="H5197" i="32"/>
  <c r="H5198" i="32"/>
  <c r="H5199" i="32"/>
  <c r="H5200" i="32"/>
  <c r="H5201" i="32"/>
  <c r="H5202" i="32"/>
  <c r="H5203" i="32"/>
  <c r="H5204" i="32"/>
  <c r="H5205" i="32"/>
  <c r="H5206" i="32"/>
  <c r="H5207" i="32"/>
  <c r="H5208" i="32"/>
  <c r="H5209" i="32"/>
  <c r="H5210" i="32"/>
  <c r="H5211" i="32"/>
  <c r="H5212" i="32"/>
  <c r="H5213" i="32"/>
  <c r="H5214" i="32"/>
  <c r="H5215" i="32"/>
  <c r="H5216" i="32"/>
  <c r="H5217" i="32"/>
  <c r="H5218" i="32"/>
  <c r="H5219" i="32"/>
  <c r="H5220" i="32"/>
  <c r="H5221" i="32"/>
  <c r="H5222" i="32"/>
  <c r="H5223" i="32"/>
  <c r="H5224" i="32"/>
  <c r="H5225" i="32"/>
  <c r="H5226" i="32"/>
  <c r="H5227" i="32"/>
  <c r="H5228" i="32"/>
  <c r="H5229" i="32"/>
  <c r="H5230" i="32"/>
  <c r="H5231" i="32"/>
  <c r="H5232" i="32"/>
  <c r="H5233" i="32"/>
  <c r="H5234" i="32"/>
  <c r="H5235" i="32"/>
  <c r="H5236" i="32"/>
  <c r="H5237" i="32"/>
  <c r="H5238" i="32"/>
  <c r="H5239" i="32"/>
  <c r="H5240" i="32"/>
  <c r="H5241" i="32"/>
  <c r="H5242" i="32"/>
  <c r="H5243" i="32"/>
  <c r="H5244" i="32"/>
  <c r="H5245" i="32"/>
  <c r="H5246" i="32"/>
  <c r="H5247" i="32"/>
  <c r="H5248" i="32"/>
  <c r="H5249" i="32"/>
  <c r="H5250" i="32"/>
  <c r="H5251" i="32"/>
  <c r="H5252" i="32"/>
  <c r="H5253" i="32"/>
  <c r="H5254" i="32"/>
  <c r="H5255" i="32"/>
  <c r="H5256" i="32"/>
  <c r="H5257" i="32"/>
  <c r="H5258" i="32"/>
  <c r="H5259" i="32"/>
  <c r="H5260" i="32"/>
  <c r="H5261" i="32"/>
  <c r="H5262" i="32"/>
  <c r="H5263" i="32"/>
  <c r="H5264" i="32"/>
  <c r="H5265" i="32"/>
  <c r="H5266" i="32"/>
  <c r="H5267" i="32"/>
  <c r="H5268" i="32"/>
  <c r="H5269" i="32"/>
  <c r="H5270" i="32"/>
  <c r="H5271" i="32"/>
  <c r="H5272" i="32"/>
  <c r="H5273" i="32"/>
  <c r="H5274" i="32"/>
  <c r="H5275" i="32"/>
  <c r="H5276" i="32"/>
  <c r="H5277" i="32"/>
  <c r="H5278" i="32"/>
  <c r="H5279" i="32"/>
  <c r="H5280" i="32"/>
  <c r="H5281" i="32"/>
  <c r="H5282" i="32"/>
  <c r="H5283" i="32"/>
  <c r="H5284" i="32"/>
  <c r="H5285" i="32"/>
  <c r="H5286" i="32"/>
  <c r="H5287" i="32"/>
  <c r="H5288" i="32"/>
  <c r="H5289" i="32"/>
  <c r="H5290" i="32"/>
  <c r="H5291" i="32"/>
  <c r="H5292" i="32"/>
  <c r="H5293" i="32"/>
  <c r="H5294" i="32"/>
  <c r="H5295" i="32"/>
  <c r="H5296" i="32"/>
  <c r="H5297" i="32"/>
  <c r="H5298" i="32"/>
  <c r="H5299" i="32"/>
  <c r="H5300" i="32"/>
  <c r="H5301" i="32"/>
  <c r="H5302" i="32"/>
  <c r="H5303" i="32"/>
  <c r="H5304" i="32"/>
  <c r="H5305" i="32"/>
  <c r="H5306" i="32"/>
  <c r="H5307" i="32"/>
  <c r="H5308" i="32"/>
  <c r="H5309" i="32"/>
  <c r="H5310" i="32"/>
  <c r="H5311" i="32"/>
  <c r="H5312" i="32"/>
  <c r="H5313" i="32"/>
  <c r="H5314" i="32"/>
  <c r="H5315" i="32"/>
  <c r="H5316" i="32"/>
  <c r="H5317" i="32"/>
  <c r="H5318" i="32"/>
  <c r="H5319" i="32"/>
  <c r="H5320" i="32"/>
  <c r="H5321" i="32"/>
  <c r="H5322" i="32"/>
  <c r="H5323" i="32"/>
  <c r="H5324" i="32"/>
  <c r="H5325" i="32"/>
  <c r="H5326" i="32"/>
  <c r="H5327" i="32"/>
  <c r="H5328" i="32"/>
  <c r="H5329" i="32"/>
  <c r="H5330" i="32"/>
  <c r="H5331" i="32"/>
  <c r="H5332" i="32"/>
  <c r="H5333" i="32"/>
  <c r="H5334" i="32"/>
  <c r="H5335" i="32"/>
  <c r="H5336" i="32"/>
  <c r="H5337" i="32"/>
  <c r="H5338" i="32"/>
  <c r="H5339" i="32"/>
  <c r="H5340" i="32"/>
  <c r="H5341" i="32"/>
  <c r="H5342" i="32"/>
  <c r="H5343" i="32"/>
  <c r="H5344" i="32"/>
  <c r="H5345" i="32"/>
  <c r="H5346" i="32"/>
  <c r="H5347" i="32"/>
  <c r="H5348" i="32"/>
  <c r="H5349" i="32"/>
  <c r="H5350" i="32"/>
  <c r="H5351" i="32"/>
  <c r="H5352" i="32"/>
  <c r="H5353" i="32"/>
  <c r="H5354" i="32"/>
  <c r="H5355" i="32"/>
  <c r="H5356" i="32"/>
  <c r="H5357" i="32"/>
  <c r="H5358" i="32"/>
  <c r="H5359" i="32"/>
  <c r="H5360" i="32"/>
  <c r="H5361" i="32"/>
  <c r="H5362" i="32"/>
  <c r="H5363" i="32"/>
  <c r="H5364" i="32"/>
  <c r="H5365" i="32"/>
  <c r="H5366" i="32"/>
  <c r="H5367" i="32"/>
  <c r="H5368" i="32"/>
  <c r="H5369" i="32"/>
  <c r="H5370" i="32"/>
  <c r="H5371" i="32"/>
  <c r="H5372" i="32"/>
  <c r="H5373" i="32"/>
  <c r="H5374" i="32"/>
  <c r="H5375" i="32"/>
  <c r="H5376" i="32"/>
  <c r="H5377" i="32"/>
  <c r="H5378" i="32"/>
  <c r="H5379" i="32"/>
  <c r="H5380" i="32"/>
  <c r="H5381" i="32"/>
  <c r="H5382" i="32"/>
  <c r="H5383" i="32"/>
  <c r="H5384" i="32"/>
  <c r="H5385" i="32"/>
  <c r="H5386" i="32"/>
  <c r="H5387" i="32"/>
  <c r="H5388" i="32"/>
  <c r="H5389" i="32"/>
  <c r="H5390" i="32"/>
  <c r="H5391" i="32"/>
  <c r="H5392" i="32"/>
  <c r="H5393" i="32"/>
  <c r="H5394" i="32"/>
  <c r="H5395" i="32"/>
  <c r="H5396" i="32"/>
  <c r="H5397" i="32"/>
  <c r="H5398" i="32"/>
  <c r="H5399" i="32"/>
  <c r="H5400" i="32"/>
  <c r="H5401" i="32"/>
  <c r="H5402" i="32"/>
  <c r="H5403" i="32"/>
  <c r="H5404" i="32"/>
  <c r="H5405" i="32"/>
  <c r="H5406" i="32"/>
  <c r="H5407" i="32"/>
  <c r="H5408" i="32"/>
  <c r="H5409" i="32"/>
  <c r="H5410" i="32"/>
  <c r="H5411" i="32"/>
  <c r="H5412" i="32"/>
  <c r="H5413" i="32"/>
  <c r="H5414" i="32"/>
  <c r="H5415" i="32"/>
  <c r="H5416" i="32"/>
  <c r="H5417" i="32"/>
  <c r="H5418" i="32"/>
  <c r="H5419" i="32"/>
  <c r="H5420" i="32"/>
  <c r="H5421" i="32"/>
  <c r="H5422" i="32"/>
  <c r="H5423" i="32"/>
  <c r="H5424" i="32"/>
  <c r="H5425" i="32"/>
  <c r="H5426" i="32"/>
  <c r="H5427" i="32"/>
  <c r="H5428" i="32"/>
  <c r="H5429" i="32"/>
  <c r="H5430" i="32"/>
  <c r="H5431" i="32"/>
  <c r="H5432" i="32"/>
  <c r="H5433" i="32"/>
  <c r="H5434" i="32"/>
  <c r="H5435" i="32"/>
  <c r="H5436" i="32"/>
  <c r="H5437" i="32"/>
  <c r="H5438" i="32"/>
  <c r="H5439" i="32"/>
  <c r="H5440" i="32"/>
  <c r="H5441" i="32"/>
  <c r="H5442" i="32"/>
  <c r="H5443" i="32"/>
  <c r="H5444" i="32"/>
  <c r="H5445" i="32"/>
  <c r="H5446" i="32"/>
  <c r="H5447" i="32"/>
  <c r="H5448" i="32"/>
  <c r="H5449" i="32"/>
  <c r="H5450" i="32"/>
  <c r="H5451" i="32"/>
  <c r="H5452" i="32"/>
  <c r="H5453" i="32"/>
  <c r="H5454" i="32"/>
  <c r="H5455" i="32"/>
  <c r="H5456" i="32"/>
  <c r="H5457" i="32"/>
  <c r="H5458" i="32"/>
  <c r="H5459" i="32"/>
  <c r="H5460" i="32"/>
  <c r="H5461" i="32"/>
  <c r="H5462" i="32"/>
  <c r="H5463" i="32"/>
  <c r="H5464" i="32"/>
  <c r="H5465" i="32"/>
  <c r="H5466" i="32"/>
  <c r="H5467" i="32"/>
  <c r="H5468" i="32"/>
  <c r="H5469" i="32"/>
  <c r="H5470" i="32"/>
  <c r="H5471" i="32"/>
  <c r="H5472" i="32"/>
  <c r="H5473" i="32"/>
  <c r="H5474" i="32"/>
  <c r="H5475" i="32"/>
  <c r="H5476" i="32"/>
  <c r="H5477" i="32"/>
  <c r="H5478" i="32"/>
  <c r="H5479" i="32"/>
  <c r="H5480" i="32"/>
  <c r="H5481" i="32"/>
  <c r="H5482" i="32"/>
  <c r="H5483" i="32"/>
  <c r="H5484" i="32"/>
  <c r="H5485" i="32"/>
  <c r="H5486" i="32"/>
  <c r="H5487" i="32"/>
  <c r="H5488" i="32"/>
  <c r="H5489" i="32"/>
  <c r="H5490" i="32"/>
  <c r="H5491" i="32"/>
  <c r="H5492" i="32"/>
  <c r="H5493" i="32"/>
  <c r="H5494" i="32"/>
  <c r="H5495" i="32"/>
  <c r="H5496" i="32"/>
  <c r="H5497" i="32"/>
  <c r="H5498" i="32"/>
  <c r="H5499" i="32"/>
  <c r="H5500" i="32"/>
  <c r="H5501" i="32"/>
  <c r="H5502" i="32"/>
  <c r="H5503" i="32"/>
  <c r="H5504" i="32"/>
  <c r="H5505" i="32"/>
  <c r="H5506" i="32"/>
  <c r="H5507" i="32"/>
  <c r="H5508" i="32"/>
  <c r="H5509" i="32"/>
  <c r="H5510" i="32"/>
  <c r="H5511" i="32"/>
  <c r="H5512" i="32"/>
  <c r="H5513" i="32"/>
  <c r="H5514" i="32"/>
  <c r="H5515" i="32"/>
  <c r="H5516" i="32"/>
  <c r="H5517" i="32"/>
  <c r="H5518" i="32"/>
  <c r="H5519" i="32"/>
  <c r="H5520" i="32"/>
  <c r="H5521" i="32"/>
  <c r="H5522" i="32"/>
  <c r="H5523" i="32"/>
  <c r="H5524" i="32"/>
  <c r="H5525" i="32"/>
  <c r="H5526" i="32"/>
  <c r="H5527" i="32"/>
  <c r="H5528" i="32"/>
  <c r="H5529" i="32"/>
  <c r="H5530" i="32"/>
  <c r="H5531" i="32"/>
  <c r="H5532" i="32"/>
  <c r="H5533" i="32"/>
  <c r="H5534" i="32"/>
  <c r="H5535" i="32"/>
  <c r="H5536" i="32"/>
  <c r="H5537" i="32"/>
  <c r="H5538" i="32"/>
  <c r="H5539" i="32"/>
  <c r="H5540" i="32"/>
  <c r="H5541" i="32"/>
  <c r="H5542" i="32"/>
  <c r="H5543" i="32"/>
  <c r="H5544" i="32"/>
  <c r="H5545" i="32"/>
  <c r="H5546" i="32"/>
  <c r="H5547" i="32"/>
  <c r="H5548" i="32"/>
  <c r="H5549" i="32"/>
  <c r="H5550" i="32"/>
  <c r="H5551" i="32"/>
  <c r="H5552" i="32"/>
  <c r="H5553" i="32"/>
  <c r="H5554" i="32"/>
  <c r="H5555" i="32"/>
  <c r="H5556" i="32"/>
  <c r="H5557" i="32"/>
  <c r="H5558" i="32"/>
  <c r="H5559" i="32"/>
  <c r="H5560" i="32"/>
  <c r="H5561" i="32"/>
  <c r="H5562" i="32"/>
  <c r="H5563" i="32"/>
  <c r="H5564" i="32"/>
  <c r="H5565" i="32"/>
  <c r="H5566" i="32"/>
  <c r="H5567" i="32"/>
  <c r="H5568" i="32"/>
  <c r="H5569" i="32"/>
  <c r="H5570" i="32"/>
  <c r="H5571" i="32"/>
  <c r="H5572" i="32"/>
  <c r="H5573" i="32"/>
  <c r="H5574" i="32"/>
  <c r="H5575" i="32"/>
  <c r="H5576" i="32"/>
  <c r="H5577" i="32"/>
  <c r="H5578" i="32"/>
  <c r="H5579" i="32"/>
  <c r="H5580" i="32"/>
  <c r="H5581" i="32"/>
  <c r="H5582" i="32"/>
  <c r="H5583" i="32"/>
  <c r="H5584" i="32"/>
  <c r="H5585" i="32"/>
  <c r="H5586" i="32"/>
  <c r="H5587" i="32"/>
  <c r="H5588" i="32"/>
  <c r="H5589" i="32"/>
  <c r="H5590" i="32"/>
  <c r="H5591" i="32"/>
  <c r="H5592" i="32"/>
  <c r="H5593" i="32"/>
  <c r="H5594" i="32"/>
  <c r="H5595" i="32"/>
  <c r="H5596" i="32"/>
  <c r="H5597" i="32"/>
  <c r="H5598" i="32"/>
  <c r="H5599" i="32"/>
  <c r="H5600" i="32"/>
  <c r="H5601" i="32"/>
  <c r="H5602" i="32"/>
  <c r="H5603" i="32"/>
  <c r="H5604" i="32"/>
  <c r="H5605" i="32"/>
  <c r="H5606" i="32"/>
  <c r="H5607" i="32"/>
  <c r="H5608" i="32"/>
  <c r="H5609" i="32"/>
  <c r="H5610" i="32"/>
  <c r="H5611" i="32"/>
  <c r="H5612" i="32"/>
  <c r="H5613" i="32"/>
  <c r="H5614" i="32"/>
  <c r="H5615" i="32"/>
  <c r="H5616" i="32"/>
  <c r="H5617" i="32"/>
  <c r="H5618" i="32"/>
  <c r="H5619" i="32"/>
  <c r="H5620" i="32"/>
  <c r="H5621" i="32"/>
  <c r="H5622" i="32"/>
  <c r="H5623" i="32"/>
  <c r="H5624" i="32"/>
  <c r="H5625" i="32"/>
  <c r="H5626" i="32"/>
  <c r="H5627" i="32"/>
  <c r="H5628" i="32"/>
  <c r="H5629" i="32"/>
  <c r="H5630" i="32"/>
  <c r="H5631" i="32"/>
  <c r="H5632" i="32"/>
  <c r="H5633" i="32"/>
  <c r="H5634" i="32"/>
  <c r="H5635" i="32"/>
  <c r="H5636" i="32"/>
  <c r="H5637" i="32"/>
  <c r="H5638" i="32"/>
  <c r="H5639" i="32"/>
  <c r="H5640" i="32"/>
  <c r="H5641" i="32"/>
  <c r="H5642" i="32"/>
  <c r="H5643" i="32"/>
  <c r="H5644" i="32"/>
  <c r="H5645" i="32"/>
  <c r="H5646" i="32"/>
  <c r="H5647" i="32"/>
  <c r="H5648" i="32"/>
  <c r="H5649" i="32"/>
  <c r="H5650" i="32"/>
  <c r="H5651" i="32"/>
  <c r="H5652" i="32"/>
  <c r="H5653" i="32"/>
  <c r="H5654" i="32"/>
  <c r="H5655" i="32"/>
  <c r="H5656" i="32"/>
  <c r="H5657" i="32"/>
  <c r="H5658" i="32"/>
  <c r="H5659" i="32"/>
  <c r="H5660" i="32"/>
  <c r="H5661" i="32"/>
  <c r="H5662" i="32"/>
  <c r="H5663" i="32"/>
  <c r="H5664" i="32"/>
  <c r="H5665" i="32"/>
  <c r="H5666" i="32"/>
  <c r="H5667" i="32"/>
  <c r="H5668" i="32"/>
  <c r="H5669" i="32"/>
  <c r="H5670" i="32"/>
  <c r="H5671" i="32"/>
  <c r="H5672" i="32"/>
  <c r="H5673" i="32"/>
  <c r="H5674" i="32"/>
  <c r="H5675" i="32"/>
  <c r="H5676" i="32"/>
  <c r="H5677" i="32"/>
  <c r="H5678" i="32"/>
  <c r="H5679" i="32"/>
  <c r="H5680" i="32"/>
  <c r="H5681" i="32"/>
  <c r="H5682" i="32"/>
  <c r="H5683" i="32"/>
  <c r="H5684" i="32"/>
  <c r="H5685" i="32"/>
  <c r="H5686" i="32"/>
  <c r="H5687" i="32"/>
  <c r="H5688" i="32"/>
  <c r="H5689" i="32"/>
  <c r="H5690" i="32"/>
  <c r="H5691" i="32"/>
  <c r="H5692" i="32"/>
  <c r="H5693" i="32"/>
  <c r="H5694" i="32"/>
  <c r="H5695" i="32"/>
  <c r="H5696" i="32"/>
  <c r="H5697" i="32"/>
  <c r="H5698" i="32"/>
  <c r="H5699" i="32"/>
  <c r="H5700" i="32"/>
  <c r="H5701" i="32"/>
  <c r="H5702" i="32"/>
  <c r="H5703" i="32"/>
  <c r="H5704" i="32"/>
  <c r="H5705" i="32"/>
  <c r="H5706" i="32"/>
  <c r="H5707" i="32"/>
  <c r="H5708" i="32"/>
  <c r="H5709" i="32"/>
  <c r="H5710" i="32"/>
  <c r="H5711" i="32"/>
  <c r="H5712" i="32"/>
  <c r="H5713" i="32"/>
  <c r="H5714" i="32"/>
  <c r="H5715" i="32"/>
  <c r="H5716" i="32"/>
  <c r="H5717" i="32"/>
  <c r="H5718" i="32"/>
  <c r="H5719" i="32"/>
  <c r="H5720" i="32"/>
  <c r="H5721" i="32"/>
  <c r="H5722" i="32"/>
  <c r="H5723" i="32"/>
  <c r="H5724" i="32"/>
  <c r="H5725" i="32"/>
  <c r="H5726" i="32"/>
  <c r="H5727" i="32"/>
  <c r="H5728" i="32"/>
  <c r="H5729" i="32"/>
  <c r="H5730" i="32"/>
  <c r="H5731" i="32"/>
  <c r="H5732" i="32"/>
  <c r="H5733" i="32"/>
  <c r="H5734" i="32"/>
  <c r="H5735" i="32"/>
  <c r="H5736" i="32"/>
  <c r="H5737" i="32"/>
  <c r="H5738" i="32"/>
  <c r="H5739" i="32"/>
  <c r="H5740" i="32"/>
  <c r="H5741" i="32"/>
  <c r="H5742" i="32"/>
  <c r="H5743" i="32"/>
  <c r="H5744" i="32"/>
  <c r="H5745" i="32"/>
  <c r="H5746" i="32"/>
  <c r="H5747" i="32"/>
  <c r="H5748" i="32"/>
  <c r="H5749" i="32"/>
  <c r="H5750" i="32"/>
  <c r="H5751" i="32"/>
  <c r="H5752" i="32"/>
  <c r="H5753" i="32"/>
  <c r="H5754" i="32"/>
  <c r="H5755" i="32"/>
  <c r="H5756" i="32"/>
  <c r="H5757" i="32"/>
  <c r="H5758" i="32"/>
  <c r="H5759" i="32"/>
  <c r="H5760" i="32"/>
  <c r="H5761" i="32"/>
  <c r="H5762" i="32"/>
  <c r="H5763" i="32"/>
  <c r="H5764" i="32"/>
  <c r="H5765" i="32"/>
  <c r="H5766" i="32"/>
  <c r="H5767" i="32"/>
  <c r="H5768" i="32"/>
  <c r="H5769" i="32"/>
  <c r="H5770" i="32"/>
  <c r="H5771" i="32"/>
  <c r="H5772" i="32"/>
  <c r="H5773" i="32"/>
  <c r="H5774" i="32"/>
  <c r="H5775" i="32"/>
  <c r="H5776" i="32"/>
  <c r="H5777" i="32"/>
  <c r="H5778" i="32"/>
  <c r="H5779" i="32"/>
  <c r="H5780" i="32"/>
  <c r="H5781" i="32"/>
  <c r="H5782" i="32"/>
  <c r="H5783" i="32"/>
  <c r="H5784" i="32"/>
  <c r="H5785" i="32"/>
  <c r="H5786" i="32"/>
  <c r="H5787" i="32"/>
  <c r="H5788" i="32"/>
  <c r="H5789" i="32"/>
  <c r="H5790" i="32"/>
  <c r="H5791" i="32"/>
  <c r="H5792" i="32"/>
  <c r="H5793" i="32"/>
  <c r="H5794" i="32"/>
  <c r="H5795" i="32"/>
  <c r="H5796" i="32"/>
  <c r="H5797" i="32"/>
  <c r="H5798" i="32"/>
  <c r="H5799" i="32"/>
  <c r="H5800" i="32"/>
  <c r="H5801" i="32"/>
  <c r="H5802" i="32"/>
  <c r="H5803" i="32"/>
  <c r="H5804" i="32"/>
  <c r="H5805" i="32"/>
  <c r="H5806" i="32"/>
  <c r="H5807" i="32"/>
  <c r="H5808" i="32"/>
  <c r="H5809" i="32"/>
  <c r="H5810" i="32"/>
  <c r="H5811" i="32"/>
  <c r="H5812" i="32"/>
  <c r="H5813" i="32"/>
  <c r="H5814" i="32"/>
  <c r="H5815" i="32"/>
  <c r="H5816" i="32"/>
  <c r="H5817" i="32"/>
  <c r="H5818" i="32"/>
  <c r="H5819" i="32"/>
  <c r="H5820" i="32"/>
  <c r="H5821" i="32"/>
  <c r="H5822" i="32"/>
  <c r="H5823" i="32"/>
  <c r="H5824" i="32"/>
  <c r="H5825" i="32"/>
  <c r="H5826" i="32"/>
  <c r="H5827" i="32"/>
  <c r="H5828" i="32"/>
  <c r="H5829" i="32"/>
  <c r="H5830" i="32"/>
  <c r="H5831" i="32"/>
  <c r="H5832" i="32"/>
  <c r="H5833" i="32"/>
  <c r="H5834" i="32"/>
  <c r="H5835" i="32"/>
  <c r="J410" i="32"/>
  <c r="K410" i="32" s="1"/>
  <c r="J411" i="32"/>
  <c r="K411" i="32" s="1"/>
  <c r="J412" i="32"/>
  <c r="K412" i="32" s="1"/>
  <c r="J413" i="32"/>
  <c r="K413" i="32" s="1"/>
  <c r="J414" i="32"/>
  <c r="K414" i="32" s="1"/>
  <c r="J415" i="32"/>
  <c r="K415" i="32" s="1"/>
  <c r="J416" i="32"/>
  <c r="K416" i="32" s="1"/>
  <c r="J417" i="32"/>
  <c r="K417" i="32" s="1"/>
  <c r="J418" i="32"/>
  <c r="K418" i="32" s="1"/>
  <c r="J419" i="32"/>
  <c r="K419" i="32" s="1"/>
  <c r="J420" i="32"/>
  <c r="K420" i="32" s="1"/>
  <c r="J421" i="32"/>
  <c r="K421" i="32" s="1"/>
  <c r="J422" i="32"/>
  <c r="K422" i="32" s="1"/>
  <c r="J423" i="32"/>
  <c r="K423" i="32" s="1"/>
  <c r="J424" i="32"/>
  <c r="K424" i="32" s="1"/>
  <c r="J425" i="32"/>
  <c r="K425" i="32" s="1"/>
  <c r="J426" i="32"/>
  <c r="K426" i="32" s="1"/>
  <c r="J427" i="32"/>
  <c r="K427" i="32" s="1"/>
  <c r="J428" i="32"/>
  <c r="K428" i="32" s="1"/>
  <c r="J429" i="32"/>
  <c r="K429" i="32" s="1"/>
  <c r="J430" i="32"/>
  <c r="K430" i="32" s="1"/>
  <c r="J431" i="32"/>
  <c r="K431" i="32" s="1"/>
  <c r="J432" i="32"/>
  <c r="K432" i="32" s="1"/>
  <c r="J433" i="32"/>
  <c r="K433" i="32" s="1"/>
  <c r="J434" i="32"/>
  <c r="K434" i="32" s="1"/>
  <c r="J435" i="32"/>
  <c r="K435" i="32" s="1"/>
  <c r="J436" i="32"/>
  <c r="K436" i="32" s="1"/>
  <c r="J437" i="32"/>
  <c r="K437" i="32" s="1"/>
  <c r="J438" i="32"/>
  <c r="K438" i="32" s="1"/>
  <c r="J439" i="32"/>
  <c r="K439" i="32" s="1"/>
  <c r="J440" i="32"/>
  <c r="K440" i="32" s="1"/>
  <c r="J441" i="32"/>
  <c r="K441" i="32" s="1"/>
  <c r="J442" i="32"/>
  <c r="K442" i="32" s="1"/>
  <c r="J443" i="32"/>
  <c r="K443" i="32" s="1"/>
  <c r="J444" i="32"/>
  <c r="K444" i="32" s="1"/>
  <c r="J445" i="32"/>
  <c r="K445" i="32" s="1"/>
  <c r="J446" i="32"/>
  <c r="K446" i="32" s="1"/>
  <c r="J447" i="32"/>
  <c r="K447" i="32" s="1"/>
  <c r="J448" i="32"/>
  <c r="K448" i="32" s="1"/>
  <c r="J449" i="32"/>
  <c r="K449" i="32" s="1"/>
  <c r="J450" i="32"/>
  <c r="K450" i="32" s="1"/>
  <c r="J451" i="32"/>
  <c r="K451" i="32" s="1"/>
  <c r="J452" i="32"/>
  <c r="K452" i="32" s="1"/>
  <c r="J453" i="32"/>
  <c r="K453" i="32" s="1"/>
  <c r="J454" i="32"/>
  <c r="K454" i="32" s="1"/>
  <c r="J455" i="32"/>
  <c r="K455" i="32" s="1"/>
  <c r="J456" i="32"/>
  <c r="K456" i="32" s="1"/>
  <c r="J457" i="32"/>
  <c r="K457" i="32" s="1"/>
  <c r="J458" i="32"/>
  <c r="K458" i="32" s="1"/>
  <c r="J459" i="32"/>
  <c r="K459" i="32" s="1"/>
  <c r="J460" i="32"/>
  <c r="K460" i="32" s="1"/>
  <c r="J461" i="32"/>
  <c r="K461" i="32" s="1"/>
  <c r="J462" i="32"/>
  <c r="K462" i="32" s="1"/>
  <c r="J463" i="32"/>
  <c r="K463" i="32" s="1"/>
  <c r="J464" i="32"/>
  <c r="K464" i="32" s="1"/>
  <c r="J465" i="32"/>
  <c r="K465" i="32" s="1"/>
  <c r="J466" i="32"/>
  <c r="K466" i="32" s="1"/>
  <c r="J467" i="32"/>
  <c r="K467" i="32" s="1"/>
  <c r="J468" i="32"/>
  <c r="K468" i="32" s="1"/>
  <c r="J469" i="32"/>
  <c r="K469" i="32" s="1"/>
  <c r="J470" i="32"/>
  <c r="K470" i="32" s="1"/>
  <c r="J471" i="32"/>
  <c r="K471" i="32" s="1"/>
  <c r="J472" i="32"/>
  <c r="K472" i="32" s="1"/>
  <c r="J473" i="32"/>
  <c r="K473" i="32" s="1"/>
  <c r="J474" i="32"/>
  <c r="K474" i="32" s="1"/>
  <c r="J475" i="32"/>
  <c r="K475" i="32" s="1"/>
  <c r="J476" i="32"/>
  <c r="K476" i="32" s="1"/>
  <c r="J477" i="32"/>
  <c r="K477" i="32" s="1"/>
  <c r="J478" i="32"/>
  <c r="K478" i="32" s="1"/>
  <c r="J479" i="32"/>
  <c r="K479" i="32" s="1"/>
  <c r="J480" i="32"/>
  <c r="K480" i="32" s="1"/>
  <c r="J481" i="32"/>
  <c r="K481" i="32" s="1"/>
  <c r="J482" i="32"/>
  <c r="K482" i="32" s="1"/>
  <c r="J483" i="32"/>
  <c r="K483" i="32" s="1"/>
  <c r="J484" i="32"/>
  <c r="K484" i="32" s="1"/>
  <c r="J485" i="32"/>
  <c r="K485" i="32" s="1"/>
  <c r="J486" i="32"/>
  <c r="K486" i="32" s="1"/>
  <c r="J487" i="32"/>
  <c r="K487" i="32" s="1"/>
  <c r="J488" i="32"/>
  <c r="K488" i="32" s="1"/>
  <c r="J489" i="32"/>
  <c r="K489" i="32" s="1"/>
  <c r="J490" i="32"/>
  <c r="K490" i="32" s="1"/>
  <c r="J491" i="32"/>
  <c r="K491" i="32" s="1"/>
  <c r="J492" i="32"/>
  <c r="K492" i="32" s="1"/>
  <c r="J493" i="32"/>
  <c r="K493" i="32" s="1"/>
  <c r="J494" i="32"/>
  <c r="K494" i="32" s="1"/>
  <c r="J495" i="32"/>
  <c r="K495" i="32" s="1"/>
  <c r="J496" i="32"/>
  <c r="K496" i="32" s="1"/>
  <c r="J497" i="32"/>
  <c r="K497" i="32" s="1"/>
  <c r="J498" i="32"/>
  <c r="K498" i="32" s="1"/>
  <c r="J499" i="32"/>
  <c r="K499" i="32" s="1"/>
  <c r="J500" i="32"/>
  <c r="K500" i="32" s="1"/>
  <c r="J501" i="32"/>
  <c r="K501" i="32" s="1"/>
  <c r="J502" i="32"/>
  <c r="K502" i="32" s="1"/>
  <c r="J503" i="32"/>
  <c r="K503" i="32" s="1"/>
  <c r="J504" i="32"/>
  <c r="K504" i="32" s="1"/>
  <c r="J505" i="32"/>
  <c r="K505" i="32" s="1"/>
  <c r="J506" i="32"/>
  <c r="K506" i="32" s="1"/>
  <c r="J507" i="32"/>
  <c r="K507" i="32" s="1"/>
  <c r="J508" i="32"/>
  <c r="K508" i="32" s="1"/>
  <c r="J509" i="32"/>
  <c r="K509" i="32" s="1"/>
  <c r="J510" i="32"/>
  <c r="K510" i="32" s="1"/>
  <c r="J511" i="32"/>
  <c r="K511" i="32" s="1"/>
  <c r="J512" i="32"/>
  <c r="K512" i="32" s="1"/>
  <c r="J513" i="32"/>
  <c r="K513" i="32" s="1"/>
  <c r="J514" i="32"/>
  <c r="K514" i="32" s="1"/>
  <c r="J515" i="32"/>
  <c r="K515" i="32" s="1"/>
  <c r="J516" i="32"/>
  <c r="K516" i="32" s="1"/>
  <c r="J517" i="32"/>
  <c r="K517" i="32" s="1"/>
  <c r="J518" i="32"/>
  <c r="K518" i="32" s="1"/>
  <c r="J519" i="32"/>
  <c r="K519" i="32" s="1"/>
  <c r="J520" i="32"/>
  <c r="K520" i="32" s="1"/>
  <c r="J521" i="32"/>
  <c r="K521" i="32" s="1"/>
  <c r="J522" i="32"/>
  <c r="K522" i="32" s="1"/>
  <c r="J523" i="32"/>
  <c r="K523" i="32" s="1"/>
  <c r="J524" i="32"/>
  <c r="K524" i="32" s="1"/>
  <c r="J525" i="32"/>
  <c r="K525" i="32" s="1"/>
  <c r="J526" i="32"/>
  <c r="K526" i="32" s="1"/>
  <c r="J527" i="32"/>
  <c r="K527" i="32" s="1"/>
  <c r="J528" i="32"/>
  <c r="K528" i="32" s="1"/>
  <c r="J529" i="32"/>
  <c r="K529" i="32" s="1"/>
  <c r="J530" i="32"/>
  <c r="K530" i="32" s="1"/>
  <c r="J531" i="32"/>
  <c r="K531" i="32" s="1"/>
  <c r="J532" i="32"/>
  <c r="K532" i="32" s="1"/>
  <c r="J533" i="32"/>
  <c r="K533" i="32" s="1"/>
  <c r="J534" i="32"/>
  <c r="K534" i="32" s="1"/>
  <c r="J535" i="32"/>
  <c r="K535" i="32" s="1"/>
  <c r="J536" i="32"/>
  <c r="K536" i="32" s="1"/>
  <c r="J537" i="32"/>
  <c r="K537" i="32" s="1"/>
  <c r="J538" i="32"/>
  <c r="K538" i="32" s="1"/>
  <c r="J539" i="32"/>
  <c r="K539" i="32" s="1"/>
  <c r="J540" i="32"/>
  <c r="K540" i="32" s="1"/>
  <c r="J541" i="32"/>
  <c r="K541" i="32" s="1"/>
  <c r="J542" i="32"/>
  <c r="K542" i="32" s="1"/>
  <c r="J543" i="32"/>
  <c r="K543" i="32" s="1"/>
  <c r="J544" i="32"/>
  <c r="K544" i="32" s="1"/>
  <c r="J545" i="32"/>
  <c r="K545" i="32" s="1"/>
  <c r="J546" i="32"/>
  <c r="K546" i="32" s="1"/>
  <c r="J547" i="32"/>
  <c r="K547" i="32" s="1"/>
  <c r="J548" i="32"/>
  <c r="K548" i="32" s="1"/>
  <c r="J549" i="32"/>
  <c r="K549" i="32" s="1"/>
  <c r="J550" i="32"/>
  <c r="K550" i="32" s="1"/>
  <c r="J551" i="32"/>
  <c r="K551" i="32" s="1"/>
  <c r="J552" i="32"/>
  <c r="K552" i="32" s="1"/>
  <c r="J553" i="32"/>
  <c r="K553" i="32" s="1"/>
  <c r="J554" i="32"/>
  <c r="K554" i="32" s="1"/>
  <c r="J555" i="32"/>
  <c r="K555" i="32" s="1"/>
  <c r="J556" i="32"/>
  <c r="K556" i="32" s="1"/>
  <c r="J557" i="32"/>
  <c r="K557" i="32" s="1"/>
  <c r="J558" i="32"/>
  <c r="K558" i="32" s="1"/>
  <c r="J559" i="32"/>
  <c r="K559" i="32" s="1"/>
  <c r="J560" i="32"/>
  <c r="K560" i="32" s="1"/>
  <c r="J561" i="32"/>
  <c r="K561" i="32" s="1"/>
  <c r="J562" i="32"/>
  <c r="K562" i="32" s="1"/>
  <c r="J563" i="32"/>
  <c r="K563" i="32" s="1"/>
  <c r="J564" i="32"/>
  <c r="K564" i="32" s="1"/>
  <c r="J565" i="32"/>
  <c r="K565" i="32" s="1"/>
  <c r="J566" i="32"/>
  <c r="K566" i="32" s="1"/>
  <c r="J567" i="32"/>
  <c r="K567" i="32" s="1"/>
  <c r="J568" i="32"/>
  <c r="K568" i="32" s="1"/>
  <c r="J569" i="32"/>
  <c r="K569" i="32" s="1"/>
  <c r="J570" i="32"/>
  <c r="K570" i="32" s="1"/>
  <c r="J571" i="32"/>
  <c r="K571" i="32" s="1"/>
  <c r="J572" i="32"/>
  <c r="K572" i="32" s="1"/>
  <c r="J573" i="32"/>
  <c r="K573" i="32" s="1"/>
  <c r="J574" i="32"/>
  <c r="K574" i="32" s="1"/>
  <c r="J575" i="32"/>
  <c r="K575" i="32" s="1"/>
  <c r="J576" i="32"/>
  <c r="K576" i="32" s="1"/>
  <c r="J577" i="32"/>
  <c r="K577" i="32" s="1"/>
  <c r="J578" i="32"/>
  <c r="K578" i="32" s="1"/>
  <c r="J579" i="32"/>
  <c r="K579" i="32" s="1"/>
  <c r="J580" i="32"/>
  <c r="K580" i="32" s="1"/>
  <c r="J581" i="32"/>
  <c r="K581" i="32" s="1"/>
  <c r="J582" i="32"/>
  <c r="K582" i="32" s="1"/>
  <c r="J583" i="32"/>
  <c r="K583" i="32" s="1"/>
  <c r="J584" i="32"/>
  <c r="K584" i="32" s="1"/>
  <c r="J585" i="32"/>
  <c r="K585" i="32" s="1"/>
  <c r="J586" i="32"/>
  <c r="K586" i="32" s="1"/>
  <c r="J587" i="32"/>
  <c r="K587" i="32" s="1"/>
  <c r="J588" i="32"/>
  <c r="K588" i="32" s="1"/>
  <c r="J589" i="32"/>
  <c r="K589" i="32" s="1"/>
  <c r="J590" i="32"/>
  <c r="K590" i="32" s="1"/>
  <c r="J591" i="32"/>
  <c r="K591" i="32" s="1"/>
  <c r="J592" i="32"/>
  <c r="K592" i="32" s="1"/>
  <c r="J593" i="32"/>
  <c r="K593" i="32" s="1"/>
  <c r="J594" i="32"/>
  <c r="K594" i="32" s="1"/>
  <c r="J595" i="32"/>
  <c r="K595" i="32" s="1"/>
  <c r="J596" i="32"/>
  <c r="K596" i="32" s="1"/>
  <c r="J597" i="32"/>
  <c r="K597" i="32" s="1"/>
  <c r="J598" i="32"/>
  <c r="K598" i="32" s="1"/>
  <c r="J599" i="32"/>
  <c r="K599" i="32" s="1"/>
  <c r="J600" i="32"/>
  <c r="K600" i="32" s="1"/>
  <c r="J601" i="32"/>
  <c r="K601" i="32" s="1"/>
  <c r="J602" i="32"/>
  <c r="K602" i="32" s="1"/>
  <c r="J603" i="32"/>
  <c r="K603" i="32" s="1"/>
  <c r="J604" i="32"/>
  <c r="K604" i="32" s="1"/>
  <c r="J605" i="32"/>
  <c r="K605" i="32" s="1"/>
  <c r="J606" i="32"/>
  <c r="K606" i="32" s="1"/>
  <c r="J607" i="32"/>
  <c r="K607" i="32" s="1"/>
  <c r="J608" i="32"/>
  <c r="K608" i="32" s="1"/>
  <c r="J609" i="32"/>
  <c r="K609" i="32" s="1"/>
  <c r="J610" i="32"/>
  <c r="K610" i="32" s="1"/>
  <c r="J611" i="32"/>
  <c r="K611" i="32" s="1"/>
  <c r="J612" i="32"/>
  <c r="K612" i="32" s="1"/>
  <c r="J613" i="32"/>
  <c r="K613" i="32" s="1"/>
  <c r="J614" i="32"/>
  <c r="K614" i="32" s="1"/>
  <c r="J615" i="32"/>
  <c r="K615" i="32" s="1"/>
  <c r="J616" i="32"/>
  <c r="K616" i="32" s="1"/>
  <c r="J617" i="32"/>
  <c r="K617" i="32" s="1"/>
  <c r="J618" i="32"/>
  <c r="K618" i="32" s="1"/>
  <c r="J619" i="32"/>
  <c r="K619" i="32" s="1"/>
  <c r="J620" i="32"/>
  <c r="K620" i="32" s="1"/>
  <c r="J621" i="32"/>
  <c r="K621" i="32" s="1"/>
  <c r="J622" i="32"/>
  <c r="K622" i="32" s="1"/>
  <c r="J623" i="32"/>
  <c r="K623" i="32" s="1"/>
  <c r="J624" i="32"/>
  <c r="K624" i="32" s="1"/>
  <c r="J625" i="32"/>
  <c r="K625" i="32" s="1"/>
  <c r="J626" i="32"/>
  <c r="K626" i="32" s="1"/>
  <c r="J627" i="32"/>
  <c r="K627" i="32" s="1"/>
  <c r="J628" i="32"/>
  <c r="K628" i="32" s="1"/>
  <c r="J629" i="32"/>
  <c r="K629" i="32" s="1"/>
  <c r="J630" i="32"/>
  <c r="K630" i="32" s="1"/>
  <c r="J631" i="32"/>
  <c r="K631" i="32" s="1"/>
  <c r="J632" i="32"/>
  <c r="K632" i="32" s="1"/>
  <c r="J633" i="32"/>
  <c r="K633" i="32" s="1"/>
  <c r="J634" i="32"/>
  <c r="K634" i="32" s="1"/>
  <c r="J635" i="32"/>
  <c r="K635" i="32" s="1"/>
  <c r="J636" i="32"/>
  <c r="K636" i="32" s="1"/>
  <c r="J637" i="32"/>
  <c r="K637" i="32" s="1"/>
  <c r="J638" i="32"/>
  <c r="K638" i="32" s="1"/>
  <c r="J639" i="32"/>
  <c r="K639" i="32" s="1"/>
  <c r="J640" i="32"/>
  <c r="K640" i="32" s="1"/>
  <c r="J641" i="32"/>
  <c r="K641" i="32" s="1"/>
  <c r="J642" i="32"/>
  <c r="K642" i="32" s="1"/>
  <c r="J643" i="32"/>
  <c r="K643" i="32" s="1"/>
  <c r="J644" i="32"/>
  <c r="K644" i="32" s="1"/>
  <c r="J645" i="32"/>
  <c r="K645" i="32" s="1"/>
  <c r="J646" i="32"/>
  <c r="K646" i="32" s="1"/>
  <c r="J647" i="32"/>
  <c r="K647" i="32" s="1"/>
  <c r="J648" i="32"/>
  <c r="K648" i="32" s="1"/>
  <c r="J649" i="32"/>
  <c r="K649" i="32" s="1"/>
  <c r="J650" i="32"/>
  <c r="K650" i="32" s="1"/>
  <c r="J651" i="32"/>
  <c r="K651" i="32" s="1"/>
  <c r="J652" i="32"/>
  <c r="K652" i="32" s="1"/>
  <c r="J653" i="32"/>
  <c r="K653" i="32" s="1"/>
  <c r="J654" i="32"/>
  <c r="K654" i="32" s="1"/>
  <c r="J655" i="32"/>
  <c r="K655" i="32" s="1"/>
  <c r="J656" i="32"/>
  <c r="K656" i="32" s="1"/>
  <c r="J657" i="32"/>
  <c r="K657" i="32" s="1"/>
  <c r="J658" i="32"/>
  <c r="K658" i="32" s="1"/>
  <c r="J659" i="32"/>
  <c r="K659" i="32" s="1"/>
  <c r="J660" i="32"/>
  <c r="K660" i="32" s="1"/>
  <c r="J661" i="32"/>
  <c r="K661" i="32" s="1"/>
  <c r="J662" i="32"/>
  <c r="K662" i="32" s="1"/>
  <c r="J663" i="32"/>
  <c r="K663" i="32" s="1"/>
  <c r="J664" i="32"/>
  <c r="K664" i="32" s="1"/>
  <c r="J665" i="32"/>
  <c r="K665" i="32" s="1"/>
  <c r="J666" i="32"/>
  <c r="K666" i="32" s="1"/>
  <c r="J667" i="32"/>
  <c r="K667" i="32" s="1"/>
  <c r="J668" i="32"/>
  <c r="K668" i="32" s="1"/>
  <c r="J669" i="32"/>
  <c r="K669" i="32" s="1"/>
  <c r="J670" i="32"/>
  <c r="K670" i="32" s="1"/>
  <c r="J671" i="32"/>
  <c r="K671" i="32" s="1"/>
  <c r="J672" i="32"/>
  <c r="K672" i="32" s="1"/>
  <c r="J673" i="32"/>
  <c r="K673" i="32" s="1"/>
  <c r="J674" i="32"/>
  <c r="K674" i="32" s="1"/>
  <c r="J675" i="32"/>
  <c r="K675" i="32" s="1"/>
  <c r="J676" i="32"/>
  <c r="K676" i="32" s="1"/>
  <c r="J677" i="32"/>
  <c r="K677" i="32" s="1"/>
  <c r="J678" i="32"/>
  <c r="K678" i="32" s="1"/>
  <c r="J679" i="32"/>
  <c r="K679" i="32" s="1"/>
  <c r="J680" i="32"/>
  <c r="K680" i="32" s="1"/>
  <c r="J681" i="32"/>
  <c r="K681" i="32" s="1"/>
  <c r="J682" i="32"/>
  <c r="K682" i="32" s="1"/>
  <c r="J683" i="32"/>
  <c r="K683" i="32" s="1"/>
  <c r="J684" i="32"/>
  <c r="K684" i="32" s="1"/>
  <c r="J685" i="32"/>
  <c r="K685" i="32" s="1"/>
  <c r="J686" i="32"/>
  <c r="K686" i="32" s="1"/>
  <c r="J687" i="32"/>
  <c r="K687" i="32" s="1"/>
  <c r="J688" i="32"/>
  <c r="K688" i="32" s="1"/>
  <c r="J689" i="32"/>
  <c r="K689" i="32" s="1"/>
  <c r="J690" i="32"/>
  <c r="K690" i="32" s="1"/>
  <c r="J691" i="32"/>
  <c r="K691" i="32" s="1"/>
  <c r="J692" i="32"/>
  <c r="K692" i="32" s="1"/>
  <c r="J693" i="32"/>
  <c r="K693" i="32" s="1"/>
  <c r="J694" i="32"/>
  <c r="K694" i="32" s="1"/>
  <c r="J695" i="32"/>
  <c r="K695" i="32" s="1"/>
  <c r="J696" i="32"/>
  <c r="K696" i="32" s="1"/>
  <c r="J697" i="32"/>
  <c r="K697" i="32" s="1"/>
  <c r="J698" i="32"/>
  <c r="K698" i="32" s="1"/>
  <c r="J699" i="32"/>
  <c r="K699" i="32" s="1"/>
  <c r="J700" i="32"/>
  <c r="K700" i="32" s="1"/>
  <c r="J701" i="32"/>
  <c r="K701" i="32" s="1"/>
  <c r="J702" i="32"/>
  <c r="K702" i="32" s="1"/>
  <c r="J703" i="32"/>
  <c r="K703" i="32" s="1"/>
  <c r="J704" i="32"/>
  <c r="K704" i="32" s="1"/>
  <c r="J705" i="32"/>
  <c r="K705" i="32" s="1"/>
  <c r="J706" i="32"/>
  <c r="K706" i="32" s="1"/>
  <c r="J707" i="32"/>
  <c r="K707" i="32" s="1"/>
  <c r="J708" i="32"/>
  <c r="K708" i="32" s="1"/>
  <c r="J709" i="32"/>
  <c r="K709" i="32" s="1"/>
  <c r="J710" i="32"/>
  <c r="K710" i="32" s="1"/>
  <c r="J711" i="32"/>
  <c r="K711" i="32" s="1"/>
  <c r="J712" i="32"/>
  <c r="K712" i="32" s="1"/>
  <c r="J713" i="32"/>
  <c r="K713" i="32" s="1"/>
  <c r="J714" i="32"/>
  <c r="K714" i="32" s="1"/>
  <c r="J715" i="32"/>
  <c r="K715" i="32" s="1"/>
  <c r="J716" i="32"/>
  <c r="K716" i="32" s="1"/>
  <c r="J717" i="32"/>
  <c r="K717" i="32" s="1"/>
  <c r="J718" i="32"/>
  <c r="K718" i="32" s="1"/>
  <c r="J719" i="32"/>
  <c r="K719" i="32" s="1"/>
  <c r="J720" i="32"/>
  <c r="K720" i="32" s="1"/>
  <c r="J721" i="32"/>
  <c r="K721" i="32" s="1"/>
  <c r="J722" i="32"/>
  <c r="K722" i="32" s="1"/>
  <c r="J723" i="32"/>
  <c r="K723" i="32" s="1"/>
  <c r="J724" i="32"/>
  <c r="K724" i="32" s="1"/>
  <c r="J725" i="32"/>
  <c r="K725" i="32" s="1"/>
  <c r="J726" i="32"/>
  <c r="K726" i="32" s="1"/>
  <c r="J727" i="32"/>
  <c r="K727" i="32" s="1"/>
  <c r="J728" i="32"/>
  <c r="K728" i="32" s="1"/>
  <c r="J729" i="32"/>
  <c r="K729" i="32" s="1"/>
  <c r="J730" i="32"/>
  <c r="K730" i="32" s="1"/>
  <c r="J731" i="32"/>
  <c r="K731" i="32" s="1"/>
  <c r="J732" i="32"/>
  <c r="K732" i="32" s="1"/>
  <c r="J733" i="32"/>
  <c r="K733" i="32" s="1"/>
  <c r="J734" i="32"/>
  <c r="K734" i="32" s="1"/>
  <c r="J735" i="32"/>
  <c r="K735" i="32" s="1"/>
  <c r="J736" i="32"/>
  <c r="K736" i="32" s="1"/>
  <c r="J737" i="32"/>
  <c r="K737" i="32" s="1"/>
  <c r="J738" i="32"/>
  <c r="K738" i="32" s="1"/>
  <c r="J739" i="32"/>
  <c r="K739" i="32" s="1"/>
  <c r="J740" i="32"/>
  <c r="K740" i="32" s="1"/>
  <c r="J741" i="32"/>
  <c r="K741" i="32" s="1"/>
  <c r="J742" i="32"/>
  <c r="K742" i="32" s="1"/>
  <c r="J743" i="32"/>
  <c r="K743" i="32" s="1"/>
  <c r="J744" i="32"/>
  <c r="K744" i="32" s="1"/>
  <c r="J745" i="32"/>
  <c r="K745" i="32" s="1"/>
  <c r="J746" i="32"/>
  <c r="K746" i="32" s="1"/>
  <c r="J747" i="32"/>
  <c r="K747" i="32" s="1"/>
  <c r="J748" i="32"/>
  <c r="K748" i="32" s="1"/>
  <c r="J749" i="32"/>
  <c r="K749" i="32" s="1"/>
  <c r="J750" i="32"/>
  <c r="K750" i="32" s="1"/>
  <c r="J751" i="32"/>
  <c r="K751" i="32" s="1"/>
  <c r="J752" i="32"/>
  <c r="K752" i="32" s="1"/>
  <c r="J753" i="32"/>
  <c r="K753" i="32" s="1"/>
  <c r="J754" i="32"/>
  <c r="K754" i="32" s="1"/>
  <c r="J755" i="32"/>
  <c r="K755" i="32" s="1"/>
  <c r="J756" i="32"/>
  <c r="K756" i="32" s="1"/>
  <c r="J757" i="32"/>
  <c r="K757" i="32" s="1"/>
  <c r="J758" i="32"/>
  <c r="K758" i="32" s="1"/>
  <c r="J759" i="32"/>
  <c r="K759" i="32" s="1"/>
  <c r="J760" i="32"/>
  <c r="K760" i="32" s="1"/>
  <c r="J761" i="32"/>
  <c r="K761" i="32" s="1"/>
  <c r="J762" i="32"/>
  <c r="K762" i="32" s="1"/>
  <c r="J763" i="32"/>
  <c r="K763" i="32" s="1"/>
  <c r="J764" i="32"/>
  <c r="K764" i="32" s="1"/>
  <c r="J765" i="32"/>
  <c r="K765" i="32" s="1"/>
  <c r="J766" i="32"/>
  <c r="K766" i="32" s="1"/>
  <c r="J767" i="32"/>
  <c r="K767" i="32" s="1"/>
  <c r="J768" i="32"/>
  <c r="K768" i="32" s="1"/>
  <c r="J769" i="32"/>
  <c r="K769" i="32" s="1"/>
  <c r="J770" i="32"/>
  <c r="K770" i="32" s="1"/>
  <c r="J771" i="32"/>
  <c r="K771" i="32" s="1"/>
  <c r="J772" i="32"/>
  <c r="K772" i="32" s="1"/>
  <c r="J773" i="32"/>
  <c r="K773" i="32" s="1"/>
  <c r="J774" i="32"/>
  <c r="K774" i="32" s="1"/>
  <c r="J775" i="32"/>
  <c r="K775" i="32" s="1"/>
  <c r="J776" i="32"/>
  <c r="K776" i="32" s="1"/>
  <c r="J777" i="32"/>
  <c r="K777" i="32" s="1"/>
  <c r="J778" i="32"/>
  <c r="K778" i="32" s="1"/>
  <c r="J779" i="32"/>
  <c r="K779" i="32" s="1"/>
  <c r="J780" i="32"/>
  <c r="K780" i="32" s="1"/>
  <c r="J781" i="32"/>
  <c r="K781" i="32" s="1"/>
  <c r="J782" i="32"/>
  <c r="K782" i="32" s="1"/>
  <c r="J783" i="32"/>
  <c r="K783" i="32" s="1"/>
  <c r="J784" i="32"/>
  <c r="K784" i="32" s="1"/>
  <c r="J785" i="32"/>
  <c r="K785" i="32" s="1"/>
  <c r="J786" i="32"/>
  <c r="K786" i="32" s="1"/>
  <c r="J787" i="32"/>
  <c r="K787" i="32" s="1"/>
  <c r="J788" i="32"/>
  <c r="K788" i="32" s="1"/>
  <c r="J789" i="32"/>
  <c r="K789" i="32" s="1"/>
  <c r="J790" i="32"/>
  <c r="K790" i="32" s="1"/>
  <c r="J791" i="32"/>
  <c r="K791" i="32" s="1"/>
  <c r="J792" i="32"/>
  <c r="K792" i="32" s="1"/>
  <c r="J793" i="32"/>
  <c r="K793" i="32" s="1"/>
  <c r="J794" i="32"/>
  <c r="K794" i="32" s="1"/>
  <c r="J795" i="32"/>
  <c r="K795" i="32" s="1"/>
  <c r="J796" i="32"/>
  <c r="K796" i="32" s="1"/>
  <c r="J797" i="32"/>
  <c r="K797" i="32" s="1"/>
  <c r="J798" i="32"/>
  <c r="K798" i="32" s="1"/>
  <c r="J799" i="32"/>
  <c r="K799" i="32" s="1"/>
  <c r="J800" i="32"/>
  <c r="K800" i="32" s="1"/>
  <c r="J801" i="32"/>
  <c r="K801" i="32" s="1"/>
  <c r="J802" i="32"/>
  <c r="K802" i="32" s="1"/>
  <c r="J803" i="32"/>
  <c r="K803" i="32" s="1"/>
  <c r="J804" i="32"/>
  <c r="K804" i="32" s="1"/>
  <c r="J805" i="32"/>
  <c r="K805" i="32" s="1"/>
  <c r="J806" i="32"/>
  <c r="K806" i="32" s="1"/>
  <c r="J807" i="32"/>
  <c r="K807" i="32" s="1"/>
  <c r="J808" i="32"/>
  <c r="K808" i="32" s="1"/>
  <c r="J809" i="32"/>
  <c r="K809" i="32" s="1"/>
  <c r="J810" i="32"/>
  <c r="K810" i="32" s="1"/>
  <c r="J811" i="32"/>
  <c r="K811" i="32" s="1"/>
  <c r="J812" i="32"/>
  <c r="K812" i="32" s="1"/>
  <c r="J813" i="32"/>
  <c r="K813" i="32" s="1"/>
  <c r="J814" i="32"/>
  <c r="K814" i="32" s="1"/>
  <c r="J815" i="32"/>
  <c r="K815" i="32" s="1"/>
  <c r="J816" i="32"/>
  <c r="K816" i="32" s="1"/>
  <c r="J817" i="32"/>
  <c r="K817" i="32" s="1"/>
  <c r="J818" i="32"/>
  <c r="K818" i="32" s="1"/>
  <c r="J819" i="32"/>
  <c r="K819" i="32" s="1"/>
  <c r="J820" i="32"/>
  <c r="K820" i="32" s="1"/>
  <c r="J821" i="32"/>
  <c r="K821" i="32" s="1"/>
  <c r="J822" i="32"/>
  <c r="K822" i="32" s="1"/>
  <c r="J823" i="32"/>
  <c r="K823" i="32" s="1"/>
  <c r="J824" i="32"/>
  <c r="K824" i="32" s="1"/>
  <c r="J825" i="32"/>
  <c r="K825" i="32" s="1"/>
  <c r="J826" i="32"/>
  <c r="K826" i="32" s="1"/>
  <c r="J827" i="32"/>
  <c r="K827" i="32" s="1"/>
  <c r="J828" i="32"/>
  <c r="K828" i="32" s="1"/>
  <c r="J829" i="32"/>
  <c r="K829" i="32" s="1"/>
  <c r="J830" i="32"/>
  <c r="K830" i="32" s="1"/>
  <c r="J831" i="32"/>
  <c r="K831" i="32" s="1"/>
  <c r="J832" i="32"/>
  <c r="K832" i="32" s="1"/>
  <c r="J833" i="32"/>
  <c r="K833" i="32" s="1"/>
  <c r="J834" i="32"/>
  <c r="K834" i="32" s="1"/>
  <c r="J835" i="32"/>
  <c r="K835" i="32" s="1"/>
  <c r="J836" i="32"/>
  <c r="K836" i="32" s="1"/>
  <c r="J837" i="32"/>
  <c r="K837" i="32" s="1"/>
  <c r="J838" i="32"/>
  <c r="K838" i="32" s="1"/>
  <c r="J839" i="32"/>
  <c r="K839" i="32" s="1"/>
  <c r="J840" i="32"/>
  <c r="K840" i="32" s="1"/>
  <c r="J841" i="32"/>
  <c r="K841" i="32" s="1"/>
  <c r="J842" i="32"/>
  <c r="K842" i="32" s="1"/>
  <c r="J843" i="32"/>
  <c r="K843" i="32" s="1"/>
  <c r="J844" i="32"/>
  <c r="K844" i="32" s="1"/>
  <c r="J845" i="32"/>
  <c r="K845" i="32" s="1"/>
  <c r="J846" i="32"/>
  <c r="K846" i="32" s="1"/>
  <c r="J847" i="32"/>
  <c r="K847" i="32" s="1"/>
  <c r="J848" i="32"/>
  <c r="K848" i="32" s="1"/>
  <c r="J849" i="32"/>
  <c r="K849" i="32" s="1"/>
  <c r="J850" i="32"/>
  <c r="K850" i="32" s="1"/>
  <c r="J851" i="32"/>
  <c r="K851" i="32" s="1"/>
  <c r="J852" i="32"/>
  <c r="K852" i="32" s="1"/>
  <c r="J853" i="32"/>
  <c r="K853" i="32" s="1"/>
  <c r="J854" i="32"/>
  <c r="K854" i="32" s="1"/>
  <c r="J855" i="32"/>
  <c r="K855" i="32" s="1"/>
  <c r="J856" i="32"/>
  <c r="K856" i="32" s="1"/>
  <c r="J857" i="32"/>
  <c r="K857" i="32" s="1"/>
  <c r="J858" i="32"/>
  <c r="K858" i="32" s="1"/>
  <c r="J859" i="32"/>
  <c r="K859" i="32" s="1"/>
  <c r="J860" i="32"/>
  <c r="K860" i="32" s="1"/>
  <c r="J861" i="32"/>
  <c r="K861" i="32" s="1"/>
  <c r="J862" i="32"/>
  <c r="K862" i="32" s="1"/>
  <c r="J863" i="32"/>
  <c r="K863" i="32" s="1"/>
  <c r="J864" i="32"/>
  <c r="K864" i="32" s="1"/>
  <c r="J865" i="32"/>
  <c r="K865" i="32" s="1"/>
  <c r="J866" i="32"/>
  <c r="K866" i="32" s="1"/>
  <c r="J867" i="32"/>
  <c r="K867" i="32" s="1"/>
  <c r="J868" i="32"/>
  <c r="K868" i="32" s="1"/>
  <c r="J869" i="32"/>
  <c r="K869" i="32" s="1"/>
  <c r="J870" i="32"/>
  <c r="K870" i="32" s="1"/>
  <c r="J871" i="32"/>
  <c r="K871" i="32" s="1"/>
  <c r="J872" i="32"/>
  <c r="K872" i="32" s="1"/>
  <c r="J873" i="32"/>
  <c r="K873" i="32" s="1"/>
  <c r="J874" i="32"/>
  <c r="K874" i="32" s="1"/>
  <c r="J875" i="32"/>
  <c r="K875" i="32" s="1"/>
  <c r="J876" i="32"/>
  <c r="K876" i="32" s="1"/>
  <c r="J877" i="32"/>
  <c r="K877" i="32" s="1"/>
  <c r="J878" i="32"/>
  <c r="K878" i="32" s="1"/>
  <c r="J879" i="32"/>
  <c r="K879" i="32" s="1"/>
  <c r="J880" i="32"/>
  <c r="K880" i="32" s="1"/>
  <c r="J881" i="32"/>
  <c r="K881" i="32" s="1"/>
  <c r="J882" i="32"/>
  <c r="K882" i="32" s="1"/>
  <c r="J883" i="32"/>
  <c r="K883" i="32" s="1"/>
  <c r="J884" i="32"/>
  <c r="K884" i="32" s="1"/>
  <c r="J885" i="32"/>
  <c r="K885" i="32" s="1"/>
  <c r="J886" i="32"/>
  <c r="K886" i="32" s="1"/>
  <c r="J887" i="32"/>
  <c r="K887" i="32" s="1"/>
  <c r="J888" i="32"/>
  <c r="K888" i="32" s="1"/>
  <c r="J889" i="32"/>
  <c r="K889" i="32" s="1"/>
  <c r="J890" i="32"/>
  <c r="K890" i="32" s="1"/>
  <c r="J891" i="32"/>
  <c r="K891" i="32" s="1"/>
  <c r="J892" i="32"/>
  <c r="K892" i="32" s="1"/>
  <c r="J893" i="32"/>
  <c r="K893" i="32" s="1"/>
  <c r="J894" i="32"/>
  <c r="K894" i="32" s="1"/>
  <c r="J895" i="32"/>
  <c r="K895" i="32" s="1"/>
  <c r="J896" i="32"/>
  <c r="K896" i="32" s="1"/>
  <c r="J897" i="32"/>
  <c r="K897" i="32" s="1"/>
  <c r="J898" i="32"/>
  <c r="K898" i="32" s="1"/>
  <c r="J899" i="32"/>
  <c r="K899" i="32" s="1"/>
  <c r="J900" i="32"/>
  <c r="K900" i="32" s="1"/>
  <c r="J901" i="32"/>
  <c r="K901" i="32" s="1"/>
  <c r="J902" i="32"/>
  <c r="K902" i="32" s="1"/>
  <c r="J903" i="32"/>
  <c r="K903" i="32" s="1"/>
  <c r="J904" i="32"/>
  <c r="K904" i="32" s="1"/>
  <c r="J905" i="32"/>
  <c r="K905" i="32" s="1"/>
  <c r="J906" i="32"/>
  <c r="K906" i="32" s="1"/>
  <c r="J907" i="32"/>
  <c r="K907" i="32" s="1"/>
  <c r="J908" i="32"/>
  <c r="K908" i="32" s="1"/>
  <c r="J909" i="32"/>
  <c r="K909" i="32" s="1"/>
  <c r="J910" i="32"/>
  <c r="K910" i="32" s="1"/>
  <c r="J911" i="32"/>
  <c r="K911" i="32" s="1"/>
  <c r="J912" i="32"/>
  <c r="K912" i="32" s="1"/>
  <c r="J913" i="32"/>
  <c r="K913" i="32" s="1"/>
  <c r="J914" i="32"/>
  <c r="K914" i="32" s="1"/>
  <c r="J915" i="32"/>
  <c r="K915" i="32" s="1"/>
  <c r="J916" i="32"/>
  <c r="K916" i="32" s="1"/>
  <c r="J917" i="32"/>
  <c r="K917" i="32" s="1"/>
  <c r="J918" i="32"/>
  <c r="K918" i="32" s="1"/>
  <c r="J919" i="32"/>
  <c r="K919" i="32" s="1"/>
  <c r="J920" i="32"/>
  <c r="K920" i="32" s="1"/>
  <c r="J921" i="32"/>
  <c r="K921" i="32" s="1"/>
  <c r="J922" i="32"/>
  <c r="K922" i="32" s="1"/>
  <c r="J923" i="32"/>
  <c r="K923" i="32" s="1"/>
  <c r="J924" i="32"/>
  <c r="K924" i="32" s="1"/>
  <c r="J925" i="32"/>
  <c r="K925" i="32" s="1"/>
  <c r="J926" i="32"/>
  <c r="K926" i="32" s="1"/>
  <c r="J927" i="32"/>
  <c r="K927" i="32" s="1"/>
  <c r="J928" i="32"/>
  <c r="K928" i="32" s="1"/>
  <c r="J929" i="32"/>
  <c r="K929" i="32" s="1"/>
  <c r="J930" i="32"/>
  <c r="K930" i="32" s="1"/>
  <c r="J931" i="32"/>
  <c r="K931" i="32" s="1"/>
  <c r="J932" i="32"/>
  <c r="K932" i="32" s="1"/>
  <c r="J933" i="32"/>
  <c r="K933" i="32" s="1"/>
  <c r="J934" i="32"/>
  <c r="K934" i="32" s="1"/>
  <c r="J935" i="32"/>
  <c r="K935" i="32" s="1"/>
  <c r="J936" i="32"/>
  <c r="K936" i="32" s="1"/>
  <c r="J937" i="32"/>
  <c r="K937" i="32" s="1"/>
  <c r="J938" i="32"/>
  <c r="K938" i="32" s="1"/>
  <c r="J939" i="32"/>
  <c r="K939" i="32" s="1"/>
  <c r="J940" i="32"/>
  <c r="K940" i="32" s="1"/>
  <c r="J941" i="32"/>
  <c r="K941" i="32" s="1"/>
  <c r="J942" i="32"/>
  <c r="K942" i="32" s="1"/>
  <c r="J943" i="32"/>
  <c r="K943" i="32" s="1"/>
  <c r="J944" i="32"/>
  <c r="K944" i="32" s="1"/>
  <c r="J945" i="32"/>
  <c r="K945" i="32" s="1"/>
  <c r="J946" i="32"/>
  <c r="K946" i="32" s="1"/>
  <c r="J947" i="32"/>
  <c r="K947" i="32" s="1"/>
  <c r="J948" i="32"/>
  <c r="K948" i="32" s="1"/>
  <c r="J949" i="32"/>
  <c r="K949" i="32" s="1"/>
  <c r="J950" i="32"/>
  <c r="K950" i="32" s="1"/>
  <c r="J951" i="32"/>
  <c r="K951" i="32" s="1"/>
  <c r="J952" i="32"/>
  <c r="K952" i="32" s="1"/>
  <c r="J953" i="32"/>
  <c r="K953" i="32" s="1"/>
  <c r="J954" i="32"/>
  <c r="K954" i="32" s="1"/>
  <c r="J955" i="32"/>
  <c r="K955" i="32" s="1"/>
  <c r="J956" i="32"/>
  <c r="K956" i="32" s="1"/>
  <c r="J957" i="32"/>
  <c r="K957" i="32" s="1"/>
  <c r="J958" i="32"/>
  <c r="K958" i="32" s="1"/>
  <c r="J959" i="32"/>
  <c r="K959" i="32" s="1"/>
  <c r="J960" i="32"/>
  <c r="K960" i="32" s="1"/>
  <c r="J961" i="32"/>
  <c r="K961" i="32" s="1"/>
  <c r="J962" i="32"/>
  <c r="K962" i="32" s="1"/>
  <c r="J963" i="32"/>
  <c r="K963" i="32" s="1"/>
  <c r="J964" i="32"/>
  <c r="K964" i="32" s="1"/>
  <c r="J965" i="32"/>
  <c r="K965" i="32" s="1"/>
  <c r="J966" i="32"/>
  <c r="K966" i="32" s="1"/>
  <c r="J967" i="32"/>
  <c r="K967" i="32" s="1"/>
  <c r="J968" i="32"/>
  <c r="K968" i="32" s="1"/>
  <c r="J969" i="32"/>
  <c r="K969" i="32" s="1"/>
  <c r="J970" i="32"/>
  <c r="K970" i="32" s="1"/>
  <c r="J971" i="32"/>
  <c r="K971" i="32" s="1"/>
  <c r="J972" i="32"/>
  <c r="K972" i="32" s="1"/>
  <c r="J973" i="32"/>
  <c r="K973" i="32" s="1"/>
  <c r="J974" i="32"/>
  <c r="K974" i="32" s="1"/>
  <c r="J975" i="32"/>
  <c r="K975" i="32" s="1"/>
  <c r="J976" i="32"/>
  <c r="K976" i="32" s="1"/>
  <c r="J977" i="32"/>
  <c r="K977" i="32" s="1"/>
  <c r="J978" i="32"/>
  <c r="K978" i="32" s="1"/>
  <c r="J979" i="32"/>
  <c r="K979" i="32" s="1"/>
  <c r="J980" i="32"/>
  <c r="K980" i="32" s="1"/>
  <c r="J981" i="32"/>
  <c r="K981" i="32" s="1"/>
  <c r="J982" i="32"/>
  <c r="K982" i="32" s="1"/>
  <c r="J983" i="32"/>
  <c r="K983" i="32" s="1"/>
  <c r="J984" i="32"/>
  <c r="K984" i="32" s="1"/>
  <c r="J985" i="32"/>
  <c r="K985" i="32" s="1"/>
  <c r="J986" i="32"/>
  <c r="K986" i="32" s="1"/>
  <c r="J987" i="32"/>
  <c r="K987" i="32" s="1"/>
  <c r="J988" i="32"/>
  <c r="K988" i="32" s="1"/>
  <c r="J989" i="32"/>
  <c r="K989" i="32" s="1"/>
  <c r="J990" i="32"/>
  <c r="K990" i="32" s="1"/>
  <c r="J991" i="32"/>
  <c r="K991" i="32" s="1"/>
  <c r="J992" i="32"/>
  <c r="K992" i="32" s="1"/>
  <c r="J993" i="32"/>
  <c r="K993" i="32" s="1"/>
  <c r="J994" i="32"/>
  <c r="K994" i="32" s="1"/>
  <c r="J995" i="32"/>
  <c r="K995" i="32" s="1"/>
  <c r="J996" i="32"/>
  <c r="K996" i="32" s="1"/>
  <c r="J997" i="32"/>
  <c r="K997" i="32" s="1"/>
  <c r="J998" i="32"/>
  <c r="K998" i="32" s="1"/>
  <c r="J999" i="32"/>
  <c r="K999" i="32" s="1"/>
  <c r="J1000" i="32"/>
  <c r="K1000" i="32" s="1"/>
  <c r="J1001" i="32"/>
  <c r="K1001" i="32" s="1"/>
  <c r="J1002" i="32"/>
  <c r="K1002" i="32" s="1"/>
  <c r="J1003" i="32"/>
  <c r="K1003" i="32" s="1"/>
  <c r="J1004" i="32"/>
  <c r="K1004" i="32" s="1"/>
  <c r="J1005" i="32"/>
  <c r="K1005" i="32" s="1"/>
  <c r="J1006" i="32"/>
  <c r="K1006" i="32" s="1"/>
  <c r="J1007" i="32"/>
  <c r="K1007" i="32" s="1"/>
  <c r="J1008" i="32"/>
  <c r="K1008" i="32" s="1"/>
  <c r="J1009" i="32"/>
  <c r="K1009" i="32" s="1"/>
  <c r="J1010" i="32"/>
  <c r="K1010" i="32" s="1"/>
  <c r="J1011" i="32"/>
  <c r="K1011" i="32" s="1"/>
  <c r="J1012" i="32"/>
  <c r="K1012" i="32" s="1"/>
  <c r="J1013" i="32"/>
  <c r="K1013" i="32" s="1"/>
  <c r="J1014" i="32"/>
  <c r="K1014" i="32" s="1"/>
  <c r="J1015" i="32"/>
  <c r="K1015" i="32" s="1"/>
  <c r="J1016" i="32"/>
  <c r="K1016" i="32" s="1"/>
  <c r="J1017" i="32"/>
  <c r="K1017" i="32" s="1"/>
  <c r="J1018" i="32"/>
  <c r="K1018" i="32" s="1"/>
  <c r="J1019" i="32"/>
  <c r="K1019" i="32" s="1"/>
  <c r="J1020" i="32"/>
  <c r="K1020" i="32" s="1"/>
  <c r="J1021" i="32"/>
  <c r="K1021" i="32" s="1"/>
  <c r="J1022" i="32"/>
  <c r="K1022" i="32" s="1"/>
  <c r="J1023" i="32"/>
  <c r="K1023" i="32" s="1"/>
  <c r="J1024" i="32"/>
  <c r="K1024" i="32" s="1"/>
  <c r="J1025" i="32"/>
  <c r="K1025" i="32" s="1"/>
  <c r="J1026" i="32"/>
  <c r="K1026" i="32" s="1"/>
  <c r="J1027" i="32"/>
  <c r="K1027" i="32" s="1"/>
  <c r="J1028" i="32"/>
  <c r="K1028" i="32" s="1"/>
  <c r="J1029" i="32"/>
  <c r="K1029" i="32" s="1"/>
  <c r="J1030" i="32"/>
  <c r="K1030" i="32" s="1"/>
  <c r="J1031" i="32"/>
  <c r="K1031" i="32" s="1"/>
  <c r="J1032" i="32"/>
  <c r="K1032" i="32" s="1"/>
  <c r="J1033" i="32"/>
  <c r="K1033" i="32" s="1"/>
  <c r="J1034" i="32"/>
  <c r="K1034" i="32" s="1"/>
  <c r="J1035" i="32"/>
  <c r="K1035" i="32" s="1"/>
  <c r="J1036" i="32"/>
  <c r="K1036" i="32" s="1"/>
  <c r="J1037" i="32"/>
  <c r="K1037" i="32" s="1"/>
  <c r="J1038" i="32"/>
  <c r="K1038" i="32" s="1"/>
  <c r="J1039" i="32"/>
  <c r="K1039" i="32" s="1"/>
  <c r="J1040" i="32"/>
  <c r="K1040" i="32" s="1"/>
  <c r="J1041" i="32"/>
  <c r="K1041" i="32" s="1"/>
  <c r="J1042" i="32"/>
  <c r="K1042" i="32" s="1"/>
  <c r="J1043" i="32"/>
  <c r="K1043" i="32" s="1"/>
  <c r="J1044" i="32"/>
  <c r="K1044" i="32" s="1"/>
  <c r="J1045" i="32"/>
  <c r="K1045" i="32" s="1"/>
  <c r="J1046" i="32"/>
  <c r="K1046" i="32" s="1"/>
  <c r="J1047" i="32"/>
  <c r="K1047" i="32" s="1"/>
  <c r="J1048" i="32"/>
  <c r="K1048" i="32" s="1"/>
  <c r="J1049" i="32"/>
  <c r="K1049" i="32" s="1"/>
  <c r="J1050" i="32"/>
  <c r="K1050" i="32" s="1"/>
  <c r="J1051" i="32"/>
  <c r="K1051" i="32" s="1"/>
  <c r="J1052" i="32"/>
  <c r="K1052" i="32" s="1"/>
  <c r="J1053" i="32"/>
  <c r="K1053" i="32" s="1"/>
  <c r="J1054" i="32"/>
  <c r="K1054" i="32" s="1"/>
  <c r="J1055" i="32"/>
  <c r="K1055" i="32" s="1"/>
  <c r="J1056" i="32"/>
  <c r="K1056" i="32" s="1"/>
  <c r="J1057" i="32"/>
  <c r="K1057" i="32" s="1"/>
  <c r="J1058" i="32"/>
  <c r="K1058" i="32" s="1"/>
  <c r="J1059" i="32"/>
  <c r="K1059" i="32" s="1"/>
  <c r="J1060" i="32"/>
  <c r="K1060" i="32" s="1"/>
  <c r="J1061" i="32"/>
  <c r="K1061" i="32" s="1"/>
  <c r="J1062" i="32"/>
  <c r="K1062" i="32" s="1"/>
  <c r="J1063" i="32"/>
  <c r="K1063" i="32" s="1"/>
  <c r="J1064" i="32"/>
  <c r="K1064" i="32" s="1"/>
  <c r="J1065" i="32"/>
  <c r="K1065" i="32" s="1"/>
  <c r="J1066" i="32"/>
  <c r="K1066" i="32" s="1"/>
  <c r="J1067" i="32"/>
  <c r="K1067" i="32" s="1"/>
  <c r="J1068" i="32"/>
  <c r="K1068" i="32" s="1"/>
  <c r="J1069" i="32"/>
  <c r="K1069" i="32" s="1"/>
  <c r="J1070" i="32"/>
  <c r="K1070" i="32" s="1"/>
  <c r="J1071" i="32"/>
  <c r="K1071" i="32" s="1"/>
  <c r="J1072" i="32"/>
  <c r="K1072" i="32" s="1"/>
  <c r="J1073" i="32"/>
  <c r="K1073" i="32" s="1"/>
  <c r="J1074" i="32"/>
  <c r="K1074" i="32" s="1"/>
  <c r="J1075" i="32"/>
  <c r="K1075" i="32" s="1"/>
  <c r="J1076" i="32"/>
  <c r="K1076" i="32" s="1"/>
  <c r="J1077" i="32"/>
  <c r="K1077" i="32" s="1"/>
  <c r="J1078" i="32"/>
  <c r="K1078" i="32" s="1"/>
  <c r="J1079" i="32"/>
  <c r="K1079" i="32" s="1"/>
  <c r="J1080" i="32"/>
  <c r="K1080" i="32" s="1"/>
  <c r="J1081" i="32"/>
  <c r="K1081" i="32" s="1"/>
  <c r="J1082" i="32"/>
  <c r="K1082" i="32" s="1"/>
  <c r="J1083" i="32"/>
  <c r="K1083" i="32" s="1"/>
  <c r="J1084" i="32"/>
  <c r="K1084" i="32" s="1"/>
  <c r="J1085" i="32"/>
  <c r="K1085" i="32" s="1"/>
  <c r="J1086" i="32"/>
  <c r="K1086" i="32" s="1"/>
  <c r="J1087" i="32"/>
  <c r="K1087" i="32" s="1"/>
  <c r="J1088" i="32"/>
  <c r="K1088" i="32" s="1"/>
  <c r="J1089" i="32"/>
  <c r="K1089" i="32" s="1"/>
  <c r="J1090" i="32"/>
  <c r="K1090" i="32" s="1"/>
  <c r="J1091" i="32"/>
  <c r="K1091" i="32" s="1"/>
  <c r="J1092" i="32"/>
  <c r="K1092" i="32" s="1"/>
  <c r="J1093" i="32"/>
  <c r="K1093" i="32" s="1"/>
  <c r="J1094" i="32"/>
  <c r="K1094" i="32" s="1"/>
  <c r="J1095" i="32"/>
  <c r="K1095" i="32" s="1"/>
  <c r="J1096" i="32"/>
  <c r="K1096" i="32" s="1"/>
  <c r="J1097" i="32"/>
  <c r="K1097" i="32" s="1"/>
  <c r="J1098" i="32"/>
  <c r="K1098" i="32" s="1"/>
  <c r="J1099" i="32"/>
  <c r="K1099" i="32" s="1"/>
  <c r="J1100" i="32"/>
  <c r="K1100" i="32" s="1"/>
  <c r="J1101" i="32"/>
  <c r="K1101" i="32" s="1"/>
  <c r="J1102" i="32"/>
  <c r="K1102" i="32" s="1"/>
  <c r="J1103" i="32"/>
  <c r="K1103" i="32" s="1"/>
  <c r="J1104" i="32"/>
  <c r="K1104" i="32" s="1"/>
  <c r="J1105" i="32"/>
  <c r="K1105" i="32" s="1"/>
  <c r="J1106" i="32"/>
  <c r="K1106" i="32" s="1"/>
  <c r="J1107" i="32"/>
  <c r="K1107" i="32" s="1"/>
  <c r="J1108" i="32"/>
  <c r="K1108" i="32" s="1"/>
  <c r="J1109" i="32"/>
  <c r="K1109" i="32" s="1"/>
  <c r="J1110" i="32"/>
  <c r="K1110" i="32" s="1"/>
  <c r="J1111" i="32"/>
  <c r="K1111" i="32" s="1"/>
  <c r="J1112" i="32"/>
  <c r="K1112" i="32" s="1"/>
  <c r="J1113" i="32"/>
  <c r="K1113" i="32" s="1"/>
  <c r="J1114" i="32"/>
  <c r="K1114" i="32" s="1"/>
  <c r="J1115" i="32"/>
  <c r="K1115" i="32" s="1"/>
  <c r="J1116" i="32"/>
  <c r="K1116" i="32" s="1"/>
  <c r="J1117" i="32"/>
  <c r="K1117" i="32" s="1"/>
  <c r="J1118" i="32"/>
  <c r="K1118" i="32" s="1"/>
  <c r="J1119" i="32"/>
  <c r="K1119" i="32" s="1"/>
  <c r="J1120" i="32"/>
  <c r="K1120" i="32" s="1"/>
  <c r="J1121" i="32"/>
  <c r="K1121" i="32" s="1"/>
  <c r="J1122" i="32"/>
  <c r="K1122" i="32" s="1"/>
  <c r="J1123" i="32"/>
  <c r="K1123" i="32" s="1"/>
  <c r="J1124" i="32"/>
  <c r="K1124" i="32" s="1"/>
  <c r="J1125" i="32"/>
  <c r="K1125" i="32" s="1"/>
  <c r="J1126" i="32"/>
  <c r="K1126" i="32" s="1"/>
  <c r="J1127" i="32"/>
  <c r="K1127" i="32" s="1"/>
  <c r="J1128" i="32"/>
  <c r="K1128" i="32" s="1"/>
  <c r="J1129" i="32"/>
  <c r="K1129" i="32" s="1"/>
  <c r="J1130" i="32"/>
  <c r="K1130" i="32" s="1"/>
  <c r="J1131" i="32"/>
  <c r="K1131" i="32" s="1"/>
  <c r="J1132" i="32"/>
  <c r="K1132" i="32" s="1"/>
  <c r="J1133" i="32"/>
  <c r="K1133" i="32" s="1"/>
  <c r="J1134" i="32"/>
  <c r="K1134" i="32" s="1"/>
  <c r="J1135" i="32"/>
  <c r="K1135" i="32" s="1"/>
  <c r="J1136" i="32"/>
  <c r="K1136" i="32" s="1"/>
  <c r="J1137" i="32"/>
  <c r="K1137" i="32" s="1"/>
  <c r="J1138" i="32"/>
  <c r="K1138" i="32" s="1"/>
  <c r="J1139" i="32"/>
  <c r="K1139" i="32" s="1"/>
  <c r="J1140" i="32"/>
  <c r="K1140" i="32" s="1"/>
  <c r="J1141" i="32"/>
  <c r="K1141" i="32" s="1"/>
  <c r="J1142" i="32"/>
  <c r="K1142" i="32" s="1"/>
  <c r="J1143" i="32"/>
  <c r="K1143" i="32" s="1"/>
  <c r="J1144" i="32"/>
  <c r="K1144" i="32" s="1"/>
  <c r="J1145" i="32"/>
  <c r="K1145" i="32" s="1"/>
  <c r="J1146" i="32"/>
  <c r="K1146" i="32" s="1"/>
  <c r="J1147" i="32"/>
  <c r="K1147" i="32" s="1"/>
  <c r="J1148" i="32"/>
  <c r="K1148" i="32" s="1"/>
  <c r="J1149" i="32"/>
  <c r="K1149" i="32" s="1"/>
  <c r="J1150" i="32"/>
  <c r="K1150" i="32" s="1"/>
  <c r="J1151" i="32"/>
  <c r="K1151" i="32" s="1"/>
  <c r="J1152" i="32"/>
  <c r="K1152" i="32" s="1"/>
  <c r="J1153" i="32"/>
  <c r="K1153" i="32" s="1"/>
  <c r="J1154" i="32"/>
  <c r="K1154" i="32" s="1"/>
  <c r="J1155" i="32"/>
  <c r="K1155" i="32" s="1"/>
  <c r="J1156" i="32"/>
  <c r="K1156" i="32" s="1"/>
  <c r="J1157" i="32"/>
  <c r="K1157" i="32" s="1"/>
  <c r="J1158" i="32"/>
  <c r="K1158" i="32" s="1"/>
  <c r="J1159" i="32"/>
  <c r="K1159" i="32" s="1"/>
  <c r="J1160" i="32"/>
  <c r="K1160" i="32" s="1"/>
  <c r="J1161" i="32"/>
  <c r="K1161" i="32" s="1"/>
  <c r="J1162" i="32"/>
  <c r="K1162" i="32" s="1"/>
  <c r="J1163" i="32"/>
  <c r="K1163" i="32" s="1"/>
  <c r="J1164" i="32"/>
  <c r="K1164" i="32" s="1"/>
  <c r="J1165" i="32"/>
  <c r="K1165" i="32" s="1"/>
  <c r="J1166" i="32"/>
  <c r="K1166" i="32" s="1"/>
  <c r="J1167" i="32"/>
  <c r="K1167" i="32" s="1"/>
  <c r="J1168" i="32"/>
  <c r="K1168" i="32" s="1"/>
  <c r="J1169" i="32"/>
  <c r="K1169" i="32" s="1"/>
  <c r="J1170" i="32"/>
  <c r="K1170" i="32" s="1"/>
  <c r="J1171" i="32"/>
  <c r="K1171" i="32" s="1"/>
  <c r="J1172" i="32"/>
  <c r="K1172" i="32" s="1"/>
  <c r="J1173" i="32"/>
  <c r="K1173" i="32" s="1"/>
  <c r="J1174" i="32"/>
  <c r="K1174" i="32" s="1"/>
  <c r="J1175" i="32"/>
  <c r="K1175" i="32" s="1"/>
  <c r="J1176" i="32"/>
  <c r="K1176" i="32" s="1"/>
  <c r="J1177" i="32"/>
  <c r="K1177" i="32" s="1"/>
  <c r="J1178" i="32"/>
  <c r="K1178" i="32" s="1"/>
  <c r="J1179" i="32"/>
  <c r="K1179" i="32" s="1"/>
  <c r="J1180" i="32"/>
  <c r="K1180" i="32" s="1"/>
  <c r="J1181" i="32"/>
  <c r="K1181" i="32" s="1"/>
  <c r="J1182" i="32"/>
  <c r="K1182" i="32" s="1"/>
  <c r="J1183" i="32"/>
  <c r="K1183" i="32" s="1"/>
  <c r="J1184" i="32"/>
  <c r="K1184" i="32" s="1"/>
  <c r="J1185" i="32"/>
  <c r="K1185" i="32" s="1"/>
  <c r="J1186" i="32"/>
  <c r="K1186" i="32" s="1"/>
  <c r="J1187" i="32"/>
  <c r="K1187" i="32" s="1"/>
  <c r="J1188" i="32"/>
  <c r="K1188" i="32" s="1"/>
  <c r="J1189" i="32"/>
  <c r="K1189" i="32" s="1"/>
  <c r="J1190" i="32"/>
  <c r="K1190" i="32" s="1"/>
  <c r="J1191" i="32"/>
  <c r="K1191" i="32" s="1"/>
  <c r="J1192" i="32"/>
  <c r="K1192" i="32" s="1"/>
  <c r="J1193" i="32"/>
  <c r="K1193" i="32" s="1"/>
  <c r="J1194" i="32"/>
  <c r="K1194" i="32" s="1"/>
  <c r="J1195" i="32"/>
  <c r="K1195" i="32" s="1"/>
  <c r="J1196" i="32"/>
  <c r="K1196" i="32" s="1"/>
  <c r="J1197" i="32"/>
  <c r="K1197" i="32" s="1"/>
  <c r="J1198" i="32"/>
  <c r="K1198" i="32" s="1"/>
  <c r="J1199" i="32"/>
  <c r="K1199" i="32" s="1"/>
  <c r="J1200" i="32"/>
  <c r="K1200" i="32" s="1"/>
  <c r="J1201" i="32"/>
  <c r="K1201" i="32" s="1"/>
  <c r="J1202" i="32"/>
  <c r="K1202" i="32" s="1"/>
  <c r="J1203" i="32"/>
  <c r="K1203" i="32" s="1"/>
  <c r="J1204" i="32"/>
  <c r="K1204" i="32" s="1"/>
  <c r="J1205" i="32"/>
  <c r="K1205" i="32" s="1"/>
  <c r="J1206" i="32"/>
  <c r="K1206" i="32" s="1"/>
  <c r="J1207" i="32"/>
  <c r="K1207" i="32" s="1"/>
  <c r="J1208" i="32"/>
  <c r="K1208" i="32" s="1"/>
  <c r="J1209" i="32"/>
  <c r="K1209" i="32" s="1"/>
  <c r="J1210" i="32"/>
  <c r="K1210" i="32" s="1"/>
  <c r="J1211" i="32"/>
  <c r="K1211" i="32" s="1"/>
  <c r="J1212" i="32"/>
  <c r="K1212" i="32" s="1"/>
  <c r="J1213" i="32"/>
  <c r="K1213" i="32" s="1"/>
  <c r="J1214" i="32"/>
  <c r="K1214" i="32" s="1"/>
  <c r="J1215" i="32"/>
  <c r="K1215" i="32" s="1"/>
  <c r="J1216" i="32"/>
  <c r="K1216" i="32" s="1"/>
  <c r="J1217" i="32"/>
  <c r="K1217" i="32" s="1"/>
  <c r="J1218" i="32"/>
  <c r="K1218" i="32" s="1"/>
  <c r="J1219" i="32"/>
  <c r="K1219" i="32" s="1"/>
  <c r="J1220" i="32"/>
  <c r="K1220" i="32" s="1"/>
  <c r="J1221" i="32"/>
  <c r="K1221" i="32" s="1"/>
  <c r="J1222" i="32"/>
  <c r="K1222" i="32" s="1"/>
  <c r="J1223" i="32"/>
  <c r="K1223" i="32" s="1"/>
  <c r="J1224" i="32"/>
  <c r="K1224" i="32" s="1"/>
  <c r="J1225" i="32"/>
  <c r="K1225" i="32" s="1"/>
  <c r="J1226" i="32"/>
  <c r="K1226" i="32" s="1"/>
  <c r="J1227" i="32"/>
  <c r="K1227" i="32" s="1"/>
  <c r="J1228" i="32"/>
  <c r="K1228" i="32" s="1"/>
  <c r="J1229" i="32"/>
  <c r="K1229" i="32" s="1"/>
  <c r="J1230" i="32"/>
  <c r="K1230" i="32" s="1"/>
  <c r="J1231" i="32"/>
  <c r="K1231" i="32" s="1"/>
  <c r="J1232" i="32"/>
  <c r="K1232" i="32" s="1"/>
  <c r="J1233" i="32"/>
  <c r="K1233" i="32" s="1"/>
  <c r="J1234" i="32"/>
  <c r="K1234" i="32" s="1"/>
  <c r="J1235" i="32"/>
  <c r="K1235" i="32" s="1"/>
  <c r="J1236" i="32"/>
  <c r="K1236" i="32" s="1"/>
  <c r="J1237" i="32"/>
  <c r="K1237" i="32" s="1"/>
  <c r="J1238" i="32"/>
  <c r="K1238" i="32" s="1"/>
  <c r="J1239" i="32"/>
  <c r="K1239" i="32" s="1"/>
  <c r="J1240" i="32"/>
  <c r="K1240" i="32" s="1"/>
  <c r="J1241" i="32"/>
  <c r="K1241" i="32" s="1"/>
  <c r="J1242" i="32"/>
  <c r="K1242" i="32" s="1"/>
  <c r="J1243" i="32"/>
  <c r="K1243" i="32" s="1"/>
  <c r="J1244" i="32"/>
  <c r="K1244" i="32" s="1"/>
  <c r="J1245" i="32"/>
  <c r="K1245" i="32" s="1"/>
  <c r="J1246" i="32"/>
  <c r="K1246" i="32" s="1"/>
  <c r="J1247" i="32"/>
  <c r="K1247" i="32" s="1"/>
  <c r="J1248" i="32"/>
  <c r="K1248" i="32" s="1"/>
  <c r="J1249" i="32"/>
  <c r="K1249" i="32" s="1"/>
  <c r="J1250" i="32"/>
  <c r="K1250" i="32" s="1"/>
  <c r="J1251" i="32"/>
  <c r="K1251" i="32" s="1"/>
  <c r="J1252" i="32"/>
  <c r="K1252" i="32" s="1"/>
  <c r="J1253" i="32"/>
  <c r="K1253" i="32" s="1"/>
  <c r="J1254" i="32"/>
  <c r="K1254" i="32" s="1"/>
  <c r="J1255" i="32"/>
  <c r="K1255" i="32" s="1"/>
  <c r="J1256" i="32"/>
  <c r="K1256" i="32" s="1"/>
  <c r="J1257" i="32"/>
  <c r="K1257" i="32" s="1"/>
  <c r="J1258" i="32"/>
  <c r="K1258" i="32" s="1"/>
  <c r="J1259" i="32"/>
  <c r="K1259" i="32" s="1"/>
  <c r="J1260" i="32"/>
  <c r="K1260" i="32" s="1"/>
  <c r="J1261" i="32"/>
  <c r="K1261" i="32" s="1"/>
  <c r="J1262" i="32"/>
  <c r="K1262" i="32" s="1"/>
  <c r="J1263" i="32"/>
  <c r="K1263" i="32" s="1"/>
  <c r="J1264" i="32"/>
  <c r="K1264" i="32" s="1"/>
  <c r="J1265" i="32"/>
  <c r="K1265" i="32" s="1"/>
  <c r="J1266" i="32"/>
  <c r="K1266" i="32" s="1"/>
  <c r="J1267" i="32"/>
  <c r="K1267" i="32" s="1"/>
  <c r="J1268" i="32"/>
  <c r="K1268" i="32" s="1"/>
  <c r="J1269" i="32"/>
  <c r="K1269" i="32" s="1"/>
  <c r="J1270" i="32"/>
  <c r="K1270" i="32" s="1"/>
  <c r="J1271" i="32"/>
  <c r="K1271" i="32" s="1"/>
  <c r="J1272" i="32"/>
  <c r="K1272" i="32" s="1"/>
  <c r="J1273" i="32"/>
  <c r="K1273" i="32" s="1"/>
  <c r="J1274" i="32"/>
  <c r="K1274" i="32" s="1"/>
  <c r="J1275" i="32"/>
  <c r="K1275" i="32" s="1"/>
  <c r="J1276" i="32"/>
  <c r="K1276" i="32" s="1"/>
  <c r="J1277" i="32"/>
  <c r="K1277" i="32" s="1"/>
  <c r="J1278" i="32"/>
  <c r="K1278" i="32" s="1"/>
  <c r="J1279" i="32"/>
  <c r="K1279" i="32" s="1"/>
  <c r="J1280" i="32"/>
  <c r="K1280" i="32" s="1"/>
  <c r="J1281" i="32"/>
  <c r="K1281" i="32" s="1"/>
  <c r="J1282" i="32"/>
  <c r="K1282" i="32" s="1"/>
  <c r="J1283" i="32"/>
  <c r="K1283" i="32" s="1"/>
  <c r="J1284" i="32"/>
  <c r="K1284" i="32" s="1"/>
  <c r="J1285" i="32"/>
  <c r="K1285" i="32" s="1"/>
  <c r="J1286" i="32"/>
  <c r="K1286" i="32" s="1"/>
  <c r="J1287" i="32"/>
  <c r="K1287" i="32" s="1"/>
  <c r="J1288" i="32"/>
  <c r="K1288" i="32" s="1"/>
  <c r="J1289" i="32"/>
  <c r="K1289" i="32" s="1"/>
  <c r="J1290" i="32"/>
  <c r="K1290" i="32" s="1"/>
  <c r="J1291" i="32"/>
  <c r="K1291" i="32" s="1"/>
  <c r="J1292" i="32"/>
  <c r="K1292" i="32" s="1"/>
  <c r="J1293" i="32"/>
  <c r="K1293" i="32" s="1"/>
  <c r="J1294" i="32"/>
  <c r="K1294" i="32" s="1"/>
  <c r="J1295" i="32"/>
  <c r="K1295" i="32" s="1"/>
  <c r="J1296" i="32"/>
  <c r="K1296" i="32" s="1"/>
  <c r="J1297" i="32"/>
  <c r="K1297" i="32" s="1"/>
  <c r="J1298" i="32"/>
  <c r="K1298" i="32" s="1"/>
  <c r="J1299" i="32"/>
  <c r="K1299" i="32" s="1"/>
  <c r="J1300" i="32"/>
  <c r="K1300" i="32" s="1"/>
  <c r="J1301" i="32"/>
  <c r="K1301" i="32" s="1"/>
  <c r="J1302" i="32"/>
  <c r="K1302" i="32" s="1"/>
  <c r="J1303" i="32"/>
  <c r="K1303" i="32" s="1"/>
  <c r="J1304" i="32"/>
  <c r="K1304" i="32" s="1"/>
  <c r="J1305" i="32"/>
  <c r="K1305" i="32" s="1"/>
  <c r="J1306" i="32"/>
  <c r="K1306" i="32" s="1"/>
  <c r="J1307" i="32"/>
  <c r="K1307" i="32" s="1"/>
  <c r="J1308" i="32"/>
  <c r="K1308" i="32" s="1"/>
  <c r="J1309" i="32"/>
  <c r="K1309" i="32" s="1"/>
  <c r="J1310" i="32"/>
  <c r="K1310" i="32" s="1"/>
  <c r="J1311" i="32"/>
  <c r="K1311" i="32" s="1"/>
  <c r="J1312" i="32"/>
  <c r="K1312" i="32" s="1"/>
  <c r="J1313" i="32"/>
  <c r="K1313" i="32" s="1"/>
  <c r="J1314" i="32"/>
  <c r="K1314" i="32" s="1"/>
  <c r="J1315" i="32"/>
  <c r="K1315" i="32" s="1"/>
  <c r="J1316" i="32"/>
  <c r="K1316" i="32" s="1"/>
  <c r="J1317" i="32"/>
  <c r="K1317" i="32" s="1"/>
  <c r="J1318" i="32"/>
  <c r="K1318" i="32" s="1"/>
  <c r="J1319" i="32"/>
  <c r="K1319" i="32" s="1"/>
  <c r="J1320" i="32"/>
  <c r="K1320" i="32" s="1"/>
  <c r="J1321" i="32"/>
  <c r="K1321" i="32" s="1"/>
  <c r="J1322" i="32"/>
  <c r="K1322" i="32" s="1"/>
  <c r="J1323" i="32"/>
  <c r="K1323" i="32" s="1"/>
  <c r="J1324" i="32"/>
  <c r="K1324" i="32" s="1"/>
  <c r="J1325" i="32"/>
  <c r="K1325" i="32" s="1"/>
  <c r="J1326" i="32"/>
  <c r="K1326" i="32" s="1"/>
  <c r="J1327" i="32"/>
  <c r="K1327" i="32" s="1"/>
  <c r="J1328" i="32"/>
  <c r="K1328" i="32" s="1"/>
  <c r="J1329" i="32"/>
  <c r="K1329" i="32" s="1"/>
  <c r="J1330" i="32"/>
  <c r="K1330" i="32" s="1"/>
  <c r="J1331" i="32"/>
  <c r="K1331" i="32" s="1"/>
  <c r="J1332" i="32"/>
  <c r="K1332" i="32" s="1"/>
  <c r="J1333" i="32"/>
  <c r="K1333" i="32" s="1"/>
  <c r="J1334" i="32"/>
  <c r="K1334" i="32" s="1"/>
  <c r="J1335" i="32"/>
  <c r="K1335" i="32" s="1"/>
  <c r="J1336" i="32"/>
  <c r="K1336" i="32" s="1"/>
  <c r="J1337" i="32"/>
  <c r="K1337" i="32" s="1"/>
  <c r="J1338" i="32"/>
  <c r="K1338" i="32" s="1"/>
  <c r="J1339" i="32"/>
  <c r="K1339" i="32" s="1"/>
  <c r="J1340" i="32"/>
  <c r="K1340" i="32" s="1"/>
  <c r="J1341" i="32"/>
  <c r="K1341" i="32" s="1"/>
  <c r="J1342" i="32"/>
  <c r="K1342" i="32" s="1"/>
  <c r="J1343" i="32"/>
  <c r="K1343" i="32" s="1"/>
  <c r="J1344" i="32"/>
  <c r="K1344" i="32" s="1"/>
  <c r="J1345" i="32"/>
  <c r="K1345" i="32" s="1"/>
  <c r="J1346" i="32"/>
  <c r="K1346" i="32" s="1"/>
  <c r="J1347" i="32"/>
  <c r="K1347" i="32" s="1"/>
  <c r="J1348" i="32"/>
  <c r="K1348" i="32" s="1"/>
  <c r="J1349" i="32"/>
  <c r="K1349" i="32" s="1"/>
  <c r="J1350" i="32"/>
  <c r="K1350" i="32" s="1"/>
  <c r="J1351" i="32"/>
  <c r="K1351" i="32" s="1"/>
  <c r="J1352" i="32"/>
  <c r="K1352" i="32" s="1"/>
  <c r="J1353" i="32"/>
  <c r="K1353" i="32" s="1"/>
  <c r="J1354" i="32"/>
  <c r="K1354" i="32" s="1"/>
  <c r="J1355" i="32"/>
  <c r="K1355" i="32" s="1"/>
  <c r="J1356" i="32"/>
  <c r="K1356" i="32" s="1"/>
  <c r="J1357" i="32"/>
  <c r="K1357" i="32" s="1"/>
  <c r="J1358" i="32"/>
  <c r="K1358" i="32" s="1"/>
  <c r="J1359" i="32"/>
  <c r="K1359" i="32" s="1"/>
  <c r="J1360" i="32"/>
  <c r="K1360" i="32" s="1"/>
  <c r="J1361" i="32"/>
  <c r="K1361" i="32" s="1"/>
  <c r="J1362" i="32"/>
  <c r="K1362" i="32" s="1"/>
  <c r="J1363" i="32"/>
  <c r="K1363" i="32" s="1"/>
  <c r="J1364" i="32"/>
  <c r="K1364" i="32" s="1"/>
  <c r="J1365" i="32"/>
  <c r="K1365" i="32" s="1"/>
  <c r="J1366" i="32"/>
  <c r="K1366" i="32" s="1"/>
  <c r="J1367" i="32"/>
  <c r="K1367" i="32" s="1"/>
  <c r="J1368" i="32"/>
  <c r="K1368" i="32" s="1"/>
  <c r="J1369" i="32"/>
  <c r="K1369" i="32" s="1"/>
  <c r="J1370" i="32"/>
  <c r="K1370" i="32" s="1"/>
  <c r="J1371" i="32"/>
  <c r="K1371" i="32" s="1"/>
  <c r="J1372" i="32"/>
  <c r="K1372" i="32" s="1"/>
  <c r="J1373" i="32"/>
  <c r="K1373" i="32" s="1"/>
  <c r="J1374" i="32"/>
  <c r="K1374" i="32" s="1"/>
  <c r="J1375" i="32"/>
  <c r="K1375" i="32" s="1"/>
  <c r="J1376" i="32"/>
  <c r="K1376" i="32" s="1"/>
  <c r="J1377" i="32"/>
  <c r="K1377" i="32" s="1"/>
  <c r="J1378" i="32"/>
  <c r="K1378" i="32" s="1"/>
  <c r="J1379" i="32"/>
  <c r="K1379" i="32" s="1"/>
  <c r="J1380" i="32"/>
  <c r="K1380" i="32" s="1"/>
  <c r="J1381" i="32"/>
  <c r="K1381" i="32" s="1"/>
  <c r="J1382" i="32"/>
  <c r="K1382" i="32" s="1"/>
  <c r="J1383" i="32"/>
  <c r="K1383" i="32" s="1"/>
  <c r="J1384" i="32"/>
  <c r="K1384" i="32" s="1"/>
  <c r="J1385" i="32"/>
  <c r="K1385" i="32" s="1"/>
  <c r="J1386" i="32"/>
  <c r="K1386" i="32" s="1"/>
  <c r="J1387" i="32"/>
  <c r="K1387" i="32" s="1"/>
  <c r="J1388" i="32"/>
  <c r="K1388" i="32" s="1"/>
  <c r="J1389" i="32"/>
  <c r="K1389" i="32" s="1"/>
  <c r="J1390" i="32"/>
  <c r="K1390" i="32" s="1"/>
  <c r="J1391" i="32"/>
  <c r="K1391" i="32" s="1"/>
  <c r="J1392" i="32"/>
  <c r="K1392" i="32" s="1"/>
  <c r="J1393" i="32"/>
  <c r="K1393" i="32" s="1"/>
  <c r="J1394" i="32"/>
  <c r="K1394" i="32" s="1"/>
  <c r="J1395" i="32"/>
  <c r="K1395" i="32" s="1"/>
  <c r="J1396" i="32"/>
  <c r="K1396" i="32" s="1"/>
  <c r="J1397" i="32"/>
  <c r="K1397" i="32" s="1"/>
  <c r="J1398" i="32"/>
  <c r="K1398" i="32" s="1"/>
  <c r="J1399" i="32"/>
  <c r="K1399" i="32" s="1"/>
  <c r="J1400" i="32"/>
  <c r="K1400" i="32" s="1"/>
  <c r="J1401" i="32"/>
  <c r="K1401" i="32" s="1"/>
  <c r="J1402" i="32"/>
  <c r="K1402" i="32" s="1"/>
  <c r="J1403" i="32"/>
  <c r="K1403" i="32" s="1"/>
  <c r="J1404" i="32"/>
  <c r="K1404" i="32" s="1"/>
  <c r="J1405" i="32"/>
  <c r="K1405" i="32" s="1"/>
  <c r="J1406" i="32"/>
  <c r="K1406" i="32" s="1"/>
  <c r="J1407" i="32"/>
  <c r="K1407" i="32" s="1"/>
  <c r="J1408" i="32"/>
  <c r="K1408" i="32" s="1"/>
  <c r="J1409" i="32"/>
  <c r="K1409" i="32" s="1"/>
  <c r="J1410" i="32"/>
  <c r="K1410" i="32" s="1"/>
  <c r="J1411" i="32"/>
  <c r="K1411" i="32" s="1"/>
  <c r="J1412" i="32"/>
  <c r="K1412" i="32" s="1"/>
  <c r="J1413" i="32"/>
  <c r="K1413" i="32" s="1"/>
  <c r="J1414" i="32"/>
  <c r="K1414" i="32" s="1"/>
  <c r="J1415" i="32"/>
  <c r="K1415" i="32" s="1"/>
  <c r="J1416" i="32"/>
  <c r="K1416" i="32" s="1"/>
  <c r="J1417" i="32"/>
  <c r="K1417" i="32" s="1"/>
  <c r="J1418" i="32"/>
  <c r="K1418" i="32" s="1"/>
  <c r="J1419" i="32"/>
  <c r="K1419" i="32" s="1"/>
  <c r="J1420" i="32"/>
  <c r="K1420" i="32" s="1"/>
  <c r="J1421" i="32"/>
  <c r="K1421" i="32" s="1"/>
  <c r="J1422" i="32"/>
  <c r="K1422" i="32" s="1"/>
  <c r="J1423" i="32"/>
  <c r="K1423" i="32" s="1"/>
  <c r="J1424" i="32"/>
  <c r="K1424" i="32" s="1"/>
  <c r="J1425" i="32"/>
  <c r="K1425" i="32" s="1"/>
  <c r="J1426" i="32"/>
  <c r="K1426" i="32" s="1"/>
  <c r="J1427" i="32"/>
  <c r="K1427" i="32" s="1"/>
  <c r="J1428" i="32"/>
  <c r="K1428" i="32" s="1"/>
  <c r="J1429" i="32"/>
  <c r="K1429" i="32" s="1"/>
  <c r="J1430" i="32"/>
  <c r="K1430" i="32" s="1"/>
  <c r="J1431" i="32"/>
  <c r="K1431" i="32" s="1"/>
  <c r="J1432" i="32"/>
  <c r="K1432" i="32" s="1"/>
  <c r="J1433" i="32"/>
  <c r="K1433" i="32" s="1"/>
  <c r="J1434" i="32"/>
  <c r="K1434" i="32" s="1"/>
  <c r="J1435" i="32"/>
  <c r="K1435" i="32" s="1"/>
  <c r="J1436" i="32"/>
  <c r="K1436" i="32" s="1"/>
  <c r="J1437" i="32"/>
  <c r="K1437" i="32" s="1"/>
  <c r="J1438" i="32"/>
  <c r="K1438" i="32" s="1"/>
  <c r="J1439" i="32"/>
  <c r="K1439" i="32" s="1"/>
  <c r="J1440" i="32"/>
  <c r="K1440" i="32" s="1"/>
  <c r="J1441" i="32"/>
  <c r="K1441" i="32" s="1"/>
  <c r="J1442" i="32"/>
  <c r="K1442" i="32" s="1"/>
  <c r="J1443" i="32"/>
  <c r="K1443" i="32" s="1"/>
  <c r="J1444" i="32"/>
  <c r="K1444" i="32" s="1"/>
  <c r="J1445" i="32"/>
  <c r="K1445" i="32" s="1"/>
  <c r="J1446" i="32"/>
  <c r="K1446" i="32" s="1"/>
  <c r="J1447" i="32"/>
  <c r="K1447" i="32" s="1"/>
  <c r="J1448" i="32"/>
  <c r="K1448" i="32" s="1"/>
  <c r="J1449" i="32"/>
  <c r="K1449" i="32" s="1"/>
  <c r="J1450" i="32"/>
  <c r="K1450" i="32" s="1"/>
  <c r="J1451" i="32"/>
  <c r="K1451" i="32" s="1"/>
  <c r="J1452" i="32"/>
  <c r="K1452" i="32" s="1"/>
  <c r="J1453" i="32"/>
  <c r="K1453" i="32" s="1"/>
  <c r="J1454" i="32"/>
  <c r="K1454" i="32" s="1"/>
  <c r="J1455" i="32"/>
  <c r="K1455" i="32" s="1"/>
  <c r="J1456" i="32"/>
  <c r="K1456" i="32" s="1"/>
  <c r="J1457" i="32"/>
  <c r="K1457" i="32" s="1"/>
  <c r="J1458" i="32"/>
  <c r="K1458" i="32" s="1"/>
  <c r="J1459" i="32"/>
  <c r="K1459" i="32" s="1"/>
  <c r="J1460" i="32"/>
  <c r="K1460" i="32" s="1"/>
  <c r="J1461" i="32"/>
  <c r="K1461" i="32" s="1"/>
  <c r="J1462" i="32"/>
  <c r="K1462" i="32" s="1"/>
  <c r="J1463" i="32"/>
  <c r="K1463" i="32" s="1"/>
  <c r="J1464" i="32"/>
  <c r="K1464" i="32" s="1"/>
  <c r="J1465" i="32"/>
  <c r="K1465" i="32" s="1"/>
  <c r="J1466" i="32"/>
  <c r="K1466" i="32" s="1"/>
  <c r="J1467" i="32"/>
  <c r="K1467" i="32" s="1"/>
  <c r="J1468" i="32"/>
  <c r="K1468" i="32" s="1"/>
  <c r="J1469" i="32"/>
  <c r="K1469" i="32" s="1"/>
  <c r="J1470" i="32"/>
  <c r="K1470" i="32" s="1"/>
  <c r="J1471" i="32"/>
  <c r="K1471" i="32" s="1"/>
  <c r="J1472" i="32"/>
  <c r="K1472" i="32" s="1"/>
  <c r="J1473" i="32"/>
  <c r="K1473" i="32" s="1"/>
  <c r="J1474" i="32"/>
  <c r="K1474" i="32" s="1"/>
  <c r="J1475" i="32"/>
  <c r="K1475" i="32" s="1"/>
  <c r="J1476" i="32"/>
  <c r="K1476" i="32" s="1"/>
  <c r="J1477" i="32"/>
  <c r="K1477" i="32" s="1"/>
  <c r="J1478" i="32"/>
  <c r="K1478" i="32" s="1"/>
  <c r="J1479" i="32"/>
  <c r="K1479" i="32" s="1"/>
  <c r="J1480" i="32"/>
  <c r="K1480" i="32" s="1"/>
  <c r="J1481" i="32"/>
  <c r="K1481" i="32" s="1"/>
  <c r="J1482" i="32"/>
  <c r="K1482" i="32" s="1"/>
  <c r="J1483" i="32"/>
  <c r="K1483" i="32" s="1"/>
  <c r="J1484" i="32"/>
  <c r="K1484" i="32" s="1"/>
  <c r="J1485" i="32"/>
  <c r="K1485" i="32" s="1"/>
  <c r="J1486" i="32"/>
  <c r="K1486" i="32" s="1"/>
  <c r="J1487" i="32"/>
  <c r="K1487" i="32" s="1"/>
  <c r="J1488" i="32"/>
  <c r="K1488" i="32" s="1"/>
  <c r="J1489" i="32"/>
  <c r="K1489" i="32" s="1"/>
  <c r="J1490" i="32"/>
  <c r="K1490" i="32" s="1"/>
  <c r="J1491" i="32"/>
  <c r="K1491" i="32" s="1"/>
  <c r="J1492" i="32"/>
  <c r="K1492" i="32" s="1"/>
  <c r="J1493" i="32"/>
  <c r="K1493" i="32" s="1"/>
  <c r="J1494" i="32"/>
  <c r="K1494" i="32" s="1"/>
  <c r="J1495" i="32"/>
  <c r="K1495" i="32" s="1"/>
  <c r="J1496" i="32"/>
  <c r="K1496" i="32" s="1"/>
  <c r="J1497" i="32"/>
  <c r="K1497" i="32" s="1"/>
  <c r="J1498" i="32"/>
  <c r="K1498" i="32" s="1"/>
  <c r="J1499" i="32"/>
  <c r="K1499" i="32" s="1"/>
  <c r="J1500" i="32"/>
  <c r="K1500" i="32" s="1"/>
  <c r="J1501" i="32"/>
  <c r="K1501" i="32" s="1"/>
  <c r="J1502" i="32"/>
  <c r="K1502" i="32" s="1"/>
  <c r="J1503" i="32"/>
  <c r="K1503" i="32" s="1"/>
  <c r="J1504" i="32"/>
  <c r="K1504" i="32" s="1"/>
  <c r="J1505" i="32"/>
  <c r="K1505" i="32" s="1"/>
  <c r="J1506" i="32"/>
  <c r="K1506" i="32" s="1"/>
  <c r="J1507" i="32"/>
  <c r="K1507" i="32" s="1"/>
  <c r="J1508" i="32"/>
  <c r="K1508" i="32" s="1"/>
  <c r="J1509" i="32"/>
  <c r="K1509" i="32" s="1"/>
  <c r="J1510" i="32"/>
  <c r="K1510" i="32" s="1"/>
  <c r="J1511" i="32"/>
  <c r="K1511" i="32" s="1"/>
  <c r="J1512" i="32"/>
  <c r="K1512" i="32" s="1"/>
  <c r="J1513" i="32"/>
  <c r="K1513" i="32" s="1"/>
  <c r="J1514" i="32"/>
  <c r="K1514" i="32" s="1"/>
  <c r="J1515" i="32"/>
  <c r="K1515" i="32" s="1"/>
  <c r="J1516" i="32"/>
  <c r="K1516" i="32" s="1"/>
  <c r="J1517" i="32"/>
  <c r="K1517" i="32" s="1"/>
  <c r="J1518" i="32"/>
  <c r="K1518" i="32" s="1"/>
  <c r="J1519" i="32"/>
  <c r="K1519" i="32" s="1"/>
  <c r="J1520" i="32"/>
  <c r="K1520" i="32" s="1"/>
  <c r="J1521" i="32"/>
  <c r="K1521" i="32" s="1"/>
  <c r="J1522" i="32"/>
  <c r="K1522" i="32" s="1"/>
  <c r="J1523" i="32"/>
  <c r="K1523" i="32" s="1"/>
  <c r="J1524" i="32"/>
  <c r="K1524" i="32" s="1"/>
  <c r="J1525" i="32"/>
  <c r="K1525" i="32" s="1"/>
  <c r="J1526" i="32"/>
  <c r="K1526" i="32" s="1"/>
  <c r="J1527" i="32"/>
  <c r="K1527" i="32" s="1"/>
  <c r="J1528" i="32"/>
  <c r="K1528" i="32" s="1"/>
  <c r="J1529" i="32"/>
  <c r="K1529" i="32" s="1"/>
  <c r="J1530" i="32"/>
  <c r="K1530" i="32" s="1"/>
  <c r="J1531" i="32"/>
  <c r="K1531" i="32" s="1"/>
  <c r="J1532" i="32"/>
  <c r="K1532" i="32" s="1"/>
  <c r="J1533" i="32"/>
  <c r="K1533" i="32" s="1"/>
  <c r="J1534" i="32"/>
  <c r="K1534" i="32" s="1"/>
  <c r="J1535" i="32"/>
  <c r="K1535" i="32" s="1"/>
  <c r="J1536" i="32"/>
  <c r="K1536" i="32" s="1"/>
  <c r="J1537" i="32"/>
  <c r="K1537" i="32" s="1"/>
  <c r="J1538" i="32"/>
  <c r="K1538" i="32" s="1"/>
  <c r="J1539" i="32"/>
  <c r="K1539" i="32" s="1"/>
  <c r="J1540" i="32"/>
  <c r="K1540" i="32" s="1"/>
  <c r="J1541" i="32"/>
  <c r="K1541" i="32" s="1"/>
  <c r="J1542" i="32"/>
  <c r="K1542" i="32" s="1"/>
  <c r="J1543" i="32"/>
  <c r="K1543" i="32" s="1"/>
  <c r="J1544" i="32"/>
  <c r="K1544" i="32" s="1"/>
  <c r="J1545" i="32"/>
  <c r="K1545" i="32" s="1"/>
  <c r="J1546" i="32"/>
  <c r="K1546" i="32" s="1"/>
  <c r="J1547" i="32"/>
  <c r="K1547" i="32" s="1"/>
  <c r="J1548" i="32"/>
  <c r="K1548" i="32" s="1"/>
  <c r="J1549" i="32"/>
  <c r="K1549" i="32" s="1"/>
  <c r="J1550" i="32"/>
  <c r="K1550" i="32" s="1"/>
  <c r="J1551" i="32"/>
  <c r="K1551" i="32" s="1"/>
  <c r="J1552" i="32"/>
  <c r="K1552" i="32" s="1"/>
  <c r="J1553" i="32"/>
  <c r="K1553" i="32" s="1"/>
  <c r="J1554" i="32"/>
  <c r="K1554" i="32" s="1"/>
  <c r="J1555" i="32"/>
  <c r="K1555" i="32" s="1"/>
  <c r="J1556" i="32"/>
  <c r="K1556" i="32" s="1"/>
  <c r="J1557" i="32"/>
  <c r="K1557" i="32" s="1"/>
  <c r="J1558" i="32"/>
  <c r="K1558" i="32" s="1"/>
  <c r="J1559" i="32"/>
  <c r="K1559" i="32" s="1"/>
  <c r="J1560" i="32"/>
  <c r="K1560" i="32" s="1"/>
  <c r="J1561" i="32"/>
  <c r="K1561" i="32" s="1"/>
  <c r="J1562" i="32"/>
  <c r="K1562" i="32" s="1"/>
  <c r="J1563" i="32"/>
  <c r="K1563" i="32" s="1"/>
  <c r="J1564" i="32"/>
  <c r="K1564" i="32" s="1"/>
  <c r="J1565" i="32"/>
  <c r="K1565" i="32" s="1"/>
  <c r="J1566" i="32"/>
  <c r="K1566" i="32" s="1"/>
  <c r="J1567" i="32"/>
  <c r="K1567" i="32" s="1"/>
  <c r="J1568" i="32"/>
  <c r="K1568" i="32" s="1"/>
  <c r="J1569" i="32"/>
  <c r="K1569" i="32" s="1"/>
  <c r="J1570" i="32"/>
  <c r="K1570" i="32" s="1"/>
  <c r="J1571" i="32"/>
  <c r="K1571" i="32" s="1"/>
  <c r="J1572" i="32"/>
  <c r="K1572" i="32" s="1"/>
  <c r="J1573" i="32"/>
  <c r="K1573" i="32" s="1"/>
  <c r="J1574" i="32"/>
  <c r="K1574" i="32" s="1"/>
  <c r="J1575" i="32"/>
  <c r="K1575" i="32" s="1"/>
  <c r="J1576" i="32"/>
  <c r="K1576" i="32" s="1"/>
  <c r="J1577" i="32"/>
  <c r="K1577" i="32" s="1"/>
  <c r="J1578" i="32"/>
  <c r="K1578" i="32" s="1"/>
  <c r="J1579" i="32"/>
  <c r="K1579" i="32" s="1"/>
  <c r="J1580" i="32"/>
  <c r="K1580" i="32" s="1"/>
  <c r="J1581" i="32"/>
  <c r="K1581" i="32" s="1"/>
  <c r="J1582" i="32"/>
  <c r="K1582" i="32" s="1"/>
  <c r="J1583" i="32"/>
  <c r="K1583" i="32" s="1"/>
  <c r="J1584" i="32"/>
  <c r="K1584" i="32" s="1"/>
  <c r="J1585" i="32"/>
  <c r="K1585" i="32" s="1"/>
  <c r="J1586" i="32"/>
  <c r="K1586" i="32" s="1"/>
  <c r="J1587" i="32"/>
  <c r="K1587" i="32" s="1"/>
  <c r="J1588" i="32"/>
  <c r="K1588" i="32" s="1"/>
  <c r="J1589" i="32"/>
  <c r="K1589" i="32" s="1"/>
  <c r="J1590" i="32"/>
  <c r="K1590" i="32" s="1"/>
  <c r="J1591" i="32"/>
  <c r="K1591" i="32" s="1"/>
  <c r="J1592" i="32"/>
  <c r="K1592" i="32" s="1"/>
  <c r="J1593" i="32"/>
  <c r="K1593" i="32" s="1"/>
  <c r="J1594" i="32"/>
  <c r="K1594" i="32" s="1"/>
  <c r="J1595" i="32"/>
  <c r="K1595" i="32" s="1"/>
  <c r="J1596" i="32"/>
  <c r="K1596" i="32" s="1"/>
  <c r="J1597" i="32"/>
  <c r="K1597" i="32" s="1"/>
  <c r="J1598" i="32"/>
  <c r="K1598" i="32" s="1"/>
  <c r="J1599" i="32"/>
  <c r="K1599" i="32" s="1"/>
  <c r="J1600" i="32"/>
  <c r="K1600" i="32" s="1"/>
  <c r="J1601" i="32"/>
  <c r="K1601" i="32" s="1"/>
  <c r="J1602" i="32"/>
  <c r="K1602" i="32" s="1"/>
  <c r="J1603" i="32"/>
  <c r="K1603" i="32" s="1"/>
  <c r="J1604" i="32"/>
  <c r="K1604" i="32" s="1"/>
  <c r="J1605" i="32"/>
  <c r="K1605" i="32" s="1"/>
  <c r="J1606" i="32"/>
  <c r="K1606" i="32" s="1"/>
  <c r="J1607" i="32"/>
  <c r="K1607" i="32" s="1"/>
  <c r="J1608" i="32"/>
  <c r="K1608" i="32" s="1"/>
  <c r="J1609" i="32"/>
  <c r="K1609" i="32" s="1"/>
  <c r="J1610" i="32"/>
  <c r="K1610" i="32" s="1"/>
  <c r="J1611" i="32"/>
  <c r="K1611" i="32" s="1"/>
  <c r="J1612" i="32"/>
  <c r="K1612" i="32" s="1"/>
  <c r="J1613" i="32"/>
  <c r="K1613" i="32" s="1"/>
  <c r="J1614" i="32"/>
  <c r="K1614" i="32" s="1"/>
  <c r="J1615" i="32"/>
  <c r="K1615" i="32" s="1"/>
  <c r="J1616" i="32"/>
  <c r="K1616" i="32" s="1"/>
  <c r="J1617" i="32"/>
  <c r="K1617" i="32" s="1"/>
  <c r="J1618" i="32"/>
  <c r="K1618" i="32" s="1"/>
  <c r="J1619" i="32"/>
  <c r="K1619" i="32" s="1"/>
  <c r="J1620" i="32"/>
  <c r="K1620" i="32" s="1"/>
  <c r="J1621" i="32"/>
  <c r="K1621" i="32" s="1"/>
  <c r="J1622" i="32"/>
  <c r="K1622" i="32" s="1"/>
  <c r="J1623" i="32"/>
  <c r="K1623" i="32" s="1"/>
  <c r="J1624" i="32"/>
  <c r="K1624" i="32" s="1"/>
  <c r="J1625" i="32"/>
  <c r="K1625" i="32" s="1"/>
  <c r="J1626" i="32"/>
  <c r="K1626" i="32" s="1"/>
  <c r="J1627" i="32"/>
  <c r="K1627" i="32" s="1"/>
  <c r="J1628" i="32"/>
  <c r="K1628" i="32" s="1"/>
  <c r="J1629" i="32"/>
  <c r="K1629" i="32" s="1"/>
  <c r="J1630" i="32"/>
  <c r="K1630" i="32" s="1"/>
  <c r="J1631" i="32"/>
  <c r="K1631" i="32" s="1"/>
  <c r="J1632" i="32"/>
  <c r="K1632" i="32" s="1"/>
  <c r="J1633" i="32"/>
  <c r="K1633" i="32" s="1"/>
  <c r="J1634" i="32"/>
  <c r="K1634" i="32" s="1"/>
  <c r="J1635" i="32"/>
  <c r="K1635" i="32" s="1"/>
  <c r="J1636" i="32"/>
  <c r="K1636" i="32" s="1"/>
  <c r="J1637" i="32"/>
  <c r="K1637" i="32" s="1"/>
  <c r="J1638" i="32"/>
  <c r="K1638" i="32" s="1"/>
  <c r="J1639" i="32"/>
  <c r="K1639" i="32" s="1"/>
  <c r="J1640" i="32"/>
  <c r="K1640" i="32" s="1"/>
  <c r="J1641" i="32"/>
  <c r="K1641" i="32" s="1"/>
  <c r="J1642" i="32"/>
  <c r="K1642" i="32" s="1"/>
  <c r="J1643" i="32"/>
  <c r="K1643" i="32" s="1"/>
  <c r="J1644" i="32"/>
  <c r="K1644" i="32" s="1"/>
  <c r="J1645" i="32"/>
  <c r="K1645" i="32" s="1"/>
  <c r="J1646" i="32"/>
  <c r="K1646" i="32" s="1"/>
  <c r="J1647" i="32"/>
  <c r="K1647" i="32" s="1"/>
  <c r="J1648" i="32"/>
  <c r="K1648" i="32" s="1"/>
  <c r="J1649" i="32"/>
  <c r="K1649" i="32" s="1"/>
  <c r="J1650" i="32"/>
  <c r="K1650" i="32" s="1"/>
  <c r="J1651" i="32"/>
  <c r="K1651" i="32" s="1"/>
  <c r="J1652" i="32"/>
  <c r="K1652" i="32" s="1"/>
  <c r="J1653" i="32"/>
  <c r="K1653" i="32" s="1"/>
  <c r="J1654" i="32"/>
  <c r="K1654" i="32" s="1"/>
  <c r="J1655" i="32"/>
  <c r="K1655" i="32" s="1"/>
  <c r="J1656" i="32"/>
  <c r="K1656" i="32" s="1"/>
  <c r="J1657" i="32"/>
  <c r="K1657" i="32" s="1"/>
  <c r="J1658" i="32"/>
  <c r="K1658" i="32" s="1"/>
  <c r="J1659" i="32"/>
  <c r="K1659" i="32" s="1"/>
  <c r="J1660" i="32"/>
  <c r="K1660" i="32" s="1"/>
  <c r="J1661" i="32"/>
  <c r="K1661" i="32" s="1"/>
  <c r="J1662" i="32"/>
  <c r="K1662" i="32" s="1"/>
  <c r="J1663" i="32"/>
  <c r="K1663" i="32" s="1"/>
  <c r="J1664" i="32"/>
  <c r="K1664" i="32" s="1"/>
  <c r="J1665" i="32"/>
  <c r="K1665" i="32" s="1"/>
  <c r="J1666" i="32"/>
  <c r="K1666" i="32" s="1"/>
  <c r="J1667" i="32"/>
  <c r="K1667" i="32" s="1"/>
  <c r="J1668" i="32"/>
  <c r="K1668" i="32" s="1"/>
  <c r="J1669" i="32"/>
  <c r="K1669" i="32" s="1"/>
  <c r="J1670" i="32"/>
  <c r="K1670" i="32" s="1"/>
  <c r="J1671" i="32"/>
  <c r="K1671" i="32" s="1"/>
  <c r="J1672" i="32"/>
  <c r="K1672" i="32" s="1"/>
  <c r="J1673" i="32"/>
  <c r="K1673" i="32" s="1"/>
  <c r="J1674" i="32"/>
  <c r="K1674" i="32" s="1"/>
  <c r="J1675" i="32"/>
  <c r="K1675" i="32" s="1"/>
  <c r="J1676" i="32"/>
  <c r="K1676" i="32" s="1"/>
  <c r="J1677" i="32"/>
  <c r="K1677" i="32" s="1"/>
  <c r="J1678" i="32"/>
  <c r="K1678" i="32" s="1"/>
  <c r="J1679" i="32"/>
  <c r="K1679" i="32" s="1"/>
  <c r="J1680" i="32"/>
  <c r="K1680" i="32" s="1"/>
  <c r="J1681" i="32"/>
  <c r="K1681" i="32" s="1"/>
  <c r="J1682" i="32"/>
  <c r="K1682" i="32" s="1"/>
  <c r="J1683" i="32"/>
  <c r="K1683" i="32" s="1"/>
  <c r="J1684" i="32"/>
  <c r="K1684" i="32" s="1"/>
  <c r="J1685" i="32"/>
  <c r="K1685" i="32" s="1"/>
  <c r="J1686" i="32"/>
  <c r="K1686" i="32" s="1"/>
  <c r="J1687" i="32"/>
  <c r="K1687" i="32" s="1"/>
  <c r="J1688" i="32"/>
  <c r="K1688" i="32" s="1"/>
  <c r="J1689" i="32"/>
  <c r="K1689" i="32" s="1"/>
  <c r="J1690" i="32"/>
  <c r="K1690" i="32" s="1"/>
  <c r="J1691" i="32"/>
  <c r="K1691" i="32" s="1"/>
  <c r="J1692" i="32"/>
  <c r="K1692" i="32" s="1"/>
  <c r="J1693" i="32"/>
  <c r="K1693" i="32" s="1"/>
  <c r="J1694" i="32"/>
  <c r="K1694" i="32" s="1"/>
  <c r="J1695" i="32"/>
  <c r="K1695" i="32" s="1"/>
  <c r="J1696" i="32"/>
  <c r="K1696" i="32" s="1"/>
  <c r="J1697" i="32"/>
  <c r="K1697" i="32" s="1"/>
  <c r="J1698" i="32"/>
  <c r="K1698" i="32" s="1"/>
  <c r="J1699" i="32"/>
  <c r="K1699" i="32" s="1"/>
  <c r="J1700" i="32"/>
  <c r="K1700" i="32" s="1"/>
  <c r="J1701" i="32"/>
  <c r="K1701" i="32" s="1"/>
  <c r="J1702" i="32"/>
  <c r="K1702" i="32" s="1"/>
  <c r="J1703" i="32"/>
  <c r="K1703" i="32" s="1"/>
  <c r="J1704" i="32"/>
  <c r="K1704" i="32" s="1"/>
  <c r="J1705" i="32"/>
  <c r="K1705" i="32" s="1"/>
  <c r="J1706" i="32"/>
  <c r="K1706" i="32" s="1"/>
  <c r="J1707" i="32"/>
  <c r="K1707" i="32" s="1"/>
  <c r="J1708" i="32"/>
  <c r="K1708" i="32" s="1"/>
  <c r="J1709" i="32"/>
  <c r="K1709" i="32" s="1"/>
  <c r="J1710" i="32"/>
  <c r="K1710" i="32" s="1"/>
  <c r="J1711" i="32"/>
  <c r="K1711" i="32" s="1"/>
  <c r="J1712" i="32"/>
  <c r="K1712" i="32" s="1"/>
  <c r="J1713" i="32"/>
  <c r="K1713" i="32" s="1"/>
  <c r="J1714" i="32"/>
  <c r="K1714" i="32" s="1"/>
  <c r="J1715" i="32"/>
  <c r="K1715" i="32" s="1"/>
  <c r="J1716" i="32"/>
  <c r="K1716" i="32" s="1"/>
  <c r="J1717" i="32"/>
  <c r="K1717" i="32" s="1"/>
  <c r="J1718" i="32"/>
  <c r="K1718" i="32" s="1"/>
  <c r="J1719" i="32"/>
  <c r="K1719" i="32" s="1"/>
  <c r="J1720" i="32"/>
  <c r="K1720" i="32" s="1"/>
  <c r="J1721" i="32"/>
  <c r="K1721" i="32" s="1"/>
  <c r="J1722" i="32"/>
  <c r="K1722" i="32" s="1"/>
  <c r="J1723" i="32"/>
  <c r="K1723" i="32" s="1"/>
  <c r="J1724" i="32"/>
  <c r="K1724" i="32" s="1"/>
  <c r="J1725" i="32"/>
  <c r="K1725" i="32" s="1"/>
  <c r="J1726" i="32"/>
  <c r="K1726" i="32" s="1"/>
  <c r="J1727" i="32"/>
  <c r="K1727" i="32" s="1"/>
  <c r="J1728" i="32"/>
  <c r="K1728" i="32" s="1"/>
  <c r="J1729" i="32"/>
  <c r="K1729" i="32" s="1"/>
  <c r="J1730" i="32"/>
  <c r="K1730" i="32" s="1"/>
  <c r="J1731" i="32"/>
  <c r="K1731" i="32" s="1"/>
  <c r="J1732" i="32"/>
  <c r="K1732" i="32" s="1"/>
  <c r="J1733" i="32"/>
  <c r="K1733" i="32" s="1"/>
  <c r="J1734" i="32"/>
  <c r="K1734" i="32" s="1"/>
  <c r="J1735" i="32"/>
  <c r="K1735" i="32" s="1"/>
  <c r="J1736" i="32"/>
  <c r="K1736" i="32" s="1"/>
  <c r="J1737" i="32"/>
  <c r="K1737" i="32" s="1"/>
  <c r="J1738" i="32"/>
  <c r="K1738" i="32" s="1"/>
  <c r="J1739" i="32"/>
  <c r="K1739" i="32" s="1"/>
  <c r="J1740" i="32"/>
  <c r="K1740" i="32" s="1"/>
  <c r="J1741" i="32"/>
  <c r="K1741" i="32" s="1"/>
  <c r="J1742" i="32"/>
  <c r="K1742" i="32" s="1"/>
  <c r="J1743" i="32"/>
  <c r="K1743" i="32" s="1"/>
  <c r="J1744" i="32"/>
  <c r="K1744" i="32" s="1"/>
  <c r="J1745" i="32"/>
  <c r="K1745" i="32" s="1"/>
  <c r="J1746" i="32"/>
  <c r="K1746" i="32" s="1"/>
  <c r="J1747" i="32"/>
  <c r="K1747" i="32" s="1"/>
  <c r="J1748" i="32"/>
  <c r="K1748" i="32" s="1"/>
  <c r="J1749" i="32"/>
  <c r="K1749" i="32" s="1"/>
  <c r="J1750" i="32"/>
  <c r="K1750" i="32" s="1"/>
  <c r="J1751" i="32"/>
  <c r="K1751" i="32" s="1"/>
  <c r="J1752" i="32"/>
  <c r="K1752" i="32" s="1"/>
  <c r="J1753" i="32"/>
  <c r="K1753" i="32" s="1"/>
  <c r="J1754" i="32"/>
  <c r="K1754" i="32" s="1"/>
  <c r="J1755" i="32"/>
  <c r="K1755" i="32" s="1"/>
  <c r="J1756" i="32"/>
  <c r="K1756" i="32" s="1"/>
  <c r="J1757" i="32"/>
  <c r="K1757" i="32" s="1"/>
  <c r="J1758" i="32"/>
  <c r="K1758" i="32" s="1"/>
  <c r="J1759" i="32"/>
  <c r="K1759" i="32" s="1"/>
  <c r="J1760" i="32"/>
  <c r="K1760" i="32" s="1"/>
  <c r="J1761" i="32"/>
  <c r="K1761" i="32" s="1"/>
  <c r="J1762" i="32"/>
  <c r="K1762" i="32" s="1"/>
  <c r="J1763" i="32"/>
  <c r="K1763" i="32" s="1"/>
  <c r="J1764" i="32"/>
  <c r="K1764" i="32" s="1"/>
  <c r="J1765" i="32"/>
  <c r="K1765" i="32" s="1"/>
  <c r="J1766" i="32"/>
  <c r="K1766" i="32" s="1"/>
  <c r="J1767" i="32"/>
  <c r="K1767" i="32" s="1"/>
  <c r="J1768" i="32"/>
  <c r="K1768" i="32" s="1"/>
  <c r="J1769" i="32"/>
  <c r="K1769" i="32" s="1"/>
  <c r="J1770" i="32"/>
  <c r="K1770" i="32" s="1"/>
  <c r="J1771" i="32"/>
  <c r="K1771" i="32" s="1"/>
  <c r="J1772" i="32"/>
  <c r="K1772" i="32" s="1"/>
  <c r="J1773" i="32"/>
  <c r="K1773" i="32" s="1"/>
  <c r="J1774" i="32"/>
  <c r="K1774" i="32" s="1"/>
  <c r="J1775" i="32"/>
  <c r="K1775" i="32" s="1"/>
  <c r="J1776" i="32"/>
  <c r="K1776" i="32" s="1"/>
  <c r="J1777" i="32"/>
  <c r="K1777" i="32" s="1"/>
  <c r="J1778" i="32"/>
  <c r="K1778" i="32" s="1"/>
  <c r="J1779" i="32"/>
  <c r="K1779" i="32" s="1"/>
  <c r="J1780" i="32"/>
  <c r="K1780" i="32" s="1"/>
  <c r="J1781" i="32"/>
  <c r="K1781" i="32" s="1"/>
  <c r="J1782" i="32"/>
  <c r="K1782" i="32" s="1"/>
  <c r="J1783" i="32"/>
  <c r="K1783" i="32" s="1"/>
  <c r="J1784" i="32"/>
  <c r="K1784" i="32" s="1"/>
  <c r="J1785" i="32"/>
  <c r="K1785" i="32" s="1"/>
  <c r="J1786" i="32"/>
  <c r="K1786" i="32" s="1"/>
  <c r="J1787" i="32"/>
  <c r="K1787" i="32" s="1"/>
  <c r="J1788" i="32"/>
  <c r="K1788" i="32" s="1"/>
  <c r="J1789" i="32"/>
  <c r="K1789" i="32" s="1"/>
  <c r="J1790" i="32"/>
  <c r="K1790" i="32" s="1"/>
  <c r="J1791" i="32"/>
  <c r="K1791" i="32" s="1"/>
  <c r="J1792" i="32"/>
  <c r="K1792" i="32" s="1"/>
  <c r="J1793" i="32"/>
  <c r="K1793" i="32" s="1"/>
  <c r="J1794" i="32"/>
  <c r="K1794" i="32" s="1"/>
  <c r="J1795" i="32"/>
  <c r="K1795" i="32" s="1"/>
  <c r="J1796" i="32"/>
  <c r="K1796" i="32" s="1"/>
  <c r="J1797" i="32"/>
  <c r="K1797" i="32" s="1"/>
  <c r="J1798" i="32"/>
  <c r="K1798" i="32" s="1"/>
  <c r="J1799" i="32"/>
  <c r="K1799" i="32" s="1"/>
  <c r="J1800" i="32"/>
  <c r="K1800" i="32" s="1"/>
  <c r="J1801" i="32"/>
  <c r="K1801" i="32" s="1"/>
  <c r="J1802" i="32"/>
  <c r="K1802" i="32" s="1"/>
  <c r="J1803" i="32"/>
  <c r="K1803" i="32" s="1"/>
  <c r="J1804" i="32"/>
  <c r="K1804" i="32" s="1"/>
  <c r="J1805" i="32"/>
  <c r="K1805" i="32" s="1"/>
  <c r="J1806" i="32"/>
  <c r="K1806" i="32" s="1"/>
  <c r="J1807" i="32"/>
  <c r="K1807" i="32" s="1"/>
  <c r="J1808" i="32"/>
  <c r="K1808" i="32" s="1"/>
  <c r="J1809" i="32"/>
  <c r="K1809" i="32" s="1"/>
  <c r="J1810" i="32"/>
  <c r="K1810" i="32" s="1"/>
  <c r="J1811" i="32"/>
  <c r="K1811" i="32" s="1"/>
  <c r="J1812" i="32"/>
  <c r="K1812" i="32" s="1"/>
  <c r="J1813" i="32"/>
  <c r="K1813" i="32" s="1"/>
  <c r="J1814" i="32"/>
  <c r="K1814" i="32" s="1"/>
  <c r="J1815" i="32"/>
  <c r="K1815" i="32" s="1"/>
  <c r="J1816" i="32"/>
  <c r="K1816" i="32" s="1"/>
  <c r="J1817" i="32"/>
  <c r="K1817" i="32" s="1"/>
  <c r="J1818" i="32"/>
  <c r="K1818" i="32" s="1"/>
  <c r="J1819" i="32"/>
  <c r="K1819" i="32" s="1"/>
  <c r="J1820" i="32"/>
  <c r="K1820" i="32" s="1"/>
  <c r="J1821" i="32"/>
  <c r="K1821" i="32" s="1"/>
  <c r="J1822" i="32"/>
  <c r="K1822" i="32" s="1"/>
  <c r="J1823" i="32"/>
  <c r="K1823" i="32" s="1"/>
  <c r="J1824" i="32"/>
  <c r="K1824" i="32" s="1"/>
  <c r="J1825" i="32"/>
  <c r="K1825" i="32" s="1"/>
  <c r="J1826" i="32"/>
  <c r="K1826" i="32" s="1"/>
  <c r="J1827" i="32"/>
  <c r="K1827" i="32" s="1"/>
  <c r="J1828" i="32"/>
  <c r="K1828" i="32" s="1"/>
  <c r="J1829" i="32"/>
  <c r="K1829" i="32" s="1"/>
  <c r="J1830" i="32"/>
  <c r="K1830" i="32" s="1"/>
  <c r="J1831" i="32"/>
  <c r="K1831" i="32" s="1"/>
  <c r="J1832" i="32"/>
  <c r="K1832" i="32" s="1"/>
  <c r="J1833" i="32"/>
  <c r="K1833" i="32" s="1"/>
  <c r="J1834" i="32"/>
  <c r="K1834" i="32" s="1"/>
  <c r="J1835" i="32"/>
  <c r="K1835" i="32" s="1"/>
  <c r="J1836" i="32"/>
  <c r="K1836" i="32" s="1"/>
  <c r="J1837" i="32"/>
  <c r="K1837" i="32" s="1"/>
  <c r="J1838" i="32"/>
  <c r="K1838" i="32" s="1"/>
  <c r="J1839" i="32"/>
  <c r="K1839" i="32" s="1"/>
  <c r="J1840" i="32"/>
  <c r="K1840" i="32" s="1"/>
  <c r="J1841" i="32"/>
  <c r="K1841" i="32" s="1"/>
  <c r="J1842" i="32"/>
  <c r="K1842" i="32" s="1"/>
  <c r="J1843" i="32"/>
  <c r="K1843" i="32" s="1"/>
  <c r="J1844" i="32"/>
  <c r="K1844" i="32" s="1"/>
  <c r="J1845" i="32"/>
  <c r="K1845" i="32" s="1"/>
  <c r="J1846" i="32"/>
  <c r="K1846" i="32" s="1"/>
  <c r="J1847" i="32"/>
  <c r="K1847" i="32" s="1"/>
  <c r="J1848" i="32"/>
  <c r="K1848" i="32" s="1"/>
  <c r="J1849" i="32"/>
  <c r="K1849" i="32" s="1"/>
  <c r="J1850" i="32"/>
  <c r="K1850" i="32" s="1"/>
  <c r="J1851" i="32"/>
  <c r="K1851" i="32" s="1"/>
  <c r="J1852" i="32"/>
  <c r="K1852" i="32" s="1"/>
  <c r="J1853" i="32"/>
  <c r="K1853" i="32" s="1"/>
  <c r="J1854" i="32"/>
  <c r="K1854" i="32" s="1"/>
  <c r="J1855" i="32"/>
  <c r="K1855" i="32" s="1"/>
  <c r="J1856" i="32"/>
  <c r="K1856" i="32" s="1"/>
  <c r="J1857" i="32"/>
  <c r="K1857" i="32" s="1"/>
  <c r="J1858" i="32"/>
  <c r="K1858" i="32" s="1"/>
  <c r="J1859" i="32"/>
  <c r="K1859" i="32" s="1"/>
  <c r="J1860" i="32"/>
  <c r="K1860" i="32" s="1"/>
  <c r="J1861" i="32"/>
  <c r="K1861" i="32" s="1"/>
  <c r="J1862" i="32"/>
  <c r="K1862" i="32" s="1"/>
  <c r="J1863" i="32"/>
  <c r="K1863" i="32" s="1"/>
  <c r="J1864" i="32"/>
  <c r="K1864" i="32" s="1"/>
  <c r="J1865" i="32"/>
  <c r="K1865" i="32" s="1"/>
  <c r="J1866" i="32"/>
  <c r="K1866" i="32" s="1"/>
  <c r="J1867" i="32"/>
  <c r="K1867" i="32" s="1"/>
  <c r="J1868" i="32"/>
  <c r="K1868" i="32" s="1"/>
  <c r="J1869" i="32"/>
  <c r="K1869" i="32" s="1"/>
  <c r="J1870" i="32"/>
  <c r="K1870" i="32" s="1"/>
  <c r="J1871" i="32"/>
  <c r="K1871" i="32" s="1"/>
  <c r="J1872" i="32"/>
  <c r="K1872" i="32" s="1"/>
  <c r="J1873" i="32"/>
  <c r="K1873" i="32" s="1"/>
  <c r="J1874" i="32"/>
  <c r="K1874" i="32" s="1"/>
  <c r="J1875" i="32"/>
  <c r="K1875" i="32" s="1"/>
  <c r="J1876" i="32"/>
  <c r="K1876" i="32" s="1"/>
  <c r="J1877" i="32"/>
  <c r="K1877" i="32" s="1"/>
  <c r="J1878" i="32"/>
  <c r="K1878" i="32" s="1"/>
  <c r="J1879" i="32"/>
  <c r="K1879" i="32" s="1"/>
  <c r="J1880" i="32"/>
  <c r="K1880" i="32" s="1"/>
  <c r="J1881" i="32"/>
  <c r="K1881" i="32" s="1"/>
  <c r="J1882" i="32"/>
  <c r="K1882" i="32" s="1"/>
  <c r="J1883" i="32"/>
  <c r="K1883" i="32" s="1"/>
  <c r="J1884" i="32"/>
  <c r="K1884" i="32" s="1"/>
  <c r="J1885" i="32"/>
  <c r="K1885" i="32" s="1"/>
  <c r="J1886" i="32"/>
  <c r="K1886" i="32" s="1"/>
  <c r="J1887" i="32"/>
  <c r="K1887" i="32" s="1"/>
  <c r="J1888" i="32"/>
  <c r="K1888" i="32" s="1"/>
  <c r="J1889" i="32"/>
  <c r="K1889" i="32" s="1"/>
  <c r="J1890" i="32"/>
  <c r="K1890" i="32" s="1"/>
  <c r="J1891" i="32"/>
  <c r="K1891" i="32" s="1"/>
  <c r="J1892" i="32"/>
  <c r="K1892" i="32" s="1"/>
  <c r="J1893" i="32"/>
  <c r="K1893" i="32" s="1"/>
  <c r="J1894" i="32"/>
  <c r="K1894" i="32" s="1"/>
  <c r="J1895" i="32"/>
  <c r="K1895" i="32" s="1"/>
  <c r="J1896" i="32"/>
  <c r="K1896" i="32" s="1"/>
  <c r="J1897" i="32"/>
  <c r="K1897" i="32" s="1"/>
  <c r="J1898" i="32"/>
  <c r="K1898" i="32" s="1"/>
  <c r="J1899" i="32"/>
  <c r="K1899" i="32" s="1"/>
  <c r="J1900" i="32"/>
  <c r="K1900" i="32" s="1"/>
  <c r="J1901" i="32"/>
  <c r="K1901" i="32" s="1"/>
  <c r="J1902" i="32"/>
  <c r="K1902" i="32" s="1"/>
  <c r="J1903" i="32"/>
  <c r="K1903" i="32" s="1"/>
  <c r="J1904" i="32"/>
  <c r="K1904" i="32" s="1"/>
  <c r="J1905" i="32"/>
  <c r="K1905" i="32" s="1"/>
  <c r="J1906" i="32"/>
  <c r="K1906" i="32" s="1"/>
  <c r="J1907" i="32"/>
  <c r="K1907" i="32" s="1"/>
  <c r="J1908" i="32"/>
  <c r="K1908" i="32" s="1"/>
  <c r="J1909" i="32"/>
  <c r="K1909" i="32" s="1"/>
  <c r="J1910" i="32"/>
  <c r="K1910" i="32" s="1"/>
  <c r="J1911" i="32"/>
  <c r="K1911" i="32" s="1"/>
  <c r="J1912" i="32"/>
  <c r="K1912" i="32" s="1"/>
  <c r="J1913" i="32"/>
  <c r="K1913" i="32" s="1"/>
  <c r="J1914" i="32"/>
  <c r="K1914" i="32" s="1"/>
  <c r="J1915" i="32"/>
  <c r="K1915" i="32" s="1"/>
  <c r="J1916" i="32"/>
  <c r="K1916" i="32" s="1"/>
  <c r="J1917" i="32"/>
  <c r="K1917" i="32" s="1"/>
  <c r="J1918" i="32"/>
  <c r="K1918" i="32" s="1"/>
  <c r="J1919" i="32"/>
  <c r="K1919" i="32" s="1"/>
  <c r="J1920" i="32"/>
  <c r="K1920" i="32" s="1"/>
  <c r="J1921" i="32"/>
  <c r="K1921" i="32" s="1"/>
  <c r="J1922" i="32"/>
  <c r="K1922" i="32" s="1"/>
  <c r="J1923" i="32"/>
  <c r="K1923" i="32" s="1"/>
  <c r="J1924" i="32"/>
  <c r="K1924" i="32" s="1"/>
  <c r="J1925" i="32"/>
  <c r="K1925" i="32" s="1"/>
  <c r="J1926" i="32"/>
  <c r="K1926" i="32" s="1"/>
  <c r="J1927" i="32"/>
  <c r="K1927" i="32" s="1"/>
  <c r="J1928" i="32"/>
  <c r="K1928" i="32" s="1"/>
  <c r="J1929" i="32"/>
  <c r="K1929" i="32" s="1"/>
  <c r="J1930" i="32"/>
  <c r="K1930" i="32" s="1"/>
  <c r="J1931" i="32"/>
  <c r="K1931" i="32" s="1"/>
  <c r="J1932" i="32"/>
  <c r="K1932" i="32" s="1"/>
  <c r="J1933" i="32"/>
  <c r="K1933" i="32" s="1"/>
  <c r="J1934" i="32"/>
  <c r="K1934" i="32" s="1"/>
  <c r="J1935" i="32"/>
  <c r="K1935" i="32" s="1"/>
  <c r="J1936" i="32"/>
  <c r="K1936" i="32" s="1"/>
  <c r="J1937" i="32"/>
  <c r="K1937" i="32" s="1"/>
  <c r="J1938" i="32"/>
  <c r="K1938" i="32" s="1"/>
  <c r="J1939" i="32"/>
  <c r="K1939" i="32" s="1"/>
  <c r="J1940" i="32"/>
  <c r="K1940" i="32" s="1"/>
  <c r="J1941" i="32"/>
  <c r="K1941" i="32" s="1"/>
  <c r="J1942" i="32"/>
  <c r="K1942" i="32" s="1"/>
  <c r="J1943" i="32"/>
  <c r="K1943" i="32" s="1"/>
  <c r="J1944" i="32"/>
  <c r="K1944" i="32" s="1"/>
  <c r="J1945" i="32"/>
  <c r="K1945" i="32" s="1"/>
  <c r="J1946" i="32"/>
  <c r="K1946" i="32" s="1"/>
  <c r="J1947" i="32"/>
  <c r="K1947" i="32" s="1"/>
  <c r="J1948" i="32"/>
  <c r="K1948" i="32" s="1"/>
  <c r="J1949" i="32"/>
  <c r="K1949" i="32" s="1"/>
  <c r="J1950" i="32"/>
  <c r="K1950" i="32" s="1"/>
  <c r="J1951" i="32"/>
  <c r="K1951" i="32" s="1"/>
  <c r="J1952" i="32"/>
  <c r="K1952" i="32" s="1"/>
  <c r="J1953" i="32"/>
  <c r="K1953" i="32" s="1"/>
  <c r="J1954" i="32"/>
  <c r="K1954" i="32" s="1"/>
  <c r="J1955" i="32"/>
  <c r="K1955" i="32" s="1"/>
  <c r="J1956" i="32"/>
  <c r="K1956" i="32" s="1"/>
  <c r="J1957" i="32"/>
  <c r="K1957" i="32" s="1"/>
  <c r="J1958" i="32"/>
  <c r="K1958" i="32" s="1"/>
  <c r="J1959" i="32"/>
  <c r="K1959" i="32" s="1"/>
  <c r="J1960" i="32"/>
  <c r="K1960" i="32" s="1"/>
  <c r="J1961" i="32"/>
  <c r="K1961" i="32" s="1"/>
  <c r="J1962" i="32"/>
  <c r="K1962" i="32" s="1"/>
  <c r="J1963" i="32"/>
  <c r="K1963" i="32" s="1"/>
  <c r="J1964" i="32"/>
  <c r="K1964" i="32" s="1"/>
  <c r="J1965" i="32"/>
  <c r="K1965" i="32" s="1"/>
  <c r="J1966" i="32"/>
  <c r="K1966" i="32" s="1"/>
  <c r="J1967" i="32"/>
  <c r="K1967" i="32" s="1"/>
  <c r="J1968" i="32"/>
  <c r="K1968" i="32" s="1"/>
  <c r="J1969" i="32"/>
  <c r="K1969" i="32" s="1"/>
  <c r="J1970" i="32"/>
  <c r="K1970" i="32" s="1"/>
  <c r="J1971" i="32"/>
  <c r="K1971" i="32" s="1"/>
  <c r="J1972" i="32"/>
  <c r="K1972" i="32" s="1"/>
  <c r="J1973" i="32"/>
  <c r="K1973" i="32" s="1"/>
  <c r="J1974" i="32"/>
  <c r="K1974" i="32" s="1"/>
  <c r="J1975" i="32"/>
  <c r="K1975" i="32" s="1"/>
  <c r="J1976" i="32"/>
  <c r="K1976" i="32" s="1"/>
  <c r="J1977" i="32"/>
  <c r="K1977" i="32" s="1"/>
  <c r="J1978" i="32"/>
  <c r="K1978" i="32" s="1"/>
  <c r="J1979" i="32"/>
  <c r="K1979" i="32" s="1"/>
  <c r="J1980" i="32"/>
  <c r="K1980" i="32" s="1"/>
  <c r="J1981" i="32"/>
  <c r="K1981" i="32" s="1"/>
  <c r="J1982" i="32"/>
  <c r="K1982" i="32" s="1"/>
  <c r="J1983" i="32"/>
  <c r="K1983" i="32" s="1"/>
  <c r="J1984" i="32"/>
  <c r="K1984" i="32" s="1"/>
  <c r="J1985" i="32"/>
  <c r="K1985" i="32" s="1"/>
  <c r="J1986" i="32"/>
  <c r="K1986" i="32" s="1"/>
  <c r="J1987" i="32"/>
  <c r="K1987" i="32" s="1"/>
  <c r="J1988" i="32"/>
  <c r="K1988" i="32" s="1"/>
  <c r="J1989" i="32"/>
  <c r="K1989" i="32" s="1"/>
  <c r="J1990" i="32"/>
  <c r="K1990" i="32" s="1"/>
  <c r="J1991" i="32"/>
  <c r="K1991" i="32" s="1"/>
  <c r="J1992" i="32"/>
  <c r="K1992" i="32" s="1"/>
  <c r="J1993" i="32"/>
  <c r="K1993" i="32" s="1"/>
  <c r="J1994" i="32"/>
  <c r="K1994" i="32" s="1"/>
  <c r="J1995" i="32"/>
  <c r="K1995" i="32" s="1"/>
  <c r="J1996" i="32"/>
  <c r="K1996" i="32" s="1"/>
  <c r="J1997" i="32"/>
  <c r="K1997" i="32" s="1"/>
  <c r="J1998" i="32"/>
  <c r="K1998" i="32" s="1"/>
  <c r="J1999" i="32"/>
  <c r="K1999" i="32" s="1"/>
  <c r="J2000" i="32"/>
  <c r="K2000" i="32" s="1"/>
  <c r="J2001" i="32"/>
  <c r="K2001" i="32" s="1"/>
  <c r="J2002" i="32"/>
  <c r="K2002" i="32" s="1"/>
  <c r="J2003" i="32"/>
  <c r="K2003" i="32" s="1"/>
  <c r="J2004" i="32"/>
  <c r="K2004" i="32" s="1"/>
  <c r="J2005" i="32"/>
  <c r="K2005" i="32" s="1"/>
  <c r="J2006" i="32"/>
  <c r="K2006" i="32" s="1"/>
  <c r="J2007" i="32"/>
  <c r="K2007" i="32" s="1"/>
  <c r="J2008" i="32"/>
  <c r="K2008" i="32" s="1"/>
  <c r="J2009" i="32"/>
  <c r="K2009" i="32" s="1"/>
  <c r="J2010" i="32"/>
  <c r="K2010" i="32" s="1"/>
  <c r="J2011" i="32"/>
  <c r="K2011" i="32" s="1"/>
  <c r="J2012" i="32"/>
  <c r="K2012" i="32" s="1"/>
  <c r="J2013" i="32"/>
  <c r="K2013" i="32" s="1"/>
  <c r="J2014" i="32"/>
  <c r="K2014" i="32" s="1"/>
  <c r="J2015" i="32"/>
  <c r="K2015" i="32" s="1"/>
  <c r="J2016" i="32"/>
  <c r="K2016" i="32" s="1"/>
  <c r="J2017" i="32"/>
  <c r="K2017" i="32" s="1"/>
  <c r="J2018" i="32"/>
  <c r="K2018" i="32" s="1"/>
  <c r="J2019" i="32"/>
  <c r="K2019" i="32" s="1"/>
  <c r="J2020" i="32"/>
  <c r="K2020" i="32" s="1"/>
  <c r="J2021" i="32"/>
  <c r="K2021" i="32" s="1"/>
  <c r="J2022" i="32"/>
  <c r="K2022" i="32" s="1"/>
  <c r="J2023" i="32"/>
  <c r="K2023" i="32" s="1"/>
  <c r="J2024" i="32"/>
  <c r="K2024" i="32" s="1"/>
  <c r="J2025" i="32"/>
  <c r="K2025" i="32" s="1"/>
  <c r="J2026" i="32"/>
  <c r="K2026" i="32" s="1"/>
  <c r="J2027" i="32"/>
  <c r="K2027" i="32" s="1"/>
  <c r="J2028" i="32"/>
  <c r="K2028" i="32" s="1"/>
  <c r="J2029" i="32"/>
  <c r="K2029" i="32" s="1"/>
  <c r="J2030" i="32"/>
  <c r="K2030" i="32" s="1"/>
  <c r="J2031" i="32"/>
  <c r="K2031" i="32" s="1"/>
  <c r="J2032" i="32"/>
  <c r="K2032" i="32" s="1"/>
  <c r="J2033" i="32"/>
  <c r="K2033" i="32" s="1"/>
  <c r="J2034" i="32"/>
  <c r="K2034" i="32" s="1"/>
  <c r="J2035" i="32"/>
  <c r="K2035" i="32" s="1"/>
  <c r="J2036" i="32"/>
  <c r="K2036" i="32" s="1"/>
  <c r="J2037" i="32"/>
  <c r="K2037" i="32" s="1"/>
  <c r="J2038" i="32"/>
  <c r="K2038" i="32" s="1"/>
  <c r="J2039" i="32"/>
  <c r="K2039" i="32" s="1"/>
  <c r="J2040" i="32"/>
  <c r="K2040" i="32" s="1"/>
  <c r="J2041" i="32"/>
  <c r="K2041" i="32" s="1"/>
  <c r="J2042" i="32"/>
  <c r="K2042" i="32" s="1"/>
  <c r="J2043" i="32"/>
  <c r="K2043" i="32" s="1"/>
  <c r="J2044" i="32"/>
  <c r="K2044" i="32" s="1"/>
  <c r="J2045" i="32"/>
  <c r="K2045" i="32" s="1"/>
  <c r="J2046" i="32"/>
  <c r="K2046" i="32" s="1"/>
  <c r="J2047" i="32"/>
  <c r="K2047" i="32" s="1"/>
  <c r="J2048" i="32"/>
  <c r="K2048" i="32" s="1"/>
  <c r="J2049" i="32"/>
  <c r="K2049" i="32" s="1"/>
  <c r="J2050" i="32"/>
  <c r="K2050" i="32" s="1"/>
  <c r="J2051" i="32"/>
  <c r="K2051" i="32" s="1"/>
  <c r="J2052" i="32"/>
  <c r="K2052" i="32" s="1"/>
  <c r="J2053" i="32"/>
  <c r="K2053" i="32" s="1"/>
  <c r="J2054" i="32"/>
  <c r="K2054" i="32" s="1"/>
  <c r="J2055" i="32"/>
  <c r="K2055" i="32" s="1"/>
  <c r="J2056" i="32"/>
  <c r="K2056" i="32" s="1"/>
  <c r="J2057" i="32"/>
  <c r="K2057" i="32" s="1"/>
  <c r="J2058" i="32"/>
  <c r="K2058" i="32" s="1"/>
  <c r="J2059" i="32"/>
  <c r="K2059" i="32" s="1"/>
  <c r="J2060" i="32"/>
  <c r="K2060" i="32" s="1"/>
  <c r="J2061" i="32"/>
  <c r="K2061" i="32" s="1"/>
  <c r="J2062" i="32"/>
  <c r="K2062" i="32" s="1"/>
  <c r="J2063" i="32"/>
  <c r="K2063" i="32" s="1"/>
  <c r="J2064" i="32"/>
  <c r="K2064" i="32" s="1"/>
  <c r="J2065" i="32"/>
  <c r="K2065" i="32" s="1"/>
  <c r="J2066" i="32"/>
  <c r="K2066" i="32" s="1"/>
  <c r="J2067" i="32"/>
  <c r="K2067" i="32" s="1"/>
  <c r="J2068" i="32"/>
  <c r="K2068" i="32" s="1"/>
  <c r="J2069" i="32"/>
  <c r="K2069" i="32" s="1"/>
  <c r="J2070" i="32"/>
  <c r="K2070" i="32" s="1"/>
  <c r="J2071" i="32"/>
  <c r="K2071" i="32" s="1"/>
  <c r="J2072" i="32"/>
  <c r="K2072" i="32" s="1"/>
  <c r="J2073" i="32"/>
  <c r="K2073" i="32" s="1"/>
  <c r="J2074" i="32"/>
  <c r="K2074" i="32" s="1"/>
  <c r="J2075" i="32"/>
  <c r="K2075" i="32" s="1"/>
  <c r="J2076" i="32"/>
  <c r="K2076" i="32" s="1"/>
  <c r="J2077" i="32"/>
  <c r="K2077" i="32" s="1"/>
  <c r="J2078" i="32"/>
  <c r="K2078" i="32" s="1"/>
  <c r="J2079" i="32"/>
  <c r="K2079" i="32" s="1"/>
  <c r="J2080" i="32"/>
  <c r="K2080" i="32" s="1"/>
  <c r="J2081" i="32"/>
  <c r="K2081" i="32" s="1"/>
  <c r="J2082" i="32"/>
  <c r="K2082" i="32" s="1"/>
  <c r="J2083" i="32"/>
  <c r="K2083" i="32" s="1"/>
  <c r="J2084" i="32"/>
  <c r="K2084" i="32" s="1"/>
  <c r="J2085" i="32"/>
  <c r="K2085" i="32" s="1"/>
  <c r="J2086" i="32"/>
  <c r="K2086" i="32" s="1"/>
  <c r="J2087" i="32"/>
  <c r="K2087" i="32" s="1"/>
  <c r="J2088" i="32"/>
  <c r="K2088" i="32" s="1"/>
  <c r="J2089" i="32"/>
  <c r="K2089" i="32" s="1"/>
  <c r="J2090" i="32"/>
  <c r="K2090" i="32" s="1"/>
  <c r="J2091" i="32"/>
  <c r="K2091" i="32" s="1"/>
  <c r="J2092" i="32"/>
  <c r="K2092" i="32" s="1"/>
  <c r="J2093" i="32"/>
  <c r="K2093" i="32" s="1"/>
  <c r="J2094" i="32"/>
  <c r="K2094" i="32" s="1"/>
  <c r="J2095" i="32"/>
  <c r="K2095" i="32" s="1"/>
  <c r="J2096" i="32"/>
  <c r="K2096" i="32" s="1"/>
  <c r="J2097" i="32"/>
  <c r="K2097" i="32" s="1"/>
  <c r="J2098" i="32"/>
  <c r="K2098" i="32" s="1"/>
  <c r="J2099" i="32"/>
  <c r="K2099" i="32" s="1"/>
  <c r="J2100" i="32"/>
  <c r="K2100" i="32" s="1"/>
  <c r="J2101" i="32"/>
  <c r="K2101" i="32" s="1"/>
  <c r="J2102" i="32"/>
  <c r="K2102" i="32" s="1"/>
  <c r="J2103" i="32"/>
  <c r="K2103" i="32" s="1"/>
  <c r="J2104" i="32"/>
  <c r="K2104" i="32" s="1"/>
  <c r="J2105" i="32"/>
  <c r="K2105" i="32" s="1"/>
  <c r="J2106" i="32"/>
  <c r="K2106" i="32" s="1"/>
  <c r="J2107" i="32"/>
  <c r="K2107" i="32" s="1"/>
  <c r="J2108" i="32"/>
  <c r="K2108" i="32" s="1"/>
  <c r="J2109" i="32"/>
  <c r="K2109" i="32" s="1"/>
  <c r="J2110" i="32"/>
  <c r="K2110" i="32" s="1"/>
  <c r="J2111" i="32"/>
  <c r="K2111" i="32" s="1"/>
  <c r="J2112" i="32"/>
  <c r="K2112" i="32" s="1"/>
  <c r="J2113" i="32"/>
  <c r="K2113" i="32" s="1"/>
  <c r="J2114" i="32"/>
  <c r="K2114" i="32" s="1"/>
  <c r="J2115" i="32"/>
  <c r="K2115" i="32" s="1"/>
  <c r="J2116" i="32"/>
  <c r="K2116" i="32" s="1"/>
  <c r="J2117" i="32"/>
  <c r="K2117" i="32" s="1"/>
  <c r="J2118" i="32"/>
  <c r="K2118" i="32" s="1"/>
  <c r="J2119" i="32"/>
  <c r="K2119" i="32" s="1"/>
  <c r="J2120" i="32"/>
  <c r="K2120" i="32" s="1"/>
  <c r="J2121" i="32"/>
  <c r="K2121" i="32" s="1"/>
  <c r="J2122" i="32"/>
  <c r="K2122" i="32" s="1"/>
  <c r="J2123" i="32"/>
  <c r="K2123" i="32" s="1"/>
  <c r="J2124" i="32"/>
  <c r="K2124" i="32" s="1"/>
  <c r="J2125" i="32"/>
  <c r="K2125" i="32" s="1"/>
  <c r="J2126" i="32"/>
  <c r="K2126" i="32" s="1"/>
  <c r="J2127" i="32"/>
  <c r="K2127" i="32" s="1"/>
  <c r="J2128" i="32"/>
  <c r="K2128" i="32" s="1"/>
  <c r="J2129" i="32"/>
  <c r="K2129" i="32" s="1"/>
  <c r="J2130" i="32"/>
  <c r="K2130" i="32" s="1"/>
  <c r="J2131" i="32"/>
  <c r="K2131" i="32" s="1"/>
  <c r="J2132" i="32"/>
  <c r="K2132" i="32" s="1"/>
  <c r="J2133" i="32"/>
  <c r="K2133" i="32" s="1"/>
  <c r="J2134" i="32"/>
  <c r="K2134" i="32" s="1"/>
  <c r="J2135" i="32"/>
  <c r="K2135" i="32" s="1"/>
  <c r="J2136" i="32"/>
  <c r="K2136" i="32" s="1"/>
  <c r="J2137" i="32"/>
  <c r="K2137" i="32" s="1"/>
  <c r="J2138" i="32"/>
  <c r="K2138" i="32" s="1"/>
  <c r="J2139" i="32"/>
  <c r="K2139" i="32" s="1"/>
  <c r="J2140" i="32"/>
  <c r="K2140" i="32" s="1"/>
  <c r="J2141" i="32"/>
  <c r="K2141" i="32" s="1"/>
  <c r="J2142" i="32"/>
  <c r="K2142" i="32" s="1"/>
  <c r="J2143" i="32"/>
  <c r="K2143" i="32" s="1"/>
  <c r="J2144" i="32"/>
  <c r="K2144" i="32" s="1"/>
  <c r="J2145" i="32"/>
  <c r="K2145" i="32" s="1"/>
  <c r="J2146" i="32"/>
  <c r="K2146" i="32" s="1"/>
  <c r="J2147" i="32"/>
  <c r="K2147" i="32" s="1"/>
  <c r="J2148" i="32"/>
  <c r="K2148" i="32" s="1"/>
  <c r="J2149" i="32"/>
  <c r="K2149" i="32" s="1"/>
  <c r="J2150" i="32"/>
  <c r="K2150" i="32" s="1"/>
  <c r="J2151" i="32"/>
  <c r="K2151" i="32" s="1"/>
  <c r="J2152" i="32"/>
  <c r="K2152" i="32" s="1"/>
  <c r="J2153" i="32"/>
  <c r="K2153" i="32" s="1"/>
  <c r="J2154" i="32"/>
  <c r="K2154" i="32" s="1"/>
  <c r="J2155" i="32"/>
  <c r="K2155" i="32" s="1"/>
  <c r="J2156" i="32"/>
  <c r="K2156" i="32" s="1"/>
  <c r="J2157" i="32"/>
  <c r="K2157" i="32" s="1"/>
  <c r="J2158" i="32"/>
  <c r="K2158" i="32" s="1"/>
  <c r="J2159" i="32"/>
  <c r="K2159" i="32" s="1"/>
  <c r="J2160" i="32"/>
  <c r="K2160" i="32" s="1"/>
  <c r="J2161" i="32"/>
  <c r="K2161" i="32" s="1"/>
  <c r="J2162" i="32"/>
  <c r="K2162" i="32" s="1"/>
  <c r="J2163" i="32"/>
  <c r="K2163" i="32" s="1"/>
  <c r="J2164" i="32"/>
  <c r="K2164" i="32" s="1"/>
  <c r="J2165" i="32"/>
  <c r="K2165" i="32" s="1"/>
  <c r="J2166" i="32"/>
  <c r="K2166" i="32" s="1"/>
  <c r="J2167" i="32"/>
  <c r="K2167" i="32" s="1"/>
  <c r="J2168" i="32"/>
  <c r="K2168" i="32" s="1"/>
  <c r="J2169" i="32"/>
  <c r="K2169" i="32" s="1"/>
  <c r="J2170" i="32"/>
  <c r="K2170" i="32" s="1"/>
  <c r="J2171" i="32"/>
  <c r="K2171" i="32" s="1"/>
  <c r="J2172" i="32"/>
  <c r="K2172" i="32" s="1"/>
  <c r="J2173" i="32"/>
  <c r="K2173" i="32" s="1"/>
  <c r="J2174" i="32"/>
  <c r="K2174" i="32" s="1"/>
  <c r="J2175" i="32"/>
  <c r="K2175" i="32" s="1"/>
  <c r="J2176" i="32"/>
  <c r="K2176" i="32" s="1"/>
  <c r="J2177" i="32"/>
  <c r="K2177" i="32" s="1"/>
  <c r="J2178" i="32"/>
  <c r="K2178" i="32" s="1"/>
  <c r="J2179" i="32"/>
  <c r="K2179" i="32" s="1"/>
  <c r="J2180" i="32"/>
  <c r="K2180" i="32" s="1"/>
  <c r="J2181" i="32"/>
  <c r="K2181" i="32" s="1"/>
  <c r="J2182" i="32"/>
  <c r="K2182" i="32" s="1"/>
  <c r="J2183" i="32"/>
  <c r="K2183" i="32" s="1"/>
  <c r="J2184" i="32"/>
  <c r="K2184" i="32" s="1"/>
  <c r="J2185" i="32"/>
  <c r="K2185" i="32" s="1"/>
  <c r="J2186" i="32"/>
  <c r="K2186" i="32" s="1"/>
  <c r="J2187" i="32"/>
  <c r="K2187" i="32" s="1"/>
  <c r="J2188" i="32"/>
  <c r="K2188" i="32" s="1"/>
  <c r="J2189" i="32"/>
  <c r="K2189" i="32" s="1"/>
  <c r="J2190" i="32"/>
  <c r="K2190" i="32" s="1"/>
  <c r="J2191" i="32"/>
  <c r="K2191" i="32" s="1"/>
  <c r="J2192" i="32"/>
  <c r="K2192" i="32" s="1"/>
  <c r="J2193" i="32"/>
  <c r="K2193" i="32" s="1"/>
  <c r="J2194" i="32"/>
  <c r="K2194" i="32" s="1"/>
  <c r="J2195" i="32"/>
  <c r="K2195" i="32" s="1"/>
  <c r="J2196" i="32"/>
  <c r="K2196" i="32" s="1"/>
  <c r="J2197" i="32"/>
  <c r="K2197" i="32" s="1"/>
  <c r="J2198" i="32"/>
  <c r="K2198" i="32" s="1"/>
  <c r="J2199" i="32"/>
  <c r="K2199" i="32" s="1"/>
  <c r="J2200" i="32"/>
  <c r="K2200" i="32" s="1"/>
  <c r="J2201" i="32"/>
  <c r="K2201" i="32" s="1"/>
  <c r="J2202" i="32"/>
  <c r="K2202" i="32" s="1"/>
  <c r="J2203" i="32"/>
  <c r="K2203" i="32" s="1"/>
  <c r="J2204" i="32"/>
  <c r="K2204" i="32" s="1"/>
  <c r="J2205" i="32"/>
  <c r="K2205" i="32" s="1"/>
  <c r="J2206" i="32"/>
  <c r="K2206" i="32" s="1"/>
  <c r="J2207" i="32"/>
  <c r="K2207" i="32" s="1"/>
  <c r="J2208" i="32"/>
  <c r="K2208" i="32" s="1"/>
  <c r="J2209" i="32"/>
  <c r="K2209" i="32" s="1"/>
  <c r="J2210" i="32"/>
  <c r="K2210" i="32" s="1"/>
  <c r="J2211" i="32"/>
  <c r="K2211" i="32" s="1"/>
  <c r="J2212" i="32"/>
  <c r="K2212" i="32" s="1"/>
  <c r="J2213" i="32"/>
  <c r="K2213" i="32" s="1"/>
  <c r="J2214" i="32"/>
  <c r="K2214" i="32" s="1"/>
  <c r="J2215" i="32"/>
  <c r="K2215" i="32" s="1"/>
  <c r="J2216" i="32"/>
  <c r="K2216" i="32" s="1"/>
  <c r="J2217" i="32"/>
  <c r="K2217" i="32" s="1"/>
  <c r="J2218" i="32"/>
  <c r="K2218" i="32" s="1"/>
  <c r="J2219" i="32"/>
  <c r="K2219" i="32" s="1"/>
  <c r="J2220" i="32"/>
  <c r="K2220" i="32" s="1"/>
  <c r="J2221" i="32"/>
  <c r="K2221" i="32" s="1"/>
  <c r="J2222" i="32"/>
  <c r="K2222" i="32" s="1"/>
  <c r="J2223" i="32"/>
  <c r="K2223" i="32" s="1"/>
  <c r="J2224" i="32"/>
  <c r="K2224" i="32" s="1"/>
  <c r="J2225" i="32"/>
  <c r="K2225" i="32" s="1"/>
  <c r="J2226" i="32"/>
  <c r="K2226" i="32" s="1"/>
  <c r="J2227" i="32"/>
  <c r="K2227" i="32" s="1"/>
  <c r="J2228" i="32"/>
  <c r="K2228" i="32" s="1"/>
  <c r="J2229" i="32"/>
  <c r="K2229" i="32" s="1"/>
  <c r="J2230" i="32"/>
  <c r="K2230" i="32" s="1"/>
  <c r="J2231" i="32"/>
  <c r="K2231" i="32" s="1"/>
  <c r="J2232" i="32"/>
  <c r="K2232" i="32" s="1"/>
  <c r="J2233" i="32"/>
  <c r="K2233" i="32" s="1"/>
  <c r="J2234" i="32"/>
  <c r="K2234" i="32" s="1"/>
  <c r="J2235" i="32"/>
  <c r="K2235" i="32" s="1"/>
  <c r="J2236" i="32"/>
  <c r="K2236" i="32" s="1"/>
  <c r="J2237" i="32"/>
  <c r="K2237" i="32" s="1"/>
  <c r="J2238" i="32"/>
  <c r="K2238" i="32" s="1"/>
  <c r="J2239" i="32"/>
  <c r="K2239" i="32" s="1"/>
  <c r="J2240" i="32"/>
  <c r="K2240" i="32" s="1"/>
  <c r="J2241" i="32"/>
  <c r="K2241" i="32" s="1"/>
  <c r="J2242" i="32"/>
  <c r="K2242" i="32" s="1"/>
  <c r="J2243" i="32"/>
  <c r="K2243" i="32" s="1"/>
  <c r="J2244" i="32"/>
  <c r="K2244" i="32" s="1"/>
  <c r="J2245" i="32"/>
  <c r="K2245" i="32" s="1"/>
  <c r="J2246" i="32"/>
  <c r="K2246" i="32" s="1"/>
  <c r="J2247" i="32"/>
  <c r="K2247" i="32" s="1"/>
  <c r="J2248" i="32"/>
  <c r="K2248" i="32" s="1"/>
  <c r="J2249" i="32"/>
  <c r="K2249" i="32" s="1"/>
  <c r="J2250" i="32"/>
  <c r="K2250" i="32" s="1"/>
  <c r="J2251" i="32"/>
  <c r="K2251" i="32" s="1"/>
  <c r="J2252" i="32"/>
  <c r="K2252" i="32" s="1"/>
  <c r="J2253" i="32"/>
  <c r="K2253" i="32" s="1"/>
  <c r="J2254" i="32"/>
  <c r="K2254" i="32" s="1"/>
  <c r="J2255" i="32"/>
  <c r="K2255" i="32" s="1"/>
  <c r="J2256" i="32"/>
  <c r="K2256" i="32" s="1"/>
  <c r="J2257" i="32"/>
  <c r="K2257" i="32" s="1"/>
  <c r="J2258" i="32"/>
  <c r="K2258" i="32" s="1"/>
  <c r="J2259" i="32"/>
  <c r="K2259" i="32" s="1"/>
  <c r="J2260" i="32"/>
  <c r="K2260" i="32" s="1"/>
  <c r="J2261" i="32"/>
  <c r="K2261" i="32" s="1"/>
  <c r="J2262" i="32"/>
  <c r="K2262" i="32" s="1"/>
  <c r="J2263" i="32"/>
  <c r="K2263" i="32" s="1"/>
  <c r="J2264" i="32"/>
  <c r="K2264" i="32" s="1"/>
  <c r="J2265" i="32"/>
  <c r="K2265" i="32" s="1"/>
  <c r="J2266" i="32"/>
  <c r="K2266" i="32" s="1"/>
  <c r="J2267" i="32"/>
  <c r="K2267" i="32" s="1"/>
  <c r="J2268" i="32"/>
  <c r="K2268" i="32" s="1"/>
  <c r="J2269" i="32"/>
  <c r="K2269" i="32" s="1"/>
  <c r="J2270" i="32"/>
  <c r="K2270" i="32" s="1"/>
  <c r="J2271" i="32"/>
  <c r="K2271" i="32" s="1"/>
  <c r="J2272" i="32"/>
  <c r="K2272" i="32" s="1"/>
  <c r="J2273" i="32"/>
  <c r="K2273" i="32" s="1"/>
  <c r="J2274" i="32"/>
  <c r="K2274" i="32" s="1"/>
  <c r="J2275" i="32"/>
  <c r="K2275" i="32" s="1"/>
  <c r="J2276" i="32"/>
  <c r="K2276" i="32" s="1"/>
  <c r="J2277" i="32"/>
  <c r="K2277" i="32" s="1"/>
  <c r="J2278" i="32"/>
  <c r="K2278" i="32" s="1"/>
  <c r="J2279" i="32"/>
  <c r="K2279" i="32" s="1"/>
  <c r="J2280" i="32"/>
  <c r="K2280" i="32" s="1"/>
  <c r="J2281" i="32"/>
  <c r="K2281" i="32" s="1"/>
  <c r="J2282" i="32"/>
  <c r="K2282" i="32" s="1"/>
  <c r="J2283" i="32"/>
  <c r="K2283" i="32" s="1"/>
  <c r="J2284" i="32"/>
  <c r="K2284" i="32" s="1"/>
  <c r="J2285" i="32"/>
  <c r="K2285" i="32" s="1"/>
  <c r="J2286" i="32"/>
  <c r="K2286" i="32" s="1"/>
  <c r="J2287" i="32"/>
  <c r="K2287" i="32" s="1"/>
  <c r="J2288" i="32"/>
  <c r="K2288" i="32" s="1"/>
  <c r="J2289" i="32"/>
  <c r="K2289" i="32" s="1"/>
  <c r="J2290" i="32"/>
  <c r="K2290" i="32" s="1"/>
  <c r="J2291" i="32"/>
  <c r="K2291" i="32" s="1"/>
  <c r="J2292" i="32"/>
  <c r="K2292" i="32" s="1"/>
  <c r="J2293" i="32"/>
  <c r="K2293" i="32" s="1"/>
  <c r="J2294" i="32"/>
  <c r="K2294" i="32" s="1"/>
  <c r="J2295" i="32"/>
  <c r="K2295" i="32" s="1"/>
  <c r="J2296" i="32"/>
  <c r="K2296" i="32" s="1"/>
  <c r="J2297" i="32"/>
  <c r="K2297" i="32" s="1"/>
  <c r="J2298" i="32"/>
  <c r="K2298" i="32" s="1"/>
  <c r="J2299" i="32"/>
  <c r="K2299" i="32" s="1"/>
  <c r="J2300" i="32"/>
  <c r="K2300" i="32" s="1"/>
  <c r="J2301" i="32"/>
  <c r="K2301" i="32" s="1"/>
  <c r="J2302" i="32"/>
  <c r="K2302" i="32" s="1"/>
  <c r="J2303" i="32"/>
  <c r="K2303" i="32" s="1"/>
  <c r="J2304" i="32"/>
  <c r="K2304" i="32" s="1"/>
  <c r="J2305" i="32"/>
  <c r="K2305" i="32" s="1"/>
  <c r="J2306" i="32"/>
  <c r="K2306" i="32" s="1"/>
  <c r="J2307" i="32"/>
  <c r="K2307" i="32" s="1"/>
  <c r="J2308" i="32"/>
  <c r="K2308" i="32" s="1"/>
  <c r="J2309" i="32"/>
  <c r="K2309" i="32" s="1"/>
  <c r="J2310" i="32"/>
  <c r="K2310" i="32" s="1"/>
  <c r="J2311" i="32"/>
  <c r="K2311" i="32" s="1"/>
  <c r="J2312" i="32"/>
  <c r="K2312" i="32" s="1"/>
  <c r="J2313" i="32"/>
  <c r="K2313" i="32" s="1"/>
  <c r="J2314" i="32"/>
  <c r="K2314" i="32" s="1"/>
  <c r="J2315" i="32"/>
  <c r="K2315" i="32" s="1"/>
  <c r="J2316" i="32"/>
  <c r="K2316" i="32" s="1"/>
  <c r="J2317" i="32"/>
  <c r="K2317" i="32" s="1"/>
  <c r="J2318" i="32"/>
  <c r="K2318" i="32" s="1"/>
  <c r="J2319" i="32"/>
  <c r="K2319" i="32" s="1"/>
  <c r="J2320" i="32"/>
  <c r="K2320" i="32" s="1"/>
  <c r="J2321" i="32"/>
  <c r="K2321" i="32" s="1"/>
  <c r="J2322" i="32"/>
  <c r="K2322" i="32" s="1"/>
  <c r="J2323" i="32"/>
  <c r="K2323" i="32" s="1"/>
  <c r="J2324" i="32"/>
  <c r="K2324" i="32" s="1"/>
  <c r="J2325" i="32"/>
  <c r="K2325" i="32" s="1"/>
  <c r="J2326" i="32"/>
  <c r="K2326" i="32" s="1"/>
  <c r="J2327" i="32"/>
  <c r="K2327" i="32" s="1"/>
  <c r="J2328" i="32"/>
  <c r="K2328" i="32" s="1"/>
  <c r="J2329" i="32"/>
  <c r="K2329" i="32" s="1"/>
  <c r="J2330" i="32"/>
  <c r="K2330" i="32" s="1"/>
  <c r="J2331" i="32"/>
  <c r="K2331" i="32" s="1"/>
  <c r="J2332" i="32"/>
  <c r="K2332" i="32" s="1"/>
  <c r="J2333" i="32"/>
  <c r="K2333" i="32" s="1"/>
  <c r="J2334" i="32"/>
  <c r="K2334" i="32" s="1"/>
  <c r="J2335" i="32"/>
  <c r="K2335" i="32" s="1"/>
  <c r="J2336" i="32"/>
  <c r="K2336" i="32" s="1"/>
  <c r="J2337" i="32"/>
  <c r="K2337" i="32" s="1"/>
  <c r="J2338" i="32"/>
  <c r="K2338" i="32" s="1"/>
  <c r="J2339" i="32"/>
  <c r="K2339" i="32" s="1"/>
  <c r="J2340" i="32"/>
  <c r="K2340" i="32" s="1"/>
  <c r="J2341" i="32"/>
  <c r="K2341" i="32" s="1"/>
  <c r="J2342" i="32"/>
  <c r="K2342" i="32" s="1"/>
  <c r="J2343" i="32"/>
  <c r="K2343" i="32" s="1"/>
  <c r="J2344" i="32"/>
  <c r="K2344" i="32" s="1"/>
  <c r="J2345" i="32"/>
  <c r="K2345" i="32" s="1"/>
  <c r="J2346" i="32"/>
  <c r="K2346" i="32" s="1"/>
  <c r="J2347" i="32"/>
  <c r="K2347" i="32" s="1"/>
  <c r="J2348" i="32"/>
  <c r="K2348" i="32" s="1"/>
  <c r="J2349" i="32"/>
  <c r="K2349" i="32" s="1"/>
  <c r="J2350" i="32"/>
  <c r="K2350" i="32" s="1"/>
  <c r="J2351" i="32"/>
  <c r="K2351" i="32" s="1"/>
  <c r="J2352" i="32"/>
  <c r="K2352" i="32" s="1"/>
  <c r="J2353" i="32"/>
  <c r="K2353" i="32" s="1"/>
  <c r="J2354" i="32"/>
  <c r="K2354" i="32" s="1"/>
  <c r="J2355" i="32"/>
  <c r="K2355" i="32" s="1"/>
  <c r="J2356" i="32"/>
  <c r="K2356" i="32" s="1"/>
  <c r="J2357" i="32"/>
  <c r="K2357" i="32" s="1"/>
  <c r="J2358" i="32"/>
  <c r="K2358" i="32" s="1"/>
  <c r="J2359" i="32"/>
  <c r="K2359" i="32" s="1"/>
  <c r="J2360" i="32"/>
  <c r="K2360" i="32" s="1"/>
  <c r="J2361" i="32"/>
  <c r="K2361" i="32" s="1"/>
  <c r="J2362" i="32"/>
  <c r="K2362" i="32" s="1"/>
  <c r="J2363" i="32"/>
  <c r="K2363" i="32" s="1"/>
  <c r="J2364" i="32"/>
  <c r="K2364" i="32" s="1"/>
  <c r="J2365" i="32"/>
  <c r="K2365" i="32" s="1"/>
  <c r="J2366" i="32"/>
  <c r="K2366" i="32" s="1"/>
  <c r="J2367" i="32"/>
  <c r="K2367" i="32" s="1"/>
  <c r="J2368" i="32"/>
  <c r="K2368" i="32" s="1"/>
  <c r="J2369" i="32"/>
  <c r="K2369" i="32" s="1"/>
  <c r="J2370" i="32"/>
  <c r="K2370" i="32" s="1"/>
  <c r="J2371" i="32"/>
  <c r="K2371" i="32" s="1"/>
  <c r="J2372" i="32"/>
  <c r="K2372" i="32" s="1"/>
  <c r="J2373" i="32"/>
  <c r="K2373" i="32" s="1"/>
  <c r="J2374" i="32"/>
  <c r="K2374" i="32" s="1"/>
  <c r="J2375" i="32"/>
  <c r="K2375" i="32" s="1"/>
  <c r="J2376" i="32"/>
  <c r="K2376" i="32" s="1"/>
  <c r="J2377" i="32"/>
  <c r="K2377" i="32" s="1"/>
  <c r="J2378" i="32"/>
  <c r="K2378" i="32" s="1"/>
  <c r="J2379" i="32"/>
  <c r="K2379" i="32" s="1"/>
  <c r="J2380" i="32"/>
  <c r="K2380" i="32" s="1"/>
  <c r="J2381" i="32"/>
  <c r="K2381" i="32" s="1"/>
  <c r="J2382" i="32"/>
  <c r="K2382" i="32" s="1"/>
  <c r="J2383" i="32"/>
  <c r="K2383" i="32" s="1"/>
  <c r="J2384" i="32"/>
  <c r="K2384" i="32" s="1"/>
  <c r="J2385" i="32"/>
  <c r="K2385" i="32" s="1"/>
  <c r="J2386" i="32"/>
  <c r="K2386" i="32" s="1"/>
  <c r="J2387" i="32"/>
  <c r="K2387" i="32" s="1"/>
  <c r="J2388" i="32"/>
  <c r="K2388" i="32" s="1"/>
  <c r="J2389" i="32"/>
  <c r="K2389" i="32" s="1"/>
  <c r="J2390" i="32"/>
  <c r="K2390" i="32" s="1"/>
  <c r="J2391" i="32"/>
  <c r="K2391" i="32" s="1"/>
  <c r="J2392" i="32"/>
  <c r="K2392" i="32" s="1"/>
  <c r="J2393" i="32"/>
  <c r="K2393" i="32" s="1"/>
  <c r="J2394" i="32"/>
  <c r="K2394" i="32" s="1"/>
  <c r="J2395" i="32"/>
  <c r="K2395" i="32" s="1"/>
  <c r="J2396" i="32"/>
  <c r="K2396" i="32" s="1"/>
  <c r="J2397" i="32"/>
  <c r="K2397" i="32" s="1"/>
  <c r="J2398" i="32"/>
  <c r="K2398" i="32" s="1"/>
  <c r="J2399" i="32"/>
  <c r="K2399" i="32" s="1"/>
  <c r="J2400" i="32"/>
  <c r="K2400" i="32" s="1"/>
  <c r="J2401" i="32"/>
  <c r="K2401" i="32" s="1"/>
  <c r="J2402" i="32"/>
  <c r="K2402" i="32" s="1"/>
  <c r="J2403" i="32"/>
  <c r="K2403" i="32" s="1"/>
  <c r="J2404" i="32"/>
  <c r="K2404" i="32" s="1"/>
  <c r="J2405" i="32"/>
  <c r="K2405" i="32" s="1"/>
  <c r="J2406" i="32"/>
  <c r="K2406" i="32" s="1"/>
  <c r="J2407" i="32"/>
  <c r="K2407" i="32" s="1"/>
  <c r="J2408" i="32"/>
  <c r="K2408" i="32" s="1"/>
  <c r="J2409" i="32"/>
  <c r="K2409" i="32" s="1"/>
  <c r="J2410" i="32"/>
  <c r="K2410" i="32" s="1"/>
  <c r="J2411" i="32"/>
  <c r="K2411" i="32" s="1"/>
  <c r="J2412" i="32"/>
  <c r="K2412" i="32" s="1"/>
  <c r="J2413" i="32"/>
  <c r="K2413" i="32" s="1"/>
  <c r="J2414" i="32"/>
  <c r="K2414" i="32" s="1"/>
  <c r="J2415" i="32"/>
  <c r="K2415" i="32" s="1"/>
  <c r="J2416" i="32"/>
  <c r="K2416" i="32" s="1"/>
  <c r="J2417" i="32"/>
  <c r="K2417" i="32" s="1"/>
  <c r="J2418" i="32"/>
  <c r="K2418" i="32" s="1"/>
  <c r="J2419" i="32"/>
  <c r="K2419" i="32" s="1"/>
  <c r="J2420" i="32"/>
  <c r="K2420" i="32" s="1"/>
  <c r="J2421" i="32"/>
  <c r="K2421" i="32" s="1"/>
  <c r="J2422" i="32"/>
  <c r="K2422" i="32" s="1"/>
  <c r="J2423" i="32"/>
  <c r="K2423" i="32" s="1"/>
  <c r="J2424" i="32"/>
  <c r="K2424" i="32" s="1"/>
  <c r="J2425" i="32"/>
  <c r="K2425" i="32" s="1"/>
  <c r="J2426" i="32"/>
  <c r="K2426" i="32" s="1"/>
  <c r="J2427" i="32"/>
  <c r="K2427" i="32" s="1"/>
  <c r="J2428" i="32"/>
  <c r="K2428" i="32" s="1"/>
  <c r="J2429" i="32"/>
  <c r="K2429" i="32" s="1"/>
  <c r="J2430" i="32"/>
  <c r="K2430" i="32" s="1"/>
  <c r="J2431" i="32"/>
  <c r="K2431" i="32" s="1"/>
  <c r="J2432" i="32"/>
  <c r="K2432" i="32" s="1"/>
  <c r="J2433" i="32"/>
  <c r="K2433" i="32" s="1"/>
  <c r="J2434" i="32"/>
  <c r="K2434" i="32" s="1"/>
  <c r="J2435" i="32"/>
  <c r="K2435" i="32" s="1"/>
  <c r="J2436" i="32"/>
  <c r="K2436" i="32" s="1"/>
  <c r="J2437" i="32"/>
  <c r="K2437" i="32" s="1"/>
  <c r="J2438" i="32"/>
  <c r="K2438" i="32" s="1"/>
  <c r="J2439" i="32"/>
  <c r="K2439" i="32" s="1"/>
  <c r="J2440" i="32"/>
  <c r="K2440" i="32" s="1"/>
  <c r="J2441" i="32"/>
  <c r="K2441" i="32" s="1"/>
  <c r="J2442" i="32"/>
  <c r="K2442" i="32" s="1"/>
  <c r="J2443" i="32"/>
  <c r="K2443" i="32" s="1"/>
  <c r="J2444" i="32"/>
  <c r="K2444" i="32" s="1"/>
  <c r="J2445" i="32"/>
  <c r="K2445" i="32" s="1"/>
  <c r="J2446" i="32"/>
  <c r="K2446" i="32" s="1"/>
  <c r="J2447" i="32"/>
  <c r="K2447" i="32" s="1"/>
  <c r="J2448" i="32"/>
  <c r="K2448" i="32" s="1"/>
  <c r="J2449" i="32"/>
  <c r="K2449" i="32" s="1"/>
  <c r="J2450" i="32"/>
  <c r="K2450" i="32" s="1"/>
  <c r="J2451" i="32"/>
  <c r="K2451" i="32" s="1"/>
  <c r="J2452" i="32"/>
  <c r="K2452" i="32" s="1"/>
  <c r="J2453" i="32"/>
  <c r="K2453" i="32" s="1"/>
  <c r="J2454" i="32"/>
  <c r="K2454" i="32" s="1"/>
  <c r="J2455" i="32"/>
  <c r="K2455" i="32" s="1"/>
  <c r="J2456" i="32"/>
  <c r="K2456" i="32" s="1"/>
  <c r="J2457" i="32"/>
  <c r="K2457" i="32" s="1"/>
  <c r="J2458" i="32"/>
  <c r="K2458" i="32" s="1"/>
  <c r="J2459" i="32"/>
  <c r="K2459" i="32" s="1"/>
  <c r="J2460" i="32"/>
  <c r="K2460" i="32" s="1"/>
  <c r="J2461" i="32"/>
  <c r="K2461" i="32" s="1"/>
  <c r="J2462" i="32"/>
  <c r="K2462" i="32" s="1"/>
  <c r="J2463" i="32"/>
  <c r="K2463" i="32" s="1"/>
  <c r="J2464" i="32"/>
  <c r="K2464" i="32" s="1"/>
  <c r="J2465" i="32"/>
  <c r="K2465" i="32" s="1"/>
  <c r="J2466" i="32"/>
  <c r="K2466" i="32" s="1"/>
  <c r="J2467" i="32"/>
  <c r="K2467" i="32" s="1"/>
  <c r="J2468" i="32"/>
  <c r="K2468" i="32" s="1"/>
  <c r="J2469" i="32"/>
  <c r="K2469" i="32" s="1"/>
  <c r="J2470" i="32"/>
  <c r="K2470" i="32" s="1"/>
  <c r="J2471" i="32"/>
  <c r="K2471" i="32" s="1"/>
  <c r="J2472" i="32"/>
  <c r="K2472" i="32" s="1"/>
  <c r="J2473" i="32"/>
  <c r="K2473" i="32" s="1"/>
  <c r="J2474" i="32"/>
  <c r="K2474" i="32" s="1"/>
  <c r="J2475" i="32"/>
  <c r="K2475" i="32" s="1"/>
  <c r="J2476" i="32"/>
  <c r="K2476" i="32" s="1"/>
  <c r="J2477" i="32"/>
  <c r="K2477" i="32" s="1"/>
  <c r="J2478" i="32"/>
  <c r="K2478" i="32" s="1"/>
  <c r="J2479" i="32"/>
  <c r="K2479" i="32" s="1"/>
  <c r="J2480" i="32"/>
  <c r="K2480" i="32" s="1"/>
  <c r="J2481" i="32"/>
  <c r="K2481" i="32" s="1"/>
  <c r="J2482" i="32"/>
  <c r="K2482" i="32" s="1"/>
  <c r="J2483" i="32"/>
  <c r="K2483" i="32" s="1"/>
  <c r="J2484" i="32"/>
  <c r="K2484" i="32" s="1"/>
  <c r="J2485" i="32"/>
  <c r="K2485" i="32" s="1"/>
  <c r="J2486" i="32"/>
  <c r="K2486" i="32" s="1"/>
  <c r="J2487" i="32"/>
  <c r="K2487" i="32" s="1"/>
  <c r="J2488" i="32"/>
  <c r="K2488" i="32" s="1"/>
  <c r="J2489" i="32"/>
  <c r="K2489" i="32" s="1"/>
  <c r="J2490" i="32"/>
  <c r="K2490" i="32" s="1"/>
  <c r="J2491" i="32"/>
  <c r="K2491" i="32" s="1"/>
  <c r="J2492" i="32"/>
  <c r="K2492" i="32" s="1"/>
  <c r="J2493" i="32"/>
  <c r="K2493" i="32" s="1"/>
  <c r="J2494" i="32"/>
  <c r="K2494" i="32" s="1"/>
  <c r="J2495" i="32"/>
  <c r="K2495" i="32" s="1"/>
  <c r="J2496" i="32"/>
  <c r="K2496" i="32" s="1"/>
  <c r="J2497" i="32"/>
  <c r="K2497" i="32" s="1"/>
  <c r="J2498" i="32"/>
  <c r="K2498" i="32" s="1"/>
  <c r="J2499" i="32"/>
  <c r="K2499" i="32" s="1"/>
  <c r="J2500" i="32"/>
  <c r="K2500" i="32" s="1"/>
  <c r="J2501" i="32"/>
  <c r="K2501" i="32" s="1"/>
  <c r="J2502" i="32"/>
  <c r="K2502" i="32" s="1"/>
  <c r="J2503" i="32"/>
  <c r="K2503" i="32" s="1"/>
  <c r="J2504" i="32"/>
  <c r="K2504" i="32" s="1"/>
  <c r="J2505" i="32"/>
  <c r="K2505" i="32" s="1"/>
  <c r="J2506" i="32"/>
  <c r="K2506" i="32" s="1"/>
  <c r="J2507" i="32"/>
  <c r="K2507" i="32" s="1"/>
  <c r="J2508" i="32"/>
  <c r="K2508" i="32" s="1"/>
  <c r="J2509" i="32"/>
  <c r="K2509" i="32" s="1"/>
  <c r="J2510" i="32"/>
  <c r="K2510" i="32" s="1"/>
  <c r="J2511" i="32"/>
  <c r="K2511" i="32" s="1"/>
  <c r="J2512" i="32"/>
  <c r="K2512" i="32" s="1"/>
  <c r="J2513" i="32"/>
  <c r="K2513" i="32" s="1"/>
  <c r="J2514" i="32"/>
  <c r="K2514" i="32" s="1"/>
  <c r="J2515" i="32"/>
  <c r="K2515" i="32" s="1"/>
  <c r="J2516" i="32"/>
  <c r="K2516" i="32" s="1"/>
  <c r="J2517" i="32"/>
  <c r="K2517" i="32" s="1"/>
  <c r="J2518" i="32"/>
  <c r="K2518" i="32" s="1"/>
  <c r="J2519" i="32"/>
  <c r="K2519" i="32" s="1"/>
  <c r="J2520" i="32"/>
  <c r="K2520" i="32" s="1"/>
  <c r="J2521" i="32"/>
  <c r="K2521" i="32" s="1"/>
  <c r="J2522" i="32"/>
  <c r="K2522" i="32" s="1"/>
  <c r="J2523" i="32"/>
  <c r="K2523" i="32" s="1"/>
  <c r="J2524" i="32"/>
  <c r="K2524" i="32" s="1"/>
  <c r="J2525" i="32"/>
  <c r="K2525" i="32" s="1"/>
  <c r="J2526" i="32"/>
  <c r="K2526" i="32" s="1"/>
  <c r="J2527" i="32"/>
  <c r="K2527" i="32" s="1"/>
  <c r="J2528" i="32"/>
  <c r="K2528" i="32" s="1"/>
  <c r="J2529" i="32"/>
  <c r="K2529" i="32" s="1"/>
  <c r="J2530" i="32"/>
  <c r="K2530" i="32" s="1"/>
  <c r="J2531" i="32"/>
  <c r="K2531" i="32" s="1"/>
  <c r="J2532" i="32"/>
  <c r="K2532" i="32" s="1"/>
  <c r="J2533" i="32"/>
  <c r="K2533" i="32" s="1"/>
  <c r="J2534" i="32"/>
  <c r="K2534" i="32" s="1"/>
  <c r="J2535" i="32"/>
  <c r="K2535" i="32" s="1"/>
  <c r="J2536" i="32"/>
  <c r="K2536" i="32" s="1"/>
  <c r="J2537" i="32"/>
  <c r="K2537" i="32" s="1"/>
  <c r="J2538" i="32"/>
  <c r="K2538" i="32" s="1"/>
  <c r="J2539" i="32"/>
  <c r="K2539" i="32" s="1"/>
  <c r="J2540" i="32"/>
  <c r="K2540" i="32" s="1"/>
  <c r="J2541" i="32"/>
  <c r="K2541" i="32" s="1"/>
  <c r="J2542" i="32"/>
  <c r="K2542" i="32" s="1"/>
  <c r="J2543" i="32"/>
  <c r="K2543" i="32" s="1"/>
  <c r="J2544" i="32"/>
  <c r="K2544" i="32" s="1"/>
  <c r="J2545" i="32"/>
  <c r="K2545" i="32" s="1"/>
  <c r="J2546" i="32"/>
  <c r="K2546" i="32" s="1"/>
  <c r="J2547" i="32"/>
  <c r="K2547" i="32" s="1"/>
  <c r="J2548" i="32"/>
  <c r="K2548" i="32" s="1"/>
  <c r="J2549" i="32"/>
  <c r="K2549" i="32" s="1"/>
  <c r="J2550" i="32"/>
  <c r="K2550" i="32" s="1"/>
  <c r="J2551" i="32"/>
  <c r="K2551" i="32" s="1"/>
  <c r="J2552" i="32"/>
  <c r="K2552" i="32" s="1"/>
  <c r="J2553" i="32"/>
  <c r="K2553" i="32" s="1"/>
  <c r="J2554" i="32"/>
  <c r="K2554" i="32" s="1"/>
  <c r="J2555" i="32"/>
  <c r="K2555" i="32" s="1"/>
  <c r="J2556" i="32"/>
  <c r="K2556" i="32" s="1"/>
  <c r="J2557" i="32"/>
  <c r="K2557" i="32" s="1"/>
  <c r="J2558" i="32"/>
  <c r="K2558" i="32" s="1"/>
  <c r="J2559" i="32"/>
  <c r="K2559" i="32" s="1"/>
  <c r="J2560" i="32"/>
  <c r="K2560" i="32" s="1"/>
  <c r="J2561" i="32"/>
  <c r="K2561" i="32" s="1"/>
  <c r="J2562" i="32"/>
  <c r="K2562" i="32" s="1"/>
  <c r="J2563" i="32"/>
  <c r="K2563" i="32" s="1"/>
  <c r="J2564" i="32"/>
  <c r="K2564" i="32" s="1"/>
  <c r="J2565" i="32"/>
  <c r="K2565" i="32" s="1"/>
  <c r="J2566" i="32"/>
  <c r="K2566" i="32" s="1"/>
  <c r="J2567" i="32"/>
  <c r="K2567" i="32" s="1"/>
  <c r="J2568" i="32"/>
  <c r="K2568" i="32" s="1"/>
  <c r="J2569" i="32"/>
  <c r="K2569" i="32" s="1"/>
  <c r="J2570" i="32"/>
  <c r="K2570" i="32" s="1"/>
  <c r="J2571" i="32"/>
  <c r="K2571" i="32" s="1"/>
  <c r="J2572" i="32"/>
  <c r="K2572" i="32" s="1"/>
  <c r="J2573" i="32"/>
  <c r="K2573" i="32" s="1"/>
  <c r="J2574" i="32"/>
  <c r="K2574" i="32" s="1"/>
  <c r="J2575" i="32"/>
  <c r="K2575" i="32" s="1"/>
  <c r="J2576" i="32"/>
  <c r="K2576" i="32" s="1"/>
  <c r="J2577" i="32"/>
  <c r="K2577" i="32" s="1"/>
  <c r="J2578" i="32"/>
  <c r="K2578" i="32" s="1"/>
  <c r="J2579" i="32"/>
  <c r="K2579" i="32" s="1"/>
  <c r="J2580" i="32"/>
  <c r="K2580" i="32" s="1"/>
  <c r="J2581" i="32"/>
  <c r="K2581" i="32" s="1"/>
  <c r="J2582" i="32"/>
  <c r="K2582" i="32" s="1"/>
  <c r="J2583" i="32"/>
  <c r="K2583" i="32" s="1"/>
  <c r="J2584" i="32"/>
  <c r="K2584" i="32" s="1"/>
  <c r="J2585" i="32"/>
  <c r="K2585" i="32" s="1"/>
  <c r="J2586" i="32"/>
  <c r="K2586" i="32" s="1"/>
  <c r="J2587" i="32"/>
  <c r="K2587" i="32" s="1"/>
  <c r="J2588" i="32"/>
  <c r="K2588" i="32" s="1"/>
  <c r="J2589" i="32"/>
  <c r="K2589" i="32" s="1"/>
  <c r="J2590" i="32"/>
  <c r="K2590" i="32" s="1"/>
  <c r="J2591" i="32"/>
  <c r="K2591" i="32" s="1"/>
  <c r="J2592" i="32"/>
  <c r="K2592" i="32" s="1"/>
  <c r="J2593" i="32"/>
  <c r="K2593" i="32" s="1"/>
  <c r="J2594" i="32"/>
  <c r="K2594" i="32" s="1"/>
  <c r="J2595" i="32"/>
  <c r="K2595" i="32" s="1"/>
  <c r="J2596" i="32"/>
  <c r="K2596" i="32" s="1"/>
  <c r="J2597" i="32"/>
  <c r="K2597" i="32" s="1"/>
  <c r="J2598" i="32"/>
  <c r="K2598" i="32" s="1"/>
  <c r="J2599" i="32"/>
  <c r="K2599" i="32" s="1"/>
  <c r="J2600" i="32"/>
  <c r="K2600" i="32" s="1"/>
  <c r="J2601" i="32"/>
  <c r="K2601" i="32" s="1"/>
  <c r="J2602" i="32"/>
  <c r="K2602" i="32" s="1"/>
  <c r="J2603" i="32"/>
  <c r="K2603" i="32" s="1"/>
  <c r="J2604" i="32"/>
  <c r="K2604" i="32" s="1"/>
  <c r="J2605" i="32"/>
  <c r="K2605" i="32" s="1"/>
  <c r="J2606" i="32"/>
  <c r="K2606" i="32" s="1"/>
  <c r="J2607" i="32"/>
  <c r="K2607" i="32" s="1"/>
  <c r="J2608" i="32"/>
  <c r="K2608" i="32" s="1"/>
  <c r="J2609" i="32"/>
  <c r="K2609" i="32" s="1"/>
  <c r="J2610" i="32"/>
  <c r="K2610" i="32" s="1"/>
  <c r="J2611" i="32"/>
  <c r="K2611" i="32" s="1"/>
  <c r="J2612" i="32"/>
  <c r="K2612" i="32" s="1"/>
  <c r="J2613" i="32"/>
  <c r="K2613" i="32" s="1"/>
  <c r="J2614" i="32"/>
  <c r="K2614" i="32" s="1"/>
  <c r="J2615" i="32"/>
  <c r="K2615" i="32" s="1"/>
  <c r="J2616" i="32"/>
  <c r="K2616" i="32" s="1"/>
  <c r="J2617" i="32"/>
  <c r="K2617" i="32" s="1"/>
  <c r="J2618" i="32"/>
  <c r="K2618" i="32" s="1"/>
  <c r="J2619" i="32"/>
  <c r="K2619" i="32" s="1"/>
  <c r="J2620" i="32"/>
  <c r="K2620" i="32" s="1"/>
  <c r="J2621" i="32"/>
  <c r="K2621" i="32" s="1"/>
  <c r="J2622" i="32"/>
  <c r="K2622" i="32" s="1"/>
  <c r="J2623" i="32"/>
  <c r="K2623" i="32" s="1"/>
  <c r="J2624" i="32"/>
  <c r="K2624" i="32" s="1"/>
  <c r="J2625" i="32"/>
  <c r="K2625" i="32" s="1"/>
  <c r="J2626" i="32"/>
  <c r="K2626" i="32" s="1"/>
  <c r="J2627" i="32"/>
  <c r="K2627" i="32" s="1"/>
  <c r="J2628" i="32"/>
  <c r="K2628" i="32" s="1"/>
  <c r="J2629" i="32"/>
  <c r="K2629" i="32" s="1"/>
  <c r="J2630" i="32"/>
  <c r="K2630" i="32" s="1"/>
  <c r="J2631" i="32"/>
  <c r="K2631" i="32" s="1"/>
  <c r="J2632" i="32"/>
  <c r="K2632" i="32" s="1"/>
  <c r="J2633" i="32"/>
  <c r="K2633" i="32" s="1"/>
  <c r="J2634" i="32"/>
  <c r="K2634" i="32" s="1"/>
  <c r="J2635" i="32"/>
  <c r="K2635" i="32" s="1"/>
  <c r="J2636" i="32"/>
  <c r="K2636" i="32" s="1"/>
  <c r="J2637" i="32"/>
  <c r="K2637" i="32" s="1"/>
  <c r="J2638" i="32"/>
  <c r="K2638" i="32" s="1"/>
  <c r="J2639" i="32"/>
  <c r="K2639" i="32" s="1"/>
  <c r="J2640" i="32"/>
  <c r="K2640" i="32" s="1"/>
  <c r="J2641" i="32"/>
  <c r="K2641" i="32" s="1"/>
  <c r="J2642" i="32"/>
  <c r="K2642" i="32" s="1"/>
  <c r="J2643" i="32"/>
  <c r="K2643" i="32" s="1"/>
  <c r="J2644" i="32"/>
  <c r="K2644" i="32" s="1"/>
  <c r="J2645" i="32"/>
  <c r="K2645" i="32" s="1"/>
  <c r="J2646" i="32"/>
  <c r="K2646" i="32" s="1"/>
  <c r="J2647" i="32"/>
  <c r="K2647" i="32" s="1"/>
  <c r="J2648" i="32"/>
  <c r="K2648" i="32" s="1"/>
  <c r="J2649" i="32"/>
  <c r="K2649" i="32" s="1"/>
  <c r="J2650" i="32"/>
  <c r="K2650" i="32" s="1"/>
  <c r="J2651" i="32"/>
  <c r="K2651" i="32" s="1"/>
  <c r="J2652" i="32"/>
  <c r="K2652" i="32" s="1"/>
  <c r="J2653" i="32"/>
  <c r="K2653" i="32" s="1"/>
  <c r="J2654" i="32"/>
  <c r="K2654" i="32" s="1"/>
  <c r="J2655" i="32"/>
  <c r="K2655" i="32" s="1"/>
  <c r="J2656" i="32"/>
  <c r="K2656" i="32" s="1"/>
  <c r="J2657" i="32"/>
  <c r="K2657" i="32" s="1"/>
  <c r="J2658" i="32"/>
  <c r="K2658" i="32" s="1"/>
  <c r="J2659" i="32"/>
  <c r="K2659" i="32" s="1"/>
  <c r="J2660" i="32"/>
  <c r="K2660" i="32" s="1"/>
  <c r="J2661" i="32"/>
  <c r="K2661" i="32" s="1"/>
  <c r="J2662" i="32"/>
  <c r="K2662" i="32" s="1"/>
  <c r="J2663" i="32"/>
  <c r="K2663" i="32" s="1"/>
  <c r="J2664" i="32"/>
  <c r="K2664" i="32" s="1"/>
  <c r="J2665" i="32"/>
  <c r="K2665" i="32" s="1"/>
  <c r="J2666" i="32"/>
  <c r="K2666" i="32" s="1"/>
  <c r="J2667" i="32"/>
  <c r="K2667" i="32" s="1"/>
  <c r="J2668" i="32"/>
  <c r="K2668" i="32" s="1"/>
  <c r="J2669" i="32"/>
  <c r="K2669" i="32" s="1"/>
  <c r="J2670" i="32"/>
  <c r="K2670" i="32" s="1"/>
  <c r="J2671" i="32"/>
  <c r="K2671" i="32" s="1"/>
  <c r="J2672" i="32"/>
  <c r="K2672" i="32" s="1"/>
  <c r="J2673" i="32"/>
  <c r="K2673" i="32" s="1"/>
  <c r="J2674" i="32"/>
  <c r="K2674" i="32" s="1"/>
  <c r="J2675" i="32"/>
  <c r="K2675" i="32" s="1"/>
  <c r="J2676" i="32"/>
  <c r="K2676" i="32" s="1"/>
  <c r="J2677" i="32"/>
  <c r="K2677" i="32" s="1"/>
  <c r="J2678" i="32"/>
  <c r="K2678" i="32" s="1"/>
  <c r="J2679" i="32"/>
  <c r="K2679" i="32" s="1"/>
  <c r="J2680" i="32"/>
  <c r="K2680" i="32" s="1"/>
  <c r="J2681" i="32"/>
  <c r="K2681" i="32" s="1"/>
  <c r="J2682" i="32"/>
  <c r="K2682" i="32" s="1"/>
  <c r="J2683" i="32"/>
  <c r="K2683" i="32" s="1"/>
  <c r="J2684" i="32"/>
  <c r="K2684" i="32" s="1"/>
  <c r="J2685" i="32"/>
  <c r="K2685" i="32" s="1"/>
  <c r="J2686" i="32"/>
  <c r="K2686" i="32" s="1"/>
  <c r="J2687" i="32"/>
  <c r="K2687" i="32" s="1"/>
  <c r="J2688" i="32"/>
  <c r="K2688" i="32" s="1"/>
  <c r="J2689" i="32"/>
  <c r="K2689" i="32" s="1"/>
  <c r="J2690" i="32"/>
  <c r="K2690" i="32" s="1"/>
  <c r="J2691" i="32"/>
  <c r="K2691" i="32" s="1"/>
  <c r="J2692" i="32"/>
  <c r="K2692" i="32" s="1"/>
  <c r="J2693" i="32"/>
  <c r="K2693" i="32" s="1"/>
  <c r="J2694" i="32"/>
  <c r="K2694" i="32" s="1"/>
  <c r="J2695" i="32"/>
  <c r="K2695" i="32" s="1"/>
  <c r="J2696" i="32"/>
  <c r="K2696" i="32" s="1"/>
  <c r="J2697" i="32"/>
  <c r="K2697" i="32" s="1"/>
  <c r="J2698" i="32"/>
  <c r="K2698" i="32" s="1"/>
  <c r="J2699" i="32"/>
  <c r="K2699" i="32" s="1"/>
  <c r="J2700" i="32"/>
  <c r="K2700" i="32" s="1"/>
  <c r="J2701" i="32"/>
  <c r="K2701" i="32" s="1"/>
  <c r="J2702" i="32"/>
  <c r="K2702" i="32" s="1"/>
  <c r="J2703" i="32"/>
  <c r="K2703" i="32" s="1"/>
  <c r="J2704" i="32"/>
  <c r="K2704" i="32" s="1"/>
  <c r="J2705" i="32"/>
  <c r="K2705" i="32" s="1"/>
  <c r="J2706" i="32"/>
  <c r="K2706" i="32" s="1"/>
  <c r="J2707" i="32"/>
  <c r="K2707" i="32" s="1"/>
  <c r="J2708" i="32"/>
  <c r="K2708" i="32" s="1"/>
  <c r="J2709" i="32"/>
  <c r="K2709" i="32" s="1"/>
  <c r="J2710" i="32"/>
  <c r="K2710" i="32" s="1"/>
  <c r="J2711" i="32"/>
  <c r="K2711" i="32" s="1"/>
  <c r="J2712" i="32"/>
  <c r="K2712" i="32" s="1"/>
  <c r="J2713" i="32"/>
  <c r="K2713" i="32" s="1"/>
  <c r="J2714" i="32"/>
  <c r="K2714" i="32" s="1"/>
  <c r="J2715" i="32"/>
  <c r="K2715" i="32" s="1"/>
  <c r="J2716" i="32"/>
  <c r="K2716" i="32" s="1"/>
  <c r="J2717" i="32"/>
  <c r="K2717" i="32" s="1"/>
  <c r="J2718" i="32"/>
  <c r="K2718" i="32" s="1"/>
  <c r="J2719" i="32"/>
  <c r="K2719" i="32" s="1"/>
  <c r="J2720" i="32"/>
  <c r="K2720" i="32" s="1"/>
  <c r="J2721" i="32"/>
  <c r="K2721" i="32" s="1"/>
  <c r="J2722" i="32"/>
  <c r="K2722" i="32" s="1"/>
  <c r="J2723" i="32"/>
  <c r="K2723" i="32" s="1"/>
  <c r="J2724" i="32"/>
  <c r="K2724" i="32" s="1"/>
  <c r="J2725" i="32"/>
  <c r="K2725" i="32" s="1"/>
  <c r="J2726" i="32"/>
  <c r="K2726" i="32" s="1"/>
  <c r="J2727" i="32"/>
  <c r="K2727" i="32" s="1"/>
  <c r="J2728" i="32"/>
  <c r="K2728" i="32" s="1"/>
  <c r="J2729" i="32"/>
  <c r="K2729" i="32" s="1"/>
  <c r="J2730" i="32"/>
  <c r="K2730" i="32" s="1"/>
  <c r="J2731" i="32"/>
  <c r="K2731" i="32" s="1"/>
  <c r="J2732" i="32"/>
  <c r="K2732" i="32" s="1"/>
  <c r="J2733" i="32"/>
  <c r="K2733" i="32" s="1"/>
  <c r="J2734" i="32"/>
  <c r="K2734" i="32" s="1"/>
  <c r="J2735" i="32"/>
  <c r="K2735" i="32" s="1"/>
  <c r="J2736" i="32"/>
  <c r="K2736" i="32" s="1"/>
  <c r="J2737" i="32"/>
  <c r="K2737" i="32" s="1"/>
  <c r="J2738" i="32"/>
  <c r="K2738" i="32" s="1"/>
  <c r="J2739" i="32"/>
  <c r="K2739" i="32" s="1"/>
  <c r="J2740" i="32"/>
  <c r="K2740" i="32" s="1"/>
  <c r="J2741" i="32"/>
  <c r="K2741" i="32" s="1"/>
  <c r="J2742" i="32"/>
  <c r="K2742" i="32" s="1"/>
  <c r="J2743" i="32"/>
  <c r="K2743" i="32" s="1"/>
  <c r="J2744" i="32"/>
  <c r="K2744" i="32" s="1"/>
  <c r="J2745" i="32"/>
  <c r="K2745" i="32" s="1"/>
  <c r="J2746" i="32"/>
  <c r="K2746" i="32" s="1"/>
  <c r="J2747" i="32"/>
  <c r="K2747" i="32" s="1"/>
  <c r="J2748" i="32"/>
  <c r="K2748" i="32" s="1"/>
  <c r="J2749" i="32"/>
  <c r="K2749" i="32" s="1"/>
  <c r="J2750" i="32"/>
  <c r="K2750" i="32" s="1"/>
  <c r="J2751" i="32"/>
  <c r="K2751" i="32" s="1"/>
  <c r="J2752" i="32"/>
  <c r="K2752" i="32" s="1"/>
  <c r="J2753" i="32"/>
  <c r="K2753" i="32" s="1"/>
  <c r="J2754" i="32"/>
  <c r="K2754" i="32" s="1"/>
  <c r="J2755" i="32"/>
  <c r="K2755" i="32" s="1"/>
  <c r="J2756" i="32"/>
  <c r="K2756" i="32" s="1"/>
  <c r="J2757" i="32"/>
  <c r="K2757" i="32" s="1"/>
  <c r="J2758" i="32"/>
  <c r="K2758" i="32" s="1"/>
  <c r="J2759" i="32"/>
  <c r="K2759" i="32" s="1"/>
  <c r="J2760" i="32"/>
  <c r="K2760" i="32" s="1"/>
  <c r="J2761" i="32"/>
  <c r="K2761" i="32" s="1"/>
  <c r="J2762" i="32"/>
  <c r="K2762" i="32" s="1"/>
  <c r="J2763" i="32"/>
  <c r="K2763" i="32" s="1"/>
  <c r="J2764" i="32"/>
  <c r="K2764" i="32" s="1"/>
  <c r="J2765" i="32"/>
  <c r="K2765" i="32" s="1"/>
  <c r="J2766" i="32"/>
  <c r="K2766" i="32" s="1"/>
  <c r="J2767" i="32"/>
  <c r="K2767" i="32" s="1"/>
  <c r="J2768" i="32"/>
  <c r="K2768" i="32" s="1"/>
  <c r="J2769" i="32"/>
  <c r="K2769" i="32" s="1"/>
  <c r="J2770" i="32"/>
  <c r="K2770" i="32" s="1"/>
  <c r="J2771" i="32"/>
  <c r="K2771" i="32" s="1"/>
  <c r="J2772" i="32"/>
  <c r="K2772" i="32" s="1"/>
  <c r="J2773" i="32"/>
  <c r="K2773" i="32" s="1"/>
  <c r="J2774" i="32"/>
  <c r="K2774" i="32" s="1"/>
  <c r="J2775" i="32"/>
  <c r="K2775" i="32" s="1"/>
  <c r="J2776" i="32"/>
  <c r="K2776" i="32" s="1"/>
  <c r="J2777" i="32"/>
  <c r="K2777" i="32" s="1"/>
  <c r="J2778" i="32"/>
  <c r="K2778" i="32" s="1"/>
  <c r="J2779" i="32"/>
  <c r="K2779" i="32" s="1"/>
  <c r="J2780" i="32"/>
  <c r="K2780" i="32" s="1"/>
  <c r="J2781" i="32"/>
  <c r="K2781" i="32" s="1"/>
  <c r="J2782" i="32"/>
  <c r="K2782" i="32" s="1"/>
  <c r="J2783" i="32"/>
  <c r="K2783" i="32" s="1"/>
  <c r="J2784" i="32"/>
  <c r="K2784" i="32" s="1"/>
  <c r="J2785" i="32"/>
  <c r="K2785" i="32" s="1"/>
  <c r="J2786" i="32"/>
  <c r="K2786" i="32" s="1"/>
  <c r="J2787" i="32"/>
  <c r="K2787" i="32" s="1"/>
  <c r="J2788" i="32"/>
  <c r="K2788" i="32" s="1"/>
  <c r="J2789" i="32"/>
  <c r="K2789" i="32" s="1"/>
  <c r="J2790" i="32"/>
  <c r="K2790" i="32" s="1"/>
  <c r="J2791" i="32"/>
  <c r="K2791" i="32" s="1"/>
  <c r="J2792" i="32"/>
  <c r="K2792" i="32" s="1"/>
  <c r="J2793" i="32"/>
  <c r="K2793" i="32" s="1"/>
  <c r="J2794" i="32"/>
  <c r="K2794" i="32" s="1"/>
  <c r="J2795" i="32"/>
  <c r="K2795" i="32" s="1"/>
  <c r="J2796" i="32"/>
  <c r="K2796" i="32" s="1"/>
  <c r="J2797" i="32"/>
  <c r="K2797" i="32" s="1"/>
  <c r="J2798" i="32"/>
  <c r="K2798" i="32" s="1"/>
  <c r="J2799" i="32"/>
  <c r="K2799" i="32" s="1"/>
  <c r="J2800" i="32"/>
  <c r="K2800" i="32" s="1"/>
  <c r="J2801" i="32"/>
  <c r="K2801" i="32" s="1"/>
  <c r="J2802" i="32"/>
  <c r="K2802" i="32" s="1"/>
  <c r="J2803" i="32"/>
  <c r="K2803" i="32" s="1"/>
  <c r="J2804" i="32"/>
  <c r="K2804" i="32" s="1"/>
  <c r="J2805" i="32"/>
  <c r="K2805" i="32" s="1"/>
  <c r="J2806" i="32"/>
  <c r="K2806" i="32" s="1"/>
  <c r="J2807" i="32"/>
  <c r="K2807" i="32" s="1"/>
  <c r="J2808" i="32"/>
  <c r="K2808" i="32" s="1"/>
  <c r="J2809" i="32"/>
  <c r="K2809" i="32" s="1"/>
  <c r="J2810" i="32"/>
  <c r="K2810" i="32" s="1"/>
  <c r="J2811" i="32"/>
  <c r="K2811" i="32" s="1"/>
  <c r="J2812" i="32"/>
  <c r="K2812" i="32" s="1"/>
  <c r="J2813" i="32"/>
  <c r="K2813" i="32" s="1"/>
  <c r="J2814" i="32"/>
  <c r="K2814" i="32" s="1"/>
  <c r="J2815" i="32"/>
  <c r="K2815" i="32" s="1"/>
  <c r="J2816" i="32"/>
  <c r="K2816" i="32" s="1"/>
  <c r="J2817" i="32"/>
  <c r="K2817" i="32" s="1"/>
  <c r="J2818" i="32"/>
  <c r="K2818" i="32" s="1"/>
  <c r="J2819" i="32"/>
  <c r="K2819" i="32" s="1"/>
  <c r="J2820" i="32"/>
  <c r="K2820" i="32" s="1"/>
  <c r="J2821" i="32"/>
  <c r="K2821" i="32" s="1"/>
  <c r="J2822" i="32"/>
  <c r="K2822" i="32" s="1"/>
  <c r="J2823" i="32"/>
  <c r="K2823" i="32" s="1"/>
  <c r="J2824" i="32"/>
  <c r="K2824" i="32" s="1"/>
  <c r="J2825" i="32"/>
  <c r="K2825" i="32" s="1"/>
  <c r="J2826" i="32"/>
  <c r="K2826" i="32" s="1"/>
  <c r="J2827" i="32"/>
  <c r="K2827" i="32" s="1"/>
  <c r="J2828" i="32"/>
  <c r="K2828" i="32" s="1"/>
  <c r="J2829" i="32"/>
  <c r="K2829" i="32" s="1"/>
  <c r="J2830" i="32"/>
  <c r="K2830" i="32" s="1"/>
  <c r="J2831" i="32"/>
  <c r="K2831" i="32" s="1"/>
  <c r="J2832" i="32"/>
  <c r="K2832" i="32" s="1"/>
  <c r="J2833" i="32"/>
  <c r="K2833" i="32" s="1"/>
  <c r="J2834" i="32"/>
  <c r="K2834" i="32" s="1"/>
  <c r="J2835" i="32"/>
  <c r="K2835" i="32" s="1"/>
  <c r="J2836" i="32"/>
  <c r="K2836" i="32" s="1"/>
  <c r="J2837" i="32"/>
  <c r="K2837" i="32" s="1"/>
  <c r="J2838" i="32"/>
  <c r="K2838" i="32" s="1"/>
  <c r="J2839" i="32"/>
  <c r="K2839" i="32" s="1"/>
  <c r="J2840" i="32"/>
  <c r="K2840" i="32" s="1"/>
  <c r="J2841" i="32"/>
  <c r="K2841" i="32" s="1"/>
  <c r="J2842" i="32"/>
  <c r="K2842" i="32" s="1"/>
  <c r="J2843" i="32"/>
  <c r="K2843" i="32" s="1"/>
  <c r="J2844" i="32"/>
  <c r="K2844" i="32" s="1"/>
  <c r="J2845" i="32"/>
  <c r="K2845" i="32" s="1"/>
  <c r="J2846" i="32"/>
  <c r="K2846" i="32" s="1"/>
  <c r="J2847" i="32"/>
  <c r="K2847" i="32" s="1"/>
  <c r="J2848" i="32"/>
  <c r="K2848" i="32" s="1"/>
  <c r="J2849" i="32"/>
  <c r="K2849" i="32" s="1"/>
  <c r="J2850" i="32"/>
  <c r="K2850" i="32" s="1"/>
  <c r="J2851" i="32"/>
  <c r="K2851" i="32" s="1"/>
  <c r="J2852" i="32"/>
  <c r="K2852" i="32" s="1"/>
  <c r="J2853" i="32"/>
  <c r="K2853" i="32" s="1"/>
  <c r="J2854" i="32"/>
  <c r="K2854" i="32" s="1"/>
  <c r="J2855" i="32"/>
  <c r="K2855" i="32" s="1"/>
  <c r="J2856" i="32"/>
  <c r="K2856" i="32" s="1"/>
  <c r="J2857" i="32"/>
  <c r="K2857" i="32" s="1"/>
  <c r="J2858" i="32"/>
  <c r="K2858" i="32" s="1"/>
  <c r="J2859" i="32"/>
  <c r="K2859" i="32" s="1"/>
  <c r="J2860" i="32"/>
  <c r="K2860" i="32" s="1"/>
  <c r="J2861" i="32"/>
  <c r="K2861" i="32" s="1"/>
  <c r="J2862" i="32"/>
  <c r="K2862" i="32" s="1"/>
  <c r="J2863" i="32"/>
  <c r="K2863" i="32" s="1"/>
  <c r="J2864" i="32"/>
  <c r="K2864" i="32" s="1"/>
  <c r="J2865" i="32"/>
  <c r="K2865" i="32" s="1"/>
  <c r="J2866" i="32"/>
  <c r="K2866" i="32" s="1"/>
  <c r="J2867" i="32"/>
  <c r="K2867" i="32" s="1"/>
  <c r="J2868" i="32"/>
  <c r="K2868" i="32" s="1"/>
  <c r="J2869" i="32"/>
  <c r="K2869" i="32" s="1"/>
  <c r="J2870" i="32"/>
  <c r="K2870" i="32" s="1"/>
  <c r="J2871" i="32"/>
  <c r="K2871" i="32" s="1"/>
  <c r="J2872" i="32"/>
  <c r="K2872" i="32" s="1"/>
  <c r="J2873" i="32"/>
  <c r="K2873" i="32" s="1"/>
  <c r="J2874" i="32"/>
  <c r="K2874" i="32" s="1"/>
  <c r="J2875" i="32"/>
  <c r="K2875" i="32" s="1"/>
  <c r="J2876" i="32"/>
  <c r="K2876" i="32" s="1"/>
  <c r="J2877" i="32"/>
  <c r="K2877" i="32" s="1"/>
  <c r="J2878" i="32"/>
  <c r="K2878" i="32" s="1"/>
  <c r="J2879" i="32"/>
  <c r="K2879" i="32" s="1"/>
  <c r="J2880" i="32"/>
  <c r="K2880" i="32" s="1"/>
  <c r="J2881" i="32"/>
  <c r="K2881" i="32" s="1"/>
  <c r="J2882" i="32"/>
  <c r="K2882" i="32" s="1"/>
  <c r="J2883" i="32"/>
  <c r="K2883" i="32" s="1"/>
  <c r="J2884" i="32"/>
  <c r="K2884" i="32" s="1"/>
  <c r="J2885" i="32"/>
  <c r="K2885" i="32" s="1"/>
  <c r="J2886" i="32"/>
  <c r="K2886" i="32" s="1"/>
  <c r="J2887" i="32"/>
  <c r="K2887" i="32" s="1"/>
  <c r="J2888" i="32"/>
  <c r="K2888" i="32" s="1"/>
  <c r="J2889" i="32"/>
  <c r="K2889" i="32" s="1"/>
  <c r="J2890" i="32"/>
  <c r="K2890" i="32" s="1"/>
  <c r="J2891" i="32"/>
  <c r="K2891" i="32" s="1"/>
  <c r="J2892" i="32"/>
  <c r="K2892" i="32" s="1"/>
  <c r="J2893" i="32"/>
  <c r="K2893" i="32" s="1"/>
  <c r="J2894" i="32"/>
  <c r="K2894" i="32" s="1"/>
  <c r="J2895" i="32"/>
  <c r="K2895" i="32" s="1"/>
  <c r="J2896" i="32"/>
  <c r="K2896" i="32" s="1"/>
  <c r="J2897" i="32"/>
  <c r="K2897" i="32" s="1"/>
  <c r="J2898" i="32"/>
  <c r="K2898" i="32" s="1"/>
  <c r="J2899" i="32"/>
  <c r="K2899" i="32" s="1"/>
  <c r="J2900" i="32"/>
  <c r="K2900" i="32" s="1"/>
  <c r="J2901" i="32"/>
  <c r="K2901" i="32" s="1"/>
  <c r="J2902" i="32"/>
  <c r="K2902" i="32" s="1"/>
  <c r="J2903" i="32"/>
  <c r="K2903" i="32" s="1"/>
  <c r="J2904" i="32"/>
  <c r="K2904" i="32" s="1"/>
  <c r="J2905" i="32"/>
  <c r="K2905" i="32" s="1"/>
  <c r="J2906" i="32"/>
  <c r="K2906" i="32" s="1"/>
  <c r="J2907" i="32"/>
  <c r="K2907" i="32" s="1"/>
  <c r="J2908" i="32"/>
  <c r="K2908" i="32" s="1"/>
  <c r="J2909" i="32"/>
  <c r="K2909" i="32" s="1"/>
  <c r="J2910" i="32"/>
  <c r="K2910" i="32" s="1"/>
  <c r="J2911" i="32"/>
  <c r="K2911" i="32" s="1"/>
  <c r="J2912" i="32"/>
  <c r="K2912" i="32" s="1"/>
  <c r="J2913" i="32"/>
  <c r="K2913" i="32" s="1"/>
  <c r="J2914" i="32"/>
  <c r="K2914" i="32" s="1"/>
  <c r="J2915" i="32"/>
  <c r="K2915" i="32" s="1"/>
  <c r="J2916" i="32"/>
  <c r="K2916" i="32" s="1"/>
  <c r="J2917" i="32"/>
  <c r="K2917" i="32" s="1"/>
  <c r="J2918" i="32"/>
  <c r="K2918" i="32" s="1"/>
  <c r="J2919" i="32"/>
  <c r="K2919" i="32" s="1"/>
  <c r="J2920" i="32"/>
  <c r="K2920" i="32" s="1"/>
  <c r="J2921" i="32"/>
  <c r="K2921" i="32" s="1"/>
  <c r="J2922" i="32"/>
  <c r="K2922" i="32" s="1"/>
  <c r="J2923" i="32"/>
  <c r="K2923" i="32" s="1"/>
  <c r="J2924" i="32"/>
  <c r="K2924" i="32" s="1"/>
  <c r="J2925" i="32"/>
  <c r="K2925" i="32" s="1"/>
  <c r="J2926" i="32"/>
  <c r="K2926" i="32" s="1"/>
  <c r="J2927" i="32"/>
  <c r="K2927" i="32" s="1"/>
  <c r="J2928" i="32"/>
  <c r="K2928" i="32" s="1"/>
  <c r="J2929" i="32"/>
  <c r="K2929" i="32" s="1"/>
  <c r="J2930" i="32"/>
  <c r="K2930" i="32" s="1"/>
  <c r="J2931" i="32"/>
  <c r="K2931" i="32" s="1"/>
  <c r="J2932" i="32"/>
  <c r="K2932" i="32" s="1"/>
  <c r="J2933" i="32"/>
  <c r="K2933" i="32" s="1"/>
  <c r="J2934" i="32"/>
  <c r="K2934" i="32" s="1"/>
  <c r="J2935" i="32"/>
  <c r="K2935" i="32" s="1"/>
  <c r="J2936" i="32"/>
  <c r="K2936" i="32" s="1"/>
  <c r="J2937" i="32"/>
  <c r="K2937" i="32" s="1"/>
  <c r="J2938" i="32"/>
  <c r="K2938" i="32" s="1"/>
  <c r="J2939" i="32"/>
  <c r="K2939" i="32" s="1"/>
  <c r="J2940" i="32"/>
  <c r="K2940" i="32" s="1"/>
  <c r="J2941" i="32"/>
  <c r="K2941" i="32" s="1"/>
  <c r="J2942" i="32"/>
  <c r="K2942" i="32" s="1"/>
  <c r="J2943" i="32"/>
  <c r="K2943" i="32" s="1"/>
  <c r="J2944" i="32"/>
  <c r="K2944" i="32" s="1"/>
  <c r="J2945" i="32"/>
  <c r="K2945" i="32" s="1"/>
  <c r="J2946" i="32"/>
  <c r="K2946" i="32" s="1"/>
  <c r="J2947" i="32"/>
  <c r="K2947" i="32" s="1"/>
  <c r="J2948" i="32"/>
  <c r="K2948" i="32" s="1"/>
  <c r="J2949" i="32"/>
  <c r="K2949" i="32" s="1"/>
  <c r="J2950" i="32"/>
  <c r="K2950" i="32" s="1"/>
  <c r="J2951" i="32"/>
  <c r="K2951" i="32" s="1"/>
  <c r="J2952" i="32"/>
  <c r="K2952" i="32" s="1"/>
  <c r="J2953" i="32"/>
  <c r="K2953" i="32" s="1"/>
  <c r="J2954" i="32"/>
  <c r="K2954" i="32" s="1"/>
  <c r="J2955" i="32"/>
  <c r="K2955" i="32" s="1"/>
  <c r="J2956" i="32"/>
  <c r="K2956" i="32" s="1"/>
  <c r="J2957" i="32"/>
  <c r="K2957" i="32" s="1"/>
  <c r="J2958" i="32"/>
  <c r="K2958" i="32" s="1"/>
  <c r="J2959" i="32"/>
  <c r="K2959" i="32" s="1"/>
  <c r="J2960" i="32"/>
  <c r="K2960" i="32" s="1"/>
  <c r="J2961" i="32"/>
  <c r="K2961" i="32" s="1"/>
  <c r="J2962" i="32"/>
  <c r="K2962" i="32" s="1"/>
  <c r="J2963" i="32"/>
  <c r="K2963" i="32" s="1"/>
  <c r="J2964" i="32"/>
  <c r="K2964" i="32" s="1"/>
  <c r="J2965" i="32"/>
  <c r="K2965" i="32" s="1"/>
  <c r="J2966" i="32"/>
  <c r="K2966" i="32" s="1"/>
  <c r="J2967" i="32"/>
  <c r="K2967" i="32" s="1"/>
  <c r="J2968" i="32"/>
  <c r="K2968" i="32" s="1"/>
  <c r="J2969" i="32"/>
  <c r="K2969" i="32" s="1"/>
  <c r="J2970" i="32"/>
  <c r="K2970" i="32" s="1"/>
  <c r="J2971" i="32"/>
  <c r="K2971" i="32" s="1"/>
  <c r="J2972" i="32"/>
  <c r="K2972" i="32" s="1"/>
  <c r="J2973" i="32"/>
  <c r="K2973" i="32" s="1"/>
  <c r="J2974" i="32"/>
  <c r="K2974" i="32" s="1"/>
  <c r="J2975" i="32"/>
  <c r="K2975" i="32" s="1"/>
  <c r="J2976" i="32"/>
  <c r="K2976" i="32" s="1"/>
  <c r="J2977" i="32"/>
  <c r="K2977" i="32" s="1"/>
  <c r="J2978" i="32"/>
  <c r="K2978" i="32" s="1"/>
  <c r="J2979" i="32"/>
  <c r="K2979" i="32" s="1"/>
  <c r="J2980" i="32"/>
  <c r="K2980" i="32" s="1"/>
  <c r="J2981" i="32"/>
  <c r="K2981" i="32" s="1"/>
  <c r="J2982" i="32"/>
  <c r="K2982" i="32" s="1"/>
  <c r="J2983" i="32"/>
  <c r="K2983" i="32" s="1"/>
  <c r="J2984" i="32"/>
  <c r="K2984" i="32" s="1"/>
  <c r="J2985" i="32"/>
  <c r="K2985" i="32" s="1"/>
  <c r="J2986" i="32"/>
  <c r="K2986" i="32" s="1"/>
  <c r="J2987" i="32"/>
  <c r="K2987" i="32" s="1"/>
  <c r="J2988" i="32"/>
  <c r="K2988" i="32" s="1"/>
  <c r="J2989" i="32"/>
  <c r="K2989" i="32" s="1"/>
  <c r="J2990" i="32"/>
  <c r="K2990" i="32" s="1"/>
  <c r="J2991" i="32"/>
  <c r="K2991" i="32" s="1"/>
  <c r="J2992" i="32"/>
  <c r="K2992" i="32" s="1"/>
  <c r="J2993" i="32"/>
  <c r="K2993" i="32" s="1"/>
  <c r="J2994" i="32"/>
  <c r="K2994" i="32" s="1"/>
  <c r="J2995" i="32"/>
  <c r="K2995" i="32" s="1"/>
  <c r="J2996" i="32"/>
  <c r="K2996" i="32" s="1"/>
  <c r="J2997" i="32"/>
  <c r="K2997" i="32" s="1"/>
  <c r="J2998" i="32"/>
  <c r="K2998" i="32" s="1"/>
  <c r="J2999" i="32"/>
  <c r="K2999" i="32" s="1"/>
  <c r="J3000" i="32"/>
  <c r="K3000" i="32" s="1"/>
  <c r="J3001" i="32"/>
  <c r="K3001" i="32" s="1"/>
  <c r="J3002" i="32"/>
  <c r="K3002" i="32" s="1"/>
  <c r="J3003" i="32"/>
  <c r="K3003" i="32" s="1"/>
  <c r="J3004" i="32"/>
  <c r="K3004" i="32" s="1"/>
  <c r="J3005" i="32"/>
  <c r="K3005" i="32" s="1"/>
  <c r="J3006" i="32"/>
  <c r="K3006" i="32" s="1"/>
  <c r="J3007" i="32"/>
  <c r="K3007" i="32" s="1"/>
  <c r="J3008" i="32"/>
  <c r="K3008" i="32" s="1"/>
  <c r="J3009" i="32"/>
  <c r="K3009" i="32" s="1"/>
  <c r="J3010" i="32"/>
  <c r="K3010" i="32" s="1"/>
  <c r="J3011" i="32"/>
  <c r="K3011" i="32" s="1"/>
  <c r="J3012" i="32"/>
  <c r="K3012" i="32" s="1"/>
  <c r="J3013" i="32"/>
  <c r="K3013" i="32" s="1"/>
  <c r="J3014" i="32"/>
  <c r="K3014" i="32" s="1"/>
  <c r="J3015" i="32"/>
  <c r="K3015" i="32" s="1"/>
  <c r="J3016" i="32"/>
  <c r="K3016" i="32" s="1"/>
  <c r="J3017" i="32"/>
  <c r="K3017" i="32" s="1"/>
  <c r="J3018" i="32"/>
  <c r="K3018" i="32" s="1"/>
  <c r="J3019" i="32"/>
  <c r="K3019" i="32" s="1"/>
  <c r="J3020" i="32"/>
  <c r="K3020" i="32" s="1"/>
  <c r="J3021" i="32"/>
  <c r="K3021" i="32" s="1"/>
  <c r="J3022" i="32"/>
  <c r="K3022" i="32" s="1"/>
  <c r="J3023" i="32"/>
  <c r="K3023" i="32" s="1"/>
  <c r="J3024" i="32"/>
  <c r="K3024" i="32" s="1"/>
  <c r="J3025" i="32"/>
  <c r="K3025" i="32" s="1"/>
  <c r="J3026" i="32"/>
  <c r="K3026" i="32" s="1"/>
  <c r="J3027" i="32"/>
  <c r="K3027" i="32" s="1"/>
  <c r="J3028" i="32"/>
  <c r="K3028" i="32" s="1"/>
  <c r="J3029" i="32"/>
  <c r="K3029" i="32" s="1"/>
  <c r="J3030" i="32"/>
  <c r="K3030" i="32" s="1"/>
  <c r="J3031" i="32"/>
  <c r="K3031" i="32" s="1"/>
  <c r="J3032" i="32"/>
  <c r="K3032" i="32" s="1"/>
  <c r="J3033" i="32"/>
  <c r="K3033" i="32" s="1"/>
  <c r="J3034" i="32"/>
  <c r="K3034" i="32" s="1"/>
  <c r="J3035" i="32"/>
  <c r="K3035" i="32" s="1"/>
  <c r="J3036" i="32"/>
  <c r="K3036" i="32" s="1"/>
  <c r="J3037" i="32"/>
  <c r="K3037" i="32" s="1"/>
  <c r="J3038" i="32"/>
  <c r="K3038" i="32" s="1"/>
  <c r="J3039" i="32"/>
  <c r="K3039" i="32" s="1"/>
  <c r="J3040" i="32"/>
  <c r="K3040" i="32" s="1"/>
  <c r="J3041" i="32"/>
  <c r="K3041" i="32" s="1"/>
  <c r="J3042" i="32"/>
  <c r="K3042" i="32" s="1"/>
  <c r="J3043" i="32"/>
  <c r="K3043" i="32" s="1"/>
  <c r="J3044" i="32"/>
  <c r="K3044" i="32" s="1"/>
  <c r="J3045" i="32"/>
  <c r="K3045" i="32" s="1"/>
  <c r="J3046" i="32"/>
  <c r="K3046" i="32" s="1"/>
  <c r="J3047" i="32"/>
  <c r="K3047" i="32" s="1"/>
  <c r="J3048" i="32"/>
  <c r="K3048" i="32" s="1"/>
  <c r="J3049" i="32"/>
  <c r="K3049" i="32" s="1"/>
  <c r="J3050" i="32"/>
  <c r="K3050" i="32" s="1"/>
  <c r="J3051" i="32"/>
  <c r="K3051" i="32" s="1"/>
  <c r="J3052" i="32"/>
  <c r="K3052" i="32" s="1"/>
  <c r="J3053" i="32"/>
  <c r="K3053" i="32" s="1"/>
  <c r="J3054" i="32"/>
  <c r="K3054" i="32" s="1"/>
  <c r="J3055" i="32"/>
  <c r="K3055" i="32" s="1"/>
  <c r="J3056" i="32"/>
  <c r="K3056" i="32" s="1"/>
  <c r="J3057" i="32"/>
  <c r="K3057" i="32" s="1"/>
  <c r="J3058" i="32"/>
  <c r="K3058" i="32" s="1"/>
  <c r="J3059" i="32"/>
  <c r="K3059" i="32" s="1"/>
  <c r="J3060" i="32"/>
  <c r="K3060" i="32" s="1"/>
  <c r="J3061" i="32"/>
  <c r="K3061" i="32" s="1"/>
  <c r="J3062" i="32"/>
  <c r="K3062" i="32" s="1"/>
  <c r="J3063" i="32"/>
  <c r="K3063" i="32" s="1"/>
  <c r="J3064" i="32"/>
  <c r="K3064" i="32" s="1"/>
  <c r="J3065" i="32"/>
  <c r="K3065" i="32" s="1"/>
  <c r="J3066" i="32"/>
  <c r="K3066" i="32" s="1"/>
  <c r="J3067" i="32"/>
  <c r="K3067" i="32" s="1"/>
  <c r="J3068" i="32"/>
  <c r="K3068" i="32" s="1"/>
  <c r="J3069" i="32"/>
  <c r="K3069" i="32" s="1"/>
  <c r="J3070" i="32"/>
  <c r="K3070" i="32" s="1"/>
  <c r="J3071" i="32"/>
  <c r="K3071" i="32" s="1"/>
  <c r="J3072" i="32"/>
  <c r="K3072" i="32" s="1"/>
  <c r="J3073" i="32"/>
  <c r="K3073" i="32" s="1"/>
  <c r="J3074" i="32"/>
  <c r="K3074" i="32" s="1"/>
  <c r="J3075" i="32"/>
  <c r="K3075" i="32" s="1"/>
  <c r="J3076" i="32"/>
  <c r="K3076" i="32" s="1"/>
  <c r="J3077" i="32"/>
  <c r="K3077" i="32" s="1"/>
  <c r="J3078" i="32"/>
  <c r="K3078" i="32" s="1"/>
  <c r="J3079" i="32"/>
  <c r="K3079" i="32" s="1"/>
  <c r="J3080" i="32"/>
  <c r="K3080" i="32" s="1"/>
  <c r="J3081" i="32"/>
  <c r="K3081" i="32" s="1"/>
  <c r="J3082" i="32"/>
  <c r="K3082" i="32" s="1"/>
  <c r="J3083" i="32"/>
  <c r="K3083" i="32" s="1"/>
  <c r="J3084" i="32"/>
  <c r="K3084" i="32" s="1"/>
  <c r="J3085" i="32"/>
  <c r="K3085" i="32" s="1"/>
  <c r="J3086" i="32"/>
  <c r="K3086" i="32" s="1"/>
  <c r="J3087" i="32"/>
  <c r="K3087" i="32" s="1"/>
  <c r="J3088" i="32"/>
  <c r="K3088" i="32" s="1"/>
  <c r="J3089" i="32"/>
  <c r="K3089" i="32" s="1"/>
  <c r="J3090" i="32"/>
  <c r="K3090" i="32" s="1"/>
  <c r="J3091" i="32"/>
  <c r="K3091" i="32" s="1"/>
  <c r="J3092" i="32"/>
  <c r="K3092" i="32" s="1"/>
  <c r="J3093" i="32"/>
  <c r="K3093" i="32" s="1"/>
  <c r="J3094" i="32"/>
  <c r="K3094" i="32" s="1"/>
  <c r="J3095" i="32"/>
  <c r="K3095" i="32" s="1"/>
  <c r="J3096" i="32"/>
  <c r="K3096" i="32" s="1"/>
  <c r="J3097" i="32"/>
  <c r="K3097" i="32" s="1"/>
  <c r="J3098" i="32"/>
  <c r="K3098" i="32" s="1"/>
  <c r="J3099" i="32"/>
  <c r="K3099" i="32" s="1"/>
  <c r="J3100" i="32"/>
  <c r="K3100" i="32" s="1"/>
  <c r="J3101" i="32"/>
  <c r="K3101" i="32" s="1"/>
  <c r="J3102" i="32"/>
  <c r="K3102" i="32" s="1"/>
  <c r="J3103" i="32"/>
  <c r="K3103" i="32" s="1"/>
  <c r="J3104" i="32"/>
  <c r="K3104" i="32" s="1"/>
  <c r="J3105" i="32"/>
  <c r="K3105" i="32" s="1"/>
  <c r="J3106" i="32"/>
  <c r="K3106" i="32" s="1"/>
  <c r="J3107" i="32"/>
  <c r="K3107" i="32" s="1"/>
  <c r="J3108" i="32"/>
  <c r="K3108" i="32" s="1"/>
  <c r="J3109" i="32"/>
  <c r="K3109" i="32" s="1"/>
  <c r="J3110" i="32"/>
  <c r="K3110" i="32" s="1"/>
  <c r="J3111" i="32"/>
  <c r="K3111" i="32" s="1"/>
  <c r="J3112" i="32"/>
  <c r="K3112" i="32" s="1"/>
  <c r="J3113" i="32"/>
  <c r="K3113" i="32" s="1"/>
  <c r="J3114" i="32"/>
  <c r="K3114" i="32" s="1"/>
  <c r="J3115" i="32"/>
  <c r="K3115" i="32" s="1"/>
  <c r="J3116" i="32"/>
  <c r="K3116" i="32" s="1"/>
  <c r="J3117" i="32"/>
  <c r="K3117" i="32" s="1"/>
  <c r="J3118" i="32"/>
  <c r="K3118" i="32" s="1"/>
  <c r="J3119" i="32"/>
  <c r="K3119" i="32" s="1"/>
  <c r="J3120" i="32"/>
  <c r="K3120" i="32" s="1"/>
  <c r="J3121" i="32"/>
  <c r="K3121" i="32" s="1"/>
  <c r="J3122" i="32"/>
  <c r="K3122" i="32" s="1"/>
  <c r="J3123" i="32"/>
  <c r="K3123" i="32" s="1"/>
  <c r="J3124" i="32"/>
  <c r="K3124" i="32" s="1"/>
  <c r="J3125" i="32"/>
  <c r="K3125" i="32" s="1"/>
  <c r="J3126" i="32"/>
  <c r="K3126" i="32" s="1"/>
  <c r="J3127" i="32"/>
  <c r="K3127" i="32" s="1"/>
  <c r="J3128" i="32"/>
  <c r="K3128" i="32" s="1"/>
  <c r="J3129" i="32"/>
  <c r="K3129" i="32" s="1"/>
  <c r="J3130" i="32"/>
  <c r="K3130" i="32" s="1"/>
  <c r="J3131" i="32"/>
  <c r="K3131" i="32" s="1"/>
  <c r="J3132" i="32"/>
  <c r="K3132" i="32" s="1"/>
  <c r="J3133" i="32"/>
  <c r="K3133" i="32" s="1"/>
  <c r="J3134" i="32"/>
  <c r="K3134" i="32" s="1"/>
  <c r="J3135" i="32"/>
  <c r="K3135" i="32" s="1"/>
  <c r="J3136" i="32"/>
  <c r="K3136" i="32" s="1"/>
  <c r="J3137" i="32"/>
  <c r="K3137" i="32" s="1"/>
  <c r="J3138" i="32"/>
  <c r="K3138" i="32" s="1"/>
  <c r="J3139" i="32"/>
  <c r="K3139" i="32" s="1"/>
  <c r="J3140" i="32"/>
  <c r="K3140" i="32" s="1"/>
  <c r="J3141" i="32"/>
  <c r="K3141" i="32" s="1"/>
  <c r="J3142" i="32"/>
  <c r="K3142" i="32" s="1"/>
  <c r="J3143" i="32"/>
  <c r="K3143" i="32" s="1"/>
  <c r="J3144" i="32"/>
  <c r="K3144" i="32" s="1"/>
  <c r="J3145" i="32"/>
  <c r="K3145" i="32" s="1"/>
  <c r="J3146" i="32"/>
  <c r="K3146" i="32" s="1"/>
  <c r="J3147" i="32"/>
  <c r="K3147" i="32" s="1"/>
  <c r="J3148" i="32"/>
  <c r="K3148" i="32" s="1"/>
  <c r="J3149" i="32"/>
  <c r="K3149" i="32" s="1"/>
  <c r="J3150" i="32"/>
  <c r="K3150" i="32" s="1"/>
  <c r="J3151" i="32"/>
  <c r="K3151" i="32" s="1"/>
  <c r="J3152" i="32"/>
  <c r="K3152" i="32" s="1"/>
  <c r="J3153" i="32"/>
  <c r="K3153" i="32" s="1"/>
  <c r="J3154" i="32"/>
  <c r="K3154" i="32" s="1"/>
  <c r="J3155" i="32"/>
  <c r="K3155" i="32" s="1"/>
  <c r="J3156" i="32"/>
  <c r="K3156" i="32" s="1"/>
  <c r="J3157" i="32"/>
  <c r="K3157" i="32" s="1"/>
  <c r="J3158" i="32"/>
  <c r="K3158" i="32" s="1"/>
  <c r="J3159" i="32"/>
  <c r="K3159" i="32" s="1"/>
  <c r="J3160" i="32"/>
  <c r="K3160" i="32" s="1"/>
  <c r="J3161" i="32"/>
  <c r="K3161" i="32" s="1"/>
  <c r="J3162" i="32"/>
  <c r="K3162" i="32" s="1"/>
  <c r="J3163" i="32"/>
  <c r="K3163" i="32" s="1"/>
  <c r="J3164" i="32"/>
  <c r="K3164" i="32" s="1"/>
  <c r="J3165" i="32"/>
  <c r="K3165" i="32" s="1"/>
  <c r="J3166" i="32"/>
  <c r="K3166" i="32" s="1"/>
  <c r="J3167" i="32"/>
  <c r="K3167" i="32" s="1"/>
  <c r="J3168" i="32"/>
  <c r="K3168" i="32" s="1"/>
  <c r="J3169" i="32"/>
  <c r="K3169" i="32" s="1"/>
  <c r="J3170" i="32"/>
  <c r="K3170" i="32" s="1"/>
  <c r="J3171" i="32"/>
  <c r="K3171" i="32" s="1"/>
  <c r="J3172" i="32"/>
  <c r="K3172" i="32" s="1"/>
  <c r="J3173" i="32"/>
  <c r="K3173" i="32" s="1"/>
  <c r="J3174" i="32"/>
  <c r="K3174" i="32" s="1"/>
  <c r="J3175" i="32"/>
  <c r="K3175" i="32" s="1"/>
  <c r="J3176" i="32"/>
  <c r="K3176" i="32" s="1"/>
  <c r="J3177" i="32"/>
  <c r="K3177" i="32" s="1"/>
  <c r="J3178" i="32"/>
  <c r="K3178" i="32" s="1"/>
  <c r="J3179" i="32"/>
  <c r="K3179" i="32" s="1"/>
  <c r="J3180" i="32"/>
  <c r="K3180" i="32" s="1"/>
  <c r="J3181" i="32"/>
  <c r="K3181" i="32" s="1"/>
  <c r="J3182" i="32"/>
  <c r="K3182" i="32" s="1"/>
  <c r="J3183" i="32"/>
  <c r="K3183" i="32" s="1"/>
  <c r="J3184" i="32"/>
  <c r="K3184" i="32" s="1"/>
  <c r="J3185" i="32"/>
  <c r="K3185" i="32" s="1"/>
  <c r="J3186" i="32"/>
  <c r="K3186" i="32" s="1"/>
  <c r="J3187" i="32"/>
  <c r="K3187" i="32" s="1"/>
  <c r="J3188" i="32"/>
  <c r="K3188" i="32" s="1"/>
  <c r="J3189" i="32"/>
  <c r="K3189" i="32" s="1"/>
  <c r="J3190" i="32"/>
  <c r="K3190" i="32" s="1"/>
  <c r="J3191" i="32"/>
  <c r="K3191" i="32" s="1"/>
  <c r="J3192" i="32"/>
  <c r="K3192" i="32" s="1"/>
  <c r="J3193" i="32"/>
  <c r="K3193" i="32" s="1"/>
  <c r="J3194" i="32"/>
  <c r="K3194" i="32" s="1"/>
  <c r="J3195" i="32"/>
  <c r="K3195" i="32" s="1"/>
  <c r="J3196" i="32"/>
  <c r="K3196" i="32" s="1"/>
  <c r="J3197" i="32"/>
  <c r="K3197" i="32" s="1"/>
  <c r="J3198" i="32"/>
  <c r="K3198" i="32" s="1"/>
  <c r="J3199" i="32"/>
  <c r="K3199" i="32" s="1"/>
  <c r="J3200" i="32"/>
  <c r="K3200" i="32" s="1"/>
  <c r="J3201" i="32"/>
  <c r="K3201" i="32" s="1"/>
  <c r="J3202" i="32"/>
  <c r="K3202" i="32" s="1"/>
  <c r="J3203" i="32"/>
  <c r="K3203" i="32" s="1"/>
  <c r="J3204" i="32"/>
  <c r="K3204" i="32" s="1"/>
  <c r="J3205" i="32"/>
  <c r="K3205" i="32" s="1"/>
  <c r="J3206" i="32"/>
  <c r="K3206" i="32" s="1"/>
  <c r="J3207" i="32"/>
  <c r="K3207" i="32" s="1"/>
  <c r="J3208" i="32"/>
  <c r="K3208" i="32" s="1"/>
  <c r="J3209" i="32"/>
  <c r="K3209" i="32" s="1"/>
  <c r="J3210" i="32"/>
  <c r="K3210" i="32" s="1"/>
  <c r="J3211" i="32"/>
  <c r="K3211" i="32" s="1"/>
  <c r="J3212" i="32"/>
  <c r="K3212" i="32" s="1"/>
  <c r="J3213" i="32"/>
  <c r="K3213" i="32" s="1"/>
  <c r="J3214" i="32"/>
  <c r="K3214" i="32" s="1"/>
  <c r="J3215" i="32"/>
  <c r="K3215" i="32" s="1"/>
  <c r="J3216" i="32"/>
  <c r="K3216" i="32" s="1"/>
  <c r="J3217" i="32"/>
  <c r="K3217" i="32" s="1"/>
  <c r="J3218" i="32"/>
  <c r="K3218" i="32" s="1"/>
  <c r="J3219" i="32"/>
  <c r="K3219" i="32" s="1"/>
  <c r="J3220" i="32"/>
  <c r="K3220" i="32" s="1"/>
  <c r="J3221" i="32"/>
  <c r="K3221" i="32" s="1"/>
  <c r="J3222" i="32"/>
  <c r="K3222" i="32" s="1"/>
  <c r="J3223" i="32"/>
  <c r="K3223" i="32" s="1"/>
  <c r="J3224" i="32"/>
  <c r="K3224" i="32" s="1"/>
  <c r="J3225" i="32"/>
  <c r="K3225" i="32" s="1"/>
  <c r="J3226" i="32"/>
  <c r="K3226" i="32" s="1"/>
  <c r="J3227" i="32"/>
  <c r="K3227" i="32" s="1"/>
  <c r="J3228" i="32"/>
  <c r="K3228" i="32" s="1"/>
  <c r="J3229" i="32"/>
  <c r="K3229" i="32" s="1"/>
  <c r="J3230" i="32"/>
  <c r="K3230" i="32" s="1"/>
  <c r="J3231" i="32"/>
  <c r="K3231" i="32" s="1"/>
  <c r="J3232" i="32"/>
  <c r="K3232" i="32" s="1"/>
  <c r="J3233" i="32"/>
  <c r="K3233" i="32" s="1"/>
  <c r="J3234" i="32"/>
  <c r="K3234" i="32" s="1"/>
  <c r="J3235" i="32"/>
  <c r="K3235" i="32" s="1"/>
  <c r="J3236" i="32"/>
  <c r="K3236" i="32" s="1"/>
  <c r="J3237" i="32"/>
  <c r="K3237" i="32" s="1"/>
  <c r="J3238" i="32"/>
  <c r="K3238" i="32" s="1"/>
  <c r="J3239" i="32"/>
  <c r="K3239" i="32" s="1"/>
  <c r="J3240" i="32"/>
  <c r="K3240" i="32" s="1"/>
  <c r="J3241" i="32"/>
  <c r="K3241" i="32" s="1"/>
  <c r="J3242" i="32"/>
  <c r="K3242" i="32" s="1"/>
  <c r="J3243" i="32"/>
  <c r="K3243" i="32" s="1"/>
  <c r="J3244" i="32"/>
  <c r="K3244" i="32" s="1"/>
  <c r="J3245" i="32"/>
  <c r="K3245" i="32" s="1"/>
  <c r="J3246" i="32"/>
  <c r="K3246" i="32" s="1"/>
  <c r="J3247" i="32"/>
  <c r="K3247" i="32" s="1"/>
  <c r="J3248" i="32"/>
  <c r="K3248" i="32" s="1"/>
  <c r="J3249" i="32"/>
  <c r="K3249" i="32" s="1"/>
  <c r="J3250" i="32"/>
  <c r="K3250" i="32" s="1"/>
  <c r="J3251" i="32"/>
  <c r="K3251" i="32" s="1"/>
  <c r="J3252" i="32"/>
  <c r="K3252" i="32" s="1"/>
  <c r="J3253" i="32"/>
  <c r="K3253" i="32" s="1"/>
  <c r="J3254" i="32"/>
  <c r="K3254" i="32" s="1"/>
  <c r="J3255" i="32"/>
  <c r="K3255" i="32" s="1"/>
  <c r="J3256" i="32"/>
  <c r="K3256" i="32" s="1"/>
  <c r="J3257" i="32"/>
  <c r="K3257" i="32" s="1"/>
  <c r="J3258" i="32"/>
  <c r="K3258" i="32" s="1"/>
  <c r="J3259" i="32"/>
  <c r="K3259" i="32" s="1"/>
  <c r="J3260" i="32"/>
  <c r="K3260" i="32" s="1"/>
  <c r="J3261" i="32"/>
  <c r="K3261" i="32" s="1"/>
  <c r="J3262" i="32"/>
  <c r="K3262" i="32" s="1"/>
  <c r="J3263" i="32"/>
  <c r="K3263" i="32" s="1"/>
  <c r="J3264" i="32"/>
  <c r="K3264" i="32" s="1"/>
  <c r="J3265" i="32"/>
  <c r="K3265" i="32" s="1"/>
  <c r="J3266" i="32"/>
  <c r="K3266" i="32" s="1"/>
  <c r="J3267" i="32"/>
  <c r="K3267" i="32" s="1"/>
  <c r="J3268" i="32"/>
  <c r="K3268" i="32" s="1"/>
  <c r="J3269" i="32"/>
  <c r="K3269" i="32" s="1"/>
  <c r="J3270" i="32"/>
  <c r="K3270" i="32" s="1"/>
  <c r="J3271" i="32"/>
  <c r="K3271" i="32" s="1"/>
  <c r="J3272" i="32"/>
  <c r="K3272" i="32" s="1"/>
  <c r="J3273" i="32"/>
  <c r="K3273" i="32" s="1"/>
  <c r="J3274" i="32"/>
  <c r="K3274" i="32" s="1"/>
  <c r="J3275" i="32"/>
  <c r="K3275" i="32" s="1"/>
  <c r="J3276" i="32"/>
  <c r="K3276" i="32" s="1"/>
  <c r="J3277" i="32"/>
  <c r="K3277" i="32" s="1"/>
  <c r="J3278" i="32"/>
  <c r="K3278" i="32" s="1"/>
  <c r="J3279" i="32"/>
  <c r="K3279" i="32" s="1"/>
  <c r="J3280" i="32"/>
  <c r="K3280" i="32" s="1"/>
  <c r="J3281" i="32"/>
  <c r="K3281" i="32" s="1"/>
  <c r="J3282" i="32"/>
  <c r="K3282" i="32" s="1"/>
  <c r="J3283" i="32"/>
  <c r="K3283" i="32" s="1"/>
  <c r="J3284" i="32"/>
  <c r="K3284" i="32" s="1"/>
  <c r="J3285" i="32"/>
  <c r="K3285" i="32" s="1"/>
  <c r="J3286" i="32"/>
  <c r="K3286" i="32" s="1"/>
  <c r="J3287" i="32"/>
  <c r="K3287" i="32" s="1"/>
  <c r="J3288" i="32"/>
  <c r="K3288" i="32" s="1"/>
  <c r="J3289" i="32"/>
  <c r="K3289" i="32" s="1"/>
  <c r="J3290" i="32"/>
  <c r="K3290" i="32" s="1"/>
  <c r="J3291" i="32"/>
  <c r="K3291" i="32" s="1"/>
  <c r="J3292" i="32"/>
  <c r="K3292" i="32" s="1"/>
  <c r="J3293" i="32"/>
  <c r="K3293" i="32" s="1"/>
  <c r="J3294" i="32"/>
  <c r="K3294" i="32" s="1"/>
  <c r="J3295" i="32"/>
  <c r="K3295" i="32" s="1"/>
  <c r="J3296" i="32"/>
  <c r="K3296" i="32" s="1"/>
  <c r="J3297" i="32"/>
  <c r="K3297" i="32" s="1"/>
  <c r="J3298" i="32"/>
  <c r="K3298" i="32" s="1"/>
  <c r="J3299" i="32"/>
  <c r="K3299" i="32" s="1"/>
  <c r="J3300" i="32"/>
  <c r="K3300" i="32" s="1"/>
  <c r="J3301" i="32"/>
  <c r="K3301" i="32" s="1"/>
  <c r="J3302" i="32"/>
  <c r="K3302" i="32" s="1"/>
  <c r="J3303" i="32"/>
  <c r="K3303" i="32" s="1"/>
  <c r="J3304" i="32"/>
  <c r="K3304" i="32" s="1"/>
  <c r="J3305" i="32"/>
  <c r="K3305" i="32" s="1"/>
  <c r="J3306" i="32"/>
  <c r="K3306" i="32" s="1"/>
  <c r="J3307" i="32"/>
  <c r="K3307" i="32" s="1"/>
  <c r="J3308" i="32"/>
  <c r="K3308" i="32" s="1"/>
  <c r="J3309" i="32"/>
  <c r="K3309" i="32" s="1"/>
  <c r="J3310" i="32"/>
  <c r="K3310" i="32" s="1"/>
  <c r="J3311" i="32"/>
  <c r="K3311" i="32" s="1"/>
  <c r="J3312" i="32"/>
  <c r="K3312" i="32" s="1"/>
  <c r="J3313" i="32"/>
  <c r="K3313" i="32" s="1"/>
  <c r="J3314" i="32"/>
  <c r="K3314" i="32" s="1"/>
  <c r="J3315" i="32"/>
  <c r="K3315" i="32" s="1"/>
  <c r="J3316" i="32"/>
  <c r="K3316" i="32" s="1"/>
  <c r="J3317" i="32"/>
  <c r="K3317" i="32" s="1"/>
  <c r="J3318" i="32"/>
  <c r="K3318" i="32" s="1"/>
  <c r="J3319" i="32"/>
  <c r="K3319" i="32" s="1"/>
  <c r="J3320" i="32"/>
  <c r="K3320" i="32" s="1"/>
  <c r="J3321" i="32"/>
  <c r="K3321" i="32" s="1"/>
  <c r="J3322" i="32"/>
  <c r="K3322" i="32" s="1"/>
  <c r="J3323" i="32"/>
  <c r="K3323" i="32" s="1"/>
  <c r="J3324" i="32"/>
  <c r="K3324" i="32" s="1"/>
  <c r="J3325" i="32"/>
  <c r="K3325" i="32" s="1"/>
  <c r="J3326" i="32"/>
  <c r="K3326" i="32" s="1"/>
  <c r="J3327" i="32"/>
  <c r="K3327" i="32" s="1"/>
  <c r="J3328" i="32"/>
  <c r="K3328" i="32" s="1"/>
  <c r="J3329" i="32"/>
  <c r="K3329" i="32" s="1"/>
  <c r="J3330" i="32"/>
  <c r="K3330" i="32" s="1"/>
  <c r="J3331" i="32"/>
  <c r="K3331" i="32" s="1"/>
  <c r="J3332" i="32"/>
  <c r="K3332" i="32" s="1"/>
  <c r="J3333" i="32"/>
  <c r="K3333" i="32" s="1"/>
  <c r="J3334" i="32"/>
  <c r="K3334" i="32" s="1"/>
  <c r="J3335" i="32"/>
  <c r="K3335" i="32" s="1"/>
  <c r="J3336" i="32"/>
  <c r="K3336" i="32" s="1"/>
  <c r="J3337" i="32"/>
  <c r="K3337" i="32" s="1"/>
  <c r="J3338" i="32"/>
  <c r="K3338" i="32" s="1"/>
  <c r="J3339" i="32"/>
  <c r="K3339" i="32" s="1"/>
  <c r="J3340" i="32"/>
  <c r="K3340" i="32" s="1"/>
  <c r="J3341" i="32"/>
  <c r="K3341" i="32" s="1"/>
  <c r="J3342" i="32"/>
  <c r="K3342" i="32" s="1"/>
  <c r="J3343" i="32"/>
  <c r="K3343" i="32" s="1"/>
  <c r="J3344" i="32"/>
  <c r="K3344" i="32" s="1"/>
  <c r="J3345" i="32"/>
  <c r="K3345" i="32" s="1"/>
  <c r="J3346" i="32"/>
  <c r="K3346" i="32" s="1"/>
  <c r="J3347" i="32"/>
  <c r="K3347" i="32" s="1"/>
  <c r="J3348" i="32"/>
  <c r="K3348" i="32" s="1"/>
  <c r="J3349" i="32"/>
  <c r="K3349" i="32" s="1"/>
  <c r="J3350" i="32"/>
  <c r="K3350" i="32" s="1"/>
  <c r="J3351" i="32"/>
  <c r="K3351" i="32" s="1"/>
  <c r="J3352" i="32"/>
  <c r="K3352" i="32" s="1"/>
  <c r="J3353" i="32"/>
  <c r="K3353" i="32" s="1"/>
  <c r="J3354" i="32"/>
  <c r="K3354" i="32" s="1"/>
  <c r="J3355" i="32"/>
  <c r="K3355" i="32" s="1"/>
  <c r="J3356" i="32"/>
  <c r="K3356" i="32" s="1"/>
  <c r="J3357" i="32"/>
  <c r="K3357" i="32" s="1"/>
  <c r="J3358" i="32"/>
  <c r="K3358" i="32" s="1"/>
  <c r="J3359" i="32"/>
  <c r="K3359" i="32" s="1"/>
  <c r="J3360" i="32"/>
  <c r="K3360" i="32" s="1"/>
  <c r="J3361" i="32"/>
  <c r="K3361" i="32" s="1"/>
  <c r="J3362" i="32"/>
  <c r="K3362" i="32" s="1"/>
  <c r="J3363" i="32"/>
  <c r="K3363" i="32" s="1"/>
  <c r="J3364" i="32"/>
  <c r="K3364" i="32" s="1"/>
  <c r="J3365" i="32"/>
  <c r="K3365" i="32" s="1"/>
  <c r="J3366" i="32"/>
  <c r="K3366" i="32" s="1"/>
  <c r="J3367" i="32"/>
  <c r="K3367" i="32" s="1"/>
  <c r="J3368" i="32"/>
  <c r="K3368" i="32" s="1"/>
  <c r="J3369" i="32"/>
  <c r="K3369" i="32" s="1"/>
  <c r="J3370" i="32"/>
  <c r="K3370" i="32" s="1"/>
  <c r="J3371" i="32"/>
  <c r="K3371" i="32" s="1"/>
  <c r="J3372" i="32"/>
  <c r="K3372" i="32" s="1"/>
  <c r="J3373" i="32"/>
  <c r="K3373" i="32" s="1"/>
  <c r="J3374" i="32"/>
  <c r="K3374" i="32" s="1"/>
  <c r="J3375" i="32"/>
  <c r="K3375" i="32" s="1"/>
  <c r="J3376" i="32"/>
  <c r="K3376" i="32" s="1"/>
  <c r="J3377" i="32"/>
  <c r="K3377" i="32" s="1"/>
  <c r="J3378" i="32"/>
  <c r="K3378" i="32" s="1"/>
  <c r="J3379" i="32"/>
  <c r="K3379" i="32" s="1"/>
  <c r="J3380" i="32"/>
  <c r="K3380" i="32" s="1"/>
  <c r="J3381" i="32"/>
  <c r="K3381" i="32" s="1"/>
  <c r="J3382" i="32"/>
  <c r="K3382" i="32" s="1"/>
  <c r="J3383" i="32"/>
  <c r="K3383" i="32" s="1"/>
  <c r="J3384" i="32"/>
  <c r="K3384" i="32" s="1"/>
  <c r="J3385" i="32"/>
  <c r="K3385" i="32" s="1"/>
  <c r="J3386" i="32"/>
  <c r="K3386" i="32" s="1"/>
  <c r="J3387" i="32"/>
  <c r="K3387" i="32" s="1"/>
  <c r="J3388" i="32"/>
  <c r="K3388" i="32" s="1"/>
  <c r="J3389" i="32"/>
  <c r="K3389" i="32" s="1"/>
  <c r="J3390" i="32"/>
  <c r="K3390" i="32" s="1"/>
  <c r="J3391" i="32"/>
  <c r="K3391" i="32" s="1"/>
  <c r="J3392" i="32"/>
  <c r="K3392" i="32" s="1"/>
  <c r="J3393" i="32"/>
  <c r="K3393" i="32" s="1"/>
  <c r="J3394" i="32"/>
  <c r="K3394" i="32" s="1"/>
  <c r="J3395" i="32"/>
  <c r="K3395" i="32" s="1"/>
  <c r="J3396" i="32"/>
  <c r="K3396" i="32" s="1"/>
  <c r="J3397" i="32"/>
  <c r="K3397" i="32" s="1"/>
  <c r="J3398" i="32"/>
  <c r="K3398" i="32" s="1"/>
  <c r="J3399" i="32"/>
  <c r="K3399" i="32" s="1"/>
  <c r="J3400" i="32"/>
  <c r="K3400" i="32" s="1"/>
  <c r="J3401" i="32"/>
  <c r="K3401" i="32" s="1"/>
  <c r="J3402" i="32"/>
  <c r="K3402" i="32" s="1"/>
  <c r="J3403" i="32"/>
  <c r="K3403" i="32" s="1"/>
  <c r="J3404" i="32"/>
  <c r="K3404" i="32" s="1"/>
  <c r="J3405" i="32"/>
  <c r="K3405" i="32" s="1"/>
  <c r="J3406" i="32"/>
  <c r="K3406" i="32" s="1"/>
  <c r="J3407" i="32"/>
  <c r="K3407" i="32" s="1"/>
  <c r="J3408" i="32"/>
  <c r="K3408" i="32" s="1"/>
  <c r="J3409" i="32"/>
  <c r="K3409" i="32" s="1"/>
  <c r="J3410" i="32"/>
  <c r="K3410" i="32" s="1"/>
  <c r="J3411" i="32"/>
  <c r="K3411" i="32" s="1"/>
  <c r="J3412" i="32"/>
  <c r="K3412" i="32" s="1"/>
  <c r="J3413" i="32"/>
  <c r="K3413" i="32" s="1"/>
  <c r="J3414" i="32"/>
  <c r="K3414" i="32" s="1"/>
  <c r="J3415" i="32"/>
  <c r="K3415" i="32" s="1"/>
  <c r="J3416" i="32"/>
  <c r="K3416" i="32" s="1"/>
  <c r="J3417" i="32"/>
  <c r="K3417" i="32" s="1"/>
  <c r="J3418" i="32"/>
  <c r="K3418" i="32" s="1"/>
  <c r="J3419" i="32"/>
  <c r="K3419" i="32" s="1"/>
  <c r="J3420" i="32"/>
  <c r="K3420" i="32" s="1"/>
  <c r="J3421" i="32"/>
  <c r="K3421" i="32" s="1"/>
  <c r="J3422" i="32"/>
  <c r="K3422" i="32" s="1"/>
  <c r="J3423" i="32"/>
  <c r="K3423" i="32" s="1"/>
  <c r="J3424" i="32"/>
  <c r="K3424" i="32" s="1"/>
  <c r="J3425" i="32"/>
  <c r="K3425" i="32" s="1"/>
  <c r="J3426" i="32"/>
  <c r="K3426" i="32" s="1"/>
  <c r="J3427" i="32"/>
  <c r="K3427" i="32" s="1"/>
  <c r="J3428" i="32"/>
  <c r="K3428" i="32" s="1"/>
  <c r="J3429" i="32"/>
  <c r="K3429" i="32" s="1"/>
  <c r="J3430" i="32"/>
  <c r="K3430" i="32" s="1"/>
  <c r="J3431" i="32"/>
  <c r="K3431" i="32" s="1"/>
  <c r="J3432" i="32"/>
  <c r="K3432" i="32" s="1"/>
  <c r="J3433" i="32"/>
  <c r="K3433" i="32" s="1"/>
  <c r="J3434" i="32"/>
  <c r="K3434" i="32" s="1"/>
  <c r="J3435" i="32"/>
  <c r="K3435" i="32" s="1"/>
  <c r="J3436" i="32"/>
  <c r="K3436" i="32" s="1"/>
  <c r="J3437" i="32"/>
  <c r="K3437" i="32" s="1"/>
  <c r="J3438" i="32"/>
  <c r="K3438" i="32" s="1"/>
  <c r="J3439" i="32"/>
  <c r="K3439" i="32" s="1"/>
  <c r="J3440" i="32"/>
  <c r="K3440" i="32" s="1"/>
  <c r="J3441" i="32"/>
  <c r="K3441" i="32" s="1"/>
  <c r="J3442" i="32"/>
  <c r="K3442" i="32" s="1"/>
  <c r="J3443" i="32"/>
  <c r="K3443" i="32" s="1"/>
  <c r="J3444" i="32"/>
  <c r="K3444" i="32" s="1"/>
  <c r="J3445" i="32"/>
  <c r="K3445" i="32" s="1"/>
  <c r="J3446" i="32"/>
  <c r="K3446" i="32" s="1"/>
  <c r="J3447" i="32"/>
  <c r="K3447" i="32" s="1"/>
  <c r="J3448" i="32"/>
  <c r="K3448" i="32" s="1"/>
  <c r="J3449" i="32"/>
  <c r="K3449" i="32" s="1"/>
  <c r="J3450" i="32"/>
  <c r="K3450" i="32" s="1"/>
  <c r="J3451" i="32"/>
  <c r="K3451" i="32" s="1"/>
  <c r="J3452" i="32"/>
  <c r="K3452" i="32" s="1"/>
  <c r="J3453" i="32"/>
  <c r="K3453" i="32" s="1"/>
  <c r="J3454" i="32"/>
  <c r="K3454" i="32" s="1"/>
  <c r="J3455" i="32"/>
  <c r="K3455" i="32" s="1"/>
  <c r="J3456" i="32"/>
  <c r="K3456" i="32" s="1"/>
  <c r="J3457" i="32"/>
  <c r="K3457" i="32" s="1"/>
  <c r="J3458" i="32"/>
  <c r="K3458" i="32" s="1"/>
  <c r="J3459" i="32"/>
  <c r="K3459" i="32" s="1"/>
  <c r="J3460" i="32"/>
  <c r="K3460" i="32" s="1"/>
  <c r="J3461" i="32"/>
  <c r="K3461" i="32" s="1"/>
  <c r="J3462" i="32"/>
  <c r="K3462" i="32" s="1"/>
  <c r="J3463" i="32"/>
  <c r="K3463" i="32" s="1"/>
  <c r="J3464" i="32"/>
  <c r="K3464" i="32" s="1"/>
  <c r="J3465" i="32"/>
  <c r="K3465" i="32" s="1"/>
  <c r="J3466" i="32"/>
  <c r="K3466" i="32" s="1"/>
  <c r="J3467" i="32"/>
  <c r="K3467" i="32" s="1"/>
  <c r="J3468" i="32"/>
  <c r="K3468" i="32" s="1"/>
  <c r="J3469" i="32"/>
  <c r="K3469" i="32" s="1"/>
  <c r="J3470" i="32"/>
  <c r="K3470" i="32" s="1"/>
  <c r="J3471" i="32"/>
  <c r="K3471" i="32" s="1"/>
  <c r="J3472" i="32"/>
  <c r="K3472" i="32" s="1"/>
  <c r="J3473" i="32"/>
  <c r="K3473" i="32" s="1"/>
  <c r="J3474" i="32"/>
  <c r="K3474" i="32" s="1"/>
  <c r="J3475" i="32"/>
  <c r="K3475" i="32" s="1"/>
  <c r="J3476" i="32"/>
  <c r="K3476" i="32" s="1"/>
  <c r="J3477" i="32"/>
  <c r="K3477" i="32" s="1"/>
  <c r="J3478" i="32"/>
  <c r="K3478" i="32" s="1"/>
  <c r="J3479" i="32"/>
  <c r="K3479" i="32" s="1"/>
  <c r="J3480" i="32"/>
  <c r="K3480" i="32" s="1"/>
  <c r="J3481" i="32"/>
  <c r="K3481" i="32" s="1"/>
  <c r="J3482" i="32"/>
  <c r="K3482" i="32" s="1"/>
  <c r="J3483" i="32"/>
  <c r="K3483" i="32" s="1"/>
  <c r="J3484" i="32"/>
  <c r="K3484" i="32" s="1"/>
  <c r="J3485" i="32"/>
  <c r="K3485" i="32" s="1"/>
  <c r="J3486" i="32"/>
  <c r="K3486" i="32" s="1"/>
  <c r="J3487" i="32"/>
  <c r="K3487" i="32" s="1"/>
  <c r="J3488" i="32"/>
  <c r="K3488" i="32" s="1"/>
  <c r="J3489" i="32"/>
  <c r="K3489" i="32" s="1"/>
  <c r="J3490" i="32"/>
  <c r="K3490" i="32" s="1"/>
  <c r="J3491" i="32"/>
  <c r="K3491" i="32" s="1"/>
  <c r="J3492" i="32"/>
  <c r="K3492" i="32" s="1"/>
  <c r="J3493" i="32"/>
  <c r="K3493" i="32" s="1"/>
  <c r="J3494" i="32"/>
  <c r="K3494" i="32" s="1"/>
  <c r="J3495" i="32"/>
  <c r="K3495" i="32" s="1"/>
  <c r="J3496" i="32"/>
  <c r="K3496" i="32" s="1"/>
  <c r="J3497" i="32"/>
  <c r="K3497" i="32" s="1"/>
  <c r="J3498" i="32"/>
  <c r="K3498" i="32" s="1"/>
  <c r="J3499" i="32"/>
  <c r="K3499" i="32" s="1"/>
  <c r="J3500" i="32"/>
  <c r="K3500" i="32" s="1"/>
  <c r="J3501" i="32"/>
  <c r="K3501" i="32" s="1"/>
  <c r="J3502" i="32"/>
  <c r="K3502" i="32" s="1"/>
  <c r="J3503" i="32"/>
  <c r="K3503" i="32" s="1"/>
  <c r="J3504" i="32"/>
  <c r="K3504" i="32" s="1"/>
  <c r="J3505" i="32"/>
  <c r="K3505" i="32" s="1"/>
  <c r="J3506" i="32"/>
  <c r="K3506" i="32" s="1"/>
  <c r="J3507" i="32"/>
  <c r="K3507" i="32" s="1"/>
  <c r="J3508" i="32"/>
  <c r="K3508" i="32" s="1"/>
  <c r="J3509" i="32"/>
  <c r="K3509" i="32" s="1"/>
  <c r="J3510" i="32"/>
  <c r="K3510" i="32" s="1"/>
  <c r="J3511" i="32"/>
  <c r="K3511" i="32" s="1"/>
  <c r="J3512" i="32"/>
  <c r="K3512" i="32" s="1"/>
  <c r="J3513" i="32"/>
  <c r="K3513" i="32" s="1"/>
  <c r="J3514" i="32"/>
  <c r="K3514" i="32" s="1"/>
  <c r="J3515" i="32"/>
  <c r="K3515" i="32" s="1"/>
  <c r="J3516" i="32"/>
  <c r="K3516" i="32" s="1"/>
  <c r="J3517" i="32"/>
  <c r="K3517" i="32" s="1"/>
  <c r="J3518" i="32"/>
  <c r="K3518" i="32" s="1"/>
  <c r="J3519" i="32"/>
  <c r="K3519" i="32" s="1"/>
  <c r="J3520" i="32"/>
  <c r="K3520" i="32" s="1"/>
  <c r="J3521" i="32"/>
  <c r="K3521" i="32" s="1"/>
  <c r="J3522" i="32"/>
  <c r="K3522" i="32" s="1"/>
  <c r="J3523" i="32"/>
  <c r="K3523" i="32" s="1"/>
  <c r="J3524" i="32"/>
  <c r="K3524" i="32" s="1"/>
  <c r="J3525" i="32"/>
  <c r="K3525" i="32" s="1"/>
  <c r="J3526" i="32"/>
  <c r="K3526" i="32" s="1"/>
  <c r="J3527" i="32"/>
  <c r="K3527" i="32" s="1"/>
  <c r="J3528" i="32"/>
  <c r="K3528" i="32" s="1"/>
  <c r="J3529" i="32"/>
  <c r="K3529" i="32" s="1"/>
  <c r="J3530" i="32"/>
  <c r="K3530" i="32" s="1"/>
  <c r="J3531" i="32"/>
  <c r="K3531" i="32" s="1"/>
  <c r="J3532" i="32"/>
  <c r="K3532" i="32" s="1"/>
  <c r="J3533" i="32"/>
  <c r="K3533" i="32" s="1"/>
  <c r="J3534" i="32"/>
  <c r="K3534" i="32" s="1"/>
  <c r="J3535" i="32"/>
  <c r="K3535" i="32" s="1"/>
  <c r="J3536" i="32"/>
  <c r="K3536" i="32" s="1"/>
  <c r="J3537" i="32"/>
  <c r="K3537" i="32" s="1"/>
  <c r="J3538" i="32"/>
  <c r="K3538" i="32" s="1"/>
  <c r="J3539" i="32"/>
  <c r="K3539" i="32" s="1"/>
  <c r="J3540" i="32"/>
  <c r="K3540" i="32" s="1"/>
  <c r="J3541" i="32"/>
  <c r="K3541" i="32" s="1"/>
  <c r="J3542" i="32"/>
  <c r="K3542" i="32" s="1"/>
  <c r="J3543" i="32"/>
  <c r="K3543" i="32" s="1"/>
  <c r="J3544" i="32"/>
  <c r="K3544" i="32" s="1"/>
  <c r="J3545" i="32"/>
  <c r="K3545" i="32" s="1"/>
  <c r="J3546" i="32"/>
  <c r="K3546" i="32" s="1"/>
  <c r="J3547" i="32"/>
  <c r="K3547" i="32" s="1"/>
  <c r="J3548" i="32"/>
  <c r="K3548" i="32" s="1"/>
  <c r="J3549" i="32"/>
  <c r="K3549" i="32" s="1"/>
  <c r="J3550" i="32"/>
  <c r="K3550" i="32" s="1"/>
  <c r="J3551" i="32"/>
  <c r="K3551" i="32" s="1"/>
  <c r="J3552" i="32"/>
  <c r="K3552" i="32" s="1"/>
  <c r="J3553" i="32"/>
  <c r="K3553" i="32" s="1"/>
  <c r="J3554" i="32"/>
  <c r="K3554" i="32" s="1"/>
  <c r="J3555" i="32"/>
  <c r="K3555" i="32" s="1"/>
  <c r="J3556" i="32"/>
  <c r="K3556" i="32" s="1"/>
  <c r="J3557" i="32"/>
  <c r="K3557" i="32" s="1"/>
  <c r="J3558" i="32"/>
  <c r="K3558" i="32" s="1"/>
  <c r="J3559" i="32"/>
  <c r="K3559" i="32" s="1"/>
  <c r="J3560" i="32"/>
  <c r="K3560" i="32" s="1"/>
  <c r="J3561" i="32"/>
  <c r="K3561" i="32" s="1"/>
  <c r="J3562" i="32"/>
  <c r="K3562" i="32" s="1"/>
  <c r="J3563" i="32"/>
  <c r="K3563" i="32" s="1"/>
  <c r="J3564" i="32"/>
  <c r="K3564" i="32" s="1"/>
  <c r="J3565" i="32"/>
  <c r="K3565" i="32" s="1"/>
  <c r="J3566" i="32"/>
  <c r="K3566" i="32" s="1"/>
  <c r="J3567" i="32"/>
  <c r="K3567" i="32" s="1"/>
  <c r="J3568" i="32"/>
  <c r="K3568" i="32" s="1"/>
  <c r="J3569" i="32"/>
  <c r="K3569" i="32" s="1"/>
  <c r="J3570" i="32"/>
  <c r="K3570" i="32" s="1"/>
  <c r="J3571" i="32"/>
  <c r="K3571" i="32" s="1"/>
  <c r="J3572" i="32"/>
  <c r="K3572" i="32" s="1"/>
  <c r="J3573" i="32"/>
  <c r="K3573" i="32" s="1"/>
  <c r="J3574" i="32"/>
  <c r="K3574" i="32" s="1"/>
  <c r="J3575" i="32"/>
  <c r="K3575" i="32" s="1"/>
  <c r="J3576" i="32"/>
  <c r="K3576" i="32" s="1"/>
  <c r="J3577" i="32"/>
  <c r="K3577" i="32" s="1"/>
  <c r="J3578" i="32"/>
  <c r="K3578" i="32" s="1"/>
  <c r="J3579" i="32"/>
  <c r="K3579" i="32" s="1"/>
  <c r="J3580" i="32"/>
  <c r="K3580" i="32" s="1"/>
  <c r="J3581" i="32"/>
  <c r="K3581" i="32" s="1"/>
  <c r="J3582" i="32"/>
  <c r="K3582" i="32" s="1"/>
  <c r="J3583" i="32"/>
  <c r="K3583" i="32" s="1"/>
  <c r="J3584" i="32"/>
  <c r="K3584" i="32" s="1"/>
  <c r="J3585" i="32"/>
  <c r="K3585" i="32" s="1"/>
  <c r="J3586" i="32"/>
  <c r="K3586" i="32" s="1"/>
  <c r="J3587" i="32"/>
  <c r="K3587" i="32" s="1"/>
  <c r="J3588" i="32"/>
  <c r="K3588" i="32" s="1"/>
  <c r="J3589" i="32"/>
  <c r="K3589" i="32" s="1"/>
  <c r="J3590" i="32"/>
  <c r="K3590" i="32" s="1"/>
  <c r="J3591" i="32"/>
  <c r="K3591" i="32" s="1"/>
  <c r="J3592" i="32"/>
  <c r="K3592" i="32" s="1"/>
  <c r="J3593" i="32"/>
  <c r="K3593" i="32" s="1"/>
  <c r="J3594" i="32"/>
  <c r="K3594" i="32" s="1"/>
  <c r="J3595" i="32"/>
  <c r="K3595" i="32" s="1"/>
  <c r="J3596" i="32"/>
  <c r="K3596" i="32" s="1"/>
  <c r="J3597" i="32"/>
  <c r="K3597" i="32" s="1"/>
  <c r="J3598" i="32"/>
  <c r="K3598" i="32" s="1"/>
  <c r="J3599" i="32"/>
  <c r="K3599" i="32" s="1"/>
  <c r="J3600" i="32"/>
  <c r="K3600" i="32" s="1"/>
  <c r="J3601" i="32"/>
  <c r="K3601" i="32" s="1"/>
  <c r="J3602" i="32"/>
  <c r="K3602" i="32" s="1"/>
  <c r="J3603" i="32"/>
  <c r="K3603" i="32" s="1"/>
  <c r="J3604" i="32"/>
  <c r="K3604" i="32" s="1"/>
  <c r="J3605" i="32"/>
  <c r="K3605" i="32" s="1"/>
  <c r="J3606" i="32"/>
  <c r="K3606" i="32" s="1"/>
  <c r="J3607" i="32"/>
  <c r="K3607" i="32" s="1"/>
  <c r="J3608" i="32"/>
  <c r="K3608" i="32" s="1"/>
  <c r="J3609" i="32"/>
  <c r="K3609" i="32" s="1"/>
  <c r="J3610" i="32"/>
  <c r="K3610" i="32" s="1"/>
  <c r="J3611" i="32"/>
  <c r="K3611" i="32" s="1"/>
  <c r="J3612" i="32"/>
  <c r="K3612" i="32" s="1"/>
  <c r="J3613" i="32"/>
  <c r="K3613" i="32" s="1"/>
  <c r="J3614" i="32"/>
  <c r="K3614" i="32" s="1"/>
  <c r="J3615" i="32"/>
  <c r="K3615" i="32" s="1"/>
  <c r="J3616" i="32"/>
  <c r="K3616" i="32" s="1"/>
  <c r="J3617" i="32"/>
  <c r="K3617" i="32" s="1"/>
  <c r="J3618" i="32"/>
  <c r="K3618" i="32" s="1"/>
  <c r="J3619" i="32"/>
  <c r="K3619" i="32" s="1"/>
  <c r="J3620" i="32"/>
  <c r="K3620" i="32" s="1"/>
  <c r="J3621" i="32"/>
  <c r="K3621" i="32" s="1"/>
  <c r="J3622" i="32"/>
  <c r="K3622" i="32" s="1"/>
  <c r="J3623" i="32"/>
  <c r="K3623" i="32" s="1"/>
  <c r="J3624" i="32"/>
  <c r="K3624" i="32" s="1"/>
  <c r="J3625" i="32"/>
  <c r="K3625" i="32" s="1"/>
  <c r="J3626" i="32"/>
  <c r="K3626" i="32" s="1"/>
  <c r="J3627" i="32"/>
  <c r="K3627" i="32" s="1"/>
  <c r="J3628" i="32"/>
  <c r="K3628" i="32" s="1"/>
  <c r="J3629" i="32"/>
  <c r="K3629" i="32" s="1"/>
  <c r="J3630" i="32"/>
  <c r="K3630" i="32" s="1"/>
  <c r="J3631" i="32"/>
  <c r="K3631" i="32" s="1"/>
  <c r="J3632" i="32"/>
  <c r="K3632" i="32" s="1"/>
  <c r="J3633" i="32"/>
  <c r="K3633" i="32" s="1"/>
  <c r="J3634" i="32"/>
  <c r="K3634" i="32" s="1"/>
  <c r="J3635" i="32"/>
  <c r="K3635" i="32" s="1"/>
  <c r="J3636" i="32"/>
  <c r="K3636" i="32" s="1"/>
  <c r="J3637" i="32"/>
  <c r="K3637" i="32" s="1"/>
  <c r="J3638" i="32"/>
  <c r="K3638" i="32" s="1"/>
  <c r="J3639" i="32"/>
  <c r="K3639" i="32" s="1"/>
  <c r="J3640" i="32"/>
  <c r="K3640" i="32" s="1"/>
  <c r="J3641" i="32"/>
  <c r="K3641" i="32" s="1"/>
  <c r="J3642" i="32"/>
  <c r="K3642" i="32" s="1"/>
  <c r="J3643" i="32"/>
  <c r="K3643" i="32" s="1"/>
  <c r="J3644" i="32"/>
  <c r="K3644" i="32" s="1"/>
  <c r="J3645" i="32"/>
  <c r="K3645" i="32" s="1"/>
  <c r="J3646" i="32"/>
  <c r="K3646" i="32" s="1"/>
  <c r="J3647" i="32"/>
  <c r="K3647" i="32" s="1"/>
  <c r="J3648" i="32"/>
  <c r="K3648" i="32" s="1"/>
  <c r="J3649" i="32"/>
  <c r="K3649" i="32" s="1"/>
  <c r="J3650" i="32"/>
  <c r="K3650" i="32" s="1"/>
  <c r="J3651" i="32"/>
  <c r="K3651" i="32" s="1"/>
  <c r="J3652" i="32"/>
  <c r="K3652" i="32" s="1"/>
  <c r="J3653" i="32"/>
  <c r="K3653" i="32" s="1"/>
  <c r="J3654" i="32"/>
  <c r="K3654" i="32" s="1"/>
  <c r="J3655" i="32"/>
  <c r="K3655" i="32" s="1"/>
  <c r="J3656" i="32"/>
  <c r="K3656" i="32" s="1"/>
  <c r="J3657" i="32"/>
  <c r="K3657" i="32" s="1"/>
  <c r="J3658" i="32"/>
  <c r="K3658" i="32" s="1"/>
  <c r="J3659" i="32"/>
  <c r="K3659" i="32" s="1"/>
  <c r="J3660" i="32"/>
  <c r="K3660" i="32" s="1"/>
  <c r="J3661" i="32"/>
  <c r="K3661" i="32" s="1"/>
  <c r="J3662" i="32"/>
  <c r="K3662" i="32" s="1"/>
  <c r="J3663" i="32"/>
  <c r="K3663" i="32" s="1"/>
  <c r="J3664" i="32"/>
  <c r="K3664" i="32" s="1"/>
  <c r="J3665" i="32"/>
  <c r="K3665" i="32" s="1"/>
  <c r="J3666" i="32"/>
  <c r="K3666" i="32" s="1"/>
  <c r="J3667" i="32"/>
  <c r="K3667" i="32" s="1"/>
  <c r="J3668" i="32"/>
  <c r="K3668" i="32" s="1"/>
  <c r="J3669" i="32"/>
  <c r="K3669" i="32" s="1"/>
  <c r="J3670" i="32"/>
  <c r="K3670" i="32" s="1"/>
  <c r="J3671" i="32"/>
  <c r="K3671" i="32" s="1"/>
  <c r="J3672" i="32"/>
  <c r="K3672" i="32" s="1"/>
  <c r="J3673" i="32"/>
  <c r="K3673" i="32" s="1"/>
  <c r="J3674" i="32"/>
  <c r="K3674" i="32" s="1"/>
  <c r="J3675" i="32"/>
  <c r="K3675" i="32" s="1"/>
  <c r="J3676" i="32"/>
  <c r="K3676" i="32" s="1"/>
  <c r="J3677" i="32"/>
  <c r="K3677" i="32" s="1"/>
  <c r="J3678" i="32"/>
  <c r="K3678" i="32" s="1"/>
  <c r="J3679" i="32"/>
  <c r="K3679" i="32" s="1"/>
  <c r="J3680" i="32"/>
  <c r="K3680" i="32" s="1"/>
  <c r="J3681" i="32"/>
  <c r="K3681" i="32" s="1"/>
  <c r="J3682" i="32"/>
  <c r="K3682" i="32" s="1"/>
  <c r="J3683" i="32"/>
  <c r="K3683" i="32" s="1"/>
  <c r="J3684" i="32"/>
  <c r="K3684" i="32" s="1"/>
  <c r="J3685" i="32"/>
  <c r="K3685" i="32" s="1"/>
  <c r="J3686" i="32"/>
  <c r="K3686" i="32" s="1"/>
  <c r="J3687" i="32"/>
  <c r="K3687" i="32" s="1"/>
  <c r="J3688" i="32"/>
  <c r="K3688" i="32" s="1"/>
  <c r="J3689" i="32"/>
  <c r="K3689" i="32" s="1"/>
  <c r="J3690" i="32"/>
  <c r="K3690" i="32" s="1"/>
  <c r="J3691" i="32"/>
  <c r="K3691" i="32" s="1"/>
  <c r="J3692" i="32"/>
  <c r="K3692" i="32" s="1"/>
  <c r="J3693" i="32"/>
  <c r="K3693" i="32" s="1"/>
  <c r="J3694" i="32"/>
  <c r="K3694" i="32" s="1"/>
  <c r="J3695" i="32"/>
  <c r="K3695" i="32" s="1"/>
  <c r="J3696" i="32"/>
  <c r="K3696" i="32" s="1"/>
  <c r="J3697" i="32"/>
  <c r="K3697" i="32" s="1"/>
  <c r="J3698" i="32"/>
  <c r="K3698" i="32" s="1"/>
  <c r="J3699" i="32"/>
  <c r="K3699" i="32" s="1"/>
  <c r="J3700" i="32"/>
  <c r="K3700" i="32" s="1"/>
  <c r="J3701" i="32"/>
  <c r="K3701" i="32" s="1"/>
  <c r="J3702" i="32"/>
  <c r="K3702" i="32" s="1"/>
  <c r="J3703" i="32"/>
  <c r="K3703" i="32" s="1"/>
  <c r="J3704" i="32"/>
  <c r="K3704" i="32" s="1"/>
  <c r="J3705" i="32"/>
  <c r="K3705" i="32" s="1"/>
  <c r="J3706" i="32"/>
  <c r="K3706" i="32" s="1"/>
  <c r="J3707" i="32"/>
  <c r="K3707" i="32" s="1"/>
  <c r="J3708" i="32"/>
  <c r="K3708" i="32" s="1"/>
  <c r="J3709" i="32"/>
  <c r="K3709" i="32" s="1"/>
  <c r="J3710" i="32"/>
  <c r="K3710" i="32" s="1"/>
  <c r="J3711" i="32"/>
  <c r="K3711" i="32" s="1"/>
  <c r="J3712" i="32"/>
  <c r="K3712" i="32" s="1"/>
  <c r="J3713" i="32"/>
  <c r="K3713" i="32" s="1"/>
  <c r="J3714" i="32"/>
  <c r="K3714" i="32" s="1"/>
  <c r="J3715" i="32"/>
  <c r="K3715" i="32" s="1"/>
  <c r="J3716" i="32"/>
  <c r="K3716" i="32" s="1"/>
  <c r="J3717" i="32"/>
  <c r="K3717" i="32" s="1"/>
  <c r="J3718" i="32"/>
  <c r="K3718" i="32" s="1"/>
  <c r="J3719" i="32"/>
  <c r="K3719" i="32" s="1"/>
  <c r="J3720" i="32"/>
  <c r="K3720" i="32" s="1"/>
  <c r="J3721" i="32"/>
  <c r="K3721" i="32" s="1"/>
  <c r="J3722" i="32"/>
  <c r="K3722" i="32" s="1"/>
  <c r="J3723" i="32"/>
  <c r="K3723" i="32" s="1"/>
  <c r="J3724" i="32"/>
  <c r="K3724" i="32" s="1"/>
  <c r="J3725" i="32"/>
  <c r="K3725" i="32" s="1"/>
  <c r="J3726" i="32"/>
  <c r="K3726" i="32" s="1"/>
  <c r="J3727" i="32"/>
  <c r="K3727" i="32" s="1"/>
  <c r="J3728" i="32"/>
  <c r="K3728" i="32" s="1"/>
  <c r="J3729" i="32"/>
  <c r="K3729" i="32" s="1"/>
  <c r="J3730" i="32"/>
  <c r="K3730" i="32" s="1"/>
  <c r="J3731" i="32"/>
  <c r="K3731" i="32" s="1"/>
  <c r="J3732" i="32"/>
  <c r="K3732" i="32" s="1"/>
  <c r="J3733" i="32"/>
  <c r="K3733" i="32" s="1"/>
  <c r="J3734" i="32"/>
  <c r="K3734" i="32" s="1"/>
  <c r="J3735" i="32"/>
  <c r="K3735" i="32" s="1"/>
  <c r="J3736" i="32"/>
  <c r="K3736" i="32" s="1"/>
  <c r="J3737" i="32"/>
  <c r="K3737" i="32" s="1"/>
  <c r="J3738" i="32"/>
  <c r="K3738" i="32" s="1"/>
  <c r="J3739" i="32"/>
  <c r="K3739" i="32" s="1"/>
  <c r="J3740" i="32"/>
  <c r="K3740" i="32" s="1"/>
  <c r="J3741" i="32"/>
  <c r="K3741" i="32" s="1"/>
  <c r="J3742" i="32"/>
  <c r="K3742" i="32" s="1"/>
  <c r="J3743" i="32"/>
  <c r="K3743" i="32" s="1"/>
  <c r="J3744" i="32"/>
  <c r="K3744" i="32" s="1"/>
  <c r="J3745" i="32"/>
  <c r="K3745" i="32" s="1"/>
  <c r="J3746" i="32"/>
  <c r="K3746" i="32" s="1"/>
  <c r="J3747" i="32"/>
  <c r="K3747" i="32" s="1"/>
  <c r="J3748" i="32"/>
  <c r="K3748" i="32" s="1"/>
  <c r="J3749" i="32"/>
  <c r="K3749" i="32" s="1"/>
  <c r="J3750" i="32"/>
  <c r="K3750" i="32" s="1"/>
  <c r="J3751" i="32"/>
  <c r="K3751" i="32" s="1"/>
  <c r="J3752" i="32"/>
  <c r="K3752" i="32" s="1"/>
  <c r="J3753" i="32"/>
  <c r="K3753" i="32" s="1"/>
  <c r="J3754" i="32"/>
  <c r="K3754" i="32" s="1"/>
  <c r="J3755" i="32"/>
  <c r="K3755" i="32" s="1"/>
  <c r="J3756" i="32"/>
  <c r="K3756" i="32" s="1"/>
  <c r="J3757" i="32"/>
  <c r="K3757" i="32" s="1"/>
  <c r="J3758" i="32"/>
  <c r="K3758" i="32" s="1"/>
  <c r="J3759" i="32"/>
  <c r="K3759" i="32" s="1"/>
  <c r="J3760" i="32"/>
  <c r="K3760" i="32" s="1"/>
  <c r="J3761" i="32"/>
  <c r="K3761" i="32" s="1"/>
  <c r="J3762" i="32"/>
  <c r="K3762" i="32" s="1"/>
  <c r="J3763" i="32"/>
  <c r="K3763" i="32" s="1"/>
  <c r="J3764" i="32"/>
  <c r="K3764" i="32" s="1"/>
  <c r="J3765" i="32"/>
  <c r="K3765" i="32" s="1"/>
  <c r="J3766" i="32"/>
  <c r="K3766" i="32" s="1"/>
  <c r="J3767" i="32"/>
  <c r="K3767" i="32" s="1"/>
  <c r="J3768" i="32"/>
  <c r="K3768" i="32" s="1"/>
  <c r="J3769" i="32"/>
  <c r="K3769" i="32" s="1"/>
  <c r="J3770" i="32"/>
  <c r="K3770" i="32" s="1"/>
  <c r="J3771" i="32"/>
  <c r="K3771" i="32" s="1"/>
  <c r="J3772" i="32"/>
  <c r="K3772" i="32" s="1"/>
  <c r="J3773" i="32"/>
  <c r="K3773" i="32" s="1"/>
  <c r="J3774" i="32"/>
  <c r="K3774" i="32" s="1"/>
  <c r="J3775" i="32"/>
  <c r="K3775" i="32" s="1"/>
  <c r="J3776" i="32"/>
  <c r="K3776" i="32" s="1"/>
  <c r="J3777" i="32"/>
  <c r="K3777" i="32" s="1"/>
  <c r="J3778" i="32"/>
  <c r="K3778" i="32" s="1"/>
  <c r="J3779" i="32"/>
  <c r="K3779" i="32" s="1"/>
  <c r="J3780" i="32"/>
  <c r="K3780" i="32" s="1"/>
  <c r="J3781" i="32"/>
  <c r="K3781" i="32" s="1"/>
  <c r="J3782" i="32"/>
  <c r="K3782" i="32" s="1"/>
  <c r="J3783" i="32"/>
  <c r="K3783" i="32" s="1"/>
  <c r="J3784" i="32"/>
  <c r="K3784" i="32" s="1"/>
  <c r="J3785" i="32"/>
  <c r="K3785" i="32" s="1"/>
  <c r="J3786" i="32"/>
  <c r="K3786" i="32" s="1"/>
  <c r="J3787" i="32"/>
  <c r="K3787" i="32" s="1"/>
  <c r="J3788" i="32"/>
  <c r="K3788" i="32" s="1"/>
  <c r="J3789" i="32"/>
  <c r="K3789" i="32" s="1"/>
  <c r="J3790" i="32"/>
  <c r="K3790" i="32" s="1"/>
  <c r="J3791" i="32"/>
  <c r="K3791" i="32" s="1"/>
  <c r="J3792" i="32"/>
  <c r="K3792" i="32" s="1"/>
  <c r="J3793" i="32"/>
  <c r="K3793" i="32" s="1"/>
  <c r="J3794" i="32"/>
  <c r="K3794" i="32" s="1"/>
  <c r="J3795" i="32"/>
  <c r="K3795" i="32" s="1"/>
  <c r="J3796" i="32"/>
  <c r="K3796" i="32" s="1"/>
  <c r="J3797" i="32"/>
  <c r="K3797" i="32" s="1"/>
  <c r="J3798" i="32"/>
  <c r="K3798" i="32" s="1"/>
  <c r="J3799" i="32"/>
  <c r="K3799" i="32" s="1"/>
  <c r="J3800" i="32"/>
  <c r="K3800" i="32" s="1"/>
  <c r="J3801" i="32"/>
  <c r="K3801" i="32" s="1"/>
  <c r="J3802" i="32"/>
  <c r="K3802" i="32" s="1"/>
  <c r="J3803" i="32"/>
  <c r="K3803" i="32" s="1"/>
  <c r="J3804" i="32"/>
  <c r="K3804" i="32" s="1"/>
  <c r="J3805" i="32"/>
  <c r="K3805" i="32" s="1"/>
  <c r="J3806" i="32"/>
  <c r="K3806" i="32" s="1"/>
  <c r="J3807" i="32"/>
  <c r="K3807" i="32" s="1"/>
  <c r="J3808" i="32"/>
  <c r="K3808" i="32" s="1"/>
  <c r="J3809" i="32"/>
  <c r="K3809" i="32" s="1"/>
  <c r="J3810" i="32"/>
  <c r="K3810" i="32" s="1"/>
  <c r="J3811" i="32"/>
  <c r="K3811" i="32" s="1"/>
  <c r="J3812" i="32"/>
  <c r="K3812" i="32" s="1"/>
  <c r="J3813" i="32"/>
  <c r="K3813" i="32" s="1"/>
  <c r="J3814" i="32"/>
  <c r="K3814" i="32" s="1"/>
  <c r="J3815" i="32"/>
  <c r="K3815" i="32" s="1"/>
  <c r="J3816" i="32"/>
  <c r="K3816" i="32" s="1"/>
  <c r="J3817" i="32"/>
  <c r="K3817" i="32" s="1"/>
  <c r="J3818" i="32"/>
  <c r="K3818" i="32" s="1"/>
  <c r="J3819" i="32"/>
  <c r="K3819" i="32" s="1"/>
  <c r="J3820" i="32"/>
  <c r="K3820" i="32" s="1"/>
  <c r="J3821" i="32"/>
  <c r="K3821" i="32" s="1"/>
  <c r="J3822" i="32"/>
  <c r="K3822" i="32" s="1"/>
  <c r="J3823" i="32"/>
  <c r="K3823" i="32" s="1"/>
  <c r="J3824" i="32"/>
  <c r="K3824" i="32" s="1"/>
  <c r="J3825" i="32"/>
  <c r="K3825" i="32" s="1"/>
  <c r="J3826" i="32"/>
  <c r="K3826" i="32" s="1"/>
  <c r="J3827" i="32"/>
  <c r="K3827" i="32" s="1"/>
  <c r="J3828" i="32"/>
  <c r="K3828" i="32" s="1"/>
  <c r="J3829" i="32"/>
  <c r="K3829" i="32" s="1"/>
  <c r="J3830" i="32"/>
  <c r="K3830" i="32" s="1"/>
  <c r="J3831" i="32"/>
  <c r="K3831" i="32" s="1"/>
  <c r="J3832" i="32"/>
  <c r="K3832" i="32" s="1"/>
  <c r="J3833" i="32"/>
  <c r="K3833" i="32" s="1"/>
  <c r="J3834" i="32"/>
  <c r="K3834" i="32" s="1"/>
  <c r="J3835" i="32"/>
  <c r="K3835" i="32" s="1"/>
  <c r="J3836" i="32"/>
  <c r="K3836" i="32" s="1"/>
  <c r="J3837" i="32"/>
  <c r="K3837" i="32" s="1"/>
  <c r="J3838" i="32"/>
  <c r="K3838" i="32" s="1"/>
  <c r="J3839" i="32"/>
  <c r="K3839" i="32" s="1"/>
  <c r="J3840" i="32"/>
  <c r="K3840" i="32" s="1"/>
  <c r="J3841" i="32"/>
  <c r="K3841" i="32" s="1"/>
  <c r="J3842" i="32"/>
  <c r="K3842" i="32" s="1"/>
  <c r="J3843" i="32"/>
  <c r="K3843" i="32" s="1"/>
  <c r="J3844" i="32"/>
  <c r="K3844" i="32" s="1"/>
  <c r="J3845" i="32"/>
  <c r="K3845" i="32" s="1"/>
  <c r="J3846" i="32"/>
  <c r="K3846" i="32" s="1"/>
  <c r="J3847" i="32"/>
  <c r="K3847" i="32" s="1"/>
  <c r="J3848" i="32"/>
  <c r="K3848" i="32" s="1"/>
  <c r="J3849" i="32"/>
  <c r="K3849" i="32" s="1"/>
  <c r="J3850" i="32"/>
  <c r="K3850" i="32" s="1"/>
  <c r="J3851" i="32"/>
  <c r="K3851" i="32" s="1"/>
  <c r="J3852" i="32"/>
  <c r="K3852" i="32" s="1"/>
  <c r="J3853" i="32"/>
  <c r="K3853" i="32" s="1"/>
  <c r="J3854" i="32"/>
  <c r="K3854" i="32" s="1"/>
  <c r="J3855" i="32"/>
  <c r="K3855" i="32" s="1"/>
  <c r="J3856" i="32"/>
  <c r="K3856" i="32" s="1"/>
  <c r="J3857" i="32"/>
  <c r="K3857" i="32" s="1"/>
  <c r="J3858" i="32"/>
  <c r="K3858" i="32" s="1"/>
  <c r="J3859" i="32"/>
  <c r="K3859" i="32" s="1"/>
  <c r="J3860" i="32"/>
  <c r="K3860" i="32" s="1"/>
  <c r="J3861" i="32"/>
  <c r="K3861" i="32" s="1"/>
  <c r="J3862" i="32"/>
  <c r="K3862" i="32" s="1"/>
  <c r="J3863" i="32"/>
  <c r="K3863" i="32" s="1"/>
  <c r="J3864" i="32"/>
  <c r="K3864" i="32" s="1"/>
  <c r="J3865" i="32"/>
  <c r="K3865" i="32" s="1"/>
  <c r="J3866" i="32"/>
  <c r="K3866" i="32" s="1"/>
  <c r="J3867" i="32"/>
  <c r="K3867" i="32" s="1"/>
  <c r="J3868" i="32"/>
  <c r="K3868" i="32" s="1"/>
  <c r="J3869" i="32"/>
  <c r="K3869" i="32" s="1"/>
  <c r="J3870" i="32"/>
  <c r="K3870" i="32" s="1"/>
  <c r="J3871" i="32"/>
  <c r="K3871" i="32" s="1"/>
  <c r="J3872" i="32"/>
  <c r="K3872" i="32" s="1"/>
  <c r="J3873" i="32"/>
  <c r="K3873" i="32" s="1"/>
  <c r="J3874" i="32"/>
  <c r="K3874" i="32" s="1"/>
  <c r="J3875" i="32"/>
  <c r="K3875" i="32" s="1"/>
  <c r="J3876" i="32"/>
  <c r="K3876" i="32" s="1"/>
  <c r="J3877" i="32"/>
  <c r="K3877" i="32" s="1"/>
  <c r="J3878" i="32"/>
  <c r="K3878" i="32" s="1"/>
  <c r="J3879" i="32"/>
  <c r="K3879" i="32" s="1"/>
  <c r="J3880" i="32"/>
  <c r="K3880" i="32" s="1"/>
  <c r="J3881" i="32"/>
  <c r="K3881" i="32" s="1"/>
  <c r="J3882" i="32"/>
  <c r="K3882" i="32" s="1"/>
  <c r="J3883" i="32"/>
  <c r="K3883" i="32" s="1"/>
  <c r="J3884" i="32"/>
  <c r="K3884" i="32" s="1"/>
  <c r="J3885" i="32"/>
  <c r="K3885" i="32" s="1"/>
  <c r="J3886" i="32"/>
  <c r="K3886" i="32" s="1"/>
  <c r="J3887" i="32"/>
  <c r="K3887" i="32" s="1"/>
  <c r="J3888" i="32"/>
  <c r="K3888" i="32" s="1"/>
  <c r="J3889" i="32"/>
  <c r="K3889" i="32" s="1"/>
  <c r="J3890" i="32"/>
  <c r="K3890" i="32" s="1"/>
  <c r="J3891" i="32"/>
  <c r="K3891" i="32" s="1"/>
  <c r="J3892" i="32"/>
  <c r="K3892" i="32" s="1"/>
  <c r="J3893" i="32"/>
  <c r="K3893" i="32" s="1"/>
  <c r="J3894" i="32"/>
  <c r="K3894" i="32" s="1"/>
  <c r="J3895" i="32"/>
  <c r="K3895" i="32" s="1"/>
  <c r="J3896" i="32"/>
  <c r="K3896" i="32" s="1"/>
  <c r="J3897" i="32"/>
  <c r="K3897" i="32" s="1"/>
  <c r="J3898" i="32"/>
  <c r="K3898" i="32" s="1"/>
  <c r="J3899" i="32"/>
  <c r="K3899" i="32" s="1"/>
  <c r="J3900" i="32"/>
  <c r="K3900" i="32" s="1"/>
  <c r="J3901" i="32"/>
  <c r="K3901" i="32" s="1"/>
  <c r="J3902" i="32"/>
  <c r="K3902" i="32" s="1"/>
  <c r="J3903" i="32"/>
  <c r="K3903" i="32" s="1"/>
  <c r="J3904" i="32"/>
  <c r="K3904" i="32" s="1"/>
  <c r="J3905" i="32"/>
  <c r="K3905" i="32" s="1"/>
  <c r="J3906" i="32"/>
  <c r="K3906" i="32" s="1"/>
  <c r="J3907" i="32"/>
  <c r="K3907" i="32" s="1"/>
  <c r="J3908" i="32"/>
  <c r="K3908" i="32" s="1"/>
  <c r="J3909" i="32"/>
  <c r="K3909" i="32" s="1"/>
  <c r="J3910" i="32"/>
  <c r="K3910" i="32" s="1"/>
  <c r="J3911" i="32"/>
  <c r="K3911" i="32" s="1"/>
  <c r="J3912" i="32"/>
  <c r="K3912" i="32" s="1"/>
  <c r="J3913" i="32"/>
  <c r="K3913" i="32" s="1"/>
  <c r="J3914" i="32"/>
  <c r="K3914" i="32" s="1"/>
  <c r="J3915" i="32"/>
  <c r="K3915" i="32" s="1"/>
  <c r="J3916" i="32"/>
  <c r="K3916" i="32" s="1"/>
  <c r="J3917" i="32"/>
  <c r="K3917" i="32" s="1"/>
  <c r="J3918" i="32"/>
  <c r="K3918" i="32" s="1"/>
  <c r="J3919" i="32"/>
  <c r="K3919" i="32" s="1"/>
  <c r="J3920" i="32"/>
  <c r="K3920" i="32" s="1"/>
  <c r="J3921" i="32"/>
  <c r="K3921" i="32" s="1"/>
  <c r="J3922" i="32"/>
  <c r="K3922" i="32" s="1"/>
  <c r="J3923" i="32"/>
  <c r="K3923" i="32" s="1"/>
  <c r="J3924" i="32"/>
  <c r="K3924" i="32" s="1"/>
  <c r="J3925" i="32"/>
  <c r="K3925" i="32" s="1"/>
  <c r="J3926" i="32"/>
  <c r="K3926" i="32" s="1"/>
  <c r="J3927" i="32"/>
  <c r="K3927" i="32" s="1"/>
  <c r="J3928" i="32"/>
  <c r="K3928" i="32" s="1"/>
  <c r="J3929" i="32"/>
  <c r="K3929" i="32" s="1"/>
  <c r="J3930" i="32"/>
  <c r="K3930" i="32" s="1"/>
  <c r="J3931" i="32"/>
  <c r="K3931" i="32" s="1"/>
  <c r="J3932" i="32"/>
  <c r="K3932" i="32" s="1"/>
  <c r="J3933" i="32"/>
  <c r="K3933" i="32" s="1"/>
  <c r="J3934" i="32"/>
  <c r="K3934" i="32" s="1"/>
  <c r="J3935" i="32"/>
  <c r="K3935" i="32" s="1"/>
  <c r="J3936" i="32"/>
  <c r="K3936" i="32" s="1"/>
  <c r="J3937" i="32"/>
  <c r="K3937" i="32" s="1"/>
  <c r="J3938" i="32"/>
  <c r="K3938" i="32" s="1"/>
  <c r="J3939" i="32"/>
  <c r="K3939" i="32" s="1"/>
  <c r="J3940" i="32"/>
  <c r="K3940" i="32" s="1"/>
  <c r="J3941" i="32"/>
  <c r="K3941" i="32" s="1"/>
  <c r="J3942" i="32"/>
  <c r="K3942" i="32" s="1"/>
  <c r="J3943" i="32"/>
  <c r="K3943" i="32" s="1"/>
  <c r="J3944" i="32"/>
  <c r="K3944" i="32" s="1"/>
  <c r="J3945" i="32"/>
  <c r="K3945" i="32" s="1"/>
  <c r="J3946" i="32"/>
  <c r="K3946" i="32" s="1"/>
  <c r="J3947" i="32"/>
  <c r="K3947" i="32" s="1"/>
  <c r="J3948" i="32"/>
  <c r="K3948" i="32" s="1"/>
  <c r="J3949" i="32"/>
  <c r="K3949" i="32" s="1"/>
  <c r="J3950" i="32"/>
  <c r="K3950" i="32" s="1"/>
  <c r="J3951" i="32"/>
  <c r="K3951" i="32" s="1"/>
  <c r="J3952" i="32"/>
  <c r="K3952" i="32" s="1"/>
  <c r="J3953" i="32"/>
  <c r="K3953" i="32" s="1"/>
  <c r="J3954" i="32"/>
  <c r="K3954" i="32" s="1"/>
  <c r="J3955" i="32"/>
  <c r="K3955" i="32" s="1"/>
  <c r="J3956" i="32"/>
  <c r="K3956" i="32" s="1"/>
  <c r="J3957" i="32"/>
  <c r="K3957" i="32" s="1"/>
  <c r="J3958" i="32"/>
  <c r="K3958" i="32" s="1"/>
  <c r="J3959" i="32"/>
  <c r="K3959" i="32" s="1"/>
  <c r="J3960" i="32"/>
  <c r="K3960" i="32" s="1"/>
  <c r="J3961" i="32"/>
  <c r="K3961" i="32" s="1"/>
  <c r="J3962" i="32"/>
  <c r="K3962" i="32" s="1"/>
  <c r="J3963" i="32"/>
  <c r="K3963" i="32" s="1"/>
  <c r="J3964" i="32"/>
  <c r="K3964" i="32" s="1"/>
  <c r="J3965" i="32"/>
  <c r="K3965" i="32" s="1"/>
  <c r="J3966" i="32"/>
  <c r="K3966" i="32" s="1"/>
  <c r="J3967" i="32"/>
  <c r="K3967" i="32" s="1"/>
  <c r="J3968" i="32"/>
  <c r="K3968" i="32" s="1"/>
  <c r="J3969" i="32"/>
  <c r="K3969" i="32" s="1"/>
  <c r="J3970" i="32"/>
  <c r="K3970" i="32" s="1"/>
  <c r="J3971" i="32"/>
  <c r="K3971" i="32" s="1"/>
  <c r="J3972" i="32"/>
  <c r="K3972" i="32" s="1"/>
  <c r="J3973" i="32"/>
  <c r="K3973" i="32" s="1"/>
  <c r="J3974" i="32"/>
  <c r="K3974" i="32" s="1"/>
  <c r="J3975" i="32"/>
  <c r="K3975" i="32" s="1"/>
  <c r="J3976" i="32"/>
  <c r="K3976" i="32" s="1"/>
  <c r="J3977" i="32"/>
  <c r="K3977" i="32" s="1"/>
  <c r="J3978" i="32"/>
  <c r="K3978" i="32" s="1"/>
  <c r="J3979" i="32"/>
  <c r="K3979" i="32" s="1"/>
  <c r="J3980" i="32"/>
  <c r="K3980" i="32" s="1"/>
  <c r="J3981" i="32"/>
  <c r="K3981" i="32" s="1"/>
  <c r="J3982" i="32"/>
  <c r="K3982" i="32" s="1"/>
  <c r="J3983" i="32"/>
  <c r="K3983" i="32" s="1"/>
  <c r="J3984" i="32"/>
  <c r="K3984" i="32" s="1"/>
  <c r="J3985" i="32"/>
  <c r="K3985" i="32" s="1"/>
  <c r="J3986" i="32"/>
  <c r="K3986" i="32" s="1"/>
  <c r="J3987" i="32"/>
  <c r="K3987" i="32" s="1"/>
  <c r="J3988" i="32"/>
  <c r="K3988" i="32" s="1"/>
  <c r="J3989" i="32"/>
  <c r="K3989" i="32" s="1"/>
  <c r="J3990" i="32"/>
  <c r="K3990" i="32" s="1"/>
  <c r="J3991" i="32"/>
  <c r="K3991" i="32" s="1"/>
  <c r="J3992" i="32"/>
  <c r="K3992" i="32" s="1"/>
  <c r="J3993" i="32"/>
  <c r="K3993" i="32" s="1"/>
  <c r="J3994" i="32"/>
  <c r="K3994" i="32" s="1"/>
  <c r="J3995" i="32"/>
  <c r="K3995" i="32" s="1"/>
  <c r="J3996" i="32"/>
  <c r="K3996" i="32" s="1"/>
  <c r="J3997" i="32"/>
  <c r="K3997" i="32" s="1"/>
  <c r="J3998" i="32"/>
  <c r="K3998" i="32" s="1"/>
  <c r="J3999" i="32"/>
  <c r="K3999" i="32" s="1"/>
  <c r="J4000" i="32"/>
  <c r="K4000" i="32" s="1"/>
  <c r="J4001" i="32"/>
  <c r="K4001" i="32" s="1"/>
  <c r="J4002" i="32"/>
  <c r="K4002" i="32" s="1"/>
  <c r="J4003" i="32"/>
  <c r="K4003" i="32" s="1"/>
  <c r="J4004" i="32"/>
  <c r="K4004" i="32" s="1"/>
  <c r="J4005" i="32"/>
  <c r="K4005" i="32" s="1"/>
  <c r="J4006" i="32"/>
  <c r="K4006" i="32" s="1"/>
  <c r="J4007" i="32"/>
  <c r="K4007" i="32" s="1"/>
  <c r="J4008" i="32"/>
  <c r="K4008" i="32" s="1"/>
  <c r="J4009" i="32"/>
  <c r="K4009" i="32" s="1"/>
  <c r="J4010" i="32"/>
  <c r="K4010" i="32" s="1"/>
  <c r="J4011" i="32"/>
  <c r="K4011" i="32" s="1"/>
  <c r="J4012" i="32"/>
  <c r="K4012" i="32" s="1"/>
  <c r="J4013" i="32"/>
  <c r="K4013" i="32" s="1"/>
  <c r="J4014" i="32"/>
  <c r="K4014" i="32" s="1"/>
  <c r="J4015" i="32"/>
  <c r="K4015" i="32" s="1"/>
  <c r="J4016" i="32"/>
  <c r="K4016" i="32" s="1"/>
  <c r="J4017" i="32"/>
  <c r="K4017" i="32" s="1"/>
  <c r="J4018" i="32"/>
  <c r="K4018" i="32" s="1"/>
  <c r="J4019" i="32"/>
  <c r="K4019" i="32" s="1"/>
  <c r="J4020" i="32"/>
  <c r="K4020" i="32" s="1"/>
  <c r="J4021" i="32"/>
  <c r="K4021" i="32" s="1"/>
  <c r="J4022" i="32"/>
  <c r="K4022" i="32" s="1"/>
  <c r="J4023" i="32"/>
  <c r="K4023" i="32" s="1"/>
  <c r="J4024" i="32"/>
  <c r="K4024" i="32" s="1"/>
  <c r="J4025" i="32"/>
  <c r="K4025" i="32" s="1"/>
  <c r="J4026" i="32"/>
  <c r="K4026" i="32" s="1"/>
  <c r="J4027" i="32"/>
  <c r="K4027" i="32" s="1"/>
  <c r="J4028" i="32"/>
  <c r="K4028" i="32" s="1"/>
  <c r="J4029" i="32"/>
  <c r="K4029" i="32" s="1"/>
  <c r="J4030" i="32"/>
  <c r="K4030" i="32" s="1"/>
  <c r="J4031" i="32"/>
  <c r="K4031" i="32" s="1"/>
  <c r="J4032" i="32"/>
  <c r="K4032" i="32" s="1"/>
  <c r="J4033" i="32"/>
  <c r="K4033" i="32" s="1"/>
  <c r="J4034" i="32"/>
  <c r="K4034" i="32" s="1"/>
  <c r="J4035" i="32"/>
  <c r="K4035" i="32" s="1"/>
  <c r="J4036" i="32"/>
  <c r="K4036" i="32" s="1"/>
  <c r="J4037" i="32"/>
  <c r="K4037" i="32" s="1"/>
  <c r="J4038" i="32"/>
  <c r="K4038" i="32" s="1"/>
  <c r="J4039" i="32"/>
  <c r="K4039" i="32" s="1"/>
  <c r="J4040" i="32"/>
  <c r="K4040" i="32" s="1"/>
  <c r="J4041" i="32"/>
  <c r="K4041" i="32" s="1"/>
  <c r="J4042" i="32"/>
  <c r="K4042" i="32" s="1"/>
  <c r="J4043" i="32"/>
  <c r="K4043" i="32" s="1"/>
  <c r="J4044" i="32"/>
  <c r="K4044" i="32" s="1"/>
  <c r="J4045" i="32"/>
  <c r="K4045" i="32" s="1"/>
  <c r="J4046" i="32"/>
  <c r="K4046" i="32" s="1"/>
  <c r="J4047" i="32"/>
  <c r="K4047" i="32" s="1"/>
  <c r="J4048" i="32"/>
  <c r="K4048" i="32" s="1"/>
  <c r="J4049" i="32"/>
  <c r="K4049" i="32" s="1"/>
  <c r="J4050" i="32"/>
  <c r="K4050" i="32" s="1"/>
  <c r="J4051" i="32"/>
  <c r="K4051" i="32" s="1"/>
  <c r="J4052" i="32"/>
  <c r="K4052" i="32" s="1"/>
  <c r="J4053" i="32"/>
  <c r="K4053" i="32" s="1"/>
  <c r="J4054" i="32"/>
  <c r="K4054" i="32" s="1"/>
  <c r="J4055" i="32"/>
  <c r="K4055" i="32" s="1"/>
  <c r="J4056" i="32"/>
  <c r="K4056" i="32" s="1"/>
  <c r="J4057" i="32"/>
  <c r="K4057" i="32" s="1"/>
  <c r="J4058" i="32"/>
  <c r="K4058" i="32" s="1"/>
  <c r="J4059" i="32"/>
  <c r="K4059" i="32" s="1"/>
  <c r="J4060" i="32"/>
  <c r="K4060" i="32" s="1"/>
  <c r="J4061" i="32"/>
  <c r="K4061" i="32" s="1"/>
  <c r="J4062" i="32"/>
  <c r="K4062" i="32" s="1"/>
  <c r="J4063" i="32"/>
  <c r="K4063" i="32" s="1"/>
  <c r="J4064" i="32"/>
  <c r="K4064" i="32" s="1"/>
  <c r="J4065" i="32"/>
  <c r="K4065" i="32" s="1"/>
  <c r="J4066" i="32"/>
  <c r="K4066" i="32" s="1"/>
  <c r="J4067" i="32"/>
  <c r="K4067" i="32" s="1"/>
  <c r="J4068" i="32"/>
  <c r="K4068" i="32" s="1"/>
  <c r="J4069" i="32"/>
  <c r="K4069" i="32" s="1"/>
  <c r="J4070" i="32"/>
  <c r="K4070" i="32" s="1"/>
  <c r="J4071" i="32"/>
  <c r="K4071" i="32" s="1"/>
  <c r="J4072" i="32"/>
  <c r="K4072" i="32" s="1"/>
  <c r="J4073" i="32"/>
  <c r="K4073" i="32" s="1"/>
  <c r="J4074" i="32"/>
  <c r="K4074" i="32" s="1"/>
  <c r="J4075" i="32"/>
  <c r="K4075" i="32" s="1"/>
  <c r="J4076" i="32"/>
  <c r="K4076" i="32" s="1"/>
  <c r="J4077" i="32"/>
  <c r="K4077" i="32" s="1"/>
  <c r="J4078" i="32"/>
  <c r="K4078" i="32" s="1"/>
  <c r="J4079" i="32"/>
  <c r="K4079" i="32" s="1"/>
  <c r="J4080" i="32"/>
  <c r="K4080" i="32" s="1"/>
  <c r="J4081" i="32"/>
  <c r="K4081" i="32" s="1"/>
  <c r="J4082" i="32"/>
  <c r="K4082" i="32" s="1"/>
  <c r="J4083" i="32"/>
  <c r="K4083" i="32" s="1"/>
  <c r="J4084" i="32"/>
  <c r="K4084" i="32" s="1"/>
  <c r="J4085" i="32"/>
  <c r="K4085" i="32" s="1"/>
  <c r="J4086" i="32"/>
  <c r="K4086" i="32" s="1"/>
  <c r="J4087" i="32"/>
  <c r="K4087" i="32" s="1"/>
  <c r="J4088" i="32"/>
  <c r="K4088" i="32" s="1"/>
  <c r="J4089" i="32"/>
  <c r="K4089" i="32" s="1"/>
  <c r="J4090" i="32"/>
  <c r="K4090" i="32" s="1"/>
  <c r="J4091" i="32"/>
  <c r="K4091" i="32" s="1"/>
  <c r="J4092" i="32"/>
  <c r="K4092" i="32" s="1"/>
  <c r="J4093" i="32"/>
  <c r="K4093" i="32" s="1"/>
  <c r="J4094" i="32"/>
  <c r="K4094" i="32" s="1"/>
  <c r="J4095" i="32"/>
  <c r="K4095" i="32" s="1"/>
  <c r="J4096" i="32"/>
  <c r="K4096" i="32" s="1"/>
  <c r="J4097" i="32"/>
  <c r="K4097" i="32" s="1"/>
  <c r="J4098" i="32"/>
  <c r="K4098" i="32" s="1"/>
  <c r="J4099" i="32"/>
  <c r="K4099" i="32" s="1"/>
  <c r="J4100" i="32"/>
  <c r="K4100" i="32" s="1"/>
  <c r="J4101" i="32"/>
  <c r="K4101" i="32" s="1"/>
  <c r="J4102" i="32"/>
  <c r="K4102" i="32" s="1"/>
  <c r="J4103" i="32"/>
  <c r="K4103" i="32" s="1"/>
  <c r="J4104" i="32"/>
  <c r="K4104" i="32" s="1"/>
  <c r="J4105" i="32"/>
  <c r="K4105" i="32" s="1"/>
  <c r="J4106" i="32"/>
  <c r="K4106" i="32" s="1"/>
  <c r="J4107" i="32"/>
  <c r="K4107" i="32" s="1"/>
  <c r="J4108" i="32"/>
  <c r="K4108" i="32" s="1"/>
  <c r="J4109" i="32"/>
  <c r="K4109" i="32" s="1"/>
  <c r="J4110" i="32"/>
  <c r="K4110" i="32" s="1"/>
  <c r="J4111" i="32"/>
  <c r="K4111" i="32" s="1"/>
  <c r="J4112" i="32"/>
  <c r="K4112" i="32" s="1"/>
  <c r="J4113" i="32"/>
  <c r="K4113" i="32" s="1"/>
  <c r="J4114" i="32"/>
  <c r="K4114" i="32" s="1"/>
  <c r="J4115" i="32"/>
  <c r="K4115" i="32" s="1"/>
  <c r="J4116" i="32"/>
  <c r="K4116" i="32" s="1"/>
  <c r="J4117" i="32"/>
  <c r="K4117" i="32" s="1"/>
  <c r="J4118" i="32"/>
  <c r="K4118" i="32" s="1"/>
  <c r="J4119" i="32"/>
  <c r="K4119" i="32" s="1"/>
  <c r="J4120" i="32"/>
  <c r="K4120" i="32" s="1"/>
  <c r="J4121" i="32"/>
  <c r="K4121" i="32" s="1"/>
  <c r="J4122" i="32"/>
  <c r="K4122" i="32" s="1"/>
  <c r="J4123" i="32"/>
  <c r="K4123" i="32" s="1"/>
  <c r="J4124" i="32"/>
  <c r="K4124" i="32" s="1"/>
  <c r="J4125" i="32"/>
  <c r="K4125" i="32" s="1"/>
  <c r="J4126" i="32"/>
  <c r="K4126" i="32" s="1"/>
  <c r="J4127" i="32"/>
  <c r="K4127" i="32" s="1"/>
  <c r="J4128" i="32"/>
  <c r="K4128" i="32" s="1"/>
  <c r="J4129" i="32"/>
  <c r="K4129" i="32" s="1"/>
  <c r="J4130" i="32"/>
  <c r="K4130" i="32" s="1"/>
  <c r="J4131" i="32"/>
  <c r="K4131" i="32" s="1"/>
  <c r="J4132" i="32"/>
  <c r="K4132" i="32" s="1"/>
  <c r="J4133" i="32"/>
  <c r="K4133" i="32" s="1"/>
  <c r="J4134" i="32"/>
  <c r="K4134" i="32" s="1"/>
  <c r="J4135" i="32"/>
  <c r="K4135" i="32" s="1"/>
  <c r="J4136" i="32"/>
  <c r="K4136" i="32" s="1"/>
  <c r="J4137" i="32"/>
  <c r="K4137" i="32" s="1"/>
  <c r="J4138" i="32"/>
  <c r="K4138" i="32" s="1"/>
  <c r="J4139" i="32"/>
  <c r="K4139" i="32" s="1"/>
  <c r="J4140" i="32"/>
  <c r="K4140" i="32" s="1"/>
  <c r="J4141" i="32"/>
  <c r="K4141" i="32" s="1"/>
  <c r="J4142" i="32"/>
  <c r="K4142" i="32" s="1"/>
  <c r="J4143" i="32"/>
  <c r="K4143" i="32" s="1"/>
  <c r="J4144" i="32"/>
  <c r="K4144" i="32" s="1"/>
  <c r="J4145" i="32"/>
  <c r="K4145" i="32" s="1"/>
  <c r="J4146" i="32"/>
  <c r="K4146" i="32" s="1"/>
  <c r="J4147" i="32"/>
  <c r="K4147" i="32" s="1"/>
  <c r="J4148" i="32"/>
  <c r="K4148" i="32" s="1"/>
  <c r="J4149" i="32"/>
  <c r="K4149" i="32" s="1"/>
  <c r="J4150" i="32"/>
  <c r="K4150" i="32" s="1"/>
  <c r="J4151" i="32"/>
  <c r="K4151" i="32" s="1"/>
  <c r="J4152" i="32"/>
  <c r="K4152" i="32" s="1"/>
  <c r="J4153" i="32"/>
  <c r="K4153" i="32" s="1"/>
  <c r="J4154" i="32"/>
  <c r="K4154" i="32" s="1"/>
  <c r="J4155" i="32"/>
  <c r="K4155" i="32" s="1"/>
  <c r="J4156" i="32"/>
  <c r="K4156" i="32" s="1"/>
  <c r="J4157" i="32"/>
  <c r="K4157" i="32" s="1"/>
  <c r="J4158" i="32"/>
  <c r="K4158" i="32" s="1"/>
  <c r="J4159" i="32"/>
  <c r="K4159" i="32" s="1"/>
  <c r="J4160" i="32"/>
  <c r="K4160" i="32" s="1"/>
  <c r="J4161" i="32"/>
  <c r="K4161" i="32" s="1"/>
  <c r="J4162" i="32"/>
  <c r="K4162" i="32" s="1"/>
  <c r="J4163" i="32"/>
  <c r="K4163" i="32" s="1"/>
  <c r="J4164" i="32"/>
  <c r="K4164" i="32" s="1"/>
  <c r="J4165" i="32"/>
  <c r="K4165" i="32" s="1"/>
  <c r="J4166" i="32"/>
  <c r="K4166" i="32" s="1"/>
  <c r="J4167" i="32"/>
  <c r="K4167" i="32" s="1"/>
  <c r="J4168" i="32"/>
  <c r="K4168" i="32" s="1"/>
  <c r="J4169" i="32"/>
  <c r="K4169" i="32" s="1"/>
  <c r="J4170" i="32"/>
  <c r="K4170" i="32" s="1"/>
  <c r="J4171" i="32"/>
  <c r="K4171" i="32" s="1"/>
  <c r="J4172" i="32"/>
  <c r="K4172" i="32" s="1"/>
  <c r="J4173" i="32"/>
  <c r="K4173" i="32" s="1"/>
  <c r="J4174" i="32"/>
  <c r="K4174" i="32" s="1"/>
  <c r="J4175" i="32"/>
  <c r="K4175" i="32" s="1"/>
  <c r="J4176" i="32"/>
  <c r="K4176" i="32" s="1"/>
  <c r="J4177" i="32"/>
  <c r="K4177" i="32" s="1"/>
  <c r="J4178" i="32"/>
  <c r="K4178" i="32" s="1"/>
  <c r="J4179" i="32"/>
  <c r="K4179" i="32" s="1"/>
  <c r="J4180" i="32"/>
  <c r="K4180" i="32" s="1"/>
  <c r="J4181" i="32"/>
  <c r="K4181" i="32" s="1"/>
  <c r="J4182" i="32"/>
  <c r="K4182" i="32" s="1"/>
  <c r="J4183" i="32"/>
  <c r="K4183" i="32" s="1"/>
  <c r="J4184" i="32"/>
  <c r="K4184" i="32" s="1"/>
  <c r="J4185" i="32"/>
  <c r="K4185" i="32" s="1"/>
  <c r="J4186" i="32"/>
  <c r="K4186" i="32" s="1"/>
  <c r="J4187" i="32"/>
  <c r="K4187" i="32" s="1"/>
  <c r="J4188" i="32"/>
  <c r="K4188" i="32" s="1"/>
  <c r="J4189" i="32"/>
  <c r="K4189" i="32" s="1"/>
  <c r="J4190" i="32"/>
  <c r="K4190" i="32" s="1"/>
  <c r="J4191" i="32"/>
  <c r="K4191" i="32" s="1"/>
  <c r="J4192" i="32"/>
  <c r="K4192" i="32" s="1"/>
  <c r="J4193" i="32"/>
  <c r="K4193" i="32" s="1"/>
  <c r="J4194" i="32"/>
  <c r="K4194" i="32" s="1"/>
  <c r="J4195" i="32"/>
  <c r="K4195" i="32" s="1"/>
  <c r="J4196" i="32"/>
  <c r="K4196" i="32" s="1"/>
  <c r="J4197" i="32"/>
  <c r="K4197" i="32" s="1"/>
  <c r="J4198" i="32"/>
  <c r="K4198" i="32" s="1"/>
  <c r="J4199" i="32"/>
  <c r="K4199" i="32" s="1"/>
  <c r="J4200" i="32"/>
  <c r="K4200" i="32" s="1"/>
  <c r="J4201" i="32"/>
  <c r="K4201" i="32" s="1"/>
  <c r="J4202" i="32"/>
  <c r="K4202" i="32" s="1"/>
  <c r="J4203" i="32"/>
  <c r="K4203" i="32" s="1"/>
  <c r="J4204" i="32"/>
  <c r="K4204" i="32" s="1"/>
  <c r="J4205" i="32"/>
  <c r="K4205" i="32" s="1"/>
  <c r="J4206" i="32"/>
  <c r="K4206" i="32" s="1"/>
  <c r="J4207" i="32"/>
  <c r="K4207" i="32" s="1"/>
  <c r="J4208" i="32"/>
  <c r="K4208" i="32" s="1"/>
  <c r="J4209" i="32"/>
  <c r="K4209" i="32" s="1"/>
  <c r="J4210" i="32"/>
  <c r="K4210" i="32" s="1"/>
  <c r="J4211" i="32"/>
  <c r="K4211" i="32" s="1"/>
  <c r="J4212" i="32"/>
  <c r="K4212" i="32" s="1"/>
  <c r="J4213" i="32"/>
  <c r="K4213" i="32" s="1"/>
  <c r="J4214" i="32"/>
  <c r="K4214" i="32" s="1"/>
  <c r="J4215" i="32"/>
  <c r="K4215" i="32" s="1"/>
  <c r="J4216" i="32"/>
  <c r="K4216" i="32" s="1"/>
  <c r="J4217" i="32"/>
  <c r="K4217" i="32" s="1"/>
  <c r="J4218" i="32"/>
  <c r="K4218" i="32" s="1"/>
  <c r="J4219" i="32"/>
  <c r="K4219" i="32" s="1"/>
  <c r="J4220" i="32"/>
  <c r="K4220" i="32" s="1"/>
  <c r="J4221" i="32"/>
  <c r="K4221" i="32" s="1"/>
  <c r="J4222" i="32"/>
  <c r="K4222" i="32" s="1"/>
  <c r="J4223" i="32"/>
  <c r="K4223" i="32" s="1"/>
  <c r="J4224" i="32"/>
  <c r="K4224" i="32" s="1"/>
  <c r="J4225" i="32"/>
  <c r="K4225" i="32" s="1"/>
  <c r="J4226" i="32"/>
  <c r="K4226" i="32" s="1"/>
  <c r="J4227" i="32"/>
  <c r="K4227" i="32" s="1"/>
  <c r="J4228" i="32"/>
  <c r="K4228" i="32" s="1"/>
  <c r="J4229" i="32"/>
  <c r="K4229" i="32" s="1"/>
  <c r="J4230" i="32"/>
  <c r="K4230" i="32" s="1"/>
  <c r="J4231" i="32"/>
  <c r="K4231" i="32" s="1"/>
  <c r="J4232" i="32"/>
  <c r="K4232" i="32" s="1"/>
  <c r="J4233" i="32"/>
  <c r="K4233" i="32" s="1"/>
  <c r="J4234" i="32"/>
  <c r="K4234" i="32" s="1"/>
  <c r="J4235" i="32"/>
  <c r="K4235" i="32" s="1"/>
  <c r="J4236" i="32"/>
  <c r="K4236" i="32" s="1"/>
  <c r="J4237" i="32"/>
  <c r="K4237" i="32" s="1"/>
  <c r="J4238" i="32"/>
  <c r="K4238" i="32" s="1"/>
  <c r="J4239" i="32"/>
  <c r="K4239" i="32" s="1"/>
  <c r="J4240" i="32"/>
  <c r="K4240" i="32" s="1"/>
  <c r="J4241" i="32"/>
  <c r="K4241" i="32" s="1"/>
  <c r="J4242" i="32"/>
  <c r="K4242" i="32" s="1"/>
  <c r="J4243" i="32"/>
  <c r="K4243" i="32" s="1"/>
  <c r="J4244" i="32"/>
  <c r="K4244" i="32" s="1"/>
  <c r="J4245" i="32"/>
  <c r="K4245" i="32" s="1"/>
  <c r="J4246" i="32"/>
  <c r="K4246" i="32" s="1"/>
  <c r="J4247" i="32"/>
  <c r="K4247" i="32" s="1"/>
  <c r="J4248" i="32"/>
  <c r="K4248" i="32" s="1"/>
  <c r="J4249" i="32"/>
  <c r="K4249" i="32" s="1"/>
  <c r="J4250" i="32"/>
  <c r="K4250" i="32" s="1"/>
  <c r="J4251" i="32"/>
  <c r="K4251" i="32" s="1"/>
  <c r="J4252" i="32"/>
  <c r="K4252" i="32" s="1"/>
  <c r="J4253" i="32"/>
  <c r="K4253" i="32" s="1"/>
  <c r="J4254" i="32"/>
  <c r="K4254" i="32" s="1"/>
  <c r="J4255" i="32"/>
  <c r="K4255" i="32" s="1"/>
  <c r="J4256" i="32"/>
  <c r="K4256" i="32" s="1"/>
  <c r="J4257" i="32"/>
  <c r="K4257" i="32" s="1"/>
  <c r="J4258" i="32"/>
  <c r="K4258" i="32" s="1"/>
  <c r="J4259" i="32"/>
  <c r="K4259" i="32" s="1"/>
  <c r="J4260" i="32"/>
  <c r="K4260" i="32" s="1"/>
  <c r="J4261" i="32"/>
  <c r="K4261" i="32" s="1"/>
  <c r="J4262" i="32"/>
  <c r="K4262" i="32" s="1"/>
  <c r="J4263" i="32"/>
  <c r="K4263" i="32" s="1"/>
  <c r="J4264" i="32"/>
  <c r="K4264" i="32" s="1"/>
  <c r="J4265" i="32"/>
  <c r="K4265" i="32" s="1"/>
  <c r="J4266" i="32"/>
  <c r="K4266" i="32" s="1"/>
  <c r="J4267" i="32"/>
  <c r="K4267" i="32" s="1"/>
  <c r="J4268" i="32"/>
  <c r="K4268" i="32" s="1"/>
  <c r="J4269" i="32"/>
  <c r="K4269" i="32" s="1"/>
  <c r="J4270" i="32"/>
  <c r="K4270" i="32" s="1"/>
  <c r="J4271" i="32"/>
  <c r="K4271" i="32" s="1"/>
  <c r="J4272" i="32"/>
  <c r="K4272" i="32" s="1"/>
  <c r="J4273" i="32"/>
  <c r="K4273" i="32" s="1"/>
  <c r="J4274" i="32"/>
  <c r="K4274" i="32" s="1"/>
  <c r="J4275" i="32"/>
  <c r="K4275" i="32" s="1"/>
  <c r="J4276" i="32"/>
  <c r="K4276" i="32" s="1"/>
  <c r="J4277" i="32"/>
  <c r="K4277" i="32" s="1"/>
  <c r="J4278" i="32"/>
  <c r="K4278" i="32" s="1"/>
  <c r="J4279" i="32"/>
  <c r="K4279" i="32" s="1"/>
  <c r="J4280" i="32"/>
  <c r="K4280" i="32" s="1"/>
  <c r="J4281" i="32"/>
  <c r="K4281" i="32" s="1"/>
  <c r="J4282" i="32"/>
  <c r="K4282" i="32" s="1"/>
  <c r="J4283" i="32"/>
  <c r="K4283" i="32" s="1"/>
  <c r="J4284" i="32"/>
  <c r="K4284" i="32" s="1"/>
  <c r="J4285" i="32"/>
  <c r="K4285" i="32" s="1"/>
  <c r="J4286" i="32"/>
  <c r="K4286" i="32" s="1"/>
  <c r="J4287" i="32"/>
  <c r="K4287" i="32" s="1"/>
  <c r="J4288" i="32"/>
  <c r="K4288" i="32" s="1"/>
  <c r="J4289" i="32"/>
  <c r="K4289" i="32" s="1"/>
  <c r="J4290" i="32"/>
  <c r="K4290" i="32" s="1"/>
  <c r="J4291" i="32"/>
  <c r="K4291" i="32" s="1"/>
  <c r="J4292" i="32"/>
  <c r="K4292" i="32" s="1"/>
  <c r="J4293" i="32"/>
  <c r="K4293" i="32" s="1"/>
  <c r="J4294" i="32"/>
  <c r="K4294" i="32" s="1"/>
  <c r="J4295" i="32"/>
  <c r="K4295" i="32" s="1"/>
  <c r="J4296" i="32"/>
  <c r="K4296" i="32" s="1"/>
  <c r="J4297" i="32"/>
  <c r="K4297" i="32" s="1"/>
  <c r="J4298" i="32"/>
  <c r="K4298" i="32" s="1"/>
  <c r="J4299" i="32"/>
  <c r="K4299" i="32" s="1"/>
  <c r="J4300" i="32"/>
  <c r="K4300" i="32" s="1"/>
  <c r="J4301" i="32"/>
  <c r="K4301" i="32" s="1"/>
  <c r="J4302" i="32"/>
  <c r="K4302" i="32" s="1"/>
  <c r="J4303" i="32"/>
  <c r="K4303" i="32" s="1"/>
  <c r="J4304" i="32"/>
  <c r="K4304" i="32" s="1"/>
  <c r="J4305" i="32"/>
  <c r="K4305" i="32" s="1"/>
  <c r="J4306" i="32"/>
  <c r="K4306" i="32" s="1"/>
  <c r="J4307" i="32"/>
  <c r="K4307" i="32" s="1"/>
  <c r="J4308" i="32"/>
  <c r="K4308" i="32" s="1"/>
  <c r="J4309" i="32"/>
  <c r="K4309" i="32" s="1"/>
  <c r="J4310" i="32"/>
  <c r="K4310" i="32" s="1"/>
  <c r="J4311" i="32"/>
  <c r="K4311" i="32" s="1"/>
  <c r="J4312" i="32"/>
  <c r="K4312" i="32" s="1"/>
  <c r="J4313" i="32"/>
  <c r="K4313" i="32" s="1"/>
  <c r="J4314" i="32"/>
  <c r="K4314" i="32" s="1"/>
  <c r="J4315" i="32"/>
  <c r="K4315" i="32" s="1"/>
  <c r="J4316" i="32"/>
  <c r="K4316" i="32" s="1"/>
  <c r="J4317" i="32"/>
  <c r="K4317" i="32" s="1"/>
  <c r="J4318" i="32"/>
  <c r="K4318" i="32" s="1"/>
  <c r="J4319" i="32"/>
  <c r="K4319" i="32" s="1"/>
  <c r="J4320" i="32"/>
  <c r="K4320" i="32" s="1"/>
  <c r="J4321" i="32"/>
  <c r="K4321" i="32" s="1"/>
  <c r="J4322" i="32"/>
  <c r="K4322" i="32" s="1"/>
  <c r="J4323" i="32"/>
  <c r="K4323" i="32" s="1"/>
  <c r="J4324" i="32"/>
  <c r="K4324" i="32" s="1"/>
  <c r="J4325" i="32"/>
  <c r="K4325" i="32" s="1"/>
  <c r="J4326" i="32"/>
  <c r="K4326" i="32" s="1"/>
  <c r="J4327" i="32"/>
  <c r="K4327" i="32" s="1"/>
  <c r="J4328" i="32"/>
  <c r="K4328" i="32" s="1"/>
  <c r="J4329" i="32"/>
  <c r="K4329" i="32" s="1"/>
  <c r="J4330" i="32"/>
  <c r="K4330" i="32" s="1"/>
  <c r="J4331" i="32"/>
  <c r="K4331" i="32" s="1"/>
  <c r="J4332" i="32"/>
  <c r="K4332" i="32" s="1"/>
  <c r="J4333" i="32"/>
  <c r="K4333" i="32" s="1"/>
  <c r="J4334" i="32"/>
  <c r="K4334" i="32" s="1"/>
  <c r="J4335" i="32"/>
  <c r="K4335" i="32" s="1"/>
  <c r="J4336" i="32"/>
  <c r="K4336" i="32" s="1"/>
  <c r="J4337" i="32"/>
  <c r="K4337" i="32" s="1"/>
  <c r="J4338" i="32"/>
  <c r="K4338" i="32" s="1"/>
  <c r="J4339" i="32"/>
  <c r="K4339" i="32" s="1"/>
  <c r="J4340" i="32"/>
  <c r="K4340" i="32" s="1"/>
  <c r="J4341" i="32"/>
  <c r="K4341" i="32" s="1"/>
  <c r="J4342" i="32"/>
  <c r="K4342" i="32" s="1"/>
  <c r="J4343" i="32"/>
  <c r="K4343" i="32" s="1"/>
  <c r="J4344" i="32"/>
  <c r="K4344" i="32" s="1"/>
  <c r="J4345" i="32"/>
  <c r="K4345" i="32" s="1"/>
  <c r="J4346" i="32"/>
  <c r="K4346" i="32" s="1"/>
  <c r="J4347" i="32"/>
  <c r="K4347" i="32" s="1"/>
  <c r="J4348" i="32"/>
  <c r="K4348" i="32" s="1"/>
  <c r="J4349" i="32"/>
  <c r="K4349" i="32" s="1"/>
  <c r="J4350" i="32"/>
  <c r="K4350" i="32" s="1"/>
  <c r="J4351" i="32"/>
  <c r="K4351" i="32" s="1"/>
  <c r="J4352" i="32"/>
  <c r="K4352" i="32" s="1"/>
  <c r="J4353" i="32"/>
  <c r="K4353" i="32" s="1"/>
  <c r="J4354" i="32"/>
  <c r="K4354" i="32" s="1"/>
  <c r="J4355" i="32"/>
  <c r="K4355" i="32" s="1"/>
  <c r="J4356" i="32"/>
  <c r="K4356" i="32" s="1"/>
  <c r="J4357" i="32"/>
  <c r="K4357" i="32" s="1"/>
  <c r="J4358" i="32"/>
  <c r="K4358" i="32" s="1"/>
  <c r="J4359" i="32"/>
  <c r="K4359" i="32" s="1"/>
  <c r="J4360" i="32"/>
  <c r="K4360" i="32" s="1"/>
  <c r="J4361" i="32"/>
  <c r="K4361" i="32" s="1"/>
  <c r="J4362" i="32"/>
  <c r="K4362" i="32" s="1"/>
  <c r="J4363" i="32"/>
  <c r="K4363" i="32" s="1"/>
  <c r="J4364" i="32"/>
  <c r="K4364" i="32" s="1"/>
  <c r="J4365" i="32"/>
  <c r="K4365" i="32" s="1"/>
  <c r="J4366" i="32"/>
  <c r="K4366" i="32" s="1"/>
  <c r="J4367" i="32"/>
  <c r="K4367" i="32" s="1"/>
  <c r="J4368" i="32"/>
  <c r="K4368" i="32" s="1"/>
  <c r="J4369" i="32"/>
  <c r="K4369" i="32" s="1"/>
  <c r="J4370" i="32"/>
  <c r="K4370" i="32" s="1"/>
  <c r="J4371" i="32"/>
  <c r="K4371" i="32" s="1"/>
  <c r="J4372" i="32"/>
  <c r="K4372" i="32" s="1"/>
  <c r="J4373" i="32"/>
  <c r="K4373" i="32" s="1"/>
  <c r="J4374" i="32"/>
  <c r="K4374" i="32" s="1"/>
  <c r="J4375" i="32"/>
  <c r="K4375" i="32" s="1"/>
  <c r="J4376" i="32"/>
  <c r="K4376" i="32" s="1"/>
  <c r="J4377" i="32"/>
  <c r="K4377" i="32" s="1"/>
  <c r="J4378" i="32"/>
  <c r="K4378" i="32" s="1"/>
  <c r="J4379" i="32"/>
  <c r="K4379" i="32" s="1"/>
  <c r="J4380" i="32"/>
  <c r="K4380" i="32" s="1"/>
  <c r="J4381" i="32"/>
  <c r="K4381" i="32" s="1"/>
  <c r="J4382" i="32"/>
  <c r="K4382" i="32" s="1"/>
  <c r="J4383" i="32"/>
  <c r="K4383" i="32" s="1"/>
  <c r="J4384" i="32"/>
  <c r="K4384" i="32" s="1"/>
  <c r="J4385" i="32"/>
  <c r="K4385" i="32" s="1"/>
  <c r="J4386" i="32"/>
  <c r="K4386" i="32" s="1"/>
  <c r="J4387" i="32"/>
  <c r="K4387" i="32" s="1"/>
  <c r="J4388" i="32"/>
  <c r="K4388" i="32" s="1"/>
  <c r="J4389" i="32"/>
  <c r="K4389" i="32" s="1"/>
  <c r="J4390" i="32"/>
  <c r="K4390" i="32" s="1"/>
  <c r="J4391" i="32"/>
  <c r="K4391" i="32" s="1"/>
  <c r="J4392" i="32"/>
  <c r="K4392" i="32" s="1"/>
  <c r="J4393" i="32"/>
  <c r="K4393" i="32" s="1"/>
  <c r="J4394" i="32"/>
  <c r="K4394" i="32" s="1"/>
  <c r="J4395" i="32"/>
  <c r="K4395" i="32" s="1"/>
  <c r="J4396" i="32"/>
  <c r="K4396" i="32" s="1"/>
  <c r="J4397" i="32"/>
  <c r="K4397" i="32" s="1"/>
  <c r="J4398" i="32"/>
  <c r="K4398" i="32" s="1"/>
  <c r="J4399" i="32"/>
  <c r="K4399" i="32" s="1"/>
  <c r="J4400" i="32"/>
  <c r="K4400" i="32" s="1"/>
  <c r="J4401" i="32"/>
  <c r="K4401" i="32" s="1"/>
  <c r="J4402" i="32"/>
  <c r="K4402" i="32" s="1"/>
  <c r="J4403" i="32"/>
  <c r="K4403" i="32" s="1"/>
  <c r="J4404" i="32"/>
  <c r="K4404" i="32" s="1"/>
  <c r="J4405" i="32"/>
  <c r="K4405" i="32" s="1"/>
  <c r="J4406" i="32"/>
  <c r="K4406" i="32" s="1"/>
  <c r="J4407" i="32"/>
  <c r="K4407" i="32" s="1"/>
  <c r="J4408" i="32"/>
  <c r="K4408" i="32" s="1"/>
  <c r="J4409" i="32"/>
  <c r="K4409" i="32" s="1"/>
  <c r="J4410" i="32"/>
  <c r="K4410" i="32" s="1"/>
  <c r="J4411" i="32"/>
  <c r="K4411" i="32" s="1"/>
  <c r="J4412" i="32"/>
  <c r="K4412" i="32" s="1"/>
  <c r="J4413" i="32"/>
  <c r="K4413" i="32" s="1"/>
  <c r="J4414" i="32"/>
  <c r="K4414" i="32" s="1"/>
  <c r="J4415" i="32"/>
  <c r="K4415" i="32" s="1"/>
  <c r="J4416" i="32"/>
  <c r="K4416" i="32" s="1"/>
  <c r="J4417" i="32"/>
  <c r="K4417" i="32" s="1"/>
  <c r="J4418" i="32"/>
  <c r="K4418" i="32" s="1"/>
  <c r="J4419" i="32"/>
  <c r="K4419" i="32" s="1"/>
  <c r="J4420" i="32"/>
  <c r="K4420" i="32" s="1"/>
  <c r="J4421" i="32"/>
  <c r="K4421" i="32" s="1"/>
  <c r="J4422" i="32"/>
  <c r="K4422" i="32" s="1"/>
  <c r="J4423" i="32"/>
  <c r="K4423" i="32" s="1"/>
  <c r="J4424" i="32"/>
  <c r="K4424" i="32" s="1"/>
  <c r="J4425" i="32"/>
  <c r="K4425" i="32" s="1"/>
  <c r="J4426" i="32"/>
  <c r="K4426" i="32" s="1"/>
  <c r="J4427" i="32"/>
  <c r="K4427" i="32" s="1"/>
  <c r="J4428" i="32"/>
  <c r="K4428" i="32" s="1"/>
  <c r="J4429" i="32"/>
  <c r="K4429" i="32" s="1"/>
  <c r="J4430" i="32"/>
  <c r="K4430" i="32" s="1"/>
  <c r="J4431" i="32"/>
  <c r="K4431" i="32" s="1"/>
  <c r="J4432" i="32"/>
  <c r="K4432" i="32" s="1"/>
  <c r="J4433" i="32"/>
  <c r="K4433" i="32" s="1"/>
  <c r="J4434" i="32"/>
  <c r="K4434" i="32" s="1"/>
  <c r="J4435" i="32"/>
  <c r="K4435" i="32" s="1"/>
  <c r="J4436" i="32"/>
  <c r="K4436" i="32" s="1"/>
  <c r="J4437" i="32"/>
  <c r="K4437" i="32" s="1"/>
  <c r="J4438" i="32"/>
  <c r="K4438" i="32" s="1"/>
  <c r="J4439" i="32"/>
  <c r="K4439" i="32" s="1"/>
  <c r="J4440" i="32"/>
  <c r="K4440" i="32" s="1"/>
  <c r="J4441" i="32"/>
  <c r="K4441" i="32" s="1"/>
  <c r="J4442" i="32"/>
  <c r="K4442" i="32" s="1"/>
  <c r="J4443" i="32"/>
  <c r="K4443" i="32" s="1"/>
  <c r="J4444" i="32"/>
  <c r="K4444" i="32" s="1"/>
  <c r="J4445" i="32"/>
  <c r="K4445" i="32" s="1"/>
  <c r="J4446" i="32"/>
  <c r="K4446" i="32" s="1"/>
  <c r="J4447" i="32"/>
  <c r="K4447" i="32" s="1"/>
  <c r="J4448" i="32"/>
  <c r="K4448" i="32" s="1"/>
  <c r="J4449" i="32"/>
  <c r="K4449" i="32" s="1"/>
  <c r="J4450" i="32"/>
  <c r="K4450" i="32" s="1"/>
  <c r="J4451" i="32"/>
  <c r="K4451" i="32" s="1"/>
  <c r="J4452" i="32"/>
  <c r="K4452" i="32" s="1"/>
  <c r="J4453" i="32"/>
  <c r="K4453" i="32" s="1"/>
  <c r="J4454" i="32"/>
  <c r="K4454" i="32" s="1"/>
  <c r="J4455" i="32"/>
  <c r="K4455" i="32" s="1"/>
  <c r="J4456" i="32"/>
  <c r="K4456" i="32" s="1"/>
  <c r="J4457" i="32"/>
  <c r="K4457" i="32" s="1"/>
  <c r="J4458" i="32"/>
  <c r="K4458" i="32" s="1"/>
  <c r="J4459" i="32"/>
  <c r="K4459" i="32" s="1"/>
  <c r="J4460" i="32"/>
  <c r="K4460" i="32" s="1"/>
  <c r="J4461" i="32"/>
  <c r="K4461" i="32" s="1"/>
  <c r="J4462" i="32"/>
  <c r="K4462" i="32" s="1"/>
  <c r="J4463" i="32"/>
  <c r="K4463" i="32" s="1"/>
  <c r="J4464" i="32"/>
  <c r="K4464" i="32" s="1"/>
  <c r="J4465" i="32"/>
  <c r="K4465" i="32" s="1"/>
  <c r="J4466" i="32"/>
  <c r="K4466" i="32" s="1"/>
  <c r="J4467" i="32"/>
  <c r="K4467" i="32" s="1"/>
  <c r="J4468" i="32"/>
  <c r="K4468" i="32" s="1"/>
  <c r="J4469" i="32"/>
  <c r="K4469" i="32" s="1"/>
  <c r="J4470" i="32"/>
  <c r="K4470" i="32" s="1"/>
  <c r="J4471" i="32"/>
  <c r="K4471" i="32" s="1"/>
  <c r="J4472" i="32"/>
  <c r="K4472" i="32" s="1"/>
  <c r="J4473" i="32"/>
  <c r="K4473" i="32" s="1"/>
  <c r="J4474" i="32"/>
  <c r="K4474" i="32" s="1"/>
  <c r="J4475" i="32"/>
  <c r="K4475" i="32" s="1"/>
  <c r="J4476" i="32"/>
  <c r="K4476" i="32" s="1"/>
  <c r="J4477" i="32"/>
  <c r="K4477" i="32" s="1"/>
  <c r="J4478" i="32"/>
  <c r="K4478" i="32" s="1"/>
  <c r="J4479" i="32"/>
  <c r="K4479" i="32" s="1"/>
  <c r="J4480" i="32"/>
  <c r="K4480" i="32" s="1"/>
  <c r="J4481" i="32"/>
  <c r="K4481" i="32" s="1"/>
  <c r="J4482" i="32"/>
  <c r="K4482" i="32" s="1"/>
  <c r="J4483" i="32"/>
  <c r="K4483" i="32" s="1"/>
  <c r="J4484" i="32"/>
  <c r="K4484" i="32" s="1"/>
  <c r="J4485" i="32"/>
  <c r="K4485" i="32" s="1"/>
  <c r="J4486" i="32"/>
  <c r="K4486" i="32" s="1"/>
  <c r="J4487" i="32"/>
  <c r="K4487" i="32" s="1"/>
  <c r="J4488" i="32"/>
  <c r="K4488" i="32" s="1"/>
  <c r="J4489" i="32"/>
  <c r="K4489" i="32" s="1"/>
  <c r="J4490" i="32"/>
  <c r="K4490" i="32" s="1"/>
  <c r="J4491" i="32"/>
  <c r="K4491" i="32" s="1"/>
  <c r="J4492" i="32"/>
  <c r="K4492" i="32" s="1"/>
  <c r="J4493" i="32"/>
  <c r="K4493" i="32" s="1"/>
  <c r="J4494" i="32"/>
  <c r="K4494" i="32" s="1"/>
  <c r="J4495" i="32"/>
  <c r="K4495" i="32" s="1"/>
  <c r="J4496" i="32"/>
  <c r="K4496" i="32" s="1"/>
  <c r="J4497" i="32"/>
  <c r="K4497" i="32" s="1"/>
  <c r="J4498" i="32"/>
  <c r="K4498" i="32" s="1"/>
  <c r="J4499" i="32"/>
  <c r="K4499" i="32" s="1"/>
  <c r="J4500" i="32"/>
  <c r="K4500" i="32" s="1"/>
  <c r="J4501" i="32"/>
  <c r="K4501" i="32" s="1"/>
  <c r="J4502" i="32"/>
  <c r="K4502" i="32" s="1"/>
  <c r="J4503" i="32"/>
  <c r="K4503" i="32" s="1"/>
  <c r="J4504" i="32"/>
  <c r="K4504" i="32" s="1"/>
  <c r="J4505" i="32"/>
  <c r="K4505" i="32" s="1"/>
  <c r="J4506" i="32"/>
  <c r="K4506" i="32" s="1"/>
  <c r="J4507" i="32"/>
  <c r="K4507" i="32" s="1"/>
  <c r="J4508" i="32"/>
  <c r="K4508" i="32" s="1"/>
  <c r="J4509" i="32"/>
  <c r="K4509" i="32" s="1"/>
  <c r="J4510" i="32"/>
  <c r="K4510" i="32" s="1"/>
  <c r="J4511" i="32"/>
  <c r="K4511" i="32" s="1"/>
  <c r="J4512" i="32"/>
  <c r="K4512" i="32" s="1"/>
  <c r="J4513" i="32"/>
  <c r="K4513" i="32" s="1"/>
  <c r="J4514" i="32"/>
  <c r="K4514" i="32" s="1"/>
  <c r="J4515" i="32"/>
  <c r="K4515" i="32" s="1"/>
  <c r="J4516" i="32"/>
  <c r="K4516" i="32" s="1"/>
  <c r="J4517" i="32"/>
  <c r="K4517" i="32" s="1"/>
  <c r="J4518" i="32"/>
  <c r="K4518" i="32" s="1"/>
  <c r="J4519" i="32"/>
  <c r="K4519" i="32" s="1"/>
  <c r="J4520" i="32"/>
  <c r="K4520" i="32" s="1"/>
  <c r="J4521" i="32"/>
  <c r="K4521" i="32" s="1"/>
  <c r="J4522" i="32"/>
  <c r="K4522" i="32" s="1"/>
  <c r="J4523" i="32"/>
  <c r="K4523" i="32" s="1"/>
  <c r="J4524" i="32"/>
  <c r="K4524" i="32" s="1"/>
  <c r="J4525" i="32"/>
  <c r="K4525" i="32" s="1"/>
  <c r="J4526" i="32"/>
  <c r="K4526" i="32" s="1"/>
  <c r="J4527" i="32"/>
  <c r="K4527" i="32" s="1"/>
  <c r="J4528" i="32"/>
  <c r="K4528" i="32" s="1"/>
  <c r="J4529" i="32"/>
  <c r="K4529" i="32" s="1"/>
  <c r="J4530" i="32"/>
  <c r="K4530" i="32" s="1"/>
  <c r="J4531" i="32"/>
  <c r="K4531" i="32" s="1"/>
  <c r="J4532" i="32"/>
  <c r="K4532" i="32" s="1"/>
  <c r="J4533" i="32"/>
  <c r="K4533" i="32" s="1"/>
  <c r="J4534" i="32"/>
  <c r="K4534" i="32" s="1"/>
  <c r="J4535" i="32"/>
  <c r="K4535" i="32" s="1"/>
  <c r="J4536" i="32"/>
  <c r="K4536" i="32" s="1"/>
  <c r="J4537" i="32"/>
  <c r="K4537" i="32" s="1"/>
  <c r="J4538" i="32"/>
  <c r="K4538" i="32" s="1"/>
  <c r="J4539" i="32"/>
  <c r="K4539" i="32" s="1"/>
  <c r="J4540" i="32"/>
  <c r="K4540" i="32" s="1"/>
  <c r="J4541" i="32"/>
  <c r="K4541" i="32" s="1"/>
  <c r="J4542" i="32"/>
  <c r="K4542" i="32" s="1"/>
  <c r="J4543" i="32"/>
  <c r="K4543" i="32" s="1"/>
  <c r="J4544" i="32"/>
  <c r="K4544" i="32" s="1"/>
  <c r="J4545" i="32"/>
  <c r="K4545" i="32" s="1"/>
  <c r="J4546" i="32"/>
  <c r="K4546" i="32" s="1"/>
  <c r="J4547" i="32"/>
  <c r="K4547" i="32" s="1"/>
  <c r="J4548" i="32"/>
  <c r="K4548" i="32" s="1"/>
  <c r="J4549" i="32"/>
  <c r="K4549" i="32" s="1"/>
  <c r="J4550" i="32"/>
  <c r="K4550" i="32" s="1"/>
  <c r="J4551" i="32"/>
  <c r="K4551" i="32" s="1"/>
  <c r="J4552" i="32"/>
  <c r="K4552" i="32" s="1"/>
  <c r="J4553" i="32"/>
  <c r="K4553" i="32" s="1"/>
  <c r="J4554" i="32"/>
  <c r="K4554" i="32" s="1"/>
  <c r="J4555" i="32"/>
  <c r="K4555" i="32" s="1"/>
  <c r="J4556" i="32"/>
  <c r="K4556" i="32" s="1"/>
  <c r="J4557" i="32"/>
  <c r="K4557" i="32" s="1"/>
  <c r="J4558" i="32"/>
  <c r="K4558" i="32" s="1"/>
  <c r="J4559" i="32"/>
  <c r="K4559" i="32" s="1"/>
  <c r="J4560" i="32"/>
  <c r="K4560" i="32" s="1"/>
  <c r="J4561" i="32"/>
  <c r="K4561" i="32" s="1"/>
  <c r="J4562" i="32"/>
  <c r="K4562" i="32" s="1"/>
  <c r="J4563" i="32"/>
  <c r="K4563" i="32" s="1"/>
  <c r="J4564" i="32"/>
  <c r="K4564" i="32" s="1"/>
  <c r="J4565" i="32"/>
  <c r="K4565" i="32" s="1"/>
  <c r="J4566" i="32"/>
  <c r="K4566" i="32" s="1"/>
  <c r="J4567" i="32"/>
  <c r="K4567" i="32" s="1"/>
  <c r="J4568" i="32"/>
  <c r="K4568" i="32" s="1"/>
  <c r="J4569" i="32"/>
  <c r="K4569" i="32" s="1"/>
  <c r="J4570" i="32"/>
  <c r="K4570" i="32" s="1"/>
  <c r="J4571" i="32"/>
  <c r="K4571" i="32" s="1"/>
  <c r="J4572" i="32"/>
  <c r="K4572" i="32" s="1"/>
  <c r="J4573" i="32"/>
  <c r="K4573" i="32" s="1"/>
  <c r="J4574" i="32"/>
  <c r="K4574" i="32" s="1"/>
  <c r="J4575" i="32"/>
  <c r="K4575" i="32" s="1"/>
  <c r="J4576" i="32"/>
  <c r="K4576" i="32" s="1"/>
  <c r="J4577" i="32"/>
  <c r="K4577" i="32" s="1"/>
  <c r="J4578" i="32"/>
  <c r="K4578" i="32" s="1"/>
  <c r="J4579" i="32"/>
  <c r="K4579" i="32" s="1"/>
  <c r="J4580" i="32"/>
  <c r="K4580" i="32" s="1"/>
  <c r="J4581" i="32"/>
  <c r="K4581" i="32" s="1"/>
  <c r="J4582" i="32"/>
  <c r="K4582" i="32" s="1"/>
  <c r="J4583" i="32"/>
  <c r="K4583" i="32" s="1"/>
  <c r="J4584" i="32"/>
  <c r="K4584" i="32" s="1"/>
  <c r="J4585" i="32"/>
  <c r="K4585" i="32" s="1"/>
  <c r="J4586" i="32"/>
  <c r="K4586" i="32" s="1"/>
  <c r="J4587" i="32"/>
  <c r="K4587" i="32" s="1"/>
  <c r="J4588" i="32"/>
  <c r="K4588" i="32" s="1"/>
  <c r="J4589" i="32"/>
  <c r="K4589" i="32" s="1"/>
  <c r="J4590" i="32"/>
  <c r="K4590" i="32" s="1"/>
  <c r="J4591" i="32"/>
  <c r="K4591" i="32" s="1"/>
  <c r="J4592" i="32"/>
  <c r="K4592" i="32" s="1"/>
  <c r="J4593" i="32"/>
  <c r="K4593" i="32" s="1"/>
  <c r="J4594" i="32"/>
  <c r="K4594" i="32" s="1"/>
  <c r="J4595" i="32"/>
  <c r="K4595" i="32" s="1"/>
  <c r="J4596" i="32"/>
  <c r="K4596" i="32" s="1"/>
  <c r="J4597" i="32"/>
  <c r="K4597" i="32" s="1"/>
  <c r="J4598" i="32"/>
  <c r="K4598" i="32" s="1"/>
  <c r="J4599" i="32"/>
  <c r="K4599" i="32" s="1"/>
  <c r="J4600" i="32"/>
  <c r="K4600" i="32" s="1"/>
  <c r="J4601" i="32"/>
  <c r="K4601" i="32" s="1"/>
  <c r="J4602" i="32"/>
  <c r="K4602" i="32" s="1"/>
  <c r="J4603" i="32"/>
  <c r="K4603" i="32" s="1"/>
  <c r="J4604" i="32"/>
  <c r="K4604" i="32" s="1"/>
  <c r="J4605" i="32"/>
  <c r="K4605" i="32" s="1"/>
  <c r="J4606" i="32"/>
  <c r="K4606" i="32" s="1"/>
  <c r="J4607" i="32"/>
  <c r="K4607" i="32" s="1"/>
  <c r="J4608" i="32"/>
  <c r="K4608" i="32" s="1"/>
  <c r="J4609" i="32"/>
  <c r="K4609" i="32" s="1"/>
  <c r="J4610" i="32"/>
  <c r="K4610" i="32" s="1"/>
  <c r="J4611" i="32"/>
  <c r="K4611" i="32" s="1"/>
  <c r="J4612" i="32"/>
  <c r="K4612" i="32" s="1"/>
  <c r="J4613" i="32"/>
  <c r="K4613" i="32" s="1"/>
  <c r="J4614" i="32"/>
  <c r="K4614" i="32" s="1"/>
  <c r="J4615" i="32"/>
  <c r="K4615" i="32" s="1"/>
  <c r="J4616" i="32"/>
  <c r="K4616" i="32" s="1"/>
  <c r="J4617" i="32"/>
  <c r="K4617" i="32" s="1"/>
  <c r="J4618" i="32"/>
  <c r="K4618" i="32" s="1"/>
  <c r="J4619" i="32"/>
  <c r="K4619" i="32" s="1"/>
  <c r="J4620" i="32"/>
  <c r="K4620" i="32" s="1"/>
  <c r="J4621" i="32"/>
  <c r="K4621" i="32" s="1"/>
  <c r="J4622" i="32"/>
  <c r="K4622" i="32" s="1"/>
  <c r="J4623" i="32"/>
  <c r="K4623" i="32" s="1"/>
  <c r="J4624" i="32"/>
  <c r="K4624" i="32" s="1"/>
  <c r="J4625" i="32"/>
  <c r="K4625" i="32" s="1"/>
  <c r="J4626" i="32"/>
  <c r="K4626" i="32" s="1"/>
  <c r="J4627" i="32"/>
  <c r="K4627" i="32" s="1"/>
  <c r="J4628" i="32"/>
  <c r="K4628" i="32" s="1"/>
  <c r="J4629" i="32"/>
  <c r="K4629" i="32" s="1"/>
  <c r="J4630" i="32"/>
  <c r="K4630" i="32" s="1"/>
  <c r="J4631" i="32"/>
  <c r="K4631" i="32" s="1"/>
  <c r="J4632" i="32"/>
  <c r="K4632" i="32" s="1"/>
  <c r="J4633" i="32"/>
  <c r="K4633" i="32" s="1"/>
  <c r="J4634" i="32"/>
  <c r="K4634" i="32" s="1"/>
  <c r="J4635" i="32"/>
  <c r="K4635" i="32" s="1"/>
  <c r="J4636" i="32"/>
  <c r="K4636" i="32" s="1"/>
  <c r="J4637" i="32"/>
  <c r="K4637" i="32" s="1"/>
  <c r="J4638" i="32"/>
  <c r="K4638" i="32" s="1"/>
  <c r="J4639" i="32"/>
  <c r="K4639" i="32" s="1"/>
  <c r="J4640" i="32"/>
  <c r="K4640" i="32" s="1"/>
  <c r="J4641" i="32"/>
  <c r="K4641" i="32" s="1"/>
  <c r="J4642" i="32"/>
  <c r="K4642" i="32" s="1"/>
  <c r="J4643" i="32"/>
  <c r="K4643" i="32" s="1"/>
  <c r="J4644" i="32"/>
  <c r="K4644" i="32" s="1"/>
  <c r="J4645" i="32"/>
  <c r="K4645" i="32" s="1"/>
  <c r="J4646" i="32"/>
  <c r="K4646" i="32" s="1"/>
  <c r="J4647" i="32"/>
  <c r="K4647" i="32" s="1"/>
  <c r="J4648" i="32"/>
  <c r="K4648" i="32" s="1"/>
  <c r="J4649" i="32"/>
  <c r="K4649" i="32" s="1"/>
  <c r="J4650" i="32"/>
  <c r="K4650" i="32" s="1"/>
  <c r="J4651" i="32"/>
  <c r="K4651" i="32" s="1"/>
  <c r="J4652" i="32"/>
  <c r="K4652" i="32" s="1"/>
  <c r="J4653" i="32"/>
  <c r="K4653" i="32" s="1"/>
  <c r="J4654" i="32"/>
  <c r="K4654" i="32" s="1"/>
  <c r="J4655" i="32"/>
  <c r="K4655" i="32" s="1"/>
  <c r="J4656" i="32"/>
  <c r="K4656" i="32" s="1"/>
  <c r="J4657" i="32"/>
  <c r="K4657" i="32" s="1"/>
  <c r="J4658" i="32"/>
  <c r="K4658" i="32" s="1"/>
  <c r="J4659" i="32"/>
  <c r="K4659" i="32" s="1"/>
  <c r="J4660" i="32"/>
  <c r="K4660" i="32" s="1"/>
  <c r="J4661" i="32"/>
  <c r="K4661" i="32" s="1"/>
  <c r="J4662" i="32"/>
  <c r="K4662" i="32" s="1"/>
  <c r="J4663" i="32"/>
  <c r="K4663" i="32" s="1"/>
  <c r="J4664" i="32"/>
  <c r="K4664" i="32" s="1"/>
  <c r="J4665" i="32"/>
  <c r="K4665" i="32" s="1"/>
  <c r="J4666" i="32"/>
  <c r="K4666" i="32" s="1"/>
  <c r="J4667" i="32"/>
  <c r="K4667" i="32" s="1"/>
  <c r="J4668" i="32"/>
  <c r="K4668" i="32" s="1"/>
  <c r="J4669" i="32"/>
  <c r="K4669" i="32" s="1"/>
  <c r="J4670" i="32"/>
  <c r="K4670" i="32" s="1"/>
  <c r="J4671" i="32"/>
  <c r="K4671" i="32" s="1"/>
  <c r="J4672" i="32"/>
  <c r="K4672" i="32" s="1"/>
  <c r="J4673" i="32"/>
  <c r="K4673" i="32" s="1"/>
  <c r="J4674" i="32"/>
  <c r="K4674" i="32" s="1"/>
  <c r="J4675" i="32"/>
  <c r="K4675" i="32" s="1"/>
  <c r="J4676" i="32"/>
  <c r="K4676" i="32" s="1"/>
  <c r="J4677" i="32"/>
  <c r="K4677" i="32" s="1"/>
  <c r="J4678" i="32"/>
  <c r="K4678" i="32" s="1"/>
  <c r="J4679" i="32"/>
  <c r="K4679" i="32" s="1"/>
  <c r="J4680" i="32"/>
  <c r="K4680" i="32" s="1"/>
  <c r="J4681" i="32"/>
  <c r="K4681" i="32" s="1"/>
  <c r="J4682" i="32"/>
  <c r="K4682" i="32" s="1"/>
  <c r="J4683" i="32"/>
  <c r="K4683" i="32" s="1"/>
  <c r="J4684" i="32"/>
  <c r="K4684" i="32" s="1"/>
  <c r="J4685" i="32"/>
  <c r="K4685" i="32" s="1"/>
  <c r="J4686" i="32"/>
  <c r="K4686" i="32" s="1"/>
  <c r="J4687" i="32"/>
  <c r="K4687" i="32" s="1"/>
  <c r="J4688" i="32"/>
  <c r="K4688" i="32" s="1"/>
  <c r="J4689" i="32"/>
  <c r="K4689" i="32" s="1"/>
  <c r="J4690" i="32"/>
  <c r="K4690" i="32" s="1"/>
  <c r="J4691" i="32"/>
  <c r="K4691" i="32" s="1"/>
  <c r="J4692" i="32"/>
  <c r="K4692" i="32" s="1"/>
  <c r="J4693" i="32"/>
  <c r="K4693" i="32" s="1"/>
  <c r="J4694" i="32"/>
  <c r="K4694" i="32" s="1"/>
  <c r="J4695" i="32"/>
  <c r="K4695" i="32" s="1"/>
  <c r="J4696" i="32"/>
  <c r="K4696" i="32" s="1"/>
  <c r="J4697" i="32"/>
  <c r="K4697" i="32" s="1"/>
  <c r="J4698" i="32"/>
  <c r="K4698" i="32" s="1"/>
  <c r="J4699" i="32"/>
  <c r="K4699" i="32" s="1"/>
  <c r="J4700" i="32"/>
  <c r="K4700" i="32" s="1"/>
  <c r="J4701" i="32"/>
  <c r="K4701" i="32" s="1"/>
  <c r="J4702" i="32"/>
  <c r="K4702" i="32" s="1"/>
  <c r="J4703" i="32"/>
  <c r="K4703" i="32" s="1"/>
  <c r="J4704" i="32"/>
  <c r="K4704" i="32" s="1"/>
  <c r="J4705" i="32"/>
  <c r="K4705" i="32" s="1"/>
  <c r="J4706" i="32"/>
  <c r="K4706" i="32" s="1"/>
  <c r="J4707" i="32"/>
  <c r="K4707" i="32" s="1"/>
  <c r="J4708" i="32"/>
  <c r="K4708" i="32" s="1"/>
  <c r="J4709" i="32"/>
  <c r="K4709" i="32" s="1"/>
  <c r="J4710" i="32"/>
  <c r="K4710" i="32" s="1"/>
  <c r="J4711" i="32"/>
  <c r="K4711" i="32" s="1"/>
  <c r="J4712" i="32"/>
  <c r="K4712" i="32" s="1"/>
  <c r="J4713" i="32"/>
  <c r="K4713" i="32" s="1"/>
  <c r="J4714" i="32"/>
  <c r="K4714" i="32" s="1"/>
  <c r="J4715" i="32"/>
  <c r="K4715" i="32" s="1"/>
  <c r="J4716" i="32"/>
  <c r="K4716" i="32" s="1"/>
  <c r="J4717" i="32"/>
  <c r="K4717" i="32" s="1"/>
  <c r="J4718" i="32"/>
  <c r="K4718" i="32" s="1"/>
  <c r="J4719" i="32"/>
  <c r="K4719" i="32" s="1"/>
  <c r="J4720" i="32"/>
  <c r="K4720" i="32" s="1"/>
  <c r="J4721" i="32"/>
  <c r="K4721" i="32" s="1"/>
  <c r="J4722" i="32"/>
  <c r="K4722" i="32" s="1"/>
  <c r="J4723" i="32"/>
  <c r="K4723" i="32" s="1"/>
  <c r="J4724" i="32"/>
  <c r="K4724" i="32" s="1"/>
  <c r="J4725" i="32"/>
  <c r="K4725" i="32" s="1"/>
  <c r="J4726" i="32"/>
  <c r="K4726" i="32" s="1"/>
  <c r="J4727" i="32"/>
  <c r="K4727" i="32" s="1"/>
  <c r="J4728" i="32"/>
  <c r="K4728" i="32" s="1"/>
  <c r="J4729" i="32"/>
  <c r="K4729" i="32" s="1"/>
  <c r="J4730" i="32"/>
  <c r="K4730" i="32" s="1"/>
  <c r="J4731" i="32"/>
  <c r="K4731" i="32" s="1"/>
  <c r="J4732" i="32"/>
  <c r="K4732" i="32" s="1"/>
  <c r="J4733" i="32"/>
  <c r="K4733" i="32" s="1"/>
  <c r="J4734" i="32"/>
  <c r="K4734" i="32" s="1"/>
  <c r="J4735" i="32"/>
  <c r="K4735" i="32" s="1"/>
  <c r="J4736" i="32"/>
  <c r="K4736" i="32" s="1"/>
  <c r="J4737" i="32"/>
  <c r="K4737" i="32" s="1"/>
  <c r="J4738" i="32"/>
  <c r="K4738" i="32" s="1"/>
  <c r="J4739" i="32"/>
  <c r="K4739" i="32" s="1"/>
  <c r="J4740" i="32"/>
  <c r="K4740" i="32" s="1"/>
  <c r="J4741" i="32"/>
  <c r="K4741" i="32" s="1"/>
  <c r="J4742" i="32"/>
  <c r="K4742" i="32" s="1"/>
  <c r="J4743" i="32"/>
  <c r="K4743" i="32" s="1"/>
  <c r="J4744" i="32"/>
  <c r="K4744" i="32" s="1"/>
  <c r="J4745" i="32"/>
  <c r="K4745" i="32" s="1"/>
  <c r="J4746" i="32"/>
  <c r="K4746" i="32" s="1"/>
  <c r="J4747" i="32"/>
  <c r="K4747" i="32" s="1"/>
  <c r="J4748" i="32"/>
  <c r="K4748" i="32" s="1"/>
  <c r="J4749" i="32"/>
  <c r="K4749" i="32" s="1"/>
  <c r="J4750" i="32"/>
  <c r="K4750" i="32" s="1"/>
  <c r="J4751" i="32"/>
  <c r="K4751" i="32" s="1"/>
  <c r="J4752" i="32"/>
  <c r="K4752" i="32" s="1"/>
  <c r="J4753" i="32"/>
  <c r="K4753" i="32" s="1"/>
  <c r="J4754" i="32"/>
  <c r="K4754" i="32" s="1"/>
  <c r="J4755" i="32"/>
  <c r="K4755" i="32" s="1"/>
  <c r="J4756" i="32"/>
  <c r="K4756" i="32" s="1"/>
  <c r="J4757" i="32"/>
  <c r="K4757" i="32" s="1"/>
  <c r="J4758" i="32"/>
  <c r="K4758" i="32" s="1"/>
  <c r="J4759" i="32"/>
  <c r="K4759" i="32" s="1"/>
  <c r="J4760" i="32"/>
  <c r="K4760" i="32" s="1"/>
  <c r="J4761" i="32"/>
  <c r="K4761" i="32" s="1"/>
  <c r="J4762" i="32"/>
  <c r="K4762" i="32" s="1"/>
  <c r="J4763" i="32"/>
  <c r="K4763" i="32" s="1"/>
  <c r="J4764" i="32"/>
  <c r="K4764" i="32" s="1"/>
  <c r="J4765" i="32"/>
  <c r="K4765" i="32" s="1"/>
  <c r="J4766" i="32"/>
  <c r="K4766" i="32" s="1"/>
  <c r="J4767" i="32"/>
  <c r="K4767" i="32" s="1"/>
  <c r="J4768" i="32"/>
  <c r="K4768" i="32" s="1"/>
  <c r="J4769" i="32"/>
  <c r="K4769" i="32" s="1"/>
  <c r="J4770" i="32"/>
  <c r="K4770" i="32" s="1"/>
  <c r="J4771" i="32"/>
  <c r="K4771" i="32" s="1"/>
  <c r="J4772" i="32"/>
  <c r="K4772" i="32" s="1"/>
  <c r="J4773" i="32"/>
  <c r="K4773" i="32" s="1"/>
  <c r="J4774" i="32"/>
  <c r="K4774" i="32" s="1"/>
  <c r="J4775" i="32"/>
  <c r="K4775" i="32" s="1"/>
  <c r="J4776" i="32"/>
  <c r="K4776" i="32" s="1"/>
  <c r="J4777" i="32"/>
  <c r="K4777" i="32" s="1"/>
  <c r="J4778" i="32"/>
  <c r="K4778" i="32" s="1"/>
  <c r="J4779" i="32"/>
  <c r="K4779" i="32" s="1"/>
  <c r="J4780" i="32"/>
  <c r="K4780" i="32" s="1"/>
  <c r="J4781" i="32"/>
  <c r="K4781" i="32" s="1"/>
  <c r="J4782" i="32"/>
  <c r="K4782" i="32" s="1"/>
  <c r="J4783" i="32"/>
  <c r="K4783" i="32" s="1"/>
  <c r="J4784" i="32"/>
  <c r="K4784" i="32" s="1"/>
  <c r="J4785" i="32"/>
  <c r="K4785" i="32" s="1"/>
  <c r="J4786" i="32"/>
  <c r="K4786" i="32" s="1"/>
  <c r="J4787" i="32"/>
  <c r="K4787" i="32" s="1"/>
  <c r="J4788" i="32"/>
  <c r="K4788" i="32" s="1"/>
  <c r="J4789" i="32"/>
  <c r="K4789" i="32" s="1"/>
  <c r="J4790" i="32"/>
  <c r="K4790" i="32" s="1"/>
  <c r="J4791" i="32"/>
  <c r="K4791" i="32" s="1"/>
  <c r="J4792" i="32"/>
  <c r="K4792" i="32" s="1"/>
  <c r="J4793" i="32"/>
  <c r="K4793" i="32" s="1"/>
  <c r="J4794" i="32"/>
  <c r="K4794" i="32" s="1"/>
  <c r="J4795" i="32"/>
  <c r="K4795" i="32" s="1"/>
  <c r="J4796" i="32"/>
  <c r="K4796" i="32" s="1"/>
  <c r="J4797" i="32"/>
  <c r="K4797" i="32" s="1"/>
  <c r="J4798" i="32"/>
  <c r="K4798" i="32" s="1"/>
  <c r="J4799" i="32"/>
  <c r="K4799" i="32" s="1"/>
  <c r="J4800" i="32"/>
  <c r="K4800" i="32" s="1"/>
  <c r="J4801" i="32"/>
  <c r="K4801" i="32" s="1"/>
  <c r="J4802" i="32"/>
  <c r="K4802" i="32" s="1"/>
  <c r="J4803" i="32"/>
  <c r="K4803" i="32" s="1"/>
  <c r="J4804" i="32"/>
  <c r="K4804" i="32" s="1"/>
  <c r="J4805" i="32"/>
  <c r="K4805" i="32" s="1"/>
  <c r="J4806" i="32"/>
  <c r="K4806" i="32" s="1"/>
  <c r="J4807" i="32"/>
  <c r="K4807" i="32" s="1"/>
  <c r="J4808" i="32"/>
  <c r="K4808" i="32" s="1"/>
  <c r="J4809" i="32"/>
  <c r="K4809" i="32" s="1"/>
  <c r="J4810" i="32"/>
  <c r="K4810" i="32" s="1"/>
  <c r="J4811" i="32"/>
  <c r="K4811" i="32" s="1"/>
  <c r="J4812" i="32"/>
  <c r="K4812" i="32" s="1"/>
  <c r="J4813" i="32"/>
  <c r="K4813" i="32" s="1"/>
  <c r="J4814" i="32"/>
  <c r="K4814" i="32" s="1"/>
  <c r="J4815" i="32"/>
  <c r="K4815" i="32" s="1"/>
  <c r="J4816" i="32"/>
  <c r="K4816" i="32" s="1"/>
  <c r="J4817" i="32"/>
  <c r="K4817" i="32" s="1"/>
  <c r="J4818" i="32"/>
  <c r="K4818" i="32" s="1"/>
  <c r="J4819" i="32"/>
  <c r="K4819" i="32" s="1"/>
  <c r="J4820" i="32"/>
  <c r="K4820" i="32" s="1"/>
  <c r="J4821" i="32"/>
  <c r="K4821" i="32" s="1"/>
  <c r="J4822" i="32"/>
  <c r="K4822" i="32" s="1"/>
  <c r="J4823" i="32"/>
  <c r="K4823" i="32" s="1"/>
  <c r="J4824" i="32"/>
  <c r="K4824" i="32" s="1"/>
  <c r="J4825" i="32"/>
  <c r="K4825" i="32" s="1"/>
  <c r="J4826" i="32"/>
  <c r="K4826" i="32" s="1"/>
  <c r="J4827" i="32"/>
  <c r="K4827" i="32" s="1"/>
  <c r="J4828" i="32"/>
  <c r="K4828" i="32" s="1"/>
  <c r="J4829" i="32"/>
  <c r="K4829" i="32" s="1"/>
  <c r="J4830" i="32"/>
  <c r="K4830" i="32" s="1"/>
  <c r="J4831" i="32"/>
  <c r="K4831" i="32" s="1"/>
  <c r="J4832" i="32"/>
  <c r="K4832" i="32" s="1"/>
  <c r="J4833" i="32"/>
  <c r="K4833" i="32" s="1"/>
  <c r="J4834" i="32"/>
  <c r="K4834" i="32" s="1"/>
  <c r="J4835" i="32"/>
  <c r="K4835" i="32" s="1"/>
  <c r="J4836" i="32"/>
  <c r="K4836" i="32" s="1"/>
  <c r="J4837" i="32"/>
  <c r="K4837" i="32" s="1"/>
  <c r="J4838" i="32"/>
  <c r="K4838" i="32" s="1"/>
  <c r="J4839" i="32"/>
  <c r="K4839" i="32" s="1"/>
  <c r="J4840" i="32"/>
  <c r="K4840" i="32" s="1"/>
  <c r="J4841" i="32"/>
  <c r="K4841" i="32" s="1"/>
  <c r="J4842" i="32"/>
  <c r="K4842" i="32" s="1"/>
  <c r="J4843" i="32"/>
  <c r="K4843" i="32" s="1"/>
  <c r="J4844" i="32"/>
  <c r="K4844" i="32" s="1"/>
  <c r="J4845" i="32"/>
  <c r="K4845" i="32" s="1"/>
  <c r="J4846" i="32"/>
  <c r="K4846" i="32" s="1"/>
  <c r="J4847" i="32"/>
  <c r="K4847" i="32" s="1"/>
  <c r="J4848" i="32"/>
  <c r="K4848" i="32" s="1"/>
  <c r="J4849" i="32"/>
  <c r="K4849" i="32" s="1"/>
  <c r="J4850" i="32"/>
  <c r="K4850" i="32" s="1"/>
  <c r="J4851" i="32"/>
  <c r="K4851" i="32" s="1"/>
  <c r="J4852" i="32"/>
  <c r="K4852" i="32" s="1"/>
  <c r="J4853" i="32"/>
  <c r="K4853" i="32" s="1"/>
  <c r="J4854" i="32"/>
  <c r="K4854" i="32" s="1"/>
  <c r="J4855" i="32"/>
  <c r="K4855" i="32" s="1"/>
  <c r="J4856" i="32"/>
  <c r="K4856" i="32" s="1"/>
  <c r="J4857" i="32"/>
  <c r="K4857" i="32" s="1"/>
  <c r="J4858" i="32"/>
  <c r="K4858" i="32" s="1"/>
  <c r="J4859" i="32"/>
  <c r="K4859" i="32" s="1"/>
  <c r="J4860" i="32"/>
  <c r="K4860" i="32" s="1"/>
  <c r="J4861" i="32"/>
  <c r="K4861" i="32" s="1"/>
  <c r="J4862" i="32"/>
  <c r="K4862" i="32" s="1"/>
  <c r="J4863" i="32"/>
  <c r="K4863" i="32" s="1"/>
  <c r="J4864" i="32"/>
  <c r="K4864" i="32" s="1"/>
  <c r="J4865" i="32"/>
  <c r="K4865" i="32" s="1"/>
  <c r="J4866" i="32"/>
  <c r="K4866" i="32" s="1"/>
  <c r="J4867" i="32"/>
  <c r="K4867" i="32" s="1"/>
  <c r="J4868" i="32"/>
  <c r="K4868" i="32" s="1"/>
  <c r="J4869" i="32"/>
  <c r="K4869" i="32" s="1"/>
  <c r="J4870" i="32"/>
  <c r="K4870" i="32" s="1"/>
  <c r="J4871" i="32"/>
  <c r="K4871" i="32" s="1"/>
  <c r="J4872" i="32"/>
  <c r="K4872" i="32" s="1"/>
  <c r="J4873" i="32"/>
  <c r="K4873" i="32" s="1"/>
  <c r="J4874" i="32"/>
  <c r="K4874" i="32" s="1"/>
  <c r="J4875" i="32"/>
  <c r="K4875" i="32" s="1"/>
  <c r="J4876" i="32"/>
  <c r="K4876" i="32" s="1"/>
  <c r="J4877" i="32"/>
  <c r="K4877" i="32" s="1"/>
  <c r="J4878" i="32"/>
  <c r="K4878" i="32" s="1"/>
  <c r="J4879" i="32"/>
  <c r="K4879" i="32" s="1"/>
  <c r="J4880" i="32"/>
  <c r="K4880" i="32" s="1"/>
  <c r="J4881" i="32"/>
  <c r="K4881" i="32" s="1"/>
  <c r="J4882" i="32"/>
  <c r="K4882" i="32" s="1"/>
  <c r="J4883" i="32"/>
  <c r="K4883" i="32" s="1"/>
  <c r="J4884" i="32"/>
  <c r="K4884" i="32" s="1"/>
  <c r="J4885" i="32"/>
  <c r="K4885" i="32" s="1"/>
  <c r="J4886" i="32"/>
  <c r="K4886" i="32" s="1"/>
  <c r="J4887" i="32"/>
  <c r="K4887" i="32" s="1"/>
  <c r="J4888" i="32"/>
  <c r="K4888" i="32" s="1"/>
  <c r="J4889" i="32"/>
  <c r="K4889" i="32" s="1"/>
  <c r="J4890" i="32"/>
  <c r="K4890" i="32" s="1"/>
  <c r="J4891" i="32"/>
  <c r="K4891" i="32" s="1"/>
  <c r="J4892" i="32"/>
  <c r="K4892" i="32" s="1"/>
  <c r="J4893" i="32"/>
  <c r="K4893" i="32" s="1"/>
  <c r="J4894" i="32"/>
  <c r="K4894" i="32" s="1"/>
  <c r="J4895" i="32"/>
  <c r="K4895" i="32" s="1"/>
  <c r="J4896" i="32"/>
  <c r="K4896" i="32" s="1"/>
  <c r="J4897" i="32"/>
  <c r="K4897" i="32" s="1"/>
  <c r="J4898" i="32"/>
  <c r="K4898" i="32" s="1"/>
  <c r="J4899" i="32"/>
  <c r="K4899" i="32" s="1"/>
  <c r="J4900" i="32"/>
  <c r="K4900" i="32" s="1"/>
  <c r="J4901" i="32"/>
  <c r="K4901" i="32" s="1"/>
  <c r="J4902" i="32"/>
  <c r="K4902" i="32" s="1"/>
  <c r="J4903" i="32"/>
  <c r="K4903" i="32" s="1"/>
  <c r="J4904" i="32"/>
  <c r="K4904" i="32" s="1"/>
  <c r="J4905" i="32"/>
  <c r="K4905" i="32" s="1"/>
  <c r="J4906" i="32"/>
  <c r="K4906" i="32" s="1"/>
  <c r="J4907" i="32"/>
  <c r="K4907" i="32" s="1"/>
  <c r="J4908" i="32"/>
  <c r="K4908" i="32" s="1"/>
  <c r="J4909" i="32"/>
  <c r="K4909" i="32" s="1"/>
  <c r="J4910" i="32"/>
  <c r="K4910" i="32" s="1"/>
  <c r="J4911" i="32"/>
  <c r="K4911" i="32" s="1"/>
  <c r="J4912" i="32"/>
  <c r="K4912" i="32" s="1"/>
  <c r="J4913" i="32"/>
  <c r="K4913" i="32" s="1"/>
  <c r="J4914" i="32"/>
  <c r="K4914" i="32" s="1"/>
  <c r="J4915" i="32"/>
  <c r="K4915" i="32" s="1"/>
  <c r="J4916" i="32"/>
  <c r="K4916" i="32" s="1"/>
  <c r="J4917" i="32"/>
  <c r="K4917" i="32" s="1"/>
  <c r="J4918" i="32"/>
  <c r="K4918" i="32" s="1"/>
  <c r="J4919" i="32"/>
  <c r="K4919" i="32" s="1"/>
  <c r="J4920" i="32"/>
  <c r="K4920" i="32" s="1"/>
  <c r="J4921" i="32"/>
  <c r="K4921" i="32" s="1"/>
  <c r="J4922" i="32"/>
  <c r="K4922" i="32" s="1"/>
  <c r="J4923" i="32"/>
  <c r="K4923" i="32" s="1"/>
  <c r="J4924" i="32"/>
  <c r="K4924" i="32" s="1"/>
  <c r="J4925" i="32"/>
  <c r="K4925" i="32" s="1"/>
  <c r="J4926" i="32"/>
  <c r="K4926" i="32" s="1"/>
  <c r="J4927" i="32"/>
  <c r="K4927" i="32" s="1"/>
  <c r="J4928" i="32"/>
  <c r="K4928" i="32" s="1"/>
  <c r="J4929" i="32"/>
  <c r="K4929" i="32" s="1"/>
  <c r="J4930" i="32"/>
  <c r="K4930" i="32" s="1"/>
  <c r="J4931" i="32"/>
  <c r="K4931" i="32" s="1"/>
  <c r="J4932" i="32"/>
  <c r="K4932" i="32" s="1"/>
  <c r="J4933" i="32"/>
  <c r="K4933" i="32" s="1"/>
  <c r="J4934" i="32"/>
  <c r="K4934" i="32" s="1"/>
  <c r="J4935" i="32"/>
  <c r="K4935" i="32" s="1"/>
  <c r="J4936" i="32"/>
  <c r="K4936" i="32" s="1"/>
  <c r="J4937" i="32"/>
  <c r="K4937" i="32" s="1"/>
  <c r="J4938" i="32"/>
  <c r="K4938" i="32" s="1"/>
  <c r="J4939" i="32"/>
  <c r="K4939" i="32" s="1"/>
  <c r="J4940" i="32"/>
  <c r="K4940" i="32" s="1"/>
  <c r="J4941" i="32"/>
  <c r="K4941" i="32" s="1"/>
  <c r="J4942" i="32"/>
  <c r="K4942" i="32" s="1"/>
  <c r="J4943" i="32"/>
  <c r="K4943" i="32" s="1"/>
  <c r="J4944" i="32"/>
  <c r="K4944" i="32" s="1"/>
  <c r="J4945" i="32"/>
  <c r="K4945" i="32" s="1"/>
  <c r="J4946" i="32"/>
  <c r="K4946" i="32" s="1"/>
  <c r="J4947" i="32"/>
  <c r="K4947" i="32" s="1"/>
  <c r="J4948" i="32"/>
  <c r="K4948" i="32" s="1"/>
  <c r="J4949" i="32"/>
  <c r="K4949" i="32" s="1"/>
  <c r="J4950" i="32"/>
  <c r="K4950" i="32" s="1"/>
  <c r="J4951" i="32"/>
  <c r="K4951" i="32" s="1"/>
  <c r="J4952" i="32"/>
  <c r="K4952" i="32" s="1"/>
  <c r="J4953" i="32"/>
  <c r="K4953" i="32" s="1"/>
  <c r="J4954" i="32"/>
  <c r="K4954" i="32" s="1"/>
  <c r="J4955" i="32"/>
  <c r="K4955" i="32" s="1"/>
  <c r="J4956" i="32"/>
  <c r="K4956" i="32" s="1"/>
  <c r="J4957" i="32"/>
  <c r="K4957" i="32" s="1"/>
  <c r="J4958" i="32"/>
  <c r="K4958" i="32" s="1"/>
  <c r="J4959" i="32"/>
  <c r="K4959" i="32" s="1"/>
  <c r="J4960" i="32"/>
  <c r="K4960" i="32" s="1"/>
  <c r="J4961" i="32"/>
  <c r="K4961" i="32" s="1"/>
  <c r="J4962" i="32"/>
  <c r="K4962" i="32" s="1"/>
  <c r="J4963" i="32"/>
  <c r="K4963" i="32" s="1"/>
  <c r="J4964" i="32"/>
  <c r="K4964" i="32" s="1"/>
  <c r="J4965" i="32"/>
  <c r="K4965" i="32" s="1"/>
  <c r="J4966" i="32"/>
  <c r="K4966" i="32" s="1"/>
  <c r="J4967" i="32"/>
  <c r="K4967" i="32" s="1"/>
  <c r="J4968" i="32"/>
  <c r="K4968" i="32" s="1"/>
  <c r="J4969" i="32"/>
  <c r="K4969" i="32" s="1"/>
  <c r="J4970" i="32"/>
  <c r="K4970" i="32" s="1"/>
  <c r="J4971" i="32"/>
  <c r="K4971" i="32" s="1"/>
  <c r="J4972" i="32"/>
  <c r="K4972" i="32" s="1"/>
  <c r="J4973" i="32"/>
  <c r="K4973" i="32" s="1"/>
  <c r="J4974" i="32"/>
  <c r="K4974" i="32" s="1"/>
  <c r="J4975" i="32"/>
  <c r="K4975" i="32" s="1"/>
  <c r="J4976" i="32"/>
  <c r="K4976" i="32" s="1"/>
  <c r="J4977" i="32"/>
  <c r="K4977" i="32" s="1"/>
  <c r="J4978" i="32"/>
  <c r="K4978" i="32" s="1"/>
  <c r="J4979" i="32"/>
  <c r="K4979" i="32" s="1"/>
  <c r="J4980" i="32"/>
  <c r="K4980" i="32" s="1"/>
  <c r="J4981" i="32"/>
  <c r="K4981" i="32" s="1"/>
  <c r="J4982" i="32"/>
  <c r="K4982" i="32" s="1"/>
  <c r="J4983" i="32"/>
  <c r="K4983" i="32" s="1"/>
  <c r="J4984" i="32"/>
  <c r="K4984" i="32" s="1"/>
  <c r="J4985" i="32"/>
  <c r="K4985" i="32" s="1"/>
  <c r="J4986" i="32"/>
  <c r="K4986" i="32" s="1"/>
  <c r="J4987" i="32"/>
  <c r="K4987" i="32" s="1"/>
  <c r="J4988" i="32"/>
  <c r="K4988" i="32" s="1"/>
  <c r="J4989" i="32"/>
  <c r="K4989" i="32" s="1"/>
  <c r="J4990" i="32"/>
  <c r="K4990" i="32" s="1"/>
  <c r="J4991" i="32"/>
  <c r="K4991" i="32" s="1"/>
  <c r="J4992" i="32"/>
  <c r="K4992" i="32" s="1"/>
  <c r="J4993" i="32"/>
  <c r="K4993" i="32" s="1"/>
  <c r="J4994" i="32"/>
  <c r="K4994" i="32" s="1"/>
  <c r="J4995" i="32"/>
  <c r="K4995" i="32" s="1"/>
  <c r="J4996" i="32"/>
  <c r="K4996" i="32" s="1"/>
  <c r="J4997" i="32"/>
  <c r="K4997" i="32" s="1"/>
  <c r="J4998" i="32"/>
  <c r="K4998" i="32" s="1"/>
  <c r="J4999" i="32"/>
  <c r="K4999" i="32" s="1"/>
  <c r="J5000" i="32"/>
  <c r="K5000" i="32" s="1"/>
  <c r="J5001" i="32"/>
  <c r="K5001" i="32" s="1"/>
  <c r="J5002" i="32"/>
  <c r="K5002" i="32" s="1"/>
  <c r="J5003" i="32"/>
  <c r="K5003" i="32" s="1"/>
  <c r="J5004" i="32"/>
  <c r="K5004" i="32" s="1"/>
  <c r="J5005" i="32"/>
  <c r="K5005" i="32" s="1"/>
  <c r="J5006" i="32"/>
  <c r="K5006" i="32" s="1"/>
  <c r="J5007" i="32"/>
  <c r="K5007" i="32" s="1"/>
  <c r="J5008" i="32"/>
  <c r="K5008" i="32" s="1"/>
  <c r="J5009" i="32"/>
  <c r="K5009" i="32" s="1"/>
  <c r="J5010" i="32"/>
  <c r="K5010" i="32" s="1"/>
  <c r="J5011" i="32"/>
  <c r="K5011" i="32" s="1"/>
  <c r="J5012" i="32"/>
  <c r="K5012" i="32" s="1"/>
  <c r="J5013" i="32"/>
  <c r="K5013" i="32" s="1"/>
  <c r="J5014" i="32"/>
  <c r="K5014" i="32" s="1"/>
  <c r="J5015" i="32"/>
  <c r="K5015" i="32" s="1"/>
  <c r="J5016" i="32"/>
  <c r="K5016" i="32" s="1"/>
  <c r="J5017" i="32"/>
  <c r="K5017" i="32" s="1"/>
  <c r="J5018" i="32"/>
  <c r="K5018" i="32" s="1"/>
  <c r="J5019" i="32"/>
  <c r="K5019" i="32" s="1"/>
  <c r="J5020" i="32"/>
  <c r="K5020" i="32" s="1"/>
  <c r="J5021" i="32"/>
  <c r="K5021" i="32" s="1"/>
  <c r="J5022" i="32"/>
  <c r="K5022" i="32" s="1"/>
  <c r="J5023" i="32"/>
  <c r="K5023" i="32" s="1"/>
  <c r="J5024" i="32"/>
  <c r="K5024" i="32" s="1"/>
  <c r="J5025" i="32"/>
  <c r="K5025" i="32" s="1"/>
  <c r="J5026" i="32"/>
  <c r="K5026" i="32" s="1"/>
  <c r="J5027" i="32"/>
  <c r="K5027" i="32" s="1"/>
  <c r="J5028" i="32"/>
  <c r="K5028" i="32" s="1"/>
  <c r="J5029" i="32"/>
  <c r="K5029" i="32" s="1"/>
  <c r="J5030" i="32"/>
  <c r="K5030" i="32" s="1"/>
  <c r="J5031" i="32"/>
  <c r="K5031" i="32" s="1"/>
  <c r="J5032" i="32"/>
  <c r="K5032" i="32" s="1"/>
  <c r="J5033" i="32"/>
  <c r="K5033" i="32" s="1"/>
  <c r="J5034" i="32"/>
  <c r="K5034" i="32" s="1"/>
  <c r="J5035" i="32"/>
  <c r="K5035" i="32" s="1"/>
  <c r="J5036" i="32"/>
  <c r="K5036" i="32" s="1"/>
  <c r="J5037" i="32"/>
  <c r="K5037" i="32" s="1"/>
  <c r="J5038" i="32"/>
  <c r="K5038" i="32" s="1"/>
  <c r="J5039" i="32"/>
  <c r="K5039" i="32" s="1"/>
  <c r="J5040" i="32"/>
  <c r="K5040" i="32" s="1"/>
  <c r="J5041" i="32"/>
  <c r="K5041" i="32" s="1"/>
  <c r="J5042" i="32"/>
  <c r="K5042" i="32" s="1"/>
  <c r="J5043" i="32"/>
  <c r="K5043" i="32" s="1"/>
  <c r="J5044" i="32"/>
  <c r="K5044" i="32" s="1"/>
  <c r="J5045" i="32"/>
  <c r="K5045" i="32" s="1"/>
  <c r="J5046" i="32"/>
  <c r="K5046" i="32" s="1"/>
  <c r="J5047" i="32"/>
  <c r="K5047" i="32" s="1"/>
  <c r="J5048" i="32"/>
  <c r="K5048" i="32" s="1"/>
  <c r="J5049" i="32"/>
  <c r="K5049" i="32" s="1"/>
  <c r="J5050" i="32"/>
  <c r="K5050" i="32" s="1"/>
  <c r="J5051" i="32"/>
  <c r="K5051" i="32" s="1"/>
  <c r="J5052" i="32"/>
  <c r="K5052" i="32" s="1"/>
  <c r="J5053" i="32"/>
  <c r="K5053" i="32" s="1"/>
  <c r="J5054" i="32"/>
  <c r="K5054" i="32" s="1"/>
  <c r="J5055" i="32"/>
  <c r="K5055" i="32" s="1"/>
  <c r="J5056" i="32"/>
  <c r="K5056" i="32" s="1"/>
  <c r="J5057" i="32"/>
  <c r="K5057" i="32" s="1"/>
  <c r="J5058" i="32"/>
  <c r="K5058" i="32" s="1"/>
  <c r="J5059" i="32"/>
  <c r="K5059" i="32" s="1"/>
  <c r="J5060" i="32"/>
  <c r="K5060" i="32" s="1"/>
  <c r="J5061" i="32"/>
  <c r="K5061" i="32" s="1"/>
  <c r="J5062" i="32"/>
  <c r="K5062" i="32" s="1"/>
  <c r="J5063" i="32"/>
  <c r="K5063" i="32" s="1"/>
  <c r="J5064" i="32"/>
  <c r="K5064" i="32" s="1"/>
  <c r="J5065" i="32"/>
  <c r="K5065" i="32" s="1"/>
  <c r="J5066" i="32"/>
  <c r="K5066" i="32" s="1"/>
  <c r="J5067" i="32"/>
  <c r="K5067" i="32" s="1"/>
  <c r="J5068" i="32"/>
  <c r="K5068" i="32" s="1"/>
  <c r="J5069" i="32"/>
  <c r="K5069" i="32" s="1"/>
  <c r="J5070" i="32"/>
  <c r="K5070" i="32" s="1"/>
  <c r="J5071" i="32"/>
  <c r="K5071" i="32" s="1"/>
  <c r="J5072" i="32"/>
  <c r="K5072" i="32" s="1"/>
  <c r="J5073" i="32"/>
  <c r="K5073" i="32" s="1"/>
  <c r="J5074" i="32"/>
  <c r="K5074" i="32" s="1"/>
  <c r="J5075" i="32"/>
  <c r="K5075" i="32" s="1"/>
  <c r="J5076" i="32"/>
  <c r="K5076" i="32" s="1"/>
  <c r="J5077" i="32"/>
  <c r="K5077" i="32" s="1"/>
  <c r="J5078" i="32"/>
  <c r="K5078" i="32" s="1"/>
  <c r="J5079" i="32"/>
  <c r="K5079" i="32" s="1"/>
  <c r="J5080" i="32"/>
  <c r="K5080" i="32" s="1"/>
  <c r="J5081" i="32"/>
  <c r="K5081" i="32" s="1"/>
  <c r="J5082" i="32"/>
  <c r="K5082" i="32" s="1"/>
  <c r="J5083" i="32"/>
  <c r="K5083" i="32" s="1"/>
  <c r="J5084" i="32"/>
  <c r="K5084" i="32" s="1"/>
  <c r="J5085" i="32"/>
  <c r="K5085" i="32" s="1"/>
  <c r="J5086" i="32"/>
  <c r="K5086" i="32" s="1"/>
  <c r="J5087" i="32"/>
  <c r="K5087" i="32" s="1"/>
  <c r="J5088" i="32"/>
  <c r="K5088" i="32" s="1"/>
  <c r="J5089" i="32"/>
  <c r="K5089" i="32" s="1"/>
  <c r="J5090" i="32"/>
  <c r="K5090" i="32" s="1"/>
  <c r="J5091" i="32"/>
  <c r="K5091" i="32" s="1"/>
  <c r="J5092" i="32"/>
  <c r="K5092" i="32" s="1"/>
  <c r="J5093" i="32"/>
  <c r="K5093" i="32" s="1"/>
  <c r="J5094" i="32"/>
  <c r="K5094" i="32" s="1"/>
  <c r="J5095" i="32"/>
  <c r="K5095" i="32" s="1"/>
  <c r="J5096" i="32"/>
  <c r="K5096" i="32" s="1"/>
  <c r="J5097" i="32"/>
  <c r="K5097" i="32" s="1"/>
  <c r="J5098" i="32"/>
  <c r="K5098" i="32" s="1"/>
  <c r="J5099" i="32"/>
  <c r="K5099" i="32" s="1"/>
  <c r="J5100" i="32"/>
  <c r="K5100" i="32" s="1"/>
  <c r="J5101" i="32"/>
  <c r="K5101" i="32" s="1"/>
  <c r="J5102" i="32"/>
  <c r="K5102" i="32" s="1"/>
  <c r="J5103" i="32"/>
  <c r="K5103" i="32" s="1"/>
  <c r="J5104" i="32"/>
  <c r="K5104" i="32" s="1"/>
  <c r="J5105" i="32"/>
  <c r="K5105" i="32" s="1"/>
  <c r="J5106" i="32"/>
  <c r="K5106" i="32" s="1"/>
  <c r="J5107" i="32"/>
  <c r="K5107" i="32" s="1"/>
  <c r="J5108" i="32"/>
  <c r="K5108" i="32" s="1"/>
  <c r="J5109" i="32"/>
  <c r="K5109" i="32" s="1"/>
  <c r="J5110" i="32"/>
  <c r="K5110" i="32" s="1"/>
  <c r="J5111" i="32"/>
  <c r="K5111" i="32" s="1"/>
  <c r="J5112" i="32"/>
  <c r="K5112" i="32" s="1"/>
  <c r="J5113" i="32"/>
  <c r="K5113" i="32" s="1"/>
  <c r="J5114" i="32"/>
  <c r="K5114" i="32" s="1"/>
  <c r="J5115" i="32"/>
  <c r="K5115" i="32" s="1"/>
  <c r="J5116" i="32"/>
  <c r="K5116" i="32" s="1"/>
  <c r="J5117" i="32"/>
  <c r="K5117" i="32" s="1"/>
  <c r="J5118" i="32"/>
  <c r="K5118" i="32" s="1"/>
  <c r="J5119" i="32"/>
  <c r="K5119" i="32" s="1"/>
  <c r="J5120" i="32"/>
  <c r="K5120" i="32" s="1"/>
  <c r="J5121" i="32"/>
  <c r="K5121" i="32" s="1"/>
  <c r="J5122" i="32"/>
  <c r="K5122" i="32" s="1"/>
  <c r="J5123" i="32"/>
  <c r="K5123" i="32" s="1"/>
  <c r="J5124" i="32"/>
  <c r="K5124" i="32" s="1"/>
  <c r="J5125" i="32"/>
  <c r="K5125" i="32" s="1"/>
  <c r="J5126" i="32"/>
  <c r="K5126" i="32" s="1"/>
  <c r="J5127" i="32"/>
  <c r="K5127" i="32" s="1"/>
  <c r="J5128" i="32"/>
  <c r="K5128" i="32" s="1"/>
  <c r="J5129" i="32"/>
  <c r="K5129" i="32" s="1"/>
  <c r="J5130" i="32"/>
  <c r="K5130" i="32" s="1"/>
  <c r="J5131" i="32"/>
  <c r="K5131" i="32" s="1"/>
  <c r="J5132" i="32"/>
  <c r="K5132" i="32" s="1"/>
  <c r="J5133" i="32"/>
  <c r="K5133" i="32" s="1"/>
  <c r="J5134" i="32"/>
  <c r="K5134" i="32" s="1"/>
  <c r="J5135" i="32"/>
  <c r="K5135" i="32" s="1"/>
  <c r="J5136" i="32"/>
  <c r="K5136" i="32" s="1"/>
  <c r="J5137" i="32"/>
  <c r="K5137" i="32" s="1"/>
  <c r="J5138" i="32"/>
  <c r="K5138" i="32" s="1"/>
  <c r="J5139" i="32"/>
  <c r="K5139" i="32" s="1"/>
  <c r="J5140" i="32"/>
  <c r="K5140" i="32" s="1"/>
  <c r="J5141" i="32"/>
  <c r="K5141" i="32" s="1"/>
  <c r="J5142" i="32"/>
  <c r="K5142" i="32" s="1"/>
  <c r="J5143" i="32"/>
  <c r="K5143" i="32" s="1"/>
  <c r="J5144" i="32"/>
  <c r="K5144" i="32" s="1"/>
  <c r="J5145" i="32"/>
  <c r="K5145" i="32" s="1"/>
  <c r="J5146" i="32"/>
  <c r="K5146" i="32" s="1"/>
  <c r="J5147" i="32"/>
  <c r="K5147" i="32" s="1"/>
  <c r="J5148" i="32"/>
  <c r="K5148" i="32" s="1"/>
  <c r="J5149" i="32"/>
  <c r="K5149" i="32" s="1"/>
  <c r="J5150" i="32"/>
  <c r="K5150" i="32" s="1"/>
  <c r="J5151" i="32"/>
  <c r="K5151" i="32" s="1"/>
  <c r="J5152" i="32"/>
  <c r="K5152" i="32" s="1"/>
  <c r="J5153" i="32"/>
  <c r="K5153" i="32" s="1"/>
  <c r="J5154" i="32"/>
  <c r="K5154" i="32" s="1"/>
  <c r="J5155" i="32"/>
  <c r="K5155" i="32" s="1"/>
  <c r="J5156" i="32"/>
  <c r="K5156" i="32" s="1"/>
  <c r="J5157" i="32"/>
  <c r="K5157" i="32" s="1"/>
  <c r="J5158" i="32"/>
  <c r="K5158" i="32" s="1"/>
  <c r="J5159" i="32"/>
  <c r="K5159" i="32" s="1"/>
  <c r="J5160" i="32"/>
  <c r="K5160" i="32" s="1"/>
  <c r="J5161" i="32"/>
  <c r="K5161" i="32" s="1"/>
  <c r="J5162" i="32"/>
  <c r="K5162" i="32" s="1"/>
  <c r="J5163" i="32"/>
  <c r="K5163" i="32" s="1"/>
  <c r="J5164" i="32"/>
  <c r="K5164" i="32" s="1"/>
  <c r="J5165" i="32"/>
  <c r="K5165" i="32" s="1"/>
  <c r="J5166" i="32"/>
  <c r="K5166" i="32" s="1"/>
  <c r="J5167" i="32"/>
  <c r="K5167" i="32" s="1"/>
  <c r="J5168" i="32"/>
  <c r="K5168" i="32" s="1"/>
  <c r="J5169" i="32"/>
  <c r="K5169" i="32" s="1"/>
  <c r="J5170" i="32"/>
  <c r="K5170" i="32" s="1"/>
  <c r="J5171" i="32"/>
  <c r="K5171" i="32" s="1"/>
  <c r="J5172" i="32"/>
  <c r="K5172" i="32" s="1"/>
  <c r="J5173" i="32"/>
  <c r="K5173" i="32" s="1"/>
  <c r="J5174" i="32"/>
  <c r="K5174" i="32" s="1"/>
  <c r="J5175" i="32"/>
  <c r="K5175" i="32" s="1"/>
  <c r="J5176" i="32"/>
  <c r="K5176" i="32" s="1"/>
  <c r="J5177" i="32"/>
  <c r="K5177" i="32" s="1"/>
  <c r="J5178" i="32"/>
  <c r="K5178" i="32" s="1"/>
  <c r="J5179" i="32"/>
  <c r="K5179" i="32" s="1"/>
  <c r="J5180" i="32"/>
  <c r="K5180" i="32" s="1"/>
  <c r="J5181" i="32"/>
  <c r="K5181" i="32" s="1"/>
  <c r="J5182" i="32"/>
  <c r="K5182" i="32" s="1"/>
  <c r="J5183" i="32"/>
  <c r="K5183" i="32" s="1"/>
  <c r="J5184" i="32"/>
  <c r="K5184" i="32" s="1"/>
  <c r="J5185" i="32"/>
  <c r="K5185" i="32" s="1"/>
  <c r="J5186" i="32"/>
  <c r="K5186" i="32" s="1"/>
  <c r="J5187" i="32"/>
  <c r="K5187" i="32" s="1"/>
  <c r="J5188" i="32"/>
  <c r="K5188" i="32" s="1"/>
  <c r="J5189" i="32"/>
  <c r="K5189" i="32" s="1"/>
  <c r="J5190" i="32"/>
  <c r="K5190" i="32" s="1"/>
  <c r="J5191" i="32"/>
  <c r="K5191" i="32" s="1"/>
  <c r="J5192" i="32"/>
  <c r="K5192" i="32" s="1"/>
  <c r="J5193" i="32"/>
  <c r="K5193" i="32" s="1"/>
  <c r="J5194" i="32"/>
  <c r="K5194" i="32" s="1"/>
  <c r="J5195" i="32"/>
  <c r="K5195" i="32" s="1"/>
  <c r="J5196" i="32"/>
  <c r="K5196" i="32" s="1"/>
  <c r="J5197" i="32"/>
  <c r="K5197" i="32" s="1"/>
  <c r="J5198" i="32"/>
  <c r="K5198" i="32" s="1"/>
  <c r="J5199" i="32"/>
  <c r="K5199" i="32" s="1"/>
  <c r="J5200" i="32"/>
  <c r="K5200" i="32" s="1"/>
  <c r="J5201" i="32"/>
  <c r="K5201" i="32" s="1"/>
  <c r="J5202" i="32"/>
  <c r="K5202" i="32" s="1"/>
  <c r="J5203" i="32"/>
  <c r="K5203" i="32" s="1"/>
  <c r="J5204" i="32"/>
  <c r="K5204" i="32" s="1"/>
  <c r="J5205" i="32"/>
  <c r="K5205" i="32" s="1"/>
  <c r="J5206" i="32"/>
  <c r="K5206" i="32" s="1"/>
  <c r="J5207" i="32"/>
  <c r="K5207" i="32" s="1"/>
  <c r="J5208" i="32"/>
  <c r="K5208" i="32" s="1"/>
  <c r="J5209" i="32"/>
  <c r="K5209" i="32" s="1"/>
  <c r="J5210" i="32"/>
  <c r="K5210" i="32" s="1"/>
  <c r="J5211" i="32"/>
  <c r="K5211" i="32" s="1"/>
  <c r="J5212" i="32"/>
  <c r="K5212" i="32" s="1"/>
  <c r="J5213" i="32"/>
  <c r="K5213" i="32" s="1"/>
  <c r="J5214" i="32"/>
  <c r="K5214" i="32" s="1"/>
  <c r="J5215" i="32"/>
  <c r="K5215" i="32" s="1"/>
  <c r="J5216" i="32"/>
  <c r="K5216" i="32" s="1"/>
  <c r="J5217" i="32"/>
  <c r="K5217" i="32" s="1"/>
  <c r="J5218" i="32"/>
  <c r="K5218" i="32" s="1"/>
  <c r="J5219" i="32"/>
  <c r="K5219" i="32" s="1"/>
  <c r="J5220" i="32"/>
  <c r="K5220" i="32" s="1"/>
  <c r="J5221" i="32"/>
  <c r="K5221" i="32" s="1"/>
  <c r="J5222" i="32"/>
  <c r="K5222" i="32" s="1"/>
  <c r="J5223" i="32"/>
  <c r="K5223" i="32" s="1"/>
  <c r="J5224" i="32"/>
  <c r="K5224" i="32" s="1"/>
  <c r="J5225" i="32"/>
  <c r="K5225" i="32" s="1"/>
  <c r="J5226" i="32"/>
  <c r="K5226" i="32" s="1"/>
  <c r="J5227" i="32"/>
  <c r="K5227" i="32" s="1"/>
  <c r="J5228" i="32"/>
  <c r="K5228" i="32" s="1"/>
  <c r="J5229" i="32"/>
  <c r="K5229" i="32" s="1"/>
  <c r="J5230" i="32"/>
  <c r="K5230" i="32" s="1"/>
  <c r="J5231" i="32"/>
  <c r="K5231" i="32" s="1"/>
  <c r="J5232" i="32"/>
  <c r="K5232" i="32" s="1"/>
  <c r="J5233" i="32"/>
  <c r="K5233" i="32" s="1"/>
  <c r="J5234" i="32"/>
  <c r="K5234" i="32" s="1"/>
  <c r="J5235" i="32"/>
  <c r="K5235" i="32" s="1"/>
  <c r="J5236" i="32"/>
  <c r="K5236" i="32" s="1"/>
  <c r="J5237" i="32"/>
  <c r="K5237" i="32" s="1"/>
  <c r="J5238" i="32"/>
  <c r="K5238" i="32" s="1"/>
  <c r="J5239" i="32"/>
  <c r="K5239" i="32" s="1"/>
  <c r="J5240" i="32"/>
  <c r="K5240" i="32" s="1"/>
  <c r="J5241" i="32"/>
  <c r="K5241" i="32" s="1"/>
  <c r="J5242" i="32"/>
  <c r="K5242" i="32" s="1"/>
  <c r="J5243" i="32"/>
  <c r="K5243" i="32" s="1"/>
  <c r="J5244" i="32"/>
  <c r="K5244" i="32" s="1"/>
  <c r="J5245" i="32"/>
  <c r="K5245" i="32" s="1"/>
  <c r="J5246" i="32"/>
  <c r="K5246" i="32" s="1"/>
  <c r="J5247" i="32"/>
  <c r="K5247" i="32" s="1"/>
  <c r="J5248" i="32"/>
  <c r="K5248" i="32" s="1"/>
  <c r="J5249" i="32"/>
  <c r="K5249" i="32" s="1"/>
  <c r="J5250" i="32"/>
  <c r="K5250" i="32" s="1"/>
  <c r="J5251" i="32"/>
  <c r="K5251" i="32" s="1"/>
  <c r="J5252" i="32"/>
  <c r="K5252" i="32" s="1"/>
  <c r="J5253" i="32"/>
  <c r="K5253" i="32" s="1"/>
  <c r="J5254" i="32"/>
  <c r="K5254" i="32" s="1"/>
  <c r="J5255" i="32"/>
  <c r="K5255" i="32" s="1"/>
  <c r="J5256" i="32"/>
  <c r="K5256" i="32" s="1"/>
  <c r="J5257" i="32"/>
  <c r="K5257" i="32" s="1"/>
  <c r="J5258" i="32"/>
  <c r="K5258" i="32" s="1"/>
  <c r="J5259" i="32"/>
  <c r="K5259" i="32" s="1"/>
  <c r="J5260" i="32"/>
  <c r="K5260" i="32" s="1"/>
  <c r="J5261" i="32"/>
  <c r="K5261" i="32" s="1"/>
  <c r="J5262" i="32"/>
  <c r="K5262" i="32" s="1"/>
  <c r="J5263" i="32"/>
  <c r="K5263" i="32" s="1"/>
  <c r="J5264" i="32"/>
  <c r="K5264" i="32" s="1"/>
  <c r="J5265" i="32"/>
  <c r="K5265" i="32" s="1"/>
  <c r="J5266" i="32"/>
  <c r="K5266" i="32" s="1"/>
  <c r="J5267" i="32"/>
  <c r="K5267" i="32" s="1"/>
  <c r="J5268" i="32"/>
  <c r="K5268" i="32" s="1"/>
  <c r="J5269" i="32"/>
  <c r="K5269" i="32" s="1"/>
  <c r="J5270" i="32"/>
  <c r="K5270" i="32" s="1"/>
  <c r="J5271" i="32"/>
  <c r="K5271" i="32" s="1"/>
  <c r="J5272" i="32"/>
  <c r="K5272" i="32" s="1"/>
  <c r="J5273" i="32"/>
  <c r="K5273" i="32" s="1"/>
  <c r="J5274" i="32"/>
  <c r="K5274" i="32" s="1"/>
  <c r="J5275" i="32"/>
  <c r="K5275" i="32" s="1"/>
  <c r="J5276" i="32"/>
  <c r="K5276" i="32" s="1"/>
  <c r="J5277" i="32"/>
  <c r="K5277" i="32" s="1"/>
  <c r="J5278" i="32"/>
  <c r="K5278" i="32" s="1"/>
  <c r="J5279" i="32"/>
  <c r="K5279" i="32" s="1"/>
  <c r="J5280" i="32"/>
  <c r="K5280" i="32" s="1"/>
  <c r="J5281" i="32"/>
  <c r="K5281" i="32" s="1"/>
  <c r="J5282" i="32"/>
  <c r="K5282" i="32" s="1"/>
  <c r="J5283" i="32"/>
  <c r="K5283" i="32" s="1"/>
  <c r="J5284" i="32"/>
  <c r="K5284" i="32" s="1"/>
  <c r="J5285" i="32"/>
  <c r="K5285" i="32" s="1"/>
  <c r="J5286" i="32"/>
  <c r="K5286" i="32" s="1"/>
  <c r="J5287" i="32"/>
  <c r="K5287" i="32" s="1"/>
  <c r="J5288" i="32"/>
  <c r="K5288" i="32" s="1"/>
  <c r="J5289" i="32"/>
  <c r="K5289" i="32" s="1"/>
  <c r="J5290" i="32"/>
  <c r="K5290" i="32" s="1"/>
  <c r="J5291" i="32"/>
  <c r="K5291" i="32" s="1"/>
  <c r="J5292" i="32"/>
  <c r="K5292" i="32" s="1"/>
  <c r="J5293" i="32"/>
  <c r="K5293" i="32" s="1"/>
  <c r="J5294" i="32"/>
  <c r="K5294" i="32" s="1"/>
  <c r="J5295" i="32"/>
  <c r="K5295" i="32" s="1"/>
  <c r="J5296" i="32"/>
  <c r="K5296" i="32" s="1"/>
  <c r="J5297" i="32"/>
  <c r="K5297" i="32" s="1"/>
  <c r="J5298" i="32"/>
  <c r="K5298" i="32" s="1"/>
  <c r="J5299" i="32"/>
  <c r="K5299" i="32" s="1"/>
  <c r="J5300" i="32"/>
  <c r="K5300" i="32" s="1"/>
  <c r="J5301" i="32"/>
  <c r="K5301" i="32" s="1"/>
  <c r="J5302" i="32"/>
  <c r="K5302" i="32" s="1"/>
  <c r="J5303" i="32"/>
  <c r="K5303" i="32" s="1"/>
  <c r="J5304" i="32"/>
  <c r="K5304" i="32" s="1"/>
  <c r="J5305" i="32"/>
  <c r="K5305" i="32" s="1"/>
  <c r="J5306" i="32"/>
  <c r="K5306" i="32" s="1"/>
  <c r="J5307" i="32"/>
  <c r="K5307" i="32" s="1"/>
  <c r="J5308" i="32"/>
  <c r="K5308" i="32" s="1"/>
  <c r="J5309" i="32"/>
  <c r="K5309" i="32" s="1"/>
  <c r="J5310" i="32"/>
  <c r="K5310" i="32" s="1"/>
  <c r="J5311" i="32"/>
  <c r="K5311" i="32" s="1"/>
  <c r="J5312" i="32"/>
  <c r="K5312" i="32" s="1"/>
  <c r="J5313" i="32"/>
  <c r="K5313" i="32" s="1"/>
  <c r="J5314" i="32"/>
  <c r="K5314" i="32" s="1"/>
  <c r="J5315" i="32"/>
  <c r="K5315" i="32" s="1"/>
  <c r="J5316" i="32"/>
  <c r="K5316" i="32" s="1"/>
  <c r="J5317" i="32"/>
  <c r="K5317" i="32" s="1"/>
  <c r="J5318" i="32"/>
  <c r="K5318" i="32" s="1"/>
  <c r="J5319" i="32"/>
  <c r="K5319" i="32" s="1"/>
  <c r="J5320" i="32"/>
  <c r="K5320" i="32" s="1"/>
  <c r="J5321" i="32"/>
  <c r="K5321" i="32" s="1"/>
  <c r="J5322" i="32"/>
  <c r="K5322" i="32" s="1"/>
  <c r="J5323" i="32"/>
  <c r="K5323" i="32" s="1"/>
  <c r="J5324" i="32"/>
  <c r="K5324" i="32" s="1"/>
  <c r="J5325" i="32"/>
  <c r="K5325" i="32" s="1"/>
  <c r="J5326" i="32"/>
  <c r="K5326" i="32" s="1"/>
  <c r="J5327" i="32"/>
  <c r="K5327" i="32" s="1"/>
  <c r="J5328" i="32"/>
  <c r="K5328" i="32" s="1"/>
  <c r="J5329" i="32"/>
  <c r="K5329" i="32" s="1"/>
  <c r="J5330" i="32"/>
  <c r="K5330" i="32" s="1"/>
  <c r="J5331" i="32"/>
  <c r="K5331" i="32" s="1"/>
  <c r="J5332" i="32"/>
  <c r="K5332" i="32" s="1"/>
  <c r="J5333" i="32"/>
  <c r="K5333" i="32" s="1"/>
  <c r="J5334" i="32"/>
  <c r="K5334" i="32" s="1"/>
  <c r="J5335" i="32"/>
  <c r="K5335" i="32" s="1"/>
  <c r="J5336" i="32"/>
  <c r="K5336" i="32" s="1"/>
  <c r="J5337" i="32"/>
  <c r="K5337" i="32" s="1"/>
  <c r="J5338" i="32"/>
  <c r="K5338" i="32" s="1"/>
  <c r="J5339" i="32"/>
  <c r="K5339" i="32" s="1"/>
  <c r="J5340" i="32"/>
  <c r="K5340" i="32" s="1"/>
  <c r="J5341" i="32"/>
  <c r="K5341" i="32" s="1"/>
  <c r="J5342" i="32"/>
  <c r="K5342" i="32" s="1"/>
  <c r="J5343" i="32"/>
  <c r="K5343" i="32" s="1"/>
  <c r="J5344" i="32"/>
  <c r="K5344" i="32" s="1"/>
  <c r="J5345" i="32"/>
  <c r="K5345" i="32" s="1"/>
  <c r="J5346" i="32"/>
  <c r="K5346" i="32" s="1"/>
  <c r="J5347" i="32"/>
  <c r="K5347" i="32" s="1"/>
  <c r="J5348" i="32"/>
  <c r="K5348" i="32" s="1"/>
  <c r="J5349" i="32"/>
  <c r="K5349" i="32" s="1"/>
  <c r="J5350" i="32"/>
  <c r="K5350" i="32" s="1"/>
  <c r="J5351" i="32"/>
  <c r="K5351" i="32" s="1"/>
  <c r="J5352" i="32"/>
  <c r="K5352" i="32" s="1"/>
  <c r="J5353" i="32"/>
  <c r="K5353" i="32" s="1"/>
  <c r="J5354" i="32"/>
  <c r="K5354" i="32" s="1"/>
  <c r="J5355" i="32"/>
  <c r="K5355" i="32" s="1"/>
  <c r="J5356" i="32"/>
  <c r="K5356" i="32" s="1"/>
  <c r="J5357" i="32"/>
  <c r="K5357" i="32" s="1"/>
  <c r="J5358" i="32"/>
  <c r="K5358" i="32" s="1"/>
  <c r="J5359" i="32"/>
  <c r="K5359" i="32" s="1"/>
  <c r="J5360" i="32"/>
  <c r="K5360" i="32" s="1"/>
  <c r="J5361" i="32"/>
  <c r="K5361" i="32" s="1"/>
  <c r="J5362" i="32"/>
  <c r="K5362" i="32" s="1"/>
  <c r="J5363" i="32"/>
  <c r="K5363" i="32" s="1"/>
  <c r="J5364" i="32"/>
  <c r="K5364" i="32" s="1"/>
  <c r="J5365" i="32"/>
  <c r="K5365" i="32" s="1"/>
  <c r="J5366" i="32"/>
  <c r="K5366" i="32" s="1"/>
  <c r="J5367" i="32"/>
  <c r="K5367" i="32" s="1"/>
  <c r="J5368" i="32"/>
  <c r="K5368" i="32" s="1"/>
  <c r="J5369" i="32"/>
  <c r="K5369" i="32" s="1"/>
  <c r="J5370" i="32"/>
  <c r="K5370" i="32" s="1"/>
  <c r="J5371" i="32"/>
  <c r="K5371" i="32" s="1"/>
  <c r="J5372" i="32"/>
  <c r="K5372" i="32" s="1"/>
  <c r="J5373" i="32"/>
  <c r="K5373" i="32" s="1"/>
  <c r="J5374" i="32"/>
  <c r="K5374" i="32" s="1"/>
  <c r="J5375" i="32"/>
  <c r="K5375" i="32" s="1"/>
  <c r="J5376" i="32"/>
  <c r="K5376" i="32" s="1"/>
  <c r="J5377" i="32"/>
  <c r="K5377" i="32" s="1"/>
  <c r="J5378" i="32"/>
  <c r="K5378" i="32" s="1"/>
  <c r="J5379" i="32"/>
  <c r="K5379" i="32" s="1"/>
  <c r="J5380" i="32"/>
  <c r="K5380" i="32" s="1"/>
  <c r="J5381" i="32"/>
  <c r="K5381" i="32" s="1"/>
  <c r="J5382" i="32"/>
  <c r="K5382" i="32" s="1"/>
  <c r="J5383" i="32"/>
  <c r="K5383" i="32" s="1"/>
  <c r="J5384" i="32"/>
  <c r="K5384" i="32" s="1"/>
  <c r="J5385" i="32"/>
  <c r="K5385" i="32" s="1"/>
  <c r="J5386" i="32"/>
  <c r="K5386" i="32" s="1"/>
  <c r="J5387" i="32"/>
  <c r="K5387" i="32" s="1"/>
  <c r="J5388" i="32"/>
  <c r="K5388" i="32" s="1"/>
  <c r="J5389" i="32"/>
  <c r="K5389" i="32" s="1"/>
  <c r="J5390" i="32"/>
  <c r="K5390" i="32" s="1"/>
  <c r="J5391" i="32"/>
  <c r="K5391" i="32" s="1"/>
  <c r="J5392" i="32"/>
  <c r="K5392" i="32" s="1"/>
  <c r="J5393" i="32"/>
  <c r="K5393" i="32" s="1"/>
  <c r="J5394" i="32"/>
  <c r="K5394" i="32" s="1"/>
  <c r="J5395" i="32"/>
  <c r="K5395" i="32" s="1"/>
  <c r="J5396" i="32"/>
  <c r="K5396" i="32" s="1"/>
  <c r="J5397" i="32"/>
  <c r="K5397" i="32" s="1"/>
  <c r="J5398" i="32"/>
  <c r="K5398" i="32" s="1"/>
  <c r="J5399" i="32"/>
  <c r="K5399" i="32" s="1"/>
  <c r="J5400" i="32"/>
  <c r="K5400" i="32" s="1"/>
  <c r="J5401" i="32"/>
  <c r="K5401" i="32" s="1"/>
  <c r="J5402" i="32"/>
  <c r="K5402" i="32" s="1"/>
  <c r="J5403" i="32"/>
  <c r="K5403" i="32" s="1"/>
  <c r="J5404" i="32"/>
  <c r="K5404" i="32" s="1"/>
  <c r="J5405" i="32"/>
  <c r="K5405" i="32" s="1"/>
  <c r="J5406" i="32"/>
  <c r="K5406" i="32" s="1"/>
  <c r="J5407" i="32"/>
  <c r="K5407" i="32" s="1"/>
  <c r="J5408" i="32"/>
  <c r="K5408" i="32" s="1"/>
  <c r="J5409" i="32"/>
  <c r="K5409" i="32" s="1"/>
  <c r="J5410" i="32"/>
  <c r="K5410" i="32" s="1"/>
  <c r="J5411" i="32"/>
  <c r="K5411" i="32" s="1"/>
  <c r="J5412" i="32"/>
  <c r="K5412" i="32" s="1"/>
  <c r="J5413" i="32"/>
  <c r="K5413" i="32" s="1"/>
  <c r="J5414" i="32"/>
  <c r="K5414" i="32" s="1"/>
  <c r="J5415" i="32"/>
  <c r="K5415" i="32" s="1"/>
  <c r="J5416" i="32"/>
  <c r="K5416" i="32" s="1"/>
  <c r="J5417" i="32"/>
  <c r="K5417" i="32" s="1"/>
  <c r="J5418" i="32"/>
  <c r="K5418" i="32" s="1"/>
  <c r="J5419" i="32"/>
  <c r="K5419" i="32" s="1"/>
  <c r="J5420" i="32"/>
  <c r="K5420" i="32" s="1"/>
  <c r="J5421" i="32"/>
  <c r="K5421" i="32" s="1"/>
  <c r="J5422" i="32"/>
  <c r="K5422" i="32" s="1"/>
  <c r="J5423" i="32"/>
  <c r="K5423" i="32" s="1"/>
  <c r="J5424" i="32"/>
  <c r="K5424" i="32" s="1"/>
  <c r="J5425" i="32"/>
  <c r="K5425" i="32" s="1"/>
  <c r="J5426" i="32"/>
  <c r="K5426" i="32" s="1"/>
  <c r="J5427" i="32"/>
  <c r="K5427" i="32" s="1"/>
  <c r="J5428" i="32"/>
  <c r="K5428" i="32" s="1"/>
  <c r="J5429" i="32"/>
  <c r="K5429" i="32" s="1"/>
  <c r="J5430" i="32"/>
  <c r="K5430" i="32" s="1"/>
  <c r="J5431" i="32"/>
  <c r="K5431" i="32" s="1"/>
  <c r="J5432" i="32"/>
  <c r="K5432" i="32" s="1"/>
  <c r="J5433" i="32"/>
  <c r="K5433" i="32" s="1"/>
  <c r="J5434" i="32"/>
  <c r="K5434" i="32" s="1"/>
  <c r="J5435" i="32"/>
  <c r="K5435" i="32" s="1"/>
  <c r="J5436" i="32"/>
  <c r="K5436" i="32" s="1"/>
  <c r="J5437" i="32"/>
  <c r="K5437" i="32" s="1"/>
  <c r="J5438" i="32"/>
  <c r="K5438" i="32" s="1"/>
  <c r="J5439" i="32"/>
  <c r="K5439" i="32" s="1"/>
  <c r="J5440" i="32"/>
  <c r="K5440" i="32" s="1"/>
  <c r="J5441" i="32"/>
  <c r="K5441" i="32" s="1"/>
  <c r="J5442" i="32"/>
  <c r="K5442" i="32" s="1"/>
  <c r="J5443" i="32"/>
  <c r="K5443" i="32" s="1"/>
  <c r="J5444" i="32"/>
  <c r="K5444" i="32" s="1"/>
  <c r="J5445" i="32"/>
  <c r="K5445" i="32" s="1"/>
  <c r="J5446" i="32"/>
  <c r="K5446" i="32" s="1"/>
  <c r="J5447" i="32"/>
  <c r="K5447" i="32" s="1"/>
  <c r="J5448" i="32"/>
  <c r="K5448" i="32" s="1"/>
  <c r="J5449" i="32"/>
  <c r="K5449" i="32" s="1"/>
  <c r="J5450" i="32"/>
  <c r="K5450" i="32" s="1"/>
  <c r="J5451" i="32"/>
  <c r="K5451" i="32" s="1"/>
  <c r="J5452" i="32"/>
  <c r="K5452" i="32" s="1"/>
  <c r="J5453" i="32"/>
  <c r="K5453" i="32" s="1"/>
  <c r="J5454" i="32"/>
  <c r="K5454" i="32" s="1"/>
  <c r="J5455" i="32"/>
  <c r="K5455" i="32" s="1"/>
  <c r="J5456" i="32"/>
  <c r="K5456" i="32" s="1"/>
  <c r="J5457" i="32"/>
  <c r="K5457" i="32" s="1"/>
  <c r="J5458" i="32"/>
  <c r="K5458" i="32" s="1"/>
  <c r="J5459" i="32"/>
  <c r="K5459" i="32" s="1"/>
  <c r="J5460" i="32"/>
  <c r="K5460" i="32" s="1"/>
  <c r="J5461" i="32"/>
  <c r="K5461" i="32" s="1"/>
  <c r="J5462" i="32"/>
  <c r="K5462" i="32" s="1"/>
  <c r="J5463" i="32"/>
  <c r="K5463" i="32" s="1"/>
  <c r="J5464" i="32"/>
  <c r="K5464" i="32" s="1"/>
  <c r="J5465" i="32"/>
  <c r="K5465" i="32" s="1"/>
  <c r="J5466" i="32"/>
  <c r="K5466" i="32" s="1"/>
  <c r="J5467" i="32"/>
  <c r="K5467" i="32" s="1"/>
  <c r="J5468" i="32"/>
  <c r="K5468" i="32" s="1"/>
  <c r="J5469" i="32"/>
  <c r="K5469" i="32" s="1"/>
  <c r="J5470" i="32"/>
  <c r="K5470" i="32" s="1"/>
  <c r="J5471" i="32"/>
  <c r="K5471" i="32" s="1"/>
  <c r="J5472" i="32"/>
  <c r="K5472" i="32" s="1"/>
  <c r="J5473" i="32"/>
  <c r="K5473" i="32" s="1"/>
  <c r="J5474" i="32"/>
  <c r="K5474" i="32" s="1"/>
  <c r="J5475" i="32"/>
  <c r="K5475" i="32" s="1"/>
  <c r="J5476" i="32"/>
  <c r="K5476" i="32" s="1"/>
  <c r="J5477" i="32"/>
  <c r="K5477" i="32" s="1"/>
  <c r="J5478" i="32"/>
  <c r="K5478" i="32" s="1"/>
  <c r="J5479" i="32"/>
  <c r="K5479" i="32" s="1"/>
  <c r="J5480" i="32"/>
  <c r="K5480" i="32" s="1"/>
  <c r="J5481" i="32"/>
  <c r="K5481" i="32" s="1"/>
  <c r="J5482" i="32"/>
  <c r="K5482" i="32" s="1"/>
  <c r="J5483" i="32"/>
  <c r="K5483" i="32" s="1"/>
  <c r="J5484" i="32"/>
  <c r="K5484" i="32" s="1"/>
  <c r="J5485" i="32"/>
  <c r="K5485" i="32" s="1"/>
  <c r="J5486" i="32"/>
  <c r="K5486" i="32" s="1"/>
  <c r="J5487" i="32"/>
  <c r="K5487" i="32" s="1"/>
  <c r="J5488" i="32"/>
  <c r="K5488" i="32" s="1"/>
  <c r="J5489" i="32"/>
  <c r="K5489" i="32" s="1"/>
  <c r="J5490" i="32"/>
  <c r="K5490" i="32" s="1"/>
  <c r="J5491" i="32"/>
  <c r="K5491" i="32" s="1"/>
  <c r="J5492" i="32"/>
  <c r="K5492" i="32" s="1"/>
  <c r="J5493" i="32"/>
  <c r="K5493" i="32" s="1"/>
  <c r="J5494" i="32"/>
  <c r="K5494" i="32" s="1"/>
  <c r="J5495" i="32"/>
  <c r="K5495" i="32" s="1"/>
  <c r="J5496" i="32"/>
  <c r="K5496" i="32" s="1"/>
  <c r="J5497" i="32"/>
  <c r="K5497" i="32" s="1"/>
  <c r="J5498" i="32"/>
  <c r="K5498" i="32" s="1"/>
  <c r="J5499" i="32"/>
  <c r="K5499" i="32" s="1"/>
  <c r="J5500" i="32"/>
  <c r="K5500" i="32" s="1"/>
  <c r="J5501" i="32"/>
  <c r="K5501" i="32" s="1"/>
  <c r="J5502" i="32"/>
  <c r="K5502" i="32" s="1"/>
  <c r="J5503" i="32"/>
  <c r="K5503" i="32" s="1"/>
  <c r="J5504" i="32"/>
  <c r="K5504" i="32" s="1"/>
  <c r="J5505" i="32"/>
  <c r="K5505" i="32" s="1"/>
  <c r="J5506" i="32"/>
  <c r="K5506" i="32" s="1"/>
  <c r="J5507" i="32"/>
  <c r="K5507" i="32" s="1"/>
  <c r="J5508" i="32"/>
  <c r="K5508" i="32" s="1"/>
  <c r="J5509" i="32"/>
  <c r="K5509" i="32" s="1"/>
  <c r="J5510" i="32"/>
  <c r="K5510" i="32" s="1"/>
  <c r="J5511" i="32"/>
  <c r="K5511" i="32" s="1"/>
  <c r="J5512" i="32"/>
  <c r="K5512" i="32" s="1"/>
  <c r="J5513" i="32"/>
  <c r="K5513" i="32" s="1"/>
  <c r="J5514" i="32"/>
  <c r="K5514" i="32" s="1"/>
  <c r="J5515" i="32"/>
  <c r="K5515" i="32" s="1"/>
  <c r="J5516" i="32"/>
  <c r="K5516" i="32" s="1"/>
  <c r="J5517" i="32"/>
  <c r="K5517" i="32" s="1"/>
  <c r="J5518" i="32"/>
  <c r="K5518" i="32" s="1"/>
  <c r="J5519" i="32"/>
  <c r="K5519" i="32" s="1"/>
  <c r="J5520" i="32"/>
  <c r="K5520" i="32" s="1"/>
  <c r="J5521" i="32"/>
  <c r="K5521" i="32" s="1"/>
  <c r="J5522" i="32"/>
  <c r="K5522" i="32" s="1"/>
  <c r="J5523" i="32"/>
  <c r="K5523" i="32" s="1"/>
  <c r="J5524" i="32"/>
  <c r="K5524" i="32" s="1"/>
  <c r="J5525" i="32"/>
  <c r="K5525" i="32" s="1"/>
  <c r="J5526" i="32"/>
  <c r="K5526" i="32" s="1"/>
  <c r="J5527" i="32"/>
  <c r="K5527" i="32" s="1"/>
  <c r="J5528" i="32"/>
  <c r="K5528" i="32" s="1"/>
  <c r="J5529" i="32"/>
  <c r="K5529" i="32" s="1"/>
  <c r="J5530" i="32"/>
  <c r="K5530" i="32" s="1"/>
  <c r="J5531" i="32"/>
  <c r="K5531" i="32" s="1"/>
  <c r="J5532" i="32"/>
  <c r="K5532" i="32" s="1"/>
  <c r="J5533" i="32"/>
  <c r="K5533" i="32" s="1"/>
  <c r="J5534" i="32"/>
  <c r="K5534" i="32" s="1"/>
  <c r="J5535" i="32"/>
  <c r="K5535" i="32" s="1"/>
  <c r="J5536" i="32"/>
  <c r="K5536" i="32" s="1"/>
  <c r="J5537" i="32"/>
  <c r="K5537" i="32" s="1"/>
  <c r="J5538" i="32"/>
  <c r="K5538" i="32" s="1"/>
  <c r="J5539" i="32"/>
  <c r="K5539" i="32" s="1"/>
  <c r="J5540" i="32"/>
  <c r="K5540" i="32" s="1"/>
  <c r="J5541" i="32"/>
  <c r="K5541" i="32" s="1"/>
  <c r="J5542" i="32"/>
  <c r="K5542" i="32" s="1"/>
  <c r="J5543" i="32"/>
  <c r="K5543" i="32" s="1"/>
  <c r="J5544" i="32"/>
  <c r="K5544" i="32" s="1"/>
  <c r="J5545" i="32"/>
  <c r="K5545" i="32" s="1"/>
  <c r="J5546" i="32"/>
  <c r="K5546" i="32" s="1"/>
  <c r="J5547" i="32"/>
  <c r="K5547" i="32" s="1"/>
  <c r="J5548" i="32"/>
  <c r="K5548" i="32" s="1"/>
  <c r="J5549" i="32"/>
  <c r="K5549" i="32" s="1"/>
  <c r="J5550" i="32"/>
  <c r="K5550" i="32" s="1"/>
  <c r="J5551" i="32"/>
  <c r="K5551" i="32" s="1"/>
  <c r="J5552" i="32"/>
  <c r="K5552" i="32" s="1"/>
  <c r="J5553" i="32"/>
  <c r="K5553" i="32" s="1"/>
  <c r="J5554" i="32"/>
  <c r="K5554" i="32" s="1"/>
  <c r="J5555" i="32"/>
  <c r="K5555" i="32" s="1"/>
  <c r="J5556" i="32"/>
  <c r="K5556" i="32" s="1"/>
  <c r="J5557" i="32"/>
  <c r="K5557" i="32" s="1"/>
  <c r="J5558" i="32"/>
  <c r="K5558" i="32" s="1"/>
  <c r="J5559" i="32"/>
  <c r="K5559" i="32" s="1"/>
  <c r="J5560" i="32"/>
  <c r="K5560" i="32" s="1"/>
  <c r="J5561" i="32"/>
  <c r="K5561" i="32" s="1"/>
  <c r="J5562" i="32"/>
  <c r="K5562" i="32" s="1"/>
  <c r="J5563" i="32"/>
  <c r="K5563" i="32" s="1"/>
  <c r="J5564" i="32"/>
  <c r="K5564" i="32" s="1"/>
  <c r="J5565" i="32"/>
  <c r="K5565" i="32" s="1"/>
  <c r="J5566" i="32"/>
  <c r="K5566" i="32" s="1"/>
  <c r="J5567" i="32"/>
  <c r="K5567" i="32" s="1"/>
  <c r="J5568" i="32"/>
  <c r="K5568" i="32" s="1"/>
  <c r="J5569" i="32"/>
  <c r="K5569" i="32" s="1"/>
  <c r="J5570" i="32"/>
  <c r="K5570" i="32" s="1"/>
  <c r="J5571" i="32"/>
  <c r="K5571" i="32" s="1"/>
  <c r="J5572" i="32"/>
  <c r="K5572" i="32" s="1"/>
  <c r="J5573" i="32"/>
  <c r="K5573" i="32" s="1"/>
  <c r="J5574" i="32"/>
  <c r="K5574" i="32" s="1"/>
  <c r="J5575" i="32"/>
  <c r="K5575" i="32" s="1"/>
  <c r="J5576" i="32"/>
  <c r="K5576" i="32" s="1"/>
  <c r="J5577" i="32"/>
  <c r="K5577" i="32" s="1"/>
  <c r="J5578" i="32"/>
  <c r="K5578" i="32" s="1"/>
  <c r="J5579" i="32"/>
  <c r="K5579" i="32" s="1"/>
  <c r="J5580" i="32"/>
  <c r="K5580" i="32" s="1"/>
  <c r="J5581" i="32"/>
  <c r="K5581" i="32" s="1"/>
  <c r="J5582" i="32"/>
  <c r="K5582" i="32" s="1"/>
  <c r="J5583" i="32"/>
  <c r="K5583" i="32" s="1"/>
  <c r="J5584" i="32"/>
  <c r="K5584" i="32" s="1"/>
  <c r="J5585" i="32"/>
  <c r="K5585" i="32" s="1"/>
  <c r="J5586" i="32"/>
  <c r="K5586" i="32" s="1"/>
  <c r="J5587" i="32"/>
  <c r="K5587" i="32" s="1"/>
  <c r="J5588" i="32"/>
  <c r="K5588" i="32" s="1"/>
  <c r="J5589" i="32"/>
  <c r="K5589" i="32" s="1"/>
  <c r="J5590" i="32"/>
  <c r="K5590" i="32" s="1"/>
  <c r="J5591" i="32"/>
  <c r="K5591" i="32" s="1"/>
  <c r="J5592" i="32"/>
  <c r="K5592" i="32" s="1"/>
  <c r="J5593" i="32"/>
  <c r="K5593" i="32" s="1"/>
  <c r="J5594" i="32"/>
  <c r="K5594" i="32" s="1"/>
  <c r="J5595" i="32"/>
  <c r="K5595" i="32" s="1"/>
  <c r="J5596" i="32"/>
  <c r="K5596" i="32" s="1"/>
  <c r="J5597" i="32"/>
  <c r="K5597" i="32" s="1"/>
  <c r="J5598" i="32"/>
  <c r="K5598" i="32" s="1"/>
  <c r="J5599" i="32"/>
  <c r="K5599" i="32" s="1"/>
  <c r="J5600" i="32"/>
  <c r="K5600" i="32" s="1"/>
  <c r="J5601" i="32"/>
  <c r="K5601" i="32" s="1"/>
  <c r="J5602" i="32"/>
  <c r="K5602" i="32" s="1"/>
  <c r="J5603" i="32"/>
  <c r="K5603" i="32" s="1"/>
  <c r="J5604" i="32"/>
  <c r="K5604" i="32" s="1"/>
  <c r="J5605" i="32"/>
  <c r="K5605" i="32" s="1"/>
  <c r="J5606" i="32"/>
  <c r="K5606" i="32" s="1"/>
  <c r="J5607" i="32"/>
  <c r="K5607" i="32" s="1"/>
  <c r="J5608" i="32"/>
  <c r="K5608" i="32" s="1"/>
  <c r="J5609" i="32"/>
  <c r="K5609" i="32" s="1"/>
  <c r="J5610" i="32"/>
  <c r="K5610" i="32" s="1"/>
  <c r="J5611" i="32"/>
  <c r="K5611" i="32" s="1"/>
  <c r="J5612" i="32"/>
  <c r="K5612" i="32" s="1"/>
  <c r="J5613" i="32"/>
  <c r="K5613" i="32" s="1"/>
  <c r="J5614" i="32"/>
  <c r="K5614" i="32" s="1"/>
  <c r="J5615" i="32"/>
  <c r="K5615" i="32" s="1"/>
  <c r="J5616" i="32"/>
  <c r="K5616" i="32" s="1"/>
  <c r="J5617" i="32"/>
  <c r="K5617" i="32" s="1"/>
  <c r="J5618" i="32"/>
  <c r="K5618" i="32" s="1"/>
  <c r="J5619" i="32"/>
  <c r="K5619" i="32" s="1"/>
  <c r="J5620" i="32"/>
  <c r="K5620" i="32" s="1"/>
  <c r="J5621" i="32"/>
  <c r="K5621" i="32" s="1"/>
  <c r="J5622" i="32"/>
  <c r="K5622" i="32" s="1"/>
  <c r="J5623" i="32"/>
  <c r="K5623" i="32" s="1"/>
  <c r="J5624" i="32"/>
  <c r="K5624" i="32" s="1"/>
  <c r="J5625" i="32"/>
  <c r="K5625" i="32" s="1"/>
  <c r="J5626" i="32"/>
  <c r="K5626" i="32" s="1"/>
  <c r="J5627" i="32"/>
  <c r="K5627" i="32" s="1"/>
  <c r="J5628" i="32"/>
  <c r="K5628" i="32" s="1"/>
  <c r="J5629" i="32"/>
  <c r="K5629" i="32" s="1"/>
  <c r="J5630" i="32"/>
  <c r="K5630" i="32" s="1"/>
  <c r="J5631" i="32"/>
  <c r="K5631" i="32" s="1"/>
  <c r="J5632" i="32"/>
  <c r="K5632" i="32" s="1"/>
  <c r="J5633" i="32"/>
  <c r="K5633" i="32" s="1"/>
  <c r="J5634" i="32"/>
  <c r="K5634" i="32" s="1"/>
  <c r="J5635" i="32"/>
  <c r="K5635" i="32" s="1"/>
  <c r="J5636" i="32"/>
  <c r="K5636" i="32" s="1"/>
  <c r="J5637" i="32"/>
  <c r="K5637" i="32" s="1"/>
  <c r="J5638" i="32"/>
  <c r="K5638" i="32" s="1"/>
  <c r="J5639" i="32"/>
  <c r="K5639" i="32" s="1"/>
  <c r="J5640" i="32"/>
  <c r="K5640" i="32" s="1"/>
  <c r="J5641" i="32"/>
  <c r="K5641" i="32" s="1"/>
  <c r="J5642" i="32"/>
  <c r="K5642" i="32" s="1"/>
  <c r="J5643" i="32"/>
  <c r="K5643" i="32" s="1"/>
  <c r="J5644" i="32"/>
  <c r="K5644" i="32" s="1"/>
  <c r="J5645" i="32"/>
  <c r="K5645" i="32" s="1"/>
  <c r="J5646" i="32"/>
  <c r="K5646" i="32" s="1"/>
  <c r="J5647" i="32"/>
  <c r="K5647" i="32" s="1"/>
  <c r="J5648" i="32"/>
  <c r="K5648" i="32" s="1"/>
  <c r="J5649" i="32"/>
  <c r="K5649" i="32" s="1"/>
  <c r="J5650" i="32"/>
  <c r="K5650" i="32" s="1"/>
  <c r="J5651" i="32"/>
  <c r="K5651" i="32" s="1"/>
  <c r="J5652" i="32"/>
  <c r="K5652" i="32" s="1"/>
  <c r="J5653" i="32"/>
  <c r="K5653" i="32" s="1"/>
  <c r="J5654" i="32"/>
  <c r="K5654" i="32" s="1"/>
  <c r="J5655" i="32"/>
  <c r="K5655" i="32" s="1"/>
  <c r="J5656" i="32"/>
  <c r="K5656" i="32" s="1"/>
  <c r="J5657" i="32"/>
  <c r="K5657" i="32" s="1"/>
  <c r="J5658" i="32"/>
  <c r="K5658" i="32" s="1"/>
  <c r="J5659" i="32"/>
  <c r="K5659" i="32" s="1"/>
  <c r="J5660" i="32"/>
  <c r="K5660" i="32" s="1"/>
  <c r="J5661" i="32"/>
  <c r="K5661" i="32" s="1"/>
  <c r="J5662" i="32"/>
  <c r="K5662" i="32" s="1"/>
  <c r="J5663" i="32"/>
  <c r="K5663" i="32" s="1"/>
  <c r="J5664" i="32"/>
  <c r="K5664" i="32" s="1"/>
  <c r="J5665" i="32"/>
  <c r="K5665" i="32" s="1"/>
  <c r="J5666" i="32"/>
  <c r="K5666" i="32" s="1"/>
  <c r="J5667" i="32"/>
  <c r="K5667" i="32" s="1"/>
  <c r="J5668" i="32"/>
  <c r="K5668" i="32" s="1"/>
  <c r="J5669" i="32"/>
  <c r="K5669" i="32" s="1"/>
  <c r="J5670" i="32"/>
  <c r="K5670" i="32" s="1"/>
  <c r="J5671" i="32"/>
  <c r="K5671" i="32" s="1"/>
  <c r="J5672" i="32"/>
  <c r="K5672" i="32" s="1"/>
  <c r="J5673" i="32"/>
  <c r="K5673" i="32" s="1"/>
  <c r="J5674" i="32"/>
  <c r="K5674" i="32" s="1"/>
  <c r="J5675" i="32"/>
  <c r="K5675" i="32" s="1"/>
  <c r="J5676" i="32"/>
  <c r="K5676" i="32" s="1"/>
  <c r="J5677" i="32"/>
  <c r="K5677" i="32" s="1"/>
  <c r="J5678" i="32"/>
  <c r="K5678" i="32" s="1"/>
  <c r="J5679" i="32"/>
  <c r="K5679" i="32" s="1"/>
  <c r="J5680" i="32"/>
  <c r="K5680" i="32" s="1"/>
  <c r="J5681" i="32"/>
  <c r="K5681" i="32" s="1"/>
  <c r="J5682" i="32"/>
  <c r="K5682" i="32" s="1"/>
  <c r="J5683" i="32"/>
  <c r="K5683" i="32" s="1"/>
  <c r="J5684" i="32"/>
  <c r="K5684" i="32" s="1"/>
  <c r="J5685" i="32"/>
  <c r="K5685" i="32" s="1"/>
  <c r="J5686" i="32"/>
  <c r="K5686" i="32" s="1"/>
  <c r="J5687" i="32"/>
  <c r="K5687" i="32" s="1"/>
  <c r="J5688" i="32"/>
  <c r="K5688" i="32" s="1"/>
  <c r="J5689" i="32"/>
  <c r="K5689" i="32" s="1"/>
  <c r="J5690" i="32"/>
  <c r="K5690" i="32" s="1"/>
  <c r="J5691" i="32"/>
  <c r="K5691" i="32" s="1"/>
  <c r="J5692" i="32"/>
  <c r="K5692" i="32" s="1"/>
  <c r="J5693" i="32"/>
  <c r="K5693" i="32" s="1"/>
  <c r="J5694" i="32"/>
  <c r="K5694" i="32" s="1"/>
  <c r="J5695" i="32"/>
  <c r="K5695" i="32" s="1"/>
  <c r="J5696" i="32"/>
  <c r="K5696" i="32" s="1"/>
  <c r="J5697" i="32"/>
  <c r="K5697" i="32" s="1"/>
  <c r="J5698" i="32"/>
  <c r="K5698" i="32" s="1"/>
  <c r="J5699" i="32"/>
  <c r="K5699" i="32" s="1"/>
  <c r="J5700" i="32"/>
  <c r="K5700" i="32" s="1"/>
  <c r="J5701" i="32"/>
  <c r="K5701" i="32" s="1"/>
  <c r="J5702" i="32"/>
  <c r="K5702" i="32" s="1"/>
  <c r="J5703" i="32"/>
  <c r="K5703" i="32" s="1"/>
  <c r="J5704" i="32"/>
  <c r="K5704" i="32" s="1"/>
  <c r="J5705" i="32"/>
  <c r="K5705" i="32" s="1"/>
  <c r="J5706" i="32"/>
  <c r="K5706" i="32" s="1"/>
  <c r="J5707" i="32"/>
  <c r="K5707" i="32" s="1"/>
  <c r="J5708" i="32"/>
  <c r="K5708" i="32" s="1"/>
  <c r="J5709" i="32"/>
  <c r="K5709" i="32" s="1"/>
  <c r="J5710" i="32"/>
  <c r="K5710" i="32" s="1"/>
  <c r="J5711" i="32"/>
  <c r="K5711" i="32" s="1"/>
  <c r="J5712" i="32"/>
  <c r="K5712" i="32" s="1"/>
  <c r="J5713" i="32"/>
  <c r="K5713" i="32" s="1"/>
  <c r="J5714" i="32"/>
  <c r="K5714" i="32" s="1"/>
  <c r="J5715" i="32"/>
  <c r="K5715" i="32" s="1"/>
  <c r="J5716" i="32"/>
  <c r="K5716" i="32" s="1"/>
  <c r="J5717" i="32"/>
  <c r="K5717" i="32" s="1"/>
  <c r="J5718" i="32"/>
  <c r="K5718" i="32" s="1"/>
  <c r="J5719" i="32"/>
  <c r="K5719" i="32" s="1"/>
  <c r="J5720" i="32"/>
  <c r="K5720" i="32" s="1"/>
  <c r="J5721" i="32"/>
  <c r="K5721" i="32" s="1"/>
  <c r="J5722" i="32"/>
  <c r="K5722" i="32" s="1"/>
  <c r="J5723" i="32"/>
  <c r="K5723" i="32" s="1"/>
  <c r="J5724" i="32"/>
  <c r="K5724" i="32" s="1"/>
  <c r="J5725" i="32"/>
  <c r="K5725" i="32" s="1"/>
  <c r="J5726" i="32"/>
  <c r="K5726" i="32" s="1"/>
  <c r="J5727" i="32"/>
  <c r="K5727" i="32" s="1"/>
  <c r="J5728" i="32"/>
  <c r="K5728" i="32" s="1"/>
  <c r="J5729" i="32"/>
  <c r="K5729" i="32" s="1"/>
  <c r="J5730" i="32"/>
  <c r="K5730" i="32" s="1"/>
  <c r="J5731" i="32"/>
  <c r="K5731" i="32" s="1"/>
  <c r="J5732" i="32"/>
  <c r="K5732" i="32" s="1"/>
  <c r="J5733" i="32"/>
  <c r="K5733" i="32" s="1"/>
  <c r="J5734" i="32"/>
  <c r="K5734" i="32" s="1"/>
  <c r="J5735" i="32"/>
  <c r="K5735" i="32" s="1"/>
  <c r="J5736" i="32"/>
  <c r="K5736" i="32" s="1"/>
  <c r="J5737" i="32"/>
  <c r="K5737" i="32" s="1"/>
  <c r="J5738" i="32"/>
  <c r="K5738" i="32" s="1"/>
  <c r="J5739" i="32"/>
  <c r="K5739" i="32" s="1"/>
  <c r="J5740" i="32"/>
  <c r="K5740" i="32" s="1"/>
  <c r="J5741" i="32"/>
  <c r="K5741" i="32" s="1"/>
  <c r="J5742" i="32"/>
  <c r="K5742" i="32" s="1"/>
  <c r="J5743" i="32"/>
  <c r="K5743" i="32" s="1"/>
  <c r="J5744" i="32"/>
  <c r="K5744" i="32" s="1"/>
  <c r="J5745" i="32"/>
  <c r="K5745" i="32" s="1"/>
  <c r="J5746" i="32"/>
  <c r="K5746" i="32" s="1"/>
  <c r="J5747" i="32"/>
  <c r="K5747" i="32" s="1"/>
  <c r="J5748" i="32"/>
  <c r="K5748" i="32" s="1"/>
  <c r="J5749" i="32"/>
  <c r="K5749" i="32" s="1"/>
  <c r="J5750" i="32"/>
  <c r="K5750" i="32" s="1"/>
  <c r="J5751" i="32"/>
  <c r="K5751" i="32" s="1"/>
  <c r="J5752" i="32"/>
  <c r="K5752" i="32" s="1"/>
  <c r="J5753" i="32"/>
  <c r="K5753" i="32" s="1"/>
  <c r="J5754" i="32"/>
  <c r="K5754" i="32" s="1"/>
  <c r="J5755" i="32"/>
  <c r="K5755" i="32" s="1"/>
  <c r="J5756" i="32"/>
  <c r="K5756" i="32" s="1"/>
  <c r="J5757" i="32"/>
  <c r="K5757" i="32" s="1"/>
  <c r="J5758" i="32"/>
  <c r="K5758" i="32" s="1"/>
  <c r="J5759" i="32"/>
  <c r="K5759" i="32" s="1"/>
  <c r="J5760" i="32"/>
  <c r="K5760" i="32" s="1"/>
  <c r="J5761" i="32"/>
  <c r="K5761" i="32" s="1"/>
  <c r="J5762" i="32"/>
  <c r="K5762" i="32" s="1"/>
  <c r="J5763" i="32"/>
  <c r="K5763" i="32" s="1"/>
  <c r="J5764" i="32"/>
  <c r="K5764" i="32" s="1"/>
  <c r="J5765" i="32"/>
  <c r="K5765" i="32" s="1"/>
  <c r="J5766" i="32"/>
  <c r="K5766" i="32" s="1"/>
  <c r="J5767" i="32"/>
  <c r="K5767" i="32" s="1"/>
  <c r="J5768" i="32"/>
  <c r="K5768" i="32" s="1"/>
  <c r="J5769" i="32"/>
  <c r="K5769" i="32" s="1"/>
  <c r="J5770" i="32"/>
  <c r="K5770" i="32" s="1"/>
  <c r="J5771" i="32"/>
  <c r="K5771" i="32" s="1"/>
  <c r="J5772" i="32"/>
  <c r="K5772" i="32" s="1"/>
  <c r="J5773" i="32"/>
  <c r="K5773" i="32" s="1"/>
  <c r="J5774" i="32"/>
  <c r="K5774" i="32" s="1"/>
  <c r="J5775" i="32"/>
  <c r="K5775" i="32" s="1"/>
  <c r="J5776" i="32"/>
  <c r="K5776" i="32" s="1"/>
  <c r="J5777" i="32"/>
  <c r="K5777" i="32" s="1"/>
  <c r="J5778" i="32"/>
  <c r="K5778" i="32" s="1"/>
  <c r="J5779" i="32"/>
  <c r="K5779" i="32" s="1"/>
  <c r="J5780" i="32"/>
  <c r="K5780" i="32" s="1"/>
  <c r="J5781" i="32"/>
  <c r="K5781" i="32" s="1"/>
  <c r="J5782" i="32"/>
  <c r="K5782" i="32" s="1"/>
  <c r="J5783" i="32"/>
  <c r="K5783" i="32" s="1"/>
  <c r="J5784" i="32"/>
  <c r="K5784" i="32" s="1"/>
  <c r="J5785" i="32"/>
  <c r="K5785" i="32" s="1"/>
  <c r="J5786" i="32"/>
  <c r="K5786" i="32" s="1"/>
  <c r="J5787" i="32"/>
  <c r="K5787" i="32" s="1"/>
  <c r="J5788" i="32"/>
  <c r="K5788" i="32" s="1"/>
  <c r="J5789" i="32"/>
  <c r="K5789" i="32" s="1"/>
  <c r="J5790" i="32"/>
  <c r="K5790" i="32" s="1"/>
  <c r="J5791" i="32"/>
  <c r="K5791" i="32" s="1"/>
  <c r="J5792" i="32"/>
  <c r="K5792" i="32" s="1"/>
  <c r="J5793" i="32"/>
  <c r="K5793" i="32" s="1"/>
  <c r="J5794" i="32"/>
  <c r="K5794" i="32" s="1"/>
  <c r="J5795" i="32"/>
  <c r="K5795" i="32" s="1"/>
  <c r="J5796" i="32"/>
  <c r="K5796" i="32" s="1"/>
  <c r="J5797" i="32"/>
  <c r="K5797" i="32" s="1"/>
  <c r="J5798" i="32"/>
  <c r="K5798" i="32" s="1"/>
  <c r="J5799" i="32"/>
  <c r="K5799" i="32" s="1"/>
  <c r="J5800" i="32"/>
  <c r="K5800" i="32" s="1"/>
  <c r="J5801" i="32"/>
  <c r="K5801" i="32" s="1"/>
  <c r="J5802" i="32"/>
  <c r="K5802" i="32" s="1"/>
  <c r="J5803" i="32"/>
  <c r="K5803" i="32" s="1"/>
  <c r="J5804" i="32"/>
  <c r="K5804" i="32" s="1"/>
  <c r="J5805" i="32"/>
  <c r="K5805" i="32" s="1"/>
  <c r="J5806" i="32"/>
  <c r="K5806" i="32" s="1"/>
  <c r="J5807" i="32"/>
  <c r="K5807" i="32" s="1"/>
  <c r="J5808" i="32"/>
  <c r="K5808" i="32" s="1"/>
  <c r="J5809" i="32"/>
  <c r="K5809" i="32" s="1"/>
  <c r="J5810" i="32"/>
  <c r="K5810" i="32" s="1"/>
  <c r="J5811" i="32"/>
  <c r="K5811" i="32" s="1"/>
  <c r="J5812" i="32"/>
  <c r="K5812" i="32" s="1"/>
  <c r="J5813" i="32"/>
  <c r="K5813" i="32" s="1"/>
  <c r="J5814" i="32"/>
  <c r="K5814" i="32" s="1"/>
  <c r="J5815" i="32"/>
  <c r="K5815" i="32" s="1"/>
  <c r="J5816" i="32"/>
  <c r="K5816" i="32" s="1"/>
  <c r="J5817" i="32"/>
  <c r="K5817" i="32" s="1"/>
  <c r="J5818" i="32"/>
  <c r="K5818" i="32" s="1"/>
  <c r="J5819" i="32"/>
  <c r="K5819" i="32" s="1"/>
  <c r="J5820" i="32"/>
  <c r="K5820" i="32" s="1"/>
  <c r="J5821" i="32"/>
  <c r="K5821" i="32" s="1"/>
  <c r="J5822" i="32"/>
  <c r="K5822" i="32" s="1"/>
  <c r="J5823" i="32"/>
  <c r="K5823" i="32" s="1"/>
  <c r="J5824" i="32"/>
  <c r="K5824" i="32" s="1"/>
  <c r="J5825" i="32"/>
  <c r="K5825" i="32" s="1"/>
  <c r="J5826" i="32"/>
  <c r="K5826" i="32" s="1"/>
  <c r="J5827" i="32"/>
  <c r="K5827" i="32" s="1"/>
  <c r="J5828" i="32"/>
  <c r="K5828" i="32" s="1"/>
  <c r="J5829" i="32"/>
  <c r="K5829" i="32" s="1"/>
  <c r="J5830" i="32"/>
  <c r="K5830" i="32" s="1"/>
  <c r="J5831" i="32"/>
  <c r="K5831" i="32" s="1"/>
  <c r="J5832" i="32"/>
  <c r="K5832" i="32" s="1"/>
  <c r="J5833" i="32"/>
  <c r="K5833" i="32" s="1"/>
  <c r="J5834" i="32"/>
  <c r="K5834" i="32" s="1"/>
  <c r="J5835" i="32"/>
  <c r="K5835" i="32" s="1"/>
  <c r="J400" i="32"/>
  <c r="K400" i="32" s="1"/>
  <c r="J401" i="32"/>
  <c r="K401" i="32" s="1"/>
  <c r="J402" i="32"/>
  <c r="K402" i="32" s="1"/>
  <c r="J403" i="32"/>
  <c r="K403" i="32" s="1"/>
  <c r="J404" i="32"/>
  <c r="K404" i="32" s="1"/>
  <c r="J405" i="32"/>
  <c r="K405" i="32" s="1"/>
  <c r="J406" i="32"/>
  <c r="K406" i="32" s="1"/>
  <c r="J407" i="32"/>
  <c r="K407" i="32" s="1"/>
  <c r="J408" i="32"/>
  <c r="K408" i="32" s="1"/>
  <c r="J409" i="32"/>
  <c r="K409" i="32" s="1"/>
  <c r="J399" i="32"/>
  <c r="H400" i="32"/>
  <c r="H401" i="32"/>
  <c r="H402" i="32"/>
  <c r="H403" i="32"/>
  <c r="H404" i="32"/>
  <c r="H405" i="32"/>
  <c r="H406" i="32"/>
  <c r="H407" i="32"/>
  <c r="H408" i="32"/>
  <c r="H409" i="32"/>
  <c r="H410" i="32"/>
  <c r="H411" i="32"/>
  <c r="H412" i="32"/>
  <c r="H413" i="32"/>
  <c r="H414" i="32"/>
  <c r="H415" i="32"/>
  <c r="H416" i="32"/>
  <c r="H417" i="32"/>
  <c r="H418" i="32"/>
  <c r="H419" i="32"/>
  <c r="H420" i="32"/>
  <c r="H421" i="32"/>
  <c r="H422" i="32"/>
  <c r="H423" i="32"/>
  <c r="H424" i="32"/>
  <c r="H425" i="32"/>
  <c r="H426" i="32"/>
  <c r="H427" i="32"/>
  <c r="H428" i="32"/>
  <c r="H429" i="32"/>
  <c r="H430" i="32"/>
  <c r="H431" i="32"/>
  <c r="H432" i="32"/>
  <c r="H433" i="32"/>
  <c r="H434" i="32"/>
  <c r="H435" i="32"/>
  <c r="H436" i="32"/>
  <c r="H437" i="32"/>
  <c r="H438" i="32"/>
  <c r="H439" i="32"/>
  <c r="H440" i="32"/>
  <c r="H441" i="32"/>
  <c r="H442" i="32"/>
  <c r="H443" i="32"/>
  <c r="H444" i="32"/>
  <c r="H445" i="32"/>
  <c r="H446" i="32"/>
  <c r="H447" i="32"/>
  <c r="H448" i="32"/>
  <c r="H449" i="32"/>
  <c r="H450" i="32"/>
  <c r="H451" i="32"/>
  <c r="H452" i="32"/>
  <c r="H453" i="32"/>
  <c r="H454" i="32"/>
  <c r="H455" i="32"/>
  <c r="H456" i="32"/>
  <c r="H457" i="32"/>
  <c r="H458" i="32"/>
  <c r="H459" i="32"/>
  <c r="H460" i="32"/>
  <c r="H461" i="32"/>
  <c r="H462" i="32"/>
  <c r="H463" i="32"/>
  <c r="H464" i="32"/>
  <c r="H465" i="32"/>
  <c r="H466" i="32"/>
  <c r="H467" i="32"/>
  <c r="H468" i="32"/>
  <c r="H469" i="32"/>
  <c r="H470" i="32"/>
  <c r="H471" i="32"/>
  <c r="H472" i="32"/>
  <c r="H473" i="32"/>
  <c r="H474" i="32"/>
  <c r="H475" i="32"/>
  <c r="H476" i="32"/>
  <c r="H477" i="32"/>
  <c r="H478" i="32"/>
  <c r="H479" i="32"/>
  <c r="H480" i="32"/>
  <c r="H481" i="32"/>
  <c r="H482" i="32"/>
  <c r="H483" i="32"/>
  <c r="H484" i="32"/>
  <c r="H485" i="32"/>
  <c r="H486" i="32"/>
  <c r="H487" i="32"/>
  <c r="H488" i="32"/>
  <c r="H489" i="32"/>
  <c r="H490" i="32"/>
  <c r="H491" i="32"/>
  <c r="H492" i="32"/>
  <c r="H493" i="32"/>
  <c r="H494" i="32"/>
  <c r="H495" i="32"/>
  <c r="H496" i="32"/>
  <c r="H497" i="32"/>
  <c r="H498" i="32"/>
  <c r="H499" i="32"/>
  <c r="H500" i="32"/>
  <c r="H501" i="32"/>
  <c r="H399" i="32"/>
  <c r="G3491" i="32"/>
  <c r="G3492" i="32" s="1"/>
  <c r="G3493" i="32" s="1"/>
  <c r="G3494" i="32" s="1"/>
  <c r="G3495" i="32" s="1"/>
  <c r="G3496" i="32" s="1"/>
  <c r="G3497" i="32" s="1"/>
  <c r="G3498" i="32" s="1"/>
  <c r="G3499" i="32" s="1"/>
  <c r="G3500" i="32" s="1"/>
  <c r="G3501" i="32" s="1"/>
  <c r="G3502" i="32" s="1"/>
  <c r="G3503" i="32" s="1"/>
  <c r="G3504" i="32" s="1"/>
  <c r="G3505" i="32" s="1"/>
  <c r="G3506" i="32" s="1"/>
  <c r="G3507" i="32" s="1"/>
  <c r="G3508" i="32" s="1"/>
  <c r="G3509" i="32" s="1"/>
  <c r="G3510" i="32" s="1"/>
  <c r="G3511" i="32" s="1"/>
  <c r="G3512" i="32" s="1"/>
  <c r="G3513" i="32" s="1"/>
  <c r="G3514" i="32" s="1"/>
  <c r="G3515" i="32" s="1"/>
  <c r="G3516" i="32" s="1"/>
  <c r="G3517" i="32" s="1"/>
  <c r="G3518" i="32" s="1"/>
  <c r="G3519" i="32" s="1"/>
  <c r="G3520" i="32" s="1"/>
  <c r="G3521" i="32" s="1"/>
  <c r="G3522" i="32" s="1"/>
  <c r="G3523" i="32" s="1"/>
  <c r="G3524" i="32" s="1"/>
  <c r="G3525" i="32" s="1"/>
  <c r="G3526" i="32" s="1"/>
  <c r="G3527" i="32" s="1"/>
  <c r="G3528" i="32" s="1"/>
  <c r="G3529" i="32" s="1"/>
  <c r="G3530" i="32" s="1"/>
  <c r="G3531" i="32" s="1"/>
  <c r="G3532" i="32" s="1"/>
  <c r="G3533" i="32" s="1"/>
  <c r="G3534" i="32" s="1"/>
  <c r="G3535" i="32" s="1"/>
  <c r="G3536" i="32" s="1"/>
  <c r="G3537" i="32" s="1"/>
  <c r="G3538" i="32" s="1"/>
  <c r="G3539" i="32" s="1"/>
  <c r="G3540" i="32" s="1"/>
  <c r="G3541" i="32" s="1"/>
  <c r="G3542" i="32" s="1"/>
  <c r="G3543" i="32" s="1"/>
  <c r="G3544" i="32" s="1"/>
  <c r="G3545" i="32" s="1"/>
  <c r="G3546" i="32" s="1"/>
  <c r="G3547" i="32" s="1"/>
  <c r="G3548" i="32" s="1"/>
  <c r="G3549" i="32" s="1"/>
  <c r="G3550" i="32" s="1"/>
  <c r="G3551" i="32" s="1"/>
  <c r="G3552" i="32" s="1"/>
  <c r="G3553" i="32" s="1"/>
  <c r="G3554" i="32" s="1"/>
  <c r="G3555" i="32" s="1"/>
  <c r="G3556" i="32" s="1"/>
  <c r="G3557" i="32" s="1"/>
  <c r="G3558" i="32" s="1"/>
  <c r="G3559" i="32" s="1"/>
  <c r="G3560" i="32" s="1"/>
  <c r="G3561" i="32" s="1"/>
  <c r="G3562" i="32" s="1"/>
  <c r="G3563" i="32" s="1"/>
  <c r="G3564" i="32" s="1"/>
  <c r="G3565" i="32" s="1"/>
  <c r="G3566" i="32" s="1"/>
  <c r="G3567" i="32" s="1"/>
  <c r="G3568" i="32" s="1"/>
  <c r="G3569" i="32" s="1"/>
  <c r="G3570" i="32" s="1"/>
  <c r="G3571" i="32" s="1"/>
  <c r="G3572" i="32" s="1"/>
  <c r="G3573" i="32" s="1"/>
  <c r="G3574" i="32" s="1"/>
  <c r="G3575" i="32" s="1"/>
  <c r="G3576" i="32" s="1"/>
  <c r="G3577" i="32" s="1"/>
  <c r="G3578" i="32" s="1"/>
  <c r="G3579" i="32" s="1"/>
  <c r="G3580" i="32" s="1"/>
  <c r="G3581" i="32" s="1"/>
  <c r="G3582" i="32" s="1"/>
  <c r="G3583" i="32" s="1"/>
  <c r="G3584" i="32" s="1"/>
  <c r="G3585" i="32" s="1"/>
  <c r="G3586" i="32" s="1"/>
  <c r="G3587" i="32" s="1"/>
  <c r="G3588" i="32" s="1"/>
  <c r="G3589" i="32" s="1"/>
  <c r="G3590" i="32" s="1"/>
  <c r="G3591" i="32" s="1"/>
  <c r="G3592" i="32" s="1"/>
  <c r="G3593" i="32" s="1"/>
  <c r="G3594" i="32" s="1"/>
  <c r="G3595" i="32" s="1"/>
  <c r="G3596" i="32" s="1"/>
  <c r="G3597" i="32" s="1"/>
  <c r="G3598" i="32" s="1"/>
  <c r="G3599" i="32" s="1"/>
  <c r="G3600" i="32" s="1"/>
  <c r="G3601" i="32" s="1"/>
  <c r="G3602" i="32" s="1"/>
  <c r="G3603" i="32" s="1"/>
  <c r="G3604" i="32" s="1"/>
  <c r="G3605" i="32" s="1"/>
  <c r="G3606" i="32" s="1"/>
  <c r="G3607" i="32" s="1"/>
  <c r="G3608" i="32" s="1"/>
  <c r="G3609" i="32" s="1"/>
  <c r="G3610" i="32" s="1"/>
  <c r="G3611" i="32" s="1"/>
  <c r="G3612" i="32" s="1"/>
  <c r="G3613" i="32" s="1"/>
  <c r="G3614" i="32" s="1"/>
  <c r="G3615" i="32" s="1"/>
  <c r="G3616" i="32" s="1"/>
  <c r="G3617" i="32" s="1"/>
  <c r="G3618" i="32" s="1"/>
  <c r="G3619" i="32" s="1"/>
  <c r="G3620" i="32" s="1"/>
  <c r="G3621" i="32" s="1"/>
  <c r="G3622" i="32" s="1"/>
  <c r="G3623" i="32" s="1"/>
  <c r="G3624" i="32" s="1"/>
  <c r="G3625" i="32" s="1"/>
  <c r="G3626" i="32" s="1"/>
  <c r="G3627" i="32" s="1"/>
  <c r="G3628" i="32" s="1"/>
  <c r="G3629" i="32" s="1"/>
  <c r="G3630" i="32" s="1"/>
  <c r="G3631" i="32" s="1"/>
  <c r="G3632" i="32" s="1"/>
  <c r="G3633" i="32" s="1"/>
  <c r="G3634" i="32" s="1"/>
  <c r="G3635" i="32" s="1"/>
  <c r="G3636" i="32" s="1"/>
  <c r="G3637" i="32" s="1"/>
  <c r="G3638" i="32" s="1"/>
  <c r="G3639" i="32" s="1"/>
  <c r="G3640" i="32" s="1"/>
  <c r="G3641" i="32" s="1"/>
  <c r="G3642" i="32" s="1"/>
  <c r="G3643" i="32" s="1"/>
  <c r="G3644" i="32" s="1"/>
  <c r="G3645" i="32" s="1"/>
  <c r="G3646" i="32" s="1"/>
  <c r="G3647" i="32" s="1"/>
  <c r="G3648" i="32" s="1"/>
  <c r="G3649" i="32" s="1"/>
  <c r="G3650" i="32" s="1"/>
  <c r="G3651" i="32" s="1"/>
  <c r="G3652" i="32" s="1"/>
  <c r="G3653" i="32" s="1"/>
  <c r="G3654" i="32" s="1"/>
  <c r="G3655" i="32" s="1"/>
  <c r="G3656" i="32" s="1"/>
  <c r="G3657" i="32" s="1"/>
  <c r="G3658" i="32" s="1"/>
  <c r="G3659" i="32" s="1"/>
  <c r="G3660" i="32" s="1"/>
  <c r="G3661" i="32" s="1"/>
  <c r="G3662" i="32" s="1"/>
  <c r="G3663" i="32" s="1"/>
  <c r="G3664" i="32" s="1"/>
  <c r="G3665" i="32" s="1"/>
  <c r="G3666" i="32" s="1"/>
  <c r="G3667" i="32" s="1"/>
  <c r="G3668" i="32" s="1"/>
  <c r="G3669" i="32" s="1"/>
  <c r="G3670" i="32" s="1"/>
  <c r="G3671" i="32" s="1"/>
  <c r="G3672" i="32" s="1"/>
  <c r="G3673" i="32" s="1"/>
  <c r="G3674" i="32" s="1"/>
  <c r="G3675" i="32" s="1"/>
  <c r="G3676" i="32" s="1"/>
  <c r="G3677" i="32" s="1"/>
  <c r="G3678" i="32" s="1"/>
  <c r="G3679" i="32" s="1"/>
  <c r="G3680" i="32" s="1"/>
  <c r="G3681" i="32" s="1"/>
  <c r="G3682" i="32" s="1"/>
  <c r="G3683" i="32" s="1"/>
  <c r="G3684" i="32" s="1"/>
  <c r="G3685" i="32" s="1"/>
  <c r="G3686" i="32" s="1"/>
  <c r="G3687" i="32" s="1"/>
  <c r="G3688" i="32" s="1"/>
  <c r="G3689" i="32" s="1"/>
  <c r="G3690" i="32" s="1"/>
  <c r="G3691" i="32" s="1"/>
  <c r="G3692" i="32" s="1"/>
  <c r="G3693" i="32" s="1"/>
  <c r="G3694" i="32" s="1"/>
  <c r="G3695" i="32" s="1"/>
  <c r="G3696" i="32" s="1"/>
  <c r="G3697" i="32" s="1"/>
  <c r="G3698" i="32" s="1"/>
  <c r="G3699" i="32" s="1"/>
  <c r="G3700" i="32" s="1"/>
  <c r="G3701" i="32" s="1"/>
  <c r="G3702" i="32" s="1"/>
  <c r="G3703" i="32" s="1"/>
  <c r="G3704" i="32" s="1"/>
  <c r="G3705" i="32" s="1"/>
  <c r="G3706" i="32" s="1"/>
  <c r="G3707" i="32" s="1"/>
  <c r="G3708" i="32" s="1"/>
  <c r="G3709" i="32" s="1"/>
  <c r="G3710" i="32" s="1"/>
  <c r="G3711" i="32" s="1"/>
  <c r="G3712" i="32" s="1"/>
  <c r="G3713" i="32" s="1"/>
  <c r="G3714" i="32" s="1"/>
  <c r="G3715" i="32" s="1"/>
  <c r="G3716" i="32" s="1"/>
  <c r="G3717" i="32" s="1"/>
  <c r="G3718" i="32" s="1"/>
  <c r="G3719" i="32" s="1"/>
  <c r="G3720" i="32" s="1"/>
  <c r="G3721" i="32" s="1"/>
  <c r="G3722" i="32" s="1"/>
  <c r="G3723" i="32" s="1"/>
  <c r="G3724" i="32" s="1"/>
  <c r="G3725" i="32" s="1"/>
  <c r="G3726" i="32" s="1"/>
  <c r="G3727" i="32" s="1"/>
  <c r="G3728" i="32" s="1"/>
  <c r="G3729" i="32" s="1"/>
  <c r="G3730" i="32" s="1"/>
  <c r="G3731" i="32" s="1"/>
  <c r="G3732" i="32" s="1"/>
  <c r="G3733" i="32" s="1"/>
  <c r="G3734" i="32" s="1"/>
  <c r="G3735" i="32" s="1"/>
  <c r="G3736" i="32" s="1"/>
  <c r="G3737" i="32" s="1"/>
  <c r="G3738" i="32" s="1"/>
  <c r="G3739" i="32" s="1"/>
  <c r="G3740" i="32" s="1"/>
  <c r="G3741" i="32" s="1"/>
  <c r="G3742" i="32" s="1"/>
  <c r="G3743" i="32" s="1"/>
  <c r="G3744" i="32" s="1"/>
  <c r="G3745" i="32" s="1"/>
  <c r="G3746" i="32" s="1"/>
  <c r="G3747" i="32" s="1"/>
  <c r="G3748" i="32" s="1"/>
  <c r="G3749" i="32" s="1"/>
  <c r="G3750" i="32" s="1"/>
  <c r="G3751" i="32" s="1"/>
  <c r="G3752" i="32" s="1"/>
  <c r="G3753" i="32" s="1"/>
  <c r="G3754" i="32" s="1"/>
  <c r="G3755" i="32" s="1"/>
  <c r="G3756" i="32" s="1"/>
  <c r="G3757" i="32" s="1"/>
  <c r="G3758" i="32" s="1"/>
  <c r="G3759" i="32" s="1"/>
  <c r="G3760" i="32" s="1"/>
  <c r="G3761" i="32" s="1"/>
  <c r="G3762" i="32" s="1"/>
  <c r="G3763" i="32" s="1"/>
  <c r="G3764" i="32" s="1"/>
  <c r="G3765" i="32" s="1"/>
  <c r="G3766" i="32" s="1"/>
  <c r="G3767" i="32" s="1"/>
  <c r="G3768" i="32" s="1"/>
  <c r="G3769" i="32" s="1"/>
  <c r="G3770" i="32" s="1"/>
  <c r="G3771" i="32" s="1"/>
  <c r="G3772" i="32" s="1"/>
  <c r="G3773" i="32" s="1"/>
  <c r="G3774" i="32" s="1"/>
  <c r="G3775" i="32" s="1"/>
  <c r="G3776" i="32" s="1"/>
  <c r="G3777" i="32" s="1"/>
  <c r="G3778" i="32" s="1"/>
  <c r="G3779" i="32" s="1"/>
  <c r="G3780" i="32" s="1"/>
  <c r="G3781" i="32" s="1"/>
  <c r="G3782" i="32" s="1"/>
  <c r="G3783" i="32" s="1"/>
  <c r="G3784" i="32" s="1"/>
  <c r="G3785" i="32" s="1"/>
  <c r="G3786" i="32" s="1"/>
  <c r="G3787" i="32" s="1"/>
  <c r="G3788" i="32" s="1"/>
  <c r="G3789" i="32" s="1"/>
  <c r="G3790" i="32" s="1"/>
  <c r="G3791" i="32" s="1"/>
  <c r="G3792" i="32" s="1"/>
  <c r="G3793" i="32" s="1"/>
  <c r="G3794" i="32" s="1"/>
  <c r="G3795" i="32" s="1"/>
  <c r="G3796" i="32" s="1"/>
  <c r="G3797" i="32" s="1"/>
  <c r="G3798" i="32" s="1"/>
  <c r="G3799" i="32" s="1"/>
  <c r="G3800" i="32" s="1"/>
  <c r="G3801" i="32" s="1"/>
  <c r="G3802" i="32" s="1"/>
  <c r="G3803" i="32" s="1"/>
  <c r="G3804" i="32" s="1"/>
  <c r="G3805" i="32" s="1"/>
  <c r="G3806" i="32" s="1"/>
  <c r="G3807" i="32" s="1"/>
  <c r="G3808" i="32" s="1"/>
  <c r="G3809" i="32" s="1"/>
  <c r="G3810" i="32" s="1"/>
  <c r="G3811" i="32" s="1"/>
  <c r="G3812" i="32" s="1"/>
  <c r="G3813" i="32" s="1"/>
  <c r="G3814" i="32" s="1"/>
  <c r="G3815" i="32" s="1"/>
  <c r="G3816" i="32" s="1"/>
  <c r="G3817" i="32" s="1"/>
  <c r="G3818" i="32" s="1"/>
  <c r="G3819" i="32" s="1"/>
  <c r="G3820" i="32" s="1"/>
  <c r="G3821" i="32" s="1"/>
  <c r="G3822" i="32" s="1"/>
  <c r="G3823" i="32" s="1"/>
  <c r="G3824" i="32" s="1"/>
  <c r="G3825" i="32" s="1"/>
  <c r="G3826" i="32" s="1"/>
  <c r="G3827" i="32" s="1"/>
  <c r="G3828" i="32" s="1"/>
  <c r="G3829" i="32" s="1"/>
  <c r="G3830" i="32" s="1"/>
  <c r="G3831" i="32" s="1"/>
  <c r="G3832" i="32" s="1"/>
  <c r="G3833" i="32" s="1"/>
  <c r="G3834" i="32" s="1"/>
  <c r="G3835" i="32" s="1"/>
  <c r="G3836" i="32" s="1"/>
  <c r="G3837" i="32" s="1"/>
  <c r="G3838" i="32" s="1"/>
  <c r="G3839" i="32" s="1"/>
  <c r="G3840" i="32" s="1"/>
  <c r="G3841" i="32" s="1"/>
  <c r="G3842" i="32" s="1"/>
  <c r="G3843" i="32" s="1"/>
  <c r="G3844" i="32" s="1"/>
  <c r="G3845" i="32" s="1"/>
  <c r="G3846" i="32" s="1"/>
  <c r="G3847" i="32" s="1"/>
  <c r="G3848" i="32" s="1"/>
  <c r="G3849" i="32" s="1"/>
  <c r="G3850" i="32" s="1"/>
  <c r="G3851" i="32" s="1"/>
  <c r="G3852" i="32" s="1"/>
  <c r="G3853" i="32" s="1"/>
  <c r="G3854" i="32" s="1"/>
  <c r="G3855" i="32" s="1"/>
  <c r="G3856" i="32" s="1"/>
  <c r="G3857" i="32" s="1"/>
  <c r="G3858" i="32" s="1"/>
  <c r="G3859" i="32" s="1"/>
  <c r="G3860" i="32" s="1"/>
  <c r="G3861" i="32" s="1"/>
  <c r="G3862" i="32" s="1"/>
  <c r="G3863" i="32" s="1"/>
  <c r="G3864" i="32" s="1"/>
  <c r="G3865" i="32" s="1"/>
  <c r="G3866" i="32" s="1"/>
  <c r="G3867" i="32" s="1"/>
  <c r="G3868" i="32" s="1"/>
  <c r="G3869" i="32" s="1"/>
  <c r="G3870" i="32" s="1"/>
  <c r="G3871" i="32" s="1"/>
  <c r="G3872" i="32" s="1"/>
  <c r="G3873" i="32" s="1"/>
  <c r="G3874" i="32" s="1"/>
  <c r="G3875" i="32" s="1"/>
  <c r="G3876" i="32" s="1"/>
  <c r="G3877" i="32" s="1"/>
  <c r="G3878" i="32" s="1"/>
  <c r="G3879" i="32" s="1"/>
  <c r="G3880" i="32" s="1"/>
  <c r="G3881" i="32" s="1"/>
  <c r="G3882" i="32" s="1"/>
  <c r="G3883" i="32" s="1"/>
  <c r="G3884" i="32" s="1"/>
  <c r="G3885" i="32" s="1"/>
  <c r="G3886" i="32" s="1"/>
  <c r="G3887" i="32" s="1"/>
  <c r="G3888" i="32" s="1"/>
  <c r="G3889" i="32" s="1"/>
  <c r="G3890" i="32" s="1"/>
  <c r="G3891" i="32" s="1"/>
  <c r="G3892" i="32" s="1"/>
  <c r="G3893" i="32" s="1"/>
  <c r="G3894" i="32" s="1"/>
  <c r="G3895" i="32" s="1"/>
  <c r="G3896" i="32" s="1"/>
  <c r="G3897" i="32" s="1"/>
  <c r="G3898" i="32" s="1"/>
  <c r="G3899" i="32" s="1"/>
  <c r="G3900" i="32" s="1"/>
  <c r="G3901" i="32" s="1"/>
  <c r="G3902" i="32" s="1"/>
  <c r="G3903" i="32" s="1"/>
  <c r="G3904" i="32" s="1"/>
  <c r="G3905" i="32" s="1"/>
  <c r="G3906" i="32" s="1"/>
  <c r="G3907" i="32" s="1"/>
  <c r="G3908" i="32" s="1"/>
  <c r="G3909" i="32" s="1"/>
  <c r="G3910" i="32" s="1"/>
  <c r="G3911" i="32" s="1"/>
  <c r="G3912" i="32" s="1"/>
  <c r="G3913" i="32" s="1"/>
  <c r="G3914" i="32" s="1"/>
  <c r="G3915" i="32" s="1"/>
  <c r="G3916" i="32" s="1"/>
  <c r="G3917" i="32" s="1"/>
  <c r="G3918" i="32" s="1"/>
  <c r="G3919" i="32" s="1"/>
  <c r="G3920" i="32" s="1"/>
  <c r="G3921" i="32" s="1"/>
  <c r="G3922" i="32" s="1"/>
  <c r="G3923" i="32" s="1"/>
  <c r="G3924" i="32" s="1"/>
  <c r="G3925" i="32" s="1"/>
  <c r="G3926" i="32" s="1"/>
  <c r="G3927" i="32" s="1"/>
  <c r="G3928" i="32" s="1"/>
  <c r="G3929" i="32" s="1"/>
  <c r="G3930" i="32" s="1"/>
  <c r="G3931" i="32" s="1"/>
  <c r="G3932" i="32" s="1"/>
  <c r="G3933" i="32" s="1"/>
  <c r="G3934" i="32" s="1"/>
  <c r="G3935" i="32" s="1"/>
  <c r="G3936" i="32" s="1"/>
  <c r="G3937" i="32" s="1"/>
  <c r="G3938" i="32" s="1"/>
  <c r="G3939" i="32" s="1"/>
  <c r="G3940" i="32" s="1"/>
  <c r="G3941" i="32" s="1"/>
  <c r="G3942" i="32" s="1"/>
  <c r="G3943" i="32" s="1"/>
  <c r="G3944" i="32" s="1"/>
  <c r="G3945" i="32" s="1"/>
  <c r="G3946" i="32" s="1"/>
  <c r="G3947" i="32" s="1"/>
  <c r="G3948" i="32" s="1"/>
  <c r="G3949" i="32" s="1"/>
  <c r="G3950" i="32" s="1"/>
  <c r="G3951" i="32" s="1"/>
  <c r="G3952" i="32" s="1"/>
  <c r="G3953" i="32" s="1"/>
  <c r="G3954" i="32" s="1"/>
  <c r="G3955" i="32" s="1"/>
  <c r="G3956" i="32" s="1"/>
  <c r="G3957" i="32" s="1"/>
  <c r="G3958" i="32" s="1"/>
  <c r="G3959" i="32" s="1"/>
  <c r="G3960" i="32" s="1"/>
  <c r="G3961" i="32" s="1"/>
  <c r="G3962" i="32" s="1"/>
  <c r="G3963" i="32" s="1"/>
  <c r="G3964" i="32" s="1"/>
  <c r="G3965" i="32" s="1"/>
  <c r="G3966" i="32" s="1"/>
  <c r="G3967" i="32" s="1"/>
  <c r="G3968" i="32" s="1"/>
  <c r="G3969" i="32" s="1"/>
  <c r="G3970" i="32" s="1"/>
  <c r="G3971" i="32" s="1"/>
  <c r="G3972" i="32" s="1"/>
  <c r="G3973" i="32" s="1"/>
  <c r="G3974" i="32" s="1"/>
  <c r="G3975" i="32" s="1"/>
  <c r="G3976" i="32" s="1"/>
  <c r="G3977" i="32" s="1"/>
  <c r="G3978" i="32" s="1"/>
  <c r="G3979" i="32" s="1"/>
  <c r="G3980" i="32" s="1"/>
  <c r="G3981" i="32" s="1"/>
  <c r="G3982" i="32" s="1"/>
  <c r="G3983" i="32" s="1"/>
  <c r="G3984" i="32" s="1"/>
  <c r="G3985" i="32" s="1"/>
  <c r="G3986" i="32" s="1"/>
  <c r="G3987" i="32" s="1"/>
  <c r="G3988" i="32" s="1"/>
  <c r="G3989" i="32" s="1"/>
  <c r="G3990" i="32" s="1"/>
  <c r="G3991" i="32" s="1"/>
  <c r="G3992" i="32" s="1"/>
  <c r="G3993" i="32" s="1"/>
  <c r="G3994" i="32" s="1"/>
  <c r="G3995" i="32" s="1"/>
  <c r="G3996" i="32" s="1"/>
  <c r="G3997" i="32" s="1"/>
  <c r="G3998" i="32" s="1"/>
  <c r="G3999" i="32" s="1"/>
  <c r="G4000" i="32" s="1"/>
  <c r="G4001" i="32" s="1"/>
  <c r="G4002" i="32" s="1"/>
  <c r="G4003" i="32" s="1"/>
  <c r="G4004" i="32" s="1"/>
  <c r="G4005" i="32" s="1"/>
  <c r="G4006" i="32" s="1"/>
  <c r="G4007" i="32" s="1"/>
  <c r="G4008" i="32" s="1"/>
  <c r="G4009" i="32" s="1"/>
  <c r="G4010" i="32" s="1"/>
  <c r="G4011" i="32" s="1"/>
  <c r="G4012" i="32" s="1"/>
  <c r="G4013" i="32" s="1"/>
  <c r="G4014" i="32" s="1"/>
  <c r="G4015" i="32" s="1"/>
  <c r="G4016" i="32" s="1"/>
  <c r="G4017" i="32" s="1"/>
  <c r="G4018" i="32" s="1"/>
  <c r="G4019" i="32" s="1"/>
  <c r="G4020" i="32" s="1"/>
  <c r="G4021" i="32" s="1"/>
  <c r="G4022" i="32" s="1"/>
  <c r="G4023" i="32" s="1"/>
  <c r="G4024" i="32" s="1"/>
  <c r="G4025" i="32" s="1"/>
  <c r="G4026" i="32" s="1"/>
  <c r="G4027" i="32" s="1"/>
  <c r="G4028" i="32" s="1"/>
  <c r="G4029" i="32" s="1"/>
  <c r="G4030" i="32" s="1"/>
  <c r="G4031" i="32" s="1"/>
  <c r="G4032" i="32" s="1"/>
  <c r="G4033" i="32" s="1"/>
  <c r="G4034" i="32" s="1"/>
  <c r="G4035" i="32" s="1"/>
  <c r="G4036" i="32" s="1"/>
  <c r="G4037" i="32" s="1"/>
  <c r="G4038" i="32" s="1"/>
  <c r="G4039" i="32" s="1"/>
  <c r="G4040" i="32" s="1"/>
  <c r="G4041" i="32" s="1"/>
  <c r="G4042" i="32" s="1"/>
  <c r="G4043" i="32" s="1"/>
  <c r="G4044" i="32" s="1"/>
  <c r="G4045" i="32" s="1"/>
  <c r="G4046" i="32" s="1"/>
  <c r="G4047" i="32" s="1"/>
  <c r="G4048" i="32" s="1"/>
  <c r="G4049" i="32" s="1"/>
  <c r="G4050" i="32" s="1"/>
  <c r="G4051" i="32" s="1"/>
  <c r="G4052" i="32" s="1"/>
  <c r="G4053" i="32" s="1"/>
  <c r="G4054" i="32" s="1"/>
  <c r="G4055" i="32" s="1"/>
  <c r="G4056" i="32" s="1"/>
  <c r="G4057" i="32" s="1"/>
  <c r="G4058" i="32" s="1"/>
  <c r="G4059" i="32" s="1"/>
  <c r="G4060" i="32" s="1"/>
  <c r="G4061" i="32" s="1"/>
  <c r="G4062" i="32" s="1"/>
  <c r="G4063" i="32" s="1"/>
  <c r="G4064" i="32" s="1"/>
  <c r="G4065" i="32" s="1"/>
  <c r="G4066" i="32" s="1"/>
  <c r="G4067" i="32" s="1"/>
  <c r="G4068" i="32" s="1"/>
  <c r="G4069" i="32" s="1"/>
  <c r="G4070" i="32" s="1"/>
  <c r="G4071" i="32" s="1"/>
  <c r="G4072" i="32" s="1"/>
  <c r="G4073" i="32" s="1"/>
  <c r="G4074" i="32" s="1"/>
  <c r="G4075" i="32" s="1"/>
  <c r="G4076" i="32" s="1"/>
  <c r="G4077" i="32" s="1"/>
  <c r="G4078" i="32" s="1"/>
  <c r="G4079" i="32" s="1"/>
  <c r="G4080" i="32" s="1"/>
  <c r="G4081" i="32" s="1"/>
  <c r="G4082" i="32" s="1"/>
  <c r="G4083" i="32" s="1"/>
  <c r="G4084" i="32" s="1"/>
  <c r="G4085" i="32" s="1"/>
  <c r="G4086" i="32" s="1"/>
  <c r="G4087" i="32" s="1"/>
  <c r="G4088" i="32" s="1"/>
  <c r="G4089" i="32" s="1"/>
  <c r="G4090" i="32" s="1"/>
  <c r="G4091" i="32" s="1"/>
  <c r="G4092" i="32" s="1"/>
  <c r="G4093" i="32" s="1"/>
  <c r="G4094" i="32" s="1"/>
  <c r="G4095" i="32" s="1"/>
  <c r="G4096" i="32" s="1"/>
  <c r="G4097" i="32" s="1"/>
  <c r="G4098" i="32" s="1"/>
  <c r="G4099" i="32" s="1"/>
  <c r="G4100" i="32" s="1"/>
  <c r="G4101" i="32" s="1"/>
  <c r="G4102" i="32" s="1"/>
  <c r="G4103" i="32" s="1"/>
  <c r="G4104" i="32" s="1"/>
  <c r="G4105" i="32" s="1"/>
  <c r="G4106" i="32" s="1"/>
  <c r="G4107" i="32" s="1"/>
  <c r="G4108" i="32" s="1"/>
  <c r="G4109" i="32" s="1"/>
  <c r="G4110" i="32" s="1"/>
  <c r="G4111" i="32" s="1"/>
  <c r="G4112" i="32" s="1"/>
  <c r="G4113" i="32" s="1"/>
  <c r="G4114" i="32" s="1"/>
  <c r="G4115" i="32" s="1"/>
  <c r="G4116" i="32" s="1"/>
  <c r="G4117" i="32" s="1"/>
  <c r="G4118" i="32" s="1"/>
  <c r="G4119" i="32" s="1"/>
  <c r="G4120" i="32" s="1"/>
  <c r="G4121" i="32" s="1"/>
  <c r="G4122" i="32" s="1"/>
  <c r="G4123" i="32" s="1"/>
  <c r="G4124" i="32" s="1"/>
  <c r="G4125" i="32" s="1"/>
  <c r="G4126" i="32" s="1"/>
  <c r="G4127" i="32" s="1"/>
  <c r="G4128" i="32" s="1"/>
  <c r="G4129" i="32" s="1"/>
  <c r="G4130" i="32" s="1"/>
  <c r="G4131" i="32" s="1"/>
  <c r="G4132" i="32" s="1"/>
  <c r="G4133" i="32" s="1"/>
  <c r="G4134" i="32" s="1"/>
  <c r="G4135" i="32" s="1"/>
  <c r="G4136" i="32" s="1"/>
  <c r="G4137" i="32" s="1"/>
  <c r="G4138" i="32" s="1"/>
  <c r="G4139" i="32" s="1"/>
  <c r="G4140" i="32" s="1"/>
  <c r="G4141" i="32" s="1"/>
  <c r="G4142" i="32" s="1"/>
  <c r="G4143" i="32" s="1"/>
  <c r="G4144" i="32" s="1"/>
  <c r="G4145" i="32" s="1"/>
  <c r="G4146" i="32" s="1"/>
  <c r="G4147" i="32" s="1"/>
  <c r="G4148" i="32" s="1"/>
  <c r="G4149" i="32" s="1"/>
  <c r="G4150" i="32" s="1"/>
  <c r="G4151" i="32" s="1"/>
  <c r="G4152" i="32" s="1"/>
  <c r="G4153" i="32" s="1"/>
  <c r="G4154" i="32" s="1"/>
  <c r="G4155" i="32" s="1"/>
  <c r="G4156" i="32" s="1"/>
  <c r="G4157" i="32" s="1"/>
  <c r="G4158" i="32" s="1"/>
  <c r="G4159" i="32" s="1"/>
  <c r="G4160" i="32" s="1"/>
  <c r="G4161" i="32" s="1"/>
  <c r="G4162" i="32" s="1"/>
  <c r="G4163" i="32" s="1"/>
  <c r="G4164" i="32" s="1"/>
  <c r="G4165" i="32" s="1"/>
  <c r="G4166" i="32" s="1"/>
  <c r="G4167" i="32" s="1"/>
  <c r="G4168" i="32" s="1"/>
  <c r="G4169" i="32" s="1"/>
  <c r="G4170" i="32" s="1"/>
  <c r="G4171" i="32" s="1"/>
  <c r="G4172" i="32" s="1"/>
  <c r="G4173" i="32" s="1"/>
  <c r="G4174" i="32" s="1"/>
  <c r="G4175" i="32" s="1"/>
  <c r="G4176" i="32" s="1"/>
  <c r="G4177" i="32" s="1"/>
  <c r="G4178" i="32" s="1"/>
  <c r="G4179" i="32" s="1"/>
  <c r="G4180" i="32" s="1"/>
  <c r="G4181" i="32" s="1"/>
  <c r="G4182" i="32" s="1"/>
  <c r="G4183" i="32" s="1"/>
  <c r="G4184" i="32" s="1"/>
  <c r="G4185" i="32" s="1"/>
  <c r="G4186" i="32" s="1"/>
  <c r="G4187" i="32" s="1"/>
  <c r="G4188" i="32" s="1"/>
  <c r="G4189" i="32" s="1"/>
  <c r="G4190" i="32" s="1"/>
  <c r="G4191" i="32" s="1"/>
  <c r="G4192" i="32" s="1"/>
  <c r="G4193" i="32" s="1"/>
  <c r="G4194" i="32" s="1"/>
  <c r="G4195" i="32" s="1"/>
  <c r="G4196" i="32" s="1"/>
  <c r="G4197" i="32" s="1"/>
  <c r="G4198" i="32" s="1"/>
  <c r="G4199" i="32" s="1"/>
  <c r="G4200" i="32" s="1"/>
  <c r="G4201" i="32" s="1"/>
  <c r="G4202" i="32" s="1"/>
  <c r="G4203" i="32" s="1"/>
  <c r="G4204" i="32" s="1"/>
  <c r="G4205" i="32" s="1"/>
  <c r="G4206" i="32" s="1"/>
  <c r="G4207" i="32" s="1"/>
  <c r="G4208" i="32" s="1"/>
  <c r="G4209" i="32" s="1"/>
  <c r="G4210" i="32" s="1"/>
  <c r="G4211" i="32" s="1"/>
  <c r="G4212" i="32" s="1"/>
  <c r="G4213" i="32" s="1"/>
  <c r="G4214" i="32" s="1"/>
  <c r="G4215" i="32" s="1"/>
  <c r="G4216" i="32" s="1"/>
  <c r="G4217" i="32" s="1"/>
  <c r="G4218" i="32" s="1"/>
  <c r="G4219" i="32" s="1"/>
  <c r="G4220" i="32" s="1"/>
  <c r="G4221" i="32" s="1"/>
  <c r="G4222" i="32" s="1"/>
  <c r="G4223" i="32" s="1"/>
  <c r="G4224" i="32" s="1"/>
  <c r="G4225" i="32" s="1"/>
  <c r="G4226" i="32" s="1"/>
  <c r="G4227" i="32" s="1"/>
  <c r="G4228" i="32" s="1"/>
  <c r="G4229" i="32" s="1"/>
  <c r="G4230" i="32" s="1"/>
  <c r="G4231" i="32" s="1"/>
  <c r="G4232" i="32" s="1"/>
  <c r="G4233" i="32" s="1"/>
  <c r="G4234" i="32" s="1"/>
  <c r="G4235" i="32" s="1"/>
  <c r="G4236" i="32" s="1"/>
  <c r="G4237" i="32" s="1"/>
  <c r="G4238" i="32" s="1"/>
  <c r="G4239" i="32" s="1"/>
  <c r="G4240" i="32" s="1"/>
  <c r="G4241" i="32" s="1"/>
  <c r="G4242" i="32" s="1"/>
  <c r="G4243" i="32" s="1"/>
  <c r="G4244" i="32" s="1"/>
  <c r="G4245" i="32" s="1"/>
  <c r="G4246" i="32" s="1"/>
  <c r="G4247" i="32" s="1"/>
  <c r="G4248" i="32" s="1"/>
  <c r="G4249" i="32" s="1"/>
  <c r="G4250" i="32" s="1"/>
  <c r="G4251" i="32" s="1"/>
  <c r="G4252" i="32" s="1"/>
  <c r="G4253" i="32" s="1"/>
  <c r="G4254" i="32" s="1"/>
  <c r="G4255" i="32" s="1"/>
  <c r="G4256" i="32" s="1"/>
  <c r="G4257" i="32" s="1"/>
  <c r="G4258" i="32" s="1"/>
  <c r="G4259" i="32" s="1"/>
  <c r="G4260" i="32" s="1"/>
  <c r="G4261" i="32" s="1"/>
  <c r="G4262" i="32" s="1"/>
  <c r="G4263" i="32" s="1"/>
  <c r="G4264" i="32" s="1"/>
  <c r="G4265" i="32" s="1"/>
  <c r="G4266" i="32" s="1"/>
  <c r="G4267" i="32" s="1"/>
  <c r="G4268" i="32" s="1"/>
  <c r="G4269" i="32" s="1"/>
  <c r="G4270" i="32" s="1"/>
  <c r="G4271" i="32" s="1"/>
  <c r="G4272" i="32" s="1"/>
  <c r="G4273" i="32" s="1"/>
  <c r="G4274" i="32" s="1"/>
  <c r="G4275" i="32" s="1"/>
  <c r="G4276" i="32" s="1"/>
  <c r="G4277" i="32" s="1"/>
  <c r="G4278" i="32" s="1"/>
  <c r="G4279" i="32" s="1"/>
  <c r="G4280" i="32" s="1"/>
  <c r="G4281" i="32" s="1"/>
  <c r="G4282" i="32" s="1"/>
  <c r="G4283" i="32" s="1"/>
  <c r="G4284" i="32" s="1"/>
  <c r="G4285" i="32" s="1"/>
  <c r="G4286" i="32" s="1"/>
  <c r="G4287" i="32" s="1"/>
  <c r="G4288" i="32" s="1"/>
  <c r="G4289" i="32" s="1"/>
  <c r="G4290" i="32" s="1"/>
  <c r="G4291" i="32" s="1"/>
  <c r="G4292" i="32" s="1"/>
  <c r="G4293" i="32" s="1"/>
  <c r="G4294" i="32" s="1"/>
  <c r="G4295" i="32" s="1"/>
  <c r="G4296" i="32" s="1"/>
  <c r="G4297" i="32" s="1"/>
  <c r="G4298" i="32" s="1"/>
  <c r="G4299" i="32" s="1"/>
  <c r="G4300" i="32" s="1"/>
  <c r="G4301" i="32" s="1"/>
  <c r="G4302" i="32" s="1"/>
  <c r="G4303" i="32" s="1"/>
  <c r="G4304" i="32" s="1"/>
  <c r="G4305" i="32" s="1"/>
  <c r="G4306" i="32" s="1"/>
  <c r="G4307" i="32" s="1"/>
  <c r="G4308" i="32" s="1"/>
  <c r="G4309" i="32" s="1"/>
  <c r="G4310" i="32" s="1"/>
  <c r="G4311" i="32" s="1"/>
  <c r="G4312" i="32" s="1"/>
  <c r="G4313" i="32" s="1"/>
  <c r="G4314" i="32" s="1"/>
  <c r="G4315" i="32" s="1"/>
  <c r="G4316" i="32" s="1"/>
  <c r="G4317" i="32" s="1"/>
  <c r="G4318" i="32" s="1"/>
  <c r="G4319" i="32" s="1"/>
  <c r="G4320" i="32" s="1"/>
  <c r="G4321" i="32" s="1"/>
  <c r="G4322" i="32" s="1"/>
  <c r="G4323" i="32" s="1"/>
  <c r="G4324" i="32" s="1"/>
  <c r="G4325" i="32" s="1"/>
  <c r="G4326" i="32" s="1"/>
  <c r="G4327" i="32" s="1"/>
  <c r="G4328" i="32" s="1"/>
  <c r="G4329" i="32" s="1"/>
  <c r="G4330" i="32" s="1"/>
  <c r="G4331" i="32" s="1"/>
  <c r="G4332" i="32" s="1"/>
  <c r="G4333" i="32" s="1"/>
  <c r="G4334" i="32" s="1"/>
  <c r="G4335" i="32" s="1"/>
  <c r="G4336" i="32" s="1"/>
  <c r="G4337" i="32" s="1"/>
  <c r="G4338" i="32" s="1"/>
  <c r="G4339" i="32" s="1"/>
  <c r="G4340" i="32" s="1"/>
  <c r="G4341" i="32" s="1"/>
  <c r="G4342" i="32" s="1"/>
  <c r="G4343" i="32" s="1"/>
  <c r="G4344" i="32" s="1"/>
  <c r="G4345" i="32" s="1"/>
  <c r="G4346" i="32" s="1"/>
  <c r="G4347" i="32" s="1"/>
  <c r="G4348" i="32" s="1"/>
  <c r="G4349" i="32" s="1"/>
  <c r="G4350" i="32" s="1"/>
  <c r="G4351" i="32" s="1"/>
  <c r="G4352" i="32" s="1"/>
  <c r="G4353" i="32" s="1"/>
  <c r="G4354" i="32" s="1"/>
  <c r="G4355" i="32" s="1"/>
  <c r="G4356" i="32" s="1"/>
  <c r="G4357" i="32" s="1"/>
  <c r="G4358" i="32" s="1"/>
  <c r="G4359" i="32" s="1"/>
  <c r="G4360" i="32" s="1"/>
  <c r="G4361" i="32" s="1"/>
  <c r="G4362" i="32" s="1"/>
  <c r="G4363" i="32" s="1"/>
  <c r="G4364" i="32" s="1"/>
  <c r="G4365" i="32" s="1"/>
  <c r="G4366" i="32" s="1"/>
  <c r="G4367" i="32" s="1"/>
  <c r="G4368" i="32" s="1"/>
  <c r="G4369" i="32" s="1"/>
  <c r="G4370" i="32" s="1"/>
  <c r="G4371" i="32" s="1"/>
  <c r="G4372" i="32" s="1"/>
  <c r="G4373" i="32" s="1"/>
  <c r="G4374" i="32" s="1"/>
  <c r="G4375" i="32" s="1"/>
  <c r="G4376" i="32" s="1"/>
  <c r="G4377" i="32" s="1"/>
  <c r="G4378" i="32" s="1"/>
  <c r="G4379" i="32" s="1"/>
  <c r="G4380" i="32" s="1"/>
  <c r="G4381" i="32" s="1"/>
  <c r="G4382" i="32" s="1"/>
  <c r="G4383" i="32" s="1"/>
  <c r="G4384" i="32" s="1"/>
  <c r="G4385" i="32" s="1"/>
  <c r="G4386" i="32" s="1"/>
  <c r="G4387" i="32" s="1"/>
  <c r="G4388" i="32" s="1"/>
  <c r="G4389" i="32" s="1"/>
  <c r="G4390" i="32" s="1"/>
  <c r="G4391" i="32" s="1"/>
  <c r="G4392" i="32" s="1"/>
  <c r="G4393" i="32" s="1"/>
  <c r="G4394" i="32" s="1"/>
  <c r="G4395" i="32" s="1"/>
  <c r="G4396" i="32" s="1"/>
  <c r="G4397" i="32" s="1"/>
  <c r="G4398" i="32" s="1"/>
  <c r="G4399" i="32" s="1"/>
  <c r="G4400" i="32" s="1"/>
  <c r="G4401" i="32" s="1"/>
  <c r="G4402" i="32" s="1"/>
  <c r="G4403" i="32" s="1"/>
  <c r="G4404" i="32" s="1"/>
  <c r="G4405" i="32" s="1"/>
  <c r="G4406" i="32" s="1"/>
  <c r="G4407" i="32" s="1"/>
  <c r="G4408" i="32" s="1"/>
  <c r="G4409" i="32" s="1"/>
  <c r="G4410" i="32" s="1"/>
  <c r="G4411" i="32" s="1"/>
  <c r="G4412" i="32" s="1"/>
  <c r="G4413" i="32" s="1"/>
  <c r="G4414" i="32" s="1"/>
  <c r="G4415" i="32" s="1"/>
  <c r="G4416" i="32" s="1"/>
  <c r="G4417" i="32" s="1"/>
  <c r="G4418" i="32" s="1"/>
  <c r="G4419" i="32" s="1"/>
  <c r="G4420" i="32" s="1"/>
  <c r="G4421" i="32" s="1"/>
  <c r="G4422" i="32" s="1"/>
  <c r="G4423" i="32" s="1"/>
  <c r="G4424" i="32" s="1"/>
  <c r="G4425" i="32" s="1"/>
  <c r="G4426" i="32" s="1"/>
  <c r="G4427" i="32" s="1"/>
  <c r="G4428" i="32" s="1"/>
  <c r="G4429" i="32" s="1"/>
  <c r="G4430" i="32" s="1"/>
  <c r="G4431" i="32" s="1"/>
  <c r="G4432" i="32" s="1"/>
  <c r="G4433" i="32" s="1"/>
  <c r="G4434" i="32" s="1"/>
  <c r="G4435" i="32" s="1"/>
  <c r="G4436" i="32" s="1"/>
  <c r="G4437" i="32" s="1"/>
  <c r="G4438" i="32" s="1"/>
  <c r="G4439" i="32" s="1"/>
  <c r="G4440" i="32" s="1"/>
  <c r="G4441" i="32" s="1"/>
  <c r="G4442" i="32" s="1"/>
  <c r="G4443" i="32" s="1"/>
  <c r="G4444" i="32" s="1"/>
  <c r="G4445" i="32" s="1"/>
  <c r="G4446" i="32" s="1"/>
  <c r="G4447" i="32" s="1"/>
  <c r="G4448" i="32" s="1"/>
  <c r="G4449" i="32" s="1"/>
  <c r="G4450" i="32" s="1"/>
  <c r="G4451" i="32" s="1"/>
  <c r="G4452" i="32" s="1"/>
  <c r="G4453" i="32" s="1"/>
  <c r="G4454" i="32" s="1"/>
  <c r="G4455" i="32" s="1"/>
  <c r="G4456" i="32" s="1"/>
  <c r="G4457" i="32" s="1"/>
  <c r="G4458" i="32" s="1"/>
  <c r="G4459" i="32" s="1"/>
  <c r="G4460" i="32" s="1"/>
  <c r="G4461" i="32" s="1"/>
  <c r="G4462" i="32" s="1"/>
  <c r="G4463" i="32" s="1"/>
  <c r="G4464" i="32" s="1"/>
  <c r="G4465" i="32" s="1"/>
  <c r="G4466" i="32" s="1"/>
  <c r="G4467" i="32" s="1"/>
  <c r="G4468" i="32" s="1"/>
  <c r="G4469" i="32" s="1"/>
  <c r="G4470" i="32" s="1"/>
  <c r="G4471" i="32" s="1"/>
  <c r="G4472" i="32" s="1"/>
  <c r="G4473" i="32" s="1"/>
  <c r="G4474" i="32" s="1"/>
  <c r="G4475" i="32" s="1"/>
  <c r="G4476" i="32" s="1"/>
  <c r="G4477" i="32" s="1"/>
  <c r="G4478" i="32" s="1"/>
  <c r="G4479" i="32" s="1"/>
  <c r="G4480" i="32" s="1"/>
  <c r="G4481" i="32" s="1"/>
  <c r="G4482" i="32" s="1"/>
  <c r="G4483" i="32" s="1"/>
  <c r="G4484" i="32" s="1"/>
  <c r="G4485" i="32" s="1"/>
  <c r="G4486" i="32" s="1"/>
  <c r="G4487" i="32" s="1"/>
  <c r="G4488" i="32" s="1"/>
  <c r="G4489" i="32" s="1"/>
  <c r="G4490" i="32" s="1"/>
  <c r="G4491" i="32" s="1"/>
  <c r="G4492" i="32" s="1"/>
  <c r="G4493" i="32" s="1"/>
  <c r="G4494" i="32" s="1"/>
  <c r="G4495" i="32" s="1"/>
  <c r="G4496" i="32" s="1"/>
  <c r="G4497" i="32" s="1"/>
  <c r="G4498" i="32" s="1"/>
  <c r="G4499" i="32" s="1"/>
  <c r="G4500" i="32" s="1"/>
  <c r="G4501" i="32" s="1"/>
  <c r="G4502" i="32" s="1"/>
  <c r="G4503" i="32" s="1"/>
  <c r="G4504" i="32" s="1"/>
  <c r="G4505" i="32" s="1"/>
  <c r="G4506" i="32" s="1"/>
  <c r="G4507" i="32" s="1"/>
  <c r="G4508" i="32" s="1"/>
  <c r="G4509" i="32" s="1"/>
  <c r="G4510" i="32" s="1"/>
  <c r="G4511" i="32" s="1"/>
  <c r="G4512" i="32" s="1"/>
  <c r="G4513" i="32" s="1"/>
  <c r="G4514" i="32" s="1"/>
  <c r="G4515" i="32" s="1"/>
  <c r="G4516" i="32" s="1"/>
  <c r="G4517" i="32" s="1"/>
  <c r="G4518" i="32" s="1"/>
  <c r="G4519" i="32" s="1"/>
  <c r="G4520" i="32" s="1"/>
  <c r="G4521" i="32" s="1"/>
  <c r="G4522" i="32" s="1"/>
  <c r="G4523" i="32" s="1"/>
  <c r="G4524" i="32" s="1"/>
  <c r="G4525" i="32" s="1"/>
  <c r="G4526" i="32" s="1"/>
  <c r="G4527" i="32" s="1"/>
  <c r="G4528" i="32" s="1"/>
  <c r="G4529" i="32" s="1"/>
  <c r="G4530" i="32" s="1"/>
  <c r="G4531" i="32" s="1"/>
  <c r="G4532" i="32" s="1"/>
  <c r="G4533" i="32" s="1"/>
  <c r="G4534" i="32" s="1"/>
  <c r="G4535" i="32" s="1"/>
  <c r="G4536" i="32" s="1"/>
  <c r="G4537" i="32" s="1"/>
  <c r="G4538" i="32" s="1"/>
  <c r="G4539" i="32" s="1"/>
  <c r="G4540" i="32" s="1"/>
  <c r="G4541" i="32" s="1"/>
  <c r="G4542" i="32" s="1"/>
  <c r="G4543" i="32" s="1"/>
  <c r="G4544" i="32" s="1"/>
  <c r="G4545" i="32" s="1"/>
  <c r="G4546" i="32" s="1"/>
  <c r="G4547" i="32" s="1"/>
  <c r="G4548" i="32" s="1"/>
  <c r="G4549" i="32" s="1"/>
  <c r="G4550" i="32" s="1"/>
  <c r="G4551" i="32" s="1"/>
  <c r="G4552" i="32" s="1"/>
  <c r="G4553" i="32" s="1"/>
  <c r="G4554" i="32" s="1"/>
  <c r="G4555" i="32" s="1"/>
  <c r="G4556" i="32" s="1"/>
  <c r="G4557" i="32" s="1"/>
  <c r="G4558" i="32" s="1"/>
  <c r="G4559" i="32" s="1"/>
  <c r="G4560" i="32" s="1"/>
  <c r="G4561" i="32" s="1"/>
  <c r="G4562" i="32" s="1"/>
  <c r="G4563" i="32" s="1"/>
  <c r="G4564" i="32" s="1"/>
  <c r="G4565" i="32" s="1"/>
  <c r="G4566" i="32" s="1"/>
  <c r="G4567" i="32" s="1"/>
  <c r="G4568" i="32" s="1"/>
  <c r="G4569" i="32" s="1"/>
  <c r="G4570" i="32" s="1"/>
  <c r="G4571" i="32" s="1"/>
  <c r="G4572" i="32" s="1"/>
  <c r="G4573" i="32" s="1"/>
  <c r="G4574" i="32" s="1"/>
  <c r="G4575" i="32" s="1"/>
  <c r="G4576" i="32" s="1"/>
  <c r="G4577" i="32" s="1"/>
  <c r="G4578" i="32" s="1"/>
  <c r="G4579" i="32" s="1"/>
  <c r="G4580" i="32" s="1"/>
  <c r="G4581" i="32" s="1"/>
  <c r="G4582" i="32" s="1"/>
  <c r="G4583" i="32" s="1"/>
  <c r="G4584" i="32" s="1"/>
  <c r="G4585" i="32" s="1"/>
  <c r="G4586" i="32" s="1"/>
  <c r="G4587" i="32" s="1"/>
  <c r="G4588" i="32" s="1"/>
  <c r="G4589" i="32" s="1"/>
  <c r="G4590" i="32" s="1"/>
  <c r="G4591" i="32" s="1"/>
  <c r="G4592" i="32" s="1"/>
  <c r="G4593" i="32" s="1"/>
  <c r="G4594" i="32" s="1"/>
  <c r="G4595" i="32" s="1"/>
  <c r="G4596" i="32" s="1"/>
  <c r="G4597" i="32" s="1"/>
  <c r="G4598" i="32" s="1"/>
  <c r="G4599" i="32" s="1"/>
  <c r="G4600" i="32" s="1"/>
  <c r="G4601" i="32" s="1"/>
  <c r="G4602" i="32" s="1"/>
  <c r="G4603" i="32" s="1"/>
  <c r="G4604" i="32" s="1"/>
  <c r="G4605" i="32" s="1"/>
  <c r="G4606" i="32" s="1"/>
  <c r="G4607" i="32" s="1"/>
  <c r="G4608" i="32" s="1"/>
  <c r="G4609" i="32" s="1"/>
  <c r="G4610" i="32" s="1"/>
  <c r="G4611" i="32" s="1"/>
  <c r="G4612" i="32" s="1"/>
  <c r="G4613" i="32" s="1"/>
  <c r="G4614" i="32" s="1"/>
  <c r="G4615" i="32" s="1"/>
  <c r="G4616" i="32" s="1"/>
  <c r="G4617" i="32" s="1"/>
  <c r="G4618" i="32" s="1"/>
  <c r="G4619" i="32" s="1"/>
  <c r="G4620" i="32" s="1"/>
  <c r="G4621" i="32" s="1"/>
  <c r="G4622" i="32" s="1"/>
  <c r="G4623" i="32" s="1"/>
  <c r="G4624" i="32" s="1"/>
  <c r="G4625" i="32" s="1"/>
  <c r="G4626" i="32" s="1"/>
  <c r="G4627" i="32" s="1"/>
  <c r="G4628" i="32" s="1"/>
  <c r="G4629" i="32" s="1"/>
  <c r="G4630" i="32" s="1"/>
  <c r="G4631" i="32" s="1"/>
  <c r="G4632" i="32" s="1"/>
  <c r="G4633" i="32" s="1"/>
  <c r="G4634" i="32" s="1"/>
  <c r="G4635" i="32" s="1"/>
  <c r="G4636" i="32" s="1"/>
  <c r="G4637" i="32" s="1"/>
  <c r="G4638" i="32" s="1"/>
  <c r="G4639" i="32" s="1"/>
  <c r="G4640" i="32" s="1"/>
  <c r="G4641" i="32" s="1"/>
  <c r="G4642" i="32" s="1"/>
  <c r="G4643" i="32" s="1"/>
  <c r="G4644" i="32" s="1"/>
  <c r="G4645" i="32" s="1"/>
  <c r="G4646" i="32" s="1"/>
  <c r="G4647" i="32" s="1"/>
  <c r="G4648" i="32" s="1"/>
  <c r="G4649" i="32" s="1"/>
  <c r="G4650" i="32" s="1"/>
  <c r="G4651" i="32" s="1"/>
  <c r="G4652" i="32" s="1"/>
  <c r="G4653" i="32" s="1"/>
  <c r="G4654" i="32" s="1"/>
  <c r="G4655" i="32" s="1"/>
  <c r="G4656" i="32" s="1"/>
  <c r="G4657" i="32" s="1"/>
  <c r="G4658" i="32" s="1"/>
  <c r="G4659" i="32" s="1"/>
  <c r="G4660" i="32" s="1"/>
  <c r="G4661" i="32" s="1"/>
  <c r="G4662" i="32" s="1"/>
  <c r="G4663" i="32" s="1"/>
  <c r="G4664" i="32" s="1"/>
  <c r="G4665" i="32" s="1"/>
  <c r="G4666" i="32" s="1"/>
  <c r="G4667" i="32" s="1"/>
  <c r="G4668" i="32" s="1"/>
  <c r="G4669" i="32" s="1"/>
  <c r="G4670" i="32" s="1"/>
  <c r="G4671" i="32" s="1"/>
  <c r="G4672" i="32" s="1"/>
  <c r="G4673" i="32" s="1"/>
  <c r="G4674" i="32" s="1"/>
  <c r="G4675" i="32" s="1"/>
  <c r="G4676" i="32" s="1"/>
  <c r="G4677" i="32" s="1"/>
  <c r="G4678" i="32" s="1"/>
  <c r="G4679" i="32" s="1"/>
  <c r="G4680" i="32" s="1"/>
  <c r="G4681" i="32" s="1"/>
  <c r="G4682" i="32" s="1"/>
  <c r="G4683" i="32" s="1"/>
  <c r="G4684" i="32" s="1"/>
  <c r="G4685" i="32" s="1"/>
  <c r="G4686" i="32" s="1"/>
  <c r="G4687" i="32" s="1"/>
  <c r="G4688" i="32" s="1"/>
  <c r="G4689" i="32" s="1"/>
  <c r="G4690" i="32" s="1"/>
  <c r="G4691" i="32" s="1"/>
  <c r="G4692" i="32" s="1"/>
  <c r="G4693" i="32" s="1"/>
  <c r="G4694" i="32" s="1"/>
  <c r="G4695" i="32" s="1"/>
  <c r="G4696" i="32" s="1"/>
  <c r="G4697" i="32" s="1"/>
  <c r="G4698" i="32" s="1"/>
  <c r="G4699" i="32" s="1"/>
  <c r="G4700" i="32" s="1"/>
  <c r="G4701" i="32" s="1"/>
  <c r="G4702" i="32" s="1"/>
  <c r="G4703" i="32" s="1"/>
  <c r="G4704" i="32" s="1"/>
  <c r="G4705" i="32" s="1"/>
  <c r="G4706" i="32" s="1"/>
  <c r="G4707" i="32" s="1"/>
  <c r="G4708" i="32" s="1"/>
  <c r="G4709" i="32" s="1"/>
  <c r="G4710" i="32" s="1"/>
  <c r="G4711" i="32" s="1"/>
  <c r="G4712" i="32" s="1"/>
  <c r="G4713" i="32" s="1"/>
  <c r="G4714" i="32" s="1"/>
  <c r="G4715" i="32" s="1"/>
  <c r="G4716" i="32" s="1"/>
  <c r="G4717" i="32" s="1"/>
  <c r="G4718" i="32" s="1"/>
  <c r="G4719" i="32" s="1"/>
  <c r="G4720" i="32" s="1"/>
  <c r="G4721" i="32" s="1"/>
  <c r="G4722" i="32" s="1"/>
  <c r="G4723" i="32" s="1"/>
  <c r="G4724" i="32" s="1"/>
  <c r="G4725" i="32" s="1"/>
  <c r="G4726" i="32" s="1"/>
  <c r="G4727" i="32" s="1"/>
  <c r="G4728" i="32" s="1"/>
  <c r="G4729" i="32" s="1"/>
  <c r="G4730" i="32" s="1"/>
  <c r="G4731" i="32" s="1"/>
  <c r="G4732" i="32" s="1"/>
  <c r="G4733" i="32" s="1"/>
  <c r="G4734" i="32" s="1"/>
  <c r="G4735" i="32" s="1"/>
  <c r="G4736" i="32" s="1"/>
  <c r="G4737" i="32" s="1"/>
  <c r="G4738" i="32" s="1"/>
  <c r="G4739" i="32" s="1"/>
  <c r="G4740" i="32" s="1"/>
  <c r="G4741" i="32" s="1"/>
  <c r="G4742" i="32" s="1"/>
  <c r="G4743" i="32" s="1"/>
  <c r="G4744" i="32" s="1"/>
  <c r="G4745" i="32" s="1"/>
  <c r="G4746" i="32" s="1"/>
  <c r="G4747" i="32" s="1"/>
  <c r="G4748" i="32" s="1"/>
  <c r="G4749" i="32" s="1"/>
  <c r="G4750" i="32" s="1"/>
  <c r="G4751" i="32" s="1"/>
  <c r="G4752" i="32" s="1"/>
  <c r="G4753" i="32" s="1"/>
  <c r="G4754" i="32" s="1"/>
  <c r="G4755" i="32" s="1"/>
  <c r="G4756" i="32" s="1"/>
  <c r="G4757" i="32" s="1"/>
  <c r="G4758" i="32" s="1"/>
  <c r="G4759" i="32" s="1"/>
  <c r="G4760" i="32" s="1"/>
  <c r="G4761" i="32" s="1"/>
  <c r="G4762" i="32" s="1"/>
  <c r="G4763" i="32" s="1"/>
  <c r="G4764" i="32" s="1"/>
  <c r="G4765" i="32" s="1"/>
  <c r="G4766" i="32" s="1"/>
  <c r="G4767" i="32" s="1"/>
  <c r="G4768" i="32" s="1"/>
  <c r="G4769" i="32" s="1"/>
  <c r="G4770" i="32" s="1"/>
  <c r="G4771" i="32" s="1"/>
  <c r="G4772" i="32" s="1"/>
  <c r="G4773" i="32" s="1"/>
  <c r="G4774" i="32" s="1"/>
  <c r="G4775" i="32" s="1"/>
  <c r="G4776" i="32" s="1"/>
  <c r="G4777" i="32" s="1"/>
  <c r="G4778" i="32" s="1"/>
  <c r="G4779" i="32" s="1"/>
  <c r="G4780" i="32" s="1"/>
  <c r="G4781" i="32" s="1"/>
  <c r="G4782" i="32" s="1"/>
  <c r="G4783" i="32" s="1"/>
  <c r="G4784" i="32" s="1"/>
  <c r="G4785" i="32" s="1"/>
  <c r="G4786" i="32" s="1"/>
  <c r="G4787" i="32" s="1"/>
  <c r="G4788" i="32" s="1"/>
  <c r="G4789" i="32" s="1"/>
  <c r="G4790" i="32" s="1"/>
  <c r="G4791" i="32" s="1"/>
  <c r="G4792" i="32" s="1"/>
  <c r="G4793" i="32" s="1"/>
  <c r="G4794" i="32" s="1"/>
  <c r="G4795" i="32" s="1"/>
  <c r="G4796" i="32" s="1"/>
  <c r="G4797" i="32" s="1"/>
  <c r="G4798" i="32" s="1"/>
  <c r="G4799" i="32" s="1"/>
  <c r="G4800" i="32" s="1"/>
  <c r="G4801" i="32" s="1"/>
  <c r="G4802" i="32" s="1"/>
  <c r="G4803" i="32" s="1"/>
  <c r="G4804" i="32" s="1"/>
  <c r="G4805" i="32" s="1"/>
  <c r="G4806" i="32" s="1"/>
  <c r="G4807" i="32" s="1"/>
  <c r="G4808" i="32" s="1"/>
  <c r="G4809" i="32" s="1"/>
  <c r="G4810" i="32" s="1"/>
  <c r="G4811" i="32" s="1"/>
  <c r="G4812" i="32" s="1"/>
  <c r="G4813" i="32" s="1"/>
  <c r="G4814" i="32" s="1"/>
  <c r="G4815" i="32" s="1"/>
  <c r="G4816" i="32" s="1"/>
  <c r="G4817" i="32" s="1"/>
  <c r="G4818" i="32" s="1"/>
  <c r="G4819" i="32" s="1"/>
  <c r="G4820" i="32" s="1"/>
  <c r="G4821" i="32" s="1"/>
  <c r="G4822" i="32" s="1"/>
  <c r="G4823" i="32" s="1"/>
  <c r="G4824" i="32" s="1"/>
  <c r="G4825" i="32" s="1"/>
  <c r="G4826" i="32" s="1"/>
  <c r="G4827" i="32" s="1"/>
  <c r="G4828" i="32" s="1"/>
  <c r="G4829" i="32" s="1"/>
  <c r="G4830" i="32" s="1"/>
  <c r="G4831" i="32" s="1"/>
  <c r="G4832" i="32" s="1"/>
  <c r="G4833" i="32" s="1"/>
  <c r="G4834" i="32" s="1"/>
  <c r="G4835" i="32" s="1"/>
  <c r="G4836" i="32" s="1"/>
  <c r="G4837" i="32" s="1"/>
  <c r="G4838" i="32" s="1"/>
  <c r="G4839" i="32" s="1"/>
  <c r="G4840" i="32" s="1"/>
  <c r="G4841" i="32" s="1"/>
  <c r="G4842" i="32" s="1"/>
  <c r="G4843" i="32" s="1"/>
  <c r="G4844" i="32" s="1"/>
  <c r="G4845" i="32" s="1"/>
  <c r="G4846" i="32" s="1"/>
  <c r="G4847" i="32" s="1"/>
  <c r="G4848" i="32" s="1"/>
  <c r="G4849" i="32" s="1"/>
  <c r="G4850" i="32" s="1"/>
  <c r="G4851" i="32" s="1"/>
  <c r="G4852" i="32" s="1"/>
  <c r="G4853" i="32" s="1"/>
  <c r="G4854" i="32" s="1"/>
  <c r="G4855" i="32" s="1"/>
  <c r="G4856" i="32" s="1"/>
  <c r="G4857" i="32" s="1"/>
  <c r="G4858" i="32" s="1"/>
  <c r="G4859" i="32" s="1"/>
  <c r="G4860" i="32" s="1"/>
  <c r="G4861" i="32" s="1"/>
  <c r="G4862" i="32" s="1"/>
  <c r="G4863" i="32" s="1"/>
  <c r="G4864" i="32" s="1"/>
  <c r="G4865" i="32" s="1"/>
  <c r="G4866" i="32" s="1"/>
  <c r="G4867" i="32" s="1"/>
  <c r="G4868" i="32" s="1"/>
  <c r="G4869" i="32" s="1"/>
  <c r="G4870" i="32" s="1"/>
  <c r="G4871" i="32" s="1"/>
  <c r="G4872" i="32" s="1"/>
  <c r="G4873" i="32" s="1"/>
  <c r="G4874" i="32" s="1"/>
  <c r="G4875" i="32" s="1"/>
  <c r="G4876" i="32" s="1"/>
  <c r="G4877" i="32" s="1"/>
  <c r="G4878" i="32" s="1"/>
  <c r="G4879" i="32" s="1"/>
  <c r="G4880" i="32" s="1"/>
  <c r="G4881" i="32" s="1"/>
  <c r="G4882" i="32" s="1"/>
  <c r="G4883" i="32" s="1"/>
  <c r="G4884" i="32" s="1"/>
  <c r="G4885" i="32" s="1"/>
  <c r="G4886" i="32" s="1"/>
  <c r="G4887" i="32" s="1"/>
  <c r="G4888" i="32" s="1"/>
  <c r="G4889" i="32" s="1"/>
  <c r="G4890" i="32" s="1"/>
  <c r="G4891" i="32" s="1"/>
  <c r="G4892" i="32" s="1"/>
  <c r="G4893" i="32" s="1"/>
  <c r="G4894" i="32" s="1"/>
  <c r="G4895" i="32" s="1"/>
  <c r="G4896" i="32" s="1"/>
  <c r="G4897" i="32" s="1"/>
  <c r="G4898" i="32" s="1"/>
  <c r="G4899" i="32" s="1"/>
  <c r="G4900" i="32" s="1"/>
  <c r="G4901" i="32" s="1"/>
  <c r="G4902" i="32" s="1"/>
  <c r="G4903" i="32" s="1"/>
  <c r="G4904" i="32" s="1"/>
  <c r="G4905" i="32" s="1"/>
  <c r="G4906" i="32" s="1"/>
  <c r="G4907" i="32" s="1"/>
  <c r="G4908" i="32" s="1"/>
  <c r="G4909" i="32" s="1"/>
  <c r="G4910" i="32" s="1"/>
  <c r="G4911" i="32" s="1"/>
  <c r="G4912" i="32" s="1"/>
  <c r="G4913" i="32" s="1"/>
  <c r="G4914" i="32" s="1"/>
  <c r="G4915" i="32" s="1"/>
  <c r="G4916" i="32" s="1"/>
  <c r="G4917" i="32" s="1"/>
  <c r="G4918" i="32" s="1"/>
  <c r="G4919" i="32" s="1"/>
  <c r="G4920" i="32" s="1"/>
  <c r="G4921" i="32" s="1"/>
  <c r="G4922" i="32" s="1"/>
  <c r="G4923" i="32" s="1"/>
  <c r="G4924" i="32" s="1"/>
  <c r="G4925" i="32" s="1"/>
  <c r="G4926" i="32" s="1"/>
  <c r="G4927" i="32" s="1"/>
  <c r="G4928" i="32" s="1"/>
  <c r="G4929" i="32" s="1"/>
  <c r="G4930" i="32" s="1"/>
  <c r="G4931" i="32" s="1"/>
  <c r="G4932" i="32" s="1"/>
  <c r="G4933" i="32" s="1"/>
  <c r="G4934" i="32" s="1"/>
  <c r="G4935" i="32" s="1"/>
  <c r="G4936" i="32" s="1"/>
  <c r="G4937" i="32" s="1"/>
  <c r="G4938" i="32" s="1"/>
  <c r="G4939" i="32" s="1"/>
  <c r="G4940" i="32" s="1"/>
  <c r="G4941" i="32" s="1"/>
  <c r="G4942" i="32" s="1"/>
  <c r="G4943" i="32" s="1"/>
  <c r="G4944" i="32" s="1"/>
  <c r="G4945" i="32" s="1"/>
  <c r="G4946" i="32" s="1"/>
  <c r="G4947" i="32" s="1"/>
  <c r="G4948" i="32" s="1"/>
  <c r="G4949" i="32" s="1"/>
  <c r="G4950" i="32" s="1"/>
  <c r="G4951" i="32" s="1"/>
  <c r="G4952" i="32" s="1"/>
  <c r="G4953" i="32" s="1"/>
  <c r="G4954" i="32" s="1"/>
  <c r="G4955" i="32" s="1"/>
  <c r="G4956" i="32" s="1"/>
  <c r="G4957" i="32" s="1"/>
  <c r="G4958" i="32" s="1"/>
  <c r="G4959" i="32" s="1"/>
  <c r="G4960" i="32" s="1"/>
  <c r="G4961" i="32" s="1"/>
  <c r="G4962" i="32" s="1"/>
  <c r="G4963" i="32" s="1"/>
  <c r="G4964" i="32" s="1"/>
  <c r="G4965" i="32" s="1"/>
  <c r="G4966" i="32" s="1"/>
  <c r="G4967" i="32" s="1"/>
  <c r="G4968" i="32" s="1"/>
  <c r="G4969" i="32" s="1"/>
  <c r="G4970" i="32" s="1"/>
  <c r="G4971" i="32" s="1"/>
  <c r="G4972" i="32" s="1"/>
  <c r="G4973" i="32" s="1"/>
  <c r="G4974" i="32" s="1"/>
  <c r="G4975" i="32" s="1"/>
  <c r="G4976" i="32" s="1"/>
  <c r="G4977" i="32" s="1"/>
  <c r="G4978" i="32" s="1"/>
  <c r="G4979" i="32" s="1"/>
  <c r="G4980" i="32" s="1"/>
  <c r="G4981" i="32" s="1"/>
  <c r="G4982" i="32" s="1"/>
  <c r="G4983" i="32" s="1"/>
  <c r="G4984" i="32" s="1"/>
  <c r="G4985" i="32" s="1"/>
  <c r="G4986" i="32" s="1"/>
  <c r="G4987" i="32" s="1"/>
  <c r="G4988" i="32" s="1"/>
  <c r="G4989" i="32" s="1"/>
  <c r="G4990" i="32" s="1"/>
  <c r="G4991" i="32" s="1"/>
  <c r="G4992" i="32" s="1"/>
  <c r="G4993" i="32" s="1"/>
  <c r="G4994" i="32" s="1"/>
  <c r="G4995" i="32" s="1"/>
  <c r="G4996" i="32" s="1"/>
  <c r="G4997" i="32" s="1"/>
  <c r="G4998" i="32" s="1"/>
  <c r="G4999" i="32" s="1"/>
  <c r="G5000" i="32" s="1"/>
  <c r="G5001" i="32" s="1"/>
  <c r="G5002" i="32" s="1"/>
  <c r="G5003" i="32" s="1"/>
  <c r="G5004" i="32" s="1"/>
  <c r="G5005" i="32" s="1"/>
  <c r="G5006" i="32" s="1"/>
  <c r="G5007" i="32" s="1"/>
  <c r="G5008" i="32" s="1"/>
  <c r="G5009" i="32" s="1"/>
  <c r="G5010" i="32" s="1"/>
  <c r="G5011" i="32" s="1"/>
  <c r="G5012" i="32" s="1"/>
  <c r="G5013" i="32" s="1"/>
  <c r="G5014" i="32" s="1"/>
  <c r="G5015" i="32" s="1"/>
  <c r="G5016" i="32" s="1"/>
  <c r="G5017" i="32" s="1"/>
  <c r="G5018" i="32" s="1"/>
  <c r="G5019" i="32" s="1"/>
  <c r="G5020" i="32" s="1"/>
  <c r="G5021" i="32" s="1"/>
  <c r="G5022" i="32" s="1"/>
  <c r="G5023" i="32" s="1"/>
  <c r="G5024" i="32" s="1"/>
  <c r="G5025" i="32" s="1"/>
  <c r="G5026" i="32" s="1"/>
  <c r="G5027" i="32" s="1"/>
  <c r="G5028" i="32" s="1"/>
  <c r="G5029" i="32" s="1"/>
  <c r="G5030" i="32" s="1"/>
  <c r="G5031" i="32" s="1"/>
  <c r="G5032" i="32" s="1"/>
  <c r="G5033" i="32" s="1"/>
  <c r="G5034" i="32" s="1"/>
  <c r="G5035" i="32" s="1"/>
  <c r="G5036" i="32" s="1"/>
  <c r="G5037" i="32" s="1"/>
  <c r="G5038" i="32" s="1"/>
  <c r="G5039" i="32" s="1"/>
  <c r="G5040" i="32" s="1"/>
  <c r="G5041" i="32" s="1"/>
  <c r="G5042" i="32" s="1"/>
  <c r="G5043" i="32" s="1"/>
  <c r="G5044" i="32" s="1"/>
  <c r="G5045" i="32" s="1"/>
  <c r="G5046" i="32" s="1"/>
  <c r="G5047" i="32" s="1"/>
  <c r="G5048" i="32" s="1"/>
  <c r="G5049" i="32" s="1"/>
  <c r="G5050" i="32" s="1"/>
  <c r="G5051" i="32" s="1"/>
  <c r="G5052" i="32" s="1"/>
  <c r="G5053" i="32" s="1"/>
  <c r="G5054" i="32" s="1"/>
  <c r="G5055" i="32" s="1"/>
  <c r="G5056" i="32" s="1"/>
  <c r="G5057" i="32" s="1"/>
  <c r="G5058" i="32" s="1"/>
  <c r="G5059" i="32" s="1"/>
  <c r="G5060" i="32" s="1"/>
  <c r="G5061" i="32" s="1"/>
  <c r="G5062" i="32" s="1"/>
  <c r="G5063" i="32" s="1"/>
  <c r="G5064" i="32" s="1"/>
  <c r="G5065" i="32" s="1"/>
  <c r="G5066" i="32" s="1"/>
  <c r="G5067" i="32" s="1"/>
  <c r="G5068" i="32" s="1"/>
  <c r="G5069" i="32" s="1"/>
  <c r="G5070" i="32" s="1"/>
  <c r="G5071" i="32" s="1"/>
  <c r="G5072" i="32" s="1"/>
  <c r="G5073" i="32" s="1"/>
  <c r="G5074" i="32" s="1"/>
  <c r="G5075" i="32" s="1"/>
  <c r="G5076" i="32" s="1"/>
  <c r="G5077" i="32" s="1"/>
  <c r="G5078" i="32" s="1"/>
  <c r="G5079" i="32" s="1"/>
  <c r="G5080" i="32" s="1"/>
  <c r="G5081" i="32" s="1"/>
  <c r="G5082" i="32" s="1"/>
  <c r="G5083" i="32" s="1"/>
  <c r="G5084" i="32" s="1"/>
  <c r="G5085" i="32" s="1"/>
  <c r="G5086" i="32" s="1"/>
  <c r="G5087" i="32" s="1"/>
  <c r="G5088" i="32" s="1"/>
  <c r="G5089" i="32" s="1"/>
  <c r="G5090" i="32" s="1"/>
  <c r="G5091" i="32" s="1"/>
  <c r="G5092" i="32" s="1"/>
  <c r="G5093" i="32" s="1"/>
  <c r="G5094" i="32" s="1"/>
  <c r="G5095" i="32" s="1"/>
  <c r="G5096" i="32" s="1"/>
  <c r="G5097" i="32" s="1"/>
  <c r="G5098" i="32" s="1"/>
  <c r="G5099" i="32" s="1"/>
  <c r="G5100" i="32" s="1"/>
  <c r="G5101" i="32" s="1"/>
  <c r="G5102" i="32" s="1"/>
  <c r="G5103" i="32" s="1"/>
  <c r="G5104" i="32" s="1"/>
  <c r="G5105" i="32" s="1"/>
  <c r="G5106" i="32" s="1"/>
  <c r="G5107" i="32" s="1"/>
  <c r="G5108" i="32" s="1"/>
  <c r="G5109" i="32" s="1"/>
  <c r="G5110" i="32" s="1"/>
  <c r="G5111" i="32" s="1"/>
  <c r="G5112" i="32" s="1"/>
  <c r="G5113" i="32" s="1"/>
  <c r="G5114" i="32" s="1"/>
  <c r="G5115" i="32" s="1"/>
  <c r="G5116" i="32" s="1"/>
  <c r="G5117" i="32" s="1"/>
  <c r="G5118" i="32" s="1"/>
  <c r="G5119" i="32" s="1"/>
  <c r="G5120" i="32" s="1"/>
  <c r="G5121" i="32" s="1"/>
  <c r="G5122" i="32" s="1"/>
  <c r="G5123" i="32" s="1"/>
  <c r="G5124" i="32" s="1"/>
  <c r="G5125" i="32" s="1"/>
  <c r="G5126" i="32" s="1"/>
  <c r="G5127" i="32" s="1"/>
  <c r="G5128" i="32" s="1"/>
  <c r="G5129" i="32" s="1"/>
  <c r="G5130" i="32" s="1"/>
  <c r="G5131" i="32" s="1"/>
  <c r="G5132" i="32" s="1"/>
  <c r="G5133" i="32" s="1"/>
  <c r="G5134" i="32" s="1"/>
  <c r="G5135" i="32" s="1"/>
  <c r="G5136" i="32" s="1"/>
  <c r="G5137" i="32" s="1"/>
  <c r="G5138" i="32" s="1"/>
  <c r="G5139" i="32" s="1"/>
  <c r="G5140" i="32" s="1"/>
  <c r="G5141" i="32" s="1"/>
  <c r="G5142" i="32" s="1"/>
  <c r="G5143" i="32" s="1"/>
  <c r="G5144" i="32" s="1"/>
  <c r="G5145" i="32" s="1"/>
  <c r="G5146" i="32" s="1"/>
  <c r="G5147" i="32" s="1"/>
  <c r="G5148" i="32" s="1"/>
  <c r="G5149" i="32" s="1"/>
  <c r="G5150" i="32" s="1"/>
  <c r="G5151" i="32" s="1"/>
  <c r="G5152" i="32" s="1"/>
  <c r="G5153" i="32" s="1"/>
  <c r="G5154" i="32" s="1"/>
  <c r="G5155" i="32" s="1"/>
  <c r="G5156" i="32" s="1"/>
  <c r="G5157" i="32" s="1"/>
  <c r="G5158" i="32" s="1"/>
  <c r="G5159" i="32" s="1"/>
  <c r="G5160" i="32" s="1"/>
  <c r="G5161" i="32" s="1"/>
  <c r="G5162" i="32" s="1"/>
  <c r="G5163" i="32" s="1"/>
  <c r="G5164" i="32" s="1"/>
  <c r="G5165" i="32" s="1"/>
  <c r="G5166" i="32" s="1"/>
  <c r="G5167" i="32" s="1"/>
  <c r="G5168" i="32" s="1"/>
  <c r="G5169" i="32" s="1"/>
  <c r="G5170" i="32" s="1"/>
  <c r="G5171" i="32" s="1"/>
  <c r="G5172" i="32" s="1"/>
  <c r="G5173" i="32" s="1"/>
  <c r="G5174" i="32" s="1"/>
  <c r="G5175" i="32" s="1"/>
  <c r="G5176" i="32" s="1"/>
  <c r="G5177" i="32" s="1"/>
  <c r="G5178" i="32" s="1"/>
  <c r="G5179" i="32" s="1"/>
  <c r="G5180" i="32" s="1"/>
  <c r="G5181" i="32" s="1"/>
  <c r="G5182" i="32" s="1"/>
  <c r="G5183" i="32" s="1"/>
  <c r="G5184" i="32" s="1"/>
  <c r="G5185" i="32" s="1"/>
  <c r="G5186" i="32" s="1"/>
  <c r="G5187" i="32" s="1"/>
  <c r="G5188" i="32" s="1"/>
  <c r="G5189" i="32" s="1"/>
  <c r="G5190" i="32" s="1"/>
  <c r="G5191" i="32" s="1"/>
  <c r="G5192" i="32" s="1"/>
  <c r="G5193" i="32" s="1"/>
  <c r="G5194" i="32" s="1"/>
  <c r="G5195" i="32" s="1"/>
  <c r="G5196" i="32" s="1"/>
  <c r="G5197" i="32" s="1"/>
  <c r="G5198" i="32" s="1"/>
  <c r="G5199" i="32" s="1"/>
  <c r="G5200" i="32" s="1"/>
  <c r="G5201" i="32" s="1"/>
  <c r="G5202" i="32" s="1"/>
  <c r="G5203" i="32" s="1"/>
  <c r="G5204" i="32" s="1"/>
  <c r="G5205" i="32" s="1"/>
  <c r="G5206" i="32" s="1"/>
  <c r="G5207" i="32" s="1"/>
  <c r="G5208" i="32" s="1"/>
  <c r="G5209" i="32" s="1"/>
  <c r="G5210" i="32" s="1"/>
  <c r="G5211" i="32" s="1"/>
  <c r="G5212" i="32" s="1"/>
  <c r="G5213" i="32" s="1"/>
  <c r="G5214" i="32" s="1"/>
  <c r="G5215" i="32" s="1"/>
  <c r="G5216" i="32" s="1"/>
  <c r="G5217" i="32" s="1"/>
  <c r="G5218" i="32" s="1"/>
  <c r="G5219" i="32" s="1"/>
  <c r="G5220" i="32" s="1"/>
  <c r="G5221" i="32" s="1"/>
  <c r="G5222" i="32" s="1"/>
  <c r="G5223" i="32" s="1"/>
  <c r="G5224" i="32" s="1"/>
  <c r="G5225" i="32" s="1"/>
  <c r="G5226" i="32" s="1"/>
  <c r="G5227" i="32" s="1"/>
  <c r="G5228" i="32" s="1"/>
  <c r="G5229" i="32" s="1"/>
  <c r="G5230" i="32" s="1"/>
  <c r="G5231" i="32" s="1"/>
  <c r="G5232" i="32" s="1"/>
  <c r="G5233" i="32" s="1"/>
  <c r="G5234" i="32" s="1"/>
  <c r="G5235" i="32" s="1"/>
  <c r="G5236" i="32" s="1"/>
  <c r="G5237" i="32" s="1"/>
  <c r="G5238" i="32" s="1"/>
  <c r="G5239" i="32" s="1"/>
  <c r="G5240" i="32" s="1"/>
  <c r="G5241" i="32" s="1"/>
  <c r="G5242" i="32" s="1"/>
  <c r="G5243" i="32" s="1"/>
  <c r="G5244" i="32" s="1"/>
  <c r="G5245" i="32" s="1"/>
  <c r="G5246" i="32" s="1"/>
  <c r="G5247" i="32" s="1"/>
  <c r="G5248" i="32" s="1"/>
  <c r="G5249" i="32" s="1"/>
  <c r="G5250" i="32" s="1"/>
  <c r="G5251" i="32" s="1"/>
  <c r="G5252" i="32" s="1"/>
  <c r="G5253" i="32" s="1"/>
  <c r="G5254" i="32" s="1"/>
  <c r="G5255" i="32" s="1"/>
  <c r="G5256" i="32" s="1"/>
  <c r="G5257" i="32" s="1"/>
  <c r="G5258" i="32" s="1"/>
  <c r="G5259" i="32" s="1"/>
  <c r="G5260" i="32" s="1"/>
  <c r="G5261" i="32" s="1"/>
  <c r="G5262" i="32" s="1"/>
  <c r="G5263" i="32" s="1"/>
  <c r="G5264" i="32" s="1"/>
  <c r="G5265" i="32" s="1"/>
  <c r="G5266" i="32" s="1"/>
  <c r="G5267" i="32" s="1"/>
  <c r="G5268" i="32" s="1"/>
  <c r="G5269" i="32" s="1"/>
  <c r="G5270" i="32" s="1"/>
  <c r="G5271" i="32" s="1"/>
  <c r="G5272" i="32" s="1"/>
  <c r="G5273" i="32" s="1"/>
  <c r="G5274" i="32" s="1"/>
  <c r="G5275" i="32" s="1"/>
  <c r="G5276" i="32" s="1"/>
  <c r="G5277" i="32" s="1"/>
  <c r="G5278" i="32" s="1"/>
  <c r="G5279" i="32" s="1"/>
  <c r="G5280" i="32" s="1"/>
  <c r="G5281" i="32" s="1"/>
  <c r="G5282" i="32" s="1"/>
  <c r="G5283" i="32" s="1"/>
  <c r="G5284" i="32" s="1"/>
  <c r="G5285" i="32" s="1"/>
  <c r="G5286" i="32" s="1"/>
  <c r="G5287" i="32" s="1"/>
  <c r="G5288" i="32" s="1"/>
  <c r="G5289" i="32" s="1"/>
  <c r="G5290" i="32" s="1"/>
  <c r="G5291" i="32" s="1"/>
  <c r="G5292" i="32" s="1"/>
  <c r="G5293" i="32" s="1"/>
  <c r="G5294" i="32" s="1"/>
  <c r="G5295" i="32" s="1"/>
  <c r="G5296" i="32" s="1"/>
  <c r="G5297" i="32" s="1"/>
  <c r="G5298" i="32" s="1"/>
  <c r="G5299" i="32" s="1"/>
  <c r="G5300" i="32" s="1"/>
  <c r="G5301" i="32" s="1"/>
  <c r="G5302" i="32" s="1"/>
  <c r="G5303" i="32" s="1"/>
  <c r="G5304" i="32" s="1"/>
  <c r="G5305" i="32" s="1"/>
  <c r="G5306" i="32" s="1"/>
  <c r="G5307" i="32" s="1"/>
  <c r="G5308" i="32" s="1"/>
  <c r="G5309" i="32" s="1"/>
  <c r="G5310" i="32" s="1"/>
  <c r="G5311" i="32" s="1"/>
  <c r="G5312" i="32" s="1"/>
  <c r="G5313" i="32" s="1"/>
  <c r="G5314" i="32" s="1"/>
  <c r="G5315" i="32" s="1"/>
  <c r="G5316" i="32" s="1"/>
  <c r="G5317" i="32" s="1"/>
  <c r="G5318" i="32" s="1"/>
  <c r="G5319" i="32" s="1"/>
  <c r="G5320" i="32" s="1"/>
  <c r="G5321" i="32" s="1"/>
  <c r="G5322" i="32" s="1"/>
  <c r="G5323" i="32" s="1"/>
  <c r="G5324" i="32" s="1"/>
  <c r="G5325" i="32" s="1"/>
  <c r="G5326" i="32" s="1"/>
  <c r="G5327" i="32" s="1"/>
  <c r="G5328" i="32" s="1"/>
  <c r="G5329" i="32" s="1"/>
  <c r="G5330" i="32" s="1"/>
  <c r="G5331" i="32" s="1"/>
  <c r="G5332" i="32" s="1"/>
  <c r="G5333" i="32" s="1"/>
  <c r="G5334" i="32" s="1"/>
  <c r="G5335" i="32" s="1"/>
  <c r="G5336" i="32" s="1"/>
  <c r="G5337" i="32" s="1"/>
  <c r="G5338" i="32" s="1"/>
  <c r="G5339" i="32" s="1"/>
  <c r="G5340" i="32" s="1"/>
  <c r="G5341" i="32" s="1"/>
  <c r="G5342" i="32" s="1"/>
  <c r="G5343" i="32" s="1"/>
  <c r="G5344" i="32" s="1"/>
  <c r="G5345" i="32" s="1"/>
  <c r="G5346" i="32" s="1"/>
  <c r="G5347" i="32" s="1"/>
  <c r="G5348" i="32" s="1"/>
  <c r="G5349" i="32" s="1"/>
  <c r="G5350" i="32" s="1"/>
  <c r="G5351" i="32" s="1"/>
  <c r="G5352" i="32" s="1"/>
  <c r="G5353" i="32" s="1"/>
  <c r="G5354" i="32" s="1"/>
  <c r="G5355" i="32" s="1"/>
  <c r="G5356" i="32" s="1"/>
  <c r="G5357" i="32" s="1"/>
  <c r="G5358" i="32" s="1"/>
  <c r="G5359" i="32" s="1"/>
  <c r="G5360" i="32" s="1"/>
  <c r="G5361" i="32" s="1"/>
  <c r="G5362" i="32" s="1"/>
  <c r="G5363" i="32" s="1"/>
  <c r="G5364" i="32" s="1"/>
  <c r="G5365" i="32" s="1"/>
  <c r="G5366" i="32" s="1"/>
  <c r="G5367" i="32" s="1"/>
  <c r="G5368" i="32" s="1"/>
  <c r="G5369" i="32" s="1"/>
  <c r="G5370" i="32" s="1"/>
  <c r="G5371" i="32" s="1"/>
  <c r="G5372" i="32" s="1"/>
  <c r="G5373" i="32" s="1"/>
  <c r="G5374" i="32" s="1"/>
  <c r="G5375" i="32" s="1"/>
  <c r="G5376" i="32" s="1"/>
  <c r="G5377" i="32" s="1"/>
  <c r="G5378" i="32" s="1"/>
  <c r="G5379" i="32" s="1"/>
  <c r="G5380" i="32" s="1"/>
  <c r="G5381" i="32" s="1"/>
  <c r="G5382" i="32" s="1"/>
  <c r="G5383" i="32" s="1"/>
  <c r="G5384" i="32" s="1"/>
  <c r="G5385" i="32" s="1"/>
  <c r="G5386" i="32" s="1"/>
  <c r="G5387" i="32" s="1"/>
  <c r="G5388" i="32" s="1"/>
  <c r="G5389" i="32" s="1"/>
  <c r="G5390" i="32" s="1"/>
  <c r="G5391" i="32" s="1"/>
  <c r="G5392" i="32" s="1"/>
  <c r="G5393" i="32" s="1"/>
  <c r="G5394" i="32" s="1"/>
  <c r="G5395" i="32" s="1"/>
  <c r="G5396" i="32" s="1"/>
  <c r="G5397" i="32" s="1"/>
  <c r="G5398" i="32" s="1"/>
  <c r="G5399" i="32" s="1"/>
  <c r="G5400" i="32" s="1"/>
  <c r="G5401" i="32" s="1"/>
  <c r="G5402" i="32" s="1"/>
  <c r="G5403" i="32" s="1"/>
  <c r="G5404" i="32" s="1"/>
  <c r="G5405" i="32" s="1"/>
  <c r="G5406" i="32" s="1"/>
  <c r="G5407" i="32" s="1"/>
  <c r="G5408" i="32" s="1"/>
  <c r="G5409" i="32" s="1"/>
  <c r="G5410" i="32" s="1"/>
  <c r="G5411" i="32" s="1"/>
  <c r="G5412" i="32" s="1"/>
  <c r="G5413" i="32" s="1"/>
  <c r="G5414" i="32" s="1"/>
  <c r="G5415" i="32" s="1"/>
  <c r="G5416" i="32" s="1"/>
  <c r="G5417" i="32" s="1"/>
  <c r="G5418" i="32" s="1"/>
  <c r="G5419" i="32" s="1"/>
  <c r="G5420" i="32" s="1"/>
  <c r="G5421" i="32" s="1"/>
  <c r="G5422" i="32" s="1"/>
  <c r="G5423" i="32" s="1"/>
  <c r="G5424" i="32" s="1"/>
  <c r="G5425" i="32" s="1"/>
  <c r="G5426" i="32" s="1"/>
  <c r="G5427" i="32" s="1"/>
  <c r="G5428" i="32" s="1"/>
  <c r="G5429" i="32" s="1"/>
  <c r="G5430" i="32" s="1"/>
  <c r="G5431" i="32" s="1"/>
  <c r="G5432" i="32" s="1"/>
  <c r="G5433" i="32" s="1"/>
  <c r="G5434" i="32" s="1"/>
  <c r="G5435" i="32" s="1"/>
  <c r="G5436" i="32" s="1"/>
  <c r="G5437" i="32" s="1"/>
  <c r="G5438" i="32" s="1"/>
  <c r="G5439" i="32" s="1"/>
  <c r="G5440" i="32" s="1"/>
  <c r="G5441" i="32" s="1"/>
  <c r="G5442" i="32" s="1"/>
  <c r="G5443" i="32" s="1"/>
  <c r="G5444" i="32" s="1"/>
  <c r="G5445" i="32" s="1"/>
  <c r="G5446" i="32" s="1"/>
  <c r="G5447" i="32" s="1"/>
  <c r="G5448" i="32" s="1"/>
  <c r="G5449" i="32" s="1"/>
  <c r="G5450" i="32" s="1"/>
  <c r="G5451" i="32" s="1"/>
  <c r="G5452" i="32" s="1"/>
  <c r="G5453" i="32" s="1"/>
  <c r="G5454" i="32" s="1"/>
  <c r="G5455" i="32" s="1"/>
  <c r="G5456" i="32" s="1"/>
  <c r="G5457" i="32" s="1"/>
  <c r="G5458" i="32" s="1"/>
  <c r="G5459" i="32" s="1"/>
  <c r="G5460" i="32" s="1"/>
  <c r="G5461" i="32" s="1"/>
  <c r="G5462" i="32" s="1"/>
  <c r="G5463" i="32" s="1"/>
  <c r="G5464" i="32" s="1"/>
  <c r="G5465" i="32" s="1"/>
  <c r="G5466" i="32" s="1"/>
  <c r="G5467" i="32" s="1"/>
  <c r="G5468" i="32" s="1"/>
  <c r="G5469" i="32" s="1"/>
  <c r="G5470" i="32" s="1"/>
  <c r="G5471" i="32" s="1"/>
  <c r="G5472" i="32" s="1"/>
  <c r="G5473" i="32" s="1"/>
  <c r="G5474" i="32" s="1"/>
  <c r="G5475" i="32" s="1"/>
  <c r="G5476" i="32" s="1"/>
  <c r="G5477" i="32" s="1"/>
  <c r="G5478" i="32" s="1"/>
  <c r="G5479" i="32" s="1"/>
  <c r="G5480" i="32" s="1"/>
  <c r="G5481" i="32" s="1"/>
  <c r="G5482" i="32" s="1"/>
  <c r="G5483" i="32" s="1"/>
  <c r="G5484" i="32" s="1"/>
  <c r="G5485" i="32" s="1"/>
  <c r="G5486" i="32" s="1"/>
  <c r="G5487" i="32" s="1"/>
  <c r="G5488" i="32" s="1"/>
  <c r="G5489" i="32" s="1"/>
  <c r="G5490" i="32" s="1"/>
  <c r="G5491" i="32" s="1"/>
  <c r="G5492" i="32" s="1"/>
  <c r="G5493" i="32" s="1"/>
  <c r="G5494" i="32" s="1"/>
  <c r="G5495" i="32" s="1"/>
  <c r="G5496" i="32" s="1"/>
  <c r="G5497" i="32" s="1"/>
  <c r="G5498" i="32" s="1"/>
  <c r="G5499" i="32" s="1"/>
  <c r="G5500" i="32" s="1"/>
  <c r="G5501" i="32" s="1"/>
  <c r="G5502" i="32" s="1"/>
  <c r="G5503" i="32" s="1"/>
  <c r="G5504" i="32" s="1"/>
  <c r="G5505" i="32" s="1"/>
  <c r="G5506" i="32" s="1"/>
  <c r="G5507" i="32" s="1"/>
  <c r="G5508" i="32" s="1"/>
  <c r="G5509" i="32" s="1"/>
  <c r="G5510" i="32" s="1"/>
  <c r="G5511" i="32" s="1"/>
  <c r="G5512" i="32" s="1"/>
  <c r="G5513" i="32" s="1"/>
  <c r="G5514" i="32" s="1"/>
  <c r="G5515" i="32" s="1"/>
  <c r="G5516" i="32" s="1"/>
  <c r="G5517" i="32" s="1"/>
  <c r="G5518" i="32" s="1"/>
  <c r="G5519" i="32" s="1"/>
  <c r="G5520" i="32" s="1"/>
  <c r="G5521" i="32" s="1"/>
  <c r="G5522" i="32" s="1"/>
  <c r="G5523" i="32" s="1"/>
  <c r="G5524" i="32" s="1"/>
  <c r="G5525" i="32" s="1"/>
  <c r="G5526" i="32" s="1"/>
  <c r="G5527" i="32" s="1"/>
  <c r="G5528" i="32" s="1"/>
  <c r="G5529" i="32" s="1"/>
  <c r="G5530" i="32" s="1"/>
  <c r="G5531" i="32" s="1"/>
  <c r="G5532" i="32" s="1"/>
  <c r="G5533" i="32" s="1"/>
  <c r="G5534" i="32" s="1"/>
  <c r="G5535" i="32" s="1"/>
  <c r="G5536" i="32" s="1"/>
  <c r="G5537" i="32" s="1"/>
  <c r="G5538" i="32" s="1"/>
  <c r="G5539" i="32" s="1"/>
  <c r="G5540" i="32" s="1"/>
  <c r="G5541" i="32" s="1"/>
  <c r="G5542" i="32" s="1"/>
  <c r="G5543" i="32" s="1"/>
  <c r="G5544" i="32" s="1"/>
  <c r="G5545" i="32" s="1"/>
  <c r="G5546" i="32" s="1"/>
  <c r="G5547" i="32" s="1"/>
  <c r="G5548" i="32" s="1"/>
  <c r="G5549" i="32" s="1"/>
  <c r="G5550" i="32" s="1"/>
  <c r="G5551" i="32" s="1"/>
  <c r="G5552" i="32" s="1"/>
  <c r="G5553" i="32" s="1"/>
  <c r="G5554" i="32" s="1"/>
  <c r="G5555" i="32" s="1"/>
  <c r="G5556" i="32" s="1"/>
  <c r="G5557" i="32" s="1"/>
  <c r="G5558" i="32" s="1"/>
  <c r="G5559" i="32" s="1"/>
  <c r="G5560" i="32" s="1"/>
  <c r="G5561" i="32" s="1"/>
  <c r="G5562" i="32" s="1"/>
  <c r="G5563" i="32" s="1"/>
  <c r="G5564" i="32" s="1"/>
  <c r="G5565" i="32" s="1"/>
  <c r="G5566" i="32" s="1"/>
  <c r="G5567" i="32" s="1"/>
  <c r="G5568" i="32" s="1"/>
  <c r="G5569" i="32" s="1"/>
  <c r="G5570" i="32" s="1"/>
  <c r="G5571" i="32" s="1"/>
  <c r="G5572" i="32" s="1"/>
  <c r="G5573" i="32" s="1"/>
  <c r="G5574" i="32" s="1"/>
  <c r="G5575" i="32" s="1"/>
  <c r="G5576" i="32" s="1"/>
  <c r="G5577" i="32" s="1"/>
  <c r="G5578" i="32" s="1"/>
  <c r="G5579" i="32" s="1"/>
  <c r="G5580" i="32" s="1"/>
  <c r="G5581" i="32" s="1"/>
  <c r="G5582" i="32" s="1"/>
  <c r="G5583" i="32" s="1"/>
  <c r="G5584" i="32" s="1"/>
  <c r="G5585" i="32" s="1"/>
  <c r="G5586" i="32" s="1"/>
  <c r="G5587" i="32" s="1"/>
  <c r="G5588" i="32" s="1"/>
  <c r="G5589" i="32" s="1"/>
  <c r="G5590" i="32" s="1"/>
  <c r="G5591" i="32" s="1"/>
  <c r="G5592" i="32" s="1"/>
  <c r="G5593" i="32" s="1"/>
  <c r="G5594" i="32" s="1"/>
  <c r="G5595" i="32" s="1"/>
  <c r="G5596" i="32" s="1"/>
  <c r="G5597" i="32" s="1"/>
  <c r="G5598" i="32" s="1"/>
  <c r="G5599" i="32" s="1"/>
  <c r="G5600" i="32" s="1"/>
  <c r="G5601" i="32" s="1"/>
  <c r="G5602" i="32" s="1"/>
  <c r="G5603" i="32" s="1"/>
  <c r="G5604" i="32" s="1"/>
  <c r="G5605" i="32" s="1"/>
  <c r="G5606" i="32" s="1"/>
  <c r="G5607" i="32" s="1"/>
  <c r="G5608" i="32" s="1"/>
  <c r="G5609" i="32" s="1"/>
  <c r="G5610" i="32" s="1"/>
  <c r="G5611" i="32" s="1"/>
  <c r="G5612" i="32" s="1"/>
  <c r="G5613" i="32" s="1"/>
  <c r="G5614" i="32" s="1"/>
  <c r="G5615" i="32" s="1"/>
  <c r="G5616" i="32" s="1"/>
  <c r="G5617" i="32" s="1"/>
  <c r="G5618" i="32" s="1"/>
  <c r="G5619" i="32" s="1"/>
  <c r="G5620" i="32" s="1"/>
  <c r="G5621" i="32" s="1"/>
  <c r="G5622" i="32" s="1"/>
  <c r="G5623" i="32" s="1"/>
  <c r="G5624" i="32" s="1"/>
  <c r="G5625" i="32" s="1"/>
  <c r="G5626" i="32" s="1"/>
  <c r="G5627" i="32" s="1"/>
  <c r="G5628" i="32" s="1"/>
  <c r="G5629" i="32" s="1"/>
  <c r="G5630" i="32" s="1"/>
  <c r="G5631" i="32" s="1"/>
  <c r="G5632" i="32" s="1"/>
  <c r="G5633" i="32" s="1"/>
  <c r="G5634" i="32" s="1"/>
  <c r="G5635" i="32" s="1"/>
  <c r="G5636" i="32" s="1"/>
  <c r="G5637" i="32" s="1"/>
  <c r="G5638" i="32" s="1"/>
  <c r="G5639" i="32" s="1"/>
  <c r="G5640" i="32" s="1"/>
  <c r="G5641" i="32" s="1"/>
  <c r="G5642" i="32" s="1"/>
  <c r="G5643" i="32" s="1"/>
  <c r="G5644" i="32" s="1"/>
  <c r="G5645" i="32" s="1"/>
  <c r="G5646" i="32" s="1"/>
  <c r="G5647" i="32" s="1"/>
  <c r="G5648" i="32" s="1"/>
  <c r="G5649" i="32" s="1"/>
  <c r="G5650" i="32" s="1"/>
  <c r="G5651" i="32" s="1"/>
  <c r="G5652" i="32" s="1"/>
  <c r="G5653" i="32" s="1"/>
  <c r="G5654" i="32" s="1"/>
  <c r="G5655" i="32" s="1"/>
  <c r="G5656" i="32" s="1"/>
  <c r="G5657" i="32" s="1"/>
  <c r="G5658" i="32" s="1"/>
  <c r="G5659" i="32" s="1"/>
  <c r="G5660" i="32" s="1"/>
  <c r="G5661" i="32" s="1"/>
  <c r="G5662" i="32" s="1"/>
  <c r="G5663" i="32" s="1"/>
  <c r="G5664" i="32" s="1"/>
  <c r="G5665" i="32" s="1"/>
  <c r="G5666" i="32" s="1"/>
  <c r="G5667" i="32" s="1"/>
  <c r="G5668" i="32" s="1"/>
  <c r="G5669" i="32" s="1"/>
  <c r="G5670" i="32" s="1"/>
  <c r="G5671" i="32" s="1"/>
  <c r="G5672" i="32" s="1"/>
  <c r="G5673" i="32" s="1"/>
  <c r="G5674" i="32" s="1"/>
  <c r="G5675" i="32" s="1"/>
  <c r="G5676" i="32" s="1"/>
  <c r="G5677" i="32" s="1"/>
  <c r="G5678" i="32" s="1"/>
  <c r="G5679" i="32" s="1"/>
  <c r="G5680" i="32" s="1"/>
  <c r="G5681" i="32" s="1"/>
  <c r="G5682" i="32" s="1"/>
  <c r="G5683" i="32" s="1"/>
  <c r="G5684" i="32" s="1"/>
  <c r="G5685" i="32" s="1"/>
  <c r="G5686" i="32" s="1"/>
  <c r="G5687" i="32" s="1"/>
  <c r="G5688" i="32" s="1"/>
  <c r="G5689" i="32" s="1"/>
  <c r="G5690" i="32" s="1"/>
  <c r="G5691" i="32" s="1"/>
  <c r="G5692" i="32" s="1"/>
  <c r="G5693" i="32" s="1"/>
  <c r="G5694" i="32" s="1"/>
  <c r="G5695" i="32" s="1"/>
  <c r="G5696" i="32" s="1"/>
  <c r="G5697" i="32" s="1"/>
  <c r="G5698" i="32" s="1"/>
  <c r="G5699" i="32" s="1"/>
  <c r="G5700" i="32" s="1"/>
  <c r="G5701" i="32" s="1"/>
  <c r="G5702" i="32" s="1"/>
  <c r="G5703" i="32" s="1"/>
  <c r="G5704" i="32" s="1"/>
  <c r="G5705" i="32" s="1"/>
  <c r="G5706" i="32" s="1"/>
  <c r="G5707" i="32" s="1"/>
  <c r="G5708" i="32" s="1"/>
  <c r="G5709" i="32" s="1"/>
  <c r="G5710" i="32" s="1"/>
  <c r="G5711" i="32" s="1"/>
  <c r="G5712" i="32" s="1"/>
  <c r="G5713" i="32" s="1"/>
  <c r="G5714" i="32" s="1"/>
  <c r="G5715" i="32" s="1"/>
  <c r="G5716" i="32" s="1"/>
  <c r="G5717" i="32" s="1"/>
  <c r="G5718" i="32" s="1"/>
  <c r="G5719" i="32" s="1"/>
  <c r="G5720" i="32" s="1"/>
  <c r="G5721" i="32" s="1"/>
  <c r="G5722" i="32" s="1"/>
  <c r="G5723" i="32" s="1"/>
  <c r="G5724" i="32" s="1"/>
  <c r="G5725" i="32" s="1"/>
  <c r="G5726" i="32" s="1"/>
  <c r="G5727" i="32" s="1"/>
  <c r="G5728" i="32" s="1"/>
  <c r="G5729" i="32" s="1"/>
  <c r="G5730" i="32" s="1"/>
  <c r="G5731" i="32" s="1"/>
  <c r="G5732" i="32" s="1"/>
  <c r="G5733" i="32" s="1"/>
  <c r="G5734" i="32" s="1"/>
  <c r="G5735" i="32" s="1"/>
  <c r="G5736" i="32" s="1"/>
  <c r="G5737" i="32" s="1"/>
  <c r="G5738" i="32" s="1"/>
  <c r="G5739" i="32" s="1"/>
  <c r="G5740" i="32" s="1"/>
  <c r="G5741" i="32" s="1"/>
  <c r="G5742" i="32" s="1"/>
  <c r="G5743" i="32" s="1"/>
  <c r="G5744" i="32" s="1"/>
  <c r="G5745" i="32" s="1"/>
  <c r="G5746" i="32" s="1"/>
  <c r="G5747" i="32" s="1"/>
  <c r="G5748" i="32" s="1"/>
  <c r="G5749" i="32" s="1"/>
  <c r="G5750" i="32" s="1"/>
  <c r="G5751" i="32" s="1"/>
  <c r="G5752" i="32" s="1"/>
  <c r="G5753" i="32" s="1"/>
  <c r="G5754" i="32" s="1"/>
  <c r="G5755" i="32" s="1"/>
  <c r="G5756" i="32" s="1"/>
  <c r="G5757" i="32" s="1"/>
  <c r="G5758" i="32" s="1"/>
  <c r="G5759" i="32" s="1"/>
  <c r="G5760" i="32" s="1"/>
  <c r="G5761" i="32" s="1"/>
  <c r="G5762" i="32" s="1"/>
  <c r="G5763" i="32" s="1"/>
  <c r="G5764" i="32" s="1"/>
  <c r="G5765" i="32" s="1"/>
  <c r="G5766" i="32" s="1"/>
  <c r="G5767" i="32" s="1"/>
  <c r="G5768" i="32" s="1"/>
  <c r="G5769" i="32" s="1"/>
  <c r="G5770" i="32" s="1"/>
  <c r="G5771" i="32" s="1"/>
  <c r="G5772" i="32" s="1"/>
  <c r="G5773" i="32" s="1"/>
  <c r="G5774" i="32" s="1"/>
  <c r="G5775" i="32" s="1"/>
  <c r="G5776" i="32" s="1"/>
  <c r="G5777" i="32" s="1"/>
  <c r="G5778" i="32" s="1"/>
  <c r="G5779" i="32" s="1"/>
  <c r="G5780" i="32" s="1"/>
  <c r="G5781" i="32" s="1"/>
  <c r="G5782" i="32" s="1"/>
  <c r="G5783" i="32" s="1"/>
  <c r="G5784" i="32" s="1"/>
  <c r="G5785" i="32" s="1"/>
  <c r="G5786" i="32" s="1"/>
  <c r="G5787" i="32" s="1"/>
  <c r="G5788" i="32" s="1"/>
  <c r="G5789" i="32" s="1"/>
  <c r="G5790" i="32" s="1"/>
  <c r="G5791" i="32" s="1"/>
  <c r="G5792" i="32" s="1"/>
  <c r="G5793" i="32" s="1"/>
  <c r="G5794" i="32" s="1"/>
  <c r="G5795" i="32" s="1"/>
  <c r="G5796" i="32" s="1"/>
  <c r="G5797" i="32" s="1"/>
  <c r="G5798" i="32" s="1"/>
  <c r="G5799" i="32" s="1"/>
  <c r="G5800" i="32" s="1"/>
  <c r="G5801" i="32" s="1"/>
  <c r="G5802" i="32" s="1"/>
  <c r="G5803" i="32" s="1"/>
  <c r="G5804" i="32" s="1"/>
  <c r="G5805" i="32" s="1"/>
  <c r="G5806" i="32" s="1"/>
  <c r="G5807" i="32" s="1"/>
  <c r="G5808" i="32" s="1"/>
  <c r="G5809" i="32" s="1"/>
  <c r="G5810" i="32" s="1"/>
  <c r="G5811" i="32" s="1"/>
  <c r="G5812" i="32" s="1"/>
  <c r="G5813" i="32" s="1"/>
  <c r="G5814" i="32" s="1"/>
  <c r="G5815" i="32" s="1"/>
  <c r="G5816" i="32" s="1"/>
  <c r="G5817" i="32" s="1"/>
  <c r="G5818" i="32" s="1"/>
  <c r="G5819" i="32" s="1"/>
  <c r="G5820" i="32" s="1"/>
  <c r="G5821" i="32" s="1"/>
  <c r="G5822" i="32" s="1"/>
  <c r="G5823" i="32" s="1"/>
  <c r="G5824" i="32" s="1"/>
  <c r="G5825" i="32" s="1"/>
  <c r="G5826" i="32" s="1"/>
  <c r="G5827" i="32" s="1"/>
  <c r="G5828" i="32" s="1"/>
  <c r="G5829" i="32" s="1"/>
  <c r="G5830" i="32" s="1"/>
  <c r="G5831" i="32" s="1"/>
  <c r="G5832" i="32" s="1"/>
  <c r="G5833" i="32" s="1"/>
  <c r="G5834" i="32" s="1"/>
  <c r="G5835" i="32" s="1"/>
  <c r="G231" i="32"/>
  <c r="G232" i="32" s="1"/>
  <c r="G233" i="32" s="1"/>
  <c r="G234" i="32" s="1"/>
  <c r="G235" i="32" s="1"/>
  <c r="G236" i="32" s="1"/>
  <c r="G237" i="32" s="1"/>
  <c r="G238" i="32" s="1"/>
  <c r="G239" i="32" s="1"/>
  <c r="G240" i="32" s="1"/>
  <c r="G241" i="32" s="1"/>
  <c r="G242" i="32" s="1"/>
  <c r="G243" i="32" s="1"/>
  <c r="G244" i="32" s="1"/>
  <c r="G245" i="32" s="1"/>
  <c r="G246" i="32" s="1"/>
  <c r="G247" i="32" s="1"/>
  <c r="G248" i="32" s="1"/>
  <c r="G249" i="32" s="1"/>
  <c r="G250" i="32" s="1"/>
  <c r="G251" i="32" s="1"/>
  <c r="G252" i="32" s="1"/>
  <c r="G253" i="32" s="1"/>
  <c r="G254" i="32" s="1"/>
  <c r="G255" i="32" s="1"/>
  <c r="G256" i="32" s="1"/>
  <c r="G257" i="32" s="1"/>
  <c r="G258" i="32" s="1"/>
  <c r="G259" i="32" s="1"/>
  <c r="G260" i="32" s="1"/>
  <c r="G261" i="32" s="1"/>
  <c r="G262" i="32" s="1"/>
  <c r="G263" i="32" s="1"/>
  <c r="G264" i="32" s="1"/>
  <c r="G265" i="32" s="1"/>
  <c r="G266" i="32" s="1"/>
  <c r="G267" i="32" s="1"/>
  <c r="G268" i="32" s="1"/>
  <c r="G269" i="32" s="1"/>
  <c r="G270" i="32" s="1"/>
  <c r="G271" i="32" s="1"/>
  <c r="G272" i="32" s="1"/>
  <c r="G273" i="32" s="1"/>
  <c r="G274" i="32" s="1"/>
  <c r="G275" i="32" s="1"/>
  <c r="G276" i="32" s="1"/>
  <c r="G277" i="32" s="1"/>
  <c r="G278" i="32" s="1"/>
  <c r="G279" i="32" s="1"/>
  <c r="G280" i="32" s="1"/>
  <c r="G281" i="32" s="1"/>
  <c r="G282" i="32" s="1"/>
  <c r="G283" i="32" s="1"/>
  <c r="G284" i="32" s="1"/>
  <c r="G285" i="32" s="1"/>
  <c r="G286" i="32" s="1"/>
  <c r="G287" i="32" s="1"/>
  <c r="G288" i="32" s="1"/>
  <c r="G289" i="32" s="1"/>
  <c r="G290" i="32" s="1"/>
  <c r="G291" i="32" s="1"/>
  <c r="G292" i="32" s="1"/>
  <c r="G293" i="32" s="1"/>
  <c r="G294" i="32" s="1"/>
  <c r="G295" i="32" s="1"/>
  <c r="G296" i="32" s="1"/>
  <c r="G297" i="32" s="1"/>
  <c r="G298" i="32" s="1"/>
  <c r="G299" i="32" s="1"/>
  <c r="G300" i="32" s="1"/>
  <c r="G301" i="32" s="1"/>
  <c r="G302" i="32" s="1"/>
  <c r="G303" i="32" s="1"/>
  <c r="G304" i="32" s="1"/>
  <c r="G305" i="32" s="1"/>
  <c r="G306" i="32" s="1"/>
  <c r="G307" i="32" s="1"/>
  <c r="G308" i="32" s="1"/>
  <c r="G309" i="32" s="1"/>
  <c r="G310" i="32" s="1"/>
  <c r="G311" i="32" s="1"/>
  <c r="G312" i="32" s="1"/>
  <c r="G313" i="32" s="1"/>
  <c r="G314" i="32" s="1"/>
  <c r="G315" i="32" s="1"/>
  <c r="G316" i="32" s="1"/>
  <c r="G317" i="32" s="1"/>
  <c r="G318" i="32" s="1"/>
  <c r="G319" i="32" s="1"/>
  <c r="G320" i="32" s="1"/>
  <c r="G321" i="32" s="1"/>
  <c r="G322" i="32" s="1"/>
  <c r="G323" i="32" s="1"/>
  <c r="G324" i="32" s="1"/>
  <c r="G325" i="32" s="1"/>
  <c r="G326" i="32" s="1"/>
  <c r="G327" i="32" s="1"/>
  <c r="G328" i="32" s="1"/>
  <c r="G329" i="32" s="1"/>
  <c r="G330" i="32" s="1"/>
  <c r="G331" i="32" s="1"/>
  <c r="G332" i="32" s="1"/>
  <c r="G333" i="32" s="1"/>
  <c r="G334" i="32" s="1"/>
  <c r="G335" i="32" s="1"/>
  <c r="G336" i="32" s="1"/>
  <c r="G337" i="32" s="1"/>
  <c r="G338" i="32" s="1"/>
  <c r="G339" i="32" s="1"/>
  <c r="G340" i="32" s="1"/>
  <c r="G341" i="32" s="1"/>
  <c r="G342" i="32" s="1"/>
  <c r="G343" i="32" s="1"/>
  <c r="G344" i="32" s="1"/>
  <c r="G345" i="32" s="1"/>
  <c r="G346" i="32" s="1"/>
  <c r="G347" i="32" s="1"/>
  <c r="G348" i="32" s="1"/>
  <c r="G349" i="32" s="1"/>
  <c r="G350" i="32" s="1"/>
  <c r="G351" i="32" s="1"/>
  <c r="G352" i="32" s="1"/>
  <c r="G353" i="32" s="1"/>
  <c r="G354" i="32" s="1"/>
  <c r="G355" i="32" s="1"/>
  <c r="G356" i="32" s="1"/>
  <c r="G357" i="32" s="1"/>
  <c r="G358" i="32" s="1"/>
  <c r="G359" i="32" s="1"/>
  <c r="G360" i="32" s="1"/>
  <c r="G361" i="32" s="1"/>
  <c r="G362" i="32" s="1"/>
  <c r="G363" i="32" s="1"/>
  <c r="G364" i="32" s="1"/>
  <c r="G365" i="32" s="1"/>
  <c r="G366" i="32" s="1"/>
  <c r="G367" i="32" s="1"/>
  <c r="G368" i="32" s="1"/>
  <c r="G369" i="32" s="1"/>
  <c r="G370" i="32" s="1"/>
  <c r="G371" i="32" s="1"/>
  <c r="G372" i="32" s="1"/>
  <c r="G373" i="32" s="1"/>
  <c r="G374" i="32" s="1"/>
  <c r="G375" i="32" s="1"/>
  <c r="G376" i="32" s="1"/>
  <c r="G377" i="32" s="1"/>
  <c r="G378" i="32" s="1"/>
  <c r="G379" i="32" s="1"/>
  <c r="G380" i="32" s="1"/>
  <c r="G381" i="32" s="1"/>
  <c r="G382" i="32" s="1"/>
  <c r="G383" i="32" s="1"/>
  <c r="G384" i="32" s="1"/>
  <c r="G385" i="32" s="1"/>
  <c r="G386" i="32" s="1"/>
  <c r="G387" i="32" s="1"/>
  <c r="G388" i="32" s="1"/>
  <c r="G389" i="32" s="1"/>
  <c r="G390" i="32" s="1"/>
  <c r="G391" i="32" s="1"/>
  <c r="G392" i="32" s="1"/>
  <c r="G393" i="32" s="1"/>
  <c r="G394" i="32" s="1"/>
  <c r="G395" i="32" s="1"/>
  <c r="G396" i="32" s="1"/>
  <c r="G397" i="32" s="1"/>
  <c r="G398" i="32" s="1"/>
  <c r="G399" i="32" s="1"/>
  <c r="G400" i="32" s="1"/>
  <c r="G401" i="32" s="1"/>
  <c r="G402" i="32" s="1"/>
  <c r="G403" i="32" s="1"/>
  <c r="G404" i="32" s="1"/>
  <c r="G405" i="32" s="1"/>
  <c r="G406" i="32" s="1"/>
  <c r="G407" i="32" s="1"/>
  <c r="G408" i="32" s="1"/>
  <c r="G409" i="32" s="1"/>
  <c r="G410" i="32" s="1"/>
  <c r="G411" i="32" s="1"/>
  <c r="G412" i="32" s="1"/>
  <c r="G413" i="32" s="1"/>
  <c r="G414" i="32" s="1"/>
  <c r="G415" i="32" s="1"/>
  <c r="G416" i="32" s="1"/>
  <c r="G417" i="32" s="1"/>
  <c r="G418" i="32" s="1"/>
  <c r="G419" i="32" s="1"/>
  <c r="G420" i="32" s="1"/>
  <c r="G421" i="32" s="1"/>
  <c r="G422" i="32" s="1"/>
  <c r="G423" i="32" s="1"/>
  <c r="G424" i="32" s="1"/>
  <c r="G425" i="32" s="1"/>
  <c r="G426" i="32" s="1"/>
  <c r="G427" i="32" s="1"/>
  <c r="G428" i="32" s="1"/>
  <c r="G429" i="32" s="1"/>
  <c r="G430" i="32" s="1"/>
  <c r="G431" i="32" s="1"/>
  <c r="G432" i="32" s="1"/>
  <c r="G433" i="32" s="1"/>
  <c r="G434" i="32" s="1"/>
  <c r="G435" i="32" s="1"/>
  <c r="G436" i="32" s="1"/>
  <c r="G437" i="32" s="1"/>
  <c r="G438" i="32" s="1"/>
  <c r="G439" i="32" s="1"/>
  <c r="G440" i="32" s="1"/>
  <c r="G441" i="32" s="1"/>
  <c r="G442" i="32" s="1"/>
  <c r="G443" i="32" s="1"/>
  <c r="G444" i="32" s="1"/>
  <c r="G445" i="32" s="1"/>
  <c r="G446" i="32" s="1"/>
  <c r="G447" i="32" s="1"/>
  <c r="G448" i="32" s="1"/>
  <c r="G449" i="32" s="1"/>
  <c r="G450" i="32" s="1"/>
  <c r="G451" i="32" s="1"/>
  <c r="G452" i="32" s="1"/>
  <c r="G453" i="32" s="1"/>
  <c r="G454" i="32" s="1"/>
  <c r="G455" i="32" s="1"/>
  <c r="G456" i="32" s="1"/>
  <c r="G457" i="32" s="1"/>
  <c r="G458" i="32" s="1"/>
  <c r="G459" i="32" s="1"/>
  <c r="G460" i="32" s="1"/>
  <c r="G461" i="32" s="1"/>
  <c r="G462" i="32" s="1"/>
  <c r="G463" i="32" s="1"/>
  <c r="G464" i="32" s="1"/>
  <c r="G465" i="32" s="1"/>
  <c r="G466" i="32" s="1"/>
  <c r="G467" i="32" s="1"/>
  <c r="G468" i="32" s="1"/>
  <c r="G469" i="32" s="1"/>
  <c r="G470" i="32" s="1"/>
  <c r="G471" i="32" s="1"/>
  <c r="G472" i="32" s="1"/>
  <c r="G473" i="32" s="1"/>
  <c r="G474" i="32" s="1"/>
  <c r="G475" i="32" s="1"/>
  <c r="G476" i="32" s="1"/>
  <c r="G477" i="32" s="1"/>
  <c r="G478" i="32" s="1"/>
  <c r="G479" i="32" s="1"/>
  <c r="G480" i="32" s="1"/>
  <c r="G481" i="32" s="1"/>
  <c r="G482" i="32" s="1"/>
  <c r="G483" i="32" s="1"/>
  <c r="G484" i="32" s="1"/>
  <c r="G485" i="32" s="1"/>
  <c r="G486" i="32" s="1"/>
  <c r="G487" i="32" s="1"/>
  <c r="G488" i="32" s="1"/>
  <c r="G489" i="32" s="1"/>
  <c r="G490" i="32" s="1"/>
  <c r="G491" i="32" s="1"/>
  <c r="G492" i="32" s="1"/>
  <c r="G493" i="32" s="1"/>
  <c r="G494" i="32" s="1"/>
  <c r="G495" i="32" s="1"/>
  <c r="G496" i="32" s="1"/>
  <c r="G497" i="32" s="1"/>
  <c r="G498" i="32" s="1"/>
  <c r="G499" i="32" s="1"/>
  <c r="G500" i="32" s="1"/>
  <c r="G501" i="32" s="1"/>
  <c r="G502" i="32" s="1"/>
  <c r="G503" i="32" s="1"/>
  <c r="G504" i="32" s="1"/>
  <c r="G505" i="32" s="1"/>
  <c r="G506" i="32" s="1"/>
  <c r="G507" i="32" s="1"/>
  <c r="G508" i="32" s="1"/>
  <c r="G509" i="32" s="1"/>
  <c r="G510" i="32" s="1"/>
  <c r="G511" i="32" s="1"/>
  <c r="G512" i="32" s="1"/>
  <c r="G513" i="32" s="1"/>
  <c r="G514" i="32" s="1"/>
  <c r="G515" i="32" s="1"/>
  <c r="G516" i="32" s="1"/>
  <c r="G517" i="32" s="1"/>
  <c r="G518" i="32" s="1"/>
  <c r="G519" i="32" s="1"/>
  <c r="G520" i="32" s="1"/>
  <c r="G521" i="32" s="1"/>
  <c r="G522" i="32" s="1"/>
  <c r="G523" i="32" s="1"/>
  <c r="G524" i="32" s="1"/>
  <c r="G525" i="32" s="1"/>
  <c r="G526" i="32" s="1"/>
  <c r="G527" i="32" s="1"/>
  <c r="G528" i="32" s="1"/>
  <c r="G529" i="32" s="1"/>
  <c r="G530" i="32" s="1"/>
  <c r="G531" i="32" s="1"/>
  <c r="G532" i="32" s="1"/>
  <c r="G533" i="32" s="1"/>
  <c r="G534" i="32" s="1"/>
  <c r="G535" i="32" s="1"/>
  <c r="G536" i="32" s="1"/>
  <c r="G537" i="32" s="1"/>
  <c r="G538" i="32" s="1"/>
  <c r="G539" i="32" s="1"/>
  <c r="G540" i="32" s="1"/>
  <c r="G541" i="32" s="1"/>
  <c r="G542" i="32" s="1"/>
  <c r="G543" i="32" s="1"/>
  <c r="G544" i="32" s="1"/>
  <c r="G545" i="32" s="1"/>
  <c r="G546" i="32" s="1"/>
  <c r="G547" i="32" s="1"/>
  <c r="G548" i="32" s="1"/>
  <c r="G549" i="32" s="1"/>
  <c r="G550" i="32" s="1"/>
  <c r="G551" i="32" s="1"/>
  <c r="G552" i="32" s="1"/>
  <c r="G553" i="32" s="1"/>
  <c r="G554" i="32" s="1"/>
  <c r="G555" i="32" s="1"/>
  <c r="G556" i="32" s="1"/>
  <c r="G557" i="32" s="1"/>
  <c r="G558" i="32" s="1"/>
  <c r="G559" i="32" s="1"/>
  <c r="G560" i="32" s="1"/>
  <c r="G561" i="32" s="1"/>
  <c r="G562" i="32" s="1"/>
  <c r="G563" i="32" s="1"/>
  <c r="G564" i="32" s="1"/>
  <c r="G565" i="32" s="1"/>
  <c r="G566" i="32" s="1"/>
  <c r="G567" i="32" s="1"/>
  <c r="G568" i="32" s="1"/>
  <c r="G569" i="32" s="1"/>
  <c r="G570" i="32" s="1"/>
  <c r="G571" i="32" s="1"/>
  <c r="G572" i="32" s="1"/>
  <c r="G573" i="32" s="1"/>
  <c r="G574" i="32" s="1"/>
  <c r="G575" i="32" s="1"/>
  <c r="G576" i="32" s="1"/>
  <c r="G577" i="32" s="1"/>
  <c r="G578" i="32" s="1"/>
  <c r="G579" i="32" s="1"/>
  <c r="G580" i="32" s="1"/>
  <c r="G581" i="32" s="1"/>
  <c r="G582" i="32" s="1"/>
  <c r="G583" i="32" s="1"/>
  <c r="G584" i="32" s="1"/>
  <c r="G585" i="32" s="1"/>
  <c r="G586" i="32" s="1"/>
  <c r="G587" i="32" s="1"/>
  <c r="G588" i="32" s="1"/>
  <c r="G589" i="32" s="1"/>
  <c r="G590" i="32" s="1"/>
  <c r="G591" i="32" s="1"/>
  <c r="G592" i="32" s="1"/>
  <c r="G593" i="32" s="1"/>
  <c r="G594" i="32" s="1"/>
  <c r="G595" i="32" s="1"/>
  <c r="G596" i="32" s="1"/>
  <c r="G597" i="32" s="1"/>
  <c r="G598" i="32" s="1"/>
  <c r="G599" i="32" s="1"/>
  <c r="G600" i="32" s="1"/>
  <c r="G601" i="32" s="1"/>
  <c r="G602" i="32" s="1"/>
  <c r="G603" i="32" s="1"/>
  <c r="G604" i="32" s="1"/>
  <c r="G605" i="32" s="1"/>
  <c r="G606" i="32" s="1"/>
  <c r="G607" i="32" s="1"/>
  <c r="G608" i="32" s="1"/>
  <c r="G609" i="32" s="1"/>
  <c r="G610" i="32" s="1"/>
  <c r="G611" i="32" s="1"/>
  <c r="G612" i="32" s="1"/>
  <c r="G613" i="32" s="1"/>
  <c r="G614" i="32" s="1"/>
  <c r="G615" i="32" s="1"/>
  <c r="G616" i="32" s="1"/>
  <c r="G617" i="32" s="1"/>
  <c r="G618" i="32" s="1"/>
  <c r="G619" i="32" s="1"/>
  <c r="G620" i="32" s="1"/>
  <c r="G621" i="32" s="1"/>
  <c r="G622" i="32" s="1"/>
  <c r="G623" i="32" s="1"/>
  <c r="G624" i="32" s="1"/>
  <c r="G625" i="32" s="1"/>
  <c r="G626" i="32" s="1"/>
  <c r="G627" i="32" s="1"/>
  <c r="G628" i="32" s="1"/>
  <c r="G629" i="32" s="1"/>
  <c r="G630" i="32" s="1"/>
  <c r="G631" i="32" s="1"/>
  <c r="G632" i="32" s="1"/>
  <c r="G633" i="32" s="1"/>
  <c r="G634" i="32" s="1"/>
  <c r="G635" i="32" s="1"/>
  <c r="G636" i="32" s="1"/>
  <c r="G637" i="32" s="1"/>
  <c r="G638" i="32" s="1"/>
  <c r="G639" i="32" s="1"/>
  <c r="G640" i="32" s="1"/>
  <c r="G641" i="32" s="1"/>
  <c r="G642" i="32" s="1"/>
  <c r="G643" i="32" s="1"/>
  <c r="G644" i="32" s="1"/>
  <c r="G645" i="32" s="1"/>
  <c r="G646" i="32" s="1"/>
  <c r="G647" i="32" s="1"/>
  <c r="G648" i="32" s="1"/>
  <c r="G649" i="32" s="1"/>
  <c r="G650" i="32" s="1"/>
  <c r="G651" i="32" s="1"/>
  <c r="G652" i="32" s="1"/>
  <c r="G653" i="32" s="1"/>
  <c r="G654" i="32" s="1"/>
  <c r="G655" i="32" s="1"/>
  <c r="G656" i="32" s="1"/>
  <c r="G657" i="32" s="1"/>
  <c r="G658" i="32" s="1"/>
  <c r="G659" i="32" s="1"/>
  <c r="G660" i="32" s="1"/>
  <c r="G661" i="32" s="1"/>
  <c r="G662" i="32" s="1"/>
  <c r="G663" i="32" s="1"/>
  <c r="G664" i="32" s="1"/>
  <c r="G665" i="32" s="1"/>
  <c r="G666" i="32" s="1"/>
  <c r="G667" i="32" s="1"/>
  <c r="G668" i="32" s="1"/>
  <c r="G669" i="32" s="1"/>
  <c r="G670" i="32" s="1"/>
  <c r="G671" i="32" s="1"/>
  <c r="G672" i="32" s="1"/>
  <c r="G673" i="32" s="1"/>
  <c r="G674" i="32" s="1"/>
  <c r="G675" i="32" s="1"/>
  <c r="G676" i="32" s="1"/>
  <c r="G677" i="32" s="1"/>
  <c r="G678" i="32" s="1"/>
  <c r="G679" i="32" s="1"/>
  <c r="G680" i="32" s="1"/>
  <c r="G681" i="32" s="1"/>
  <c r="G682" i="32" s="1"/>
  <c r="G683" i="32" s="1"/>
  <c r="G684" i="32" s="1"/>
  <c r="G685" i="32" s="1"/>
  <c r="G686" i="32" s="1"/>
  <c r="G687" i="32" s="1"/>
  <c r="G688" i="32" s="1"/>
  <c r="G689" i="32" s="1"/>
  <c r="G690" i="32" s="1"/>
  <c r="G691" i="32" s="1"/>
  <c r="G692" i="32" s="1"/>
  <c r="G693" i="32" s="1"/>
  <c r="G694" i="32" s="1"/>
  <c r="G695" i="32" s="1"/>
  <c r="G696" i="32" s="1"/>
  <c r="G697" i="32" s="1"/>
  <c r="G698" i="32" s="1"/>
  <c r="G699" i="32" s="1"/>
  <c r="G700" i="32" s="1"/>
  <c r="G701" i="32" s="1"/>
  <c r="G702" i="32" s="1"/>
  <c r="G703" i="32" s="1"/>
  <c r="G704" i="32" s="1"/>
  <c r="G705" i="32" s="1"/>
  <c r="G706" i="32" s="1"/>
  <c r="G707" i="32" s="1"/>
  <c r="G708" i="32" s="1"/>
  <c r="G709" i="32" s="1"/>
  <c r="G710" i="32" s="1"/>
  <c r="G711" i="32" s="1"/>
  <c r="G712" i="32" s="1"/>
  <c r="G713" i="32" s="1"/>
  <c r="G714" i="32" s="1"/>
  <c r="G715" i="32" s="1"/>
  <c r="G716" i="32" s="1"/>
  <c r="G717" i="32" s="1"/>
  <c r="G718" i="32" s="1"/>
  <c r="G719" i="32" s="1"/>
  <c r="G720" i="32" s="1"/>
  <c r="G721" i="32" s="1"/>
  <c r="G722" i="32" s="1"/>
  <c r="G723" i="32" s="1"/>
  <c r="G724" i="32" s="1"/>
  <c r="G725" i="32" s="1"/>
  <c r="G726" i="32" s="1"/>
  <c r="G727" i="32" s="1"/>
  <c r="G728" i="32" s="1"/>
  <c r="G729" i="32" s="1"/>
  <c r="G730" i="32" s="1"/>
  <c r="G731" i="32" s="1"/>
  <c r="G732" i="32" s="1"/>
  <c r="G733" i="32" s="1"/>
  <c r="G734" i="32" s="1"/>
  <c r="G735" i="32" s="1"/>
  <c r="G736" i="32" s="1"/>
  <c r="G737" i="32" s="1"/>
  <c r="G738" i="32" s="1"/>
  <c r="G739" i="32" s="1"/>
  <c r="G740" i="32" s="1"/>
  <c r="G741" i="32" s="1"/>
  <c r="G742" i="32" s="1"/>
  <c r="G743" i="32" s="1"/>
  <c r="G744" i="32" s="1"/>
  <c r="G745" i="32" s="1"/>
  <c r="G746" i="32" s="1"/>
  <c r="G747" i="32" s="1"/>
  <c r="G748" i="32" s="1"/>
  <c r="G749" i="32" s="1"/>
  <c r="G750" i="32" s="1"/>
  <c r="G751" i="32" s="1"/>
  <c r="G752" i="32" s="1"/>
  <c r="G753" i="32" s="1"/>
  <c r="G754" i="32" s="1"/>
  <c r="G755" i="32" s="1"/>
  <c r="G756" i="32" s="1"/>
  <c r="G757" i="32" s="1"/>
  <c r="G758" i="32" s="1"/>
  <c r="G759" i="32" s="1"/>
  <c r="G760" i="32" s="1"/>
  <c r="G761" i="32" s="1"/>
  <c r="G762" i="32" s="1"/>
  <c r="G763" i="32" s="1"/>
  <c r="G764" i="32" s="1"/>
  <c r="G765" i="32" s="1"/>
  <c r="G766" i="32" s="1"/>
  <c r="G767" i="32" s="1"/>
  <c r="G768" i="32" s="1"/>
  <c r="G769" i="32" s="1"/>
  <c r="G770" i="32" s="1"/>
  <c r="G771" i="32" s="1"/>
  <c r="G772" i="32" s="1"/>
  <c r="G773" i="32" s="1"/>
  <c r="G774" i="32" s="1"/>
  <c r="G775" i="32" s="1"/>
  <c r="G776" i="32" s="1"/>
  <c r="G777" i="32" s="1"/>
  <c r="G778" i="32" s="1"/>
  <c r="G779" i="32" s="1"/>
  <c r="G780" i="32" s="1"/>
  <c r="G781" i="32" s="1"/>
  <c r="G782" i="32" s="1"/>
  <c r="G783" i="32" s="1"/>
  <c r="G784" i="32" s="1"/>
  <c r="G785" i="32" s="1"/>
  <c r="G786" i="32" s="1"/>
  <c r="G787" i="32" s="1"/>
  <c r="G788" i="32" s="1"/>
  <c r="G789" i="32" s="1"/>
  <c r="G790" i="32" s="1"/>
  <c r="G791" i="32" s="1"/>
  <c r="G792" i="32" s="1"/>
  <c r="G793" i="32" s="1"/>
  <c r="G794" i="32" s="1"/>
  <c r="G795" i="32" s="1"/>
  <c r="G796" i="32" s="1"/>
  <c r="G797" i="32" s="1"/>
  <c r="G798" i="32" s="1"/>
  <c r="G799" i="32" s="1"/>
  <c r="G800" i="32" s="1"/>
  <c r="G801" i="32" s="1"/>
  <c r="G802" i="32" s="1"/>
  <c r="G803" i="32" s="1"/>
  <c r="G804" i="32" s="1"/>
  <c r="G805" i="32" s="1"/>
  <c r="G806" i="32" s="1"/>
  <c r="G807" i="32" s="1"/>
  <c r="G808" i="32" s="1"/>
  <c r="G809" i="32" s="1"/>
  <c r="G810" i="32" s="1"/>
  <c r="G811" i="32" s="1"/>
  <c r="G812" i="32" s="1"/>
  <c r="G813" i="32" s="1"/>
  <c r="G814" i="32" s="1"/>
  <c r="G815" i="32" s="1"/>
  <c r="G816" i="32" s="1"/>
  <c r="G817" i="32" s="1"/>
  <c r="G818" i="32" s="1"/>
  <c r="G819" i="32" s="1"/>
  <c r="G820" i="32" s="1"/>
  <c r="G821" i="32" s="1"/>
  <c r="G822" i="32" s="1"/>
  <c r="G823" i="32" s="1"/>
  <c r="G824" i="32" s="1"/>
  <c r="G825" i="32" s="1"/>
  <c r="G826" i="32" s="1"/>
  <c r="G827" i="32" s="1"/>
  <c r="G828" i="32" s="1"/>
  <c r="G829" i="32" s="1"/>
  <c r="G830" i="32" s="1"/>
  <c r="G831" i="32" s="1"/>
  <c r="G832" i="32" s="1"/>
  <c r="G833" i="32" s="1"/>
  <c r="G834" i="32" s="1"/>
  <c r="G835" i="32" s="1"/>
  <c r="G836" i="32" s="1"/>
  <c r="G837" i="32" s="1"/>
  <c r="G838" i="32" s="1"/>
  <c r="G839" i="32" s="1"/>
  <c r="G840" i="32" s="1"/>
  <c r="G841" i="32" s="1"/>
  <c r="G842" i="32" s="1"/>
  <c r="G843" i="32" s="1"/>
  <c r="G844" i="32" s="1"/>
  <c r="G845" i="32" s="1"/>
  <c r="G846" i="32" s="1"/>
  <c r="G847" i="32" s="1"/>
  <c r="G848" i="32" s="1"/>
  <c r="G849" i="32" s="1"/>
  <c r="G850" i="32" s="1"/>
  <c r="G851" i="32" s="1"/>
  <c r="G852" i="32" s="1"/>
  <c r="G853" i="32" s="1"/>
  <c r="G854" i="32" s="1"/>
  <c r="G855" i="32" s="1"/>
  <c r="G856" i="32" s="1"/>
  <c r="G857" i="32" s="1"/>
  <c r="G858" i="32" s="1"/>
  <c r="G859" i="32" s="1"/>
  <c r="G860" i="32" s="1"/>
  <c r="G861" i="32" s="1"/>
  <c r="G862" i="32" s="1"/>
  <c r="G863" i="32" s="1"/>
  <c r="G864" i="32" s="1"/>
  <c r="G865" i="32" s="1"/>
  <c r="G866" i="32" s="1"/>
  <c r="G867" i="32" s="1"/>
  <c r="G868" i="32" s="1"/>
  <c r="G869" i="32" s="1"/>
  <c r="G870" i="32" s="1"/>
  <c r="G871" i="32" s="1"/>
  <c r="G872" i="32" s="1"/>
  <c r="G873" i="32" s="1"/>
  <c r="G874" i="32" s="1"/>
  <c r="G875" i="32" s="1"/>
  <c r="G876" i="32" s="1"/>
  <c r="G877" i="32" s="1"/>
  <c r="G878" i="32" s="1"/>
  <c r="G879" i="32" s="1"/>
  <c r="G880" i="32" s="1"/>
  <c r="G881" i="32" s="1"/>
  <c r="G882" i="32" s="1"/>
  <c r="G883" i="32" s="1"/>
  <c r="G884" i="32" s="1"/>
  <c r="G885" i="32" s="1"/>
  <c r="G886" i="32" s="1"/>
  <c r="G887" i="32" s="1"/>
  <c r="G888" i="32" s="1"/>
  <c r="G889" i="32" s="1"/>
  <c r="G890" i="32" s="1"/>
  <c r="G891" i="32" s="1"/>
  <c r="G892" i="32" s="1"/>
  <c r="G893" i="32" s="1"/>
  <c r="G894" i="32" s="1"/>
  <c r="G895" i="32" s="1"/>
  <c r="G896" i="32" s="1"/>
  <c r="G897" i="32" s="1"/>
  <c r="G898" i="32" s="1"/>
  <c r="G899" i="32" s="1"/>
  <c r="G900" i="32" s="1"/>
  <c r="G901" i="32" s="1"/>
  <c r="G902" i="32" s="1"/>
  <c r="G903" i="32" s="1"/>
  <c r="G904" i="32" s="1"/>
  <c r="G905" i="32" s="1"/>
  <c r="G906" i="32" s="1"/>
  <c r="G907" i="32" s="1"/>
  <c r="G908" i="32" s="1"/>
  <c r="G909" i="32" s="1"/>
  <c r="G910" i="32" s="1"/>
  <c r="G911" i="32" s="1"/>
  <c r="G912" i="32" s="1"/>
  <c r="G913" i="32" s="1"/>
  <c r="G914" i="32" s="1"/>
  <c r="G915" i="32" s="1"/>
  <c r="G916" i="32" s="1"/>
  <c r="G917" i="32" s="1"/>
  <c r="G918" i="32" s="1"/>
  <c r="G919" i="32" s="1"/>
  <c r="G920" i="32" s="1"/>
  <c r="G921" i="32" s="1"/>
  <c r="G922" i="32" s="1"/>
  <c r="G923" i="32" s="1"/>
  <c r="G924" i="32" s="1"/>
  <c r="G925" i="32" s="1"/>
  <c r="G926" i="32" s="1"/>
  <c r="G927" i="32" s="1"/>
  <c r="G928" i="32" s="1"/>
  <c r="G929" i="32" s="1"/>
  <c r="G930" i="32" s="1"/>
  <c r="G931" i="32" s="1"/>
  <c r="G932" i="32" s="1"/>
  <c r="G933" i="32" s="1"/>
  <c r="G934" i="32" s="1"/>
  <c r="G935" i="32" s="1"/>
  <c r="G936" i="32" s="1"/>
  <c r="G937" i="32" s="1"/>
  <c r="G938" i="32" s="1"/>
  <c r="G939" i="32" s="1"/>
  <c r="G940" i="32" s="1"/>
  <c r="G941" i="32" s="1"/>
  <c r="G942" i="32" s="1"/>
  <c r="G943" i="32" s="1"/>
  <c r="G944" i="32" s="1"/>
  <c r="G945" i="32" s="1"/>
  <c r="G946" i="32" s="1"/>
  <c r="G947" i="32" s="1"/>
  <c r="G948" i="32" s="1"/>
  <c r="G949" i="32" s="1"/>
  <c r="G950" i="32" s="1"/>
  <c r="G951" i="32" s="1"/>
  <c r="G952" i="32" s="1"/>
  <c r="G953" i="32" s="1"/>
  <c r="G954" i="32" s="1"/>
  <c r="G955" i="32" s="1"/>
  <c r="G956" i="32" s="1"/>
  <c r="G957" i="32" s="1"/>
  <c r="G958" i="32" s="1"/>
  <c r="G959" i="32" s="1"/>
  <c r="G960" i="32" s="1"/>
  <c r="G961" i="32" s="1"/>
  <c r="G962" i="32" s="1"/>
  <c r="G963" i="32" s="1"/>
  <c r="G964" i="32" s="1"/>
  <c r="G965" i="32" s="1"/>
  <c r="G966" i="32" s="1"/>
  <c r="G967" i="32" s="1"/>
  <c r="G968" i="32" s="1"/>
  <c r="G969" i="32" s="1"/>
  <c r="G970" i="32" s="1"/>
  <c r="G971" i="32" s="1"/>
  <c r="G972" i="32" s="1"/>
  <c r="G973" i="32" s="1"/>
  <c r="G974" i="32" s="1"/>
  <c r="G975" i="32" s="1"/>
  <c r="G976" i="32" s="1"/>
  <c r="G977" i="32" s="1"/>
  <c r="G978" i="32" s="1"/>
  <c r="G979" i="32" s="1"/>
  <c r="G980" i="32" s="1"/>
  <c r="G981" i="32" s="1"/>
  <c r="G982" i="32" s="1"/>
  <c r="G983" i="32" s="1"/>
  <c r="G984" i="32" s="1"/>
  <c r="G985" i="32" s="1"/>
  <c r="G986" i="32" s="1"/>
  <c r="G987" i="32" s="1"/>
  <c r="G988" i="32" s="1"/>
  <c r="G989" i="32" s="1"/>
  <c r="G990" i="32" s="1"/>
  <c r="G991" i="32" s="1"/>
  <c r="G992" i="32" s="1"/>
  <c r="G993" i="32" s="1"/>
  <c r="G994" i="32" s="1"/>
  <c r="G995" i="32" s="1"/>
  <c r="G996" i="32" s="1"/>
  <c r="G997" i="32" s="1"/>
  <c r="G998" i="32" s="1"/>
  <c r="G999" i="32" s="1"/>
  <c r="G1000" i="32" s="1"/>
  <c r="G1001" i="32" s="1"/>
  <c r="G1002" i="32" s="1"/>
  <c r="G1003" i="32" s="1"/>
  <c r="G1004" i="32" s="1"/>
  <c r="G1005" i="32" s="1"/>
  <c r="G1006" i="32" s="1"/>
  <c r="G1007" i="32" s="1"/>
  <c r="G1008" i="32" s="1"/>
  <c r="G1009" i="32" s="1"/>
  <c r="G1010" i="32" s="1"/>
  <c r="G1011" i="32" s="1"/>
  <c r="G1012" i="32" s="1"/>
  <c r="G1013" i="32" s="1"/>
  <c r="G1014" i="32" s="1"/>
  <c r="G1015" i="32" s="1"/>
  <c r="G1016" i="32" s="1"/>
  <c r="G1017" i="32" s="1"/>
  <c r="G1018" i="32" s="1"/>
  <c r="G1019" i="32" s="1"/>
  <c r="G1020" i="32" s="1"/>
  <c r="G1021" i="32" s="1"/>
  <c r="G1022" i="32" s="1"/>
  <c r="G1023" i="32" s="1"/>
  <c r="G1024" i="32" s="1"/>
  <c r="G1025" i="32" s="1"/>
  <c r="G1026" i="32" s="1"/>
  <c r="G1027" i="32" s="1"/>
  <c r="G1028" i="32" s="1"/>
  <c r="G1029" i="32" s="1"/>
  <c r="G1030" i="32" s="1"/>
  <c r="G1031" i="32" s="1"/>
  <c r="G1032" i="32" s="1"/>
  <c r="G1033" i="32" s="1"/>
  <c r="G1034" i="32" s="1"/>
  <c r="G1035" i="32" s="1"/>
  <c r="G1036" i="32" s="1"/>
  <c r="G1037" i="32" s="1"/>
  <c r="G1038" i="32" s="1"/>
  <c r="G1039" i="32" s="1"/>
  <c r="G1040" i="32" s="1"/>
  <c r="G1041" i="32" s="1"/>
  <c r="G1042" i="32" s="1"/>
  <c r="G1043" i="32" s="1"/>
  <c r="G1044" i="32" s="1"/>
  <c r="G1045" i="32" s="1"/>
  <c r="G1046" i="32" s="1"/>
  <c r="G1047" i="32" s="1"/>
  <c r="G1048" i="32" s="1"/>
  <c r="G1049" i="32" s="1"/>
  <c r="G1050" i="32" s="1"/>
  <c r="G1051" i="32" s="1"/>
  <c r="G1052" i="32" s="1"/>
  <c r="G1053" i="32" s="1"/>
  <c r="G1054" i="32" s="1"/>
  <c r="G1055" i="32" s="1"/>
  <c r="G1056" i="32" s="1"/>
  <c r="G1057" i="32" s="1"/>
  <c r="G1058" i="32" s="1"/>
  <c r="G1059" i="32" s="1"/>
  <c r="G1060" i="32" s="1"/>
  <c r="G1061" i="32" s="1"/>
  <c r="G1062" i="32" s="1"/>
  <c r="G1063" i="32" s="1"/>
  <c r="G1064" i="32" s="1"/>
  <c r="G1065" i="32" s="1"/>
  <c r="G1066" i="32" s="1"/>
  <c r="G1067" i="32" s="1"/>
  <c r="G1068" i="32" s="1"/>
  <c r="G1069" i="32" s="1"/>
  <c r="G1070" i="32" s="1"/>
  <c r="G1071" i="32" s="1"/>
  <c r="G1072" i="32" s="1"/>
  <c r="G1073" i="32" s="1"/>
  <c r="G1074" i="32" s="1"/>
  <c r="G1075" i="32" s="1"/>
  <c r="G1076" i="32" s="1"/>
  <c r="G1077" i="32" s="1"/>
  <c r="G1078" i="32" s="1"/>
  <c r="G1079" i="32" s="1"/>
  <c r="G1080" i="32" s="1"/>
  <c r="G1081" i="32" s="1"/>
  <c r="G1082" i="32" s="1"/>
  <c r="G1083" i="32" s="1"/>
  <c r="G1084" i="32" s="1"/>
  <c r="G1085" i="32" s="1"/>
  <c r="G1086" i="32" s="1"/>
  <c r="G1087" i="32" s="1"/>
  <c r="G1088" i="32" s="1"/>
  <c r="G1089" i="32" s="1"/>
  <c r="G1090" i="32" s="1"/>
  <c r="G1091" i="32" s="1"/>
  <c r="G1092" i="32" s="1"/>
  <c r="G1093" i="32" s="1"/>
  <c r="G1094" i="32" s="1"/>
  <c r="G1095" i="32" s="1"/>
  <c r="G1096" i="32" s="1"/>
  <c r="G1097" i="32" s="1"/>
  <c r="G1098" i="32" s="1"/>
  <c r="G1099" i="32" s="1"/>
  <c r="G1100" i="32" s="1"/>
  <c r="G1101" i="32" s="1"/>
  <c r="G1102" i="32" s="1"/>
  <c r="G1103" i="32" s="1"/>
  <c r="G1104" i="32" s="1"/>
  <c r="G1105" i="32" s="1"/>
  <c r="G1106" i="32" s="1"/>
  <c r="G1107" i="32" s="1"/>
  <c r="G1108" i="32" s="1"/>
  <c r="G1109" i="32" s="1"/>
  <c r="G1110" i="32" s="1"/>
  <c r="G1111" i="32" s="1"/>
  <c r="G1112" i="32" s="1"/>
  <c r="G1113" i="32" s="1"/>
  <c r="G1114" i="32" s="1"/>
  <c r="G1115" i="32" s="1"/>
  <c r="G1116" i="32" s="1"/>
  <c r="G1117" i="32" s="1"/>
  <c r="G1118" i="32" s="1"/>
  <c r="G1119" i="32" s="1"/>
  <c r="G1120" i="32" s="1"/>
  <c r="G1121" i="32" s="1"/>
  <c r="G1122" i="32" s="1"/>
  <c r="G1123" i="32" s="1"/>
  <c r="G1124" i="32" s="1"/>
  <c r="G1125" i="32" s="1"/>
  <c r="G1126" i="32" s="1"/>
  <c r="G1127" i="32" s="1"/>
  <c r="G1128" i="32" s="1"/>
  <c r="G1129" i="32" s="1"/>
  <c r="G1130" i="32" s="1"/>
  <c r="G1131" i="32" s="1"/>
  <c r="G1132" i="32" s="1"/>
  <c r="G1133" i="32" s="1"/>
  <c r="G1134" i="32" s="1"/>
  <c r="G1135" i="32" s="1"/>
  <c r="G1136" i="32" s="1"/>
  <c r="G1137" i="32" s="1"/>
  <c r="G1138" i="32" s="1"/>
  <c r="G1139" i="32" s="1"/>
  <c r="G1140" i="32" s="1"/>
  <c r="G1141" i="32" s="1"/>
  <c r="G1142" i="32" s="1"/>
  <c r="G1143" i="32" s="1"/>
  <c r="G1144" i="32" s="1"/>
  <c r="G1145" i="32" s="1"/>
  <c r="G1146" i="32" s="1"/>
  <c r="G1147" i="32" s="1"/>
  <c r="G1148" i="32" s="1"/>
  <c r="G1149" i="32" s="1"/>
  <c r="G1150" i="32" s="1"/>
  <c r="G1151" i="32" s="1"/>
  <c r="G1152" i="32" s="1"/>
  <c r="G1153" i="32" s="1"/>
  <c r="G1154" i="32" s="1"/>
  <c r="G1155" i="32" s="1"/>
  <c r="G1156" i="32" s="1"/>
  <c r="G1157" i="32" s="1"/>
  <c r="G1158" i="32" s="1"/>
  <c r="G1159" i="32" s="1"/>
  <c r="G1160" i="32" s="1"/>
  <c r="G1161" i="32" s="1"/>
  <c r="G1162" i="32" s="1"/>
  <c r="G1163" i="32" s="1"/>
  <c r="G1164" i="32" s="1"/>
  <c r="G1165" i="32" s="1"/>
  <c r="G1166" i="32" s="1"/>
  <c r="G1167" i="32" s="1"/>
  <c r="G1168" i="32" s="1"/>
  <c r="G1169" i="32" s="1"/>
  <c r="G1170" i="32" s="1"/>
  <c r="G1171" i="32" s="1"/>
  <c r="G1172" i="32" s="1"/>
  <c r="G1173" i="32" s="1"/>
  <c r="G1174" i="32" s="1"/>
  <c r="G1175" i="32" s="1"/>
  <c r="G1176" i="32" s="1"/>
  <c r="G1177" i="32" s="1"/>
  <c r="G1178" i="32" s="1"/>
  <c r="G1179" i="32" s="1"/>
  <c r="G1180" i="32" s="1"/>
  <c r="G1181" i="32" s="1"/>
  <c r="G1182" i="32" s="1"/>
  <c r="G1183" i="32" s="1"/>
  <c r="G1184" i="32" s="1"/>
  <c r="G1185" i="32" s="1"/>
  <c r="G1186" i="32" s="1"/>
  <c r="G1187" i="32" s="1"/>
  <c r="G1188" i="32" s="1"/>
  <c r="G1189" i="32" s="1"/>
  <c r="G1190" i="32" s="1"/>
  <c r="G1191" i="32" s="1"/>
  <c r="G1192" i="32" s="1"/>
  <c r="G1193" i="32" s="1"/>
  <c r="G1194" i="32" s="1"/>
  <c r="G1195" i="32" s="1"/>
  <c r="G1196" i="32" s="1"/>
  <c r="G1197" i="32" s="1"/>
  <c r="G1198" i="32" s="1"/>
  <c r="G1199" i="32" s="1"/>
  <c r="G1200" i="32" s="1"/>
  <c r="G1201" i="32" s="1"/>
  <c r="G1202" i="32" s="1"/>
  <c r="G1203" i="32" s="1"/>
  <c r="G1204" i="32" s="1"/>
  <c r="G1205" i="32" s="1"/>
  <c r="G1206" i="32" s="1"/>
  <c r="G1207" i="32" s="1"/>
  <c r="G1208" i="32" s="1"/>
  <c r="G1209" i="32" s="1"/>
  <c r="G1210" i="32" s="1"/>
  <c r="G1211" i="32" s="1"/>
  <c r="G1212" i="32" s="1"/>
  <c r="G1213" i="32" s="1"/>
  <c r="G1214" i="32" s="1"/>
  <c r="G1215" i="32" s="1"/>
  <c r="G1216" i="32" s="1"/>
  <c r="G1217" i="32" s="1"/>
  <c r="G1218" i="32" s="1"/>
  <c r="G1219" i="32" s="1"/>
  <c r="G1220" i="32" s="1"/>
  <c r="G1221" i="32" s="1"/>
  <c r="G1222" i="32" s="1"/>
  <c r="G1223" i="32" s="1"/>
  <c r="G1224" i="32" s="1"/>
  <c r="G1225" i="32" s="1"/>
  <c r="G1226" i="32" s="1"/>
  <c r="G1227" i="32" s="1"/>
  <c r="G1228" i="32" s="1"/>
  <c r="G1229" i="32" s="1"/>
  <c r="G1230" i="32" s="1"/>
  <c r="G1231" i="32" s="1"/>
  <c r="G1232" i="32" s="1"/>
  <c r="G1233" i="32" s="1"/>
  <c r="G1234" i="32" s="1"/>
  <c r="G1235" i="32" s="1"/>
  <c r="G1236" i="32" s="1"/>
  <c r="G1237" i="32" s="1"/>
  <c r="G1238" i="32" s="1"/>
  <c r="G1239" i="32" s="1"/>
  <c r="G1240" i="32" s="1"/>
  <c r="G1241" i="32" s="1"/>
  <c r="G1242" i="32" s="1"/>
  <c r="G1243" i="32" s="1"/>
  <c r="G1244" i="32" s="1"/>
  <c r="G1245" i="32" s="1"/>
  <c r="G1246" i="32" s="1"/>
  <c r="G1247" i="32" s="1"/>
  <c r="G1248" i="32" s="1"/>
  <c r="G1249" i="32" s="1"/>
  <c r="G1250" i="32" s="1"/>
  <c r="G1251" i="32" s="1"/>
  <c r="G1252" i="32" s="1"/>
  <c r="G1253" i="32" s="1"/>
  <c r="G1254" i="32" s="1"/>
  <c r="G1255" i="32" s="1"/>
  <c r="G1256" i="32" s="1"/>
  <c r="G1257" i="32" s="1"/>
  <c r="G1258" i="32" s="1"/>
  <c r="G1259" i="32" s="1"/>
  <c r="G1260" i="32" s="1"/>
  <c r="G1261" i="32" s="1"/>
  <c r="G1262" i="32" s="1"/>
  <c r="G1263" i="32" s="1"/>
  <c r="G1264" i="32" s="1"/>
  <c r="G1265" i="32" s="1"/>
  <c r="G1266" i="32" s="1"/>
  <c r="G1267" i="32" s="1"/>
  <c r="G1268" i="32" s="1"/>
  <c r="G1269" i="32" s="1"/>
  <c r="G1270" i="32" s="1"/>
  <c r="G1271" i="32" s="1"/>
  <c r="G1272" i="32" s="1"/>
  <c r="G1273" i="32" s="1"/>
  <c r="G1274" i="32" s="1"/>
  <c r="G1275" i="32" s="1"/>
  <c r="G1276" i="32" s="1"/>
  <c r="G1277" i="32" s="1"/>
  <c r="G1278" i="32" s="1"/>
  <c r="G1279" i="32" s="1"/>
  <c r="G1280" i="32" s="1"/>
  <c r="G1281" i="32" s="1"/>
  <c r="G1282" i="32" s="1"/>
  <c r="G1283" i="32" s="1"/>
  <c r="G1284" i="32" s="1"/>
  <c r="G1285" i="32" s="1"/>
  <c r="G1286" i="32" s="1"/>
  <c r="G1287" i="32" s="1"/>
  <c r="G1288" i="32" s="1"/>
  <c r="G1289" i="32" s="1"/>
  <c r="G1290" i="32" s="1"/>
  <c r="G1291" i="32" s="1"/>
  <c r="G1292" i="32" s="1"/>
  <c r="G1293" i="32" s="1"/>
  <c r="G1294" i="32" s="1"/>
  <c r="G1295" i="32" s="1"/>
  <c r="G1296" i="32" s="1"/>
  <c r="G1297" i="32" s="1"/>
  <c r="G1298" i="32" s="1"/>
  <c r="G1299" i="32" s="1"/>
  <c r="G1300" i="32" s="1"/>
  <c r="G1301" i="32" s="1"/>
  <c r="G1302" i="32" s="1"/>
  <c r="G1303" i="32" s="1"/>
  <c r="G1304" i="32" s="1"/>
  <c r="G1305" i="32" s="1"/>
  <c r="G1306" i="32" s="1"/>
  <c r="G1307" i="32" s="1"/>
  <c r="G1308" i="32" s="1"/>
  <c r="G1309" i="32" s="1"/>
  <c r="G1310" i="32" s="1"/>
  <c r="G1311" i="32" s="1"/>
  <c r="G1312" i="32" s="1"/>
  <c r="G1313" i="32" s="1"/>
  <c r="G1314" i="32" s="1"/>
  <c r="G1315" i="32" s="1"/>
  <c r="G1316" i="32" s="1"/>
  <c r="G1317" i="32" s="1"/>
  <c r="G1318" i="32" s="1"/>
  <c r="G1319" i="32" s="1"/>
  <c r="G1320" i="32" s="1"/>
  <c r="G1321" i="32" s="1"/>
  <c r="G1322" i="32" s="1"/>
  <c r="G1323" i="32" s="1"/>
  <c r="G1324" i="32" s="1"/>
  <c r="G1325" i="32" s="1"/>
  <c r="G1326" i="32" s="1"/>
  <c r="G1327" i="32" s="1"/>
  <c r="G1328" i="32" s="1"/>
  <c r="G1329" i="32" s="1"/>
  <c r="G1330" i="32" s="1"/>
  <c r="G1331" i="32" s="1"/>
  <c r="G1332" i="32" s="1"/>
  <c r="G1333" i="32" s="1"/>
  <c r="G1334" i="32" s="1"/>
  <c r="G1335" i="32" s="1"/>
  <c r="G1336" i="32" s="1"/>
  <c r="G1337" i="32" s="1"/>
  <c r="G1338" i="32" s="1"/>
  <c r="G1339" i="32" s="1"/>
  <c r="G1340" i="32" s="1"/>
  <c r="G1341" i="32" s="1"/>
  <c r="G1342" i="32" s="1"/>
  <c r="G1343" i="32" s="1"/>
  <c r="G1344" i="32" s="1"/>
  <c r="G1345" i="32" s="1"/>
  <c r="G1346" i="32" s="1"/>
  <c r="G1347" i="32" s="1"/>
  <c r="G1348" i="32" s="1"/>
  <c r="G1349" i="32" s="1"/>
  <c r="G1350" i="32" s="1"/>
  <c r="G1351" i="32" s="1"/>
  <c r="G1352" i="32" s="1"/>
  <c r="G1353" i="32" s="1"/>
  <c r="G1354" i="32" s="1"/>
  <c r="G1355" i="32" s="1"/>
  <c r="G1356" i="32" s="1"/>
  <c r="G1357" i="32" s="1"/>
  <c r="G1358" i="32" s="1"/>
  <c r="G1359" i="32" s="1"/>
  <c r="G1360" i="32" s="1"/>
  <c r="G1361" i="32" s="1"/>
  <c r="G1362" i="32" s="1"/>
  <c r="G1363" i="32" s="1"/>
  <c r="G1364" i="32" s="1"/>
  <c r="G1365" i="32" s="1"/>
  <c r="G1366" i="32" s="1"/>
  <c r="G1367" i="32" s="1"/>
  <c r="G1368" i="32" s="1"/>
  <c r="G1369" i="32" s="1"/>
  <c r="G1370" i="32" s="1"/>
  <c r="G1371" i="32" s="1"/>
  <c r="G1372" i="32" s="1"/>
  <c r="G1373" i="32" s="1"/>
  <c r="G1374" i="32" s="1"/>
  <c r="G1375" i="32" s="1"/>
  <c r="G1376" i="32" s="1"/>
  <c r="G1377" i="32" s="1"/>
  <c r="G1378" i="32" s="1"/>
  <c r="G1379" i="32" s="1"/>
  <c r="G1380" i="32" s="1"/>
  <c r="G1381" i="32" s="1"/>
  <c r="G1382" i="32" s="1"/>
  <c r="G1383" i="32" s="1"/>
  <c r="G1384" i="32" s="1"/>
  <c r="G1385" i="32" s="1"/>
  <c r="G1386" i="32" s="1"/>
  <c r="G1387" i="32" s="1"/>
  <c r="G1388" i="32" s="1"/>
  <c r="G1389" i="32" s="1"/>
  <c r="G1390" i="32" s="1"/>
  <c r="G1391" i="32" s="1"/>
  <c r="G1392" i="32" s="1"/>
  <c r="G1393" i="32" s="1"/>
  <c r="G1394" i="32" s="1"/>
  <c r="G1395" i="32" s="1"/>
  <c r="G1396" i="32" s="1"/>
  <c r="G1397" i="32" s="1"/>
  <c r="G1398" i="32" s="1"/>
  <c r="G1399" i="32" s="1"/>
  <c r="G1400" i="32" s="1"/>
  <c r="G1401" i="32" s="1"/>
  <c r="G1402" i="32" s="1"/>
  <c r="G1403" i="32" s="1"/>
  <c r="G1404" i="32" s="1"/>
  <c r="G1405" i="32" s="1"/>
  <c r="G1406" i="32" s="1"/>
  <c r="G1407" i="32" s="1"/>
  <c r="G1408" i="32" s="1"/>
  <c r="G1409" i="32" s="1"/>
  <c r="G1410" i="32" s="1"/>
  <c r="G1411" i="32" s="1"/>
  <c r="G1412" i="32" s="1"/>
  <c r="G1413" i="32" s="1"/>
  <c r="G1414" i="32" s="1"/>
  <c r="G1415" i="32" s="1"/>
  <c r="G1416" i="32" s="1"/>
  <c r="G1417" i="32" s="1"/>
  <c r="G1418" i="32" s="1"/>
  <c r="G1419" i="32" s="1"/>
  <c r="G1420" i="32" s="1"/>
  <c r="G1421" i="32" s="1"/>
  <c r="G1422" i="32" s="1"/>
  <c r="G1423" i="32" s="1"/>
  <c r="G1424" i="32" s="1"/>
  <c r="G1425" i="32" s="1"/>
  <c r="G1426" i="32" s="1"/>
  <c r="G1427" i="32" s="1"/>
  <c r="G1428" i="32" s="1"/>
  <c r="G1429" i="32" s="1"/>
  <c r="G1430" i="32" s="1"/>
  <c r="G1431" i="32" s="1"/>
  <c r="G1432" i="32" s="1"/>
  <c r="G1433" i="32" s="1"/>
  <c r="G1434" i="32" s="1"/>
  <c r="G1435" i="32" s="1"/>
  <c r="G1436" i="32" s="1"/>
  <c r="G1437" i="32" s="1"/>
  <c r="G1438" i="32" s="1"/>
  <c r="G1439" i="32" s="1"/>
  <c r="G1440" i="32" s="1"/>
  <c r="G1441" i="32" s="1"/>
  <c r="G1442" i="32" s="1"/>
  <c r="G1443" i="32" s="1"/>
  <c r="G1444" i="32" s="1"/>
  <c r="G1445" i="32" s="1"/>
  <c r="G1446" i="32" s="1"/>
  <c r="G1447" i="32" s="1"/>
  <c r="G1448" i="32" s="1"/>
  <c r="G1449" i="32" s="1"/>
  <c r="G1450" i="32" s="1"/>
  <c r="G1451" i="32" s="1"/>
  <c r="G1452" i="32" s="1"/>
  <c r="G1453" i="32" s="1"/>
  <c r="G1454" i="32" s="1"/>
  <c r="G1455" i="32" s="1"/>
  <c r="G1456" i="32" s="1"/>
  <c r="G1457" i="32" s="1"/>
  <c r="G1458" i="32" s="1"/>
  <c r="G1459" i="32" s="1"/>
  <c r="G1460" i="32" s="1"/>
  <c r="G1461" i="32" s="1"/>
  <c r="G1462" i="32" s="1"/>
  <c r="G1463" i="32" s="1"/>
  <c r="G1464" i="32" s="1"/>
  <c r="G1465" i="32" s="1"/>
  <c r="G1466" i="32" s="1"/>
  <c r="G1467" i="32" s="1"/>
  <c r="G1468" i="32" s="1"/>
  <c r="G1469" i="32" s="1"/>
  <c r="G1470" i="32" s="1"/>
  <c r="G1471" i="32" s="1"/>
  <c r="G1472" i="32" s="1"/>
  <c r="G1473" i="32" s="1"/>
  <c r="G1474" i="32" s="1"/>
  <c r="G1475" i="32" s="1"/>
  <c r="G1476" i="32" s="1"/>
  <c r="G1477" i="32" s="1"/>
  <c r="G1478" i="32" s="1"/>
  <c r="G1479" i="32" s="1"/>
  <c r="G1480" i="32" s="1"/>
  <c r="G1481" i="32" s="1"/>
  <c r="G1482" i="32" s="1"/>
  <c r="G1483" i="32" s="1"/>
  <c r="G1484" i="32" s="1"/>
  <c r="G1485" i="32" s="1"/>
  <c r="G1486" i="32" s="1"/>
  <c r="G1487" i="32" s="1"/>
  <c r="G1488" i="32" s="1"/>
  <c r="G1489" i="32" s="1"/>
  <c r="G1490" i="32" s="1"/>
  <c r="G1491" i="32" s="1"/>
  <c r="G1492" i="32" s="1"/>
  <c r="G1493" i="32" s="1"/>
  <c r="G1494" i="32" s="1"/>
  <c r="G1495" i="32" s="1"/>
  <c r="G1496" i="32" s="1"/>
  <c r="G1497" i="32" s="1"/>
  <c r="G1498" i="32" s="1"/>
  <c r="G1499" i="32" s="1"/>
  <c r="G1500" i="32" s="1"/>
  <c r="G1501" i="32" s="1"/>
  <c r="G1502" i="32" s="1"/>
  <c r="G1503" i="32" s="1"/>
  <c r="G1504" i="32" s="1"/>
  <c r="G1505" i="32" s="1"/>
  <c r="G1506" i="32" s="1"/>
  <c r="G1507" i="32" s="1"/>
  <c r="G1508" i="32" s="1"/>
  <c r="G1509" i="32" s="1"/>
  <c r="G1510" i="32" s="1"/>
  <c r="G1511" i="32" s="1"/>
  <c r="G1512" i="32" s="1"/>
  <c r="G1513" i="32" s="1"/>
  <c r="G1514" i="32" s="1"/>
  <c r="G1515" i="32" s="1"/>
  <c r="G1516" i="32" s="1"/>
  <c r="G1517" i="32" s="1"/>
  <c r="G1518" i="32" s="1"/>
  <c r="G1519" i="32" s="1"/>
  <c r="G1520" i="32" s="1"/>
  <c r="G1521" i="32" s="1"/>
  <c r="G1522" i="32" s="1"/>
  <c r="G1523" i="32" s="1"/>
  <c r="G1524" i="32" s="1"/>
  <c r="G1525" i="32" s="1"/>
  <c r="G1526" i="32" s="1"/>
  <c r="G1527" i="32" s="1"/>
  <c r="G1528" i="32" s="1"/>
  <c r="G1529" i="32" s="1"/>
  <c r="G1530" i="32" s="1"/>
  <c r="G1531" i="32" s="1"/>
  <c r="G1532" i="32" s="1"/>
  <c r="G1533" i="32" s="1"/>
  <c r="G1534" i="32" s="1"/>
  <c r="G1535" i="32" s="1"/>
  <c r="G1536" i="32" s="1"/>
  <c r="G1537" i="32" s="1"/>
  <c r="G1538" i="32" s="1"/>
  <c r="G1539" i="32" s="1"/>
  <c r="G1540" i="32" s="1"/>
  <c r="G1541" i="32" s="1"/>
  <c r="G1542" i="32" s="1"/>
  <c r="G1543" i="32" s="1"/>
  <c r="G1544" i="32" s="1"/>
  <c r="G1545" i="32" s="1"/>
  <c r="G1546" i="32" s="1"/>
  <c r="G1547" i="32" s="1"/>
  <c r="G1548" i="32" s="1"/>
  <c r="G1549" i="32" s="1"/>
  <c r="G1550" i="32" s="1"/>
  <c r="G1551" i="32" s="1"/>
  <c r="G1552" i="32" s="1"/>
  <c r="G1553" i="32" s="1"/>
  <c r="G1554" i="32" s="1"/>
  <c r="G1555" i="32" s="1"/>
  <c r="G1556" i="32" s="1"/>
  <c r="G1557" i="32" s="1"/>
  <c r="G1558" i="32" s="1"/>
  <c r="G1559" i="32" s="1"/>
  <c r="G1560" i="32" s="1"/>
  <c r="G1561" i="32" s="1"/>
  <c r="G1562" i="32" s="1"/>
  <c r="G1563" i="32" s="1"/>
  <c r="G1564" i="32" s="1"/>
  <c r="G1565" i="32" s="1"/>
  <c r="G1566" i="32" s="1"/>
  <c r="G1567" i="32" s="1"/>
  <c r="G1568" i="32" s="1"/>
  <c r="G1569" i="32" s="1"/>
  <c r="G1570" i="32" s="1"/>
  <c r="G1571" i="32" s="1"/>
  <c r="G1572" i="32" s="1"/>
  <c r="G1573" i="32" s="1"/>
  <c r="G1574" i="32" s="1"/>
  <c r="G1575" i="32" s="1"/>
  <c r="G1576" i="32" s="1"/>
  <c r="G1577" i="32" s="1"/>
  <c r="G1578" i="32" s="1"/>
  <c r="G1579" i="32" s="1"/>
  <c r="G1580" i="32" s="1"/>
  <c r="G1581" i="32" s="1"/>
  <c r="G1582" i="32" s="1"/>
  <c r="G1583" i="32" s="1"/>
  <c r="G1584" i="32" s="1"/>
  <c r="G1585" i="32" s="1"/>
  <c r="G1586" i="32" s="1"/>
  <c r="G1587" i="32" s="1"/>
  <c r="G1588" i="32" s="1"/>
  <c r="G1589" i="32" s="1"/>
  <c r="G1590" i="32" s="1"/>
  <c r="G1591" i="32" s="1"/>
  <c r="G1592" i="32" s="1"/>
  <c r="G1593" i="32" s="1"/>
  <c r="G1594" i="32" s="1"/>
  <c r="G1595" i="32" s="1"/>
  <c r="G1596" i="32" s="1"/>
  <c r="G1597" i="32" s="1"/>
  <c r="G1598" i="32" s="1"/>
  <c r="G1599" i="32" s="1"/>
  <c r="G1600" i="32" s="1"/>
  <c r="G1601" i="32" s="1"/>
  <c r="G1602" i="32" s="1"/>
  <c r="G1603" i="32" s="1"/>
  <c r="G1604" i="32" s="1"/>
  <c r="G1605" i="32" s="1"/>
  <c r="G1606" i="32" s="1"/>
  <c r="G1607" i="32" s="1"/>
  <c r="G1608" i="32" s="1"/>
  <c r="G1609" i="32" s="1"/>
  <c r="G1610" i="32" s="1"/>
  <c r="G1611" i="32" s="1"/>
  <c r="G1612" i="32" s="1"/>
  <c r="G1613" i="32" s="1"/>
  <c r="G1614" i="32" s="1"/>
  <c r="G1615" i="32" s="1"/>
  <c r="G1616" i="32" s="1"/>
  <c r="G1617" i="32" s="1"/>
  <c r="G1618" i="32" s="1"/>
  <c r="G1619" i="32" s="1"/>
  <c r="G1620" i="32" s="1"/>
  <c r="G1621" i="32" s="1"/>
  <c r="G1622" i="32" s="1"/>
  <c r="G1623" i="32" s="1"/>
  <c r="G1624" i="32" s="1"/>
  <c r="G1625" i="32" s="1"/>
  <c r="G1626" i="32" s="1"/>
  <c r="G1627" i="32" s="1"/>
  <c r="G1628" i="32" s="1"/>
  <c r="G1629" i="32" s="1"/>
  <c r="G1630" i="32" s="1"/>
  <c r="G1631" i="32" s="1"/>
  <c r="G1632" i="32" s="1"/>
  <c r="G1633" i="32" s="1"/>
  <c r="G1634" i="32" s="1"/>
  <c r="G1635" i="32" s="1"/>
  <c r="G1636" i="32" s="1"/>
  <c r="G1637" i="32" s="1"/>
  <c r="G1638" i="32" s="1"/>
  <c r="G1639" i="32" s="1"/>
  <c r="G1640" i="32" s="1"/>
  <c r="G1641" i="32" s="1"/>
  <c r="G1642" i="32" s="1"/>
  <c r="G1643" i="32" s="1"/>
  <c r="G1644" i="32" s="1"/>
  <c r="G1645" i="32" s="1"/>
  <c r="G1646" i="32" s="1"/>
  <c r="G1647" i="32" s="1"/>
  <c r="G1648" i="32" s="1"/>
  <c r="G1649" i="32" s="1"/>
  <c r="G1650" i="32" s="1"/>
  <c r="G1651" i="32" s="1"/>
  <c r="G1652" i="32" s="1"/>
  <c r="G1653" i="32" s="1"/>
  <c r="G1654" i="32" s="1"/>
  <c r="G1655" i="32" s="1"/>
  <c r="G1656" i="32" s="1"/>
  <c r="G1657" i="32" s="1"/>
  <c r="G1658" i="32" s="1"/>
  <c r="G1659" i="32" s="1"/>
  <c r="G1660" i="32" s="1"/>
  <c r="G1661" i="32" s="1"/>
  <c r="G1662" i="32" s="1"/>
  <c r="G1663" i="32" s="1"/>
  <c r="G1664" i="32" s="1"/>
  <c r="G1665" i="32" s="1"/>
  <c r="G1666" i="32" s="1"/>
  <c r="G1667" i="32" s="1"/>
  <c r="G1668" i="32" s="1"/>
  <c r="G1669" i="32" s="1"/>
  <c r="G1670" i="32" s="1"/>
  <c r="G1671" i="32" s="1"/>
  <c r="G1672" i="32" s="1"/>
  <c r="G1673" i="32" s="1"/>
  <c r="G1674" i="32" s="1"/>
  <c r="G1675" i="32" s="1"/>
  <c r="G1676" i="32" s="1"/>
  <c r="G1677" i="32" s="1"/>
  <c r="G1678" i="32" s="1"/>
  <c r="G1679" i="32" s="1"/>
  <c r="G1680" i="32" s="1"/>
  <c r="G1681" i="32" s="1"/>
  <c r="G1682" i="32" s="1"/>
  <c r="G1683" i="32" s="1"/>
  <c r="G1684" i="32" s="1"/>
  <c r="G1685" i="32" s="1"/>
  <c r="G1686" i="32" s="1"/>
  <c r="G1687" i="32" s="1"/>
  <c r="G1688" i="32" s="1"/>
  <c r="G1689" i="32" s="1"/>
  <c r="G1690" i="32" s="1"/>
  <c r="G1691" i="32" s="1"/>
  <c r="G1692" i="32" s="1"/>
  <c r="G1693" i="32" s="1"/>
  <c r="G1694" i="32" s="1"/>
  <c r="G1695" i="32" s="1"/>
  <c r="G1696" i="32" s="1"/>
  <c r="G1697" i="32" s="1"/>
  <c r="G1698" i="32" s="1"/>
  <c r="G1699" i="32" s="1"/>
  <c r="G1700" i="32" s="1"/>
  <c r="G1701" i="32" s="1"/>
  <c r="G1702" i="32" s="1"/>
  <c r="G1703" i="32" s="1"/>
  <c r="G1704" i="32" s="1"/>
  <c r="G1705" i="32" s="1"/>
  <c r="G1706" i="32" s="1"/>
  <c r="G1707" i="32" s="1"/>
  <c r="G1708" i="32" s="1"/>
  <c r="G1709" i="32" s="1"/>
  <c r="G1710" i="32" s="1"/>
  <c r="G1711" i="32" s="1"/>
  <c r="G1712" i="32" s="1"/>
  <c r="G1713" i="32" s="1"/>
  <c r="G1714" i="32" s="1"/>
  <c r="G1715" i="32" s="1"/>
  <c r="G1716" i="32" s="1"/>
  <c r="G1717" i="32" s="1"/>
  <c r="G1718" i="32" s="1"/>
  <c r="G1719" i="32" s="1"/>
  <c r="G1720" i="32" s="1"/>
  <c r="G1721" i="32" s="1"/>
  <c r="G1722" i="32" s="1"/>
  <c r="G1723" i="32" s="1"/>
  <c r="G1724" i="32" s="1"/>
  <c r="G1725" i="32" s="1"/>
  <c r="G1726" i="32" s="1"/>
  <c r="G1727" i="32" s="1"/>
  <c r="G1728" i="32" s="1"/>
  <c r="G1729" i="32" s="1"/>
  <c r="G1730" i="32" s="1"/>
  <c r="G1731" i="32" s="1"/>
  <c r="G1732" i="32" s="1"/>
  <c r="G1733" i="32" s="1"/>
  <c r="G1734" i="32" s="1"/>
  <c r="G1735" i="32" s="1"/>
  <c r="G1736" i="32" s="1"/>
  <c r="G1737" i="32" s="1"/>
  <c r="G1738" i="32" s="1"/>
  <c r="G1739" i="32" s="1"/>
  <c r="G1740" i="32" s="1"/>
  <c r="G1741" i="32" s="1"/>
  <c r="G1742" i="32" s="1"/>
  <c r="G1743" i="32" s="1"/>
  <c r="G1744" i="32" s="1"/>
  <c r="G1745" i="32" s="1"/>
  <c r="G1746" i="32" s="1"/>
  <c r="G1747" i="32" s="1"/>
  <c r="G1748" i="32" s="1"/>
  <c r="G1749" i="32" s="1"/>
  <c r="G1750" i="32" s="1"/>
  <c r="G1751" i="32" s="1"/>
  <c r="G1752" i="32" s="1"/>
  <c r="G1753" i="32" s="1"/>
  <c r="G1754" i="32" s="1"/>
  <c r="G1755" i="32" s="1"/>
  <c r="G1756" i="32" s="1"/>
  <c r="G1757" i="32" s="1"/>
  <c r="G1758" i="32" s="1"/>
  <c r="G1759" i="32" s="1"/>
  <c r="G1760" i="32" s="1"/>
  <c r="G1761" i="32" s="1"/>
  <c r="G1762" i="32" s="1"/>
  <c r="G1763" i="32" s="1"/>
  <c r="G1764" i="32" s="1"/>
  <c r="G1765" i="32" s="1"/>
  <c r="G1766" i="32" s="1"/>
  <c r="G1767" i="32" s="1"/>
  <c r="G1768" i="32" s="1"/>
  <c r="G1769" i="32" s="1"/>
  <c r="G1770" i="32" s="1"/>
  <c r="G1771" i="32" s="1"/>
  <c r="G1772" i="32" s="1"/>
  <c r="G1773" i="32" s="1"/>
  <c r="G1774" i="32" s="1"/>
  <c r="G1775" i="32" s="1"/>
  <c r="G1776" i="32" s="1"/>
  <c r="G1777" i="32" s="1"/>
  <c r="G1778" i="32" s="1"/>
  <c r="G1779" i="32" s="1"/>
  <c r="G1780" i="32" s="1"/>
  <c r="G1781" i="32" s="1"/>
  <c r="G1782" i="32" s="1"/>
  <c r="G1783" i="32" s="1"/>
  <c r="G1784" i="32" s="1"/>
  <c r="G1785" i="32" s="1"/>
  <c r="G1786" i="32" s="1"/>
  <c r="G1787" i="32" s="1"/>
  <c r="G1788" i="32" s="1"/>
  <c r="G1789" i="32" s="1"/>
  <c r="G1790" i="32" s="1"/>
  <c r="G1791" i="32" s="1"/>
  <c r="G1792" i="32" s="1"/>
  <c r="G1793" i="32" s="1"/>
  <c r="G1794" i="32" s="1"/>
  <c r="G1795" i="32" s="1"/>
  <c r="G1796" i="32" s="1"/>
  <c r="G1797" i="32" s="1"/>
  <c r="G1798" i="32" s="1"/>
  <c r="G1799" i="32" s="1"/>
  <c r="G1800" i="32" s="1"/>
  <c r="G1801" i="32" s="1"/>
  <c r="G1802" i="32" s="1"/>
  <c r="G1803" i="32" s="1"/>
  <c r="G1804" i="32" s="1"/>
  <c r="G1805" i="32" s="1"/>
  <c r="G1806" i="32" s="1"/>
  <c r="G1807" i="32" s="1"/>
  <c r="G1808" i="32" s="1"/>
  <c r="G1809" i="32" s="1"/>
  <c r="G1810" i="32" s="1"/>
  <c r="G1811" i="32" s="1"/>
  <c r="G1812" i="32" s="1"/>
  <c r="G1813" i="32" s="1"/>
  <c r="G1814" i="32" s="1"/>
  <c r="G1815" i="32" s="1"/>
  <c r="G1816" i="32" s="1"/>
  <c r="G1817" i="32" s="1"/>
  <c r="G1818" i="32" s="1"/>
  <c r="G1819" i="32" s="1"/>
  <c r="G1820" i="32" s="1"/>
  <c r="G1821" i="32" s="1"/>
  <c r="G1822" i="32" s="1"/>
  <c r="G1823" i="32" s="1"/>
  <c r="G1824" i="32" s="1"/>
  <c r="G1825" i="32" s="1"/>
  <c r="G1826" i="32" s="1"/>
  <c r="G1827" i="32" s="1"/>
  <c r="G1828" i="32" s="1"/>
  <c r="G1829" i="32" s="1"/>
  <c r="G1830" i="32" s="1"/>
  <c r="G1831" i="32" s="1"/>
  <c r="G1832" i="32" s="1"/>
  <c r="G1833" i="32" s="1"/>
  <c r="G1834" i="32" s="1"/>
  <c r="G1835" i="32" s="1"/>
  <c r="G1836" i="32" s="1"/>
  <c r="G1837" i="32" s="1"/>
  <c r="G1838" i="32" s="1"/>
  <c r="G1839" i="32" s="1"/>
  <c r="G1840" i="32" s="1"/>
  <c r="G1841" i="32" s="1"/>
  <c r="G1842" i="32" s="1"/>
  <c r="G1843" i="32" s="1"/>
  <c r="G1844" i="32" s="1"/>
  <c r="G1845" i="32" s="1"/>
  <c r="G1846" i="32" s="1"/>
  <c r="G1847" i="32" s="1"/>
  <c r="G1848" i="32" s="1"/>
  <c r="G1849" i="32" s="1"/>
  <c r="G1850" i="32" s="1"/>
  <c r="G1851" i="32" s="1"/>
  <c r="G1852" i="32" s="1"/>
  <c r="G1853" i="32" s="1"/>
  <c r="G1854" i="32" s="1"/>
  <c r="G1855" i="32" s="1"/>
  <c r="G1856" i="32" s="1"/>
  <c r="G1857" i="32" s="1"/>
  <c r="G1858" i="32" s="1"/>
  <c r="G1859" i="32" s="1"/>
  <c r="G1860" i="32" s="1"/>
  <c r="G1861" i="32" s="1"/>
  <c r="G1862" i="32" s="1"/>
  <c r="G1863" i="32" s="1"/>
  <c r="G1864" i="32" s="1"/>
  <c r="G1865" i="32" s="1"/>
  <c r="G1866" i="32" s="1"/>
  <c r="G1867" i="32" s="1"/>
  <c r="G1868" i="32" s="1"/>
  <c r="G1869" i="32" s="1"/>
  <c r="G1870" i="32" s="1"/>
  <c r="G1871" i="32" s="1"/>
  <c r="G1872" i="32" s="1"/>
  <c r="G1873" i="32" s="1"/>
  <c r="G1874" i="32" s="1"/>
  <c r="G1875" i="32" s="1"/>
  <c r="G1876" i="32" s="1"/>
  <c r="G1877" i="32" s="1"/>
  <c r="G1878" i="32" s="1"/>
  <c r="G1879" i="32" s="1"/>
  <c r="G1880" i="32" s="1"/>
  <c r="G1881" i="32" s="1"/>
  <c r="G1882" i="32" s="1"/>
  <c r="G1883" i="32" s="1"/>
  <c r="G1884" i="32" s="1"/>
  <c r="G1885" i="32" s="1"/>
  <c r="G1886" i="32" s="1"/>
  <c r="G1887" i="32" s="1"/>
  <c r="G1888" i="32" s="1"/>
  <c r="G1889" i="32" s="1"/>
  <c r="G1890" i="32" s="1"/>
  <c r="G1891" i="32" s="1"/>
  <c r="G1892" i="32" s="1"/>
  <c r="G1893" i="32" s="1"/>
  <c r="G1894" i="32" s="1"/>
  <c r="G1895" i="32" s="1"/>
  <c r="G1896" i="32" s="1"/>
  <c r="G1897" i="32" s="1"/>
  <c r="G1898" i="32" s="1"/>
  <c r="G1899" i="32" s="1"/>
  <c r="G1900" i="32" s="1"/>
  <c r="G1901" i="32" s="1"/>
  <c r="G1902" i="32" s="1"/>
  <c r="G1903" i="32" s="1"/>
  <c r="G1904" i="32" s="1"/>
  <c r="G1905" i="32" s="1"/>
  <c r="G1906" i="32" s="1"/>
  <c r="G1907" i="32" s="1"/>
  <c r="G1908" i="32" s="1"/>
  <c r="G1909" i="32" s="1"/>
  <c r="G1910" i="32" s="1"/>
  <c r="G1911" i="32" s="1"/>
  <c r="G1912" i="32" s="1"/>
  <c r="G1913" i="32" s="1"/>
  <c r="G1914" i="32" s="1"/>
  <c r="G1915" i="32" s="1"/>
  <c r="G1916" i="32" s="1"/>
  <c r="G1917" i="32" s="1"/>
  <c r="G1918" i="32" s="1"/>
  <c r="G1919" i="32" s="1"/>
  <c r="G1920" i="32" s="1"/>
  <c r="G1921" i="32" s="1"/>
  <c r="G1922" i="32" s="1"/>
  <c r="G1923" i="32" s="1"/>
  <c r="G1924" i="32" s="1"/>
  <c r="G1925" i="32" s="1"/>
  <c r="G1926" i="32" s="1"/>
  <c r="G1927" i="32" s="1"/>
  <c r="G1928" i="32" s="1"/>
  <c r="G1929" i="32" s="1"/>
  <c r="G1930" i="32" s="1"/>
  <c r="G1931" i="32" s="1"/>
  <c r="G1932" i="32" s="1"/>
  <c r="G1933" i="32" s="1"/>
  <c r="G1934" i="32" s="1"/>
  <c r="G1935" i="32" s="1"/>
  <c r="G1936" i="32" s="1"/>
  <c r="G1937" i="32" s="1"/>
  <c r="G1938" i="32" s="1"/>
  <c r="G1939" i="32" s="1"/>
  <c r="G1940" i="32" s="1"/>
  <c r="G1941" i="32" s="1"/>
  <c r="G1942" i="32" s="1"/>
  <c r="G1943" i="32" s="1"/>
  <c r="G1944" i="32" s="1"/>
  <c r="G1945" i="32" s="1"/>
  <c r="G1946" i="32" s="1"/>
  <c r="G1947" i="32" s="1"/>
  <c r="G1948" i="32" s="1"/>
  <c r="G1949" i="32" s="1"/>
  <c r="G1950" i="32" s="1"/>
  <c r="G1951" i="32" s="1"/>
  <c r="G1952" i="32" s="1"/>
  <c r="G1953" i="32" s="1"/>
  <c r="G1954" i="32" s="1"/>
  <c r="G1955" i="32" s="1"/>
  <c r="G1956" i="32" s="1"/>
  <c r="G1957" i="32" s="1"/>
  <c r="G1958" i="32" s="1"/>
  <c r="G1959" i="32" s="1"/>
  <c r="G1960" i="32" s="1"/>
  <c r="G1961" i="32" s="1"/>
  <c r="G1962" i="32" s="1"/>
  <c r="G1963" i="32" s="1"/>
  <c r="G1964" i="32" s="1"/>
  <c r="G1965" i="32" s="1"/>
  <c r="G1966" i="32" s="1"/>
  <c r="G1967" i="32" s="1"/>
  <c r="G1968" i="32" s="1"/>
  <c r="G1969" i="32" s="1"/>
  <c r="G1970" i="32" s="1"/>
  <c r="G1971" i="32" s="1"/>
  <c r="G1972" i="32" s="1"/>
  <c r="G1973" i="32" s="1"/>
  <c r="G1974" i="32" s="1"/>
  <c r="G1975" i="32" s="1"/>
  <c r="G1976" i="32" s="1"/>
  <c r="G1977" i="32" s="1"/>
  <c r="G1978" i="32" s="1"/>
  <c r="G1979" i="32" s="1"/>
  <c r="G1980" i="32" s="1"/>
  <c r="G1981" i="32" s="1"/>
  <c r="G1982" i="32" s="1"/>
  <c r="G1983" i="32" s="1"/>
  <c r="G1984" i="32" s="1"/>
  <c r="G1985" i="32" s="1"/>
  <c r="G1986" i="32" s="1"/>
  <c r="G1987" i="32" s="1"/>
  <c r="G1988" i="32" s="1"/>
  <c r="G1989" i="32" s="1"/>
  <c r="G1990" i="32" s="1"/>
  <c r="G1991" i="32" s="1"/>
  <c r="G1992" i="32" s="1"/>
  <c r="G1993" i="32" s="1"/>
  <c r="G1994" i="32" s="1"/>
  <c r="G1995" i="32" s="1"/>
  <c r="G1996" i="32" s="1"/>
  <c r="G1997" i="32" s="1"/>
  <c r="G1998" i="32" s="1"/>
  <c r="G1999" i="32" s="1"/>
  <c r="G2000" i="32" s="1"/>
  <c r="G2001" i="32" s="1"/>
  <c r="G2002" i="32" s="1"/>
  <c r="G2003" i="32" s="1"/>
  <c r="G2004" i="32" s="1"/>
  <c r="G2005" i="32" s="1"/>
  <c r="G2006" i="32" s="1"/>
  <c r="G2007" i="32" s="1"/>
  <c r="G2008" i="32" s="1"/>
  <c r="G2009" i="32" s="1"/>
  <c r="G2010" i="32" s="1"/>
  <c r="G2011" i="32" s="1"/>
  <c r="G2012" i="32" s="1"/>
  <c r="G2013" i="32" s="1"/>
  <c r="G2014" i="32" s="1"/>
  <c r="G2015" i="32" s="1"/>
  <c r="G2016" i="32" s="1"/>
  <c r="G2017" i="32" s="1"/>
  <c r="G2018" i="32" s="1"/>
  <c r="G2019" i="32" s="1"/>
  <c r="G2020" i="32" s="1"/>
  <c r="G2021" i="32" s="1"/>
  <c r="G2022" i="32" s="1"/>
  <c r="G2023" i="32" s="1"/>
  <c r="G2024" i="32" s="1"/>
  <c r="G2025" i="32" s="1"/>
  <c r="G2026" i="32" s="1"/>
  <c r="G2027" i="32" s="1"/>
  <c r="G2028" i="32" s="1"/>
  <c r="G2029" i="32" s="1"/>
  <c r="G2030" i="32" s="1"/>
  <c r="G2031" i="32" s="1"/>
  <c r="G2032" i="32" s="1"/>
  <c r="G2033" i="32" s="1"/>
  <c r="G2034" i="32" s="1"/>
  <c r="G2035" i="32" s="1"/>
  <c r="G2036" i="32" s="1"/>
  <c r="G2037" i="32" s="1"/>
  <c r="G2038" i="32" s="1"/>
  <c r="G2039" i="32" s="1"/>
  <c r="G2040" i="32" s="1"/>
  <c r="G2041" i="32" s="1"/>
  <c r="G2042" i="32" s="1"/>
  <c r="G2043" i="32" s="1"/>
  <c r="G2044" i="32" s="1"/>
  <c r="G2045" i="32" s="1"/>
  <c r="G2046" i="32" s="1"/>
  <c r="G2047" i="32" s="1"/>
  <c r="G2048" i="32" s="1"/>
  <c r="G2049" i="32" s="1"/>
  <c r="G2050" i="32" s="1"/>
  <c r="G2051" i="32" s="1"/>
  <c r="G2052" i="32" s="1"/>
  <c r="G2053" i="32" s="1"/>
  <c r="G2054" i="32" s="1"/>
  <c r="G2055" i="32" s="1"/>
  <c r="G2056" i="32" s="1"/>
  <c r="G2057" i="32" s="1"/>
  <c r="G2058" i="32" s="1"/>
  <c r="G2059" i="32" s="1"/>
  <c r="G2060" i="32" s="1"/>
  <c r="G2061" i="32" s="1"/>
  <c r="G2062" i="32" s="1"/>
  <c r="G2063" i="32" s="1"/>
  <c r="G2064" i="32" s="1"/>
  <c r="G2065" i="32" s="1"/>
  <c r="G2066" i="32" s="1"/>
  <c r="G2067" i="32" s="1"/>
  <c r="G2068" i="32" s="1"/>
  <c r="G2069" i="32" s="1"/>
  <c r="G2070" i="32" s="1"/>
  <c r="G2071" i="32" s="1"/>
  <c r="G2072" i="32" s="1"/>
  <c r="G2073" i="32" s="1"/>
  <c r="G2074" i="32" s="1"/>
  <c r="G2075" i="32" s="1"/>
  <c r="G2076" i="32" s="1"/>
  <c r="G2077" i="32" s="1"/>
  <c r="G2078" i="32" s="1"/>
  <c r="G2079" i="32" s="1"/>
  <c r="G2080" i="32" s="1"/>
  <c r="G2081" i="32" s="1"/>
  <c r="G2082" i="32" s="1"/>
  <c r="G2083" i="32" s="1"/>
  <c r="G2084" i="32" s="1"/>
  <c r="G2085" i="32" s="1"/>
  <c r="G2086" i="32" s="1"/>
  <c r="G2087" i="32" s="1"/>
  <c r="G2088" i="32" s="1"/>
  <c r="G2089" i="32" s="1"/>
  <c r="G2090" i="32" s="1"/>
  <c r="G2091" i="32" s="1"/>
  <c r="G2092" i="32" s="1"/>
  <c r="G2093" i="32" s="1"/>
  <c r="G2094" i="32" s="1"/>
  <c r="G2095" i="32" s="1"/>
  <c r="G2096" i="32" s="1"/>
  <c r="G2097" i="32" s="1"/>
  <c r="G2098" i="32" s="1"/>
  <c r="G2099" i="32" s="1"/>
  <c r="G2100" i="32" s="1"/>
  <c r="G2101" i="32" s="1"/>
  <c r="G2102" i="32" s="1"/>
  <c r="G2103" i="32" s="1"/>
  <c r="G2104" i="32" s="1"/>
  <c r="G2105" i="32" s="1"/>
  <c r="G2106" i="32" s="1"/>
  <c r="G2107" i="32" s="1"/>
  <c r="G2108" i="32" s="1"/>
  <c r="G2109" i="32" s="1"/>
  <c r="G2110" i="32" s="1"/>
  <c r="G2111" i="32" s="1"/>
  <c r="G2112" i="32" s="1"/>
  <c r="G2113" i="32" s="1"/>
  <c r="G2114" i="32" s="1"/>
  <c r="G2115" i="32" s="1"/>
  <c r="G2116" i="32" s="1"/>
  <c r="G2117" i="32" s="1"/>
  <c r="G2118" i="32" s="1"/>
  <c r="G2119" i="32" s="1"/>
  <c r="G2120" i="32" s="1"/>
  <c r="G2121" i="32" s="1"/>
  <c r="G2122" i="32" s="1"/>
  <c r="G2123" i="32" s="1"/>
  <c r="G2124" i="32" s="1"/>
  <c r="G2125" i="32" s="1"/>
  <c r="G2126" i="32" s="1"/>
  <c r="G2127" i="32" s="1"/>
  <c r="G2128" i="32" s="1"/>
  <c r="G2129" i="32" s="1"/>
  <c r="G2130" i="32" s="1"/>
  <c r="G2131" i="32" s="1"/>
  <c r="G2132" i="32" s="1"/>
  <c r="G2133" i="32" s="1"/>
  <c r="G2134" i="32" s="1"/>
  <c r="G2135" i="32" s="1"/>
  <c r="G2136" i="32" s="1"/>
  <c r="G2137" i="32" s="1"/>
  <c r="G2138" i="32" s="1"/>
  <c r="G2139" i="32" s="1"/>
  <c r="G2140" i="32" s="1"/>
  <c r="G2141" i="32" s="1"/>
  <c r="G2142" i="32" s="1"/>
  <c r="G2143" i="32" s="1"/>
  <c r="G2144" i="32" s="1"/>
  <c r="G2145" i="32" s="1"/>
  <c r="G2146" i="32" s="1"/>
  <c r="G2147" i="32" s="1"/>
  <c r="G2148" i="32" s="1"/>
  <c r="G2149" i="32" s="1"/>
  <c r="G2150" i="32" s="1"/>
  <c r="G2151" i="32" s="1"/>
  <c r="G2152" i="32" s="1"/>
  <c r="G2153" i="32" s="1"/>
  <c r="G2154" i="32" s="1"/>
  <c r="G2155" i="32" s="1"/>
  <c r="G2156" i="32" s="1"/>
  <c r="G2157" i="32" s="1"/>
  <c r="G2158" i="32" s="1"/>
  <c r="G2159" i="32" s="1"/>
  <c r="G2160" i="32" s="1"/>
  <c r="G2161" i="32" s="1"/>
  <c r="G2162" i="32" s="1"/>
  <c r="G2163" i="32" s="1"/>
  <c r="G2164" i="32" s="1"/>
  <c r="G2165" i="32" s="1"/>
  <c r="G2166" i="32" s="1"/>
  <c r="G2167" i="32" s="1"/>
  <c r="G2168" i="32" s="1"/>
  <c r="G2169" i="32" s="1"/>
  <c r="G2170" i="32" s="1"/>
  <c r="G2171" i="32" s="1"/>
  <c r="G2172" i="32" s="1"/>
  <c r="G2173" i="32" s="1"/>
  <c r="G2174" i="32" s="1"/>
  <c r="G2175" i="32" s="1"/>
  <c r="G2176" i="32" s="1"/>
  <c r="G2177" i="32" s="1"/>
  <c r="G2178" i="32" s="1"/>
  <c r="G2179" i="32" s="1"/>
  <c r="G2180" i="32" s="1"/>
  <c r="G2181" i="32" s="1"/>
  <c r="G2182" i="32" s="1"/>
  <c r="G2183" i="32" s="1"/>
  <c r="G2184" i="32" s="1"/>
  <c r="G2185" i="32" s="1"/>
  <c r="G2186" i="32" s="1"/>
  <c r="G2187" i="32" s="1"/>
  <c r="G2188" i="32" s="1"/>
  <c r="G2189" i="32" s="1"/>
  <c r="G2190" i="32" s="1"/>
  <c r="G2191" i="32" s="1"/>
  <c r="G2192" i="32" s="1"/>
  <c r="G2193" i="32" s="1"/>
  <c r="G2194" i="32" s="1"/>
  <c r="G2195" i="32" s="1"/>
  <c r="G2196" i="32" s="1"/>
  <c r="G2197" i="32" s="1"/>
  <c r="G2198" i="32" s="1"/>
  <c r="G2199" i="32" s="1"/>
  <c r="G2200" i="32" s="1"/>
  <c r="G2201" i="32" s="1"/>
  <c r="G2202" i="32" s="1"/>
  <c r="G2203" i="32" s="1"/>
  <c r="G2204" i="32" s="1"/>
  <c r="G2205" i="32" s="1"/>
  <c r="G2206" i="32" s="1"/>
  <c r="G2207" i="32" s="1"/>
  <c r="G2208" i="32" s="1"/>
  <c r="G2209" i="32" s="1"/>
  <c r="G2210" i="32" s="1"/>
  <c r="G2211" i="32" s="1"/>
  <c r="G2212" i="32" s="1"/>
  <c r="G2213" i="32" s="1"/>
  <c r="G2214" i="32" s="1"/>
  <c r="G2215" i="32" s="1"/>
  <c r="G2216" i="32" s="1"/>
  <c r="G2217" i="32" s="1"/>
  <c r="G2218" i="32" s="1"/>
  <c r="G2219" i="32" s="1"/>
  <c r="G2220" i="32" s="1"/>
  <c r="G2221" i="32" s="1"/>
  <c r="G2222" i="32" s="1"/>
  <c r="G2223" i="32" s="1"/>
  <c r="G2224" i="32" s="1"/>
  <c r="G2225" i="32" s="1"/>
  <c r="G2226" i="32" s="1"/>
  <c r="G2227" i="32" s="1"/>
  <c r="G2228" i="32" s="1"/>
  <c r="G2229" i="32" s="1"/>
  <c r="G2230" i="32" s="1"/>
  <c r="G2231" i="32" s="1"/>
  <c r="G2232" i="32" s="1"/>
  <c r="G2233" i="32" s="1"/>
  <c r="G2234" i="32" s="1"/>
  <c r="G2235" i="32" s="1"/>
  <c r="G2236" i="32" s="1"/>
  <c r="G2237" i="32" s="1"/>
  <c r="G2238" i="32" s="1"/>
  <c r="G2239" i="32" s="1"/>
  <c r="G2240" i="32" s="1"/>
  <c r="G2241" i="32" s="1"/>
  <c r="G2242" i="32" s="1"/>
  <c r="G2243" i="32" s="1"/>
  <c r="G2244" i="32" s="1"/>
  <c r="G2245" i="32" s="1"/>
  <c r="G2246" i="32" s="1"/>
  <c r="G2247" i="32" s="1"/>
  <c r="G2248" i="32" s="1"/>
  <c r="G2249" i="32" s="1"/>
  <c r="G2250" i="32" s="1"/>
  <c r="G2251" i="32" s="1"/>
  <c r="G2252" i="32" s="1"/>
  <c r="G2253" i="32" s="1"/>
  <c r="G2254" i="32" s="1"/>
  <c r="G2255" i="32" s="1"/>
  <c r="G2256" i="32" s="1"/>
  <c r="G2257" i="32" s="1"/>
  <c r="G2258" i="32" s="1"/>
  <c r="G2259" i="32" s="1"/>
  <c r="G2260" i="32" s="1"/>
  <c r="G2261" i="32" s="1"/>
  <c r="G2262" i="32" s="1"/>
  <c r="G2263" i="32" s="1"/>
  <c r="G2264" i="32" s="1"/>
  <c r="G2265" i="32" s="1"/>
  <c r="G2266" i="32" s="1"/>
  <c r="G2267" i="32" s="1"/>
  <c r="G2268" i="32" s="1"/>
  <c r="G2269" i="32" s="1"/>
  <c r="G2270" i="32" s="1"/>
  <c r="G2271" i="32" s="1"/>
  <c r="G2272" i="32" s="1"/>
  <c r="G2273" i="32" s="1"/>
  <c r="G2274" i="32" s="1"/>
  <c r="G2275" i="32" s="1"/>
  <c r="G2276" i="32" s="1"/>
  <c r="G2277" i="32" s="1"/>
  <c r="G2278" i="32" s="1"/>
  <c r="G2279" i="32" s="1"/>
  <c r="G2280" i="32" s="1"/>
  <c r="G2281" i="32" s="1"/>
  <c r="G2282" i="32" s="1"/>
  <c r="G2283" i="32" s="1"/>
  <c r="G2284" i="32" s="1"/>
  <c r="G2285" i="32" s="1"/>
  <c r="G2286" i="32" s="1"/>
  <c r="G2287" i="32" s="1"/>
  <c r="G2288" i="32" s="1"/>
  <c r="G2289" i="32" s="1"/>
  <c r="G2290" i="32" s="1"/>
  <c r="G2291" i="32" s="1"/>
  <c r="G2292" i="32" s="1"/>
  <c r="G2293" i="32" s="1"/>
  <c r="G2294" i="32" s="1"/>
  <c r="G2295" i="32" s="1"/>
  <c r="G2296" i="32" s="1"/>
  <c r="G2297" i="32" s="1"/>
  <c r="G2298" i="32" s="1"/>
  <c r="G2299" i="32" s="1"/>
  <c r="G2300" i="32" s="1"/>
  <c r="G2301" i="32" s="1"/>
  <c r="G2302" i="32" s="1"/>
  <c r="G2303" i="32" s="1"/>
  <c r="G2304" i="32" s="1"/>
  <c r="G2305" i="32" s="1"/>
  <c r="G2306" i="32" s="1"/>
  <c r="G2307" i="32" s="1"/>
  <c r="G2308" i="32" s="1"/>
  <c r="G2309" i="32" s="1"/>
  <c r="G2310" i="32" s="1"/>
  <c r="G2311" i="32" s="1"/>
  <c r="G2312" i="32" s="1"/>
  <c r="G2313" i="32" s="1"/>
  <c r="G2314" i="32" s="1"/>
  <c r="G2315" i="32" s="1"/>
  <c r="G2316" i="32" s="1"/>
  <c r="G2317" i="32" s="1"/>
  <c r="G2318" i="32" s="1"/>
  <c r="G2319" i="32" s="1"/>
  <c r="G2320" i="32" s="1"/>
  <c r="G2321" i="32" s="1"/>
  <c r="G2322" i="32" s="1"/>
  <c r="G2323" i="32" s="1"/>
  <c r="G2324" i="32" s="1"/>
  <c r="G2325" i="32" s="1"/>
  <c r="G2326" i="32" s="1"/>
  <c r="G2327" i="32" s="1"/>
  <c r="G2328" i="32" s="1"/>
  <c r="G2329" i="32" s="1"/>
  <c r="G2330" i="32" s="1"/>
  <c r="G2331" i="32" s="1"/>
  <c r="G2332" i="32" s="1"/>
  <c r="G2333" i="32" s="1"/>
  <c r="G2334" i="32" s="1"/>
  <c r="G2335" i="32" s="1"/>
  <c r="G2336" i="32" s="1"/>
  <c r="G2337" i="32" s="1"/>
  <c r="G2338" i="32" s="1"/>
  <c r="G2339" i="32" s="1"/>
  <c r="G2340" i="32" s="1"/>
  <c r="G2341" i="32" s="1"/>
  <c r="G2342" i="32" s="1"/>
  <c r="G2343" i="32" s="1"/>
  <c r="G2344" i="32" s="1"/>
  <c r="G2345" i="32" s="1"/>
  <c r="G2346" i="32" s="1"/>
  <c r="G2347" i="32" s="1"/>
  <c r="G2348" i="32" s="1"/>
  <c r="G2349" i="32" s="1"/>
  <c r="G2350" i="32" s="1"/>
  <c r="G2351" i="32" s="1"/>
  <c r="G2352" i="32" s="1"/>
  <c r="G2353" i="32" s="1"/>
  <c r="G2354" i="32" s="1"/>
  <c r="G2355" i="32" s="1"/>
  <c r="G2356" i="32" s="1"/>
  <c r="G2357" i="32" s="1"/>
  <c r="G2358" i="32" s="1"/>
  <c r="G2359" i="32" s="1"/>
  <c r="G2360" i="32" s="1"/>
  <c r="G2361" i="32" s="1"/>
  <c r="G2362" i="32" s="1"/>
  <c r="G2363" i="32" s="1"/>
  <c r="G2364" i="32" s="1"/>
  <c r="G2365" i="32" s="1"/>
  <c r="G2366" i="32" s="1"/>
  <c r="G2367" i="32" s="1"/>
  <c r="G2368" i="32" s="1"/>
  <c r="G2369" i="32" s="1"/>
  <c r="G2370" i="32" s="1"/>
  <c r="G2371" i="32" s="1"/>
  <c r="G2372" i="32" s="1"/>
  <c r="G2373" i="32" s="1"/>
  <c r="G2374" i="32" s="1"/>
  <c r="G2375" i="32" s="1"/>
  <c r="G2376" i="32" s="1"/>
  <c r="G2377" i="32" s="1"/>
  <c r="G2378" i="32" s="1"/>
  <c r="G2379" i="32" s="1"/>
  <c r="G2380" i="32" s="1"/>
  <c r="G2381" i="32" s="1"/>
  <c r="G2382" i="32" s="1"/>
  <c r="G2383" i="32" s="1"/>
  <c r="G2384" i="32" s="1"/>
  <c r="G2385" i="32" s="1"/>
  <c r="G2386" i="32" s="1"/>
  <c r="G2387" i="32" s="1"/>
  <c r="G2388" i="32" s="1"/>
  <c r="G2389" i="32" s="1"/>
  <c r="G2390" i="32" s="1"/>
  <c r="G2391" i="32" s="1"/>
  <c r="G2392" i="32" s="1"/>
  <c r="G2393" i="32" s="1"/>
  <c r="G2394" i="32" s="1"/>
  <c r="G2395" i="32" s="1"/>
  <c r="G2396" i="32" s="1"/>
  <c r="G2397" i="32" s="1"/>
  <c r="G2398" i="32" s="1"/>
  <c r="G2399" i="32" s="1"/>
  <c r="G2400" i="32" s="1"/>
  <c r="G2401" i="32" s="1"/>
  <c r="G2402" i="32" s="1"/>
  <c r="G2403" i="32" s="1"/>
  <c r="G2404" i="32" s="1"/>
  <c r="G2405" i="32" s="1"/>
  <c r="G2406" i="32" s="1"/>
  <c r="G2407" i="32" s="1"/>
  <c r="G2408" i="32" s="1"/>
  <c r="G2409" i="32" s="1"/>
  <c r="G2410" i="32" s="1"/>
  <c r="G2411" i="32" s="1"/>
  <c r="G2412" i="32" s="1"/>
  <c r="G2413" i="32" s="1"/>
  <c r="G2414" i="32" s="1"/>
  <c r="G2415" i="32" s="1"/>
  <c r="G2416" i="32" s="1"/>
  <c r="G2417" i="32" s="1"/>
  <c r="G2418" i="32" s="1"/>
  <c r="G2419" i="32" s="1"/>
  <c r="G2420" i="32" s="1"/>
  <c r="G2421" i="32" s="1"/>
  <c r="G2422" i="32" s="1"/>
  <c r="G2423" i="32" s="1"/>
  <c r="G2424" i="32" s="1"/>
  <c r="G2425" i="32" s="1"/>
  <c r="G2426" i="32" s="1"/>
  <c r="G2427" i="32" s="1"/>
  <c r="G2428" i="32" s="1"/>
  <c r="G2429" i="32" s="1"/>
  <c r="G2430" i="32" s="1"/>
  <c r="G2431" i="32" s="1"/>
  <c r="G2432" i="32" s="1"/>
  <c r="G2433" i="32" s="1"/>
  <c r="G2434" i="32" s="1"/>
  <c r="G2435" i="32" s="1"/>
  <c r="G2436" i="32" s="1"/>
  <c r="G2437" i="32" s="1"/>
  <c r="G2438" i="32" s="1"/>
  <c r="G2439" i="32" s="1"/>
  <c r="G2440" i="32" s="1"/>
  <c r="G2441" i="32" s="1"/>
  <c r="G2442" i="32" s="1"/>
  <c r="G2443" i="32" s="1"/>
  <c r="G2444" i="32" s="1"/>
  <c r="G2445" i="32" s="1"/>
  <c r="G2446" i="32" s="1"/>
  <c r="G2447" i="32" s="1"/>
  <c r="G2448" i="32" s="1"/>
  <c r="G2449" i="32" s="1"/>
  <c r="G2450" i="32" s="1"/>
  <c r="G2451" i="32" s="1"/>
  <c r="G2452" i="32" s="1"/>
  <c r="G2453" i="32" s="1"/>
  <c r="G2454" i="32" s="1"/>
  <c r="G2455" i="32" s="1"/>
  <c r="G2456" i="32" s="1"/>
  <c r="G2457" i="32" s="1"/>
  <c r="G2458" i="32" s="1"/>
  <c r="G2459" i="32" s="1"/>
  <c r="G2460" i="32" s="1"/>
  <c r="G2461" i="32" s="1"/>
  <c r="G2462" i="32" s="1"/>
  <c r="G2463" i="32" s="1"/>
  <c r="G2464" i="32" s="1"/>
  <c r="G2465" i="32" s="1"/>
  <c r="G2466" i="32" s="1"/>
  <c r="G2467" i="32" s="1"/>
  <c r="G2468" i="32" s="1"/>
  <c r="G2469" i="32" s="1"/>
  <c r="G2470" i="32" s="1"/>
  <c r="G2471" i="32" s="1"/>
  <c r="G2472" i="32" s="1"/>
  <c r="G2473" i="32" s="1"/>
  <c r="G2474" i="32" s="1"/>
  <c r="G2475" i="32" s="1"/>
  <c r="G2476" i="32" s="1"/>
  <c r="G2477" i="32" s="1"/>
  <c r="G2478" i="32" s="1"/>
  <c r="G2479" i="32" s="1"/>
  <c r="G2480" i="32" s="1"/>
  <c r="G2481" i="32" s="1"/>
  <c r="G2482" i="32" s="1"/>
  <c r="G2483" i="32" s="1"/>
  <c r="G2484" i="32" s="1"/>
  <c r="G2485" i="32" s="1"/>
  <c r="G2486" i="32" s="1"/>
  <c r="G2487" i="32" s="1"/>
  <c r="G2488" i="32" s="1"/>
  <c r="G2489" i="32" s="1"/>
  <c r="G2490" i="32" s="1"/>
  <c r="G2491" i="32" s="1"/>
  <c r="G2492" i="32" s="1"/>
  <c r="G2493" i="32" s="1"/>
  <c r="G2494" i="32" s="1"/>
  <c r="G2495" i="32" s="1"/>
  <c r="G2496" i="32" s="1"/>
  <c r="G2497" i="32" s="1"/>
  <c r="G2498" i="32" s="1"/>
  <c r="G2499" i="32" s="1"/>
  <c r="G2500" i="32" s="1"/>
  <c r="G2501" i="32" s="1"/>
  <c r="G2502" i="32" s="1"/>
  <c r="G2503" i="32" s="1"/>
  <c r="G2504" i="32" s="1"/>
  <c r="G2505" i="32" s="1"/>
  <c r="G2506" i="32" s="1"/>
  <c r="G2507" i="32" s="1"/>
  <c r="G2508" i="32" s="1"/>
  <c r="G2509" i="32" s="1"/>
  <c r="G2510" i="32" s="1"/>
  <c r="G2511" i="32" s="1"/>
  <c r="G2512" i="32" s="1"/>
  <c r="G2513" i="32" s="1"/>
  <c r="G2514" i="32" s="1"/>
  <c r="G2515" i="32" s="1"/>
  <c r="G2516" i="32" s="1"/>
  <c r="G2517" i="32" s="1"/>
  <c r="G2518" i="32" s="1"/>
  <c r="G2519" i="32" s="1"/>
  <c r="G2520" i="32" s="1"/>
  <c r="G2521" i="32" s="1"/>
  <c r="G2522" i="32" s="1"/>
  <c r="G2523" i="32" s="1"/>
  <c r="G2524" i="32" s="1"/>
  <c r="G2525" i="32" s="1"/>
  <c r="G2526" i="32" s="1"/>
  <c r="G2527" i="32" s="1"/>
  <c r="G2528" i="32" s="1"/>
  <c r="G2529" i="32" s="1"/>
  <c r="G2530" i="32" s="1"/>
  <c r="G2531" i="32" s="1"/>
  <c r="G2532" i="32" s="1"/>
  <c r="G2533" i="32" s="1"/>
  <c r="G2534" i="32" s="1"/>
  <c r="G2535" i="32" s="1"/>
  <c r="G2536" i="32" s="1"/>
  <c r="G2537" i="32" s="1"/>
  <c r="G2538" i="32" s="1"/>
  <c r="G2539" i="32" s="1"/>
  <c r="G2540" i="32" s="1"/>
  <c r="G2541" i="32" s="1"/>
  <c r="G2542" i="32" s="1"/>
  <c r="G2543" i="32" s="1"/>
  <c r="G2544" i="32" s="1"/>
  <c r="G2545" i="32" s="1"/>
  <c r="G2546" i="32" s="1"/>
  <c r="G2547" i="32" s="1"/>
  <c r="G2548" i="32" s="1"/>
  <c r="G2549" i="32" s="1"/>
  <c r="G2550" i="32" s="1"/>
  <c r="G2551" i="32" s="1"/>
  <c r="G2552" i="32" s="1"/>
  <c r="G2553" i="32" s="1"/>
  <c r="G2554" i="32" s="1"/>
  <c r="G2555" i="32" s="1"/>
  <c r="G2556" i="32" s="1"/>
  <c r="G2557" i="32" s="1"/>
  <c r="G2558" i="32" s="1"/>
  <c r="G2559" i="32" s="1"/>
  <c r="G2560" i="32" s="1"/>
  <c r="G2561" i="32" s="1"/>
  <c r="G2562" i="32" s="1"/>
  <c r="G2563" i="32" s="1"/>
  <c r="G2564" i="32" s="1"/>
  <c r="G2565" i="32" s="1"/>
  <c r="G2566" i="32" s="1"/>
  <c r="G2567" i="32" s="1"/>
  <c r="G2568" i="32" s="1"/>
  <c r="G2569" i="32" s="1"/>
  <c r="G2570" i="32" s="1"/>
  <c r="G2571" i="32" s="1"/>
  <c r="G2572" i="32" s="1"/>
  <c r="G2573" i="32" s="1"/>
  <c r="G2574" i="32" s="1"/>
  <c r="G2575" i="32" s="1"/>
  <c r="G2576" i="32" s="1"/>
  <c r="G2577" i="32" s="1"/>
  <c r="G2578" i="32" s="1"/>
  <c r="G2579" i="32" s="1"/>
  <c r="G2580" i="32" s="1"/>
  <c r="G2581" i="32" s="1"/>
  <c r="G2582" i="32" s="1"/>
  <c r="G2583" i="32" s="1"/>
  <c r="G2584" i="32" s="1"/>
  <c r="G2585" i="32" s="1"/>
  <c r="G2586" i="32" s="1"/>
  <c r="G2587" i="32" s="1"/>
  <c r="G2588" i="32" s="1"/>
  <c r="G2589" i="32" s="1"/>
  <c r="G2590" i="32" s="1"/>
  <c r="G2591" i="32" s="1"/>
  <c r="G2592" i="32" s="1"/>
  <c r="G2593" i="32" s="1"/>
  <c r="G2594" i="32" s="1"/>
  <c r="G2595" i="32" s="1"/>
  <c r="G2596" i="32" s="1"/>
  <c r="G2597" i="32" s="1"/>
  <c r="G2598" i="32" s="1"/>
  <c r="G2599" i="32" s="1"/>
  <c r="G2600" i="32" s="1"/>
  <c r="G2601" i="32" s="1"/>
  <c r="G2602" i="32" s="1"/>
  <c r="G2603" i="32" s="1"/>
  <c r="G2604" i="32" s="1"/>
  <c r="G2605" i="32" s="1"/>
  <c r="G2606" i="32" s="1"/>
  <c r="G2607" i="32" s="1"/>
  <c r="G2608" i="32" s="1"/>
  <c r="G2609" i="32" s="1"/>
  <c r="G2610" i="32" s="1"/>
  <c r="G2611" i="32" s="1"/>
  <c r="G2612" i="32" s="1"/>
  <c r="G2613" i="32" s="1"/>
  <c r="G2614" i="32" s="1"/>
  <c r="G2615" i="32" s="1"/>
  <c r="G2616" i="32" s="1"/>
  <c r="G2617" i="32" s="1"/>
  <c r="G2618" i="32" s="1"/>
  <c r="G2619" i="32" s="1"/>
  <c r="G2620" i="32" s="1"/>
  <c r="G2621" i="32" s="1"/>
  <c r="G2622" i="32" s="1"/>
  <c r="G2623" i="32" s="1"/>
  <c r="G2624" i="32" s="1"/>
  <c r="G2625" i="32" s="1"/>
  <c r="G2626" i="32" s="1"/>
  <c r="G2627" i="32" s="1"/>
  <c r="G2628" i="32" s="1"/>
  <c r="G2629" i="32" s="1"/>
  <c r="G2630" i="32" s="1"/>
  <c r="G2631" i="32" s="1"/>
  <c r="G2632" i="32" s="1"/>
  <c r="G2633" i="32" s="1"/>
  <c r="G2634" i="32" s="1"/>
  <c r="G2635" i="32" s="1"/>
  <c r="G2636" i="32" s="1"/>
  <c r="G2637" i="32" s="1"/>
  <c r="G2638" i="32" s="1"/>
  <c r="G2639" i="32" s="1"/>
  <c r="G2640" i="32" s="1"/>
  <c r="G2641" i="32" s="1"/>
  <c r="G2642" i="32" s="1"/>
  <c r="G2643" i="32" s="1"/>
  <c r="G2644" i="32" s="1"/>
  <c r="G2645" i="32" s="1"/>
  <c r="G2646" i="32" s="1"/>
  <c r="G2647" i="32" s="1"/>
  <c r="G2648" i="32" s="1"/>
  <c r="G2649" i="32" s="1"/>
  <c r="G2650" i="32" s="1"/>
  <c r="G2651" i="32" s="1"/>
  <c r="G2652" i="32" s="1"/>
  <c r="G2653" i="32" s="1"/>
  <c r="G2654" i="32" s="1"/>
  <c r="G2655" i="32" s="1"/>
  <c r="G2656" i="32" s="1"/>
  <c r="G2657" i="32" s="1"/>
  <c r="G2658" i="32" s="1"/>
  <c r="G2659" i="32" s="1"/>
  <c r="G2660" i="32" s="1"/>
  <c r="G2661" i="32" s="1"/>
  <c r="G2662" i="32" s="1"/>
  <c r="G2663" i="32" s="1"/>
  <c r="G2664" i="32" s="1"/>
  <c r="G2665" i="32" s="1"/>
  <c r="G2666" i="32" s="1"/>
  <c r="G2667" i="32" s="1"/>
  <c r="G2668" i="32" s="1"/>
  <c r="G2669" i="32" s="1"/>
  <c r="G2670" i="32" s="1"/>
  <c r="G2671" i="32" s="1"/>
  <c r="G2672" i="32" s="1"/>
  <c r="G2673" i="32" s="1"/>
  <c r="G2674" i="32" s="1"/>
  <c r="G2675" i="32" s="1"/>
  <c r="G2676" i="32" s="1"/>
  <c r="G2677" i="32" s="1"/>
  <c r="G2678" i="32" s="1"/>
  <c r="G2679" i="32" s="1"/>
  <c r="G2680" i="32" s="1"/>
  <c r="G2681" i="32" s="1"/>
  <c r="G2682" i="32" s="1"/>
  <c r="G2683" i="32" s="1"/>
  <c r="G2684" i="32" s="1"/>
  <c r="G2685" i="32" s="1"/>
  <c r="G2686" i="32" s="1"/>
  <c r="G2687" i="32" s="1"/>
  <c r="G2688" i="32" s="1"/>
  <c r="G2689" i="32" s="1"/>
  <c r="G2690" i="32" s="1"/>
  <c r="G2691" i="32" s="1"/>
  <c r="G2692" i="32" s="1"/>
  <c r="G2693" i="32" s="1"/>
  <c r="G2694" i="32" s="1"/>
  <c r="G2695" i="32" s="1"/>
  <c r="G2696" i="32" s="1"/>
  <c r="G2697" i="32" s="1"/>
  <c r="G2698" i="32" s="1"/>
  <c r="G2699" i="32" s="1"/>
  <c r="G2700" i="32" s="1"/>
  <c r="G2701" i="32" s="1"/>
  <c r="G2702" i="32" s="1"/>
  <c r="G2703" i="32" s="1"/>
  <c r="G2704" i="32" s="1"/>
  <c r="G2705" i="32" s="1"/>
  <c r="G2706" i="32" s="1"/>
  <c r="G2707" i="32" s="1"/>
  <c r="G2708" i="32" s="1"/>
  <c r="G2709" i="32" s="1"/>
  <c r="G2710" i="32" s="1"/>
  <c r="G2711" i="32" s="1"/>
  <c r="G2712" i="32" s="1"/>
  <c r="G2713" i="32" s="1"/>
  <c r="G2714" i="32" s="1"/>
  <c r="G2715" i="32" s="1"/>
  <c r="G2716" i="32" s="1"/>
  <c r="G2717" i="32" s="1"/>
  <c r="G2718" i="32" s="1"/>
  <c r="G2719" i="32" s="1"/>
  <c r="G2720" i="32" s="1"/>
  <c r="G2721" i="32" s="1"/>
  <c r="G2722" i="32" s="1"/>
  <c r="G2723" i="32" s="1"/>
  <c r="G2724" i="32" s="1"/>
  <c r="G2725" i="32" s="1"/>
  <c r="G2726" i="32" s="1"/>
  <c r="G2727" i="32" s="1"/>
  <c r="G2728" i="32" s="1"/>
  <c r="G2729" i="32" s="1"/>
  <c r="G2730" i="32" s="1"/>
  <c r="G2731" i="32" s="1"/>
  <c r="G2732" i="32" s="1"/>
  <c r="G2733" i="32" s="1"/>
  <c r="G2734" i="32" s="1"/>
  <c r="G2735" i="32" s="1"/>
  <c r="G2736" i="32" s="1"/>
  <c r="G2737" i="32" s="1"/>
  <c r="G2738" i="32" s="1"/>
  <c r="G2739" i="32" s="1"/>
  <c r="G2740" i="32" s="1"/>
  <c r="G2741" i="32" s="1"/>
  <c r="G2742" i="32" s="1"/>
  <c r="G2743" i="32" s="1"/>
  <c r="G2744" i="32" s="1"/>
  <c r="G2745" i="32" s="1"/>
  <c r="G2746" i="32" s="1"/>
  <c r="G2747" i="32" s="1"/>
  <c r="G2748" i="32" s="1"/>
  <c r="G2749" i="32" s="1"/>
  <c r="G2750" i="32" s="1"/>
  <c r="G2751" i="32" s="1"/>
  <c r="G2752" i="32" s="1"/>
  <c r="G2753" i="32" s="1"/>
  <c r="G2754" i="32" s="1"/>
  <c r="G2755" i="32" s="1"/>
  <c r="G2756" i="32" s="1"/>
  <c r="G2757" i="32" s="1"/>
  <c r="G2758" i="32" s="1"/>
  <c r="G2759" i="32" s="1"/>
  <c r="G2760" i="32" s="1"/>
  <c r="G2761" i="32" s="1"/>
  <c r="G2762" i="32" s="1"/>
  <c r="G2763" i="32" s="1"/>
  <c r="G2764" i="32" s="1"/>
  <c r="G2765" i="32" s="1"/>
  <c r="G2766" i="32" s="1"/>
  <c r="G2767" i="32" s="1"/>
  <c r="G2768" i="32" s="1"/>
  <c r="G2769" i="32" s="1"/>
  <c r="G2770" i="32" s="1"/>
  <c r="G2771" i="32" s="1"/>
  <c r="G2772" i="32" s="1"/>
  <c r="G2773" i="32" s="1"/>
  <c r="G2774" i="32" s="1"/>
  <c r="G2775" i="32" s="1"/>
  <c r="G2776" i="32" s="1"/>
  <c r="G2777" i="32" s="1"/>
  <c r="G2778" i="32" s="1"/>
  <c r="G2779" i="32" s="1"/>
  <c r="G2780" i="32" s="1"/>
  <c r="G2781" i="32" s="1"/>
  <c r="G2782" i="32" s="1"/>
  <c r="G2783" i="32" s="1"/>
  <c r="G2784" i="32" s="1"/>
  <c r="G2785" i="32" s="1"/>
  <c r="G2786" i="32" s="1"/>
  <c r="G2787" i="32" s="1"/>
  <c r="G2788" i="32" s="1"/>
  <c r="G2789" i="32" s="1"/>
  <c r="G2790" i="32" s="1"/>
  <c r="G2791" i="32" s="1"/>
  <c r="G2792" i="32" s="1"/>
  <c r="G2793" i="32" s="1"/>
  <c r="G2794" i="32" s="1"/>
  <c r="G2795" i="32" s="1"/>
  <c r="G2796" i="32" s="1"/>
  <c r="G2797" i="32" s="1"/>
  <c r="G2798" i="32" s="1"/>
  <c r="G2799" i="32" s="1"/>
  <c r="G2800" i="32" s="1"/>
  <c r="G2801" i="32" s="1"/>
  <c r="G2802" i="32" s="1"/>
  <c r="G2803" i="32" s="1"/>
  <c r="G2804" i="32" s="1"/>
  <c r="G2805" i="32" s="1"/>
  <c r="G2806" i="32" s="1"/>
  <c r="G2807" i="32" s="1"/>
  <c r="G2808" i="32" s="1"/>
  <c r="G2809" i="32" s="1"/>
  <c r="G2810" i="32" s="1"/>
  <c r="G2811" i="32" s="1"/>
  <c r="G2812" i="32" s="1"/>
  <c r="G2813" i="32" s="1"/>
  <c r="G2814" i="32" s="1"/>
  <c r="G2815" i="32" s="1"/>
  <c r="G2816" i="32" s="1"/>
  <c r="G2817" i="32" s="1"/>
  <c r="G2818" i="32" s="1"/>
  <c r="G2819" i="32" s="1"/>
  <c r="G2820" i="32" s="1"/>
  <c r="G2821" i="32" s="1"/>
  <c r="G2822" i="32" s="1"/>
  <c r="G2823" i="32" s="1"/>
  <c r="G2824" i="32" s="1"/>
  <c r="G2825" i="32" s="1"/>
  <c r="G2826" i="32" s="1"/>
  <c r="G2827" i="32" s="1"/>
  <c r="G2828" i="32" s="1"/>
  <c r="G2829" i="32" s="1"/>
  <c r="G2830" i="32" s="1"/>
  <c r="G2831" i="32" s="1"/>
  <c r="G2832" i="32" s="1"/>
  <c r="G2833" i="32" s="1"/>
  <c r="G2834" i="32" s="1"/>
  <c r="G2835" i="32" s="1"/>
  <c r="G2836" i="32" s="1"/>
  <c r="G2837" i="32" s="1"/>
  <c r="G2838" i="32" s="1"/>
  <c r="G2839" i="32" s="1"/>
  <c r="G2840" i="32" s="1"/>
  <c r="G2841" i="32" s="1"/>
  <c r="G2842" i="32" s="1"/>
  <c r="G2843" i="32" s="1"/>
  <c r="G2844" i="32" s="1"/>
  <c r="G2845" i="32" s="1"/>
  <c r="G2846" i="32" s="1"/>
  <c r="G2847" i="32" s="1"/>
  <c r="G2848" i="32" s="1"/>
  <c r="G2849" i="32" s="1"/>
  <c r="G2850" i="32" s="1"/>
  <c r="G2851" i="32" s="1"/>
  <c r="G2852" i="32" s="1"/>
  <c r="G2853" i="32" s="1"/>
  <c r="G2854" i="32" s="1"/>
  <c r="G2855" i="32" s="1"/>
  <c r="G2856" i="32" s="1"/>
  <c r="G2857" i="32" s="1"/>
  <c r="G2858" i="32" s="1"/>
  <c r="G2859" i="32" s="1"/>
  <c r="G2860" i="32" s="1"/>
  <c r="G2861" i="32" s="1"/>
  <c r="G2862" i="32" s="1"/>
  <c r="G2863" i="32" s="1"/>
  <c r="G2864" i="32" s="1"/>
  <c r="G2865" i="32" s="1"/>
  <c r="G2866" i="32" s="1"/>
  <c r="G2867" i="32" s="1"/>
  <c r="G2868" i="32" s="1"/>
  <c r="G2869" i="32" s="1"/>
  <c r="G2870" i="32" s="1"/>
  <c r="G2871" i="32" s="1"/>
  <c r="G2872" i="32" s="1"/>
  <c r="G2873" i="32" s="1"/>
  <c r="G2874" i="32" s="1"/>
  <c r="G2875" i="32" s="1"/>
  <c r="G2876" i="32" s="1"/>
  <c r="G2877" i="32" s="1"/>
  <c r="G2878" i="32" s="1"/>
  <c r="G2879" i="32" s="1"/>
  <c r="G2880" i="32" s="1"/>
  <c r="G2881" i="32" s="1"/>
  <c r="G2882" i="32" s="1"/>
  <c r="G2883" i="32" s="1"/>
  <c r="G2884" i="32" s="1"/>
  <c r="G2885" i="32" s="1"/>
  <c r="G2886" i="32" s="1"/>
  <c r="G2887" i="32" s="1"/>
  <c r="G2888" i="32" s="1"/>
  <c r="G2889" i="32" s="1"/>
  <c r="G2890" i="32" s="1"/>
  <c r="G2891" i="32" s="1"/>
  <c r="G2892" i="32" s="1"/>
  <c r="G2893" i="32" s="1"/>
  <c r="G2894" i="32" s="1"/>
  <c r="G2895" i="32" s="1"/>
  <c r="G2896" i="32" s="1"/>
  <c r="G2897" i="32" s="1"/>
  <c r="G2898" i="32" s="1"/>
  <c r="G2899" i="32" s="1"/>
  <c r="G2900" i="32" s="1"/>
  <c r="G2901" i="32" s="1"/>
  <c r="G2902" i="32" s="1"/>
  <c r="G2903" i="32" s="1"/>
  <c r="G2904" i="32" s="1"/>
  <c r="G2905" i="32" s="1"/>
  <c r="G2906" i="32" s="1"/>
  <c r="G2907" i="32" s="1"/>
  <c r="G2908" i="32" s="1"/>
  <c r="G2909" i="32" s="1"/>
  <c r="G2910" i="32" s="1"/>
  <c r="G2911" i="32" s="1"/>
  <c r="G2912" i="32" s="1"/>
  <c r="G2913" i="32" s="1"/>
  <c r="G2914" i="32" s="1"/>
  <c r="G2915" i="32" s="1"/>
  <c r="G2916" i="32" s="1"/>
  <c r="G2917" i="32" s="1"/>
  <c r="G2918" i="32" s="1"/>
  <c r="G2919" i="32" s="1"/>
  <c r="G2920" i="32" s="1"/>
  <c r="G2921" i="32" s="1"/>
  <c r="G2922" i="32" s="1"/>
  <c r="G2923" i="32" s="1"/>
  <c r="G2924" i="32" s="1"/>
  <c r="G2925" i="32" s="1"/>
  <c r="G2926" i="32" s="1"/>
  <c r="G2927" i="32" s="1"/>
  <c r="G2928" i="32" s="1"/>
  <c r="G2929" i="32" s="1"/>
  <c r="G2930" i="32" s="1"/>
  <c r="G2931" i="32" s="1"/>
  <c r="G2932" i="32" s="1"/>
  <c r="G2933" i="32" s="1"/>
  <c r="G2934" i="32" s="1"/>
  <c r="G2935" i="32" s="1"/>
  <c r="G2936" i="32" s="1"/>
  <c r="G2937" i="32" s="1"/>
  <c r="G2938" i="32" s="1"/>
  <c r="G2939" i="32" s="1"/>
  <c r="G2940" i="32" s="1"/>
  <c r="G2941" i="32" s="1"/>
  <c r="G2942" i="32" s="1"/>
  <c r="G2943" i="32" s="1"/>
  <c r="G2944" i="32" s="1"/>
  <c r="G2945" i="32" s="1"/>
  <c r="G2946" i="32" s="1"/>
  <c r="G2947" i="32" s="1"/>
  <c r="G2948" i="32" s="1"/>
  <c r="G2949" i="32" s="1"/>
  <c r="G2950" i="32" s="1"/>
  <c r="G2951" i="32" s="1"/>
  <c r="G2952" i="32" s="1"/>
  <c r="G2953" i="32" s="1"/>
  <c r="G2954" i="32" s="1"/>
  <c r="G2955" i="32" s="1"/>
  <c r="G2956" i="32" s="1"/>
  <c r="G2957" i="32" s="1"/>
  <c r="G2958" i="32" s="1"/>
  <c r="G2959" i="32" s="1"/>
  <c r="G2960" i="32" s="1"/>
  <c r="G2961" i="32" s="1"/>
  <c r="G2962" i="32" s="1"/>
  <c r="G2963" i="32" s="1"/>
  <c r="G2964" i="32" s="1"/>
  <c r="G2965" i="32" s="1"/>
  <c r="G2966" i="32" s="1"/>
  <c r="G2967" i="32" s="1"/>
  <c r="G2968" i="32" s="1"/>
  <c r="G2969" i="32" s="1"/>
  <c r="G2970" i="32" s="1"/>
  <c r="G2971" i="32" s="1"/>
  <c r="G2972" i="32" s="1"/>
  <c r="G2973" i="32" s="1"/>
  <c r="G2974" i="32" s="1"/>
  <c r="G2975" i="32" s="1"/>
  <c r="G2976" i="32" s="1"/>
  <c r="G2977" i="32" s="1"/>
  <c r="G2978" i="32" s="1"/>
  <c r="G2979" i="32" s="1"/>
  <c r="G2980" i="32" s="1"/>
  <c r="G2981" i="32" s="1"/>
  <c r="G2982" i="32" s="1"/>
  <c r="G2983" i="32" s="1"/>
  <c r="G2984" i="32" s="1"/>
  <c r="G2985" i="32" s="1"/>
  <c r="G2986" i="32" s="1"/>
  <c r="G2987" i="32" s="1"/>
  <c r="G2988" i="32" s="1"/>
  <c r="G2989" i="32" s="1"/>
  <c r="G2990" i="32" s="1"/>
  <c r="G2991" i="32" s="1"/>
  <c r="G2992" i="32" s="1"/>
  <c r="G2993" i="32" s="1"/>
  <c r="G2994" i="32" s="1"/>
  <c r="G2995" i="32" s="1"/>
  <c r="G2996" i="32" s="1"/>
  <c r="G2997" i="32" s="1"/>
  <c r="G2998" i="32" s="1"/>
  <c r="G2999" i="32" s="1"/>
  <c r="G3000" i="32" s="1"/>
  <c r="G3001" i="32" s="1"/>
  <c r="G3002" i="32" s="1"/>
  <c r="G3003" i="32" s="1"/>
  <c r="G3004" i="32" s="1"/>
  <c r="G3005" i="32" s="1"/>
  <c r="G3006" i="32" s="1"/>
  <c r="G3007" i="32" s="1"/>
  <c r="G3008" i="32" s="1"/>
  <c r="G3009" i="32" s="1"/>
  <c r="G3010" i="32" s="1"/>
  <c r="G3011" i="32" s="1"/>
  <c r="G3012" i="32" s="1"/>
  <c r="G3013" i="32" s="1"/>
  <c r="G3014" i="32" s="1"/>
  <c r="G3015" i="32" s="1"/>
  <c r="G3016" i="32" s="1"/>
  <c r="G3017" i="32" s="1"/>
  <c r="G3018" i="32" s="1"/>
  <c r="G3019" i="32" s="1"/>
  <c r="G3020" i="32" s="1"/>
  <c r="G3021" i="32" s="1"/>
  <c r="G3022" i="32" s="1"/>
  <c r="G3023" i="32" s="1"/>
  <c r="G3024" i="32" s="1"/>
  <c r="G3025" i="32" s="1"/>
  <c r="G3026" i="32" s="1"/>
  <c r="G3027" i="32" s="1"/>
  <c r="G3028" i="32" s="1"/>
  <c r="G3029" i="32" s="1"/>
  <c r="G3030" i="32" s="1"/>
  <c r="G3031" i="32" s="1"/>
  <c r="G3032" i="32" s="1"/>
  <c r="G3033" i="32" s="1"/>
  <c r="G3034" i="32" s="1"/>
  <c r="G3035" i="32" s="1"/>
  <c r="G3036" i="32" s="1"/>
  <c r="G3037" i="32" s="1"/>
  <c r="G3038" i="32" s="1"/>
  <c r="G3039" i="32" s="1"/>
  <c r="G3040" i="32" s="1"/>
  <c r="G3041" i="32" s="1"/>
  <c r="G3042" i="32" s="1"/>
  <c r="G3043" i="32" s="1"/>
  <c r="G3044" i="32" s="1"/>
  <c r="G3045" i="32" s="1"/>
  <c r="G3046" i="32" s="1"/>
  <c r="G3047" i="32" s="1"/>
  <c r="G3048" i="32" s="1"/>
  <c r="G3049" i="32" s="1"/>
  <c r="G3050" i="32" s="1"/>
  <c r="G3051" i="32" s="1"/>
  <c r="G3052" i="32" s="1"/>
  <c r="G3053" i="32" s="1"/>
  <c r="G3054" i="32" s="1"/>
  <c r="G3055" i="32" s="1"/>
  <c r="G3056" i="32" s="1"/>
  <c r="G3057" i="32" s="1"/>
  <c r="G3058" i="32" s="1"/>
  <c r="G3059" i="32" s="1"/>
  <c r="G3060" i="32" s="1"/>
  <c r="G3061" i="32" s="1"/>
  <c r="G3062" i="32" s="1"/>
  <c r="G3063" i="32" s="1"/>
  <c r="G3064" i="32" s="1"/>
  <c r="G3065" i="32" s="1"/>
  <c r="G3066" i="32" s="1"/>
  <c r="G3067" i="32" s="1"/>
  <c r="G3068" i="32" s="1"/>
  <c r="G3069" i="32" s="1"/>
  <c r="G3070" i="32" s="1"/>
  <c r="G3071" i="32" s="1"/>
  <c r="G3072" i="32" s="1"/>
  <c r="G3073" i="32" s="1"/>
  <c r="G3074" i="32" s="1"/>
  <c r="G3075" i="32" s="1"/>
  <c r="G3076" i="32" s="1"/>
  <c r="G3077" i="32" s="1"/>
  <c r="G3078" i="32" s="1"/>
  <c r="G3079" i="32" s="1"/>
  <c r="G3080" i="32" s="1"/>
  <c r="G3081" i="32" s="1"/>
  <c r="G3082" i="32" s="1"/>
  <c r="G3083" i="32" s="1"/>
  <c r="G3084" i="32" s="1"/>
  <c r="G3085" i="32" s="1"/>
  <c r="G3086" i="32" s="1"/>
  <c r="G3087" i="32" s="1"/>
  <c r="G3088" i="32" s="1"/>
  <c r="G3089" i="32" s="1"/>
  <c r="G3090" i="32" s="1"/>
  <c r="G3091" i="32" s="1"/>
  <c r="G3092" i="32" s="1"/>
  <c r="G3093" i="32" s="1"/>
  <c r="G3094" i="32" s="1"/>
  <c r="G3095" i="32" s="1"/>
  <c r="G3096" i="32" s="1"/>
  <c r="G3097" i="32" s="1"/>
  <c r="G3098" i="32" s="1"/>
  <c r="G3099" i="32" s="1"/>
  <c r="G3100" i="32" s="1"/>
  <c r="G3101" i="32" s="1"/>
  <c r="G3102" i="32" s="1"/>
  <c r="G3103" i="32" s="1"/>
  <c r="G3104" i="32" s="1"/>
  <c r="G3105" i="32" s="1"/>
  <c r="G3106" i="32" s="1"/>
  <c r="G3107" i="32" s="1"/>
  <c r="G3108" i="32" s="1"/>
  <c r="G3109" i="32" s="1"/>
  <c r="G3110" i="32" s="1"/>
  <c r="G3111" i="32" s="1"/>
  <c r="G3112" i="32" s="1"/>
  <c r="G3113" i="32" s="1"/>
  <c r="G3114" i="32" s="1"/>
  <c r="G3115" i="32" s="1"/>
  <c r="G3116" i="32" s="1"/>
  <c r="G3117" i="32" s="1"/>
  <c r="G3118" i="32" s="1"/>
  <c r="G3119" i="32" s="1"/>
  <c r="G3120" i="32" s="1"/>
  <c r="G3121" i="32" s="1"/>
  <c r="G3122" i="32" s="1"/>
  <c r="G3123" i="32" s="1"/>
  <c r="G3124" i="32" s="1"/>
  <c r="G3125" i="32" s="1"/>
  <c r="G3126" i="32" s="1"/>
  <c r="G3127" i="32" s="1"/>
  <c r="G3128" i="32" s="1"/>
  <c r="G3129" i="32" s="1"/>
  <c r="G3130" i="32" s="1"/>
  <c r="G3131" i="32" s="1"/>
  <c r="G3132" i="32" s="1"/>
  <c r="G3133" i="32" s="1"/>
  <c r="G3134" i="32" s="1"/>
  <c r="G3135" i="32" s="1"/>
  <c r="G3136" i="32" s="1"/>
  <c r="G3137" i="32" s="1"/>
  <c r="G3138" i="32" s="1"/>
  <c r="G3139" i="32" s="1"/>
  <c r="G3140" i="32" s="1"/>
  <c r="G3141" i="32" s="1"/>
  <c r="G3142" i="32" s="1"/>
  <c r="G3143" i="32" s="1"/>
  <c r="G3144" i="32" s="1"/>
  <c r="G3145" i="32" s="1"/>
  <c r="G3146" i="32" s="1"/>
  <c r="G3147" i="32" s="1"/>
  <c r="G3148" i="32" s="1"/>
  <c r="G3149" i="32" s="1"/>
  <c r="G3150" i="32" s="1"/>
  <c r="G3151" i="32" s="1"/>
  <c r="G3152" i="32" s="1"/>
  <c r="G3153" i="32" s="1"/>
  <c r="G3154" i="32" s="1"/>
  <c r="G3155" i="32" s="1"/>
  <c r="G3156" i="32" s="1"/>
  <c r="G3157" i="32" s="1"/>
  <c r="G3158" i="32" s="1"/>
  <c r="G3159" i="32" s="1"/>
  <c r="G3160" i="32" s="1"/>
  <c r="G3161" i="32" s="1"/>
  <c r="G3162" i="32" s="1"/>
  <c r="G3163" i="32" s="1"/>
  <c r="G3164" i="32" s="1"/>
  <c r="G3165" i="32" s="1"/>
  <c r="G3166" i="32" s="1"/>
  <c r="G3167" i="32" s="1"/>
  <c r="G3168" i="32" s="1"/>
  <c r="G3169" i="32" s="1"/>
  <c r="G3170" i="32" s="1"/>
  <c r="G3171" i="32" s="1"/>
  <c r="G3172" i="32" s="1"/>
  <c r="G3173" i="32" s="1"/>
  <c r="G3174" i="32" s="1"/>
  <c r="G3175" i="32" s="1"/>
  <c r="G3176" i="32" s="1"/>
  <c r="G3177" i="32" s="1"/>
  <c r="G3178" i="32" s="1"/>
  <c r="G3179" i="32" s="1"/>
  <c r="G3180" i="32" s="1"/>
  <c r="G3181" i="32" s="1"/>
  <c r="G3182" i="32" s="1"/>
  <c r="G3183" i="32" s="1"/>
  <c r="G3184" i="32" s="1"/>
  <c r="G3185" i="32" s="1"/>
  <c r="G3186" i="32" s="1"/>
  <c r="G3187" i="32" s="1"/>
  <c r="G3188" i="32" s="1"/>
  <c r="G3189" i="32" s="1"/>
  <c r="G3190" i="32" s="1"/>
  <c r="G3191" i="32" s="1"/>
  <c r="G3192" i="32" s="1"/>
  <c r="G3193" i="32" s="1"/>
  <c r="G3194" i="32" s="1"/>
  <c r="G3195" i="32" s="1"/>
  <c r="G3196" i="32" s="1"/>
  <c r="G3197" i="32" s="1"/>
  <c r="G3198" i="32" s="1"/>
  <c r="G3199" i="32" s="1"/>
  <c r="G3200" i="32" s="1"/>
  <c r="G3201" i="32" s="1"/>
  <c r="G3202" i="32" s="1"/>
  <c r="G3203" i="32" s="1"/>
  <c r="G3204" i="32" s="1"/>
  <c r="G3205" i="32" s="1"/>
  <c r="G3206" i="32" s="1"/>
  <c r="G3207" i="32" s="1"/>
  <c r="G3208" i="32" s="1"/>
  <c r="G3209" i="32" s="1"/>
  <c r="G3210" i="32" s="1"/>
  <c r="G3211" i="32" s="1"/>
  <c r="G3212" i="32" s="1"/>
  <c r="G3213" i="32" s="1"/>
  <c r="G3214" i="32" s="1"/>
  <c r="G3215" i="32" s="1"/>
  <c r="G3216" i="32" s="1"/>
  <c r="G3217" i="32" s="1"/>
  <c r="G3218" i="32" s="1"/>
  <c r="G3219" i="32" s="1"/>
  <c r="G3220" i="32" s="1"/>
  <c r="G3221" i="32" s="1"/>
  <c r="G3222" i="32" s="1"/>
  <c r="G3223" i="32" s="1"/>
  <c r="G3224" i="32" s="1"/>
  <c r="G3225" i="32" s="1"/>
  <c r="G3226" i="32" s="1"/>
  <c r="G3227" i="32" s="1"/>
  <c r="G3228" i="32" s="1"/>
  <c r="G3229" i="32" s="1"/>
  <c r="G3230" i="32" s="1"/>
  <c r="G3231" i="32" s="1"/>
  <c r="G3232" i="32" s="1"/>
  <c r="G3233" i="32" s="1"/>
  <c r="G3234" i="32" s="1"/>
  <c r="G3235" i="32" s="1"/>
  <c r="G3236" i="32" s="1"/>
  <c r="G3237" i="32" s="1"/>
  <c r="G3238" i="32" s="1"/>
  <c r="G3239" i="32" s="1"/>
  <c r="G3240" i="32" s="1"/>
  <c r="G3241" i="32" s="1"/>
  <c r="G3242" i="32" s="1"/>
  <c r="G3243" i="32" s="1"/>
  <c r="G3244" i="32" s="1"/>
  <c r="G3245" i="32" s="1"/>
  <c r="G3246" i="32" s="1"/>
  <c r="G3247" i="32" s="1"/>
  <c r="G3248" i="32" s="1"/>
  <c r="G3249" i="32" s="1"/>
  <c r="G3250" i="32" s="1"/>
  <c r="G3251" i="32" s="1"/>
  <c r="G3252" i="32" s="1"/>
  <c r="G3253" i="32" s="1"/>
  <c r="G3254" i="32" s="1"/>
  <c r="G3255" i="32" s="1"/>
  <c r="G3256" i="32" s="1"/>
  <c r="G3257" i="32" s="1"/>
  <c r="G3258" i="32" s="1"/>
  <c r="G3259" i="32" s="1"/>
  <c r="G3260" i="32" s="1"/>
  <c r="G3261" i="32" s="1"/>
  <c r="G3262" i="32" s="1"/>
  <c r="G3263" i="32" s="1"/>
  <c r="G3264" i="32" s="1"/>
  <c r="G3265" i="32" s="1"/>
  <c r="G3266" i="32" s="1"/>
  <c r="G3267" i="32" s="1"/>
  <c r="G3268" i="32" s="1"/>
  <c r="G3269" i="32" s="1"/>
  <c r="G3270" i="32" s="1"/>
  <c r="G3271" i="32" s="1"/>
  <c r="G3272" i="32" s="1"/>
  <c r="G3273" i="32" s="1"/>
  <c r="G3274" i="32" s="1"/>
  <c r="G3275" i="32" s="1"/>
  <c r="G3276" i="32" s="1"/>
  <c r="G3277" i="32" s="1"/>
  <c r="G3278" i="32" s="1"/>
  <c r="G3279" i="32" s="1"/>
  <c r="G3280" i="32" s="1"/>
  <c r="G3281" i="32" s="1"/>
  <c r="G3282" i="32" s="1"/>
  <c r="G3283" i="32" s="1"/>
  <c r="G3284" i="32" s="1"/>
  <c r="G3285" i="32" s="1"/>
  <c r="G3286" i="32" s="1"/>
  <c r="G3287" i="32" s="1"/>
  <c r="G3288" i="32" s="1"/>
  <c r="G3289" i="32" s="1"/>
  <c r="G3290" i="32" s="1"/>
  <c r="G3291" i="32" s="1"/>
  <c r="G3292" i="32" s="1"/>
  <c r="G3293" i="32" s="1"/>
  <c r="G3294" i="32" s="1"/>
  <c r="G3295" i="32" s="1"/>
  <c r="G3296" i="32" s="1"/>
  <c r="G3297" i="32" s="1"/>
  <c r="G3298" i="32" s="1"/>
  <c r="G3299" i="32" s="1"/>
  <c r="G3300" i="32" s="1"/>
  <c r="G3301" i="32" s="1"/>
  <c r="G3302" i="32" s="1"/>
  <c r="G3303" i="32" s="1"/>
  <c r="G3304" i="32" s="1"/>
  <c r="G3305" i="32" s="1"/>
  <c r="G3306" i="32" s="1"/>
  <c r="G3307" i="32" s="1"/>
  <c r="G3308" i="32" s="1"/>
  <c r="G3309" i="32" s="1"/>
  <c r="G3310" i="32" s="1"/>
  <c r="G3311" i="32" s="1"/>
  <c r="G3312" i="32" s="1"/>
  <c r="G3313" i="32" s="1"/>
  <c r="G3314" i="32" s="1"/>
  <c r="G3315" i="32" s="1"/>
  <c r="G3316" i="32" s="1"/>
  <c r="G3317" i="32" s="1"/>
  <c r="G3318" i="32" s="1"/>
  <c r="G3319" i="32" s="1"/>
  <c r="G3320" i="32" s="1"/>
  <c r="G3321" i="32" s="1"/>
  <c r="G3322" i="32" s="1"/>
  <c r="G3323" i="32" s="1"/>
  <c r="G3324" i="32" s="1"/>
  <c r="G3325" i="32" s="1"/>
  <c r="G3326" i="32" s="1"/>
  <c r="G3327" i="32" s="1"/>
  <c r="G3328" i="32" s="1"/>
  <c r="G3329" i="32" s="1"/>
  <c r="G3330" i="32" s="1"/>
  <c r="G3331" i="32" s="1"/>
  <c r="G3332" i="32" s="1"/>
  <c r="G3333" i="32" s="1"/>
  <c r="G3334" i="32" s="1"/>
  <c r="G3335" i="32" s="1"/>
  <c r="G3336" i="32" s="1"/>
  <c r="G3337" i="32" s="1"/>
  <c r="G3338" i="32" s="1"/>
  <c r="G3339" i="32" s="1"/>
  <c r="G3340" i="32" s="1"/>
  <c r="G3341" i="32" s="1"/>
  <c r="G3342" i="32" s="1"/>
  <c r="G3343" i="32" s="1"/>
  <c r="G3344" i="32" s="1"/>
  <c r="G3345" i="32" s="1"/>
  <c r="G3346" i="32" s="1"/>
  <c r="G3347" i="32" s="1"/>
  <c r="G3348" i="32" s="1"/>
  <c r="G3349" i="32" s="1"/>
  <c r="G3350" i="32" s="1"/>
  <c r="G3351" i="32" s="1"/>
  <c r="G3352" i="32" s="1"/>
  <c r="G3353" i="32" s="1"/>
  <c r="G3354" i="32" s="1"/>
  <c r="G3355" i="32" s="1"/>
  <c r="G3356" i="32" s="1"/>
  <c r="G3357" i="32" s="1"/>
  <c r="G3358" i="32" s="1"/>
  <c r="G3359" i="32" s="1"/>
  <c r="G3360" i="32" s="1"/>
  <c r="G3361" i="32" s="1"/>
  <c r="G3362" i="32" s="1"/>
  <c r="G3363" i="32" s="1"/>
  <c r="G3364" i="32" s="1"/>
  <c r="G3365" i="32" s="1"/>
  <c r="G3366" i="32" s="1"/>
  <c r="G3367" i="32" s="1"/>
  <c r="G3368" i="32" s="1"/>
  <c r="G3369" i="32" s="1"/>
  <c r="G3370" i="32" s="1"/>
  <c r="G3371" i="32" s="1"/>
  <c r="G3372" i="32" s="1"/>
  <c r="G3373" i="32" s="1"/>
  <c r="G3374" i="32" s="1"/>
  <c r="G3375" i="32" s="1"/>
  <c r="G3376" i="32" s="1"/>
  <c r="G3377" i="32" s="1"/>
  <c r="G3378" i="32" s="1"/>
  <c r="G3379" i="32" s="1"/>
  <c r="G3380" i="32" s="1"/>
  <c r="G3381" i="32" s="1"/>
  <c r="G3382" i="32" s="1"/>
  <c r="G3383" i="32" s="1"/>
  <c r="G3384" i="32" s="1"/>
  <c r="G3385" i="32" s="1"/>
  <c r="G3386" i="32" s="1"/>
  <c r="G3387" i="32" s="1"/>
  <c r="G3388" i="32" s="1"/>
  <c r="G3389" i="32" s="1"/>
  <c r="G3390" i="32" s="1"/>
  <c r="G3391" i="32" s="1"/>
  <c r="G3392" i="32" s="1"/>
  <c r="G3393" i="32" s="1"/>
  <c r="G3394" i="32" s="1"/>
  <c r="G3395" i="32" s="1"/>
  <c r="G3396" i="32" s="1"/>
  <c r="G3397" i="32" s="1"/>
  <c r="G3398" i="32" s="1"/>
  <c r="G3399" i="32" s="1"/>
  <c r="G3400" i="32" s="1"/>
  <c r="G3401" i="32" s="1"/>
  <c r="G3402" i="32" s="1"/>
  <c r="G3403" i="32" s="1"/>
  <c r="G3404" i="32" s="1"/>
  <c r="G3405" i="32" s="1"/>
  <c r="G3406" i="32" s="1"/>
  <c r="G3407" i="32" s="1"/>
  <c r="G3408" i="32" s="1"/>
  <c r="G3409" i="32" s="1"/>
  <c r="G3410" i="32" s="1"/>
  <c r="G3411" i="32" s="1"/>
  <c r="G3412" i="32" s="1"/>
  <c r="G3413" i="32" s="1"/>
  <c r="G3414" i="32" s="1"/>
  <c r="G3415" i="32" s="1"/>
  <c r="G3416" i="32" s="1"/>
  <c r="G3417" i="32" s="1"/>
  <c r="G3418" i="32" s="1"/>
  <c r="G3419" i="32" s="1"/>
  <c r="G3420" i="32" s="1"/>
  <c r="G3421" i="32" s="1"/>
  <c r="G3422" i="32" s="1"/>
  <c r="G3423" i="32" s="1"/>
  <c r="G3424" i="32" s="1"/>
  <c r="G3425" i="32" s="1"/>
  <c r="G3426" i="32" s="1"/>
  <c r="G3427" i="32" s="1"/>
  <c r="G3428" i="32" s="1"/>
  <c r="G3429" i="32" s="1"/>
  <c r="G3430" i="32" s="1"/>
  <c r="G3431" i="32" s="1"/>
  <c r="G3432" i="32" s="1"/>
  <c r="G3433" i="32" s="1"/>
  <c r="G3434" i="32" s="1"/>
  <c r="G3435" i="32" s="1"/>
  <c r="G3436" i="32" s="1"/>
  <c r="G3437" i="32" s="1"/>
  <c r="G3438" i="32" s="1"/>
  <c r="G3439" i="32" s="1"/>
  <c r="G3440" i="32" s="1"/>
  <c r="G3441" i="32" s="1"/>
  <c r="G3442" i="32" s="1"/>
  <c r="G3443" i="32" s="1"/>
  <c r="G3444" i="32" s="1"/>
  <c r="G3445" i="32" s="1"/>
  <c r="G3446" i="32" s="1"/>
  <c r="G3447" i="32" s="1"/>
  <c r="G3448" i="32" s="1"/>
  <c r="G3449" i="32" s="1"/>
  <c r="G3450" i="32" s="1"/>
  <c r="G3451" i="32" s="1"/>
  <c r="G3452" i="32" s="1"/>
  <c r="G3453" i="32" s="1"/>
  <c r="G3454" i="32" s="1"/>
  <c r="G3455" i="32" s="1"/>
  <c r="G3456" i="32" s="1"/>
  <c r="G3457" i="32" s="1"/>
  <c r="G3458" i="32" s="1"/>
  <c r="G3459" i="32" s="1"/>
  <c r="G3460" i="32" s="1"/>
  <c r="G3461" i="32" s="1"/>
  <c r="G3462" i="32" s="1"/>
  <c r="G3463" i="32" s="1"/>
  <c r="G3464" i="32" s="1"/>
  <c r="G3465" i="32" s="1"/>
  <c r="G3466" i="32" s="1"/>
  <c r="G3467" i="32" s="1"/>
  <c r="G3468" i="32" s="1"/>
  <c r="G3469" i="32" s="1"/>
  <c r="G3470" i="32" s="1"/>
  <c r="G3471" i="32" s="1"/>
  <c r="G3472" i="32" s="1"/>
  <c r="G3473" i="32" s="1"/>
  <c r="G3474" i="32" s="1"/>
  <c r="G3475" i="32" s="1"/>
  <c r="G3476" i="32" s="1"/>
  <c r="G3477" i="32" s="1"/>
  <c r="G3478" i="32" s="1"/>
  <c r="G3479" i="32" s="1"/>
  <c r="G3480" i="32" s="1"/>
  <c r="G3481" i="32" s="1"/>
  <c r="G3482" i="32" s="1"/>
  <c r="G3483" i="32" s="1"/>
  <c r="G3484" i="32" s="1"/>
  <c r="G3485" i="32" s="1"/>
  <c r="G3486" i="32" s="1"/>
  <c r="G3487" i="32" s="1"/>
  <c r="G3488" i="32" s="1"/>
  <c r="G3489" i="32" s="1"/>
  <c r="G3490" i="32" s="1"/>
  <c r="G225" i="32"/>
  <c r="G226" i="32" s="1"/>
  <c r="G227" i="32" s="1"/>
  <c r="G228" i="32" s="1"/>
  <c r="G229" i="32" s="1"/>
  <c r="G230" i="32" s="1"/>
  <c r="T698" i="21"/>
  <c r="T699" i="21"/>
  <c r="U698" i="21"/>
  <c r="U699" i="21"/>
  <c r="AB32" i="33" l="1"/>
  <c r="S33" i="33" s="1"/>
  <c r="AE32" i="33"/>
  <c r="S32" i="33" s="1"/>
  <c r="Z32" i="33"/>
  <c r="P6" i="33"/>
  <c r="Q6" i="33" s="1"/>
  <c r="AD6" i="33" s="1"/>
  <c r="P10" i="33"/>
  <c r="Q10" i="33" s="1"/>
  <c r="AD10" i="33" s="1"/>
  <c r="P12" i="33"/>
  <c r="Q12" i="33" s="1"/>
  <c r="P16" i="33"/>
  <c r="P24" i="33"/>
  <c r="P3" i="33"/>
  <c r="L5833" i="32"/>
  <c r="L5829" i="32"/>
  <c r="L5825" i="32"/>
  <c r="L5821" i="32"/>
  <c r="L5817" i="32"/>
  <c r="L5813" i="32"/>
  <c r="L5809" i="32"/>
  <c r="L5805" i="32"/>
  <c r="L5801" i="32"/>
  <c r="L5797" i="32"/>
  <c r="L5793" i="32"/>
  <c r="L5789" i="32"/>
  <c r="L5785" i="32"/>
  <c r="L5781" i="32"/>
  <c r="L5777" i="32"/>
  <c r="L5773" i="32"/>
  <c r="L5769" i="32"/>
  <c r="L5765" i="32"/>
  <c r="L5761" i="32"/>
  <c r="L5757" i="32"/>
  <c r="L5753" i="32"/>
  <c r="L5749" i="32"/>
  <c r="L5745" i="32"/>
  <c r="L5741" i="32"/>
  <c r="L5737" i="32"/>
  <c r="L5733" i="32"/>
  <c r="L5729" i="32"/>
  <c r="L5725" i="32"/>
  <c r="L5721" i="32"/>
  <c r="L5717" i="32"/>
  <c r="L5713" i="32"/>
  <c r="L5709" i="32"/>
  <c r="L5705" i="32"/>
  <c r="L5701" i="32"/>
  <c r="L5697" i="32"/>
  <c r="L5693" i="32"/>
  <c r="L5689" i="32"/>
  <c r="L5685" i="32"/>
  <c r="L5681" i="32"/>
  <c r="L5677" i="32"/>
  <c r="L5673" i="32"/>
  <c r="L5669" i="32"/>
  <c r="L5665" i="32"/>
  <c r="L5661" i="32"/>
  <c r="L5657" i="32"/>
  <c r="L5653" i="32"/>
  <c r="L5649" i="32"/>
  <c r="L5645" i="32"/>
  <c r="L5641" i="32"/>
  <c r="L5637" i="32"/>
  <c r="L5633" i="32"/>
  <c r="L5629" i="32"/>
  <c r="L5625" i="32"/>
  <c r="L5621" i="32"/>
  <c r="L5617" i="32"/>
  <c r="L5613" i="32"/>
  <c r="L5609" i="32"/>
  <c r="L5605" i="32"/>
  <c r="L5601" i="32"/>
  <c r="L5597" i="32"/>
  <c r="L5593" i="32"/>
  <c r="L5589" i="32"/>
  <c r="L5585" i="32"/>
  <c r="L5581" i="32"/>
  <c r="L5577" i="32"/>
  <c r="L5573" i="32"/>
  <c r="L5569" i="32"/>
  <c r="L5565" i="32"/>
  <c r="L5561" i="32"/>
  <c r="L5557" i="32"/>
  <c r="L5553" i="32"/>
  <c r="L5549" i="32"/>
  <c r="L5545" i="32"/>
  <c r="L5541" i="32"/>
  <c r="L5537" i="32"/>
  <c r="L5533" i="32"/>
  <c r="L5529" i="32"/>
  <c r="L5525" i="32"/>
  <c r="L5521" i="32"/>
  <c r="L5517" i="32"/>
  <c r="L5513" i="32"/>
  <c r="L5509" i="32"/>
  <c r="L5505" i="32"/>
  <c r="L5501" i="32"/>
  <c r="L5497" i="32"/>
  <c r="L5493" i="32"/>
  <c r="L5489" i="32"/>
  <c r="L5485" i="32"/>
  <c r="L5481" i="32"/>
  <c r="L5477" i="32"/>
  <c r="L5473" i="32"/>
  <c r="L5469" i="32"/>
  <c r="L5465" i="32"/>
  <c r="L5461" i="32"/>
  <c r="L5457" i="32"/>
  <c r="L5453" i="32"/>
  <c r="L5449" i="32"/>
  <c r="L5445" i="32"/>
  <c r="L5441" i="32"/>
  <c r="L5437" i="32"/>
  <c r="L5433" i="32"/>
  <c r="L5429" i="32"/>
  <c r="L5425" i="32"/>
  <c r="L5421" i="32"/>
  <c r="L5417" i="32"/>
  <c r="L5413" i="32"/>
  <c r="L5409" i="32"/>
  <c r="L5405" i="32"/>
  <c r="L5401" i="32"/>
  <c r="L5397" i="32"/>
  <c r="L5393" i="32"/>
  <c r="L5389" i="32"/>
  <c r="L5385" i="32"/>
  <c r="L5381" i="32"/>
  <c r="L5377" i="32"/>
  <c r="L5373" i="32"/>
  <c r="L5369" i="32"/>
  <c r="L5365" i="32"/>
  <c r="L5361" i="32"/>
  <c r="L5357" i="32"/>
  <c r="L5353" i="32"/>
  <c r="L5349" i="32"/>
  <c r="L5345" i="32"/>
  <c r="L5341" i="32"/>
  <c r="L5337" i="32"/>
  <c r="L5333" i="32"/>
  <c r="L5329" i="32"/>
  <c r="L5325" i="32"/>
  <c r="L5321" i="32"/>
  <c r="L5317" i="32"/>
  <c r="L5313" i="32"/>
  <c r="L5309" i="32"/>
  <c r="L5305" i="32"/>
  <c r="L5301" i="32"/>
  <c r="L5297" i="32"/>
  <c r="L5293" i="32"/>
  <c r="L5289" i="32"/>
  <c r="L5285" i="32"/>
  <c r="L5281" i="32"/>
  <c r="L5277" i="32"/>
  <c r="L5273" i="32"/>
  <c r="L5269" i="32"/>
  <c r="L5265" i="32"/>
  <c r="L5261" i="32"/>
  <c r="L5257" i="32"/>
  <c r="L5253" i="32"/>
  <c r="L5249" i="32"/>
  <c r="L5245" i="32"/>
  <c r="L5241" i="32"/>
  <c r="L5237" i="32"/>
  <c r="L5233" i="32"/>
  <c r="L5229" i="32"/>
  <c r="L5225" i="32"/>
  <c r="L5221" i="32"/>
  <c r="L5217" i="32"/>
  <c r="L5213" i="32"/>
  <c r="L5209" i="32"/>
  <c r="L5205" i="32"/>
  <c r="L5201" i="32"/>
  <c r="L5197" i="32"/>
  <c r="L5193" i="32"/>
  <c r="L5189" i="32"/>
  <c r="L5185" i="32"/>
  <c r="L5181" i="32"/>
  <c r="L5177" i="32"/>
  <c r="L5173" i="32"/>
  <c r="L5169" i="32"/>
  <c r="L5165" i="32"/>
  <c r="L5161" i="32"/>
  <c r="L5157" i="32"/>
  <c r="L5153" i="32"/>
  <c r="L5149" i="32"/>
  <c r="L5145" i="32"/>
  <c r="L5141" i="32"/>
  <c r="L5137" i="32"/>
  <c r="L5133" i="32"/>
  <c r="L5129" i="32"/>
  <c r="L5125" i="32"/>
  <c r="L5121" i="32"/>
  <c r="L5117" i="32"/>
  <c r="L5113" i="32"/>
  <c r="L5109" i="32"/>
  <c r="L5105" i="32"/>
  <c r="L5101" i="32"/>
  <c r="L5097" i="32"/>
  <c r="L5093" i="32"/>
  <c r="L5089" i="32"/>
  <c r="L5085" i="32"/>
  <c r="L5081" i="32"/>
  <c r="L5077" i="32"/>
  <c r="L5073" i="32"/>
  <c r="L5069" i="32"/>
  <c r="L5065" i="32"/>
  <c r="L5061" i="32"/>
  <c r="L5057" i="32"/>
  <c r="L5053" i="32"/>
  <c r="L5049" i="32"/>
  <c r="L5045" i="32"/>
  <c r="L5041" i="32"/>
  <c r="L5037" i="32"/>
  <c r="L5033" i="32"/>
  <c r="L5029" i="32"/>
  <c r="L5025" i="32"/>
  <c r="L5021" i="32"/>
  <c r="L5017" i="32"/>
  <c r="L5013" i="32"/>
  <c r="L5009" i="32"/>
  <c r="L5005" i="32"/>
  <c r="L5001" i="32"/>
  <c r="L4997" i="32"/>
  <c r="L4993" i="32"/>
  <c r="L4989" i="32"/>
  <c r="L4985" i="32"/>
  <c r="L4981" i="32"/>
  <c r="L4977" i="32"/>
  <c r="L4973" i="32"/>
  <c r="L4969" i="32"/>
  <c r="L4965" i="32"/>
  <c r="L4961" i="32"/>
  <c r="L4957" i="32"/>
  <c r="L4953" i="32"/>
  <c r="L4949" i="32"/>
  <c r="L4945" i="32"/>
  <c r="L4941" i="32"/>
  <c r="L4937" i="32"/>
  <c r="L4933" i="32"/>
  <c r="L4929" i="32"/>
  <c r="L4925" i="32"/>
  <c r="L4921" i="32"/>
  <c r="L4917" i="32"/>
  <c r="L4913" i="32"/>
  <c r="L4909" i="32"/>
  <c r="L4905" i="32"/>
  <c r="L4901" i="32"/>
  <c r="L4897" i="32"/>
  <c r="L4893" i="32"/>
  <c r="L4889" i="32"/>
  <c r="L4885" i="32"/>
  <c r="L4881" i="32"/>
  <c r="L4877" i="32"/>
  <c r="L4873" i="32"/>
  <c r="L4869" i="32"/>
  <c r="L4865" i="32"/>
  <c r="L4861" i="32"/>
  <c r="L4857" i="32"/>
  <c r="L4853" i="32"/>
  <c r="L4849" i="32"/>
  <c r="L4845" i="32"/>
  <c r="L4841" i="32"/>
  <c r="L4837" i="32"/>
  <c r="L4833" i="32"/>
  <c r="L4829" i="32"/>
  <c r="L4825" i="32"/>
  <c r="L4821" i="32"/>
  <c r="L4817" i="32"/>
  <c r="L4813" i="32"/>
  <c r="L4809" i="32"/>
  <c r="L4805" i="32"/>
  <c r="L4801" i="32"/>
  <c r="L4797" i="32"/>
  <c r="L4793" i="32"/>
  <c r="L4789" i="32"/>
  <c r="L4785" i="32"/>
  <c r="L4781" i="32"/>
  <c r="L4777" i="32"/>
  <c r="L4773" i="32"/>
  <c r="L4769" i="32"/>
  <c r="L4765" i="32"/>
  <c r="L4761" i="32"/>
  <c r="L4757" i="32"/>
  <c r="L4753" i="32"/>
  <c r="L4749" i="32"/>
  <c r="L4745" i="32"/>
  <c r="L4741" i="32"/>
  <c r="L4737" i="32"/>
  <c r="L4733" i="32"/>
  <c r="L4729" i="32"/>
  <c r="L4725" i="32"/>
  <c r="L4721" i="32"/>
  <c r="L4717" i="32"/>
  <c r="L4713" i="32"/>
  <c r="L4709" i="32"/>
  <c r="L4705" i="32"/>
  <c r="L4701" i="32"/>
  <c r="L4697" i="32"/>
  <c r="L4693" i="32"/>
  <c r="L4689" i="32"/>
  <c r="L4685" i="32"/>
  <c r="L4681" i="32"/>
  <c r="L4677" i="32"/>
  <c r="L4673" i="32"/>
  <c r="L4669" i="32"/>
  <c r="L4665" i="32"/>
  <c r="L4661" i="32"/>
  <c r="L4657" i="32"/>
  <c r="L4653" i="32"/>
  <c r="L4649" i="32"/>
  <c r="L4645" i="32"/>
  <c r="L4641" i="32"/>
  <c r="L4637" i="32"/>
  <c r="L4633" i="32"/>
  <c r="L4629" i="32"/>
  <c r="L4625" i="32"/>
  <c r="L4621" i="32"/>
  <c r="L4617" i="32"/>
  <c r="L4613" i="32"/>
  <c r="L4609" i="32"/>
  <c r="L4605" i="32"/>
  <c r="L4601" i="32"/>
  <c r="L4597" i="32"/>
  <c r="L4593" i="32"/>
  <c r="L4589" i="32"/>
  <c r="L4585" i="32"/>
  <c r="L4581" i="32"/>
  <c r="L4577" i="32"/>
  <c r="L4573" i="32"/>
  <c r="L4569" i="32"/>
  <c r="L4565" i="32"/>
  <c r="L4561" i="32"/>
  <c r="L4557" i="32"/>
  <c r="L4553" i="32"/>
  <c r="L4549" i="32"/>
  <c r="L4545" i="32"/>
  <c r="L4541" i="32"/>
  <c r="L4537" i="32"/>
  <c r="L4533" i="32"/>
  <c r="L4529" i="32"/>
  <c r="L4525" i="32"/>
  <c r="L4521" i="32"/>
  <c r="L4517" i="32"/>
  <c r="L4513" i="32"/>
  <c r="L4509" i="32"/>
  <c r="L4505" i="32"/>
  <c r="L4501" i="32"/>
  <c r="L4497" i="32"/>
  <c r="L4493" i="32"/>
  <c r="L4489" i="32"/>
  <c r="L4485" i="32"/>
  <c r="L4481" i="32"/>
  <c r="L4477" i="32"/>
  <c r="L4473" i="32"/>
  <c r="L4469" i="32"/>
  <c r="L4465" i="32"/>
  <c r="L4461" i="32"/>
  <c r="L4457" i="32"/>
  <c r="L4453" i="32"/>
  <c r="L4449" i="32"/>
  <c r="L4445" i="32"/>
  <c r="L4441" i="32"/>
  <c r="L4437" i="32"/>
  <c r="L4433" i="32"/>
  <c r="L4429" i="32"/>
  <c r="L4425" i="32"/>
  <c r="L4421" i="32"/>
  <c r="L4417" i="32"/>
  <c r="L4413" i="32"/>
  <c r="L4409" i="32"/>
  <c r="L4405" i="32"/>
  <c r="L4401" i="32"/>
  <c r="L4397" i="32"/>
  <c r="L5835" i="32"/>
  <c r="L5831" i="32"/>
  <c r="L5827" i="32"/>
  <c r="L5823" i="32"/>
  <c r="L5819" i="32"/>
  <c r="L5815" i="32"/>
  <c r="L5811" i="32"/>
  <c r="L5807" i="32"/>
  <c r="L5803" i="32"/>
  <c r="L5799" i="32"/>
  <c r="L5795" i="32"/>
  <c r="L5791" i="32"/>
  <c r="L5787" i="32"/>
  <c r="L5783" i="32"/>
  <c r="L5779" i="32"/>
  <c r="L5775" i="32"/>
  <c r="L5771" i="32"/>
  <c r="L5767" i="32"/>
  <c r="L5763" i="32"/>
  <c r="L5759" i="32"/>
  <c r="L5755" i="32"/>
  <c r="L5751" i="32"/>
  <c r="L5747" i="32"/>
  <c r="L5743" i="32"/>
  <c r="L5739" i="32"/>
  <c r="L5735" i="32"/>
  <c r="L5731" i="32"/>
  <c r="L5727" i="32"/>
  <c r="L5723" i="32"/>
  <c r="L5719" i="32"/>
  <c r="L5715" i="32"/>
  <c r="L5711" i="32"/>
  <c r="L5707" i="32"/>
  <c r="L5703" i="32"/>
  <c r="L5699" i="32"/>
  <c r="L5695" i="32"/>
  <c r="L5691" i="32"/>
  <c r="L5687" i="32"/>
  <c r="L5683" i="32"/>
  <c r="L5679" i="32"/>
  <c r="L5675" i="32"/>
  <c r="L5671" i="32"/>
  <c r="L5667" i="32"/>
  <c r="L5663" i="32"/>
  <c r="L5659" i="32"/>
  <c r="L5655" i="32"/>
  <c r="L5651" i="32"/>
  <c r="L5647" i="32"/>
  <c r="L5643" i="32"/>
  <c r="L5639" i="32"/>
  <c r="L5635" i="32"/>
  <c r="L5631" i="32"/>
  <c r="L5627" i="32"/>
  <c r="L5623" i="32"/>
  <c r="L5619" i="32"/>
  <c r="L5615" i="32"/>
  <c r="L5611" i="32"/>
  <c r="L5607" i="32"/>
  <c r="L5603" i="32"/>
  <c r="L5599" i="32"/>
  <c r="L5595" i="32"/>
  <c r="L5591" i="32"/>
  <c r="L5587" i="32"/>
  <c r="L5583" i="32"/>
  <c r="L5579" i="32"/>
  <c r="L5575" i="32"/>
  <c r="L5571" i="32"/>
  <c r="L5567" i="32"/>
  <c r="L5563" i="32"/>
  <c r="L5559" i="32"/>
  <c r="L5555" i="32"/>
  <c r="L5551" i="32"/>
  <c r="L5547" i="32"/>
  <c r="L5543" i="32"/>
  <c r="L5539" i="32"/>
  <c r="L5535" i="32"/>
  <c r="L5531" i="32"/>
  <c r="L5527" i="32"/>
  <c r="L5523" i="32"/>
  <c r="L5519" i="32"/>
  <c r="L5515" i="32"/>
  <c r="L5511" i="32"/>
  <c r="L5507" i="32"/>
  <c r="L5503" i="32"/>
  <c r="L5499" i="32"/>
  <c r="L5495" i="32"/>
  <c r="L5491" i="32"/>
  <c r="L5487" i="32"/>
  <c r="L5483" i="32"/>
  <c r="L5479" i="32"/>
  <c r="L5475" i="32"/>
  <c r="L5471" i="32"/>
  <c r="L5467" i="32"/>
  <c r="L5463" i="32"/>
  <c r="L5459" i="32"/>
  <c r="L5455" i="32"/>
  <c r="L5451" i="32"/>
  <c r="L5447" i="32"/>
  <c r="L5443" i="32"/>
  <c r="L5439" i="32"/>
  <c r="L5435" i="32"/>
  <c r="L5431" i="32"/>
  <c r="L5427" i="32"/>
  <c r="L5423" i="32"/>
  <c r="L5419" i="32"/>
  <c r="L5415" i="32"/>
  <c r="L5411" i="32"/>
  <c r="L5407" i="32"/>
  <c r="L5403" i="32"/>
  <c r="L5399" i="32"/>
  <c r="L5395" i="32"/>
  <c r="L5391" i="32"/>
  <c r="L5387" i="32"/>
  <c r="L5383" i="32"/>
  <c r="L5379" i="32"/>
  <c r="L5375" i="32"/>
  <c r="L5371" i="32"/>
  <c r="L5367" i="32"/>
  <c r="L5363" i="32"/>
  <c r="L5359" i="32"/>
  <c r="L5355" i="32"/>
  <c r="L5351" i="32"/>
  <c r="L5347" i="32"/>
  <c r="L5343" i="32"/>
  <c r="L5339" i="32"/>
  <c r="L5335" i="32"/>
  <c r="L5331" i="32"/>
  <c r="L5327" i="32"/>
  <c r="L5323" i="32"/>
  <c r="L5319" i="32"/>
  <c r="L5315" i="32"/>
  <c r="L5311" i="32"/>
  <c r="L5307" i="32"/>
  <c r="L5303" i="32"/>
  <c r="L5299" i="32"/>
  <c r="L5295" i="32"/>
  <c r="L5291" i="32"/>
  <c r="L5287" i="32"/>
  <c r="L5283" i="32"/>
  <c r="L5279" i="32"/>
  <c r="L5275" i="32"/>
  <c r="L5271" i="32"/>
  <c r="L5267" i="32"/>
  <c r="L5263" i="32"/>
  <c r="L5259" i="32"/>
  <c r="L5255" i="32"/>
  <c r="L5251" i="32"/>
  <c r="L5247" i="32"/>
  <c r="L5243" i="32"/>
  <c r="L5239" i="32"/>
  <c r="L5235" i="32"/>
  <c r="L5231" i="32"/>
  <c r="L5227" i="32"/>
  <c r="L5223" i="32"/>
  <c r="L5219" i="32"/>
  <c r="L5215" i="32"/>
  <c r="L5211" i="32"/>
  <c r="L5207" i="32"/>
  <c r="L5203" i="32"/>
  <c r="L5199" i="32"/>
  <c r="L5195" i="32"/>
  <c r="L5191" i="32"/>
  <c r="L5187" i="32"/>
  <c r="L5183" i="32"/>
  <c r="L5179" i="32"/>
  <c r="L5175" i="32"/>
  <c r="L5171" i="32"/>
  <c r="L5167" i="32"/>
  <c r="L5163" i="32"/>
  <c r="L5159" i="32"/>
  <c r="L5155" i="32"/>
  <c r="L5151" i="32"/>
  <c r="L5147" i="32"/>
  <c r="L5143" i="32"/>
  <c r="L5139" i="32"/>
  <c r="L5135" i="32"/>
  <c r="L5131" i="32"/>
  <c r="L5127" i="32"/>
  <c r="L5123" i="32"/>
  <c r="L5119" i="32"/>
  <c r="L5115" i="32"/>
  <c r="L5111" i="32"/>
  <c r="L5107" i="32"/>
  <c r="L5103" i="32"/>
  <c r="L5099" i="32"/>
  <c r="L5095" i="32"/>
  <c r="L5091" i="32"/>
  <c r="L5087" i="32"/>
  <c r="L5083" i="32"/>
  <c r="L5079" i="32"/>
  <c r="L5075" i="32"/>
  <c r="L5071" i="32"/>
  <c r="L5067" i="32"/>
  <c r="L5063" i="32"/>
  <c r="L5059" i="32"/>
  <c r="L5055" i="32"/>
  <c r="L5051" i="32"/>
  <c r="L5047" i="32"/>
  <c r="L5043" i="32"/>
  <c r="L5039" i="32"/>
  <c r="L5035" i="32"/>
  <c r="L5031" i="32"/>
  <c r="L5027" i="32"/>
  <c r="L5023" i="32"/>
  <c r="L5019" i="32"/>
  <c r="L5015" i="32"/>
  <c r="L5011" i="32"/>
  <c r="L5007" i="32"/>
  <c r="L5003" i="32"/>
  <c r="L4999" i="32"/>
  <c r="L4995" i="32"/>
  <c r="L4991" i="32"/>
  <c r="L4987" i="32"/>
  <c r="L4983" i="32"/>
  <c r="L4979" i="32"/>
  <c r="L4975" i="32"/>
  <c r="L4971" i="32"/>
  <c r="L4967" i="32"/>
  <c r="L4963" i="32"/>
  <c r="L4959" i="32"/>
  <c r="L4955" i="32"/>
  <c r="L4951" i="32"/>
  <c r="L4947" i="32"/>
  <c r="L4943" i="32"/>
  <c r="L4939" i="32"/>
  <c r="L4935" i="32"/>
  <c r="L4931" i="32"/>
  <c r="L4927" i="32"/>
  <c r="L4923" i="32"/>
  <c r="L4919" i="32"/>
  <c r="L4915" i="32"/>
  <c r="L4911" i="32"/>
  <c r="L4907" i="32"/>
  <c r="L4903" i="32"/>
  <c r="L4899" i="32"/>
  <c r="L4895" i="32"/>
  <c r="L4891" i="32"/>
  <c r="L4887" i="32"/>
  <c r="L4883" i="32"/>
  <c r="L4879" i="32"/>
  <c r="L4875" i="32"/>
  <c r="L4871" i="32"/>
  <c r="L4867" i="32"/>
  <c r="L4863" i="32"/>
  <c r="L4859" i="32"/>
  <c r="L4855" i="32"/>
  <c r="L4851" i="32"/>
  <c r="L4847" i="32"/>
  <c r="L4843" i="32"/>
  <c r="L4839" i="32"/>
  <c r="L4835" i="32"/>
  <c r="L4831" i="32"/>
  <c r="L4827" i="32"/>
  <c r="L4823" i="32"/>
  <c r="L4819" i="32"/>
  <c r="L4815" i="32"/>
  <c r="L4811" i="32"/>
  <c r="L4807" i="32"/>
  <c r="L4803" i="32"/>
  <c r="L4799" i="32"/>
  <c r="L4795" i="32"/>
  <c r="L4791" i="32"/>
  <c r="L4787" i="32"/>
  <c r="L4783" i="32"/>
  <c r="L4779" i="32"/>
  <c r="L4775" i="32"/>
  <c r="L4771" i="32"/>
  <c r="L4767" i="32"/>
  <c r="L4763" i="32"/>
  <c r="L4759" i="32"/>
  <c r="L4755" i="32"/>
  <c r="L4751" i="32"/>
  <c r="L4747" i="32"/>
  <c r="L4743" i="32"/>
  <c r="L4739" i="32"/>
  <c r="L4735" i="32"/>
  <c r="L4731" i="32"/>
  <c r="L4727" i="32"/>
  <c r="L4723" i="32"/>
  <c r="L4719" i="32"/>
  <c r="L4715" i="32"/>
  <c r="L4711" i="32"/>
  <c r="L4707" i="32"/>
  <c r="L4703" i="32"/>
  <c r="L4699" i="32"/>
  <c r="L4695" i="32"/>
  <c r="L4691" i="32"/>
  <c r="L4687" i="32"/>
  <c r="L4683" i="32"/>
  <c r="L4679" i="32"/>
  <c r="L5834" i="32"/>
  <c r="L5830" i="32"/>
  <c r="L5826" i="32"/>
  <c r="L5822" i="32"/>
  <c r="L5818" i="32"/>
  <c r="L5814" i="32"/>
  <c r="L5810" i="32"/>
  <c r="L5806" i="32"/>
  <c r="L5802" i="32"/>
  <c r="L5798" i="32"/>
  <c r="L5794" i="32"/>
  <c r="L5790" i="32"/>
  <c r="L5786" i="32"/>
  <c r="L5782" i="32"/>
  <c r="L5778" i="32"/>
  <c r="L5774" i="32"/>
  <c r="L5770" i="32"/>
  <c r="L5766" i="32"/>
  <c r="L5762" i="32"/>
  <c r="L5758" i="32"/>
  <c r="L5754" i="32"/>
  <c r="L5750" i="32"/>
  <c r="L5746" i="32"/>
  <c r="L5742" i="32"/>
  <c r="L5738" i="32"/>
  <c r="L5734" i="32"/>
  <c r="L5730" i="32"/>
  <c r="L5726" i="32"/>
  <c r="L5722" i="32"/>
  <c r="L5718" i="32"/>
  <c r="L5714" i="32"/>
  <c r="L5710" i="32"/>
  <c r="L5706" i="32"/>
  <c r="L5702" i="32"/>
  <c r="L5698" i="32"/>
  <c r="L5694" i="32"/>
  <c r="L5690" i="32"/>
  <c r="L5686" i="32"/>
  <c r="L5682" i="32"/>
  <c r="L5678" i="32"/>
  <c r="L5674" i="32"/>
  <c r="L5670" i="32"/>
  <c r="L5666" i="32"/>
  <c r="L5662" i="32"/>
  <c r="L5658" i="32"/>
  <c r="L5654" i="32"/>
  <c r="L5650" i="32"/>
  <c r="L5646" i="32"/>
  <c r="L5642" i="32"/>
  <c r="L5638" i="32"/>
  <c r="L5634" i="32"/>
  <c r="L5630" i="32"/>
  <c r="L5626" i="32"/>
  <c r="L5622" i="32"/>
  <c r="L5618" i="32"/>
  <c r="L5614" i="32"/>
  <c r="L5610" i="32"/>
  <c r="L5606" i="32"/>
  <c r="L5602" i="32"/>
  <c r="L5598" i="32"/>
  <c r="L5594" i="32"/>
  <c r="L5590" i="32"/>
  <c r="L5586" i="32"/>
  <c r="L5582" i="32"/>
  <c r="L5578" i="32"/>
  <c r="L5574" i="32"/>
  <c r="L5570" i="32"/>
  <c r="L5566" i="32"/>
  <c r="L5562" i="32"/>
  <c r="L5558" i="32"/>
  <c r="L5554" i="32"/>
  <c r="L5550" i="32"/>
  <c r="L5546" i="32"/>
  <c r="L5542" i="32"/>
  <c r="L5538" i="32"/>
  <c r="L5534" i="32"/>
  <c r="L5530" i="32"/>
  <c r="L5526" i="32"/>
  <c r="L5522" i="32"/>
  <c r="L5518" i="32"/>
  <c r="L5514" i="32"/>
  <c r="L5510" i="32"/>
  <c r="L5506" i="32"/>
  <c r="L5502" i="32"/>
  <c r="L5498" i="32"/>
  <c r="L5494" i="32"/>
  <c r="L5490" i="32"/>
  <c r="L5486" i="32"/>
  <c r="L5482" i="32"/>
  <c r="L5478" i="32"/>
  <c r="L5474" i="32"/>
  <c r="L5470" i="32"/>
  <c r="L5466" i="32"/>
  <c r="L5462" i="32"/>
  <c r="L5458" i="32"/>
  <c r="L5454" i="32"/>
  <c r="L5450" i="32"/>
  <c r="L5446" i="32"/>
  <c r="L5442" i="32"/>
  <c r="L5438" i="32"/>
  <c r="L5434" i="32"/>
  <c r="L5430" i="32"/>
  <c r="L5426" i="32"/>
  <c r="L5422" i="32"/>
  <c r="L5418" i="32"/>
  <c r="L5414" i="32"/>
  <c r="L5410" i="32"/>
  <c r="L5406" i="32"/>
  <c r="L5402" i="32"/>
  <c r="L5398" i="32"/>
  <c r="L5394" i="32"/>
  <c r="L5390" i="32"/>
  <c r="L5386" i="32"/>
  <c r="L5382" i="32"/>
  <c r="L5378" i="32"/>
  <c r="L5374" i="32"/>
  <c r="L5370" i="32"/>
  <c r="L5366" i="32"/>
  <c r="L5362" i="32"/>
  <c r="L5358" i="32"/>
  <c r="L5354" i="32"/>
  <c r="L5350" i="32"/>
  <c r="L5346" i="32"/>
  <c r="L5342" i="32"/>
  <c r="L5338" i="32"/>
  <c r="L5334" i="32"/>
  <c r="L5330" i="32"/>
  <c r="L5326" i="32"/>
  <c r="L5322" i="32"/>
  <c r="L5318" i="32"/>
  <c r="L5314" i="32"/>
  <c r="L5310" i="32"/>
  <c r="L5306" i="32"/>
  <c r="L5302" i="32"/>
  <c r="L5298" i="32"/>
  <c r="L5294" i="32"/>
  <c r="L5290" i="32"/>
  <c r="L5286" i="32"/>
  <c r="L5282" i="32"/>
  <c r="L5278" i="32"/>
  <c r="L5274" i="32"/>
  <c r="L5270" i="32"/>
  <c r="L5266" i="32"/>
  <c r="L5262" i="32"/>
  <c r="L5258" i="32"/>
  <c r="L5254" i="32"/>
  <c r="L5250" i="32"/>
  <c r="L5246" i="32"/>
  <c r="L5242" i="32"/>
  <c r="L5238" i="32"/>
  <c r="L5234" i="32"/>
  <c r="L5230" i="32"/>
  <c r="L5226" i="32"/>
  <c r="L5222" i="32"/>
  <c r="L5218" i="32"/>
  <c r="L5214" i="32"/>
  <c r="L5210" i="32"/>
  <c r="L5206" i="32"/>
  <c r="L5202" i="32"/>
  <c r="L5198" i="32"/>
  <c r="L5194" i="32"/>
  <c r="L5190" i="32"/>
  <c r="L5186" i="32"/>
  <c r="L5182" i="32"/>
  <c r="L5178" i="32"/>
  <c r="L5174" i="32"/>
  <c r="L5170" i="32"/>
  <c r="L5166" i="32"/>
  <c r="L5162" i="32"/>
  <c r="L5158" i="32"/>
  <c r="L5154" i="32"/>
  <c r="L5150" i="32"/>
  <c r="L5146" i="32"/>
  <c r="L5142" i="32"/>
  <c r="L5138" i="32"/>
  <c r="L5134" i="32"/>
  <c r="L5130" i="32"/>
  <c r="L5126" i="32"/>
  <c r="L5122" i="32"/>
  <c r="L5118" i="32"/>
  <c r="L5114" i="32"/>
  <c r="L5110" i="32"/>
  <c r="L5106" i="32"/>
  <c r="L5102" i="32"/>
  <c r="L5098" i="32"/>
  <c r="L5094" i="32"/>
  <c r="L5090" i="32"/>
  <c r="L5086" i="32"/>
  <c r="L5082" i="32"/>
  <c r="L5078" i="32"/>
  <c r="L5074" i="32"/>
  <c r="L5070" i="32"/>
  <c r="L5066" i="32"/>
  <c r="L5062" i="32"/>
  <c r="L5058" i="32"/>
  <c r="L5054" i="32"/>
  <c r="L5050" i="32"/>
  <c r="L5046" i="32"/>
  <c r="L5042" i="32"/>
  <c r="L5038" i="32"/>
  <c r="L5034" i="32"/>
  <c r="L5030" i="32"/>
  <c r="L4393" i="32"/>
  <c r="L4389" i="32"/>
  <c r="L4385" i="32"/>
  <c r="L4381" i="32"/>
  <c r="L4377" i="32"/>
  <c r="L4373" i="32"/>
  <c r="L4369" i="32"/>
  <c r="L4365" i="32"/>
  <c r="L4361" i="32"/>
  <c r="L4357" i="32"/>
  <c r="L4353" i="32"/>
  <c r="L4349" i="32"/>
  <c r="L4345" i="32"/>
  <c r="L4341" i="32"/>
  <c r="L4337" i="32"/>
  <c r="L4333" i="32"/>
  <c r="L4329" i="32"/>
  <c r="L4325" i="32"/>
  <c r="L4321" i="32"/>
  <c r="L4317" i="32"/>
  <c r="L4313" i="32"/>
  <c r="L4309" i="32"/>
  <c r="L4305" i="32"/>
  <c r="L4301" i="32"/>
  <c r="L4297" i="32"/>
  <c r="L4293" i="32"/>
  <c r="L4289" i="32"/>
  <c r="L4285" i="32"/>
  <c r="L4281" i="32"/>
  <c r="L4277" i="32"/>
  <c r="L4273" i="32"/>
  <c r="L4269" i="32"/>
  <c r="L4265" i="32"/>
  <c r="L4261" i="32"/>
  <c r="L4257" i="32"/>
  <c r="L4253" i="32"/>
  <c r="L4249" i="32"/>
  <c r="L4245" i="32"/>
  <c r="L4241" i="32"/>
  <c r="L4237" i="32"/>
  <c r="L4233" i="32"/>
  <c r="L4229" i="32"/>
  <c r="L4225" i="32"/>
  <c r="L4221" i="32"/>
  <c r="L4217" i="32"/>
  <c r="L4213" i="32"/>
  <c r="L4209" i="32"/>
  <c r="L4205" i="32"/>
  <c r="L4201" i="32"/>
  <c r="L4197" i="32"/>
  <c r="L4193" i="32"/>
  <c r="L4189" i="32"/>
  <c r="L4185" i="32"/>
  <c r="L4181" i="32"/>
  <c r="L4177" i="32"/>
  <c r="L4173" i="32"/>
  <c r="L4169" i="32"/>
  <c r="L4165" i="32"/>
  <c r="L4161" i="32"/>
  <c r="L4157" i="32"/>
  <c r="L4153" i="32"/>
  <c r="L4149" i="32"/>
  <c r="L4145" i="32"/>
  <c r="L4141" i="32"/>
  <c r="L4137" i="32"/>
  <c r="L4133" i="32"/>
  <c r="L4129" i="32"/>
  <c r="L4125" i="32"/>
  <c r="L4121" i="32"/>
  <c r="L4117" i="32"/>
  <c r="L4113" i="32"/>
  <c r="L4109" i="32"/>
  <c r="L4105" i="32"/>
  <c r="L4101" i="32"/>
  <c r="L4097" i="32"/>
  <c r="L4093" i="32"/>
  <c r="L4089" i="32"/>
  <c r="L4085" i="32"/>
  <c r="L4081" i="32"/>
  <c r="L4077" i="32"/>
  <c r="L4073" i="32"/>
  <c r="L4069" i="32"/>
  <c r="L4065" i="32"/>
  <c r="L4061" i="32"/>
  <c r="L4057" i="32"/>
  <c r="L4053" i="32"/>
  <c r="L4049" i="32"/>
  <c r="L4045" i="32"/>
  <c r="L4041" i="32"/>
  <c r="L4037" i="32"/>
  <c r="L4033" i="32"/>
  <c r="L4029" i="32"/>
  <c r="L4025" i="32"/>
  <c r="L4021" i="32"/>
  <c r="L4017" i="32"/>
  <c r="L4013" i="32"/>
  <c r="L4009" i="32"/>
  <c r="L4005" i="32"/>
  <c r="L4001" i="32"/>
  <c r="L3997" i="32"/>
  <c r="L3993" i="32"/>
  <c r="L3989" i="32"/>
  <c r="L3985" i="32"/>
  <c r="L3981" i="32"/>
  <c r="L3977" i="32"/>
  <c r="L3973" i="32"/>
  <c r="L3969" i="32"/>
  <c r="L3965" i="32"/>
  <c r="L3961" i="32"/>
  <c r="L3957" i="32"/>
  <c r="L3953" i="32"/>
  <c r="L3949" i="32"/>
  <c r="L3945" i="32"/>
  <c r="L3941" i="32"/>
  <c r="L3937" i="32"/>
  <c r="L3933" i="32"/>
  <c r="L3929" i="32"/>
  <c r="L3925" i="32"/>
  <c r="L3921" i="32"/>
  <c r="L3917" i="32"/>
  <c r="L3913" i="32"/>
  <c r="L3909" i="32"/>
  <c r="L3905" i="32"/>
  <c r="L3901" i="32"/>
  <c r="L3897" i="32"/>
  <c r="L3893" i="32"/>
  <c r="L3889" i="32"/>
  <c r="L3885" i="32"/>
  <c r="L3881" i="32"/>
  <c r="L3877" i="32"/>
  <c r="L3873" i="32"/>
  <c r="L3869" i="32"/>
  <c r="L3865" i="32"/>
  <c r="L3861" i="32"/>
  <c r="L3857" i="32"/>
  <c r="L3853" i="32"/>
  <c r="L3849" i="32"/>
  <c r="L3845" i="32"/>
  <c r="L3841" i="32"/>
  <c r="L3837" i="32"/>
  <c r="L3833" i="32"/>
  <c r="L3829" i="32"/>
  <c r="L3825" i="32"/>
  <c r="L3821" i="32"/>
  <c r="L3817" i="32"/>
  <c r="L3813" i="32"/>
  <c r="L3809" i="32"/>
  <c r="L3805" i="32"/>
  <c r="L3801" i="32"/>
  <c r="L3797" i="32"/>
  <c r="L3793" i="32"/>
  <c r="L3789" i="32"/>
  <c r="L3785" i="32"/>
  <c r="L3781" i="32"/>
  <c r="L3777" i="32"/>
  <c r="L3773" i="32"/>
  <c r="L3769" i="32"/>
  <c r="L3765" i="32"/>
  <c r="L3761" i="32"/>
  <c r="L3757" i="32"/>
  <c r="L3753" i="32"/>
  <c r="L3749" i="32"/>
  <c r="L3745" i="32"/>
  <c r="L3741" i="32"/>
  <c r="L3737" i="32"/>
  <c r="L3733" i="32"/>
  <c r="L3729" i="32"/>
  <c r="L3725" i="32"/>
  <c r="L3721" i="32"/>
  <c r="L3717" i="32"/>
  <c r="L3713" i="32"/>
  <c r="L3709" i="32"/>
  <c r="L3705" i="32"/>
  <c r="L3701" i="32"/>
  <c r="L3697" i="32"/>
  <c r="L3693" i="32"/>
  <c r="L3689" i="32"/>
  <c r="L3685" i="32"/>
  <c r="L3681" i="32"/>
  <c r="L3677" i="32"/>
  <c r="L3673" i="32"/>
  <c r="L3669" i="32"/>
  <c r="L3665" i="32"/>
  <c r="L3661" i="32"/>
  <c r="L3657" i="32"/>
  <c r="L3653" i="32"/>
  <c r="L3649" i="32"/>
  <c r="L3645" i="32"/>
  <c r="L3641" i="32"/>
  <c r="L3637" i="32"/>
  <c r="L3633" i="32"/>
  <c r="L3629" i="32"/>
  <c r="L3625" i="32"/>
  <c r="L3621" i="32"/>
  <c r="L3617" i="32"/>
  <c r="L3613" i="32"/>
  <c r="L3609" i="32"/>
  <c r="L3605" i="32"/>
  <c r="L3601" i="32"/>
  <c r="L3597" i="32"/>
  <c r="L3593" i="32"/>
  <c r="L3589" i="32"/>
  <c r="L3585" i="32"/>
  <c r="L3581" i="32"/>
  <c r="L3577" i="32"/>
  <c r="L3573" i="32"/>
  <c r="L3569" i="32"/>
  <c r="L3565" i="32"/>
  <c r="L3561" i="32"/>
  <c r="L3557" i="32"/>
  <c r="L3553" i="32"/>
  <c r="L3549" i="32"/>
  <c r="L3545" i="32"/>
  <c r="L3541" i="32"/>
  <c r="L3537" i="32"/>
  <c r="L3533" i="32"/>
  <c r="L3529" i="32"/>
  <c r="L3525" i="32"/>
  <c r="L3521" i="32"/>
  <c r="L3517" i="32"/>
  <c r="L3513" i="32"/>
  <c r="L3509" i="32"/>
  <c r="L3505" i="32"/>
  <c r="L3501" i="32"/>
  <c r="L3497" i="32"/>
  <c r="L3493" i="32"/>
  <c r="L3489" i="32"/>
  <c r="L3485" i="32"/>
  <c r="L3481" i="32"/>
  <c r="L3477" i="32"/>
  <c r="L3473" i="32"/>
  <c r="L3469" i="32"/>
  <c r="L3465" i="32"/>
  <c r="L3461" i="32"/>
  <c r="L3457" i="32"/>
  <c r="L3453" i="32"/>
  <c r="L3449" i="32"/>
  <c r="L3445" i="32"/>
  <c r="L3441" i="32"/>
  <c r="L3437" i="32"/>
  <c r="L3433" i="32"/>
  <c r="L3429" i="32"/>
  <c r="L3425" i="32"/>
  <c r="L3421" i="32"/>
  <c r="L3417" i="32"/>
  <c r="L3413" i="32"/>
  <c r="L3409" i="32"/>
  <c r="L3405" i="32"/>
  <c r="L3401" i="32"/>
  <c r="L3397" i="32"/>
  <c r="L3393" i="32"/>
  <c r="L3389" i="32"/>
  <c r="L3385" i="32"/>
  <c r="L3381" i="32"/>
  <c r="L3377" i="32"/>
  <c r="L3373" i="32"/>
  <c r="L3369" i="32"/>
  <c r="L3365" i="32"/>
  <c r="L3361" i="32"/>
  <c r="L3357" i="32"/>
  <c r="L3353" i="32"/>
  <c r="L3349" i="32"/>
  <c r="L3345" i="32"/>
  <c r="L3341" i="32"/>
  <c r="L3337" i="32"/>
  <c r="L3333" i="32"/>
  <c r="L3329" i="32"/>
  <c r="L3325" i="32"/>
  <c r="L3321" i="32"/>
  <c r="L3317" i="32"/>
  <c r="L3313" i="32"/>
  <c r="L3309" i="32"/>
  <c r="L3305" i="32"/>
  <c r="L3301" i="32"/>
  <c r="L3297" i="32"/>
  <c r="L3293" i="32"/>
  <c r="L3289" i="32"/>
  <c r="L3285" i="32"/>
  <c r="L3281" i="32"/>
  <c r="L3277" i="32"/>
  <c r="L3273" i="32"/>
  <c r="L3269" i="32"/>
  <c r="L3265" i="32"/>
  <c r="L3261" i="32"/>
  <c r="L3257" i="32"/>
  <c r="L3253" i="32"/>
  <c r="L3249" i="32"/>
  <c r="L3245" i="32"/>
  <c r="L3241" i="32"/>
  <c r="L3237" i="32"/>
  <c r="L3233" i="32"/>
  <c r="L3229" i="32"/>
  <c r="L3225" i="32"/>
  <c r="L3221" i="32"/>
  <c r="L3217" i="32"/>
  <c r="L3213" i="32"/>
  <c r="L3209" i="32"/>
  <c r="L3205" i="32"/>
  <c r="L3201" i="32"/>
  <c r="L3197" i="32"/>
  <c r="L3193" i="32"/>
  <c r="L3189" i="32"/>
  <c r="L3185" i="32"/>
  <c r="L3181" i="32"/>
  <c r="L3177" i="32"/>
  <c r="L3173" i="32"/>
  <c r="L3169" i="32"/>
  <c r="L3165" i="32"/>
  <c r="L3161" i="32"/>
  <c r="L3157" i="32"/>
  <c r="L3153" i="32"/>
  <c r="L3149" i="32"/>
  <c r="L3145" i="32"/>
  <c r="L3141" i="32"/>
  <c r="L3137" i="32"/>
  <c r="L3133" i="32"/>
  <c r="L3129" i="32"/>
  <c r="L3125" i="32"/>
  <c r="L3121" i="32"/>
  <c r="L3117" i="32"/>
  <c r="L3113" i="32"/>
  <c r="L3109" i="32"/>
  <c r="L3105" i="32"/>
  <c r="L3101" i="32"/>
  <c r="L3097" i="32"/>
  <c r="L3093" i="32"/>
  <c r="L3089" i="32"/>
  <c r="L3085" i="32"/>
  <c r="L3081" i="32"/>
  <c r="L3077" i="32"/>
  <c r="L3073" i="32"/>
  <c r="L3069" i="32"/>
  <c r="L3065" i="32"/>
  <c r="L3061" i="32"/>
  <c r="L3057" i="32"/>
  <c r="L3053" i="32"/>
  <c r="L3049" i="32"/>
  <c r="L3045" i="32"/>
  <c r="L3041" i="32"/>
  <c r="L3037" i="32"/>
  <c r="L3033" i="32"/>
  <c r="L3029" i="32"/>
  <c r="L3025" i="32"/>
  <c r="L3021" i="32"/>
  <c r="L3017" i="32"/>
  <c r="L3013" i="32"/>
  <c r="L3009" i="32"/>
  <c r="L3005" i="32"/>
  <c r="L3001" i="32"/>
  <c r="L2997" i="32"/>
  <c r="L2993" i="32"/>
  <c r="L2989" i="32"/>
  <c r="L2985" i="32"/>
  <c r="L2981" i="32"/>
  <c r="L2977" i="32"/>
  <c r="L2973" i="32"/>
  <c r="L2969" i="32"/>
  <c r="L2965" i="32"/>
  <c r="L2961" i="32"/>
  <c r="L2957" i="32"/>
  <c r="L2953" i="32"/>
  <c r="L2949" i="32"/>
  <c r="L2945" i="32"/>
  <c r="L2941" i="32"/>
  <c r="L2937" i="32"/>
  <c r="L2933" i="32"/>
  <c r="L2929" i="32"/>
  <c r="L2925" i="32"/>
  <c r="L2921" i="32"/>
  <c r="L2917" i="32"/>
  <c r="L2913" i="32"/>
  <c r="L2909" i="32"/>
  <c r="L2905" i="32"/>
  <c r="L2901" i="32"/>
  <c r="L2897" i="32"/>
  <c r="L2893" i="32"/>
  <c r="L2889" i="32"/>
  <c r="L2885" i="32"/>
  <c r="L2881" i="32"/>
  <c r="L2877" i="32"/>
  <c r="L2873" i="32"/>
  <c r="L2869" i="32"/>
  <c r="L2865" i="32"/>
  <c r="L2861" i="32"/>
  <c r="L2857" i="32"/>
  <c r="L2853" i="32"/>
  <c r="L2849" i="32"/>
  <c r="L2845" i="32"/>
  <c r="L2841" i="32"/>
  <c r="L2837" i="32"/>
  <c r="L2833" i="32"/>
  <c r="L2829" i="32"/>
  <c r="L2825" i="32"/>
  <c r="L2821" i="32"/>
  <c r="L2817" i="32"/>
  <c r="L2813" i="32"/>
  <c r="L2809" i="32"/>
  <c r="L2805" i="32"/>
  <c r="L2801" i="32"/>
  <c r="L2797" i="32"/>
  <c r="L2793" i="32"/>
  <c r="L2789" i="32"/>
  <c r="L2785" i="32"/>
  <c r="L2781" i="32"/>
  <c r="L2777" i="32"/>
  <c r="L2773" i="32"/>
  <c r="L2769" i="32"/>
  <c r="L2765" i="32"/>
  <c r="L2761" i="32"/>
  <c r="L2757" i="32"/>
  <c r="L2753" i="32"/>
  <c r="L2749" i="32"/>
  <c r="L2745" i="32"/>
  <c r="L2741" i="32"/>
  <c r="L2737" i="32"/>
  <c r="L2733" i="32"/>
  <c r="L2729" i="32"/>
  <c r="L2725" i="32"/>
  <c r="L2721" i="32"/>
  <c r="L2717" i="32"/>
  <c r="L2713" i="32"/>
  <c r="L2709" i="32"/>
  <c r="L2705" i="32"/>
  <c r="L2701" i="32"/>
  <c r="L2697" i="32"/>
  <c r="L2693" i="32"/>
  <c r="L2689" i="32"/>
  <c r="L2685" i="32"/>
  <c r="L2681" i="32"/>
  <c r="L2677" i="32"/>
  <c r="L2673" i="32"/>
  <c r="L2669" i="32"/>
  <c r="L2665" i="32"/>
  <c r="L2661" i="32"/>
  <c r="L2657" i="32"/>
  <c r="L2653" i="32"/>
  <c r="L2649" i="32"/>
  <c r="L2645" i="32"/>
  <c r="L2641" i="32"/>
  <c r="L2637" i="32"/>
  <c r="L2633" i="32"/>
  <c r="L2629" i="32"/>
  <c r="L2625" i="32"/>
  <c r="L2621" i="32"/>
  <c r="L2617" i="32"/>
  <c r="L2613" i="32"/>
  <c r="L2609" i="32"/>
  <c r="L2605" i="32"/>
  <c r="L2601" i="32"/>
  <c r="L2597" i="32"/>
  <c r="L2593" i="32"/>
  <c r="L2589" i="32"/>
  <c r="L2585" i="32"/>
  <c r="L2581" i="32"/>
  <c r="L2577" i="32"/>
  <c r="L2573" i="32"/>
  <c r="L2569" i="32"/>
  <c r="L2565" i="32"/>
  <c r="L2561" i="32"/>
  <c r="L2557" i="32"/>
  <c r="L2553" i="32"/>
  <c r="L2549" i="32"/>
  <c r="L2545" i="32"/>
  <c r="L2541" i="32"/>
  <c r="L2537" i="32"/>
  <c r="L2533" i="32"/>
  <c r="L2529" i="32"/>
  <c r="L2525" i="32"/>
  <c r="L2521" i="32"/>
  <c r="L2517" i="32"/>
  <c r="L2513" i="32"/>
  <c r="L2509" i="32"/>
  <c r="L2505" i="32"/>
  <c r="L2501" i="32"/>
  <c r="L2497" i="32"/>
  <c r="L2493" i="32"/>
  <c r="L2489" i="32"/>
  <c r="L2485" i="32"/>
  <c r="L2481" i="32"/>
  <c r="L2477" i="32"/>
  <c r="L2473" i="32"/>
  <c r="L2469" i="32"/>
  <c r="L2465" i="32"/>
  <c r="L2461" i="32"/>
  <c r="L2457" i="32"/>
  <c r="L2453" i="32"/>
  <c r="L2449" i="32"/>
  <c r="L2445" i="32"/>
  <c r="L2441" i="32"/>
  <c r="L2437" i="32"/>
  <c r="L2433" i="32"/>
  <c r="L2429" i="32"/>
  <c r="L2425" i="32"/>
  <c r="L2421" i="32"/>
  <c r="L2417" i="32"/>
  <c r="L2413" i="32"/>
  <c r="L2409" i="32"/>
  <c r="L2405" i="32"/>
  <c r="L2401" i="32"/>
  <c r="L2397" i="32"/>
  <c r="L2393" i="32"/>
  <c r="L2389" i="32"/>
  <c r="L2385" i="32"/>
  <c r="L2381" i="32"/>
  <c r="L2377" i="32"/>
  <c r="L2373" i="32"/>
  <c r="L2369" i="32"/>
  <c r="L2365" i="32"/>
  <c r="L2361" i="32"/>
  <c r="L2357" i="32"/>
  <c r="L2353" i="32"/>
  <c r="L2349" i="32"/>
  <c r="L2345" i="32"/>
  <c r="L2341" i="32"/>
  <c r="L2337" i="32"/>
  <c r="L2333" i="32"/>
  <c r="L2329" i="32"/>
  <c r="L2325" i="32"/>
  <c r="L2321" i="32"/>
  <c r="L2317" i="32"/>
  <c r="L2313" i="32"/>
  <c r="L2309" i="32"/>
  <c r="L2305" i="32"/>
  <c r="L2301" i="32"/>
  <c r="L2297" i="32"/>
  <c r="L2293" i="32"/>
  <c r="L2289" i="32"/>
  <c r="L2285" i="32"/>
  <c r="L2281" i="32"/>
  <c r="L2277" i="32"/>
  <c r="L2273" i="32"/>
  <c r="L2269" i="32"/>
  <c r="L2265" i="32"/>
  <c r="L2261" i="32"/>
  <c r="L2257" i="32"/>
  <c r="L2253" i="32"/>
  <c r="L2249" i="32"/>
  <c r="L2245" i="32"/>
  <c r="L2241" i="32"/>
  <c r="L2237" i="32"/>
  <c r="L2233" i="32"/>
  <c r="L2229" i="32"/>
  <c r="L2225" i="32"/>
  <c r="L2221" i="32"/>
  <c r="L2217" i="32"/>
  <c r="L2213" i="32"/>
  <c r="L2209" i="32"/>
  <c r="L2205" i="32"/>
  <c r="L2201" i="32"/>
  <c r="L2197" i="32"/>
  <c r="L2193" i="32"/>
  <c r="L2189" i="32"/>
  <c r="L2185" i="32"/>
  <c r="L2181" i="32"/>
  <c r="L2177" i="32"/>
  <c r="L2173" i="32"/>
  <c r="L2169" i="32"/>
  <c r="L2165" i="32"/>
  <c r="L2161" i="32"/>
  <c r="L2157" i="32"/>
  <c r="L2153" i="32"/>
  <c r="L2149" i="32"/>
  <c r="L2145" i="32"/>
  <c r="L2141" i="32"/>
  <c r="L2137" i="32"/>
  <c r="L2133" i="32"/>
  <c r="L2129" i="32"/>
  <c r="L2125" i="32"/>
  <c r="L2121" i="32"/>
  <c r="L2117" i="32"/>
  <c r="L2113" i="32"/>
  <c r="L2109" i="32"/>
  <c r="L2105" i="32"/>
  <c r="L2101" i="32"/>
  <c r="L2097" i="32"/>
  <c r="L2093" i="32"/>
  <c r="L2089" i="32"/>
  <c r="L2085" i="32"/>
  <c r="L2081" i="32"/>
  <c r="L2077" i="32"/>
  <c r="L2073" i="32"/>
  <c r="L2069" i="32"/>
  <c r="L2065" i="32"/>
  <c r="L2061" i="32"/>
  <c r="L2057" i="32"/>
  <c r="L2053" i="32"/>
  <c r="L2049" i="32"/>
  <c r="L2045" i="32"/>
  <c r="L2041" i="32"/>
  <c r="L2037" i="32"/>
  <c r="L2033" i="32"/>
  <c r="L2029" i="32"/>
  <c r="L2025" i="32"/>
  <c r="L2021" i="32"/>
  <c r="L2017" i="32"/>
  <c r="L2013" i="32"/>
  <c r="L2009" i="32"/>
  <c r="L2005" i="32"/>
  <c r="L2001" i="32"/>
  <c r="L1997" i="32"/>
  <c r="L1993" i="32"/>
  <c r="L1989" i="32"/>
  <c r="L1985" i="32"/>
  <c r="L1981" i="32"/>
  <c r="L1977" i="32"/>
  <c r="L1973" i="32"/>
  <c r="L1969" i="32"/>
  <c r="L1965" i="32"/>
  <c r="L1961" i="32"/>
  <c r="L1957" i="32"/>
  <c r="L1953" i="32"/>
  <c r="L1949" i="32"/>
  <c r="L1945" i="32"/>
  <c r="L1941" i="32"/>
  <c r="L1937" i="32"/>
  <c r="L1933" i="32"/>
  <c r="L1929" i="32"/>
  <c r="L1925" i="32"/>
  <c r="L1921" i="32"/>
  <c r="L1917" i="32"/>
  <c r="L1913" i="32"/>
  <c r="L1909" i="32"/>
  <c r="L1905" i="32"/>
  <c r="L1901" i="32"/>
  <c r="L1897" i="32"/>
  <c r="L1893" i="32"/>
  <c r="L1889" i="32"/>
  <c r="L1885" i="32"/>
  <c r="L1881" i="32"/>
  <c r="L5832" i="32"/>
  <c r="L5828" i="32"/>
  <c r="L5824" i="32"/>
  <c r="L5820" i="32"/>
  <c r="L5816" i="32"/>
  <c r="L5812" i="32"/>
  <c r="L5808" i="32"/>
  <c r="L5804" i="32"/>
  <c r="L5800" i="32"/>
  <c r="L5796" i="32"/>
  <c r="L5792" i="32"/>
  <c r="L5788" i="32"/>
  <c r="L5784" i="32"/>
  <c r="L5780" i="32"/>
  <c r="L5776" i="32"/>
  <c r="L5772" i="32"/>
  <c r="L5768" i="32"/>
  <c r="L5764" i="32"/>
  <c r="L5760" i="32"/>
  <c r="L5756" i="32"/>
  <c r="L5752" i="32"/>
  <c r="L5748" i="32"/>
  <c r="L5744" i="32"/>
  <c r="L5740" i="32"/>
  <c r="L5736" i="32"/>
  <c r="L5732" i="32"/>
  <c r="L5728" i="32"/>
  <c r="L5724" i="32"/>
  <c r="L5720" i="32"/>
  <c r="L5716" i="32"/>
  <c r="L5712" i="32"/>
  <c r="L5708" i="32"/>
  <c r="L5704" i="32"/>
  <c r="L5700" i="32"/>
  <c r="L5696" i="32"/>
  <c r="L5692" i="32"/>
  <c r="L5688" i="32"/>
  <c r="L5684" i="32"/>
  <c r="L5680" i="32"/>
  <c r="L5676" i="32"/>
  <c r="L5672" i="32"/>
  <c r="L5668" i="32"/>
  <c r="L5664" i="32"/>
  <c r="L5660" i="32"/>
  <c r="L5656" i="32"/>
  <c r="L5652" i="32"/>
  <c r="L5648" i="32"/>
  <c r="L5644" i="32"/>
  <c r="L5640" i="32"/>
  <c r="L5636" i="32"/>
  <c r="L5632" i="32"/>
  <c r="L5628" i="32"/>
  <c r="L5624" i="32"/>
  <c r="L5620" i="32"/>
  <c r="L5616" i="32"/>
  <c r="L5612" i="32"/>
  <c r="L5608" i="32"/>
  <c r="L5604" i="32"/>
  <c r="L5600" i="32"/>
  <c r="L5596" i="32"/>
  <c r="L5592" i="32"/>
  <c r="L5588" i="32"/>
  <c r="L5584" i="32"/>
  <c r="L5580" i="32"/>
  <c r="L5576" i="32"/>
  <c r="L5572" i="32"/>
  <c r="L5568" i="32"/>
  <c r="L5564" i="32"/>
  <c r="L5560" i="32"/>
  <c r="L5556" i="32"/>
  <c r="L5552" i="32"/>
  <c r="L5548" i="32"/>
  <c r="L5544" i="32"/>
  <c r="L5540" i="32"/>
  <c r="L5536" i="32"/>
  <c r="L5532" i="32"/>
  <c r="L5528" i="32"/>
  <c r="L5524" i="32"/>
  <c r="L5520" i="32"/>
  <c r="L5516" i="32"/>
  <c r="L5512" i="32"/>
  <c r="L5508" i="32"/>
  <c r="L5504" i="32"/>
  <c r="L5500" i="32"/>
  <c r="L5496" i="32"/>
  <c r="L5492" i="32"/>
  <c r="L5488" i="32"/>
  <c r="L5484" i="32"/>
  <c r="L5480" i="32"/>
  <c r="L5476" i="32"/>
  <c r="L5472" i="32"/>
  <c r="L5468" i="32"/>
  <c r="L5464" i="32"/>
  <c r="L5460" i="32"/>
  <c r="L5456" i="32"/>
  <c r="L5452" i="32"/>
  <c r="L5448" i="32"/>
  <c r="L5444" i="32"/>
  <c r="L5440" i="32"/>
  <c r="L5436" i="32"/>
  <c r="L5432" i="32"/>
  <c r="L5428" i="32"/>
  <c r="L5424" i="32"/>
  <c r="L5420" i="32"/>
  <c r="L5416" i="32"/>
  <c r="L5412" i="32"/>
  <c r="L5408" i="32"/>
  <c r="L5404" i="32"/>
  <c r="L5400" i="32"/>
  <c r="L5396" i="32"/>
  <c r="L5392" i="32"/>
  <c r="L5388" i="32"/>
  <c r="L5384" i="32"/>
  <c r="L5380" i="32"/>
  <c r="L5376" i="32"/>
  <c r="L5372" i="32"/>
  <c r="L5368" i="32"/>
  <c r="L5364" i="32"/>
  <c r="L5360" i="32"/>
  <c r="L5356" i="32"/>
  <c r="L5352" i="32"/>
  <c r="L5348" i="32"/>
  <c r="L5344" i="32"/>
  <c r="L5340" i="32"/>
  <c r="L5336" i="32"/>
  <c r="L5332" i="32"/>
  <c r="L5328" i="32"/>
  <c r="L5324" i="32"/>
  <c r="L5320" i="32"/>
  <c r="L5316" i="32"/>
  <c r="L5312" i="32"/>
  <c r="L5308" i="32"/>
  <c r="L5304" i="32"/>
  <c r="L5300" i="32"/>
  <c r="L5296" i="32"/>
  <c r="L5292" i="32"/>
  <c r="L5288" i="32"/>
  <c r="L5284" i="32"/>
  <c r="L5280" i="32"/>
  <c r="L5276" i="32"/>
  <c r="L5272" i="32"/>
  <c r="L5268" i="32"/>
  <c r="L5264" i="32"/>
  <c r="L5260" i="32"/>
  <c r="L5256" i="32"/>
  <c r="L5252" i="32"/>
  <c r="L5248" i="32"/>
  <c r="L5244" i="32"/>
  <c r="L5240" i="32"/>
  <c r="L5236" i="32"/>
  <c r="L5232" i="32"/>
  <c r="L5228" i="32"/>
  <c r="L5224" i="32"/>
  <c r="L5220" i="32"/>
  <c r="L5216" i="32"/>
  <c r="L5212" i="32"/>
  <c r="L5208" i="32"/>
  <c r="L5204" i="32"/>
  <c r="L5200" i="32"/>
  <c r="L5196" i="32"/>
  <c r="L5192" i="32"/>
  <c r="L5188" i="32"/>
  <c r="L5184" i="32"/>
  <c r="L5180" i="32"/>
  <c r="L5176" i="32"/>
  <c r="L5172" i="32"/>
  <c r="L5168" i="32"/>
  <c r="L5164" i="32"/>
  <c r="L5160" i="32"/>
  <c r="L5156" i="32"/>
  <c r="L5152" i="32"/>
  <c r="L5148" i="32"/>
  <c r="L5144" i="32"/>
  <c r="L5140" i="32"/>
  <c r="L5136" i="32"/>
  <c r="L5132" i="32"/>
  <c r="L5128" i="32"/>
  <c r="L5124" i="32"/>
  <c r="L5120" i="32"/>
  <c r="L5116" i="32"/>
  <c r="L5112" i="32"/>
  <c r="L5108" i="32"/>
  <c r="L5104" i="32"/>
  <c r="L5100" i="32"/>
  <c r="L5096" i="32"/>
  <c r="L5092" i="32"/>
  <c r="L5088" i="32"/>
  <c r="L5084" i="32"/>
  <c r="L5080" i="32"/>
  <c r="L5076" i="32"/>
  <c r="L5072" i="32"/>
  <c r="L5068" i="32"/>
  <c r="L5064" i="32"/>
  <c r="L5060" i="32"/>
  <c r="L5056" i="32"/>
  <c r="L5052" i="32"/>
  <c r="L5048" i="32"/>
  <c r="L5044" i="32"/>
  <c r="L5040" i="32"/>
  <c r="L5036" i="32"/>
  <c r="L5032" i="32"/>
  <c r="L5028" i="32"/>
  <c r="L5024" i="32"/>
  <c r="L5020" i="32"/>
  <c r="L5016" i="32"/>
  <c r="L5012" i="32"/>
  <c r="L5008" i="32"/>
  <c r="L5004" i="32"/>
  <c r="L5000" i="32"/>
  <c r="L4996" i="32"/>
  <c r="L4992" i="32"/>
  <c r="L4988" i="32"/>
  <c r="L4984" i="32"/>
  <c r="L4980" i="32"/>
  <c r="L4976" i="32"/>
  <c r="L4972" i="32"/>
  <c r="L4675" i="32"/>
  <c r="L4671" i="32"/>
  <c r="L4667" i="32"/>
  <c r="L4663" i="32"/>
  <c r="L4659" i="32"/>
  <c r="L4655" i="32"/>
  <c r="L4651" i="32"/>
  <c r="L4647" i="32"/>
  <c r="L4643" i="32"/>
  <c r="L4639" i="32"/>
  <c r="L4635" i="32"/>
  <c r="L4631" i="32"/>
  <c r="L4627" i="32"/>
  <c r="L4623" i="32"/>
  <c r="L4619" i="32"/>
  <c r="L4615" i="32"/>
  <c r="L4611" i="32"/>
  <c r="L4607" i="32"/>
  <c r="L4603" i="32"/>
  <c r="L4599" i="32"/>
  <c r="L4595" i="32"/>
  <c r="L4591" i="32"/>
  <c r="L4587" i="32"/>
  <c r="L4583" i="32"/>
  <c r="L4579" i="32"/>
  <c r="L4575" i="32"/>
  <c r="L4571" i="32"/>
  <c r="L4567" i="32"/>
  <c r="L4563" i="32"/>
  <c r="L4559" i="32"/>
  <c r="L4555" i="32"/>
  <c r="L4551" i="32"/>
  <c r="L4547" i="32"/>
  <c r="L4543" i="32"/>
  <c r="L4539" i="32"/>
  <c r="L4535" i="32"/>
  <c r="L4531" i="32"/>
  <c r="L4527" i="32"/>
  <c r="L4523" i="32"/>
  <c r="L4519" i="32"/>
  <c r="L4515" i="32"/>
  <c r="L4511" i="32"/>
  <c r="L4507" i="32"/>
  <c r="L4503" i="32"/>
  <c r="L4499" i="32"/>
  <c r="L4495" i="32"/>
  <c r="L4491" i="32"/>
  <c r="L4487" i="32"/>
  <c r="L4483" i="32"/>
  <c r="L4479" i="32"/>
  <c r="L4475" i="32"/>
  <c r="L4471" i="32"/>
  <c r="L4467" i="32"/>
  <c r="L4463" i="32"/>
  <c r="L4459" i="32"/>
  <c r="L4455" i="32"/>
  <c r="L4451" i="32"/>
  <c r="L4447" i="32"/>
  <c r="L4443" i="32"/>
  <c r="L4439" i="32"/>
  <c r="L4435" i="32"/>
  <c r="L4431" i="32"/>
  <c r="L4427" i="32"/>
  <c r="L4423" i="32"/>
  <c r="L4419" i="32"/>
  <c r="L4415" i="32"/>
  <c r="L4411" i="32"/>
  <c r="L4407" i="32"/>
  <c r="L4403" i="32"/>
  <c r="L4399" i="32"/>
  <c r="L4395" i="32"/>
  <c r="L4391" i="32"/>
  <c r="L4387" i="32"/>
  <c r="L4383" i="32"/>
  <c r="L4379" i="32"/>
  <c r="L4375" i="32"/>
  <c r="L4371" i="32"/>
  <c r="L4367" i="32"/>
  <c r="L4363" i="32"/>
  <c r="L4359" i="32"/>
  <c r="L4355" i="32"/>
  <c r="L4351" i="32"/>
  <c r="L4347" i="32"/>
  <c r="L4343" i="32"/>
  <c r="L4339" i="32"/>
  <c r="L4335" i="32"/>
  <c r="L4331" i="32"/>
  <c r="L4327" i="32"/>
  <c r="L4323" i="32"/>
  <c r="L4319" i="32"/>
  <c r="L4315" i="32"/>
  <c r="L4311" i="32"/>
  <c r="L4307" i="32"/>
  <c r="L4303" i="32"/>
  <c r="L4299" i="32"/>
  <c r="L4295" i="32"/>
  <c r="L4291" i="32"/>
  <c r="L4287" i="32"/>
  <c r="L4283" i="32"/>
  <c r="L4279" i="32"/>
  <c r="L4275" i="32"/>
  <c r="L4271" i="32"/>
  <c r="L4267" i="32"/>
  <c r="L4263" i="32"/>
  <c r="L4259" i="32"/>
  <c r="L4255" i="32"/>
  <c r="L4251" i="32"/>
  <c r="L4247" i="32"/>
  <c r="L4243" i="32"/>
  <c r="L4239" i="32"/>
  <c r="L4235" i="32"/>
  <c r="L4231" i="32"/>
  <c r="L4227" i="32"/>
  <c r="L4223" i="32"/>
  <c r="L4219" i="32"/>
  <c r="L4215" i="32"/>
  <c r="L4211" i="32"/>
  <c r="L4207" i="32"/>
  <c r="L4203" i="32"/>
  <c r="L4199" i="32"/>
  <c r="L4195" i="32"/>
  <c r="L4191" i="32"/>
  <c r="L4187" i="32"/>
  <c r="L4183" i="32"/>
  <c r="L4179" i="32"/>
  <c r="L4175" i="32"/>
  <c r="L4171" i="32"/>
  <c r="L4167" i="32"/>
  <c r="L4163" i="32"/>
  <c r="L4159" i="32"/>
  <c r="L4155" i="32"/>
  <c r="L4151" i="32"/>
  <c r="L4147" i="32"/>
  <c r="L4143" i="32"/>
  <c r="L4139" i="32"/>
  <c r="L4135" i="32"/>
  <c r="L4131" i="32"/>
  <c r="L4127" i="32"/>
  <c r="L4123" i="32"/>
  <c r="L4119" i="32"/>
  <c r="L4115" i="32"/>
  <c r="L4111" i="32"/>
  <c r="L4107" i="32"/>
  <c r="L4103" i="32"/>
  <c r="L4099" i="32"/>
  <c r="L4095" i="32"/>
  <c r="L4091" i="32"/>
  <c r="L4087" i="32"/>
  <c r="L4083" i="32"/>
  <c r="L4079" i="32"/>
  <c r="L4075" i="32"/>
  <c r="L4071" i="32"/>
  <c r="L4067" i="32"/>
  <c r="L4063" i="32"/>
  <c r="L4059" i="32"/>
  <c r="L4055" i="32"/>
  <c r="L4051" i="32"/>
  <c r="L4047" i="32"/>
  <c r="L4043" i="32"/>
  <c r="L4039" i="32"/>
  <c r="L4035" i="32"/>
  <c r="L4031" i="32"/>
  <c r="L4027" i="32"/>
  <c r="L4023" i="32"/>
  <c r="L4019" i="32"/>
  <c r="L4015" i="32"/>
  <c r="L4011" i="32"/>
  <c r="L4007" i="32"/>
  <c r="L4003" i="32"/>
  <c r="L3999" i="32"/>
  <c r="L3995" i="32"/>
  <c r="L3991" i="32"/>
  <c r="L3987" i="32"/>
  <c r="L3983" i="32"/>
  <c r="L3979" i="32"/>
  <c r="L3975" i="32"/>
  <c r="L3971" i="32"/>
  <c r="L3967" i="32"/>
  <c r="L3963" i="32"/>
  <c r="L3959" i="32"/>
  <c r="L3955" i="32"/>
  <c r="L3951" i="32"/>
  <c r="L3947" i="32"/>
  <c r="L3943" i="32"/>
  <c r="L3939" i="32"/>
  <c r="L3935" i="32"/>
  <c r="L3931" i="32"/>
  <c r="L3927" i="32"/>
  <c r="L3923" i="32"/>
  <c r="L3919" i="32"/>
  <c r="L3915" i="32"/>
  <c r="L3911" i="32"/>
  <c r="L3907" i="32"/>
  <c r="L3903" i="32"/>
  <c r="L3899" i="32"/>
  <c r="L3895" i="32"/>
  <c r="L3891" i="32"/>
  <c r="L3887" i="32"/>
  <c r="L3883" i="32"/>
  <c r="L3879" i="32"/>
  <c r="L3875" i="32"/>
  <c r="L3871" i="32"/>
  <c r="L3867" i="32"/>
  <c r="L3863" i="32"/>
  <c r="L3859" i="32"/>
  <c r="L3855" i="32"/>
  <c r="L3851" i="32"/>
  <c r="L3847" i="32"/>
  <c r="L3843" i="32"/>
  <c r="L3839" i="32"/>
  <c r="L3835" i="32"/>
  <c r="L3831" i="32"/>
  <c r="L3827" i="32"/>
  <c r="L3823" i="32"/>
  <c r="L3819" i="32"/>
  <c r="L3815" i="32"/>
  <c r="L3811" i="32"/>
  <c r="L3807" i="32"/>
  <c r="L3803" i="32"/>
  <c r="L3799" i="32"/>
  <c r="L3795" i="32"/>
  <c r="L3791" i="32"/>
  <c r="L3787" i="32"/>
  <c r="L3783" i="32"/>
  <c r="L3779" i="32"/>
  <c r="L3775" i="32"/>
  <c r="L3771" i="32"/>
  <c r="L3767" i="32"/>
  <c r="L3763" i="32"/>
  <c r="L3759" i="32"/>
  <c r="L3755" i="32"/>
  <c r="L3751" i="32"/>
  <c r="L3747" i="32"/>
  <c r="L3743" i="32"/>
  <c r="L3739" i="32"/>
  <c r="L3735" i="32"/>
  <c r="L3731" i="32"/>
  <c r="L3727" i="32"/>
  <c r="L3723" i="32"/>
  <c r="L3719" i="32"/>
  <c r="L3715" i="32"/>
  <c r="L3711" i="32"/>
  <c r="L3707" i="32"/>
  <c r="L3703" i="32"/>
  <c r="L3699" i="32"/>
  <c r="L3695" i="32"/>
  <c r="L3691" i="32"/>
  <c r="L3687" i="32"/>
  <c r="L3683" i="32"/>
  <c r="L3679" i="32"/>
  <c r="L3675" i="32"/>
  <c r="L3671" i="32"/>
  <c r="L3667" i="32"/>
  <c r="L3663" i="32"/>
  <c r="L3659" i="32"/>
  <c r="L3655" i="32"/>
  <c r="L3651" i="32"/>
  <c r="L3647" i="32"/>
  <c r="L3643" i="32"/>
  <c r="L3639" i="32"/>
  <c r="L3635" i="32"/>
  <c r="L3631" i="32"/>
  <c r="L3627" i="32"/>
  <c r="L3623" i="32"/>
  <c r="L3619" i="32"/>
  <c r="L3615" i="32"/>
  <c r="L3611" i="32"/>
  <c r="L3607" i="32"/>
  <c r="L3603" i="32"/>
  <c r="L3599" i="32"/>
  <c r="L3595" i="32"/>
  <c r="L3591" i="32"/>
  <c r="L3587" i="32"/>
  <c r="L3583" i="32"/>
  <c r="L3579" i="32"/>
  <c r="L3575" i="32"/>
  <c r="L3571" i="32"/>
  <c r="L3567" i="32"/>
  <c r="L3563" i="32"/>
  <c r="L3559" i="32"/>
  <c r="L3555" i="32"/>
  <c r="L3551" i="32"/>
  <c r="L3547" i="32"/>
  <c r="L3543" i="32"/>
  <c r="L3539" i="32"/>
  <c r="L3535" i="32"/>
  <c r="L3531" i="32"/>
  <c r="L3527" i="32"/>
  <c r="L3523" i="32"/>
  <c r="L3519" i="32"/>
  <c r="L3515" i="32"/>
  <c r="L3511" i="32"/>
  <c r="L3507" i="32"/>
  <c r="L3503" i="32"/>
  <c r="L3499" i="32"/>
  <c r="L3495" i="32"/>
  <c r="L3491" i="32"/>
  <c r="L3487" i="32"/>
  <c r="L3483" i="32"/>
  <c r="L3479" i="32"/>
  <c r="L3475" i="32"/>
  <c r="L3471" i="32"/>
  <c r="L3467" i="32"/>
  <c r="L3463" i="32"/>
  <c r="L3459" i="32"/>
  <c r="L3455" i="32"/>
  <c r="L3451" i="32"/>
  <c r="L3447" i="32"/>
  <c r="L3443" i="32"/>
  <c r="L3439" i="32"/>
  <c r="L3435" i="32"/>
  <c r="L3431" i="32"/>
  <c r="L3427" i="32"/>
  <c r="L3423" i="32"/>
  <c r="L3419" i="32"/>
  <c r="L3415" i="32"/>
  <c r="L3411" i="32"/>
  <c r="L3407" i="32"/>
  <c r="L3403" i="32"/>
  <c r="L3399" i="32"/>
  <c r="L3395" i="32"/>
  <c r="L3391" i="32"/>
  <c r="L3387" i="32"/>
  <c r="L3383" i="32"/>
  <c r="L3379" i="32"/>
  <c r="L3375" i="32"/>
  <c r="L3371" i="32"/>
  <c r="L3367" i="32"/>
  <c r="L3363" i="32"/>
  <c r="L3359" i="32"/>
  <c r="L3355" i="32"/>
  <c r="L3351" i="32"/>
  <c r="L3347" i="32"/>
  <c r="L3343" i="32"/>
  <c r="L3339" i="32"/>
  <c r="L3335" i="32"/>
  <c r="L3331" i="32"/>
  <c r="L3327" i="32"/>
  <c r="L3323" i="32"/>
  <c r="L3319" i="32"/>
  <c r="L3315" i="32"/>
  <c r="L3311" i="32"/>
  <c r="L3307" i="32"/>
  <c r="L3303" i="32"/>
  <c r="L3299" i="32"/>
  <c r="L3295" i="32"/>
  <c r="L3291" i="32"/>
  <c r="L3287" i="32"/>
  <c r="L3283" i="32"/>
  <c r="L3279" i="32"/>
  <c r="L3275" i="32"/>
  <c r="L3271" i="32"/>
  <c r="L3267" i="32"/>
  <c r="L3263" i="32"/>
  <c r="L3259" i="32"/>
  <c r="L3255" i="32"/>
  <c r="L3251" i="32"/>
  <c r="L3247" i="32"/>
  <c r="L3243" i="32"/>
  <c r="L3239" i="32"/>
  <c r="L3235" i="32"/>
  <c r="L3231" i="32"/>
  <c r="L3227" i="32"/>
  <c r="L3223" i="32"/>
  <c r="L3219" i="32"/>
  <c r="L3215" i="32"/>
  <c r="L3211" i="32"/>
  <c r="L3207" i="32"/>
  <c r="L3203" i="32"/>
  <c r="L3199" i="32"/>
  <c r="L3195" i="32"/>
  <c r="L3191" i="32"/>
  <c r="L3187" i="32"/>
  <c r="L3183" i="32"/>
  <c r="L3179" i="32"/>
  <c r="L3175" i="32"/>
  <c r="L3171" i="32"/>
  <c r="L3167" i="32"/>
  <c r="L3163" i="32"/>
  <c r="L3159" i="32"/>
  <c r="L3155" i="32"/>
  <c r="L3151" i="32"/>
  <c r="L3147" i="32"/>
  <c r="L3143" i="32"/>
  <c r="L3139" i="32"/>
  <c r="L3135" i="32"/>
  <c r="L3131" i="32"/>
  <c r="L3127" i="32"/>
  <c r="L3123" i="32"/>
  <c r="L3119" i="32"/>
  <c r="L3115" i="32"/>
  <c r="L3111" i="32"/>
  <c r="L3107" i="32"/>
  <c r="L3103" i="32"/>
  <c r="L3099" i="32"/>
  <c r="L3095" i="32"/>
  <c r="L3091" i="32"/>
  <c r="L3087" i="32"/>
  <c r="L3083" i="32"/>
  <c r="L3079" i="32"/>
  <c r="L3075" i="32"/>
  <c r="L3071" i="32"/>
  <c r="L3067" i="32"/>
  <c r="L3063" i="32"/>
  <c r="L3059" i="32"/>
  <c r="L3055" i="32"/>
  <c r="L3051" i="32"/>
  <c r="L3047" i="32"/>
  <c r="L3043" i="32"/>
  <c r="L3039" i="32"/>
  <c r="L3035" i="32"/>
  <c r="L3031" i="32"/>
  <c r="L3027" i="32"/>
  <c r="L3023" i="32"/>
  <c r="L3019" i="32"/>
  <c r="L3015" i="32"/>
  <c r="L3011" i="32"/>
  <c r="L3007" i="32"/>
  <c r="L3003" i="32"/>
  <c r="L2999" i="32"/>
  <c r="L2995" i="32"/>
  <c r="L2991" i="32"/>
  <c r="L2987" i="32"/>
  <c r="L2983" i="32"/>
  <c r="L2979" i="32"/>
  <c r="L2975" i="32"/>
  <c r="L2971" i="32"/>
  <c r="L2967" i="32"/>
  <c r="L2963" i="32"/>
  <c r="L2959" i="32"/>
  <c r="L2955" i="32"/>
  <c r="L2951" i="32"/>
  <c r="L2947" i="32"/>
  <c r="L2943" i="32"/>
  <c r="L2939" i="32"/>
  <c r="L2935" i="32"/>
  <c r="L2931" i="32"/>
  <c r="L2927" i="32"/>
  <c r="L2923" i="32"/>
  <c r="L2919" i="32"/>
  <c r="L2915" i="32"/>
  <c r="L2911" i="32"/>
  <c r="L2907" i="32"/>
  <c r="L2903" i="32"/>
  <c r="L2899" i="32"/>
  <c r="L2895" i="32"/>
  <c r="L2891" i="32"/>
  <c r="L2887" i="32"/>
  <c r="L2883" i="32"/>
  <c r="L2879" i="32"/>
  <c r="L2875" i="32"/>
  <c r="L2871" i="32"/>
  <c r="L2867" i="32"/>
  <c r="L2863" i="32"/>
  <c r="L2859" i="32"/>
  <c r="L2855" i="32"/>
  <c r="L2851" i="32"/>
  <c r="L2847" i="32"/>
  <c r="L2843" i="32"/>
  <c r="L2839" i="32"/>
  <c r="L2835" i="32"/>
  <c r="L2831" i="32"/>
  <c r="L2827" i="32"/>
  <c r="L2823" i="32"/>
  <c r="L2819" i="32"/>
  <c r="L2815" i="32"/>
  <c r="L2811" i="32"/>
  <c r="L2807" i="32"/>
  <c r="L2803" i="32"/>
  <c r="L2799" i="32"/>
  <c r="L2795" i="32"/>
  <c r="L2791" i="32"/>
  <c r="L2787" i="32"/>
  <c r="L2783" i="32"/>
  <c r="L2779" i="32"/>
  <c r="L2775" i="32"/>
  <c r="L2771" i="32"/>
  <c r="L2767" i="32"/>
  <c r="L2763" i="32"/>
  <c r="L2759" i="32"/>
  <c r="L2755" i="32"/>
  <c r="L2751" i="32"/>
  <c r="L2747" i="32"/>
  <c r="L2743" i="32"/>
  <c r="L2739" i="32"/>
  <c r="L2735" i="32"/>
  <c r="L2731" i="32"/>
  <c r="L2727" i="32"/>
  <c r="L2723" i="32"/>
  <c r="L2719" i="32"/>
  <c r="L2715" i="32"/>
  <c r="L2711" i="32"/>
  <c r="L2707" i="32"/>
  <c r="L2703" i="32"/>
  <c r="L2699" i="32"/>
  <c r="L2695" i="32"/>
  <c r="L2691" i="32"/>
  <c r="L2687" i="32"/>
  <c r="L2683" i="32"/>
  <c r="L2679" i="32"/>
  <c r="L2675" i="32"/>
  <c r="L2671" i="32"/>
  <c r="L2667" i="32"/>
  <c r="L2663" i="32"/>
  <c r="L2659" i="32"/>
  <c r="L2655" i="32"/>
  <c r="L2651" i="32"/>
  <c r="L2647" i="32"/>
  <c r="L2643" i="32"/>
  <c r="L2639" i="32"/>
  <c r="L2635" i="32"/>
  <c r="L2631" i="32"/>
  <c r="L2627" i="32"/>
  <c r="L2623" i="32"/>
  <c r="L2619" i="32"/>
  <c r="L2615" i="32"/>
  <c r="L2611" i="32"/>
  <c r="L2607" i="32"/>
  <c r="L2603" i="32"/>
  <c r="L2599" i="32"/>
  <c r="L2595" i="32"/>
  <c r="L2591" i="32"/>
  <c r="L2587" i="32"/>
  <c r="L2583" i="32"/>
  <c r="L2579" i="32"/>
  <c r="L2575" i="32"/>
  <c r="L2571" i="32"/>
  <c r="L2567" i="32"/>
  <c r="L2563" i="32"/>
  <c r="L2559" i="32"/>
  <c r="L2555" i="32"/>
  <c r="L2551" i="32"/>
  <c r="L2547" i="32"/>
  <c r="L2543" i="32"/>
  <c r="L2539" i="32"/>
  <c r="L2535" i="32"/>
  <c r="L2531" i="32"/>
  <c r="L2527" i="32"/>
  <c r="L2523" i="32"/>
  <c r="L2519" i="32"/>
  <c r="L2515" i="32"/>
  <c r="L2511" i="32"/>
  <c r="L2507" i="32"/>
  <c r="L2503" i="32"/>
  <c r="L2499" i="32"/>
  <c r="L2495" i="32"/>
  <c r="L2491" i="32"/>
  <c r="L2487" i="32"/>
  <c r="L2483" i="32"/>
  <c r="L2479" i="32"/>
  <c r="L2475" i="32"/>
  <c r="L2471" i="32"/>
  <c r="L2467" i="32"/>
  <c r="L2463" i="32"/>
  <c r="L2459" i="32"/>
  <c r="L2455" i="32"/>
  <c r="L2451" i="32"/>
  <c r="L2447" i="32"/>
  <c r="L2443" i="32"/>
  <c r="L2439" i="32"/>
  <c r="L2435" i="32"/>
  <c r="L2431" i="32"/>
  <c r="L2427" i="32"/>
  <c r="L2423" i="32"/>
  <c r="L2419" i="32"/>
  <c r="L2415" i="32"/>
  <c r="L2411" i="32"/>
  <c r="L2407" i="32"/>
  <c r="L2403" i="32"/>
  <c r="L2399" i="32"/>
  <c r="L2395" i="32"/>
  <c r="L2391" i="32"/>
  <c r="L2387" i="32"/>
  <c r="L2383" i="32"/>
  <c r="L2379" i="32"/>
  <c r="L2375" i="32"/>
  <c r="L2371" i="32"/>
  <c r="L2367" i="32"/>
  <c r="L2363" i="32"/>
  <c r="L2359" i="32"/>
  <c r="L2355" i="32"/>
  <c r="L2351" i="32"/>
  <c r="L2347" i="32"/>
  <c r="L2343" i="32"/>
  <c r="L2339" i="32"/>
  <c r="L2335" i="32"/>
  <c r="L2331" i="32"/>
  <c r="L2327" i="32"/>
  <c r="L2323" i="32"/>
  <c r="L2319" i="32"/>
  <c r="L2315" i="32"/>
  <c r="L2311" i="32"/>
  <c r="L2307" i="32"/>
  <c r="L2303" i="32"/>
  <c r="L2299" i="32"/>
  <c r="L2295" i="32"/>
  <c r="L2291" i="32"/>
  <c r="L2287" i="32"/>
  <c r="L2283" i="32"/>
  <c r="L2279" i="32"/>
  <c r="L2275" i="32"/>
  <c r="L2271" i="32"/>
  <c r="L2267" i="32"/>
  <c r="L2263" i="32"/>
  <c r="L2259" i="32"/>
  <c r="L2255" i="32"/>
  <c r="L2251" i="32"/>
  <c r="L2247" i="32"/>
  <c r="L2243" i="32"/>
  <c r="L2239" i="32"/>
  <c r="L2235" i="32"/>
  <c r="L2231" i="32"/>
  <c r="L2227" i="32"/>
  <c r="L2223" i="32"/>
  <c r="L2219" i="32"/>
  <c r="L2215" i="32"/>
  <c r="L2211" i="32"/>
  <c r="L2207" i="32"/>
  <c r="L2203" i="32"/>
  <c r="L2199" i="32"/>
  <c r="L2195" i="32"/>
  <c r="L2191" i="32"/>
  <c r="L2187" i="32"/>
  <c r="L2183" i="32"/>
  <c r="L2179" i="32"/>
  <c r="L2175" i="32"/>
  <c r="L2171" i="32"/>
  <c r="L2167" i="32"/>
  <c r="L2163" i="32"/>
  <c r="L2159" i="32"/>
  <c r="L2155" i="32"/>
  <c r="L2151" i="32"/>
  <c r="L2147" i="32"/>
  <c r="L2143" i="32"/>
  <c r="L2139" i="32"/>
  <c r="L2135" i="32"/>
  <c r="L2131" i="32"/>
  <c r="L2127" i="32"/>
  <c r="L2123" i="32"/>
  <c r="L2119" i="32"/>
  <c r="L2115" i="32"/>
  <c r="L2111" i="32"/>
  <c r="L2107" i="32"/>
  <c r="L2103" i="32"/>
  <c r="L2099" i="32"/>
  <c r="L2095" i="32"/>
  <c r="L2091" i="32"/>
  <c r="L2087" i="32"/>
  <c r="L2083" i="32"/>
  <c r="L2079" i="32"/>
  <c r="L2075" i="32"/>
  <c r="L2071" i="32"/>
  <c r="L2067" i="32"/>
  <c r="L2063" i="32"/>
  <c r="L2059" i="32"/>
  <c r="L2055" i="32"/>
  <c r="L2051" i="32"/>
  <c r="L2047" i="32"/>
  <c r="L2043" i="32"/>
  <c r="L2039" i="32"/>
  <c r="L2035" i="32"/>
  <c r="L2031" i="32"/>
  <c r="L2027" i="32"/>
  <c r="L2023" i="32"/>
  <c r="L2019" i="32"/>
  <c r="L2015" i="32"/>
  <c r="L2011" i="32"/>
  <c r="L2007" i="32"/>
  <c r="L2003" i="32"/>
  <c r="L1999" i="32"/>
  <c r="L1995" i="32"/>
  <c r="L1991" i="32"/>
  <c r="L1987" i="32"/>
  <c r="L1983" i="32"/>
  <c r="L1979" i="32"/>
  <c r="L1975" i="32"/>
  <c r="L1971" i="32"/>
  <c r="L1967" i="32"/>
  <c r="L1963" i="32"/>
  <c r="L1959" i="32"/>
  <c r="L1955" i="32"/>
  <c r="L1951" i="32"/>
  <c r="L5026" i="32"/>
  <c r="L5022" i="32"/>
  <c r="L5018" i="32"/>
  <c r="L5014" i="32"/>
  <c r="L5010" i="32"/>
  <c r="L5006" i="32"/>
  <c r="L5002" i="32"/>
  <c r="L4998" i="32"/>
  <c r="L4994" i="32"/>
  <c r="L4990" i="32"/>
  <c r="L4986" i="32"/>
  <c r="L4982" i="32"/>
  <c r="L4978" i="32"/>
  <c r="L4974" i="32"/>
  <c r="L4970" i="32"/>
  <c r="L4966" i="32"/>
  <c r="L4962" i="32"/>
  <c r="L4958" i="32"/>
  <c r="L4954" i="32"/>
  <c r="L4950" i="32"/>
  <c r="L4946" i="32"/>
  <c r="L4942" i="32"/>
  <c r="L4938" i="32"/>
  <c r="L4934" i="32"/>
  <c r="L4930" i="32"/>
  <c r="L4926" i="32"/>
  <c r="L4922" i="32"/>
  <c r="L4918" i="32"/>
  <c r="L4914" i="32"/>
  <c r="L4910" i="32"/>
  <c r="L4906" i="32"/>
  <c r="L4902" i="32"/>
  <c r="L4898" i="32"/>
  <c r="L4894" i="32"/>
  <c r="L4890" i="32"/>
  <c r="L4886" i="32"/>
  <c r="L4882" i="32"/>
  <c r="L4878" i="32"/>
  <c r="L4874" i="32"/>
  <c r="L4870" i="32"/>
  <c r="L4866" i="32"/>
  <c r="L4862" i="32"/>
  <c r="L4858" i="32"/>
  <c r="L4854" i="32"/>
  <c r="L4850" i="32"/>
  <c r="L4846" i="32"/>
  <c r="L4842" i="32"/>
  <c r="L4838" i="32"/>
  <c r="L4834" i="32"/>
  <c r="L4830" i="32"/>
  <c r="L4826" i="32"/>
  <c r="L4822" i="32"/>
  <c r="L4818" i="32"/>
  <c r="L4814" i="32"/>
  <c r="L4810" i="32"/>
  <c r="L4806" i="32"/>
  <c r="L4802" i="32"/>
  <c r="L4798" i="32"/>
  <c r="L4794" i="32"/>
  <c r="L4790" i="32"/>
  <c r="L4786" i="32"/>
  <c r="L4782" i="32"/>
  <c r="L4778" i="32"/>
  <c r="L4774" i="32"/>
  <c r="L4770" i="32"/>
  <c r="L4766" i="32"/>
  <c r="L4762" i="32"/>
  <c r="L4758" i="32"/>
  <c r="L4754" i="32"/>
  <c r="L4750" i="32"/>
  <c r="L4746" i="32"/>
  <c r="L4742" i="32"/>
  <c r="L4738" i="32"/>
  <c r="L4734" i="32"/>
  <c r="L4730" i="32"/>
  <c r="L4726" i="32"/>
  <c r="L4722" i="32"/>
  <c r="L4718" i="32"/>
  <c r="L4714" i="32"/>
  <c r="L4710" i="32"/>
  <c r="L4706" i="32"/>
  <c r="L4702" i="32"/>
  <c r="L4698" i="32"/>
  <c r="L4694" i="32"/>
  <c r="L4690" i="32"/>
  <c r="L4686" i="32"/>
  <c r="L4682" i="32"/>
  <c r="L4678" i="32"/>
  <c r="L4674" i="32"/>
  <c r="L4670" i="32"/>
  <c r="L4666" i="32"/>
  <c r="L4662" i="32"/>
  <c r="L4658" i="32"/>
  <c r="L4654" i="32"/>
  <c r="L4650" i="32"/>
  <c r="L4646" i="32"/>
  <c r="L4642" i="32"/>
  <c r="L4638" i="32"/>
  <c r="L4634" i="32"/>
  <c r="L4630" i="32"/>
  <c r="L4626" i="32"/>
  <c r="L4622" i="32"/>
  <c r="L4618" i="32"/>
  <c r="L4614" i="32"/>
  <c r="L4610" i="32"/>
  <c r="L4606" i="32"/>
  <c r="L4602" i="32"/>
  <c r="L4598" i="32"/>
  <c r="L4594" i="32"/>
  <c r="L4590" i="32"/>
  <c r="L4586" i="32"/>
  <c r="L4582" i="32"/>
  <c r="L4578" i="32"/>
  <c r="L4574" i="32"/>
  <c r="L4570" i="32"/>
  <c r="L4566" i="32"/>
  <c r="L4562" i="32"/>
  <c r="L4558" i="32"/>
  <c r="L4554" i="32"/>
  <c r="L4550" i="32"/>
  <c r="L4546" i="32"/>
  <c r="L4542" i="32"/>
  <c r="L4538" i="32"/>
  <c r="L4534" i="32"/>
  <c r="L4530" i="32"/>
  <c r="L4526" i="32"/>
  <c r="L4522" i="32"/>
  <c r="L4518" i="32"/>
  <c r="L4514" i="32"/>
  <c r="L4510" i="32"/>
  <c r="L4506" i="32"/>
  <c r="L4502" i="32"/>
  <c r="L4498" i="32"/>
  <c r="L4494" i="32"/>
  <c r="L4490" i="32"/>
  <c r="L4486" i="32"/>
  <c r="L4482" i="32"/>
  <c r="L4478" i="32"/>
  <c r="L4474" i="32"/>
  <c r="L4470" i="32"/>
  <c r="L4466" i="32"/>
  <c r="L4462" i="32"/>
  <c r="L4458" i="32"/>
  <c r="L4454" i="32"/>
  <c r="L4450" i="32"/>
  <c r="L4446" i="32"/>
  <c r="L4442" i="32"/>
  <c r="L4438" i="32"/>
  <c r="L4434" i="32"/>
  <c r="L4430" i="32"/>
  <c r="L4426" i="32"/>
  <c r="L4422" i="32"/>
  <c r="L4418" i="32"/>
  <c r="L4414" i="32"/>
  <c r="L4410" i="32"/>
  <c r="L4406" i="32"/>
  <c r="L4402" i="32"/>
  <c r="L4398" i="32"/>
  <c r="L4394" i="32"/>
  <c r="L4390" i="32"/>
  <c r="L4386" i="32"/>
  <c r="L4382" i="32"/>
  <c r="L4378" i="32"/>
  <c r="L4374" i="32"/>
  <c r="L4370" i="32"/>
  <c r="L4366" i="32"/>
  <c r="L4362" i="32"/>
  <c r="L4358" i="32"/>
  <c r="L4354" i="32"/>
  <c r="L4350" i="32"/>
  <c r="L4346" i="32"/>
  <c r="L4342" i="32"/>
  <c r="L4338" i="32"/>
  <c r="L4334" i="32"/>
  <c r="L4330" i="32"/>
  <c r="L4326" i="32"/>
  <c r="L4322" i="32"/>
  <c r="L4318" i="32"/>
  <c r="L4314" i="32"/>
  <c r="L4310" i="32"/>
  <c r="L4306" i="32"/>
  <c r="L4302" i="32"/>
  <c r="L4298" i="32"/>
  <c r="L4294" i="32"/>
  <c r="L4290" i="32"/>
  <c r="L4286" i="32"/>
  <c r="L4282" i="32"/>
  <c r="L4278" i="32"/>
  <c r="L4274" i="32"/>
  <c r="L4270" i="32"/>
  <c r="L4266" i="32"/>
  <c r="L4262" i="32"/>
  <c r="L4258" i="32"/>
  <c r="L4254" i="32"/>
  <c r="L4250" i="32"/>
  <c r="L4246" i="32"/>
  <c r="L4242" i="32"/>
  <c r="L4238" i="32"/>
  <c r="L4234" i="32"/>
  <c r="L4230" i="32"/>
  <c r="L4226" i="32"/>
  <c r="L4222" i="32"/>
  <c r="L4218" i="32"/>
  <c r="L4214" i="32"/>
  <c r="L4210" i="32"/>
  <c r="L4206" i="32"/>
  <c r="L4202" i="32"/>
  <c r="L4198" i="32"/>
  <c r="L4194" i="32"/>
  <c r="L4190" i="32"/>
  <c r="L4186" i="32"/>
  <c r="L4182" i="32"/>
  <c r="L4178" i="32"/>
  <c r="L4174" i="32"/>
  <c r="L4170" i="32"/>
  <c r="L4166" i="32"/>
  <c r="L4162" i="32"/>
  <c r="L4158" i="32"/>
  <c r="L4154" i="32"/>
  <c r="L4150" i="32"/>
  <c r="L4146" i="32"/>
  <c r="L4142" i="32"/>
  <c r="L4138" i="32"/>
  <c r="L4134" i="32"/>
  <c r="L4130" i="32"/>
  <c r="L4126" i="32"/>
  <c r="L4122" i="32"/>
  <c r="L4118" i="32"/>
  <c r="L4114" i="32"/>
  <c r="L4110" i="32"/>
  <c r="L4106" i="32"/>
  <c r="L4102" i="32"/>
  <c r="L4098" i="32"/>
  <c r="L4094" i="32"/>
  <c r="L4090" i="32"/>
  <c r="L4086" i="32"/>
  <c r="L4082" i="32"/>
  <c r="L4078" i="32"/>
  <c r="L4074" i="32"/>
  <c r="L4070" i="32"/>
  <c r="L4066" i="32"/>
  <c r="L4062" i="32"/>
  <c r="L4058" i="32"/>
  <c r="L4054" i="32"/>
  <c r="L4050" i="32"/>
  <c r="L4046" i="32"/>
  <c r="L4042" i="32"/>
  <c r="L4038" i="32"/>
  <c r="L4034" i="32"/>
  <c r="L4030" i="32"/>
  <c r="L4026" i="32"/>
  <c r="L4022" i="32"/>
  <c r="L4018" i="32"/>
  <c r="L4014" i="32"/>
  <c r="L4010" i="32"/>
  <c r="L4006" i="32"/>
  <c r="L4002" i="32"/>
  <c r="L3998" i="32"/>
  <c r="L3994" i="32"/>
  <c r="L3990" i="32"/>
  <c r="L3986" i="32"/>
  <c r="L3982" i="32"/>
  <c r="L3978" i="32"/>
  <c r="L3974" i="32"/>
  <c r="L3970" i="32"/>
  <c r="L3966" i="32"/>
  <c r="L3962" i="32"/>
  <c r="L3958" i="32"/>
  <c r="L3954" i="32"/>
  <c r="L3950" i="32"/>
  <c r="L3946" i="32"/>
  <c r="L3942" i="32"/>
  <c r="L3938" i="32"/>
  <c r="L3934" i="32"/>
  <c r="L3930" i="32"/>
  <c r="L3926" i="32"/>
  <c r="L3922" i="32"/>
  <c r="L3918" i="32"/>
  <c r="L3914" i="32"/>
  <c r="L3910" i="32"/>
  <c r="L3906" i="32"/>
  <c r="L3902" i="32"/>
  <c r="L3898" i="32"/>
  <c r="L3894" i="32"/>
  <c r="L3890" i="32"/>
  <c r="L3886" i="32"/>
  <c r="L3882" i="32"/>
  <c r="L3878" i="32"/>
  <c r="L3874" i="32"/>
  <c r="L3870" i="32"/>
  <c r="L3866" i="32"/>
  <c r="L3862" i="32"/>
  <c r="L3858" i="32"/>
  <c r="L3854" i="32"/>
  <c r="L3850" i="32"/>
  <c r="L3846" i="32"/>
  <c r="L3842" i="32"/>
  <c r="L3838" i="32"/>
  <c r="L3834" i="32"/>
  <c r="L3830" i="32"/>
  <c r="L3826" i="32"/>
  <c r="L3822" i="32"/>
  <c r="L3818" i="32"/>
  <c r="L3814" i="32"/>
  <c r="L3810" i="32"/>
  <c r="L3806" i="32"/>
  <c r="L3802" i="32"/>
  <c r="L3798" i="32"/>
  <c r="L3794" i="32"/>
  <c r="L3790" i="32"/>
  <c r="L3786" i="32"/>
  <c r="L3782" i="32"/>
  <c r="L3778" i="32"/>
  <c r="L3774" i="32"/>
  <c r="L3770" i="32"/>
  <c r="L3766" i="32"/>
  <c r="L3762" i="32"/>
  <c r="L3758" i="32"/>
  <c r="L3754" i="32"/>
  <c r="L3750" i="32"/>
  <c r="L3746" i="32"/>
  <c r="L3742" i="32"/>
  <c r="L3738" i="32"/>
  <c r="L3734" i="32"/>
  <c r="L3730" i="32"/>
  <c r="L3726" i="32"/>
  <c r="L3722" i="32"/>
  <c r="L3718" i="32"/>
  <c r="L3714" i="32"/>
  <c r="L3710" i="32"/>
  <c r="L3706" i="32"/>
  <c r="L3702" i="32"/>
  <c r="L3698" i="32"/>
  <c r="L3694" i="32"/>
  <c r="L3690" i="32"/>
  <c r="L3686" i="32"/>
  <c r="L3682" i="32"/>
  <c r="L3678" i="32"/>
  <c r="L3674" i="32"/>
  <c r="L3670" i="32"/>
  <c r="L3666" i="32"/>
  <c r="L3662" i="32"/>
  <c r="L3658" i="32"/>
  <c r="L3654" i="32"/>
  <c r="L3650" i="32"/>
  <c r="L3646" i="32"/>
  <c r="L3642" i="32"/>
  <c r="L3638" i="32"/>
  <c r="L3634" i="32"/>
  <c r="L3630" i="32"/>
  <c r="L3626" i="32"/>
  <c r="L3622" i="32"/>
  <c r="L3618" i="32"/>
  <c r="L3614" i="32"/>
  <c r="L3610" i="32"/>
  <c r="L3606" i="32"/>
  <c r="L3602" i="32"/>
  <c r="L3598" i="32"/>
  <c r="L3594" i="32"/>
  <c r="L3590" i="32"/>
  <c r="L3586" i="32"/>
  <c r="L3582" i="32"/>
  <c r="L3578" i="32"/>
  <c r="L3574" i="32"/>
  <c r="L3570" i="32"/>
  <c r="L3566" i="32"/>
  <c r="L3562" i="32"/>
  <c r="L3558" i="32"/>
  <c r="L3554" i="32"/>
  <c r="L3550" i="32"/>
  <c r="L3546" i="32"/>
  <c r="L3542" i="32"/>
  <c r="L3538" i="32"/>
  <c r="L3534" i="32"/>
  <c r="L3530" i="32"/>
  <c r="L3526" i="32"/>
  <c r="L3522" i="32"/>
  <c r="L3518" i="32"/>
  <c r="L3514" i="32"/>
  <c r="L3510" i="32"/>
  <c r="L3506" i="32"/>
  <c r="L3502" i="32"/>
  <c r="L3498" i="32"/>
  <c r="L3494" i="32"/>
  <c r="L3490" i="32"/>
  <c r="L3486" i="32"/>
  <c r="L3482" i="32"/>
  <c r="L3478" i="32"/>
  <c r="L3474" i="32"/>
  <c r="L3470" i="32"/>
  <c r="L3466" i="32"/>
  <c r="L3462" i="32"/>
  <c r="L3458" i="32"/>
  <c r="L3454" i="32"/>
  <c r="L3450" i="32"/>
  <c r="L3446" i="32"/>
  <c r="L3442" i="32"/>
  <c r="L3438" i="32"/>
  <c r="L3434" i="32"/>
  <c r="L3430" i="32"/>
  <c r="L3426" i="32"/>
  <c r="L3422" i="32"/>
  <c r="L3418" i="32"/>
  <c r="L3414" i="32"/>
  <c r="L3410" i="32"/>
  <c r="L3406" i="32"/>
  <c r="L3402" i="32"/>
  <c r="L3398" i="32"/>
  <c r="L3394" i="32"/>
  <c r="L3390" i="32"/>
  <c r="L3386" i="32"/>
  <c r="L3382" i="32"/>
  <c r="L3378" i="32"/>
  <c r="L3374" i="32"/>
  <c r="L3370" i="32"/>
  <c r="L3366" i="32"/>
  <c r="L3362" i="32"/>
  <c r="L3358" i="32"/>
  <c r="L3354" i="32"/>
  <c r="L3350" i="32"/>
  <c r="L3346" i="32"/>
  <c r="L3342" i="32"/>
  <c r="L3338" i="32"/>
  <c r="L3334" i="32"/>
  <c r="L3330" i="32"/>
  <c r="L3326" i="32"/>
  <c r="L3322" i="32"/>
  <c r="L3318" i="32"/>
  <c r="L3314" i="32"/>
  <c r="L3310" i="32"/>
  <c r="L3306" i="32"/>
  <c r="L3302" i="32"/>
  <c r="L3298" i="32"/>
  <c r="L3294" i="32"/>
  <c r="L3290" i="32"/>
  <c r="L3286" i="32"/>
  <c r="L3282" i="32"/>
  <c r="L3278" i="32"/>
  <c r="L3274" i="32"/>
  <c r="L3270" i="32"/>
  <c r="L3266" i="32"/>
  <c r="L3262" i="32"/>
  <c r="L3258" i="32"/>
  <c r="L3254" i="32"/>
  <c r="L3250" i="32"/>
  <c r="L3246" i="32"/>
  <c r="L3242" i="32"/>
  <c r="L3238" i="32"/>
  <c r="L3234" i="32"/>
  <c r="L3230" i="32"/>
  <c r="L3226" i="32"/>
  <c r="L3222" i="32"/>
  <c r="L3218" i="32"/>
  <c r="L3214" i="32"/>
  <c r="L3210" i="32"/>
  <c r="L3206" i="32"/>
  <c r="L3202" i="32"/>
  <c r="L3198" i="32"/>
  <c r="L3194" i="32"/>
  <c r="L3190" i="32"/>
  <c r="L3186" i="32"/>
  <c r="L3182" i="32"/>
  <c r="L3178" i="32"/>
  <c r="L3174" i="32"/>
  <c r="L3170" i="32"/>
  <c r="L3166" i="32"/>
  <c r="L3162" i="32"/>
  <c r="L3158" i="32"/>
  <c r="L3154" i="32"/>
  <c r="L3150" i="32"/>
  <c r="L3146" i="32"/>
  <c r="L3142" i="32"/>
  <c r="L3138" i="32"/>
  <c r="L3134" i="32"/>
  <c r="L3130" i="32"/>
  <c r="L3126" i="32"/>
  <c r="L3122" i="32"/>
  <c r="L3118" i="32"/>
  <c r="L3114" i="32"/>
  <c r="L3110" i="32"/>
  <c r="L3106" i="32"/>
  <c r="L3102" i="32"/>
  <c r="L3098" i="32"/>
  <c r="L3094" i="32"/>
  <c r="L3090" i="32"/>
  <c r="L3086" i="32"/>
  <c r="L3082" i="32"/>
  <c r="L3078" i="32"/>
  <c r="L3074" i="32"/>
  <c r="L3070" i="32"/>
  <c r="L3066" i="32"/>
  <c r="L3062" i="32"/>
  <c r="L3058" i="32"/>
  <c r="L3054" i="32"/>
  <c r="L3050" i="32"/>
  <c r="L3046" i="32"/>
  <c r="L3042" i="32"/>
  <c r="L3038" i="32"/>
  <c r="L3034" i="32"/>
  <c r="L3030" i="32"/>
  <c r="L3026" i="32"/>
  <c r="L3022" i="32"/>
  <c r="L3018" i="32"/>
  <c r="L3014" i="32"/>
  <c r="L3010" i="32"/>
  <c r="L3006" i="32"/>
  <c r="L3002" i="32"/>
  <c r="L2998" i="32"/>
  <c r="L2994" i="32"/>
  <c r="L2990" i="32"/>
  <c r="L2986" i="32"/>
  <c r="L2982" i="32"/>
  <c r="L2978" i="32"/>
  <c r="L2974" i="32"/>
  <c r="L2970" i="32"/>
  <c r="L2966" i="32"/>
  <c r="L2962" i="32"/>
  <c r="L2958" i="32"/>
  <c r="L2954" i="32"/>
  <c r="L2950" i="32"/>
  <c r="L2946" i="32"/>
  <c r="L2942" i="32"/>
  <c r="L2938" i="32"/>
  <c r="L2934" i="32"/>
  <c r="L2930" i="32"/>
  <c r="L2926" i="32"/>
  <c r="L2922" i="32"/>
  <c r="L2918" i="32"/>
  <c r="L2914" i="32"/>
  <c r="L2910" i="32"/>
  <c r="L2906" i="32"/>
  <c r="L2902" i="32"/>
  <c r="L2898" i="32"/>
  <c r="L2894" i="32"/>
  <c r="L2890" i="32"/>
  <c r="L2886" i="32"/>
  <c r="L2882" i="32"/>
  <c r="L2878" i="32"/>
  <c r="L2874" i="32"/>
  <c r="L2870" i="32"/>
  <c r="L2866" i="32"/>
  <c r="L2862" i="32"/>
  <c r="L2858" i="32"/>
  <c r="L2854" i="32"/>
  <c r="L2850" i="32"/>
  <c r="L2846" i="32"/>
  <c r="L2842" i="32"/>
  <c r="L2838" i="32"/>
  <c r="L2834" i="32"/>
  <c r="L2830" i="32"/>
  <c r="L2826" i="32"/>
  <c r="L2822" i="32"/>
  <c r="L2818" i="32"/>
  <c r="L2814" i="32"/>
  <c r="L2810" i="32"/>
  <c r="L2806" i="32"/>
  <c r="L2802" i="32"/>
  <c r="L2798" i="32"/>
  <c r="L2794" i="32"/>
  <c r="L2790" i="32"/>
  <c r="L2786" i="32"/>
  <c r="L2782" i="32"/>
  <c r="L2778" i="32"/>
  <c r="L2774" i="32"/>
  <c r="L2770" i="32"/>
  <c r="L2766" i="32"/>
  <c r="L2762" i="32"/>
  <c r="L2758" i="32"/>
  <c r="L2754" i="32"/>
  <c r="L2750" i="32"/>
  <c r="L2746" i="32"/>
  <c r="L2742" i="32"/>
  <c r="L2738" i="32"/>
  <c r="L2734" i="32"/>
  <c r="L2730" i="32"/>
  <c r="L2726" i="32"/>
  <c r="L2722" i="32"/>
  <c r="L2718" i="32"/>
  <c r="L2714" i="32"/>
  <c r="L2710" i="32"/>
  <c r="L2706" i="32"/>
  <c r="L2702" i="32"/>
  <c r="L2698" i="32"/>
  <c r="L2694" i="32"/>
  <c r="L2690" i="32"/>
  <c r="L2686" i="32"/>
  <c r="L2682" i="32"/>
  <c r="L2678" i="32"/>
  <c r="L2674" i="32"/>
  <c r="L2670" i="32"/>
  <c r="L2666" i="32"/>
  <c r="L2662" i="32"/>
  <c r="L2658" i="32"/>
  <c r="L2654" i="32"/>
  <c r="L2650" i="32"/>
  <c r="L2646" i="32"/>
  <c r="L2642" i="32"/>
  <c r="L2638" i="32"/>
  <c r="L2634" i="32"/>
  <c r="L2630" i="32"/>
  <c r="L2626" i="32"/>
  <c r="L2622" i="32"/>
  <c r="L2618" i="32"/>
  <c r="L2614" i="32"/>
  <c r="L2610" i="32"/>
  <c r="L2606" i="32"/>
  <c r="L2602" i="32"/>
  <c r="L2598" i="32"/>
  <c r="L2594" i="32"/>
  <c r="L2590" i="32"/>
  <c r="L2586" i="32"/>
  <c r="L2582" i="32"/>
  <c r="L2578" i="32"/>
  <c r="L2574" i="32"/>
  <c r="L2570" i="32"/>
  <c r="L2566" i="32"/>
  <c r="L2562" i="32"/>
  <c r="L2558" i="32"/>
  <c r="L2554" i="32"/>
  <c r="L2550" i="32"/>
  <c r="L2546" i="32"/>
  <c r="L2542" i="32"/>
  <c r="L2538" i="32"/>
  <c r="L2534" i="32"/>
  <c r="L2530" i="32"/>
  <c r="L2526" i="32"/>
  <c r="L2522" i="32"/>
  <c r="L2518" i="32"/>
  <c r="L2514" i="32"/>
  <c r="L2510" i="32"/>
  <c r="L2506" i="32"/>
  <c r="L2502" i="32"/>
  <c r="L2498" i="32"/>
  <c r="L2494" i="32"/>
  <c r="L2490" i="32"/>
  <c r="L2486" i="32"/>
  <c r="L2482" i="32"/>
  <c r="L2478" i="32"/>
  <c r="L2474" i="32"/>
  <c r="L2470" i="32"/>
  <c r="L2466" i="32"/>
  <c r="L2462" i="32"/>
  <c r="L2458" i="32"/>
  <c r="L2454" i="32"/>
  <c r="L2450" i="32"/>
  <c r="L2446" i="32"/>
  <c r="L2442" i="32"/>
  <c r="L2438" i="32"/>
  <c r="L2434" i="32"/>
  <c r="L2430" i="32"/>
  <c r="L2426" i="32"/>
  <c r="L2422" i="32"/>
  <c r="L2418" i="32"/>
  <c r="L2414" i="32"/>
  <c r="L2410" i="32"/>
  <c r="L2406" i="32"/>
  <c r="L2402" i="32"/>
  <c r="L2398" i="32"/>
  <c r="L2394" i="32"/>
  <c r="L2390" i="32"/>
  <c r="L2386" i="32"/>
  <c r="L2382" i="32"/>
  <c r="L2378" i="32"/>
  <c r="L2374" i="32"/>
  <c r="L2370" i="32"/>
  <c r="L2366" i="32"/>
  <c r="L1877" i="32"/>
  <c r="L1873" i="32"/>
  <c r="L1869" i="32"/>
  <c r="L1865" i="32"/>
  <c r="L1861" i="32"/>
  <c r="L1857" i="32"/>
  <c r="L1853" i="32"/>
  <c r="L1849" i="32"/>
  <c r="L1845" i="32"/>
  <c r="L1841" i="32"/>
  <c r="L1837" i="32"/>
  <c r="L1833" i="32"/>
  <c r="L1829" i="32"/>
  <c r="L1825" i="32"/>
  <c r="L1821" i="32"/>
  <c r="L1817" i="32"/>
  <c r="L1813" i="32"/>
  <c r="L1809" i="32"/>
  <c r="L1805" i="32"/>
  <c r="L1801" i="32"/>
  <c r="L1797" i="32"/>
  <c r="L1793" i="32"/>
  <c r="L1789" i="32"/>
  <c r="L1785" i="32"/>
  <c r="L1781" i="32"/>
  <c r="L1777" i="32"/>
  <c r="L1773" i="32"/>
  <c r="L1769" i="32"/>
  <c r="L1765" i="32"/>
  <c r="L1761" i="32"/>
  <c r="L1757" i="32"/>
  <c r="L1753" i="32"/>
  <c r="L1749" i="32"/>
  <c r="L1745" i="32"/>
  <c r="L1741" i="32"/>
  <c r="L1737" i="32"/>
  <c r="L1733" i="32"/>
  <c r="L1729" i="32"/>
  <c r="L1725" i="32"/>
  <c r="L1721" i="32"/>
  <c r="L1717" i="32"/>
  <c r="L1713" i="32"/>
  <c r="L1709" i="32"/>
  <c r="L1705" i="32"/>
  <c r="L1701" i="32"/>
  <c r="L1697" i="32"/>
  <c r="L1693" i="32"/>
  <c r="L1689" i="32"/>
  <c r="L1685" i="32"/>
  <c r="L1681" i="32"/>
  <c r="L1677" i="32"/>
  <c r="L1673" i="32"/>
  <c r="L1669" i="32"/>
  <c r="L1665" i="32"/>
  <c r="L1661" i="32"/>
  <c r="L1657" i="32"/>
  <c r="L1653" i="32"/>
  <c r="L1649" i="32"/>
  <c r="L1645" i="32"/>
  <c r="L1641" i="32"/>
  <c r="L1637" i="32"/>
  <c r="L1633" i="32"/>
  <c r="L1629" i="32"/>
  <c r="L1625" i="32"/>
  <c r="L1621" i="32"/>
  <c r="L1617" i="32"/>
  <c r="L1613" i="32"/>
  <c r="L1609" i="32"/>
  <c r="L1605" i="32"/>
  <c r="L1601" i="32"/>
  <c r="L1597" i="32"/>
  <c r="L1593" i="32"/>
  <c r="L1589" i="32"/>
  <c r="L1585" i="32"/>
  <c r="L1581" i="32"/>
  <c r="L1577" i="32"/>
  <c r="L1573" i="32"/>
  <c r="L1569" i="32"/>
  <c r="L1565" i="32"/>
  <c r="L1561" i="32"/>
  <c r="L1557" i="32"/>
  <c r="L1553" i="32"/>
  <c r="L1549" i="32"/>
  <c r="L1545" i="32"/>
  <c r="L1541" i="32"/>
  <c r="L1537" i="32"/>
  <c r="L1533" i="32"/>
  <c r="L1529" i="32"/>
  <c r="L1525" i="32"/>
  <c r="L1521" i="32"/>
  <c r="L1517" i="32"/>
  <c r="L1513" i="32"/>
  <c r="L1509" i="32"/>
  <c r="L1505" i="32"/>
  <c r="L1501" i="32"/>
  <c r="L1497" i="32"/>
  <c r="L1493" i="32"/>
  <c r="L1489" i="32"/>
  <c r="L1485" i="32"/>
  <c r="L1481" i="32"/>
  <c r="L1477" i="32"/>
  <c r="L1473" i="32"/>
  <c r="L1469" i="32"/>
  <c r="L1465" i="32"/>
  <c r="L1461" i="32"/>
  <c r="L1457" i="32"/>
  <c r="L1453" i="32"/>
  <c r="L1449" i="32"/>
  <c r="L1445" i="32"/>
  <c r="L1441" i="32"/>
  <c r="L1437" i="32"/>
  <c r="L1433" i="32"/>
  <c r="L1429" i="32"/>
  <c r="L1425" i="32"/>
  <c r="L1421" i="32"/>
  <c r="L1417" i="32"/>
  <c r="L1413" i="32"/>
  <c r="L1409" i="32"/>
  <c r="L1405" i="32"/>
  <c r="L1401" i="32"/>
  <c r="L1397" i="32"/>
  <c r="L1393" i="32"/>
  <c r="L1389" i="32"/>
  <c r="L1385" i="32"/>
  <c r="L1381" i="32"/>
  <c r="L1377" i="32"/>
  <c r="L1373" i="32"/>
  <c r="L1369" i="32"/>
  <c r="L1365" i="32"/>
  <c r="L1361" i="32"/>
  <c r="L1357" i="32"/>
  <c r="L1353" i="32"/>
  <c r="L1349" i="32"/>
  <c r="L1345" i="32"/>
  <c r="L1341" i="32"/>
  <c r="L1337" i="32"/>
  <c r="L1333" i="32"/>
  <c r="L1329" i="32"/>
  <c r="L1325" i="32"/>
  <c r="L1321" i="32"/>
  <c r="L1317" i="32"/>
  <c r="L1313" i="32"/>
  <c r="L1309" i="32"/>
  <c r="L1305" i="32"/>
  <c r="L1301" i="32"/>
  <c r="L1297" i="32"/>
  <c r="L1293" i="32"/>
  <c r="L1289" i="32"/>
  <c r="L1285" i="32"/>
  <c r="L1281" i="32"/>
  <c r="L1277" i="32"/>
  <c r="L1273" i="32"/>
  <c r="L1269" i="32"/>
  <c r="L1265" i="32"/>
  <c r="L1261" i="32"/>
  <c r="L1257" i="32"/>
  <c r="L1253" i="32"/>
  <c r="L1249" i="32"/>
  <c r="L1245" i="32"/>
  <c r="L1241" i="32"/>
  <c r="L1237" i="32"/>
  <c r="L1233" i="32"/>
  <c r="L1229" i="32"/>
  <c r="L1225" i="32"/>
  <c r="L1221" i="32"/>
  <c r="L1217" i="32"/>
  <c r="L1213" i="32"/>
  <c r="L1209" i="32"/>
  <c r="L1205" i="32"/>
  <c r="L1201" i="32"/>
  <c r="L1197" i="32"/>
  <c r="L1193" i="32"/>
  <c r="L1189" i="32"/>
  <c r="L1185" i="32"/>
  <c r="L1181" i="32"/>
  <c r="L1177" i="32"/>
  <c r="L1173" i="32"/>
  <c r="L1169" i="32"/>
  <c r="L1165" i="32"/>
  <c r="L1161" i="32"/>
  <c r="L1157" i="32"/>
  <c r="L1153" i="32"/>
  <c r="L1149" i="32"/>
  <c r="L1145" i="32"/>
  <c r="L1141" i="32"/>
  <c r="L1137" i="32"/>
  <c r="L1133" i="32"/>
  <c r="L1129" i="32"/>
  <c r="L1125" i="32"/>
  <c r="L1121" i="32"/>
  <c r="L1117" i="32"/>
  <c r="L1113" i="32"/>
  <c r="L1109" i="32"/>
  <c r="L1105" i="32"/>
  <c r="L1101" i="32"/>
  <c r="L1097" i="32"/>
  <c r="L1093" i="32"/>
  <c r="L1089" i="32"/>
  <c r="L1085" i="32"/>
  <c r="L1081" i="32"/>
  <c r="L1077" i="32"/>
  <c r="L1073" i="32"/>
  <c r="L1069" i="32"/>
  <c r="L1065" i="32"/>
  <c r="L1061" i="32"/>
  <c r="L1057" i="32"/>
  <c r="L1053" i="32"/>
  <c r="L1049" i="32"/>
  <c r="L1045" i="32"/>
  <c r="L1041" i="32"/>
  <c r="L1037" i="32"/>
  <c r="L1033" i="32"/>
  <c r="L1029" i="32"/>
  <c r="L1025" i="32"/>
  <c r="L1021" i="32"/>
  <c r="L1017" i="32"/>
  <c r="L1013" i="32"/>
  <c r="L1009" i="32"/>
  <c r="L1005" i="32"/>
  <c r="L1001" i="32"/>
  <c r="L997" i="32"/>
  <c r="L4968" i="32"/>
  <c r="L4964" i="32"/>
  <c r="L4960" i="32"/>
  <c r="L4956" i="32"/>
  <c r="L4952" i="32"/>
  <c r="L4948" i="32"/>
  <c r="L4944" i="32"/>
  <c r="L4940" i="32"/>
  <c r="L4936" i="32"/>
  <c r="L4932" i="32"/>
  <c r="L4928" i="32"/>
  <c r="L4924" i="32"/>
  <c r="L4920" i="32"/>
  <c r="L4916" i="32"/>
  <c r="L4912" i="32"/>
  <c r="L4908" i="32"/>
  <c r="L4904" i="32"/>
  <c r="L4900" i="32"/>
  <c r="L4896" i="32"/>
  <c r="L4892" i="32"/>
  <c r="L4888" i="32"/>
  <c r="L4884" i="32"/>
  <c r="L4880" i="32"/>
  <c r="L4876" i="32"/>
  <c r="L4872" i="32"/>
  <c r="L4868" i="32"/>
  <c r="L4864" i="32"/>
  <c r="L4860" i="32"/>
  <c r="L4856" i="32"/>
  <c r="L4852" i="32"/>
  <c r="L4848" i="32"/>
  <c r="L4844" i="32"/>
  <c r="L4840" i="32"/>
  <c r="L4836" i="32"/>
  <c r="L4832" i="32"/>
  <c r="L4828" i="32"/>
  <c r="L4824" i="32"/>
  <c r="L4820" i="32"/>
  <c r="L4816" i="32"/>
  <c r="L4812" i="32"/>
  <c r="L4808" i="32"/>
  <c r="L4804" i="32"/>
  <c r="L4800" i="32"/>
  <c r="L4796" i="32"/>
  <c r="L4792" i="32"/>
  <c r="L4788" i="32"/>
  <c r="L4784" i="32"/>
  <c r="L4780" i="32"/>
  <c r="L4776" i="32"/>
  <c r="L4772" i="32"/>
  <c r="L4768" i="32"/>
  <c r="L4764" i="32"/>
  <c r="L4760" i="32"/>
  <c r="L4756" i="32"/>
  <c r="L4752" i="32"/>
  <c r="L4748" i="32"/>
  <c r="L4744" i="32"/>
  <c r="L4740" i="32"/>
  <c r="L4736" i="32"/>
  <c r="L4732" i="32"/>
  <c r="L4728" i="32"/>
  <c r="L4724" i="32"/>
  <c r="L4720" i="32"/>
  <c r="L4716" i="32"/>
  <c r="L4712" i="32"/>
  <c r="L4708" i="32"/>
  <c r="L4704" i="32"/>
  <c r="L4700" i="32"/>
  <c r="L4696" i="32"/>
  <c r="L4692" i="32"/>
  <c r="L4688" i="32"/>
  <c r="L4684" i="32"/>
  <c r="L4680" i="32"/>
  <c r="L4676" i="32"/>
  <c r="L4672" i="32"/>
  <c r="L4668" i="32"/>
  <c r="L4664" i="32"/>
  <c r="L4660" i="32"/>
  <c r="L4656" i="32"/>
  <c r="L4652" i="32"/>
  <c r="L4648" i="32"/>
  <c r="L4644" i="32"/>
  <c r="L4640" i="32"/>
  <c r="L4636" i="32"/>
  <c r="L4632" i="32"/>
  <c r="L4628" i="32"/>
  <c r="L4624" i="32"/>
  <c r="L4620" i="32"/>
  <c r="L4616" i="32"/>
  <c r="L4612" i="32"/>
  <c r="L4608" i="32"/>
  <c r="L4604" i="32"/>
  <c r="L4600" i="32"/>
  <c r="L4596" i="32"/>
  <c r="L4592" i="32"/>
  <c r="L4588" i="32"/>
  <c r="L4584" i="32"/>
  <c r="L4580" i="32"/>
  <c r="L4576" i="32"/>
  <c r="L4572" i="32"/>
  <c r="L4568" i="32"/>
  <c r="L4564" i="32"/>
  <c r="L4560" i="32"/>
  <c r="L4556" i="32"/>
  <c r="L4552" i="32"/>
  <c r="L4548" i="32"/>
  <c r="L4544" i="32"/>
  <c r="L4540" i="32"/>
  <c r="L4536" i="32"/>
  <c r="L4532" i="32"/>
  <c r="L4528" i="32"/>
  <c r="L4524" i="32"/>
  <c r="L4520" i="32"/>
  <c r="L4516" i="32"/>
  <c r="L4512" i="32"/>
  <c r="L4508" i="32"/>
  <c r="L4504" i="32"/>
  <c r="L4500" i="32"/>
  <c r="L4496" i="32"/>
  <c r="L4492" i="32"/>
  <c r="L4488" i="32"/>
  <c r="L4484" i="32"/>
  <c r="L4480" i="32"/>
  <c r="L4476" i="32"/>
  <c r="L4472" i="32"/>
  <c r="L4468" i="32"/>
  <c r="L4464" i="32"/>
  <c r="L4460" i="32"/>
  <c r="L4456" i="32"/>
  <c r="L4452" i="32"/>
  <c r="L4448" i="32"/>
  <c r="L4444" i="32"/>
  <c r="L4440" i="32"/>
  <c r="L4436" i="32"/>
  <c r="L4432" i="32"/>
  <c r="L4428" i="32"/>
  <c r="L4424" i="32"/>
  <c r="L4420" i="32"/>
  <c r="L4416" i="32"/>
  <c r="L4412" i="32"/>
  <c r="L4408" i="32"/>
  <c r="L4404" i="32"/>
  <c r="L4400" i="32"/>
  <c r="L4396" i="32"/>
  <c r="L4392" i="32"/>
  <c r="L4388" i="32"/>
  <c r="L4384" i="32"/>
  <c r="L4380" i="32"/>
  <c r="L4376" i="32"/>
  <c r="L4372" i="32"/>
  <c r="L4368" i="32"/>
  <c r="L4364" i="32"/>
  <c r="L4360" i="32"/>
  <c r="L4356" i="32"/>
  <c r="L4352" i="32"/>
  <c r="L4348" i="32"/>
  <c r="L4344" i="32"/>
  <c r="L4340" i="32"/>
  <c r="L4336" i="32"/>
  <c r="L4332" i="32"/>
  <c r="L4328" i="32"/>
  <c r="L4324" i="32"/>
  <c r="L4320" i="32"/>
  <c r="L4316" i="32"/>
  <c r="L4312" i="32"/>
  <c r="L4308" i="32"/>
  <c r="L4304" i="32"/>
  <c r="L4300" i="32"/>
  <c r="L4296" i="32"/>
  <c r="L4292" i="32"/>
  <c r="L4288" i="32"/>
  <c r="L4284" i="32"/>
  <c r="L4280" i="32"/>
  <c r="L4276" i="32"/>
  <c r="L4272" i="32"/>
  <c r="L4268" i="32"/>
  <c r="L4264" i="32"/>
  <c r="L4260" i="32"/>
  <c r="L4256" i="32"/>
  <c r="L4252" i="32"/>
  <c r="L4248" i="32"/>
  <c r="L4244" i="32"/>
  <c r="L4240" i="32"/>
  <c r="L4236" i="32"/>
  <c r="L4232" i="32"/>
  <c r="L4228" i="32"/>
  <c r="L4224" i="32"/>
  <c r="L4220" i="32"/>
  <c r="L4216" i="32"/>
  <c r="L4212" i="32"/>
  <c r="L4208" i="32"/>
  <c r="L4204" i="32"/>
  <c r="L4200" i="32"/>
  <c r="L4196" i="32"/>
  <c r="L4192" i="32"/>
  <c r="L4188" i="32"/>
  <c r="L4184" i="32"/>
  <c r="L4180" i="32"/>
  <c r="L4176" i="32"/>
  <c r="L4172" i="32"/>
  <c r="L4168" i="32"/>
  <c r="L4164" i="32"/>
  <c r="L4160" i="32"/>
  <c r="L4156" i="32"/>
  <c r="L4152" i="32"/>
  <c r="L4148" i="32"/>
  <c r="L4144" i="32"/>
  <c r="L4140" i="32"/>
  <c r="L4136" i="32"/>
  <c r="L4132" i="32"/>
  <c r="L4128" i="32"/>
  <c r="L4124" i="32"/>
  <c r="L4120" i="32"/>
  <c r="L4116" i="32"/>
  <c r="L4112" i="32"/>
  <c r="L4108" i="32"/>
  <c r="L4104" i="32"/>
  <c r="L4100" i="32"/>
  <c r="L4096" i="32"/>
  <c r="L4092" i="32"/>
  <c r="L4088" i="32"/>
  <c r="L4084" i="32"/>
  <c r="L4080" i="32"/>
  <c r="L4076" i="32"/>
  <c r="L4072" i="32"/>
  <c r="L4068" i="32"/>
  <c r="L4064" i="32"/>
  <c r="L4060" i="32"/>
  <c r="L4056" i="32"/>
  <c r="L4052" i="32"/>
  <c r="L4048" i="32"/>
  <c r="L4044" i="32"/>
  <c r="L4040" i="32"/>
  <c r="L4036" i="32"/>
  <c r="L4032" i="32"/>
  <c r="L4028" i="32"/>
  <c r="L4024" i="32"/>
  <c r="L4020" i="32"/>
  <c r="L4016" i="32"/>
  <c r="L4012" i="32"/>
  <c r="L4008" i="32"/>
  <c r="L4004" i="32"/>
  <c r="L4000" i="32"/>
  <c r="L3996" i="32"/>
  <c r="L3992" i="32"/>
  <c r="L3988" i="32"/>
  <c r="L3984" i="32"/>
  <c r="L3980" i="32"/>
  <c r="L3976" i="32"/>
  <c r="L3972" i="32"/>
  <c r="L3968" i="32"/>
  <c r="L3964" i="32"/>
  <c r="L3960" i="32"/>
  <c r="L3956" i="32"/>
  <c r="L3952" i="32"/>
  <c r="L3948" i="32"/>
  <c r="L3944" i="32"/>
  <c r="L3940" i="32"/>
  <c r="L3936" i="32"/>
  <c r="L3932" i="32"/>
  <c r="L3928" i="32"/>
  <c r="L3924" i="32"/>
  <c r="L3920" i="32"/>
  <c r="L3916" i="32"/>
  <c r="L3912" i="32"/>
  <c r="L3908" i="32"/>
  <c r="L3904" i="32"/>
  <c r="L3900" i="32"/>
  <c r="L3896" i="32"/>
  <c r="L3892" i="32"/>
  <c r="L3888" i="32"/>
  <c r="L3884" i="32"/>
  <c r="L3880" i="32"/>
  <c r="L3876" i="32"/>
  <c r="L3872" i="32"/>
  <c r="L3868" i="32"/>
  <c r="L3864" i="32"/>
  <c r="L3860" i="32"/>
  <c r="L3856" i="32"/>
  <c r="L3852" i="32"/>
  <c r="L3848" i="32"/>
  <c r="L3844" i="32"/>
  <c r="L3840" i="32"/>
  <c r="L3836" i="32"/>
  <c r="L3832" i="32"/>
  <c r="L3828" i="32"/>
  <c r="L3824" i="32"/>
  <c r="L3820" i="32"/>
  <c r="L3816" i="32"/>
  <c r="L3812" i="32"/>
  <c r="L3808" i="32"/>
  <c r="L3804" i="32"/>
  <c r="L3800" i="32"/>
  <c r="L3796" i="32"/>
  <c r="L3792" i="32"/>
  <c r="L3788" i="32"/>
  <c r="L3784" i="32"/>
  <c r="L3780" i="32"/>
  <c r="L3776" i="32"/>
  <c r="L3772" i="32"/>
  <c r="L3768" i="32"/>
  <c r="L3764" i="32"/>
  <c r="L3760" i="32"/>
  <c r="L3756" i="32"/>
  <c r="L3752" i="32"/>
  <c r="L3748" i="32"/>
  <c r="L3744" i="32"/>
  <c r="L3740" i="32"/>
  <c r="L3736" i="32"/>
  <c r="L3732" i="32"/>
  <c r="L3728" i="32"/>
  <c r="L3724" i="32"/>
  <c r="L3720" i="32"/>
  <c r="L3716" i="32"/>
  <c r="L3712" i="32"/>
  <c r="L3708" i="32"/>
  <c r="L3704" i="32"/>
  <c r="L3700" i="32"/>
  <c r="L3696" i="32"/>
  <c r="L3692" i="32"/>
  <c r="L3688" i="32"/>
  <c r="L3684" i="32"/>
  <c r="L3680" i="32"/>
  <c r="L3676" i="32"/>
  <c r="L3672" i="32"/>
  <c r="L3668" i="32"/>
  <c r="L3664" i="32"/>
  <c r="L3660" i="32"/>
  <c r="L3656" i="32"/>
  <c r="L3652" i="32"/>
  <c r="L3648" i="32"/>
  <c r="L3644" i="32"/>
  <c r="L3640" i="32"/>
  <c r="L3636" i="32"/>
  <c r="L3632" i="32"/>
  <c r="L3628" i="32"/>
  <c r="L3624" i="32"/>
  <c r="L3620" i="32"/>
  <c r="L3616" i="32"/>
  <c r="L3612" i="32"/>
  <c r="L3608" i="32"/>
  <c r="L3604" i="32"/>
  <c r="L3600" i="32"/>
  <c r="L3596" i="32"/>
  <c r="L3592" i="32"/>
  <c r="L3588" i="32"/>
  <c r="L3584" i="32"/>
  <c r="L3580" i="32"/>
  <c r="L3576" i="32"/>
  <c r="L3572" i="32"/>
  <c r="L3568" i="32"/>
  <c r="L3564" i="32"/>
  <c r="L3560" i="32"/>
  <c r="L3556" i="32"/>
  <c r="L3552" i="32"/>
  <c r="L3548" i="32"/>
  <c r="L3544" i="32"/>
  <c r="L3540" i="32"/>
  <c r="L3536" i="32"/>
  <c r="L3532" i="32"/>
  <c r="L3528" i="32"/>
  <c r="L3524" i="32"/>
  <c r="L3520" i="32"/>
  <c r="L3516" i="32"/>
  <c r="L3512" i="32"/>
  <c r="L3508" i="32"/>
  <c r="L3504" i="32"/>
  <c r="L3500" i="32"/>
  <c r="L3496" i="32"/>
  <c r="L3492" i="32"/>
  <c r="L3488" i="32"/>
  <c r="L3484" i="32"/>
  <c r="L3480" i="32"/>
  <c r="L3476" i="32"/>
  <c r="L3472" i="32"/>
  <c r="L3468" i="32"/>
  <c r="L3464" i="32"/>
  <c r="L3460" i="32"/>
  <c r="L3456" i="32"/>
  <c r="L3452" i="32"/>
  <c r="L3448" i="32"/>
  <c r="L3444" i="32"/>
  <c r="L3440" i="32"/>
  <c r="L3436" i="32"/>
  <c r="L3432" i="32"/>
  <c r="L3428" i="32"/>
  <c r="L3424" i="32"/>
  <c r="L3420" i="32"/>
  <c r="L3416" i="32"/>
  <c r="L3412" i="32"/>
  <c r="L3408" i="32"/>
  <c r="L3404" i="32"/>
  <c r="L3400" i="32"/>
  <c r="L3396" i="32"/>
  <c r="L3392" i="32"/>
  <c r="L3388" i="32"/>
  <c r="L3384" i="32"/>
  <c r="L3380" i="32"/>
  <c r="L3376" i="32"/>
  <c r="L3372" i="32"/>
  <c r="L3368" i="32"/>
  <c r="L3364" i="32"/>
  <c r="L3360" i="32"/>
  <c r="L3356" i="32"/>
  <c r="L3352" i="32"/>
  <c r="L3348" i="32"/>
  <c r="L3344" i="32"/>
  <c r="L3340" i="32"/>
  <c r="L3336" i="32"/>
  <c r="L3332" i="32"/>
  <c r="L3328" i="32"/>
  <c r="L3324" i="32"/>
  <c r="L3320" i="32"/>
  <c r="L3316" i="32"/>
  <c r="L3312" i="32"/>
  <c r="L3308" i="32"/>
  <c r="L3304" i="32"/>
  <c r="L3300" i="32"/>
  <c r="L3296" i="32"/>
  <c r="L3292" i="32"/>
  <c r="L3288" i="32"/>
  <c r="L3284" i="32"/>
  <c r="L3280" i="32"/>
  <c r="L3276" i="32"/>
  <c r="L3272" i="32"/>
  <c r="L3268" i="32"/>
  <c r="L3264" i="32"/>
  <c r="L3260" i="32"/>
  <c r="L3256" i="32"/>
  <c r="L3252" i="32"/>
  <c r="L3248" i="32"/>
  <c r="L3244" i="32"/>
  <c r="L3240" i="32"/>
  <c r="L3236" i="32"/>
  <c r="L3232" i="32"/>
  <c r="L3228" i="32"/>
  <c r="L3224" i="32"/>
  <c r="L3220" i="32"/>
  <c r="L3216" i="32"/>
  <c r="L3212" i="32"/>
  <c r="L3208" i="32"/>
  <c r="L3204" i="32"/>
  <c r="L3200" i="32"/>
  <c r="L3196" i="32"/>
  <c r="L3192" i="32"/>
  <c r="L3188" i="32"/>
  <c r="L3184" i="32"/>
  <c r="L3180" i="32"/>
  <c r="L3176" i="32"/>
  <c r="L3172" i="32"/>
  <c r="L3168" i="32"/>
  <c r="L3164" i="32"/>
  <c r="L3160" i="32"/>
  <c r="L3156" i="32"/>
  <c r="L3152" i="32"/>
  <c r="L3148" i="32"/>
  <c r="L3144" i="32"/>
  <c r="L3140" i="32"/>
  <c r="L3136" i="32"/>
  <c r="L3132" i="32"/>
  <c r="L3128" i="32"/>
  <c r="L3124" i="32"/>
  <c r="L3120" i="32"/>
  <c r="L3116" i="32"/>
  <c r="L3112" i="32"/>
  <c r="L3108" i="32"/>
  <c r="L3104" i="32"/>
  <c r="L3100" i="32"/>
  <c r="L3096" i="32"/>
  <c r="L3092" i="32"/>
  <c r="L3088" i="32"/>
  <c r="L3084" i="32"/>
  <c r="L3080" i="32"/>
  <c r="L3076" i="32"/>
  <c r="L3072" i="32"/>
  <c r="L3068" i="32"/>
  <c r="L3064" i="32"/>
  <c r="L3060" i="32"/>
  <c r="L3056" i="32"/>
  <c r="L3052" i="32"/>
  <c r="L3048" i="32"/>
  <c r="L3044" i="32"/>
  <c r="L3040" i="32"/>
  <c r="L3036" i="32"/>
  <c r="L3032" i="32"/>
  <c r="L3028" i="32"/>
  <c r="L3024" i="32"/>
  <c r="L3020" i="32"/>
  <c r="L3016" i="32"/>
  <c r="L3012" i="32"/>
  <c r="L3008" i="32"/>
  <c r="L3004" i="32"/>
  <c r="L3000" i="32"/>
  <c r="L2996" i="32"/>
  <c r="L2992" i="32"/>
  <c r="L2988" i="32"/>
  <c r="L2984" i="32"/>
  <c r="L2980" i="32"/>
  <c r="L2976" i="32"/>
  <c r="L2972" i="32"/>
  <c r="L2968" i="32"/>
  <c r="L2964" i="32"/>
  <c r="L2960" i="32"/>
  <c r="L2956" i="32"/>
  <c r="L2952" i="32"/>
  <c r="L2948" i="32"/>
  <c r="L2944" i="32"/>
  <c r="L2940" i="32"/>
  <c r="L2936" i="32"/>
  <c r="L2932" i="32"/>
  <c r="L2928" i="32"/>
  <c r="L2924" i="32"/>
  <c r="L2920" i="32"/>
  <c r="L2916" i="32"/>
  <c r="L2912" i="32"/>
  <c r="L2908" i="32"/>
  <c r="L2904" i="32"/>
  <c r="L2900" i="32"/>
  <c r="L2896" i="32"/>
  <c r="L2892" i="32"/>
  <c r="L2888" i="32"/>
  <c r="L2884" i="32"/>
  <c r="L2880" i="32"/>
  <c r="L2876" i="32"/>
  <c r="L2872" i="32"/>
  <c r="L2868" i="32"/>
  <c r="L2864" i="32"/>
  <c r="L2860" i="32"/>
  <c r="L2856" i="32"/>
  <c r="L2852" i="32"/>
  <c r="L2848" i="32"/>
  <c r="L2844" i="32"/>
  <c r="L2840" i="32"/>
  <c r="L2836" i="32"/>
  <c r="L2832" i="32"/>
  <c r="L2828" i="32"/>
  <c r="L2824" i="32"/>
  <c r="L2820" i="32"/>
  <c r="L2816" i="32"/>
  <c r="L2812" i="32"/>
  <c r="L2808" i="32"/>
  <c r="L2804" i="32"/>
  <c r="L2800" i="32"/>
  <c r="L2796" i="32"/>
  <c r="L2792" i="32"/>
  <c r="L2788" i="32"/>
  <c r="L2784" i="32"/>
  <c r="L2780" i="32"/>
  <c r="L2776" i="32"/>
  <c r="L2772" i="32"/>
  <c r="L2768" i="32"/>
  <c r="L2764" i="32"/>
  <c r="L2760" i="32"/>
  <c r="L2756" i="32"/>
  <c r="L2752" i="32"/>
  <c r="L2748" i="32"/>
  <c r="L2744" i="32"/>
  <c r="L2740" i="32"/>
  <c r="L2736" i="32"/>
  <c r="L2732" i="32"/>
  <c r="L2728" i="32"/>
  <c r="L2724" i="32"/>
  <c r="L2720" i="32"/>
  <c r="L2716" i="32"/>
  <c r="L2712" i="32"/>
  <c r="L2708" i="32"/>
  <c r="L2704" i="32"/>
  <c r="L2700" i="32"/>
  <c r="L2696" i="32"/>
  <c r="L2692" i="32"/>
  <c r="L2688" i="32"/>
  <c r="L2684" i="32"/>
  <c r="L2680" i="32"/>
  <c r="L2676" i="32"/>
  <c r="L2672" i="32"/>
  <c r="L2668" i="32"/>
  <c r="L2664" i="32"/>
  <c r="L2660" i="32"/>
  <c r="L2656" i="32"/>
  <c r="L2652" i="32"/>
  <c r="L2648" i="32"/>
  <c r="L2644" i="32"/>
  <c r="L2640" i="32"/>
  <c r="L2636" i="32"/>
  <c r="L2632" i="32"/>
  <c r="L2628" i="32"/>
  <c r="L2624" i="32"/>
  <c r="L2620" i="32"/>
  <c r="L2616" i="32"/>
  <c r="L2612" i="32"/>
  <c r="L2608" i="32"/>
  <c r="L2604" i="32"/>
  <c r="L2600" i="32"/>
  <c r="L2596" i="32"/>
  <c r="L2592" i="32"/>
  <c r="L2588" i="32"/>
  <c r="L2584" i="32"/>
  <c r="L2580" i="32"/>
  <c r="L2576" i="32"/>
  <c r="L2572" i="32"/>
  <c r="L2568" i="32"/>
  <c r="L2564" i="32"/>
  <c r="L2560" i="32"/>
  <c r="L2556" i="32"/>
  <c r="L2552" i="32"/>
  <c r="L2548" i="32"/>
  <c r="L2544" i="32"/>
  <c r="L2540" i="32"/>
  <c r="L2536" i="32"/>
  <c r="L2532" i="32"/>
  <c r="L2528" i="32"/>
  <c r="L2524" i="32"/>
  <c r="L2520" i="32"/>
  <c r="L2516" i="32"/>
  <c r="L2512" i="32"/>
  <c r="L2508" i="32"/>
  <c r="L2504" i="32"/>
  <c r="L2500" i="32"/>
  <c r="L2496" i="32"/>
  <c r="L2492" i="32"/>
  <c r="L2488" i="32"/>
  <c r="L2484" i="32"/>
  <c r="L2480" i="32"/>
  <c r="L2476" i="32"/>
  <c r="L2472" i="32"/>
  <c r="L2468" i="32"/>
  <c r="L2464" i="32"/>
  <c r="L2460" i="32"/>
  <c r="L2456" i="32"/>
  <c r="L2452" i="32"/>
  <c r="L2448" i="32"/>
  <c r="L2444" i="32"/>
  <c r="L2440" i="32"/>
  <c r="L2436" i="32"/>
  <c r="L2432" i="32"/>
  <c r="L2428" i="32"/>
  <c r="L2424" i="32"/>
  <c r="L2420" i="32"/>
  <c r="L2416" i="32"/>
  <c r="L2412" i="32"/>
  <c r="L2408" i="32"/>
  <c r="L2404" i="32"/>
  <c r="L2400" i="32"/>
  <c r="L2396" i="32"/>
  <c r="L2392" i="32"/>
  <c r="L2388" i="32"/>
  <c r="L2384" i="32"/>
  <c r="L2380" i="32"/>
  <c r="L2376" i="32"/>
  <c r="L2372" i="32"/>
  <c r="L2368" i="32"/>
  <c r="L2364" i="32"/>
  <c r="L2360" i="32"/>
  <c r="L2356" i="32"/>
  <c r="L2352" i="32"/>
  <c r="L2348" i="32"/>
  <c r="L2344" i="32"/>
  <c r="L2340" i="32"/>
  <c r="L2336" i="32"/>
  <c r="L2332" i="32"/>
  <c r="L2328" i="32"/>
  <c r="L2324" i="32"/>
  <c r="L2320" i="32"/>
  <c r="L2316" i="32"/>
  <c r="L2312" i="32"/>
  <c r="L2308" i="32"/>
  <c r="L2304" i="32"/>
  <c r="L2300" i="32"/>
  <c r="L2296" i="32"/>
  <c r="L2292" i="32"/>
  <c r="L2288" i="32"/>
  <c r="L2284" i="32"/>
  <c r="L2280" i="32"/>
  <c r="L2276" i="32"/>
  <c r="L2272" i="32"/>
  <c r="L2268" i="32"/>
  <c r="L2264" i="32"/>
  <c r="L2260" i="32"/>
  <c r="L2256" i="32"/>
  <c r="L2252" i="32"/>
  <c r="L2248" i="32"/>
  <c r="L2244" i="32"/>
  <c r="L1947" i="32"/>
  <c r="L1943" i="32"/>
  <c r="L1939" i="32"/>
  <c r="L1935" i="32"/>
  <c r="L1931" i="32"/>
  <c r="L1927" i="32"/>
  <c r="L1923" i="32"/>
  <c r="L1919" i="32"/>
  <c r="L1915" i="32"/>
  <c r="L1911" i="32"/>
  <c r="L1907" i="32"/>
  <c r="L1903" i="32"/>
  <c r="L1899" i="32"/>
  <c r="L1895" i="32"/>
  <c r="L1891" i="32"/>
  <c r="L1887" i="32"/>
  <c r="L1883" i="32"/>
  <c r="L1879" i="32"/>
  <c r="L1875" i="32"/>
  <c r="L1871" i="32"/>
  <c r="L1867" i="32"/>
  <c r="L1863" i="32"/>
  <c r="L1859" i="32"/>
  <c r="L1855" i="32"/>
  <c r="L1851" i="32"/>
  <c r="L1847" i="32"/>
  <c r="L1843" i="32"/>
  <c r="L1839" i="32"/>
  <c r="L1835" i="32"/>
  <c r="L1831" i="32"/>
  <c r="L1827" i="32"/>
  <c r="L1823" i="32"/>
  <c r="L1819" i="32"/>
  <c r="L1815" i="32"/>
  <c r="L1811" i="32"/>
  <c r="L1807" i="32"/>
  <c r="L1803" i="32"/>
  <c r="L1799" i="32"/>
  <c r="L1795" i="32"/>
  <c r="L1791" i="32"/>
  <c r="L1787" i="32"/>
  <c r="L1783" i="32"/>
  <c r="L1779" i="32"/>
  <c r="L1775" i="32"/>
  <c r="L1771" i="32"/>
  <c r="L1767" i="32"/>
  <c r="L1763" i="32"/>
  <c r="L1759" i="32"/>
  <c r="L1755" i="32"/>
  <c r="L1751" i="32"/>
  <c r="L1747" i="32"/>
  <c r="L1743" i="32"/>
  <c r="L1739" i="32"/>
  <c r="L1735" i="32"/>
  <c r="L1731" i="32"/>
  <c r="L1727" i="32"/>
  <c r="L1723" i="32"/>
  <c r="L1719" i="32"/>
  <c r="L1715" i="32"/>
  <c r="L1711" i="32"/>
  <c r="L1707" i="32"/>
  <c r="L1703" i="32"/>
  <c r="L1699" i="32"/>
  <c r="L1695" i="32"/>
  <c r="L1691" i="32"/>
  <c r="L1687" i="32"/>
  <c r="L1683" i="32"/>
  <c r="L1679" i="32"/>
  <c r="L1675" i="32"/>
  <c r="L1671" i="32"/>
  <c r="L1667" i="32"/>
  <c r="L1663" i="32"/>
  <c r="L1659" i="32"/>
  <c r="L1655" i="32"/>
  <c r="L1651" i="32"/>
  <c r="L1647" i="32"/>
  <c r="L1643" i="32"/>
  <c r="L1639" i="32"/>
  <c r="L1635" i="32"/>
  <c r="L1631" i="32"/>
  <c r="L1627" i="32"/>
  <c r="L1623" i="32"/>
  <c r="L1619" i="32"/>
  <c r="L1615" i="32"/>
  <c r="L1611" i="32"/>
  <c r="L1607" i="32"/>
  <c r="L1603" i="32"/>
  <c r="L1599" i="32"/>
  <c r="L1595" i="32"/>
  <c r="L1591" i="32"/>
  <c r="L1587" i="32"/>
  <c r="L1583" i="32"/>
  <c r="L1579" i="32"/>
  <c r="L1575" i="32"/>
  <c r="L1571" i="32"/>
  <c r="L1567" i="32"/>
  <c r="L1563" i="32"/>
  <c r="L1559" i="32"/>
  <c r="L1555" i="32"/>
  <c r="L1551" i="32"/>
  <c r="L1547" i="32"/>
  <c r="L1543" i="32"/>
  <c r="L1539" i="32"/>
  <c r="L1535" i="32"/>
  <c r="L1531" i="32"/>
  <c r="L1527" i="32"/>
  <c r="L1523" i="32"/>
  <c r="L1519" i="32"/>
  <c r="L1515" i="32"/>
  <c r="L1511" i="32"/>
  <c r="L1507" i="32"/>
  <c r="L1503" i="32"/>
  <c r="L1499" i="32"/>
  <c r="L1495" i="32"/>
  <c r="L1491" i="32"/>
  <c r="L1487" i="32"/>
  <c r="L1483" i="32"/>
  <c r="L1479" i="32"/>
  <c r="L1475" i="32"/>
  <c r="L1471" i="32"/>
  <c r="L1467" i="32"/>
  <c r="L1463" i="32"/>
  <c r="L1459" i="32"/>
  <c r="L1455" i="32"/>
  <c r="L1451" i="32"/>
  <c r="L1447" i="32"/>
  <c r="L1443" i="32"/>
  <c r="L1439" i="32"/>
  <c r="L1435" i="32"/>
  <c r="L1431" i="32"/>
  <c r="L1427" i="32"/>
  <c r="L1423" i="32"/>
  <c r="L1419" i="32"/>
  <c r="L1415" i="32"/>
  <c r="L1411" i="32"/>
  <c r="L1407" i="32"/>
  <c r="L1403" i="32"/>
  <c r="L1399" i="32"/>
  <c r="L1395" i="32"/>
  <c r="L1391" i="32"/>
  <c r="L1387" i="32"/>
  <c r="L1383" i="32"/>
  <c r="L1379" i="32"/>
  <c r="L1375" i="32"/>
  <c r="L1371" i="32"/>
  <c r="L1367" i="32"/>
  <c r="L1363" i="32"/>
  <c r="L1359" i="32"/>
  <c r="L1355" i="32"/>
  <c r="L1351" i="32"/>
  <c r="L1347" i="32"/>
  <c r="L1343" i="32"/>
  <c r="L1339" i="32"/>
  <c r="L1335" i="32"/>
  <c r="L1331" i="32"/>
  <c r="L1327" i="32"/>
  <c r="L1323" i="32"/>
  <c r="L1319" i="32"/>
  <c r="L1315" i="32"/>
  <c r="L1311" i="32"/>
  <c r="L1307" i="32"/>
  <c r="L1303" i="32"/>
  <c r="L1299" i="32"/>
  <c r="L1295" i="32"/>
  <c r="L1291" i="32"/>
  <c r="L1287" i="32"/>
  <c r="L1283" i="32"/>
  <c r="L1279" i="32"/>
  <c r="L1275" i="32"/>
  <c r="L1271" i="32"/>
  <c r="L1267" i="32"/>
  <c r="L1263" i="32"/>
  <c r="L1259" i="32"/>
  <c r="L1255" i="32"/>
  <c r="L1251" i="32"/>
  <c r="L1247" i="32"/>
  <c r="L1243" i="32"/>
  <c r="L1239" i="32"/>
  <c r="L1235" i="32"/>
  <c r="L1231" i="32"/>
  <c r="L1227" i="32"/>
  <c r="L1223" i="32"/>
  <c r="L1219" i="32"/>
  <c r="L1215" i="32"/>
  <c r="L1211" i="32"/>
  <c r="L1207" i="32"/>
  <c r="L1203" i="32"/>
  <c r="L1199" i="32"/>
  <c r="L1195" i="32"/>
  <c r="L1191" i="32"/>
  <c r="L1187" i="32"/>
  <c r="L1183" i="32"/>
  <c r="L1179" i="32"/>
  <c r="L1175" i="32"/>
  <c r="L1171" i="32"/>
  <c r="L1167" i="32"/>
  <c r="L1163" i="32"/>
  <c r="L1159" i="32"/>
  <c r="L1155" i="32"/>
  <c r="L1151" i="32"/>
  <c r="L1147" i="32"/>
  <c r="L1143" i="32"/>
  <c r="L1139" i="32"/>
  <c r="L1135" i="32"/>
  <c r="L1131" i="32"/>
  <c r="L1127" i="32"/>
  <c r="L1123" i="32"/>
  <c r="L1119" i="32"/>
  <c r="L1115" i="32"/>
  <c r="L1111" i="32"/>
  <c r="L1107" i="32"/>
  <c r="L1103" i="32"/>
  <c r="L1099" i="32"/>
  <c r="L1095" i="32"/>
  <c r="L1091" i="32"/>
  <c r="L1087" i="32"/>
  <c r="L1083" i="32"/>
  <c r="L1079" i="32"/>
  <c r="L1075" i="32"/>
  <c r="L1071" i="32"/>
  <c r="L1067" i="32"/>
  <c r="L1063" i="32"/>
  <c r="L1059" i="32"/>
  <c r="L2362" i="32"/>
  <c r="L2358" i="32"/>
  <c r="L2354" i="32"/>
  <c r="L2350" i="32"/>
  <c r="L2346" i="32"/>
  <c r="L2342" i="32"/>
  <c r="L2338" i="32"/>
  <c r="L2334" i="32"/>
  <c r="L2330" i="32"/>
  <c r="L2326" i="32"/>
  <c r="L2322" i="32"/>
  <c r="L2318" i="32"/>
  <c r="L2314" i="32"/>
  <c r="L2310" i="32"/>
  <c r="L2306" i="32"/>
  <c r="L2302" i="32"/>
  <c r="L2298" i="32"/>
  <c r="L2294" i="32"/>
  <c r="L2290" i="32"/>
  <c r="L2286" i="32"/>
  <c r="L2282" i="32"/>
  <c r="L2278" i="32"/>
  <c r="L2274" i="32"/>
  <c r="L2270" i="32"/>
  <c r="L2266" i="32"/>
  <c r="L2262" i="32"/>
  <c r="L2258" i="32"/>
  <c r="L2254" i="32"/>
  <c r="L2250" i="32"/>
  <c r="L2246" i="32"/>
  <c r="L2242" i="32"/>
  <c r="L2238" i="32"/>
  <c r="L2234" i="32"/>
  <c r="L2230" i="32"/>
  <c r="L2226" i="32"/>
  <c r="L2222" i="32"/>
  <c r="L2218" i="32"/>
  <c r="L2214" i="32"/>
  <c r="L2210" i="32"/>
  <c r="L2206" i="32"/>
  <c r="L2202" i="32"/>
  <c r="L2198" i="32"/>
  <c r="L2194" i="32"/>
  <c r="L2190" i="32"/>
  <c r="L2186" i="32"/>
  <c r="L2182" i="32"/>
  <c r="L2178" i="32"/>
  <c r="L2174" i="32"/>
  <c r="L2170" i="32"/>
  <c r="L2166" i="32"/>
  <c r="L2162" i="32"/>
  <c r="L2158" i="32"/>
  <c r="L2154" i="32"/>
  <c r="L2150" i="32"/>
  <c r="L2146" i="32"/>
  <c r="L2142" i="32"/>
  <c r="L2138" i="32"/>
  <c r="L2134" i="32"/>
  <c r="L2130" i="32"/>
  <c r="L2126" i="32"/>
  <c r="L2122" i="32"/>
  <c r="L2118" i="32"/>
  <c r="L2114" i="32"/>
  <c r="L2110" i="32"/>
  <c r="L2106" i="32"/>
  <c r="L2102" i="32"/>
  <c r="L2098" i="32"/>
  <c r="L2094" i="32"/>
  <c r="L2090" i="32"/>
  <c r="L2086" i="32"/>
  <c r="L2082" i="32"/>
  <c r="L2078" i="32"/>
  <c r="L2074" i="32"/>
  <c r="L2070" i="32"/>
  <c r="L2066" i="32"/>
  <c r="L2062" i="32"/>
  <c r="L2058" i="32"/>
  <c r="L2054" i="32"/>
  <c r="L2050" i="32"/>
  <c r="L2046" i="32"/>
  <c r="L2042" i="32"/>
  <c r="L2038" i="32"/>
  <c r="L2034" i="32"/>
  <c r="L2030" i="32"/>
  <c r="L2026" i="32"/>
  <c r="L2022" i="32"/>
  <c r="L2018" i="32"/>
  <c r="L2014" i="32"/>
  <c r="L2010" i="32"/>
  <c r="L2006" i="32"/>
  <c r="L2002" i="32"/>
  <c r="L1998" i="32"/>
  <c r="L1994" i="32"/>
  <c r="L1990" i="32"/>
  <c r="L1986" i="32"/>
  <c r="L1982" i="32"/>
  <c r="L1978" i="32"/>
  <c r="L1974" i="32"/>
  <c r="L1970" i="32"/>
  <c r="L1966" i="32"/>
  <c r="L1962" i="32"/>
  <c r="L1958" i="32"/>
  <c r="L1954" i="32"/>
  <c r="L1950" i="32"/>
  <c r="L1946" i="32"/>
  <c r="L1942" i="32"/>
  <c r="L1938" i="32"/>
  <c r="L1934" i="32"/>
  <c r="L1930" i="32"/>
  <c r="L1926" i="32"/>
  <c r="L1922" i="32"/>
  <c r="L1918" i="32"/>
  <c r="L1914" i="32"/>
  <c r="L1910" i="32"/>
  <c r="L1906" i="32"/>
  <c r="L1902" i="32"/>
  <c r="L1898" i="32"/>
  <c r="L1894" i="32"/>
  <c r="L1890" i="32"/>
  <c r="L1886" i="32"/>
  <c r="L1882" i="32"/>
  <c r="L1878" i="32"/>
  <c r="L1874" i="32"/>
  <c r="L1870" i="32"/>
  <c r="L1866" i="32"/>
  <c r="L1862" i="32"/>
  <c r="L1858" i="32"/>
  <c r="L1854" i="32"/>
  <c r="L1850" i="32"/>
  <c r="L1846" i="32"/>
  <c r="L1842" i="32"/>
  <c r="L1838" i="32"/>
  <c r="L1834" i="32"/>
  <c r="L1830" i="32"/>
  <c r="L1826" i="32"/>
  <c r="L1822" i="32"/>
  <c r="L1818" i="32"/>
  <c r="L1814" i="32"/>
  <c r="L1810" i="32"/>
  <c r="L1806" i="32"/>
  <c r="L1802" i="32"/>
  <c r="L1798" i="32"/>
  <c r="L1794" i="32"/>
  <c r="L1790" i="32"/>
  <c r="L1786" i="32"/>
  <c r="L1782" i="32"/>
  <c r="L1778" i="32"/>
  <c r="L1774" i="32"/>
  <c r="L1770" i="32"/>
  <c r="L1766" i="32"/>
  <c r="L1762" i="32"/>
  <c r="L1758" i="32"/>
  <c r="L1754" i="32"/>
  <c r="L1750" i="32"/>
  <c r="L1746" i="32"/>
  <c r="L1742" i="32"/>
  <c r="L1738" i="32"/>
  <c r="L1734" i="32"/>
  <c r="L1730" i="32"/>
  <c r="L1726" i="32"/>
  <c r="L1722" i="32"/>
  <c r="L1718" i="32"/>
  <c r="L1714" i="32"/>
  <c r="L1710" i="32"/>
  <c r="L1706" i="32"/>
  <c r="L1702" i="32"/>
  <c r="L1698" i="32"/>
  <c r="L1694" i="32"/>
  <c r="L1690" i="32"/>
  <c r="L1686" i="32"/>
  <c r="L1682" i="32"/>
  <c r="L1678" i="32"/>
  <c r="L1674" i="32"/>
  <c r="L1670" i="32"/>
  <c r="L1666" i="32"/>
  <c r="L1662" i="32"/>
  <c r="L1658" i="32"/>
  <c r="L1654" i="32"/>
  <c r="L1650" i="32"/>
  <c r="L1646" i="32"/>
  <c r="L1642" i="32"/>
  <c r="L1638" i="32"/>
  <c r="L1634" i="32"/>
  <c r="L1630" i="32"/>
  <c r="L1626" i="32"/>
  <c r="L1622" i="32"/>
  <c r="L1618" i="32"/>
  <c r="L1614" i="32"/>
  <c r="L1610" i="32"/>
  <c r="L1606" i="32"/>
  <c r="L1602" i="32"/>
  <c r="L1598" i="32"/>
  <c r="L1594" i="32"/>
  <c r="L1590" i="32"/>
  <c r="L1586" i="32"/>
  <c r="L1582" i="32"/>
  <c r="L1578" i="32"/>
  <c r="L1574" i="32"/>
  <c r="L1570" i="32"/>
  <c r="L1566" i="32"/>
  <c r="L1562" i="32"/>
  <c r="L1558" i="32"/>
  <c r="L1554" i="32"/>
  <c r="L1550" i="32"/>
  <c r="L1546" i="32"/>
  <c r="L1542" i="32"/>
  <c r="L1538" i="32"/>
  <c r="L1534" i="32"/>
  <c r="L1530" i="32"/>
  <c r="L1526" i="32"/>
  <c r="L1522" i="32"/>
  <c r="L1518" i="32"/>
  <c r="L1514" i="32"/>
  <c r="L1510" i="32"/>
  <c r="L1506" i="32"/>
  <c r="L1502" i="32"/>
  <c r="L1498" i="32"/>
  <c r="L1494" i="32"/>
  <c r="L1490" i="32"/>
  <c r="L1486" i="32"/>
  <c r="L1482" i="32"/>
  <c r="L1478" i="32"/>
  <c r="L1474" i="32"/>
  <c r="L1470" i="32"/>
  <c r="L1466" i="32"/>
  <c r="L1462" i="32"/>
  <c r="L1458" i="32"/>
  <c r="L1454" i="32"/>
  <c r="L1450" i="32"/>
  <c r="L1446" i="32"/>
  <c r="L1442" i="32"/>
  <c r="L1438" i="32"/>
  <c r="L1434" i="32"/>
  <c r="L1430" i="32"/>
  <c r="L1426" i="32"/>
  <c r="L1422" i="32"/>
  <c r="L1418" i="32"/>
  <c r="L1414" i="32"/>
  <c r="L1410" i="32"/>
  <c r="L1406" i="32"/>
  <c r="L1402" i="32"/>
  <c r="L1398" i="32"/>
  <c r="L1394" i="32"/>
  <c r="L1390" i="32"/>
  <c r="L1386" i="32"/>
  <c r="L1382" i="32"/>
  <c r="L1378" i="32"/>
  <c r="L1374" i="32"/>
  <c r="L1370" i="32"/>
  <c r="L1366" i="32"/>
  <c r="L1362" i="32"/>
  <c r="L1358" i="32"/>
  <c r="L1354" i="32"/>
  <c r="L1350" i="32"/>
  <c r="L1346" i="32"/>
  <c r="L1342" i="32"/>
  <c r="L1338" i="32"/>
  <c r="L1334" i="32"/>
  <c r="L1330" i="32"/>
  <c r="L1326" i="32"/>
  <c r="L1322" i="32"/>
  <c r="L1318" i="32"/>
  <c r="L1314" i="32"/>
  <c r="L1310" i="32"/>
  <c r="L1306" i="32"/>
  <c r="L1302" i="32"/>
  <c r="L1298" i="32"/>
  <c r="L1294" i="32"/>
  <c r="L1290" i="32"/>
  <c r="L1286" i="32"/>
  <c r="L1282" i="32"/>
  <c r="L1278" i="32"/>
  <c r="L1274" i="32"/>
  <c r="L1270" i="32"/>
  <c r="L1266" i="32"/>
  <c r="L1262" i="32"/>
  <c r="L1258" i="32"/>
  <c r="L1254" i="32"/>
  <c r="L1250" i="32"/>
  <c r="L1246" i="32"/>
  <c r="L1242" i="32"/>
  <c r="L1238" i="32"/>
  <c r="L1234" i="32"/>
  <c r="L1230" i="32"/>
  <c r="L1226" i="32"/>
  <c r="L1222" i="32"/>
  <c r="L1218" i="32"/>
  <c r="L1214" i="32"/>
  <c r="L1210" i="32"/>
  <c r="L1206" i="32"/>
  <c r="L1202" i="32"/>
  <c r="L1198" i="32"/>
  <c r="L1194" i="32"/>
  <c r="L1190" i="32"/>
  <c r="L1186" i="32"/>
  <c r="L1182" i="32"/>
  <c r="L1178" i="32"/>
  <c r="L1174" i="32"/>
  <c r="L1170" i="32"/>
  <c r="L1166" i="32"/>
  <c r="L1162" i="32"/>
  <c r="L1158" i="32"/>
  <c r="L1154" i="32"/>
  <c r="L1150" i="32"/>
  <c r="L1146" i="32"/>
  <c r="L1142" i="32"/>
  <c r="L1138" i="32"/>
  <c r="L1134" i="32"/>
  <c r="L1130" i="32"/>
  <c r="L1126" i="32"/>
  <c r="L1122" i="32"/>
  <c r="L1118" i="32"/>
  <c r="L1114" i="32"/>
  <c r="L1110" i="32"/>
  <c r="L1106" i="32"/>
  <c r="L1102" i="32"/>
  <c r="L1098" i="32"/>
  <c r="L1094" i="32"/>
  <c r="L1090" i="32"/>
  <c r="L1086" i="32"/>
  <c r="L1082" i="32"/>
  <c r="L1078" i="32"/>
  <c r="L1074" i="32"/>
  <c r="L1070" i="32"/>
  <c r="L1066" i="32"/>
  <c r="L1062" i="32"/>
  <c r="L1058" i="32"/>
  <c r="L1054" i="32"/>
  <c r="L1050" i="32"/>
  <c r="L1046" i="32"/>
  <c r="L1042" i="32"/>
  <c r="L1038" i="32"/>
  <c r="L1034" i="32"/>
  <c r="L1030" i="32"/>
  <c r="L1026" i="32"/>
  <c r="L1022" i="32"/>
  <c r="L1018" i="32"/>
  <c r="L1014" i="32"/>
  <c r="L1010" i="32"/>
  <c r="L1006" i="32"/>
  <c r="L1002" i="32"/>
  <c r="L993" i="32"/>
  <c r="L989" i="32"/>
  <c r="L985" i="32"/>
  <c r="L981" i="32"/>
  <c r="L977" i="32"/>
  <c r="L973" i="32"/>
  <c r="L969" i="32"/>
  <c r="L965" i="32"/>
  <c r="L961" i="32"/>
  <c r="L957" i="32"/>
  <c r="L953" i="32"/>
  <c r="L949" i="32"/>
  <c r="L945" i="32"/>
  <c r="L941" i="32"/>
  <c r="L937" i="32"/>
  <c r="L933" i="32"/>
  <c r="L929" i="32"/>
  <c r="L925" i="32"/>
  <c r="L921" i="32"/>
  <c r="L917" i="32"/>
  <c r="L913" i="32"/>
  <c r="L909" i="32"/>
  <c r="L905" i="32"/>
  <c r="L901" i="32"/>
  <c r="L897" i="32"/>
  <c r="L893" i="32"/>
  <c r="L889" i="32"/>
  <c r="L885" i="32"/>
  <c r="L881" i="32"/>
  <c r="L877" i="32"/>
  <c r="L873" i="32"/>
  <c r="L869" i="32"/>
  <c r="L865" i="32"/>
  <c r="L861" i="32"/>
  <c r="L857" i="32"/>
  <c r="L853" i="32"/>
  <c r="L849" i="32"/>
  <c r="L845" i="32"/>
  <c r="L841" i="32"/>
  <c r="L837" i="32"/>
  <c r="L833" i="32"/>
  <c r="L829" i="32"/>
  <c r="L825" i="32"/>
  <c r="L821" i="32"/>
  <c r="L817" i="32"/>
  <c r="L813" i="32"/>
  <c r="L809" i="32"/>
  <c r="L805" i="32"/>
  <c r="L801" i="32"/>
  <c r="L797" i="32"/>
  <c r="L793" i="32"/>
  <c r="L789" i="32"/>
  <c r="L785" i="32"/>
  <c r="L781" i="32"/>
  <c r="L777" i="32"/>
  <c r="L773" i="32"/>
  <c r="L769" i="32"/>
  <c r="L765" i="32"/>
  <c r="L761" i="32"/>
  <c r="L757" i="32"/>
  <c r="L753" i="32"/>
  <c r="L749" i="32"/>
  <c r="L745" i="32"/>
  <c r="L741" i="32"/>
  <c r="L737" i="32"/>
  <c r="L733" i="32"/>
  <c r="L729" i="32"/>
  <c r="L725" i="32"/>
  <c r="L721" i="32"/>
  <c r="L717" i="32"/>
  <c r="L713" i="32"/>
  <c r="L709" i="32"/>
  <c r="L705" i="32"/>
  <c r="L701" i="32"/>
  <c r="L697" i="32"/>
  <c r="L693" i="32"/>
  <c r="L689" i="32"/>
  <c r="L685" i="32"/>
  <c r="L681" i="32"/>
  <c r="L677" i="32"/>
  <c r="L673" i="32"/>
  <c r="L669" i="32"/>
  <c r="L665" i="32"/>
  <c r="L661" i="32"/>
  <c r="L657" i="32"/>
  <c r="L653" i="32"/>
  <c r="L649" i="32"/>
  <c r="L645" i="32"/>
  <c r="L641" i="32"/>
  <c r="L637" i="32"/>
  <c r="L633" i="32"/>
  <c r="L629" i="32"/>
  <c r="L625" i="32"/>
  <c r="L621" i="32"/>
  <c r="L617" i="32"/>
  <c r="L613" i="32"/>
  <c r="L609" i="32"/>
  <c r="L605" i="32"/>
  <c r="L2240" i="32"/>
  <c r="L2236" i="32"/>
  <c r="L2232" i="32"/>
  <c r="L2228" i="32"/>
  <c r="L2224" i="32"/>
  <c r="L2220" i="32"/>
  <c r="L2216" i="32"/>
  <c r="L2212" i="32"/>
  <c r="L2208" i="32"/>
  <c r="L2204" i="32"/>
  <c r="L2200" i="32"/>
  <c r="L2196" i="32"/>
  <c r="L2192" i="32"/>
  <c r="L2188" i="32"/>
  <c r="L2184" i="32"/>
  <c r="L2180" i="32"/>
  <c r="L2176" i="32"/>
  <c r="L2172" i="32"/>
  <c r="L2168" i="32"/>
  <c r="L2164" i="32"/>
  <c r="L2160" i="32"/>
  <c r="L2156" i="32"/>
  <c r="L2152" i="32"/>
  <c r="L2148" i="32"/>
  <c r="L2144" i="32"/>
  <c r="L2140" i="32"/>
  <c r="L2136" i="32"/>
  <c r="L2132" i="32"/>
  <c r="L2128" i="32"/>
  <c r="L2124" i="32"/>
  <c r="L2120" i="32"/>
  <c r="L2116" i="32"/>
  <c r="L2112" i="32"/>
  <c r="L2108" i="32"/>
  <c r="L2104" i="32"/>
  <c r="L2100" i="32"/>
  <c r="L2096" i="32"/>
  <c r="L2092" i="32"/>
  <c r="L2088" i="32"/>
  <c r="L2084" i="32"/>
  <c r="L2080" i="32"/>
  <c r="L2076" i="32"/>
  <c r="L2072" i="32"/>
  <c r="L2068" i="32"/>
  <c r="L2064" i="32"/>
  <c r="L2060" i="32"/>
  <c r="L2056" i="32"/>
  <c r="L2052" i="32"/>
  <c r="L2048" i="32"/>
  <c r="L2044" i="32"/>
  <c r="L2040" i="32"/>
  <c r="L2036" i="32"/>
  <c r="L2032" i="32"/>
  <c r="L2028" i="32"/>
  <c r="L2024" i="32"/>
  <c r="L2020" i="32"/>
  <c r="L2016" i="32"/>
  <c r="L2012" i="32"/>
  <c r="L2008" i="32"/>
  <c r="L2004" i="32"/>
  <c r="L2000" i="32"/>
  <c r="L1996" i="32"/>
  <c r="L1992" i="32"/>
  <c r="L1988" i="32"/>
  <c r="L1984" i="32"/>
  <c r="L1980" i="32"/>
  <c r="L1976" i="32"/>
  <c r="L1972" i="32"/>
  <c r="L1968" i="32"/>
  <c r="L1964" i="32"/>
  <c r="L1960" i="32"/>
  <c r="L1956" i="32"/>
  <c r="L1952" i="32"/>
  <c r="L1948" i="32"/>
  <c r="L1944" i="32"/>
  <c r="L1940" i="32"/>
  <c r="L1936" i="32"/>
  <c r="L1932" i="32"/>
  <c r="L1928" i="32"/>
  <c r="L1924" i="32"/>
  <c r="L1920" i="32"/>
  <c r="L1916" i="32"/>
  <c r="L1912" i="32"/>
  <c r="L1908" i="32"/>
  <c r="L1904" i="32"/>
  <c r="L1900" i="32"/>
  <c r="L1896" i="32"/>
  <c r="L1892" i="32"/>
  <c r="L1888" i="32"/>
  <c r="L1884" i="32"/>
  <c r="L1880" i="32"/>
  <c r="L1876" i="32"/>
  <c r="L1872" i="32"/>
  <c r="L1868" i="32"/>
  <c r="L1864" i="32"/>
  <c r="L1860" i="32"/>
  <c r="L1856" i="32"/>
  <c r="L1852" i="32"/>
  <c r="L1848" i="32"/>
  <c r="L1844" i="32"/>
  <c r="L1840" i="32"/>
  <c r="L1836" i="32"/>
  <c r="L1832" i="32"/>
  <c r="L1828" i="32"/>
  <c r="L1824" i="32"/>
  <c r="L1820" i="32"/>
  <c r="L1816" i="32"/>
  <c r="L1812" i="32"/>
  <c r="L1808" i="32"/>
  <c r="L1804" i="32"/>
  <c r="L1800" i="32"/>
  <c r="L1796" i="32"/>
  <c r="L1792" i="32"/>
  <c r="L1788" i="32"/>
  <c r="L1784" i="32"/>
  <c r="L1780" i="32"/>
  <c r="L1776" i="32"/>
  <c r="L1772" i="32"/>
  <c r="L1768" i="32"/>
  <c r="L1764" i="32"/>
  <c r="L1760" i="32"/>
  <c r="L1756" i="32"/>
  <c r="L1752" i="32"/>
  <c r="L1748" i="32"/>
  <c r="L1744" i="32"/>
  <c r="L1740" i="32"/>
  <c r="L1736" i="32"/>
  <c r="L1732" i="32"/>
  <c r="L1728" i="32"/>
  <c r="L1724" i="32"/>
  <c r="L1720" i="32"/>
  <c r="L1716" i="32"/>
  <c r="L1712" i="32"/>
  <c r="L1708" i="32"/>
  <c r="L1704" i="32"/>
  <c r="L1700" i="32"/>
  <c r="L1696" i="32"/>
  <c r="L1692" i="32"/>
  <c r="L1688" i="32"/>
  <c r="L1684" i="32"/>
  <c r="L1680" i="32"/>
  <c r="L1676" i="32"/>
  <c r="L1672" i="32"/>
  <c r="L1668" i="32"/>
  <c r="L1664" i="32"/>
  <c r="L1660" i="32"/>
  <c r="L1656" i="32"/>
  <c r="L1652" i="32"/>
  <c r="L1648" i="32"/>
  <c r="L1644" i="32"/>
  <c r="L1640" i="32"/>
  <c r="L1636" i="32"/>
  <c r="L1632" i="32"/>
  <c r="L1628" i="32"/>
  <c r="L1624" i="32"/>
  <c r="L1620" i="32"/>
  <c r="L1616" i="32"/>
  <c r="L1612" i="32"/>
  <c r="L1608" i="32"/>
  <c r="L1604" i="32"/>
  <c r="L1600" i="32"/>
  <c r="L1596" i="32"/>
  <c r="L1592" i="32"/>
  <c r="L1588" i="32"/>
  <c r="L1584" i="32"/>
  <c r="L1580" i="32"/>
  <c r="L1576" i="32"/>
  <c r="L1572" i="32"/>
  <c r="L1568" i="32"/>
  <c r="L1564" i="32"/>
  <c r="L1560" i="32"/>
  <c r="L1556" i="32"/>
  <c r="L1552" i="32"/>
  <c r="L1548" i="32"/>
  <c r="L1544" i="32"/>
  <c r="L1540" i="32"/>
  <c r="L1536" i="32"/>
  <c r="L1532" i="32"/>
  <c r="L1528" i="32"/>
  <c r="L1524" i="32"/>
  <c r="L1520" i="32"/>
  <c r="L1516" i="32"/>
  <c r="L1512" i="32"/>
  <c r="L1508" i="32"/>
  <c r="L1504" i="32"/>
  <c r="L1500" i="32"/>
  <c r="L1496" i="32"/>
  <c r="L1492" i="32"/>
  <c r="L1488" i="32"/>
  <c r="L1484" i="32"/>
  <c r="L1480" i="32"/>
  <c r="L1476" i="32"/>
  <c r="L1472" i="32"/>
  <c r="L1468" i="32"/>
  <c r="L1464" i="32"/>
  <c r="L1460" i="32"/>
  <c r="L1456" i="32"/>
  <c r="L1452" i="32"/>
  <c r="L1448" i="32"/>
  <c r="L1444" i="32"/>
  <c r="L1440" i="32"/>
  <c r="L1436" i="32"/>
  <c r="L1432" i="32"/>
  <c r="L1428" i="32"/>
  <c r="L1424" i="32"/>
  <c r="L1420" i="32"/>
  <c r="L1416" i="32"/>
  <c r="L1412" i="32"/>
  <c r="L1408" i="32"/>
  <c r="L1404" i="32"/>
  <c r="L1400" i="32"/>
  <c r="L1396" i="32"/>
  <c r="L1392" i="32"/>
  <c r="L1388" i="32"/>
  <c r="L1384" i="32"/>
  <c r="L1380" i="32"/>
  <c r="L1376" i="32"/>
  <c r="L1372" i="32"/>
  <c r="L1368" i="32"/>
  <c r="L1364" i="32"/>
  <c r="L1360" i="32"/>
  <c r="L1356" i="32"/>
  <c r="L1352" i="32"/>
  <c r="L1348" i="32"/>
  <c r="L1344" i="32"/>
  <c r="L1340" i="32"/>
  <c r="L1336" i="32"/>
  <c r="L1332" i="32"/>
  <c r="L1328" i="32"/>
  <c r="L1324" i="32"/>
  <c r="L1320" i="32"/>
  <c r="L1316" i="32"/>
  <c r="L1312" i="32"/>
  <c r="L1308" i="32"/>
  <c r="L1304" i="32"/>
  <c r="L1300" i="32"/>
  <c r="L1296" i="32"/>
  <c r="L1292" i="32"/>
  <c r="L1288" i="32"/>
  <c r="L1284" i="32"/>
  <c r="L1280" i="32"/>
  <c r="L1276" i="32"/>
  <c r="L1272" i="32"/>
  <c r="L1268" i="32"/>
  <c r="L1264" i="32"/>
  <c r="L1260" i="32"/>
  <c r="L1256" i="32"/>
  <c r="L1252" i="32"/>
  <c r="L1248" i="32"/>
  <c r="L1244" i="32"/>
  <c r="L1240" i="32"/>
  <c r="L1236" i="32"/>
  <c r="L1232" i="32"/>
  <c r="L1228" i="32"/>
  <c r="L1224" i="32"/>
  <c r="L1220" i="32"/>
  <c r="L1216" i="32"/>
  <c r="L1212" i="32"/>
  <c r="L1208" i="32"/>
  <c r="L1204" i="32"/>
  <c r="L1200" i="32"/>
  <c r="L1196" i="32"/>
  <c r="L1192" i="32"/>
  <c r="L1188" i="32"/>
  <c r="L1184" i="32"/>
  <c r="L1180" i="32"/>
  <c r="L1176" i="32"/>
  <c r="L1172" i="32"/>
  <c r="L1168" i="32"/>
  <c r="L1164" i="32"/>
  <c r="L1160" i="32"/>
  <c r="L1156" i="32"/>
  <c r="L1152" i="32"/>
  <c r="L1148" i="32"/>
  <c r="L1144" i="32"/>
  <c r="L1140" i="32"/>
  <c r="L1136" i="32"/>
  <c r="L1132" i="32"/>
  <c r="L1128" i="32"/>
  <c r="L1124" i="32"/>
  <c r="L1120" i="32"/>
  <c r="L1116" i="32"/>
  <c r="L1112" i="32"/>
  <c r="L1108" i="32"/>
  <c r="L1104" i="32"/>
  <c r="L1100" i="32"/>
  <c r="L1096" i="32"/>
  <c r="L1092" i="32"/>
  <c r="L1088" i="32"/>
  <c r="L1084" i="32"/>
  <c r="L1080" i="32"/>
  <c r="L1076" i="32"/>
  <c r="L1072" i="32"/>
  <c r="L1068" i="32"/>
  <c r="L1064" i="32"/>
  <c r="L1060" i="32"/>
  <c r="L1056" i="32"/>
  <c r="L1052" i="32"/>
  <c r="L1048" i="32"/>
  <c r="L1044" i="32"/>
  <c r="L1040" i="32"/>
  <c r="L1036" i="32"/>
  <c r="L1032" i="32"/>
  <c r="L1028" i="32"/>
  <c r="L1024" i="32"/>
  <c r="L1020" i="32"/>
  <c r="L1016" i="32"/>
  <c r="L1012" i="32"/>
  <c r="L1008" i="32"/>
  <c r="L1055" i="32"/>
  <c r="L1051" i="32"/>
  <c r="L1047" i="32"/>
  <c r="L1043" i="32"/>
  <c r="L1039" i="32"/>
  <c r="L1035" i="32"/>
  <c r="L1031" i="32"/>
  <c r="L1027" i="32"/>
  <c r="L1023" i="32"/>
  <c r="L1019" i="32"/>
  <c r="L1015" i="32"/>
  <c r="L1011" i="32"/>
  <c r="L1007" i="32"/>
  <c r="L1003" i="32"/>
  <c r="L999" i="32"/>
  <c r="L995" i="32"/>
  <c r="L991" i="32"/>
  <c r="L987" i="32"/>
  <c r="L983" i="32"/>
  <c r="L979" i="32"/>
  <c r="L975" i="32"/>
  <c r="L971" i="32"/>
  <c r="L967" i="32"/>
  <c r="L963" i="32"/>
  <c r="L959" i="32"/>
  <c r="L955" i="32"/>
  <c r="L951" i="32"/>
  <c r="L947" i="32"/>
  <c r="L943" i="32"/>
  <c r="L939" i="32"/>
  <c r="L935" i="32"/>
  <c r="L931" i="32"/>
  <c r="L927" i="32"/>
  <c r="L923" i="32"/>
  <c r="L919" i="32"/>
  <c r="L915" i="32"/>
  <c r="L911" i="32"/>
  <c r="L907" i="32"/>
  <c r="L903" i="32"/>
  <c r="L899" i="32"/>
  <c r="L895" i="32"/>
  <c r="L891" i="32"/>
  <c r="L887" i="32"/>
  <c r="L883" i="32"/>
  <c r="L879" i="32"/>
  <c r="L875" i="32"/>
  <c r="L871" i="32"/>
  <c r="L867" i="32"/>
  <c r="L863" i="32"/>
  <c r="L859" i="32"/>
  <c r="L855" i="32"/>
  <c r="L851" i="32"/>
  <c r="L847" i="32"/>
  <c r="L843" i="32"/>
  <c r="L839" i="32"/>
  <c r="L835" i="32"/>
  <c r="L831" i="32"/>
  <c r="L827" i="32"/>
  <c r="L823" i="32"/>
  <c r="L819" i="32"/>
  <c r="L815" i="32"/>
  <c r="L811" i="32"/>
  <c r="L807" i="32"/>
  <c r="L803" i="32"/>
  <c r="L799" i="32"/>
  <c r="L795" i="32"/>
  <c r="L791" i="32"/>
  <c r="L787" i="32"/>
  <c r="L783" i="32"/>
  <c r="L779" i="32"/>
  <c r="L775" i="32"/>
  <c r="L771" i="32"/>
  <c r="L767" i="32"/>
  <c r="L763" i="32"/>
  <c r="L759" i="32"/>
  <c r="L755" i="32"/>
  <c r="L751" i="32"/>
  <c r="L747" i="32"/>
  <c r="L743" i="32"/>
  <c r="L739" i="32"/>
  <c r="L735" i="32"/>
  <c r="L731" i="32"/>
  <c r="L727" i="32"/>
  <c r="L723" i="32"/>
  <c r="L719" i="32"/>
  <c r="L715" i="32"/>
  <c r="L711" i="32"/>
  <c r="L707" i="32"/>
  <c r="L703" i="32"/>
  <c r="L699" i="32"/>
  <c r="L695" i="32"/>
  <c r="L691" i="32"/>
  <c r="L687" i="32"/>
  <c r="L683" i="32"/>
  <c r="L679" i="32"/>
  <c r="L675" i="32"/>
  <c r="L671" i="32"/>
  <c r="L667" i="32"/>
  <c r="L663" i="32"/>
  <c r="L659" i="32"/>
  <c r="L655" i="32"/>
  <c r="L651" i="32"/>
  <c r="L647" i="32"/>
  <c r="L643" i="32"/>
  <c r="L639" i="32"/>
  <c r="L635" i="32"/>
  <c r="L631" i="32"/>
  <c r="L627" i="32"/>
  <c r="L998" i="32"/>
  <c r="L994" i="32"/>
  <c r="L990" i="32"/>
  <c r="L986" i="32"/>
  <c r="L982" i="32"/>
  <c r="L978" i="32"/>
  <c r="L974" i="32"/>
  <c r="L970" i="32"/>
  <c r="L966" i="32"/>
  <c r="L962" i="32"/>
  <c r="L958" i="32"/>
  <c r="L954" i="32"/>
  <c r="L950" i="32"/>
  <c r="L946" i="32"/>
  <c r="L942" i="32"/>
  <c r="L938" i="32"/>
  <c r="L934" i="32"/>
  <c r="L930" i="32"/>
  <c r="L926" i="32"/>
  <c r="L922" i="32"/>
  <c r="L918" i="32"/>
  <c r="L914" i="32"/>
  <c r="L910" i="32"/>
  <c r="L906" i="32"/>
  <c r="L902" i="32"/>
  <c r="L898" i="32"/>
  <c r="L894" i="32"/>
  <c r="L890" i="32"/>
  <c r="L886" i="32"/>
  <c r="L882" i="32"/>
  <c r="L878" i="32"/>
  <c r="L874" i="32"/>
  <c r="L870" i="32"/>
  <c r="L866" i="32"/>
  <c r="L862" i="32"/>
  <c r="L858" i="32"/>
  <c r="L854" i="32"/>
  <c r="L850" i="32"/>
  <c r="L846" i="32"/>
  <c r="L842" i="32"/>
  <c r="L838" i="32"/>
  <c r="L834" i="32"/>
  <c r="L830" i="32"/>
  <c r="L826" i="32"/>
  <c r="L822" i="32"/>
  <c r="L818" i="32"/>
  <c r="L814" i="32"/>
  <c r="L810" i="32"/>
  <c r="L806" i="32"/>
  <c r="L802" i="32"/>
  <c r="L798" i="32"/>
  <c r="L794" i="32"/>
  <c r="L790" i="32"/>
  <c r="L786" i="32"/>
  <c r="L782" i="32"/>
  <c r="L778" i="32"/>
  <c r="L774" i="32"/>
  <c r="L770" i="32"/>
  <c r="L766" i="32"/>
  <c r="L762" i="32"/>
  <c r="L758" i="32"/>
  <c r="L754" i="32"/>
  <c r="L750" i="32"/>
  <c r="L746" i="32"/>
  <c r="L742" i="32"/>
  <c r="L738" i="32"/>
  <c r="L734" i="32"/>
  <c r="L730" i="32"/>
  <c r="L726" i="32"/>
  <c r="L722" i="32"/>
  <c r="L718" i="32"/>
  <c r="L714" i="32"/>
  <c r="L710" i="32"/>
  <c r="L706" i="32"/>
  <c r="L702" i="32"/>
  <c r="L698" i="32"/>
  <c r="L694" i="32"/>
  <c r="L690" i="32"/>
  <c r="L686" i="32"/>
  <c r="L682" i="32"/>
  <c r="L678" i="32"/>
  <c r="L674" i="32"/>
  <c r="L670" i="32"/>
  <c r="L666" i="32"/>
  <c r="L662" i="32"/>
  <c r="L658" i="32"/>
  <c r="L654" i="32"/>
  <c r="L650" i="32"/>
  <c r="L646" i="32"/>
  <c r="L642" i="32"/>
  <c r="L638" i="32"/>
  <c r="L634" i="32"/>
  <c r="L630" i="32"/>
  <c r="L626" i="32"/>
  <c r="L622" i="32"/>
  <c r="L618" i="32"/>
  <c r="L614" i="32"/>
  <c r="L610" i="32"/>
  <c r="L606" i="32"/>
  <c r="L602" i="32"/>
  <c r="L598" i="32"/>
  <c r="L594" i="32"/>
  <c r="L590" i="32"/>
  <c r="L586" i="32"/>
  <c r="L582" i="32"/>
  <c r="L578" i="32"/>
  <c r="L574" i="32"/>
  <c r="L570" i="32"/>
  <c r="L566" i="32"/>
  <c r="L562" i="32"/>
  <c r="L558" i="32"/>
  <c r="L554" i="32"/>
  <c r="L550" i="32"/>
  <c r="L546" i="32"/>
  <c r="L542" i="32"/>
  <c r="L538" i="32"/>
  <c r="L534" i="32"/>
  <c r="L530" i="32"/>
  <c r="L526" i="32"/>
  <c r="L522" i="32"/>
  <c r="L518" i="32"/>
  <c r="L514" i="32"/>
  <c r="L510" i="32"/>
  <c r="L506" i="32"/>
  <c r="L502" i="32"/>
  <c r="L498" i="32"/>
  <c r="L494" i="32"/>
  <c r="L490" i="32"/>
  <c r="L486" i="32"/>
  <c r="L482" i="32"/>
  <c r="L478" i="32"/>
  <c r="L474" i="32"/>
  <c r="L470" i="32"/>
  <c r="L466" i="32"/>
  <c r="L462" i="32"/>
  <c r="L458" i="32"/>
  <c r="L454" i="32"/>
  <c r="L450" i="32"/>
  <c r="L446" i="32"/>
  <c r="L442" i="32"/>
  <c r="L438" i="32"/>
  <c r="L434" i="32"/>
  <c r="L430" i="32"/>
  <c r="L426" i="32"/>
  <c r="L422" i="32"/>
  <c r="L418" i="32"/>
  <c r="L414" i="32"/>
  <c r="L410" i="32"/>
  <c r="L406" i="32"/>
  <c r="L402" i="32"/>
  <c r="L601" i="32"/>
  <c r="L597" i="32"/>
  <c r="L593" i="32"/>
  <c r="L589" i="32"/>
  <c r="L585" i="32"/>
  <c r="L581" i="32"/>
  <c r="L577" i="32"/>
  <c r="L573" i="32"/>
  <c r="L569" i="32"/>
  <c r="L565" i="32"/>
  <c r="L561" i="32"/>
  <c r="L557" i="32"/>
  <c r="L553" i="32"/>
  <c r="L549" i="32"/>
  <c r="L545" i="32"/>
  <c r="L541" i="32"/>
  <c r="L537" i="32"/>
  <c r="L533" i="32"/>
  <c r="L529" i="32"/>
  <c r="L525" i="32"/>
  <c r="L521" i="32"/>
  <c r="L517" i="32"/>
  <c r="L513" i="32"/>
  <c r="L509" i="32"/>
  <c r="L505" i="32"/>
  <c r="L501" i="32"/>
  <c r="L497" i="32"/>
  <c r="L493" i="32"/>
  <c r="L489" i="32"/>
  <c r="L485" i="32"/>
  <c r="L481" i="32"/>
  <c r="L477" i="32"/>
  <c r="L473" i="32"/>
  <c r="L469" i="32"/>
  <c r="L465" i="32"/>
  <c r="L461" i="32"/>
  <c r="L457" i="32"/>
  <c r="L453" i="32"/>
  <c r="L449" i="32"/>
  <c r="L445" i="32"/>
  <c r="L441" i="32"/>
  <c r="L437" i="32"/>
  <c r="L433" i="32"/>
  <c r="L429" i="32"/>
  <c r="L425" i="32"/>
  <c r="L421" i="32"/>
  <c r="L417" i="32"/>
  <c r="L413" i="32"/>
  <c r="L409" i="32"/>
  <c r="L405" i="32"/>
  <c r="L401" i="32"/>
  <c r="L1004" i="32"/>
  <c r="L1000" i="32"/>
  <c r="L996" i="32"/>
  <c r="L992" i="32"/>
  <c r="L988" i="32"/>
  <c r="L984" i="32"/>
  <c r="L980" i="32"/>
  <c r="L976" i="32"/>
  <c r="L972" i="32"/>
  <c r="L968" i="32"/>
  <c r="L964" i="32"/>
  <c r="L960" i="32"/>
  <c r="L956" i="32"/>
  <c r="L952" i="32"/>
  <c r="L948" i="32"/>
  <c r="L944" i="32"/>
  <c r="L940" i="32"/>
  <c r="L936" i="32"/>
  <c r="L932" i="32"/>
  <c r="L928" i="32"/>
  <c r="L924" i="32"/>
  <c r="L920" i="32"/>
  <c r="L916" i="32"/>
  <c r="L912" i="32"/>
  <c r="L908" i="32"/>
  <c r="L904" i="32"/>
  <c r="L900" i="32"/>
  <c r="L896" i="32"/>
  <c r="L892" i="32"/>
  <c r="L888" i="32"/>
  <c r="L884" i="32"/>
  <c r="L880" i="32"/>
  <c r="L876" i="32"/>
  <c r="L872" i="32"/>
  <c r="L868" i="32"/>
  <c r="L864" i="32"/>
  <c r="L860" i="32"/>
  <c r="L856" i="32"/>
  <c r="L852" i="32"/>
  <c r="L848" i="32"/>
  <c r="L844" i="32"/>
  <c r="L840" i="32"/>
  <c r="L836" i="32"/>
  <c r="L832" i="32"/>
  <c r="L828" i="32"/>
  <c r="L824" i="32"/>
  <c r="L820" i="32"/>
  <c r="L816" i="32"/>
  <c r="L812" i="32"/>
  <c r="L808" i="32"/>
  <c r="L804" i="32"/>
  <c r="L800" i="32"/>
  <c r="L796" i="32"/>
  <c r="L792" i="32"/>
  <c r="L788" i="32"/>
  <c r="L784" i="32"/>
  <c r="L780" i="32"/>
  <c r="L776" i="32"/>
  <c r="L772" i="32"/>
  <c r="L768" i="32"/>
  <c r="L764" i="32"/>
  <c r="L760" i="32"/>
  <c r="L756" i="32"/>
  <c r="L752" i="32"/>
  <c r="L748" i="32"/>
  <c r="L744" i="32"/>
  <c r="L740" i="32"/>
  <c r="L736" i="32"/>
  <c r="L732" i="32"/>
  <c r="L728" i="32"/>
  <c r="L724" i="32"/>
  <c r="L720" i="32"/>
  <c r="L716" i="32"/>
  <c r="L712" i="32"/>
  <c r="L708" i="32"/>
  <c r="L704" i="32"/>
  <c r="L700" i="32"/>
  <c r="L696" i="32"/>
  <c r="L692" i="32"/>
  <c r="L688" i="32"/>
  <c r="L684" i="32"/>
  <c r="L680" i="32"/>
  <c r="L676" i="32"/>
  <c r="L672" i="32"/>
  <c r="L668" i="32"/>
  <c r="L664" i="32"/>
  <c r="L660" i="32"/>
  <c r="L656" i="32"/>
  <c r="L652" i="32"/>
  <c r="L648" i="32"/>
  <c r="L644" i="32"/>
  <c r="L640" i="32"/>
  <c r="L636" i="32"/>
  <c r="L632" i="32"/>
  <c r="L628" i="32"/>
  <c r="L624" i="32"/>
  <c r="L620" i="32"/>
  <c r="L616" i="32"/>
  <c r="L612" i="32"/>
  <c r="L608" i="32"/>
  <c r="L604" i="32"/>
  <c r="L600" i="32"/>
  <c r="L596" i="32"/>
  <c r="L592" i="32"/>
  <c r="L588" i="32"/>
  <c r="L584" i="32"/>
  <c r="L580" i="32"/>
  <c r="L576" i="32"/>
  <c r="L572" i="32"/>
  <c r="L568" i="32"/>
  <c r="L564" i="32"/>
  <c r="L560" i="32"/>
  <c r="L556" i="32"/>
  <c r="L552" i="32"/>
  <c r="L548" i="32"/>
  <c r="L544" i="32"/>
  <c r="L540" i="32"/>
  <c r="L536" i="32"/>
  <c r="L532" i="32"/>
  <c r="L528" i="32"/>
  <c r="L524" i="32"/>
  <c r="L520" i="32"/>
  <c r="L516" i="32"/>
  <c r="L512" i="32"/>
  <c r="L508" i="32"/>
  <c r="L504" i="32"/>
  <c r="L500" i="32"/>
  <c r="L496" i="32"/>
  <c r="L492" i="32"/>
  <c r="L488" i="32"/>
  <c r="L484" i="32"/>
  <c r="L480" i="32"/>
  <c r="L476" i="32"/>
  <c r="L472" i="32"/>
  <c r="L468" i="32"/>
  <c r="L464" i="32"/>
  <c r="L460" i="32"/>
  <c r="L456" i="32"/>
  <c r="L452" i="32"/>
  <c r="L448" i="32"/>
  <c r="L444" i="32"/>
  <c r="L440" i="32"/>
  <c r="L436" i="32"/>
  <c r="L432" i="32"/>
  <c r="L428" i="32"/>
  <c r="L424" i="32"/>
  <c r="L420" i="32"/>
  <c r="L416" i="32"/>
  <c r="L412" i="32"/>
  <c r="L408" i="32"/>
  <c r="L404" i="32"/>
  <c r="L400" i="32"/>
  <c r="L623" i="32"/>
  <c r="L619" i="32"/>
  <c r="L615" i="32"/>
  <c r="L611" i="32"/>
  <c r="L607" i="32"/>
  <c r="L603" i="32"/>
  <c r="L599" i="32"/>
  <c r="L595" i="32"/>
  <c r="L591" i="32"/>
  <c r="L587" i="32"/>
  <c r="L583" i="32"/>
  <c r="L579" i="32"/>
  <c r="L575" i="32"/>
  <c r="L571" i="32"/>
  <c r="L567" i="32"/>
  <c r="L563" i="32"/>
  <c r="L559" i="32"/>
  <c r="L555" i="32"/>
  <c r="L551" i="32"/>
  <c r="L547" i="32"/>
  <c r="L543" i="32"/>
  <c r="L539" i="32"/>
  <c r="L535" i="32"/>
  <c r="L531" i="32"/>
  <c r="L527" i="32"/>
  <c r="L523" i="32"/>
  <c r="L519" i="32"/>
  <c r="L515" i="32"/>
  <c r="L511" i="32"/>
  <c r="L507" i="32"/>
  <c r="L503" i="32"/>
  <c r="L499" i="32"/>
  <c r="L495" i="32"/>
  <c r="L491" i="32"/>
  <c r="L487" i="32"/>
  <c r="L483" i="32"/>
  <c r="L479" i="32"/>
  <c r="L475" i="32"/>
  <c r="L471" i="32"/>
  <c r="L467" i="32"/>
  <c r="L463" i="32"/>
  <c r="L459" i="32"/>
  <c r="L455" i="32"/>
  <c r="L451" i="32"/>
  <c r="L447" i="32"/>
  <c r="L443" i="32"/>
  <c r="L439" i="32"/>
  <c r="L435" i="32"/>
  <c r="L431" i="32"/>
  <c r="L427" i="32"/>
  <c r="L423" i="32"/>
  <c r="L419" i="32"/>
  <c r="L415" i="32"/>
  <c r="L411" i="32"/>
  <c r="L407" i="32"/>
  <c r="L403" i="32"/>
  <c r="P2" i="33"/>
  <c r="AD28" i="33"/>
  <c r="AD20" i="33"/>
  <c r="AD12" i="33"/>
  <c r="AD8" i="33"/>
  <c r="AD4" i="33"/>
  <c r="AA30" i="33"/>
  <c r="AA26" i="33"/>
  <c r="AA18" i="33"/>
  <c r="AA14" i="33"/>
  <c r="AA10" i="33"/>
  <c r="AA6" i="33"/>
  <c r="AD30" i="33"/>
  <c r="AD26" i="33"/>
  <c r="AD22" i="33"/>
  <c r="AD18" i="33"/>
  <c r="AD14" i="33"/>
  <c r="AA28" i="33"/>
  <c r="AA24" i="33"/>
  <c r="AA20" i="33"/>
  <c r="AA16" i="33"/>
  <c r="AA12" i="33"/>
  <c r="AA8" i="33"/>
  <c r="AA4" i="33"/>
  <c r="D11" i="33"/>
  <c r="D12" i="4" s="1"/>
  <c r="D19" i="33"/>
  <c r="D20" i="4" s="1"/>
  <c r="D3" i="33"/>
  <c r="D4" i="4" s="1"/>
  <c r="F5" i="33"/>
  <c r="F6" i="4" s="1"/>
  <c r="F9" i="33"/>
  <c r="F10" i="4" s="1"/>
  <c r="F13" i="33"/>
  <c r="F14" i="4" s="1"/>
  <c r="F17" i="33"/>
  <c r="F18" i="4" s="1"/>
  <c r="F21" i="33"/>
  <c r="F22" i="4" s="1"/>
  <c r="F25" i="33"/>
  <c r="F27" i="4" s="1"/>
  <c r="F29" i="33"/>
  <c r="F30" i="4" s="1"/>
  <c r="F3" i="33"/>
  <c r="F4" i="4" s="1"/>
  <c r="F14" i="33"/>
  <c r="F15" i="4" s="1"/>
  <c r="F19" i="33"/>
  <c r="F20" i="4" s="1"/>
  <c r="F24" i="33"/>
  <c r="F25" i="4" s="1"/>
  <c r="F30" i="33"/>
  <c r="F31" i="4" s="1"/>
  <c r="F4" i="33"/>
  <c r="F5" i="4" s="1"/>
  <c r="F11" i="33"/>
  <c r="F12" i="4" s="1"/>
  <c r="F18" i="33"/>
  <c r="F19" i="4" s="1"/>
  <c r="F26" i="33"/>
  <c r="F26" i="4" s="1"/>
  <c r="F6" i="33"/>
  <c r="F7" i="4" s="1"/>
  <c r="F15" i="33"/>
  <c r="F16" i="4" s="1"/>
  <c r="F23" i="33"/>
  <c r="F24" i="4" s="1"/>
  <c r="F7" i="33"/>
  <c r="F8" i="4" s="1"/>
  <c r="F27" i="33"/>
  <c r="F28" i="4" s="1"/>
  <c r="F10" i="33"/>
  <c r="F11" i="4" s="1"/>
  <c r="F20" i="33"/>
  <c r="F21" i="4" s="1"/>
  <c r="F28" i="33"/>
  <c r="F29" i="4" s="1"/>
  <c r="F12" i="33"/>
  <c r="F13" i="4" s="1"/>
  <c r="F22" i="33"/>
  <c r="F23" i="4" s="1"/>
  <c r="F31" i="33"/>
  <c r="F32" i="4" s="1"/>
  <c r="K399" i="32"/>
  <c r="G13" i="33" s="1" a="1"/>
  <c r="G13" i="33" s="1"/>
  <c r="G14" i="4" s="1"/>
  <c r="F2" i="33"/>
  <c r="F3" i="4" s="1"/>
  <c r="D31" i="33"/>
  <c r="D32" i="4" s="1"/>
  <c r="D15" i="33"/>
  <c r="D16" i="4" s="1"/>
  <c r="D27" i="33"/>
  <c r="D28" i="4" s="1"/>
  <c r="E3" i="33" a="1"/>
  <c r="E3" i="33" s="1"/>
  <c r="E4" i="4" s="1"/>
  <c r="E7" i="33" a="1"/>
  <c r="E7" i="33" s="1"/>
  <c r="E8" i="4" s="1"/>
  <c r="E11" i="33" a="1"/>
  <c r="E11" i="33" s="1"/>
  <c r="E12" i="4" s="1"/>
  <c r="E15" i="33" a="1"/>
  <c r="E15" i="33" s="1"/>
  <c r="E16" i="4" s="1"/>
  <c r="E19" i="33" a="1"/>
  <c r="E19" i="33" s="1"/>
  <c r="E20" i="4" s="1"/>
  <c r="E23" i="33" a="1"/>
  <c r="E23" i="33" s="1"/>
  <c r="E24" i="4" s="1"/>
  <c r="E27" i="33" a="1"/>
  <c r="E27" i="33" s="1"/>
  <c r="E28" i="4" s="1"/>
  <c r="E31" i="33" a="1"/>
  <c r="E31" i="33" s="1"/>
  <c r="E32" i="4" s="1"/>
  <c r="E4" i="33" a="1"/>
  <c r="E4" i="33" s="1"/>
  <c r="E5" i="4" s="1"/>
  <c r="E8" i="33" a="1"/>
  <c r="E8" i="33" s="1"/>
  <c r="E9" i="4" s="1"/>
  <c r="E12" i="33" a="1"/>
  <c r="E12" i="33" s="1"/>
  <c r="E13" i="4" s="1"/>
  <c r="E16" i="33" a="1"/>
  <c r="E16" i="33" s="1"/>
  <c r="E17" i="4" s="1"/>
  <c r="E20" i="33" a="1"/>
  <c r="E20" i="33" s="1"/>
  <c r="E21" i="4" s="1"/>
  <c r="E5" i="33" a="1"/>
  <c r="E5" i="33" s="1"/>
  <c r="E6" i="4" s="1"/>
  <c r="E9" i="33" a="1"/>
  <c r="E9" i="33" s="1"/>
  <c r="E10" i="4" s="1"/>
  <c r="E13" i="33" a="1"/>
  <c r="E13" i="33" s="1"/>
  <c r="E14" i="4" s="1"/>
  <c r="E17" i="33" a="1"/>
  <c r="E17" i="33" s="1"/>
  <c r="E18" i="4" s="1"/>
  <c r="E21" i="33" a="1"/>
  <c r="E21" i="33" s="1"/>
  <c r="E22" i="4" s="1"/>
  <c r="E25" i="33" a="1"/>
  <c r="E25" i="33" s="1"/>
  <c r="E27" i="4" s="1"/>
  <c r="E29" i="33" a="1"/>
  <c r="E29" i="33" s="1"/>
  <c r="E30" i="4" s="1"/>
  <c r="E14" i="33" a="1"/>
  <c r="E14" i="33" s="1"/>
  <c r="E15" i="4" s="1"/>
  <c r="E26" i="33" a="1"/>
  <c r="E26" i="33" s="1"/>
  <c r="E26" i="4" s="1"/>
  <c r="E18" i="33" a="1"/>
  <c r="E18" i="33" s="1"/>
  <c r="E19" i="4" s="1"/>
  <c r="E28" i="33" a="1"/>
  <c r="E28" i="33" s="1"/>
  <c r="E29" i="4" s="1"/>
  <c r="E6" i="33" a="1"/>
  <c r="E6" i="33" s="1"/>
  <c r="E7" i="4" s="1"/>
  <c r="E22" i="33" a="1"/>
  <c r="E22" i="33" s="1"/>
  <c r="E23" i="4" s="1"/>
  <c r="E10" i="33" a="1"/>
  <c r="E10" i="33" s="1"/>
  <c r="E11" i="4" s="1"/>
  <c r="E30" i="33" a="1"/>
  <c r="E30" i="33" s="1"/>
  <c r="E31" i="4" s="1"/>
  <c r="E2" i="33" a="1"/>
  <c r="E2" i="33" s="1"/>
  <c r="E3" i="4" s="1"/>
  <c r="E24" i="33" a="1"/>
  <c r="E24" i="33" s="1"/>
  <c r="E25" i="4" s="1"/>
  <c r="D4" i="33"/>
  <c r="D5" i="4" s="1"/>
  <c r="D8" i="33"/>
  <c r="D9" i="4" s="1"/>
  <c r="D12" i="33"/>
  <c r="D13" i="4" s="1"/>
  <c r="D16" i="33"/>
  <c r="D17" i="4" s="1"/>
  <c r="D20" i="33"/>
  <c r="D21" i="4" s="1"/>
  <c r="D24" i="33"/>
  <c r="D25" i="4" s="1"/>
  <c r="D28" i="33"/>
  <c r="D29" i="4" s="1"/>
  <c r="D2" i="33"/>
  <c r="D3" i="4" s="1"/>
  <c r="D5" i="33"/>
  <c r="D6" i="4" s="1"/>
  <c r="D9" i="33"/>
  <c r="D10" i="4" s="1"/>
  <c r="D13" i="33"/>
  <c r="D14" i="4" s="1"/>
  <c r="D17" i="33"/>
  <c r="D18" i="4" s="1"/>
  <c r="D21" i="33"/>
  <c r="D22" i="4" s="1"/>
  <c r="D25" i="33"/>
  <c r="D27" i="4" s="1"/>
  <c r="D29" i="33"/>
  <c r="D30" i="4" s="1"/>
  <c r="D6" i="33"/>
  <c r="D7" i="4" s="1"/>
  <c r="D10" i="33"/>
  <c r="D11" i="4" s="1"/>
  <c r="D14" i="33"/>
  <c r="D15" i="4" s="1"/>
  <c r="D18" i="33"/>
  <c r="D19" i="4" s="1"/>
  <c r="D22" i="33"/>
  <c r="D23" i="4" s="1"/>
  <c r="D26" i="33"/>
  <c r="D26" i="4" s="1"/>
  <c r="D30" i="33"/>
  <c r="D31" i="4" s="1"/>
  <c r="D23" i="33"/>
  <c r="D24" i="4" s="1"/>
  <c r="D7" i="33"/>
  <c r="D8" i="4" s="1"/>
  <c r="AC29" i="33" a="1"/>
  <c r="AC29" i="33" s="1"/>
  <c r="AC25" i="33" a="1"/>
  <c r="AC25" i="33" s="1"/>
  <c r="AC21" i="33" a="1"/>
  <c r="AC21" i="33" s="1"/>
  <c r="AC17" i="33" a="1"/>
  <c r="AC17" i="33" s="1"/>
  <c r="AC13" i="33" a="1"/>
  <c r="AC13" i="33" s="1"/>
  <c r="AC5" i="33" a="1"/>
  <c r="AC5" i="33" s="1"/>
  <c r="AC9" i="33" a="1"/>
  <c r="AC9" i="33" s="1"/>
  <c r="AA22" i="33"/>
  <c r="AC27" i="33" a="1"/>
  <c r="AC27" i="33" s="1"/>
  <c r="AC3" i="33" a="1"/>
  <c r="AC3" i="33" s="1"/>
  <c r="AC7" i="33" a="1"/>
  <c r="AC7" i="33" s="1"/>
  <c r="AF5" i="33" a="1"/>
  <c r="AF5" i="33" s="1"/>
  <c r="AC8" i="33" a="1"/>
  <c r="AC8" i="33" s="1"/>
  <c r="AC30" i="33" a="1"/>
  <c r="AC30" i="33" s="1"/>
  <c r="T31" i="33" s="1"/>
  <c r="AC14" i="33" a="1"/>
  <c r="AC14" i="33" s="1"/>
  <c r="AC31" i="33" a="1"/>
  <c r="AC31" i="33" s="1"/>
  <c r="AF27" i="33" a="1"/>
  <c r="AF27" i="33" s="1"/>
  <c r="AF23" i="33" a="1"/>
  <c r="AF23" i="33" s="1"/>
  <c r="AF19" i="33" a="1"/>
  <c r="AF19" i="33" s="1"/>
  <c r="AF15" i="33" a="1"/>
  <c r="AF15" i="33" s="1"/>
  <c r="AF11" i="33" a="1"/>
  <c r="AF11" i="33" s="1"/>
  <c r="AC23" i="33" a="1"/>
  <c r="AC23" i="33" s="1"/>
  <c r="AC19" i="33" a="1"/>
  <c r="AC19" i="33" s="1"/>
  <c r="AC15" i="33" a="1"/>
  <c r="AC15" i="33" s="1"/>
  <c r="AC11" i="33" a="1"/>
  <c r="AC11" i="33" s="1"/>
  <c r="AF30" i="33" a="1"/>
  <c r="AF30" i="33" s="1"/>
  <c r="AF22" i="33" a="1"/>
  <c r="AF22" i="33" s="1"/>
  <c r="AF18" i="33" a="1"/>
  <c r="AF18" i="33" s="1"/>
  <c r="AF14" i="33" a="1"/>
  <c r="AF14" i="33" s="1"/>
  <c r="AF7" i="33" a="1"/>
  <c r="AF7" i="33" s="1"/>
  <c r="AF29" i="33" a="1"/>
  <c r="AF29" i="33" s="1"/>
  <c r="AF25" i="33" a="1"/>
  <c r="AF25" i="33" s="1"/>
  <c r="AF21" i="33" a="1"/>
  <c r="AF21" i="33" s="1"/>
  <c r="AF17" i="33" a="1"/>
  <c r="AF17" i="33" s="1"/>
  <c r="AF13" i="33" a="1"/>
  <c r="AF13" i="33" s="1"/>
  <c r="AF9" i="33" a="1"/>
  <c r="AF9" i="33" s="1"/>
  <c r="AF4" i="33" a="1"/>
  <c r="AF4" i="33" s="1"/>
  <c r="AE30" i="33"/>
  <c r="AE26" i="33"/>
  <c r="S26" i="33" s="1"/>
  <c r="AE18" i="33"/>
  <c r="S18" i="33" s="1"/>
  <c r="AF28" i="33" a="1"/>
  <c r="AF28" i="33" s="1"/>
  <c r="AF20" i="33" a="1"/>
  <c r="AF20" i="33" s="1"/>
  <c r="AF12" i="33" a="1"/>
  <c r="AF12" i="33" s="1"/>
  <c r="AF3" i="33" a="1"/>
  <c r="AF3" i="33" s="1"/>
  <c r="AB14" i="33"/>
  <c r="S15" i="33" s="1"/>
  <c r="Z28" i="33"/>
  <c r="Z12" i="33"/>
  <c r="Z18" i="33"/>
  <c r="Z14" i="33"/>
  <c r="Z4" i="33"/>
  <c r="AB18" i="33"/>
  <c r="S19" i="33" s="1"/>
  <c r="AE14" i="33"/>
  <c r="S14" i="33" s="1"/>
  <c r="AB28" i="33"/>
  <c r="S29" i="33" s="1"/>
  <c r="AB20" i="33"/>
  <c r="S21" i="33" s="1"/>
  <c r="AB12" i="33"/>
  <c r="S13" i="33" s="1"/>
  <c r="H14" i="5" s="1"/>
  <c r="AB8" i="33"/>
  <c r="S9" i="33" s="1"/>
  <c r="H10" i="5" s="1"/>
  <c r="AB4" i="33"/>
  <c r="S5" i="33" s="1"/>
  <c r="H6" i="5" s="1"/>
  <c r="K23" i="27"/>
  <c r="K24" i="27"/>
  <c r="K25" i="27"/>
  <c r="K26" i="27"/>
  <c r="K27" i="27"/>
  <c r="K28" i="27"/>
  <c r="K29" i="27"/>
  <c r="K30" i="27"/>
  <c r="K31" i="27"/>
  <c r="K32" i="27"/>
  <c r="K33" i="27"/>
  <c r="K34" i="27"/>
  <c r="K35" i="27"/>
  <c r="K36" i="27"/>
  <c r="K37" i="27"/>
  <c r="K38" i="27"/>
  <c r="CW27" i="5"/>
  <c r="CX27" i="5"/>
  <c r="CY27" i="5"/>
  <c r="CZ27" i="5"/>
  <c r="DA27" i="5"/>
  <c r="DB27" i="5"/>
  <c r="DC27" i="5"/>
  <c r="DD27" i="5"/>
  <c r="DE27" i="5"/>
  <c r="DF27" i="5"/>
  <c r="DG27" i="5"/>
  <c r="DG19" i="5"/>
  <c r="DH19" i="5"/>
  <c r="DI19" i="5"/>
  <c r="DH20" i="5"/>
  <c r="DI20" i="5"/>
  <c r="DH21" i="5"/>
  <c r="DI21" i="5"/>
  <c r="DH22" i="5"/>
  <c r="DI22" i="5"/>
  <c r="DH23" i="5"/>
  <c r="DI23" i="5"/>
  <c r="DH24" i="5"/>
  <c r="DI24" i="5"/>
  <c r="DF19" i="5"/>
  <c r="DC19" i="5"/>
  <c r="DD19" i="5"/>
  <c r="DE19" i="5"/>
  <c r="CW19" i="5"/>
  <c r="CX19" i="5"/>
  <c r="CY19" i="5"/>
  <c r="CZ19" i="5"/>
  <c r="DA19" i="5"/>
  <c r="DB19" i="5"/>
  <c r="CV27" i="5"/>
  <c r="CV26" i="5"/>
  <c r="CV19" i="5"/>
  <c r="CV18" i="5"/>
  <c r="U226" i="30" a="1"/>
  <c r="U226" i="30" s="1"/>
  <c r="S225" i="29" a="1"/>
  <c r="S225" i="29" s="1"/>
  <c r="T694" i="21"/>
  <c r="T695" i="21"/>
  <c r="T696" i="21"/>
  <c r="T697" i="21"/>
  <c r="U694" i="21"/>
  <c r="U695" i="21"/>
  <c r="U696" i="21"/>
  <c r="U697" i="21"/>
  <c r="A4" i="27"/>
  <c r="H22" i="5" l="1"/>
  <c r="H19" i="5"/>
  <c r="H20" i="5"/>
  <c r="Z30" i="33"/>
  <c r="AB30" i="33"/>
  <c r="S31" i="33" s="1"/>
  <c r="AE22" i="33"/>
  <c r="S22" i="33" s="1"/>
  <c r="Z22" i="33"/>
  <c r="AF8" i="33" a="1"/>
  <c r="AF8" i="33" s="1"/>
  <c r="Z8" i="33"/>
  <c r="F16" i="33"/>
  <c r="F17" i="4" s="1"/>
  <c r="AB22" i="33"/>
  <c r="S23" i="33" s="1"/>
  <c r="H24" i="5" s="1"/>
  <c r="AC32" i="33" a="1"/>
  <c r="AC32" i="33" s="1"/>
  <c r="T33" i="33" s="1"/>
  <c r="AF31" i="33" a="1"/>
  <c r="AF31" i="33" s="1"/>
  <c r="Z6" i="33"/>
  <c r="AB6" i="33"/>
  <c r="S7" i="33" s="1"/>
  <c r="H8" i="5" s="1"/>
  <c r="AE6" i="33"/>
  <c r="S6" i="33" s="1"/>
  <c r="H7" i="5" s="1"/>
  <c r="AF6" i="33" a="1"/>
  <c r="AF6" i="33" s="1"/>
  <c r="AC22" i="33" a="1"/>
  <c r="AC22" i="33" s="1"/>
  <c r="AC6" i="33" a="1"/>
  <c r="AC6" i="33" s="1"/>
  <c r="T7" i="33" s="1"/>
  <c r="I8" i="5" s="1"/>
  <c r="AC12" i="33" a="1"/>
  <c r="AC12" i="33" s="1"/>
  <c r="T13" i="33" s="1"/>
  <c r="I14" i="5" s="1"/>
  <c r="AF10" i="33" a="1"/>
  <c r="AF10" i="33" s="1"/>
  <c r="AB10" i="33"/>
  <c r="S11" i="33" s="1"/>
  <c r="H12" i="5" s="1"/>
  <c r="Z10" i="33"/>
  <c r="AE10" i="33"/>
  <c r="S10" i="33" s="1"/>
  <c r="H11" i="5" s="1"/>
  <c r="AC18" i="33" a="1"/>
  <c r="AC18" i="33" s="1"/>
  <c r="T19" i="33" s="1"/>
  <c r="H33" i="5"/>
  <c r="H34" i="5"/>
  <c r="AF32" i="33" a="1"/>
  <c r="AF32" i="33" s="1"/>
  <c r="T32" i="33" s="1"/>
  <c r="AC4" i="33" a="1"/>
  <c r="AC4" i="33" s="1"/>
  <c r="T5" i="33" s="1"/>
  <c r="I6" i="5" s="1"/>
  <c r="AC10" i="33" a="1"/>
  <c r="AC10" i="33" s="1"/>
  <c r="T11" i="33" s="1"/>
  <c r="I12" i="5" s="1"/>
  <c r="AF33" i="33" a="1"/>
  <c r="AF33" i="33" s="1"/>
  <c r="AC33" i="33" a="1"/>
  <c r="AC33" i="33" s="1"/>
  <c r="Q16" i="33"/>
  <c r="AD16" i="33" s="1"/>
  <c r="Q2" i="33"/>
  <c r="AD2" i="33" s="1"/>
  <c r="Q3" i="33"/>
  <c r="AA2" i="33" s="1"/>
  <c r="Q24" i="33"/>
  <c r="AD24" i="33" s="1"/>
  <c r="AC26" i="33" a="1"/>
  <c r="AC26" i="33" s="1"/>
  <c r="T27" i="33" s="1"/>
  <c r="AC28" i="33" a="1"/>
  <c r="AC28" i="33" s="1"/>
  <c r="T29" i="33" s="1"/>
  <c r="AB26" i="33"/>
  <c r="S27" i="33" s="1"/>
  <c r="AF26" i="33" a="1"/>
  <c r="AF26" i="33" s="1"/>
  <c r="Z26" i="33"/>
  <c r="AE28" i="33"/>
  <c r="S28" i="33" s="1"/>
  <c r="AE12" i="33"/>
  <c r="S12" i="33" s="1"/>
  <c r="H13" i="5" s="1"/>
  <c r="AE4" i="33"/>
  <c r="S4" i="33" s="1"/>
  <c r="H5" i="5" s="1"/>
  <c r="AE20" i="33"/>
  <c r="S20" i="33" s="1"/>
  <c r="H21" i="5" s="1"/>
  <c r="I4" i="33"/>
  <c r="H19" i="33"/>
  <c r="L9" i="33"/>
  <c r="I22" i="33"/>
  <c r="K19" i="33"/>
  <c r="L18" i="33"/>
  <c r="H11" i="33"/>
  <c r="I17" i="33"/>
  <c r="K2" i="33"/>
  <c r="M4" i="27"/>
  <c r="A5" i="27"/>
  <c r="A6" i="27" s="1"/>
  <c r="A7" i="27" s="1"/>
  <c r="A8" i="27" s="1"/>
  <c r="A9" i="27" s="1"/>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59"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92" i="27" s="1"/>
  <c r="A93" i="27" s="1"/>
  <c r="A94" i="27" s="1"/>
  <c r="A95" i="27" s="1"/>
  <c r="A96" i="27" s="1"/>
  <c r="A97" i="27" s="1"/>
  <c r="A98" i="27" s="1"/>
  <c r="A99" i="27" s="1"/>
  <c r="A100" i="27" s="1"/>
  <c r="A101" i="27" s="1"/>
  <c r="A102" i="27" s="1"/>
  <c r="A103" i="27" s="1"/>
  <c r="A104" i="27" s="1"/>
  <c r="A105" i="27" s="1"/>
  <c r="A106" i="27" s="1"/>
  <c r="A107" i="27" s="1"/>
  <c r="A108" i="27" s="1"/>
  <c r="A109" i="27" s="1"/>
  <c r="A110" i="27" s="1"/>
  <c r="A111" i="27" s="1"/>
  <c r="A112" i="27" s="1"/>
  <c r="A113" i="27" s="1"/>
  <c r="A114" i="27" s="1"/>
  <c r="A115" i="27" s="1"/>
  <c r="A116" i="27" s="1"/>
  <c r="A117" i="27" s="1"/>
  <c r="A118" i="27" s="1"/>
  <c r="A119" i="27" s="1"/>
  <c r="A120" i="27" s="1"/>
  <c r="A121" i="27" s="1"/>
  <c r="A122" i="27" s="1"/>
  <c r="A123" i="27" s="1"/>
  <c r="A124" i="27" s="1"/>
  <c r="A125" i="27" s="1"/>
  <c r="A126" i="27" s="1"/>
  <c r="A127" i="27" s="1"/>
  <c r="A128" i="27" s="1"/>
  <c r="A129" i="27" s="1"/>
  <c r="A130" i="27" s="1"/>
  <c r="A131" i="27" s="1"/>
  <c r="A132" i="27" s="1"/>
  <c r="A133" i="27" s="1"/>
  <c r="A134" i="27" s="1"/>
  <c r="A135" i="27" s="1"/>
  <c r="A136" i="27" s="1"/>
  <c r="A137" i="27" s="1"/>
  <c r="A138" i="27" s="1"/>
  <c r="A139" i="27" s="1"/>
  <c r="A140" i="27" s="1"/>
  <c r="A141" i="27" s="1"/>
  <c r="A142" i="27" s="1"/>
  <c r="A143" i="27" s="1"/>
  <c r="A144" i="27" s="1"/>
  <c r="A145" i="27" s="1"/>
  <c r="A146" i="27" s="1"/>
  <c r="A147" i="27" s="1"/>
  <c r="A148" i="27" s="1"/>
  <c r="A149" i="27" s="1"/>
  <c r="A150" i="27" s="1"/>
  <c r="A151" i="27" s="1"/>
  <c r="A152" i="27" s="1"/>
  <c r="A153" i="27" s="1"/>
  <c r="A154" i="27" s="1"/>
  <c r="A155" i="27" s="1"/>
  <c r="A156" i="27" s="1"/>
  <c r="A157" i="27" s="1"/>
  <c r="A158" i="27" s="1"/>
  <c r="A159" i="27" s="1"/>
  <c r="A160" i="27" s="1"/>
  <c r="A161" i="27" s="1"/>
  <c r="A162" i="27" s="1"/>
  <c r="A163" i="27" s="1"/>
  <c r="A164" i="27" s="1"/>
  <c r="A165" i="27" s="1"/>
  <c r="A166" i="27" s="1"/>
  <c r="A167" i="27" s="1"/>
  <c r="A168" i="27" s="1"/>
  <c r="A169" i="27" s="1"/>
  <c r="A170" i="27" s="1"/>
  <c r="A171" i="27" s="1"/>
  <c r="A172" i="27" s="1"/>
  <c r="A173" i="27" s="1"/>
  <c r="A174" i="27" s="1"/>
  <c r="A175" i="27" s="1"/>
  <c r="A176" i="27" s="1"/>
  <c r="A177" i="27" s="1"/>
  <c r="A178" i="27" s="1"/>
  <c r="A179" i="27" s="1"/>
  <c r="A180" i="27" s="1"/>
  <c r="A181" i="27" s="1"/>
  <c r="A182" i="27" s="1"/>
  <c r="A183" i="27" s="1"/>
  <c r="A184" i="27" s="1"/>
  <c r="A185" i="27" s="1"/>
  <c r="A186" i="27" s="1"/>
  <c r="A187" i="27" s="1"/>
  <c r="A188" i="27" s="1"/>
  <c r="A189" i="27" s="1"/>
  <c r="A190" i="27" s="1"/>
  <c r="A191" i="27" s="1"/>
  <c r="A192" i="27" s="1"/>
  <c r="A193" i="27" s="1"/>
  <c r="A194" i="27" s="1"/>
  <c r="A195" i="27" s="1"/>
  <c r="A196" i="27" s="1"/>
  <c r="A197" i="27" s="1"/>
  <c r="A198" i="27" s="1"/>
  <c r="A199" i="27" s="1"/>
  <c r="A200" i="27" s="1"/>
  <c r="A201" i="27" s="1"/>
  <c r="A202" i="27" s="1"/>
  <c r="A203" i="27" s="1"/>
  <c r="A204" i="27" s="1"/>
  <c r="A205" i="27" s="1"/>
  <c r="A206" i="27" s="1"/>
  <c r="A207" i="27" s="1"/>
  <c r="A208" i="27" s="1"/>
  <c r="A209" i="27" s="1"/>
  <c r="A210" i="27" s="1"/>
  <c r="A211" i="27" s="1"/>
  <c r="A212" i="27" s="1"/>
  <c r="A213" i="27" s="1"/>
  <c r="A214" i="27" s="1"/>
  <c r="A215" i="27" s="1"/>
  <c r="A216" i="27" s="1"/>
  <c r="A217" i="27" s="1"/>
  <c r="A218" i="27" s="1"/>
  <c r="A219" i="27" s="1"/>
  <c r="A220" i="27" s="1"/>
  <c r="A221" i="27" s="1"/>
  <c r="A222" i="27" s="1"/>
  <c r="A223" i="27" s="1"/>
  <c r="A224" i="27" s="1"/>
  <c r="A225" i="27" s="1"/>
  <c r="A226" i="27" s="1"/>
  <c r="A227" i="27" s="1"/>
  <c r="A228" i="27" s="1"/>
  <c r="A229" i="27" s="1"/>
  <c r="A230" i="27" s="1"/>
  <c r="A231" i="27" s="1"/>
  <c r="A232" i="27" s="1"/>
  <c r="A233" i="27" s="1"/>
  <c r="A234" i="27" s="1"/>
  <c r="A235" i="27" s="1"/>
  <c r="A236" i="27" s="1"/>
  <c r="A237" i="27" s="1"/>
  <c r="A238" i="27" s="1"/>
  <c r="A239" i="27" s="1"/>
  <c r="A240" i="27" s="1"/>
  <c r="A241" i="27" s="1"/>
  <c r="A242" i="27" s="1"/>
  <c r="A243" i="27" s="1"/>
  <c r="A244" i="27" s="1"/>
  <c r="A245" i="27" s="1"/>
  <c r="A246" i="27" s="1"/>
  <c r="A247" i="27" s="1"/>
  <c r="A248" i="27" s="1"/>
  <c r="A249" i="27" s="1"/>
  <c r="A250" i="27" s="1"/>
  <c r="A251" i="27" s="1"/>
  <c r="A252" i="27" s="1"/>
  <c r="A253" i="27" s="1"/>
  <c r="A254" i="27" s="1"/>
  <c r="A255" i="27" s="1"/>
  <c r="A256" i="27" s="1"/>
  <c r="A257" i="27" s="1"/>
  <c r="A258" i="27" s="1"/>
  <c r="A259" i="27" s="1"/>
  <c r="A260" i="27" s="1"/>
  <c r="A261" i="27" s="1"/>
  <c r="A262" i="27" s="1"/>
  <c r="A263" i="27" s="1"/>
  <c r="A264" i="27" s="1"/>
  <c r="A265" i="27" s="1"/>
  <c r="A266" i="27" s="1"/>
  <c r="A267" i="27" s="1"/>
  <c r="A268" i="27" s="1"/>
  <c r="A269" i="27" s="1"/>
  <c r="A270" i="27" s="1"/>
  <c r="A271" i="27" s="1"/>
  <c r="A272" i="27" s="1"/>
  <c r="A273" i="27" s="1"/>
  <c r="A274" i="27" s="1"/>
  <c r="A275" i="27" s="1"/>
  <c r="A276" i="27" s="1"/>
  <c r="A277" i="27" s="1"/>
  <c r="A278" i="27" s="1"/>
  <c r="A279" i="27" s="1"/>
  <c r="A280" i="27" s="1"/>
  <c r="A281" i="27" s="1"/>
  <c r="A282" i="27" s="1"/>
  <c r="A283" i="27" s="1"/>
  <c r="A284" i="27" s="1"/>
  <c r="A285" i="27" s="1"/>
  <c r="A286" i="27" s="1"/>
  <c r="A287" i="27" s="1"/>
  <c r="A288" i="27" s="1"/>
  <c r="A289" i="27" s="1"/>
  <c r="A290" i="27" s="1"/>
  <c r="A291" i="27" s="1"/>
  <c r="A292" i="27" s="1"/>
  <c r="A293" i="27" s="1"/>
  <c r="A294" i="27" s="1"/>
  <c r="A295" i="27" s="1"/>
  <c r="A296" i="27" s="1"/>
  <c r="A297" i="27" s="1"/>
  <c r="A298" i="27" s="1"/>
  <c r="A299" i="27" s="1"/>
  <c r="A300" i="27" s="1"/>
  <c r="A301" i="27" s="1"/>
  <c r="A302" i="27" s="1"/>
  <c r="A303" i="27" s="1"/>
  <c r="A304" i="27" s="1"/>
  <c r="A305" i="27" s="1"/>
  <c r="A306" i="27" s="1"/>
  <c r="A307" i="27" s="1"/>
  <c r="A308" i="27" s="1"/>
  <c r="A309" i="27" s="1"/>
  <c r="A310" i="27" s="1"/>
  <c r="A311" i="27" s="1"/>
  <c r="A312" i="27" s="1"/>
  <c r="A313" i="27" s="1"/>
  <c r="A314" i="27" s="1"/>
  <c r="A315" i="27" s="1"/>
  <c r="A316" i="27" s="1"/>
  <c r="A317" i="27" s="1"/>
  <c r="A318" i="27" s="1"/>
  <c r="A319" i="27" s="1"/>
  <c r="A320" i="27" s="1"/>
  <c r="A321" i="27" s="1"/>
  <c r="A322" i="27" s="1"/>
  <c r="A323" i="27" s="1"/>
  <c r="A324" i="27" s="1"/>
  <c r="A325" i="27" s="1"/>
  <c r="A326" i="27" s="1"/>
  <c r="A327" i="27" s="1"/>
  <c r="A328" i="27" s="1"/>
  <c r="A329" i="27" s="1"/>
  <c r="A330" i="27" s="1"/>
  <c r="A331" i="27" s="1"/>
  <c r="A332" i="27" s="1"/>
  <c r="A333" i="27" s="1"/>
  <c r="A334" i="27" s="1"/>
  <c r="A335" i="27" s="1"/>
  <c r="A336" i="27" s="1"/>
  <c r="A337" i="27" s="1"/>
  <c r="A338" i="27" s="1"/>
  <c r="A339" i="27" s="1"/>
  <c r="A340" i="27" s="1"/>
  <c r="A341" i="27" s="1"/>
  <c r="A342" i="27" s="1"/>
  <c r="A343" i="27" s="1"/>
  <c r="A344" i="27" s="1"/>
  <c r="A345" i="27" s="1"/>
  <c r="A346" i="27" s="1"/>
  <c r="A347" i="27" s="1"/>
  <c r="A348" i="27" s="1"/>
  <c r="A349" i="27" s="1"/>
  <c r="A350" i="27" s="1"/>
  <c r="A351" i="27" s="1"/>
  <c r="A352" i="27" s="1"/>
  <c r="A353" i="27" s="1"/>
  <c r="A354" i="27" s="1"/>
  <c r="A355" i="27" s="1"/>
  <c r="A356" i="27" s="1"/>
  <c r="A357" i="27" s="1"/>
  <c r="A358" i="27" s="1"/>
  <c r="A359" i="27" s="1"/>
  <c r="A360" i="27" s="1"/>
  <c r="A361" i="27" s="1"/>
  <c r="A362" i="27" s="1"/>
  <c r="A363" i="27" s="1"/>
  <c r="A364" i="27" s="1"/>
  <c r="A365" i="27" s="1"/>
  <c r="A366" i="27" s="1"/>
  <c r="A367" i="27" s="1"/>
  <c r="A368" i="27" s="1"/>
  <c r="A369" i="27" s="1"/>
  <c r="A370" i="27" s="1"/>
  <c r="A371" i="27" s="1"/>
  <c r="A372" i="27" s="1"/>
  <c r="A373" i="27" s="1"/>
  <c r="A374" i="27" s="1"/>
  <c r="A375" i="27" s="1"/>
  <c r="A376" i="27" s="1"/>
  <c r="A377" i="27" s="1"/>
  <c r="A378" i="27" s="1"/>
  <c r="A379" i="27" s="1"/>
  <c r="A380" i="27" s="1"/>
  <c r="A381" i="27" s="1"/>
  <c r="A382" i="27" s="1"/>
  <c r="A383" i="27" s="1"/>
  <c r="A384" i="27" s="1"/>
  <c r="A385" i="27" s="1"/>
  <c r="A386" i="27" s="1"/>
  <c r="A387" i="27" s="1"/>
  <c r="A388" i="27" s="1"/>
  <c r="A389" i="27" s="1"/>
  <c r="A390" i="27" s="1"/>
  <c r="A391" i="27" s="1"/>
  <c r="A392" i="27" s="1"/>
  <c r="A393" i="27" s="1"/>
  <c r="A394" i="27" s="1"/>
  <c r="A395" i="27" s="1"/>
  <c r="A396" i="27" s="1"/>
  <c r="A397" i="27" s="1"/>
  <c r="A398" i="27" s="1"/>
  <c r="A399" i="27" s="1"/>
  <c r="A400" i="27" s="1"/>
  <c r="A401" i="27" s="1"/>
  <c r="A402" i="27" s="1"/>
  <c r="A403" i="27" s="1"/>
  <c r="A404" i="27" s="1"/>
  <c r="A405" i="27" s="1"/>
  <c r="A406" i="27" s="1"/>
  <c r="A407" i="27" s="1"/>
  <c r="A408" i="27" s="1"/>
  <c r="A409" i="27" s="1"/>
  <c r="A410" i="27" s="1"/>
  <c r="A411" i="27" s="1"/>
  <c r="A412" i="27" s="1"/>
  <c r="A413" i="27" s="1"/>
  <c r="A414" i="27" s="1"/>
  <c r="A415" i="27" s="1"/>
  <c r="A416" i="27" s="1"/>
  <c r="A417" i="27" s="1"/>
  <c r="A418" i="27" s="1"/>
  <c r="A419" i="27" s="1"/>
  <c r="A420" i="27" s="1"/>
  <c r="A421" i="27" s="1"/>
  <c r="A422" i="27" s="1"/>
  <c r="A423" i="27" s="1"/>
  <c r="A424" i="27" s="1"/>
  <c r="A425" i="27" s="1"/>
  <c r="A426" i="27" s="1"/>
  <c r="A427" i="27" s="1"/>
  <c r="A428" i="27" s="1"/>
  <c r="A429" i="27" s="1"/>
  <c r="A430" i="27" s="1"/>
  <c r="A431" i="27" s="1"/>
  <c r="A432" i="27" s="1"/>
  <c r="A433" i="27" s="1"/>
  <c r="A434" i="27" s="1"/>
  <c r="A435" i="27" s="1"/>
  <c r="A436" i="27" s="1"/>
  <c r="A437" i="27" s="1"/>
  <c r="A438" i="27" s="1"/>
  <c r="A439" i="27" s="1"/>
  <c r="A440" i="27" s="1"/>
  <c r="A441" i="27" s="1"/>
  <c r="A442" i="27" s="1"/>
  <c r="A443" i="27" s="1"/>
  <c r="A444" i="27" s="1"/>
  <c r="A445" i="27" s="1"/>
  <c r="A446" i="27" s="1"/>
  <c r="A447" i="27" s="1"/>
  <c r="A448" i="27" s="1"/>
  <c r="A449" i="27" s="1"/>
  <c r="A450" i="27" s="1"/>
  <c r="A451" i="27" s="1"/>
  <c r="A452" i="27" s="1"/>
  <c r="A453" i="27" s="1"/>
  <c r="A454" i="27" s="1"/>
  <c r="A455" i="27" s="1"/>
  <c r="A456" i="27" s="1"/>
  <c r="A457" i="27" s="1"/>
  <c r="A458" i="27" s="1"/>
  <c r="A459" i="27" s="1"/>
  <c r="A460" i="27" s="1"/>
  <c r="A461" i="27" s="1"/>
  <c r="A462" i="27" s="1"/>
  <c r="A463" i="27" s="1"/>
  <c r="A464" i="27" s="1"/>
  <c r="A465" i="27" s="1"/>
  <c r="A466" i="27" s="1"/>
  <c r="A467" i="27" s="1"/>
  <c r="A468" i="27" s="1"/>
  <c r="A469" i="27" s="1"/>
  <c r="A470" i="27" s="1"/>
  <c r="A471" i="27" s="1"/>
  <c r="A472" i="27" s="1"/>
  <c r="A473" i="27" s="1"/>
  <c r="A474" i="27" s="1"/>
  <c r="A475" i="27" s="1"/>
  <c r="A476" i="27" s="1"/>
  <c r="A477" i="27" s="1"/>
  <c r="A478" i="27" s="1"/>
  <c r="A479" i="27" s="1"/>
  <c r="A480" i="27" s="1"/>
  <c r="A481" i="27" s="1"/>
  <c r="A482" i="27" s="1"/>
  <c r="A483" i="27" s="1"/>
  <c r="A484" i="27" s="1"/>
  <c r="A485" i="27" s="1"/>
  <c r="A486" i="27" s="1"/>
  <c r="A487" i="27" s="1"/>
  <c r="A488" i="27" s="1"/>
  <c r="A489" i="27" s="1"/>
  <c r="A490" i="27" s="1"/>
  <c r="A491" i="27" s="1"/>
  <c r="A492" i="27" s="1"/>
  <c r="A493" i="27" s="1"/>
  <c r="A494" i="27" s="1"/>
  <c r="A495" i="27" s="1"/>
  <c r="A496" i="27" s="1"/>
  <c r="A497" i="27" s="1"/>
  <c r="A498" i="27" s="1"/>
  <c r="A499" i="27" s="1"/>
  <c r="A500" i="27" s="1"/>
  <c r="A501" i="27" s="1"/>
  <c r="A502" i="27" s="1"/>
  <c r="A503" i="27" s="1"/>
  <c r="A504" i="27" s="1"/>
  <c r="A505" i="27" s="1"/>
  <c r="A506" i="27" s="1"/>
  <c r="A507" i="27" s="1"/>
  <c r="A508" i="27" s="1"/>
  <c r="A509" i="27" s="1"/>
  <c r="A510" i="27" s="1"/>
  <c r="A511" i="27" s="1"/>
  <c r="A512" i="27" s="1"/>
  <c r="A513" i="27" s="1"/>
  <c r="A514" i="27" s="1"/>
  <c r="A515" i="27" s="1"/>
  <c r="A516" i="27" s="1"/>
  <c r="A517" i="27" s="1"/>
  <c r="A518" i="27" s="1"/>
  <c r="A519" i="27" s="1"/>
  <c r="A520" i="27" s="1"/>
  <c r="A521" i="27" s="1"/>
  <c r="A522" i="27" s="1"/>
  <c r="A523" i="27" s="1"/>
  <c r="A524" i="27" s="1"/>
  <c r="A525" i="27" s="1"/>
  <c r="A526" i="27" s="1"/>
  <c r="A527" i="27" s="1"/>
  <c r="A528" i="27" s="1"/>
  <c r="A529" i="27" s="1"/>
  <c r="A530" i="27" s="1"/>
  <c r="A531" i="27" s="1"/>
  <c r="A532" i="27" s="1"/>
  <c r="A533" i="27" s="1"/>
  <c r="A534" i="27" s="1"/>
  <c r="A535" i="27" s="1"/>
  <c r="A536" i="27" s="1"/>
  <c r="A537" i="27" s="1"/>
  <c r="A538" i="27" s="1"/>
  <c r="A539" i="27" s="1"/>
  <c r="A540" i="27" s="1"/>
  <c r="A541" i="27" s="1"/>
  <c r="A542" i="27" s="1"/>
  <c r="A543" i="27" s="1"/>
  <c r="A544" i="27" s="1"/>
  <c r="A545" i="27" s="1"/>
  <c r="A546" i="27" s="1"/>
  <c r="A547" i="27" s="1"/>
  <c r="A548" i="27" s="1"/>
  <c r="A549" i="27" s="1"/>
  <c r="A550" i="27" s="1"/>
  <c r="A551" i="27" s="1"/>
  <c r="A552" i="27" s="1"/>
  <c r="A553" i="27" s="1"/>
  <c r="A554" i="27" s="1"/>
  <c r="A555" i="27" s="1"/>
  <c r="A556" i="27" s="1"/>
  <c r="A557" i="27" s="1"/>
  <c r="A558" i="27" s="1"/>
  <c r="A559" i="27" s="1"/>
  <c r="A560" i="27" s="1"/>
  <c r="A561" i="27" s="1"/>
  <c r="A562" i="27" s="1"/>
  <c r="A563" i="27" s="1"/>
  <c r="A564" i="27" s="1"/>
  <c r="A565" i="27" s="1"/>
  <c r="A566" i="27" s="1"/>
  <c r="A567" i="27" s="1"/>
  <c r="A568" i="27" s="1"/>
  <c r="A569" i="27" s="1"/>
  <c r="A570" i="27" s="1"/>
  <c r="A571" i="27" s="1"/>
  <c r="A572" i="27" s="1"/>
  <c r="A573" i="27" s="1"/>
  <c r="A574" i="27" s="1"/>
  <c r="A575" i="27" s="1"/>
  <c r="A576" i="27" s="1"/>
  <c r="A577" i="27" s="1"/>
  <c r="A578" i="27" s="1"/>
  <c r="A579" i="27" s="1"/>
  <c r="A580" i="27" s="1"/>
  <c r="A581" i="27" s="1"/>
  <c r="A582" i="27" s="1"/>
  <c r="A583" i="27" s="1"/>
  <c r="A584" i="27" s="1"/>
  <c r="A585" i="27" s="1"/>
  <c r="A586" i="27" s="1"/>
  <c r="A587" i="27" s="1"/>
  <c r="A588" i="27" s="1"/>
  <c r="A589" i="27" s="1"/>
  <c r="A590" i="27" s="1"/>
  <c r="A591" i="27" s="1"/>
  <c r="A592" i="27" s="1"/>
  <c r="A593" i="27" s="1"/>
  <c r="A594" i="27" s="1"/>
  <c r="A595" i="27" s="1"/>
  <c r="A596" i="27" s="1"/>
  <c r="A597" i="27" s="1"/>
  <c r="A598" i="27" s="1"/>
  <c r="A599" i="27" s="1"/>
  <c r="A600" i="27" s="1"/>
  <c r="A601" i="27" s="1"/>
  <c r="A602" i="27" s="1"/>
  <c r="A603" i="27" s="1"/>
  <c r="A604" i="27" s="1"/>
  <c r="A605" i="27" s="1"/>
  <c r="A606" i="27" s="1"/>
  <c r="A607" i="27" s="1"/>
  <c r="A608" i="27" s="1"/>
  <c r="A609" i="27" s="1"/>
  <c r="A610" i="27" s="1"/>
  <c r="A611" i="27" s="1"/>
  <c r="A612" i="27" s="1"/>
  <c r="A613" i="27" s="1"/>
  <c r="A614" i="27" s="1"/>
  <c r="A615" i="27" s="1"/>
  <c r="A616" i="27" s="1"/>
  <c r="A617" i="27" s="1"/>
  <c r="A618" i="27" s="1"/>
  <c r="A619" i="27" s="1"/>
  <c r="A620" i="27" s="1"/>
  <c r="A621" i="27" s="1"/>
  <c r="A622" i="27" s="1"/>
  <c r="A623" i="27" s="1"/>
  <c r="A624" i="27" s="1"/>
  <c r="A625" i="27" s="1"/>
  <c r="A626" i="27" s="1"/>
  <c r="A627" i="27" s="1"/>
  <c r="A628" i="27" s="1"/>
  <c r="A629" i="27" s="1"/>
  <c r="A630" i="27" s="1"/>
  <c r="A631" i="27" s="1"/>
  <c r="A632" i="27" s="1"/>
  <c r="A633" i="27" s="1"/>
  <c r="A634" i="27" s="1"/>
  <c r="A635" i="27" s="1"/>
  <c r="A636" i="27" s="1"/>
  <c r="A637" i="27" s="1"/>
  <c r="A638" i="27" s="1"/>
  <c r="A639" i="27" s="1"/>
  <c r="A640" i="27" s="1"/>
  <c r="A641" i="27" s="1"/>
  <c r="A642" i="27" s="1"/>
  <c r="A643" i="27" s="1"/>
  <c r="A644" i="27" s="1"/>
  <c r="A645" i="27" s="1"/>
  <c r="A646" i="27" s="1"/>
  <c r="A647" i="27" s="1"/>
  <c r="A648" i="27" s="1"/>
  <c r="A649" i="27" s="1"/>
  <c r="A650" i="27" s="1"/>
  <c r="A651" i="27" s="1"/>
  <c r="A652" i="27" s="1"/>
  <c r="A653" i="27" s="1"/>
  <c r="A654" i="27" s="1"/>
  <c r="A655" i="27" s="1"/>
  <c r="A656" i="27" s="1"/>
  <c r="A657" i="27" s="1"/>
  <c r="A658" i="27" s="1"/>
  <c r="A659" i="27" s="1"/>
  <c r="A660" i="27" s="1"/>
  <c r="A661" i="27" s="1"/>
  <c r="A662" i="27" s="1"/>
  <c r="A663" i="27" s="1"/>
  <c r="A664" i="27" s="1"/>
  <c r="A665" i="27" s="1"/>
  <c r="A666" i="27" s="1"/>
  <c r="A667" i="27" s="1"/>
  <c r="A668" i="27" s="1"/>
  <c r="A669" i="27" s="1"/>
  <c r="A670" i="27" s="1"/>
  <c r="A671" i="27" s="1"/>
  <c r="A672" i="27" s="1"/>
  <c r="A673" i="27" s="1"/>
  <c r="A674" i="27" s="1"/>
  <c r="A675" i="27" s="1"/>
  <c r="A676" i="27" s="1"/>
  <c r="A677" i="27" s="1"/>
  <c r="A678" i="27" s="1"/>
  <c r="A679" i="27" s="1"/>
  <c r="A680" i="27" s="1"/>
  <c r="A681" i="27" s="1"/>
  <c r="A682" i="27" s="1"/>
  <c r="A683" i="27" s="1"/>
  <c r="A684" i="27" s="1"/>
  <c r="A685" i="27" s="1"/>
  <c r="A686" i="27" s="1"/>
  <c r="A687" i="27" s="1"/>
  <c r="A688" i="27" s="1"/>
  <c r="A689" i="27" s="1"/>
  <c r="A690" i="27" s="1"/>
  <c r="A691" i="27" s="1"/>
  <c r="A692" i="27" s="1"/>
  <c r="A693" i="27" s="1"/>
  <c r="A694" i="27" s="1"/>
  <c r="A695" i="27" s="1"/>
  <c r="A696" i="27" s="1"/>
  <c r="A697" i="27" s="1"/>
  <c r="A698" i="27" s="1"/>
  <c r="A699" i="27" s="1"/>
  <c r="A700" i="27" s="1"/>
  <c r="A701" i="27" s="1"/>
  <c r="A702" i="27" s="1"/>
  <c r="A703" i="27" s="1"/>
  <c r="A704" i="27" s="1"/>
  <c r="A705" i="27" s="1"/>
  <c r="A706" i="27" s="1"/>
  <c r="A707" i="27" s="1"/>
  <c r="A708" i="27" s="1"/>
  <c r="A709" i="27" s="1"/>
  <c r="A710" i="27" s="1"/>
  <c r="A711" i="27" s="1"/>
  <c r="A712" i="27" s="1"/>
  <c r="A713" i="27" s="1"/>
  <c r="A714" i="27" s="1"/>
  <c r="A715" i="27" s="1"/>
  <c r="A716" i="27" s="1"/>
  <c r="A717" i="27" s="1"/>
  <c r="A718" i="27" s="1"/>
  <c r="A719" i="27" s="1"/>
  <c r="A720" i="27" s="1"/>
  <c r="A721" i="27" s="1"/>
  <c r="A722" i="27" s="1"/>
  <c r="A723" i="27" s="1"/>
  <c r="A724" i="27" s="1"/>
  <c r="A725" i="27" s="1"/>
  <c r="A726" i="27" s="1"/>
  <c r="A727" i="27" s="1"/>
  <c r="A728" i="27" s="1"/>
  <c r="A729" i="27" s="1"/>
  <c r="A730" i="27" s="1"/>
  <c r="A731" i="27" s="1"/>
  <c r="A732" i="27" s="1"/>
  <c r="A733" i="27" s="1"/>
  <c r="A734" i="27" s="1"/>
  <c r="A735" i="27" s="1"/>
  <c r="A736" i="27" s="1"/>
  <c r="A737" i="27" s="1"/>
  <c r="A738" i="27" s="1"/>
  <c r="A739" i="27" s="1"/>
  <c r="A740" i="27" s="1"/>
  <c r="A741" i="27" s="1"/>
  <c r="A742" i="27" s="1"/>
  <c r="A743" i="27" s="1"/>
  <c r="A744" i="27" s="1"/>
  <c r="A745" i="27" s="1"/>
  <c r="A746" i="27" s="1"/>
  <c r="A747" i="27" s="1"/>
  <c r="A748" i="27" s="1"/>
  <c r="A749" i="27" s="1"/>
  <c r="A750" i="27" s="1"/>
  <c r="A751" i="27" s="1"/>
  <c r="A752" i="27" s="1"/>
  <c r="A753" i="27" s="1"/>
  <c r="A754" i="27" s="1"/>
  <c r="A755" i="27" s="1"/>
  <c r="A756" i="27" s="1"/>
  <c r="A757" i="27" s="1"/>
  <c r="A758" i="27" s="1"/>
  <c r="A759" i="27" s="1"/>
  <c r="A760" i="27" s="1"/>
  <c r="A761" i="27" s="1"/>
  <c r="A762" i="27" s="1"/>
  <c r="A763" i="27" s="1"/>
  <c r="A764" i="27" s="1"/>
  <c r="A765" i="27" s="1"/>
  <c r="A766" i="27" s="1"/>
  <c r="A767" i="27" s="1"/>
  <c r="A768" i="27" s="1"/>
  <c r="A769" i="27" s="1"/>
  <c r="A770" i="27" s="1"/>
  <c r="A771" i="27" s="1"/>
  <c r="A772" i="27" s="1"/>
  <c r="A773" i="27" s="1"/>
  <c r="A774" i="27" s="1"/>
  <c r="A775" i="27" s="1"/>
  <c r="A776" i="27" s="1"/>
  <c r="A777" i="27" s="1"/>
  <c r="A778" i="27" s="1"/>
  <c r="A779" i="27" s="1"/>
  <c r="A780" i="27" s="1"/>
  <c r="A781" i="27" s="1"/>
  <c r="A782" i="27" s="1"/>
  <c r="A783" i="27" s="1"/>
  <c r="A784" i="27" s="1"/>
  <c r="A785" i="27" s="1"/>
  <c r="A786" i="27" s="1"/>
  <c r="A787" i="27" s="1"/>
  <c r="A788" i="27" s="1"/>
  <c r="A789" i="27" s="1"/>
  <c r="A790" i="27" s="1"/>
  <c r="A791" i="27" s="1"/>
  <c r="A792" i="27" s="1"/>
  <c r="A793" i="27" s="1"/>
  <c r="A794" i="27" s="1"/>
  <c r="A795" i="27" s="1"/>
  <c r="A796" i="27" s="1"/>
  <c r="A797" i="27" s="1"/>
  <c r="A798" i="27" s="1"/>
  <c r="A799" i="27" s="1"/>
  <c r="A800" i="27" s="1"/>
  <c r="A801" i="27" s="1"/>
  <c r="A802" i="27" s="1"/>
  <c r="A803" i="27" s="1"/>
  <c r="A804" i="27" s="1"/>
  <c r="A805" i="27" s="1"/>
  <c r="A806" i="27" s="1"/>
  <c r="A807" i="27" s="1"/>
  <c r="A808" i="27" s="1"/>
  <c r="A809" i="27" s="1"/>
  <c r="A810" i="27" s="1"/>
  <c r="A811" i="27" s="1"/>
  <c r="A812" i="27" s="1"/>
  <c r="A813" i="27" s="1"/>
  <c r="A814" i="27" s="1"/>
  <c r="A815" i="27" s="1"/>
  <c r="A816" i="27" s="1"/>
  <c r="A817" i="27" s="1"/>
  <c r="A818" i="27" s="1"/>
  <c r="A819" i="27" s="1"/>
  <c r="A820" i="27" s="1"/>
  <c r="A821" i="27" s="1"/>
  <c r="A822" i="27" s="1"/>
  <c r="A823" i="27" s="1"/>
  <c r="A824" i="27" s="1"/>
  <c r="A825" i="27" s="1"/>
  <c r="A826" i="27" s="1"/>
  <c r="A827" i="27" s="1"/>
  <c r="A828" i="27" s="1"/>
  <c r="A829" i="27" s="1"/>
  <c r="A830" i="27" s="1"/>
  <c r="A831" i="27" s="1"/>
  <c r="A832" i="27" s="1"/>
  <c r="A833" i="27" s="1"/>
  <c r="A834" i="27" s="1"/>
  <c r="A835" i="27" s="1"/>
  <c r="A836" i="27" s="1"/>
  <c r="A837" i="27" s="1"/>
  <c r="A838" i="27" s="1"/>
  <c r="A839" i="27" s="1"/>
  <c r="A840" i="27" s="1"/>
  <c r="A841" i="27" s="1"/>
  <c r="A842" i="27" s="1"/>
  <c r="A843" i="27" s="1"/>
  <c r="A844" i="27" s="1"/>
  <c r="A845" i="27" s="1"/>
  <c r="A846" i="27" s="1"/>
  <c r="A847" i="27" s="1"/>
  <c r="A848" i="27" s="1"/>
  <c r="A849" i="27" s="1"/>
  <c r="A850" i="27" s="1"/>
  <c r="A851" i="27" s="1"/>
  <c r="A852" i="27" s="1"/>
  <c r="A853" i="27" s="1"/>
  <c r="A854" i="27" s="1"/>
  <c r="A855" i="27" s="1"/>
  <c r="A856" i="27" s="1"/>
  <c r="A857" i="27" s="1"/>
  <c r="A858" i="27" s="1"/>
  <c r="A859" i="27" s="1"/>
  <c r="A860" i="27" s="1"/>
  <c r="A861" i="27" s="1"/>
  <c r="A862" i="27" s="1"/>
  <c r="A863" i="27" s="1"/>
  <c r="A864" i="27" s="1"/>
  <c r="A865" i="27" s="1"/>
  <c r="A866" i="27" s="1"/>
  <c r="A867" i="27" s="1"/>
  <c r="A868" i="27" s="1"/>
  <c r="A869" i="27" s="1"/>
  <c r="A870" i="27" s="1"/>
  <c r="A871" i="27" s="1"/>
  <c r="A872" i="27" s="1"/>
  <c r="A873" i="27" s="1"/>
  <c r="A874" i="27" s="1"/>
  <c r="A875" i="27" s="1"/>
  <c r="A876" i="27" s="1"/>
  <c r="A877" i="27" s="1"/>
  <c r="A878" i="27" s="1"/>
  <c r="A879" i="27" s="1"/>
  <c r="A880" i="27" s="1"/>
  <c r="A881" i="27" s="1"/>
  <c r="A882" i="27" s="1"/>
  <c r="A883" i="27" s="1"/>
  <c r="A884" i="27" s="1"/>
  <c r="A885" i="27" s="1"/>
  <c r="A886" i="27" s="1"/>
  <c r="A887" i="27" s="1"/>
  <c r="A888" i="27" s="1"/>
  <c r="A889" i="27" s="1"/>
  <c r="A890" i="27" s="1"/>
  <c r="A891" i="27" s="1"/>
  <c r="A892" i="27" s="1"/>
  <c r="A893" i="27" s="1"/>
  <c r="A894" i="27" s="1"/>
  <c r="A895" i="27" s="1"/>
  <c r="A896" i="27" s="1"/>
  <c r="A897" i="27" s="1"/>
  <c r="A898" i="27" s="1"/>
  <c r="A899" i="27" s="1"/>
  <c r="A900" i="27" s="1"/>
  <c r="A901" i="27" s="1"/>
  <c r="A902" i="27" s="1"/>
  <c r="A903" i="27" s="1"/>
  <c r="A904" i="27" s="1"/>
  <c r="A905" i="27" s="1"/>
  <c r="A906" i="27" s="1"/>
  <c r="A907" i="27" s="1"/>
  <c r="A908" i="27" s="1"/>
  <c r="A909" i="27" s="1"/>
  <c r="A910" i="27" s="1"/>
  <c r="A911" i="27" s="1"/>
  <c r="A912" i="27" s="1"/>
  <c r="A913" i="27" s="1"/>
  <c r="A914" i="27" s="1"/>
  <c r="A915" i="27" s="1"/>
  <c r="A916" i="27" s="1"/>
  <c r="A917" i="27" s="1"/>
  <c r="A918" i="27" s="1"/>
  <c r="A919" i="27" s="1"/>
  <c r="A920" i="27" s="1"/>
  <c r="A921" i="27" s="1"/>
  <c r="A922" i="27" s="1"/>
  <c r="A923" i="27" s="1"/>
  <c r="A924" i="27" s="1"/>
  <c r="A925" i="27" s="1"/>
  <c r="A926" i="27" s="1"/>
  <c r="A927" i="27" s="1"/>
  <c r="A928" i="27" s="1"/>
  <c r="A929" i="27" s="1"/>
  <c r="A930" i="27" s="1"/>
  <c r="A931" i="27" s="1"/>
  <c r="A932" i="27" s="1"/>
  <c r="A933" i="27" s="1"/>
  <c r="A934" i="27" s="1"/>
  <c r="A935" i="27" s="1"/>
  <c r="A936" i="27" s="1"/>
  <c r="A937" i="27" s="1"/>
  <c r="A938" i="27" s="1"/>
  <c r="A939" i="27" s="1"/>
  <c r="A940" i="27" s="1"/>
  <c r="A941" i="27" s="1"/>
  <c r="A942" i="27" s="1"/>
  <c r="A943" i="27" s="1"/>
  <c r="A944" i="27" s="1"/>
  <c r="A945" i="27" s="1"/>
  <c r="A946" i="27" s="1"/>
  <c r="A947" i="27" s="1"/>
  <c r="A948" i="27" s="1"/>
  <c r="A949" i="27" s="1"/>
  <c r="A950" i="27" s="1"/>
  <c r="A951" i="27" s="1"/>
  <c r="A952" i="27" s="1"/>
  <c r="A953" i="27" s="1"/>
  <c r="A954" i="27" s="1"/>
  <c r="A955" i="27" s="1"/>
  <c r="A956" i="27" s="1"/>
  <c r="A957" i="27" s="1"/>
  <c r="A958" i="27" s="1"/>
  <c r="A959" i="27" s="1"/>
  <c r="A960" i="27" s="1"/>
  <c r="A961" i="27" s="1"/>
  <c r="A962" i="27" s="1"/>
  <c r="A963" i="27" s="1"/>
  <c r="A964" i="27" s="1"/>
  <c r="A965" i="27" s="1"/>
  <c r="A966" i="27" s="1"/>
  <c r="A967" i="27" s="1"/>
  <c r="A968" i="27" s="1"/>
  <c r="A969" i="27" s="1"/>
  <c r="A970" i="27" s="1"/>
  <c r="A971" i="27" s="1"/>
  <c r="A972" i="27" s="1"/>
  <c r="A973" i="27" s="1"/>
  <c r="A974" i="27" s="1"/>
  <c r="A975" i="27" s="1"/>
  <c r="A976" i="27" s="1"/>
  <c r="A977" i="27" s="1"/>
  <c r="A978" i="27" s="1"/>
  <c r="A979" i="27" s="1"/>
  <c r="A980" i="27" s="1"/>
  <c r="A981" i="27" s="1"/>
  <c r="A982" i="27" s="1"/>
  <c r="A983" i="27" s="1"/>
  <c r="A984" i="27" s="1"/>
  <c r="A985" i="27" s="1"/>
  <c r="A986" i="27" s="1"/>
  <c r="A987" i="27" s="1"/>
  <c r="A988" i="27" s="1"/>
  <c r="A989" i="27" s="1"/>
  <c r="A990" i="27" s="1"/>
  <c r="A991" i="27" s="1"/>
  <c r="A992" i="27" s="1"/>
  <c r="A993" i="27" s="1"/>
  <c r="A994" i="27" s="1"/>
  <c r="A995" i="27" s="1"/>
  <c r="A996" i="27" s="1"/>
  <c r="A997" i="27" s="1"/>
  <c r="A998" i="27" s="1"/>
  <c r="A999" i="27" s="1"/>
  <c r="A1000" i="27" s="1"/>
  <c r="A1001" i="27" s="1"/>
  <c r="A1002" i="27" s="1"/>
  <c r="A1003" i="27" s="1"/>
  <c r="A1004" i="27" s="1"/>
  <c r="A1005" i="27" s="1"/>
  <c r="A1006" i="27" s="1"/>
  <c r="A1007" i="27" s="1"/>
  <c r="A1008" i="27" s="1"/>
  <c r="A1009" i="27" s="1"/>
  <c r="A1010" i="27" s="1"/>
  <c r="A1011" i="27" s="1"/>
  <c r="A1012" i="27" s="1"/>
  <c r="A1013" i="27" s="1"/>
  <c r="A1014" i="27" s="1"/>
  <c r="A1015" i="27" s="1"/>
  <c r="A1016" i="27" s="1"/>
  <c r="A1017" i="27" s="1"/>
  <c r="A1018" i="27" s="1"/>
  <c r="A1019" i="27" s="1"/>
  <c r="A1020" i="27" s="1"/>
  <c r="A1021" i="27" s="1"/>
  <c r="A1022" i="27" s="1"/>
  <c r="A1023" i="27" s="1"/>
  <c r="A1024" i="27" s="1"/>
  <c r="A1025" i="27" s="1"/>
  <c r="A1026" i="27" s="1"/>
  <c r="A1027" i="27" s="1"/>
  <c r="A1028" i="27" s="1"/>
  <c r="A1029" i="27" s="1"/>
  <c r="A1030" i="27" s="1"/>
  <c r="A1031" i="27" s="1"/>
  <c r="A1032" i="27" s="1"/>
  <c r="A1033" i="27" s="1"/>
  <c r="A1034" i="27" s="1"/>
  <c r="A1035" i="27" s="1"/>
  <c r="A1036" i="27" s="1"/>
  <c r="A1037" i="27" s="1"/>
  <c r="A1038" i="27" s="1"/>
  <c r="A1039" i="27" s="1"/>
  <c r="A1040" i="27" s="1"/>
  <c r="A1041" i="27" s="1"/>
  <c r="A1042" i="27" s="1"/>
  <c r="A1043" i="27" s="1"/>
  <c r="A1044" i="27" s="1"/>
  <c r="A1045" i="27" s="1"/>
  <c r="A1046" i="27" s="1"/>
  <c r="A1047" i="27" s="1"/>
  <c r="A1048" i="27" s="1"/>
  <c r="A1049" i="27" s="1"/>
  <c r="A1050" i="27" s="1"/>
  <c r="A1051" i="27" s="1"/>
  <c r="A1052" i="27" s="1"/>
  <c r="A1053" i="27" s="1"/>
  <c r="A1054" i="27" s="1"/>
  <c r="A1055" i="27" s="1"/>
  <c r="A1056" i="27" s="1"/>
  <c r="A1057" i="27" s="1"/>
  <c r="A1058" i="27" s="1"/>
  <c r="A1059" i="27" s="1"/>
  <c r="A1060" i="27" s="1"/>
  <c r="A1061" i="27" s="1"/>
  <c r="A1062" i="27" s="1"/>
  <c r="A1063" i="27" s="1"/>
  <c r="A1064" i="27" s="1"/>
  <c r="A1065" i="27" s="1"/>
  <c r="A1066" i="27" s="1"/>
  <c r="A1067" i="27" s="1"/>
  <c r="A1068" i="27" s="1"/>
  <c r="A1069" i="27" s="1"/>
  <c r="A1070" i="27" s="1"/>
  <c r="A1071" i="27" s="1"/>
  <c r="A1072" i="27" s="1"/>
  <c r="A1073" i="27" s="1"/>
  <c r="A1074" i="27" s="1"/>
  <c r="A1075" i="27" s="1"/>
  <c r="A1076" i="27" s="1"/>
  <c r="A1077" i="27" s="1"/>
  <c r="A1078" i="27" s="1"/>
  <c r="A1079" i="27" s="1"/>
  <c r="A1080" i="27" s="1"/>
  <c r="A1081" i="27" s="1"/>
  <c r="A1082" i="27" s="1"/>
  <c r="A1083" i="27" s="1"/>
  <c r="A1084" i="27" s="1"/>
  <c r="A1085" i="27" s="1"/>
  <c r="A1086" i="27" s="1"/>
  <c r="A1087" i="27" s="1"/>
  <c r="A1088" i="27" s="1"/>
  <c r="A1089" i="27" s="1"/>
  <c r="A1090" i="27" s="1"/>
  <c r="A1091" i="27" s="1"/>
  <c r="A1092" i="27" s="1"/>
  <c r="A1093" i="27" s="1"/>
  <c r="A1094" i="27" s="1"/>
  <c r="A1095" i="27" s="1"/>
  <c r="A1096" i="27" s="1"/>
  <c r="A1097" i="27" s="1"/>
  <c r="A1098" i="27" s="1"/>
  <c r="A1099" i="27" s="1"/>
  <c r="A1100" i="27" s="1"/>
  <c r="A1101" i="27" s="1"/>
  <c r="A1102" i="27" s="1"/>
  <c r="A1103" i="27" s="1"/>
  <c r="A1104" i="27" s="1"/>
  <c r="A1105" i="27" s="1"/>
  <c r="A1106" i="27" s="1"/>
  <c r="A1107" i="27" s="1"/>
  <c r="A1108" i="27" s="1"/>
  <c r="A1109" i="27" s="1"/>
  <c r="A1110" i="27" s="1"/>
  <c r="A1111" i="27" s="1"/>
  <c r="A1112" i="27" s="1"/>
  <c r="A1113" i="27" s="1"/>
  <c r="A1114" i="27" s="1"/>
  <c r="A1115" i="27" s="1"/>
  <c r="A1116" i="27" s="1"/>
  <c r="A1117" i="27" s="1"/>
  <c r="A1118" i="27" s="1"/>
  <c r="A1119" i="27" s="1"/>
  <c r="A1120" i="27" s="1"/>
  <c r="A1121" i="27" s="1"/>
  <c r="A1122" i="27" s="1"/>
  <c r="A1123" i="27" s="1"/>
  <c r="A1124" i="27" s="1"/>
  <c r="A1125" i="27" s="1"/>
  <c r="A1126" i="27" s="1"/>
  <c r="A1127" i="27" s="1"/>
  <c r="A1128" i="27" s="1"/>
  <c r="A1129" i="27" s="1"/>
  <c r="A1130" i="27" s="1"/>
  <c r="A1131" i="27" s="1"/>
  <c r="A1132" i="27" s="1"/>
  <c r="A1133" i="27" s="1"/>
  <c r="A1134" i="27" s="1"/>
  <c r="A1135" i="27" s="1"/>
  <c r="A1136" i="27" s="1"/>
  <c r="A1137" i="27" s="1"/>
  <c r="A1138" i="27" s="1"/>
  <c r="A1139" i="27" s="1"/>
  <c r="A1140" i="27" s="1"/>
  <c r="A1141" i="27" s="1"/>
  <c r="A1142" i="27" s="1"/>
  <c r="A1143" i="27" s="1"/>
  <c r="A1144" i="27" s="1"/>
  <c r="A1145" i="27" s="1"/>
  <c r="A1146" i="27" s="1"/>
  <c r="A1147" i="27" s="1"/>
  <c r="A1148" i="27" s="1"/>
  <c r="A1149" i="27" s="1"/>
  <c r="A1150" i="27" s="1"/>
  <c r="A1151" i="27" s="1"/>
  <c r="A1152" i="27" s="1"/>
  <c r="A1153" i="27" s="1"/>
  <c r="A1154" i="27" s="1"/>
  <c r="A1155" i="27" s="1"/>
  <c r="A1156" i="27" s="1"/>
  <c r="A1157" i="27" s="1"/>
  <c r="A1158" i="27" s="1"/>
  <c r="A1159" i="27" s="1"/>
  <c r="A1160" i="27" s="1"/>
  <c r="A1161" i="27" s="1"/>
  <c r="A1162" i="27" s="1"/>
  <c r="A1163" i="27" s="1"/>
  <c r="A1164" i="27" s="1"/>
  <c r="A1165" i="27" s="1"/>
  <c r="A1166" i="27" s="1"/>
  <c r="A1167" i="27" s="1"/>
  <c r="A1168" i="27" s="1"/>
  <c r="A1169" i="27" s="1"/>
  <c r="A1170" i="27" s="1"/>
  <c r="A1171" i="27" s="1"/>
  <c r="A1172" i="27" s="1"/>
  <c r="A1173" i="27" s="1"/>
  <c r="A1174" i="27" s="1"/>
  <c r="A1175" i="27" s="1"/>
  <c r="A1176" i="27" s="1"/>
  <c r="A1177" i="27" s="1"/>
  <c r="A1178" i="27" s="1"/>
  <c r="A1179" i="27" s="1"/>
  <c r="A1180" i="27" s="1"/>
  <c r="A1181" i="27" s="1"/>
  <c r="A1182" i="27" s="1"/>
  <c r="A1183" i="27" s="1"/>
  <c r="A1184" i="27" s="1"/>
  <c r="A1185" i="27" s="1"/>
  <c r="A1186" i="27" s="1"/>
  <c r="A1187" i="27" s="1"/>
  <c r="A1188" i="27" s="1"/>
  <c r="A1189" i="27" s="1"/>
  <c r="A1190" i="27" s="1"/>
  <c r="A1191" i="27" s="1"/>
  <c r="A1192" i="27" s="1"/>
  <c r="A1193" i="27" s="1"/>
  <c r="A1194" i="27" s="1"/>
  <c r="A1195" i="27" s="1"/>
  <c r="A1196" i="27" s="1"/>
  <c r="A1197" i="27" s="1"/>
  <c r="A1198" i="27" s="1"/>
  <c r="A1199" i="27" s="1"/>
  <c r="A1200" i="27" s="1"/>
  <c r="A1201" i="27" s="1"/>
  <c r="A1202" i="27" s="1"/>
  <c r="A1203" i="27" s="1"/>
  <c r="A1204" i="27" s="1"/>
  <c r="A1205" i="27" s="1"/>
  <c r="A1206" i="27" s="1"/>
  <c r="A1207" i="27" s="1"/>
  <c r="A1208" i="27" s="1"/>
  <c r="A1209" i="27" s="1"/>
  <c r="A1210" i="27" s="1"/>
  <c r="A1211" i="27" s="1"/>
  <c r="A1212" i="27" s="1"/>
  <c r="A1213" i="27" s="1"/>
  <c r="A1214" i="27" s="1"/>
  <c r="A1215" i="27" s="1"/>
  <c r="A1216" i="27" s="1"/>
  <c r="A1217" i="27" s="1"/>
  <c r="A1218" i="27" s="1"/>
  <c r="A1219" i="27" s="1"/>
  <c r="A1220" i="27" s="1"/>
  <c r="A1221" i="27" s="1"/>
  <c r="A1222" i="27" s="1"/>
  <c r="A1223" i="27" s="1"/>
  <c r="A1224" i="27" s="1"/>
  <c r="A1225" i="27" s="1"/>
  <c r="A1226" i="27" s="1"/>
  <c r="A1227" i="27" s="1"/>
  <c r="A1228" i="27" s="1"/>
  <c r="A1229" i="27" s="1"/>
  <c r="A1230" i="27" s="1"/>
  <c r="A1231" i="27" s="1"/>
  <c r="A1232" i="27" s="1"/>
  <c r="A1233" i="27" s="1"/>
  <c r="A1234" i="27" s="1"/>
  <c r="A1235" i="27" s="1"/>
  <c r="A1236" i="27" s="1"/>
  <c r="A1237" i="27" s="1"/>
  <c r="A1238" i="27" s="1"/>
  <c r="A1239" i="27" s="1"/>
  <c r="A1240" i="27" s="1"/>
  <c r="A1241" i="27" s="1"/>
  <c r="A1242" i="27" s="1"/>
  <c r="A1243" i="27" s="1"/>
  <c r="A1244" i="27" s="1"/>
  <c r="A1245" i="27" s="1"/>
  <c r="A1246" i="27" s="1"/>
  <c r="A1247" i="27" s="1"/>
  <c r="A1248" i="27" s="1"/>
  <c r="A1249" i="27" s="1"/>
  <c r="A1250" i="27" s="1"/>
  <c r="A1251" i="27" s="1"/>
  <c r="A1252" i="27" s="1"/>
  <c r="A1253" i="27" s="1"/>
  <c r="A1254" i="27" s="1"/>
  <c r="A1255" i="27" s="1"/>
  <c r="A1256" i="27" s="1"/>
  <c r="A1257" i="27" s="1"/>
  <c r="A1258" i="27" s="1"/>
  <c r="A1259" i="27" s="1"/>
  <c r="A1260" i="27" s="1"/>
  <c r="A1261" i="27" s="1"/>
  <c r="A1262" i="27" s="1"/>
  <c r="A1263" i="27" s="1"/>
  <c r="A1264" i="27" s="1"/>
  <c r="A1265" i="27" s="1"/>
  <c r="A1266" i="27" s="1"/>
  <c r="A1267" i="27" s="1"/>
  <c r="A1268" i="27" s="1"/>
  <c r="A1269" i="27" s="1"/>
  <c r="A1270" i="27" s="1"/>
  <c r="A1271" i="27" s="1"/>
  <c r="A1272" i="27" s="1"/>
  <c r="A1273" i="27" s="1"/>
  <c r="A1274" i="27" s="1"/>
  <c r="A1275" i="27" s="1"/>
  <c r="A1276" i="27" s="1"/>
  <c r="A1277" i="27" s="1"/>
  <c r="A1278" i="27" s="1"/>
  <c r="A1279" i="27" s="1"/>
  <c r="A1280" i="27" s="1"/>
  <c r="A1281" i="27" s="1"/>
  <c r="A1282" i="27" s="1"/>
  <c r="A1283" i="27" s="1"/>
  <c r="A1284" i="27" s="1"/>
  <c r="A1285" i="27" s="1"/>
  <c r="A1286" i="27" s="1"/>
  <c r="A1287" i="27" s="1"/>
  <c r="A1288" i="27" s="1"/>
  <c r="A1289" i="27" s="1"/>
  <c r="A1290" i="27" s="1"/>
  <c r="A1291" i="27" s="1"/>
  <c r="A1292" i="27" s="1"/>
  <c r="A1293" i="27" s="1"/>
  <c r="A1294" i="27" s="1"/>
  <c r="A1295" i="27" s="1"/>
  <c r="A1296" i="27" s="1"/>
  <c r="A1297" i="27" s="1"/>
  <c r="A1298" i="27" s="1"/>
  <c r="A1299" i="27" s="1"/>
  <c r="A1300" i="27" s="1"/>
  <c r="A1301" i="27" s="1"/>
  <c r="A1302" i="27" s="1"/>
  <c r="A1303" i="27" s="1"/>
  <c r="A1304" i="27" s="1"/>
  <c r="A1305" i="27" s="1"/>
  <c r="A1306" i="27" s="1"/>
  <c r="A1307" i="27" s="1"/>
  <c r="A1308" i="27" s="1"/>
  <c r="A1309" i="27" s="1"/>
  <c r="A1310" i="27" s="1"/>
  <c r="A1311" i="27" s="1"/>
  <c r="A1312" i="27" s="1"/>
  <c r="A1313" i="27" s="1"/>
  <c r="A1314" i="27" s="1"/>
  <c r="A1315" i="27" s="1"/>
  <c r="A1316" i="27" s="1"/>
  <c r="A1317" i="27" s="1"/>
  <c r="A1318" i="27" s="1"/>
  <c r="A1319" i="27" s="1"/>
  <c r="A1320" i="27" s="1"/>
  <c r="A1321" i="27" s="1"/>
  <c r="A1322" i="27" s="1"/>
  <c r="A1323" i="27" s="1"/>
  <c r="A1324" i="27" s="1"/>
  <c r="A1325" i="27" s="1"/>
  <c r="A1326" i="27" s="1"/>
  <c r="A1327" i="27" s="1"/>
  <c r="A1328" i="27" s="1"/>
  <c r="A1329" i="27" s="1"/>
  <c r="A1330" i="27" s="1"/>
  <c r="A1331" i="27" s="1"/>
  <c r="A1332" i="27" s="1"/>
  <c r="A1333" i="27" s="1"/>
  <c r="A1334" i="27" s="1"/>
  <c r="A1335" i="27" s="1"/>
  <c r="A1336" i="27" s="1"/>
  <c r="A1337" i="27" s="1"/>
  <c r="A1338" i="27" s="1"/>
  <c r="A1339" i="27" s="1"/>
  <c r="A1340" i="27" s="1"/>
  <c r="A1341" i="27" s="1"/>
  <c r="A1342" i="27" s="1"/>
  <c r="A1343" i="27" s="1"/>
  <c r="A1344" i="27" s="1"/>
  <c r="A1345" i="27" s="1"/>
  <c r="A1346" i="27" s="1"/>
  <c r="A1347" i="27" s="1"/>
  <c r="A1348" i="27" s="1"/>
  <c r="A1349" i="27" s="1"/>
  <c r="A1350" i="27" s="1"/>
  <c r="A1351" i="27" s="1"/>
  <c r="A1352" i="27" s="1"/>
  <c r="A1353" i="27" s="1"/>
  <c r="A1354" i="27" s="1"/>
  <c r="A1355" i="27" s="1"/>
  <c r="A1356" i="27" s="1"/>
  <c r="A1357" i="27" s="1"/>
  <c r="A1358" i="27" s="1"/>
  <c r="A1359" i="27" s="1"/>
  <c r="A1360" i="27" s="1"/>
  <c r="A1361" i="27" s="1"/>
  <c r="A1362" i="27" s="1"/>
  <c r="A1363" i="27" s="1"/>
  <c r="A1364" i="27" s="1"/>
  <c r="A1365" i="27" s="1"/>
  <c r="A1366" i="27" s="1"/>
  <c r="A1367" i="27" s="1"/>
  <c r="A1368" i="27" s="1"/>
  <c r="A1369" i="27" s="1"/>
  <c r="A1370" i="27" s="1"/>
  <c r="A1371" i="27" s="1"/>
  <c r="A1372" i="27" s="1"/>
  <c r="A1373" i="27" s="1"/>
  <c r="A1374" i="27" s="1"/>
  <c r="A1375" i="27" s="1"/>
  <c r="A1376" i="27" s="1"/>
  <c r="A1377" i="27" s="1"/>
  <c r="A1378" i="27" s="1"/>
  <c r="A1379" i="27" s="1"/>
  <c r="A1380" i="27" s="1"/>
  <c r="A1381" i="27" s="1"/>
  <c r="A1382" i="27" s="1"/>
  <c r="A1383" i="27" s="1"/>
  <c r="A1384" i="27" s="1"/>
  <c r="A1385" i="27" s="1"/>
  <c r="A1386" i="27" s="1"/>
  <c r="A1387" i="27" s="1"/>
  <c r="A1388" i="27" s="1"/>
  <c r="A1389" i="27" s="1"/>
  <c r="A1390" i="27" s="1"/>
  <c r="A1391" i="27" s="1"/>
  <c r="A1392" i="27" s="1"/>
  <c r="A1393" i="27" s="1"/>
  <c r="A1394" i="27" s="1"/>
  <c r="A1395" i="27" s="1"/>
  <c r="A1396" i="27" s="1"/>
  <c r="A1397" i="27" s="1"/>
  <c r="A1398" i="27" s="1"/>
  <c r="A1399" i="27" s="1"/>
  <c r="A1400" i="27" s="1"/>
  <c r="A1401" i="27" s="1"/>
  <c r="A1402" i="27" s="1"/>
  <c r="A1403" i="27" s="1"/>
  <c r="A1404" i="27" s="1"/>
  <c r="A1405" i="27" s="1"/>
  <c r="A1406" i="27" s="1"/>
  <c r="A1407" i="27" s="1"/>
  <c r="A1408" i="27" s="1"/>
  <c r="A1409" i="27" s="1"/>
  <c r="A1410" i="27" s="1"/>
  <c r="A1411" i="27" s="1"/>
  <c r="A1412" i="27" s="1"/>
  <c r="A1413" i="27" s="1"/>
  <c r="A1414" i="27" s="1"/>
  <c r="A1415" i="27" s="1"/>
  <c r="A1416" i="27" s="1"/>
  <c r="A1417" i="27" s="1"/>
  <c r="A1418" i="27" s="1"/>
  <c r="A1419" i="27" s="1"/>
  <c r="A1420" i="27" s="1"/>
  <c r="A1421" i="27" s="1"/>
  <c r="A1422" i="27" s="1"/>
  <c r="A1423" i="27" s="1"/>
  <c r="A1424" i="27" s="1"/>
  <c r="A1425" i="27" s="1"/>
  <c r="A1426" i="27" s="1"/>
  <c r="A1427" i="27" s="1"/>
  <c r="A1428" i="27" s="1"/>
  <c r="A1429" i="27" s="1"/>
  <c r="A1430" i="27" s="1"/>
  <c r="A1431" i="27" s="1"/>
  <c r="A1432" i="27" s="1"/>
  <c r="A1433" i="27" s="1"/>
  <c r="A1434" i="27" s="1"/>
  <c r="A1435" i="27" s="1"/>
  <c r="A1436" i="27" s="1"/>
  <c r="A1437" i="27" s="1"/>
  <c r="A1438" i="27" s="1"/>
  <c r="A1439" i="27" s="1"/>
  <c r="A1440" i="27" s="1"/>
  <c r="A1441" i="27" s="1"/>
  <c r="A1442" i="27" s="1"/>
  <c r="A1443" i="27" s="1"/>
  <c r="A1444" i="27" s="1"/>
  <c r="A1445" i="27" s="1"/>
  <c r="A1446" i="27" s="1"/>
  <c r="A1447" i="27" s="1"/>
  <c r="A1448" i="27" s="1"/>
  <c r="A1449" i="27" s="1"/>
  <c r="A1450" i="27" s="1"/>
  <c r="A1451" i="27" s="1"/>
  <c r="A1452" i="27" s="1"/>
  <c r="A1453" i="27" s="1"/>
  <c r="A1454" i="27" s="1"/>
  <c r="A1455" i="27" s="1"/>
  <c r="A1456" i="27" s="1"/>
  <c r="A1457" i="27" s="1"/>
  <c r="A1458" i="27" s="1"/>
  <c r="A1459" i="27" s="1"/>
  <c r="A1460" i="27" s="1"/>
  <c r="A1461" i="27" s="1"/>
  <c r="A1462" i="27" s="1"/>
  <c r="A1463" i="27" s="1"/>
  <c r="A1464" i="27" s="1"/>
  <c r="A1465" i="27" s="1"/>
  <c r="A1466" i="27" s="1"/>
  <c r="A1467" i="27" s="1"/>
  <c r="A1468" i="27" s="1"/>
  <c r="A1469" i="27" s="1"/>
  <c r="A1470" i="27" s="1"/>
  <c r="A1471" i="27" s="1"/>
  <c r="A1472" i="27" s="1"/>
  <c r="A1473" i="27" s="1"/>
  <c r="A1474" i="27" s="1"/>
  <c r="A1475" i="27" s="1"/>
  <c r="A1476" i="27" s="1"/>
  <c r="A1477" i="27" s="1"/>
  <c r="A1478" i="27" s="1"/>
  <c r="A1479" i="27" s="1"/>
  <c r="A1480" i="27" s="1"/>
  <c r="A1481" i="27" s="1"/>
  <c r="A1482" i="27" s="1"/>
  <c r="A1483" i="27" s="1"/>
  <c r="A1484" i="27" s="1"/>
  <c r="A1485" i="27" s="1"/>
  <c r="A1486" i="27" s="1"/>
  <c r="A1487" i="27" s="1"/>
  <c r="A1488" i="27" s="1"/>
  <c r="A1489" i="27" s="1"/>
  <c r="A1490" i="27" s="1"/>
  <c r="A1491" i="27" s="1"/>
  <c r="A1492" i="27" s="1"/>
  <c r="A1493" i="27" s="1"/>
  <c r="A1494" i="27" s="1"/>
  <c r="A1495" i="27" s="1"/>
  <c r="A1496" i="27" s="1"/>
  <c r="A1497" i="27" s="1"/>
  <c r="A1498" i="27" s="1"/>
  <c r="A1499" i="27" s="1"/>
  <c r="A1500" i="27" s="1"/>
  <c r="A1501" i="27" s="1"/>
  <c r="A1502" i="27" s="1"/>
  <c r="A1503" i="27" s="1"/>
  <c r="A1504" i="27" s="1"/>
  <c r="A1505" i="27" s="1"/>
  <c r="A1506" i="27" s="1"/>
  <c r="A1507" i="27" s="1"/>
  <c r="A1508" i="27" s="1"/>
  <c r="A1509" i="27" s="1"/>
  <c r="A1510" i="27" s="1"/>
  <c r="A1511" i="27" s="1"/>
  <c r="A1512" i="27" s="1"/>
  <c r="A1513" i="27" s="1"/>
  <c r="A1514" i="27" s="1"/>
  <c r="A1515" i="27" s="1"/>
  <c r="A1516" i="27" s="1"/>
  <c r="A1517" i="27" s="1"/>
  <c r="A1518" i="27" s="1"/>
  <c r="A1519" i="27" s="1"/>
  <c r="A1520" i="27" s="1"/>
  <c r="A1521" i="27" s="1"/>
  <c r="A1522" i="27" s="1"/>
  <c r="A1523" i="27" s="1"/>
  <c r="A1524" i="27" s="1"/>
  <c r="A1525" i="27" s="1"/>
  <c r="A1526" i="27" s="1"/>
  <c r="A1527" i="27" s="1"/>
  <c r="A1528" i="27" s="1"/>
  <c r="A1529" i="27" s="1"/>
  <c r="A1530" i="27" s="1"/>
  <c r="A1531" i="27" s="1"/>
  <c r="A1532" i="27" s="1"/>
  <c r="A1533" i="27" s="1"/>
  <c r="A1534" i="27" s="1"/>
  <c r="A1535" i="27" s="1"/>
  <c r="A1536" i="27" s="1"/>
  <c r="A1537" i="27" s="1"/>
  <c r="A1538" i="27" s="1"/>
  <c r="A1539" i="27" s="1"/>
  <c r="A1540" i="27" s="1"/>
  <c r="A1541" i="27" s="1"/>
  <c r="A1542" i="27" s="1"/>
  <c r="A1543" i="27" s="1"/>
  <c r="A1544" i="27" s="1"/>
  <c r="A1545" i="27" s="1"/>
  <c r="A1546" i="27" s="1"/>
  <c r="A1547" i="27" s="1"/>
  <c r="A1548" i="27" s="1"/>
  <c r="A1549" i="27" s="1"/>
  <c r="A1550" i="27" s="1"/>
  <c r="A1551" i="27" s="1"/>
  <c r="A1552" i="27" s="1"/>
  <c r="A1553" i="27" s="1"/>
  <c r="A1554" i="27" s="1"/>
  <c r="A1555" i="27" s="1"/>
  <c r="A1556" i="27" s="1"/>
  <c r="A1557" i="27" s="1"/>
  <c r="A1558" i="27" s="1"/>
  <c r="A1559" i="27" s="1"/>
  <c r="A1560" i="27" s="1"/>
  <c r="A1561" i="27" s="1"/>
  <c r="A1562" i="27" s="1"/>
  <c r="A1563" i="27" s="1"/>
  <c r="A1564" i="27" s="1"/>
  <c r="A1565" i="27" s="1"/>
  <c r="A1566" i="27" s="1"/>
  <c r="A1567" i="27" s="1"/>
  <c r="A1568" i="27" s="1"/>
  <c r="A1569" i="27" s="1"/>
  <c r="A1570" i="27" s="1"/>
  <c r="A1571" i="27" s="1"/>
  <c r="A1572" i="27" s="1"/>
  <c r="A1573" i="27" s="1"/>
  <c r="A1574" i="27" s="1"/>
  <c r="A1575" i="27" s="1"/>
  <c r="A1576" i="27" s="1"/>
  <c r="A1577" i="27" s="1"/>
  <c r="A1578" i="27" s="1"/>
  <c r="A1579" i="27" s="1"/>
  <c r="A1580" i="27" s="1"/>
  <c r="A1581" i="27" s="1"/>
  <c r="A1582" i="27" s="1"/>
  <c r="A1583" i="27" s="1"/>
  <c r="A1584" i="27" s="1"/>
  <c r="A1585" i="27" s="1"/>
  <c r="A1586" i="27" s="1"/>
  <c r="A1587" i="27" s="1"/>
  <c r="A1588" i="27" s="1"/>
  <c r="A1589" i="27" s="1"/>
  <c r="A1590" i="27" s="1"/>
  <c r="A1591" i="27" s="1"/>
  <c r="A1592" i="27" s="1"/>
  <c r="A1593" i="27" s="1"/>
  <c r="A1594" i="27" s="1"/>
  <c r="A1595" i="27" s="1"/>
  <c r="A1596" i="27" s="1"/>
  <c r="A1597" i="27" s="1"/>
  <c r="A1598" i="27" s="1"/>
  <c r="A1599" i="27" s="1"/>
  <c r="A1600" i="27" s="1"/>
  <c r="A1601" i="27" s="1"/>
  <c r="A1602" i="27" s="1"/>
  <c r="A1603" i="27" s="1"/>
  <c r="A1604" i="27" s="1"/>
  <c r="A1605" i="27" s="1"/>
  <c r="A1606" i="27" s="1"/>
  <c r="A1607" i="27" s="1"/>
  <c r="A1608" i="27" s="1"/>
  <c r="A1609" i="27" s="1"/>
  <c r="A1610" i="27" s="1"/>
  <c r="A1611" i="27" s="1"/>
  <c r="A1612" i="27" s="1"/>
  <c r="A1613" i="27" s="1"/>
  <c r="A1614" i="27" s="1"/>
  <c r="A1615" i="27" s="1"/>
  <c r="A1616" i="27" s="1"/>
  <c r="A1617" i="27" s="1"/>
  <c r="A1618" i="27" s="1"/>
  <c r="A1619" i="27" s="1"/>
  <c r="A1620" i="27" s="1"/>
  <c r="A1621" i="27" s="1"/>
  <c r="A1622" i="27" s="1"/>
  <c r="A1623" i="27" s="1"/>
  <c r="A1624" i="27" s="1"/>
  <c r="A1625" i="27" s="1"/>
  <c r="A1626" i="27" s="1"/>
  <c r="A1627" i="27" s="1"/>
  <c r="A1628" i="27" s="1"/>
  <c r="A1629" i="27" s="1"/>
  <c r="A1630" i="27" s="1"/>
  <c r="A1631" i="27" s="1"/>
  <c r="A1632" i="27" s="1"/>
  <c r="A1633" i="27" s="1"/>
  <c r="A1634" i="27" s="1"/>
  <c r="A1635" i="27" s="1"/>
  <c r="A1636" i="27" s="1"/>
  <c r="A1637" i="27" s="1"/>
  <c r="A1638" i="27" s="1"/>
  <c r="A1639" i="27" s="1"/>
  <c r="A1640" i="27" s="1"/>
  <c r="A1641" i="27" s="1"/>
  <c r="A1642" i="27" s="1"/>
  <c r="A1643" i="27" s="1"/>
  <c r="A1644" i="27" s="1"/>
  <c r="A1645" i="27" s="1"/>
  <c r="A1646" i="27" s="1"/>
  <c r="A1647" i="27" s="1"/>
  <c r="A1648" i="27" s="1"/>
  <c r="A1649" i="27" s="1"/>
  <c r="A1650" i="27" s="1"/>
  <c r="A1651" i="27" s="1"/>
  <c r="A1652" i="27" s="1"/>
  <c r="A1653" i="27" s="1"/>
  <c r="A1654" i="27" s="1"/>
  <c r="A1655" i="27" s="1"/>
  <c r="A1656" i="27" s="1"/>
  <c r="A1657" i="27" s="1"/>
  <c r="A1658" i="27" s="1"/>
  <c r="A1659" i="27" s="1"/>
  <c r="A1660" i="27" s="1"/>
  <c r="A1661" i="27" s="1"/>
  <c r="A1662" i="27" s="1"/>
  <c r="A1663" i="27" s="1"/>
  <c r="A1664" i="27" s="1"/>
  <c r="A1665" i="27" s="1"/>
  <c r="A1666" i="27" s="1"/>
  <c r="A1667" i="27" s="1"/>
  <c r="A1668" i="27" s="1"/>
  <c r="A1669" i="27" s="1"/>
  <c r="A1670" i="27" s="1"/>
  <c r="A1671" i="27" s="1"/>
  <c r="A1672" i="27" s="1"/>
  <c r="A1673" i="27" s="1"/>
  <c r="A1674" i="27" s="1"/>
  <c r="A1675" i="27" s="1"/>
  <c r="A1676" i="27" s="1"/>
  <c r="A1677" i="27" s="1"/>
  <c r="A1678" i="27" s="1"/>
  <c r="A1679" i="27" s="1"/>
  <c r="A1680" i="27" s="1"/>
  <c r="A1681" i="27" s="1"/>
  <c r="A1682" i="27" s="1"/>
  <c r="A1683" i="27" s="1"/>
  <c r="A1684" i="27" s="1"/>
  <c r="A1685" i="27" s="1"/>
  <c r="A1686" i="27" s="1"/>
  <c r="A1687" i="27" s="1"/>
  <c r="A1688" i="27" s="1"/>
  <c r="A1689" i="27" s="1"/>
  <c r="A1690" i="27" s="1"/>
  <c r="A1691" i="27" s="1"/>
  <c r="A1692" i="27" s="1"/>
  <c r="A1693" i="27" s="1"/>
  <c r="A1694" i="27" s="1"/>
  <c r="A1695" i="27" s="1"/>
  <c r="A1696" i="27" s="1"/>
  <c r="A1697" i="27" s="1"/>
  <c r="A1698" i="27" s="1"/>
  <c r="A1699" i="27" s="1"/>
  <c r="A1700" i="27" s="1"/>
  <c r="A1701" i="27" s="1"/>
  <c r="A1702" i="27" s="1"/>
  <c r="A1703" i="27" s="1"/>
  <c r="A1704" i="27" s="1"/>
  <c r="A1705" i="27" s="1"/>
  <c r="A1706" i="27" s="1"/>
  <c r="A1707" i="27" s="1"/>
  <c r="A1708" i="27" s="1"/>
  <c r="A1709" i="27" s="1"/>
  <c r="A1710" i="27" s="1"/>
  <c r="A1711" i="27" s="1"/>
  <c r="A1712" i="27" s="1"/>
  <c r="A1713" i="27" s="1"/>
  <c r="A1714" i="27" s="1"/>
  <c r="A1715" i="27" s="1"/>
  <c r="A1716" i="27" s="1"/>
  <c r="A1717" i="27" s="1"/>
  <c r="A1718" i="27" s="1"/>
  <c r="A1719" i="27" s="1"/>
  <c r="A1720" i="27" s="1"/>
  <c r="A1721" i="27" s="1"/>
  <c r="A1722" i="27" s="1"/>
  <c r="A1723" i="27" s="1"/>
  <c r="A1724" i="27" s="1"/>
  <c r="A1725" i="27" s="1"/>
  <c r="A1726" i="27" s="1"/>
  <c r="A1727" i="27" s="1"/>
  <c r="A1728" i="27" s="1"/>
  <c r="A1729" i="27" s="1"/>
  <c r="A1730" i="27" s="1"/>
  <c r="A1731" i="27" s="1"/>
  <c r="A1732" i="27" s="1"/>
  <c r="A1733" i="27" s="1"/>
  <c r="A1734" i="27" s="1"/>
  <c r="A1735" i="27" s="1"/>
  <c r="A1736" i="27" s="1"/>
  <c r="A1737" i="27" s="1"/>
  <c r="A1738" i="27" s="1"/>
  <c r="A1739" i="27" s="1"/>
  <c r="A1740" i="27" s="1"/>
  <c r="A1741" i="27" s="1"/>
  <c r="A1742" i="27" s="1"/>
  <c r="A1743" i="27" s="1"/>
  <c r="A1744" i="27" s="1"/>
  <c r="A1745" i="27" s="1"/>
  <c r="A1746" i="27" s="1"/>
  <c r="A1747" i="27" s="1"/>
  <c r="A1748" i="27" s="1"/>
  <c r="AC20" i="33" a="1"/>
  <c r="AC20" i="33" s="1"/>
  <c r="T21" i="33" s="1"/>
  <c r="L15" i="33"/>
  <c r="I5" i="33"/>
  <c r="L13" i="33"/>
  <c r="K24" i="33"/>
  <c r="L10" i="33"/>
  <c r="I20" i="33"/>
  <c r="H27" i="33"/>
  <c r="L29" i="33"/>
  <c r="K3" i="33"/>
  <c r="H18" i="33"/>
  <c r="H30" i="33"/>
  <c r="I12" i="33"/>
  <c r="L23" i="33"/>
  <c r="L5" i="33"/>
  <c r="I13" i="33"/>
  <c r="H16" i="33"/>
  <c r="H28" i="33"/>
  <c r="H3" i="33"/>
  <c r="I8" i="33"/>
  <c r="H14" i="33"/>
  <c r="H26" i="33"/>
  <c r="H24" i="33"/>
  <c r="L6" i="33"/>
  <c r="I29" i="33"/>
  <c r="I21" i="33"/>
  <c r="Z20" i="33"/>
  <c r="AE8" i="33"/>
  <c r="S8" i="33" s="1"/>
  <c r="H9" i="5" s="1"/>
  <c r="L2" i="33"/>
  <c r="K28" i="33"/>
  <c r="K18" i="33"/>
  <c r="M18" i="33" s="1"/>
  <c r="L27" i="33"/>
  <c r="L19" i="33"/>
  <c r="L11" i="33"/>
  <c r="L3" i="33"/>
  <c r="K25" i="33"/>
  <c r="K17" i="33"/>
  <c r="K9" i="33"/>
  <c r="L24" i="33"/>
  <c r="I30" i="33"/>
  <c r="H2" i="33"/>
  <c r="H6" i="33"/>
  <c r="H12" i="33"/>
  <c r="I27" i="33"/>
  <c r="I19" i="33"/>
  <c r="I11" i="33"/>
  <c r="I3" i="33"/>
  <c r="H25" i="33"/>
  <c r="H17" i="33"/>
  <c r="J17" i="33" s="1"/>
  <c r="H9" i="33"/>
  <c r="I26" i="33"/>
  <c r="I18" i="33"/>
  <c r="K6" i="33"/>
  <c r="K20" i="33"/>
  <c r="K10" i="33"/>
  <c r="L25" i="33"/>
  <c r="L17" i="33"/>
  <c r="K31" i="33"/>
  <c r="K23" i="33"/>
  <c r="K15" i="33"/>
  <c r="K7" i="33"/>
  <c r="L30" i="33"/>
  <c r="L22" i="33"/>
  <c r="L14" i="33"/>
  <c r="H8" i="33"/>
  <c r="I28" i="33"/>
  <c r="J28" i="33" s="1"/>
  <c r="I2" i="33"/>
  <c r="H4" i="33"/>
  <c r="I25" i="33"/>
  <c r="I9" i="33"/>
  <c r="H31" i="33"/>
  <c r="H15" i="33"/>
  <c r="H7" i="33"/>
  <c r="I24" i="33"/>
  <c r="I16" i="33"/>
  <c r="L399" i="32"/>
  <c r="K16" i="33" s="1"/>
  <c r="K30" i="33"/>
  <c r="K12" i="33"/>
  <c r="L31" i="33"/>
  <c r="L7" i="33"/>
  <c r="K29" i="33"/>
  <c r="K21" i="33"/>
  <c r="K13" i="33"/>
  <c r="K5" i="33"/>
  <c r="M5" i="33" s="1"/>
  <c r="L28" i="33"/>
  <c r="L20" i="33"/>
  <c r="L12" i="33"/>
  <c r="L4" i="33"/>
  <c r="H22" i="33"/>
  <c r="J22" i="33" s="1"/>
  <c r="I31" i="33"/>
  <c r="I15" i="33"/>
  <c r="I7" i="33"/>
  <c r="H29" i="33"/>
  <c r="J29" i="33" s="1"/>
  <c r="H21" i="33"/>
  <c r="J21" i="33" s="1"/>
  <c r="H13" i="33"/>
  <c r="H5" i="33"/>
  <c r="J5" i="33" s="1"/>
  <c r="I14" i="33"/>
  <c r="J14" i="33" s="1"/>
  <c r="I6" i="33"/>
  <c r="K22" i="33"/>
  <c r="M22" i="33" s="1"/>
  <c r="K14" i="33"/>
  <c r="M14" i="33" s="1"/>
  <c r="K26" i="33"/>
  <c r="L21" i="33"/>
  <c r="K27" i="33"/>
  <c r="K11" i="33"/>
  <c r="L26" i="33"/>
  <c r="K4" i="33"/>
  <c r="H20" i="33"/>
  <c r="J20" i="33" s="1"/>
  <c r="T9" i="33"/>
  <c r="I10" i="5" s="1"/>
  <c r="T15" i="33"/>
  <c r="T23" i="33"/>
  <c r="G24" i="33" a="1"/>
  <c r="G24" i="33" s="1"/>
  <c r="G25" i="4" s="1"/>
  <c r="G2" i="33" a="1"/>
  <c r="G2" i="33" s="1"/>
  <c r="G3" i="4" s="1"/>
  <c r="G20" i="33" a="1"/>
  <c r="G20" i="33" s="1"/>
  <c r="G21" i="4" s="1"/>
  <c r="G4" i="33" a="1"/>
  <c r="G4" i="33" s="1"/>
  <c r="G5" i="4" s="1"/>
  <c r="G19" i="33" a="1"/>
  <c r="G19" i="33" s="1"/>
  <c r="G20" i="4" s="1"/>
  <c r="G3" i="33" a="1"/>
  <c r="G3" i="33" s="1"/>
  <c r="G4" i="4" s="1"/>
  <c r="G18" i="33" a="1"/>
  <c r="G18" i="33" s="1"/>
  <c r="G19" i="4" s="1"/>
  <c r="G25" i="33" a="1"/>
  <c r="G25" i="33" s="1"/>
  <c r="G27" i="4" s="1"/>
  <c r="G9" i="33" a="1"/>
  <c r="G9" i="33" s="1"/>
  <c r="G10" i="4" s="1"/>
  <c r="F8" i="33"/>
  <c r="F9" i="4" s="1"/>
  <c r="G16" i="33" a="1"/>
  <c r="G16" i="33" s="1"/>
  <c r="G17" i="4" s="1"/>
  <c r="G31" i="33" a="1"/>
  <c r="G31" i="33" s="1"/>
  <c r="G32" i="4" s="1"/>
  <c r="G15" i="33" a="1"/>
  <c r="G15" i="33" s="1"/>
  <c r="G16" i="4" s="1"/>
  <c r="G30" i="33" a="1"/>
  <c r="G30" i="33" s="1"/>
  <c r="G31" i="4" s="1"/>
  <c r="G14" i="33" a="1"/>
  <c r="G14" i="33" s="1"/>
  <c r="G15" i="4" s="1"/>
  <c r="G21" i="33" a="1"/>
  <c r="G21" i="33" s="1"/>
  <c r="G22" i="4" s="1"/>
  <c r="G5" i="33" a="1"/>
  <c r="G5" i="33" s="1"/>
  <c r="G6" i="4" s="1"/>
  <c r="G12" i="33" a="1"/>
  <c r="G12" i="33" s="1"/>
  <c r="G13" i="4" s="1"/>
  <c r="G27" i="33" a="1"/>
  <c r="G27" i="33" s="1"/>
  <c r="G28" i="4" s="1"/>
  <c r="G11" i="33" a="1"/>
  <c r="G11" i="33" s="1"/>
  <c r="G12" i="4" s="1"/>
  <c r="G26" i="33" a="1"/>
  <c r="G26" i="33" s="1"/>
  <c r="G26" i="4" s="1"/>
  <c r="G10" i="33" a="1"/>
  <c r="G10" i="33" s="1"/>
  <c r="G11" i="4" s="1"/>
  <c r="G17" i="33" a="1"/>
  <c r="G17" i="33" s="1"/>
  <c r="G18" i="4" s="1"/>
  <c r="G28" i="33" a="1"/>
  <c r="G28" i="33" s="1"/>
  <c r="G29" i="4" s="1"/>
  <c r="G8" i="33" a="1"/>
  <c r="G8" i="33" s="1"/>
  <c r="G9" i="4" s="1"/>
  <c r="G23" i="33" a="1"/>
  <c r="G23" i="33" s="1"/>
  <c r="G24" i="4" s="1"/>
  <c r="G7" i="33" a="1"/>
  <c r="G7" i="33" s="1"/>
  <c r="G8" i="4" s="1"/>
  <c r="G22" i="33" a="1"/>
  <c r="G22" i="33" s="1"/>
  <c r="G23" i="4" s="1"/>
  <c r="G6" i="33" a="1"/>
  <c r="G6" i="33" s="1"/>
  <c r="G7" i="4" s="1"/>
  <c r="G29" i="33" a="1"/>
  <c r="G29" i="33" s="1"/>
  <c r="G30" i="4" s="1"/>
  <c r="AJ230" i="30"/>
  <c r="AF230" i="30"/>
  <c r="AB230" i="30"/>
  <c r="X230" i="30"/>
  <c r="AK229" i="30"/>
  <c r="AG229" i="30"/>
  <c r="AC229" i="30"/>
  <c r="Y229" i="30"/>
  <c r="U229" i="30"/>
  <c r="AH228" i="30"/>
  <c r="AD228" i="30"/>
  <c r="Z228" i="30"/>
  <c r="V228" i="30"/>
  <c r="AI227" i="30"/>
  <c r="AE227" i="30"/>
  <c r="AA227" i="30"/>
  <c r="W227" i="30"/>
  <c r="AJ226" i="30"/>
  <c r="AF226" i="30"/>
  <c r="AB226" i="30"/>
  <c r="X226" i="30"/>
  <c r="AI230" i="30"/>
  <c r="AE230" i="30"/>
  <c r="AA230" i="30"/>
  <c r="W230" i="30"/>
  <c r="AJ229" i="30"/>
  <c r="AF229" i="30"/>
  <c r="AB229" i="30"/>
  <c r="X229" i="30"/>
  <c r="AK228" i="30"/>
  <c r="AG228" i="30"/>
  <c r="AC228" i="30"/>
  <c r="Y228" i="30"/>
  <c r="U228" i="30"/>
  <c r="AH227" i="30"/>
  <c r="AD227" i="30"/>
  <c r="Z227" i="30"/>
  <c r="V227" i="30"/>
  <c r="AI226" i="30"/>
  <c r="AE226" i="30"/>
  <c r="AA226" i="30"/>
  <c r="W226" i="30"/>
  <c r="AH230" i="30"/>
  <c r="AD230" i="30"/>
  <c r="Z230" i="30"/>
  <c r="V230" i="30"/>
  <c r="AI229" i="30"/>
  <c r="AE229" i="30"/>
  <c r="AA229" i="30"/>
  <c r="W229" i="30"/>
  <c r="AJ228" i="30"/>
  <c r="AF228" i="30"/>
  <c r="AB228" i="30"/>
  <c r="X228" i="30"/>
  <c r="AK227" i="30"/>
  <c r="AG227" i="30"/>
  <c r="AC227" i="30"/>
  <c r="Y227" i="30"/>
  <c r="U227" i="30"/>
  <c r="AH226" i="30"/>
  <c r="AD226" i="30"/>
  <c r="Z226" i="30"/>
  <c r="V226" i="30"/>
  <c r="AK230" i="30"/>
  <c r="AG230" i="30"/>
  <c r="AC230" i="30"/>
  <c r="Y230" i="30"/>
  <c r="U230" i="30"/>
  <c r="AH229" i="30"/>
  <c r="AD229" i="30"/>
  <c r="Z229" i="30"/>
  <c r="V229" i="30"/>
  <c r="AI228" i="30"/>
  <c r="AE228" i="30"/>
  <c r="AA228" i="30"/>
  <c r="W228" i="30"/>
  <c r="AJ227" i="30"/>
  <c r="AF227" i="30"/>
  <c r="AB227" i="30"/>
  <c r="X227" i="30"/>
  <c r="AK226" i="30"/>
  <c r="AG226" i="30"/>
  <c r="AC226" i="30"/>
  <c r="Y226" i="30"/>
  <c r="AH229" i="29"/>
  <c r="AD229" i="29"/>
  <c r="Z229" i="29"/>
  <c r="V229" i="29"/>
  <c r="AH228" i="29"/>
  <c r="AD228" i="29"/>
  <c r="Z228" i="29"/>
  <c r="V228" i="29"/>
  <c r="AH227" i="29"/>
  <c r="AD227" i="29"/>
  <c r="Z227" i="29"/>
  <c r="V227" i="29"/>
  <c r="AH226" i="29"/>
  <c r="AD226" i="29"/>
  <c r="Z226" i="29"/>
  <c r="V226" i="29"/>
  <c r="AH225" i="29"/>
  <c r="AD225" i="29"/>
  <c r="Z225" i="29"/>
  <c r="V225" i="29"/>
  <c r="AG229" i="29"/>
  <c r="AC229" i="29"/>
  <c r="Y229" i="29"/>
  <c r="U229" i="29"/>
  <c r="AG228" i="29"/>
  <c r="AC228" i="29"/>
  <c r="Y228" i="29"/>
  <c r="U228" i="29"/>
  <c r="AG227" i="29"/>
  <c r="AC227" i="29"/>
  <c r="Y227" i="29"/>
  <c r="U227" i="29"/>
  <c r="AG226" i="29"/>
  <c r="AC226" i="29"/>
  <c r="Y226" i="29"/>
  <c r="U226" i="29"/>
  <c r="AG225" i="29"/>
  <c r="AC225" i="29"/>
  <c r="Y225" i="29"/>
  <c r="U225" i="29"/>
  <c r="AF229" i="29"/>
  <c r="AB229" i="29"/>
  <c r="X229" i="29"/>
  <c r="T229" i="29"/>
  <c r="AF228" i="29"/>
  <c r="AB228" i="29"/>
  <c r="X228" i="29"/>
  <c r="T228" i="29"/>
  <c r="AF227" i="29"/>
  <c r="AB227" i="29"/>
  <c r="X227" i="29"/>
  <c r="T227" i="29"/>
  <c r="AF226" i="29"/>
  <c r="AB226" i="29"/>
  <c r="X226" i="29"/>
  <c r="T226" i="29"/>
  <c r="AF225" i="29"/>
  <c r="AB225" i="29"/>
  <c r="X225" i="29"/>
  <c r="T225" i="29"/>
  <c r="AE229" i="29"/>
  <c r="AA229" i="29"/>
  <c r="W229" i="29"/>
  <c r="S229" i="29"/>
  <c r="AE228" i="29"/>
  <c r="AA228" i="29"/>
  <c r="W228" i="29"/>
  <c r="S228" i="29"/>
  <c r="AE227" i="29"/>
  <c r="AA227" i="29"/>
  <c r="W227" i="29"/>
  <c r="S227" i="29"/>
  <c r="AE226" i="29"/>
  <c r="AA226" i="29"/>
  <c r="W226" i="29"/>
  <c r="S226" i="29"/>
  <c r="AE225" i="29"/>
  <c r="AA225" i="29"/>
  <c r="W225" i="29"/>
  <c r="B7" i="28"/>
  <c r="B8" i="28" s="1"/>
  <c r="B9" i="28" s="1"/>
  <c r="D3" i="28"/>
  <c r="D4" i="28" s="1"/>
  <c r="B4" i="28" s="1"/>
  <c r="I22" i="5" l="1"/>
  <c r="I24" i="5"/>
  <c r="I20" i="5"/>
  <c r="S30" i="33"/>
  <c r="T4" i="33"/>
  <c r="I5" i="5" s="1"/>
  <c r="J19" i="33"/>
  <c r="M24" i="33"/>
  <c r="U32" i="33" s="1"/>
  <c r="M11" i="33"/>
  <c r="J4" i="33"/>
  <c r="M19" i="33"/>
  <c r="M2" i="33"/>
  <c r="I10" i="33"/>
  <c r="H10" i="33"/>
  <c r="L16" i="33"/>
  <c r="H23" i="5"/>
  <c r="M13" i="33"/>
  <c r="J27" i="33"/>
  <c r="J30" i="33"/>
  <c r="M9" i="33"/>
  <c r="I34" i="5"/>
  <c r="AE2" i="33"/>
  <c r="S2" i="33" s="1"/>
  <c r="H3" i="5" s="1"/>
  <c r="AF24" i="33" a="1"/>
  <c r="AF24" i="33" s="1"/>
  <c r="Z24" i="33"/>
  <c r="AE24" i="33"/>
  <c r="S24" i="33" s="1"/>
  <c r="H31" i="5" s="1"/>
  <c r="AB24" i="33"/>
  <c r="S25" i="33" s="1"/>
  <c r="AC24" i="33" a="1"/>
  <c r="AC24" i="33" s="1"/>
  <c r="T25" i="33" s="1"/>
  <c r="AC2" i="33" a="1"/>
  <c r="AC2" i="33" s="1"/>
  <c r="T3" i="33" s="1"/>
  <c r="Z2" i="33"/>
  <c r="AF2" i="33" a="1"/>
  <c r="AF2" i="33" s="1"/>
  <c r="T2" i="33" s="1"/>
  <c r="AB2" i="33"/>
  <c r="S3" i="33" s="1"/>
  <c r="H15" i="5"/>
  <c r="AB16" i="33"/>
  <c r="S17" i="33" s="1"/>
  <c r="Z16" i="33"/>
  <c r="AE16" i="33"/>
  <c r="S16" i="33" s="1"/>
  <c r="H17" i="5" s="1"/>
  <c r="AF16" i="33" a="1"/>
  <c r="AF16" i="33" s="1"/>
  <c r="T16" i="33" s="1"/>
  <c r="I17" i="5" s="1"/>
  <c r="AC16" i="33" a="1"/>
  <c r="AC16" i="33" s="1"/>
  <c r="T17" i="33" s="1"/>
  <c r="I18" i="5" s="1"/>
  <c r="J11" i="33"/>
  <c r="M29" i="33"/>
  <c r="J13" i="33"/>
  <c r="T24" i="33"/>
  <c r="I25" i="5" s="1"/>
  <c r="T26" i="33"/>
  <c r="I27" i="5" s="1"/>
  <c r="T30" i="33"/>
  <c r="M15" i="33"/>
  <c r="M3" i="33"/>
  <c r="J16" i="33"/>
  <c r="M10" i="33"/>
  <c r="J3" i="33"/>
  <c r="J12" i="33"/>
  <c r="M27" i="33"/>
  <c r="J18" i="33"/>
  <c r="B3" i="28"/>
  <c r="J8" i="33"/>
  <c r="M23" i="33"/>
  <c r="T22" i="33"/>
  <c r="M4" i="33"/>
  <c r="T28" i="33"/>
  <c r="M30" i="33"/>
  <c r="M6" i="33"/>
  <c r="J26" i="33"/>
  <c r="U33" i="33" s="1"/>
  <c r="T12" i="33"/>
  <c r="I13" i="5" s="1"/>
  <c r="M6" i="27"/>
  <c r="M8" i="27"/>
  <c r="M67" i="27"/>
  <c r="M23" i="27"/>
  <c r="M121" i="27"/>
  <c r="M28" i="27"/>
  <c r="M80" i="27"/>
  <c r="M104" i="27"/>
  <c r="M68" i="27"/>
  <c r="M151" i="27"/>
  <c r="M50" i="27"/>
  <c r="M46" i="27"/>
  <c r="M75" i="27"/>
  <c r="M38" i="27"/>
  <c r="M58" i="27"/>
  <c r="M49" i="27"/>
  <c r="M52" i="27"/>
  <c r="M152" i="27"/>
  <c r="M109" i="27"/>
  <c r="M10" i="27"/>
  <c r="M7" i="27"/>
  <c r="M120" i="27"/>
  <c r="M15" i="27"/>
  <c r="M110" i="27"/>
  <c r="M5" i="27"/>
  <c r="M95" i="27"/>
  <c r="M73" i="27"/>
  <c r="M44" i="27"/>
  <c r="M136" i="27"/>
  <c r="M102" i="27"/>
  <c r="M131" i="27"/>
  <c r="M66" i="27"/>
  <c r="M122" i="27"/>
  <c r="M87" i="27"/>
  <c r="M153" i="27"/>
  <c r="M117" i="27"/>
  <c r="M11" i="27"/>
  <c r="M96" i="27"/>
  <c r="M105" i="27"/>
  <c r="M116" i="27"/>
  <c r="M93" i="27"/>
  <c r="M54" i="27"/>
  <c r="M60" i="27"/>
  <c r="M83" i="27"/>
  <c r="M112" i="27"/>
  <c r="M137" i="27"/>
  <c r="M74" i="27"/>
  <c r="M100" i="27"/>
  <c r="M103" i="27"/>
  <c r="M156" i="27"/>
  <c r="M129" i="27"/>
  <c r="M47" i="27"/>
  <c r="M65" i="27"/>
  <c r="M126" i="27"/>
  <c r="M27" i="27"/>
  <c r="M155" i="27"/>
  <c r="M81" i="27"/>
  <c r="M82" i="27"/>
  <c r="M31" i="27"/>
  <c r="M143" i="27"/>
  <c r="M113" i="27"/>
  <c r="M70" i="27"/>
  <c r="M134" i="27"/>
  <c r="M92" i="27"/>
  <c r="M35" i="27"/>
  <c r="M99" i="27"/>
  <c r="M16" i="27"/>
  <c r="M148" i="27"/>
  <c r="M145" i="27"/>
  <c r="M97" i="27"/>
  <c r="M20" i="27"/>
  <c r="M26" i="27"/>
  <c r="M90" i="27"/>
  <c r="M154" i="27"/>
  <c r="M132" i="27"/>
  <c r="M55" i="27"/>
  <c r="M119" i="27"/>
  <c r="M56" i="27"/>
  <c r="M61" i="27"/>
  <c r="M25" i="27"/>
  <c r="M101" i="27"/>
  <c r="M146" i="27"/>
  <c r="M79" i="27"/>
  <c r="M29" i="27"/>
  <c r="M14" i="27"/>
  <c r="M78" i="27"/>
  <c r="M142" i="27"/>
  <c r="M108" i="27"/>
  <c r="M43" i="27"/>
  <c r="M107" i="27"/>
  <c r="M32" i="27"/>
  <c r="M13" i="27"/>
  <c r="M85" i="27"/>
  <c r="M21" i="27"/>
  <c r="M9" i="27"/>
  <c r="M139" i="27"/>
  <c r="M141" i="27"/>
  <c r="M34" i="27"/>
  <c r="M127" i="27"/>
  <c r="M37" i="27"/>
  <c r="M118" i="27"/>
  <c r="M19" i="27"/>
  <c r="M147" i="27"/>
  <c r="M33" i="27"/>
  <c r="M114" i="27"/>
  <c r="M138" i="27"/>
  <c r="M39" i="27"/>
  <c r="M24" i="27"/>
  <c r="M53" i="27"/>
  <c r="M98" i="27"/>
  <c r="M72" i="27"/>
  <c r="M62" i="27"/>
  <c r="M76" i="27"/>
  <c r="M91" i="27"/>
  <c r="M128" i="27"/>
  <c r="M17" i="27"/>
  <c r="M130" i="27"/>
  <c r="M63" i="27"/>
  <c r="M40" i="27"/>
  <c r="M57" i="27"/>
  <c r="M22" i="27"/>
  <c r="M86" i="27"/>
  <c r="M150" i="27"/>
  <c r="M124" i="27"/>
  <c r="M51" i="27"/>
  <c r="M115" i="27"/>
  <c r="M48" i="27"/>
  <c r="M45" i="27"/>
  <c r="M149" i="27"/>
  <c r="M69" i="27"/>
  <c r="M144" i="27"/>
  <c r="M42" i="27"/>
  <c r="M106" i="27"/>
  <c r="M36" i="27"/>
  <c r="M71" i="27"/>
  <c r="M135" i="27"/>
  <c r="M88" i="27"/>
  <c r="M125" i="27"/>
  <c r="M89" i="27"/>
  <c r="M18" i="27"/>
  <c r="M84" i="27"/>
  <c r="M111" i="27"/>
  <c r="M157" i="27"/>
  <c r="M30" i="27"/>
  <c r="M94" i="27"/>
  <c r="M12" i="27"/>
  <c r="M140" i="27"/>
  <c r="M59" i="27"/>
  <c r="M123" i="27"/>
  <c r="M64" i="27"/>
  <c r="M77" i="27"/>
  <c r="M41" i="27"/>
  <c r="M133" i="27"/>
  <c r="M16" i="33"/>
  <c r="T14" i="33"/>
  <c r="J24" i="33"/>
  <c r="J31" i="33"/>
  <c r="J9" i="33"/>
  <c r="J6" i="33"/>
  <c r="M25" i="33"/>
  <c r="M21" i="33"/>
  <c r="M12" i="33"/>
  <c r="M31" i="33"/>
  <c r="M20" i="33"/>
  <c r="J2" i="33"/>
  <c r="M26" i="33"/>
  <c r="J7" i="33"/>
  <c r="M7" i="33"/>
  <c r="J25" i="33"/>
  <c r="M28" i="33"/>
  <c r="I23" i="33"/>
  <c r="H23" i="33"/>
  <c r="L8" i="33"/>
  <c r="K8" i="33"/>
  <c r="J15" i="33"/>
  <c r="U31" i="33" s="1"/>
  <c r="J10" i="33"/>
  <c r="M17" i="33"/>
  <c r="T18" i="33"/>
  <c r="I19" i="5" s="1"/>
  <c r="T6" i="33"/>
  <c r="I7" i="5" s="1"/>
  <c r="T10" i="33"/>
  <c r="I11" i="5" s="1"/>
  <c r="T8" i="33"/>
  <c r="I9" i="5" s="1"/>
  <c r="T20" i="33"/>
  <c r="I21" i="5" s="1"/>
  <c r="B10" i="28"/>
  <c r="K22" i="27"/>
  <c r="K21" i="27"/>
  <c r="K20" i="27"/>
  <c r="K19" i="27"/>
  <c r="K18" i="27"/>
  <c r="K17" i="27"/>
  <c r="K16" i="27"/>
  <c r="K15" i="27"/>
  <c r="K14" i="27"/>
  <c r="K13" i="27"/>
  <c r="K12" i="27"/>
  <c r="K11" i="27"/>
  <c r="K10" i="27"/>
  <c r="K9" i="27"/>
  <c r="K8" i="27"/>
  <c r="K7" i="27"/>
  <c r="K6" i="27"/>
  <c r="K5" i="27"/>
  <c r="K4" i="27"/>
  <c r="T18" i="27"/>
  <c r="T17" i="27"/>
  <c r="I238" i="25"/>
  <c r="I239" i="25"/>
  <c r="I240" i="25"/>
  <c r="I241" i="25"/>
  <c r="I242" i="25"/>
  <c r="I243" i="25"/>
  <c r="I244" i="25"/>
  <c r="I245" i="25"/>
  <c r="I246" i="25"/>
  <c r="I247" i="25"/>
  <c r="I248" i="25"/>
  <c r="I249" i="25"/>
  <c r="I250" i="25"/>
  <c r="I251" i="25"/>
  <c r="I252" i="25"/>
  <c r="I253" i="25"/>
  <c r="I254" i="25"/>
  <c r="I255" i="25"/>
  <c r="I256" i="25"/>
  <c r="J238" i="25"/>
  <c r="J239" i="25"/>
  <c r="J240" i="25"/>
  <c r="J241" i="25"/>
  <c r="J242" i="25"/>
  <c r="J243" i="25"/>
  <c r="J244" i="25"/>
  <c r="J245" i="25"/>
  <c r="J246" i="25"/>
  <c r="J247" i="25"/>
  <c r="J248" i="25"/>
  <c r="J249" i="25"/>
  <c r="J250" i="25"/>
  <c r="J251" i="25"/>
  <c r="J252" i="25"/>
  <c r="J253" i="25"/>
  <c r="J254" i="25"/>
  <c r="J255" i="25"/>
  <c r="J256" i="25"/>
  <c r="T673" i="21"/>
  <c r="T674" i="21"/>
  <c r="T675" i="21"/>
  <c r="T676" i="21"/>
  <c r="T677" i="21"/>
  <c r="T678" i="21"/>
  <c r="T679" i="21"/>
  <c r="T680" i="21"/>
  <c r="T681" i="21"/>
  <c r="T682" i="21"/>
  <c r="T683" i="21"/>
  <c r="T684" i="21"/>
  <c r="T685" i="21"/>
  <c r="T686" i="21"/>
  <c r="T687" i="21"/>
  <c r="T688" i="21"/>
  <c r="T689" i="21"/>
  <c r="T690" i="21"/>
  <c r="T691" i="21"/>
  <c r="T692" i="21"/>
  <c r="T693" i="21"/>
  <c r="U673" i="21"/>
  <c r="U674" i="21"/>
  <c r="U675" i="21"/>
  <c r="U676" i="21"/>
  <c r="U677" i="21"/>
  <c r="U678" i="21"/>
  <c r="U679" i="21"/>
  <c r="U680" i="21"/>
  <c r="U681" i="21"/>
  <c r="U682" i="21"/>
  <c r="U683" i="21"/>
  <c r="U684" i="21"/>
  <c r="U685" i="21"/>
  <c r="U686" i="21"/>
  <c r="U687" i="21"/>
  <c r="U688" i="21"/>
  <c r="U689" i="21"/>
  <c r="U690" i="21"/>
  <c r="U691" i="21"/>
  <c r="U692" i="21"/>
  <c r="U693" i="21"/>
  <c r="U24" i="33" l="1"/>
  <c r="U17" i="33"/>
  <c r="H26" i="5"/>
  <c r="I26" i="5"/>
  <c r="U12" i="33"/>
  <c r="Q13" i="5" s="1"/>
  <c r="H18" i="5"/>
  <c r="I23" i="5"/>
  <c r="U19" i="33"/>
  <c r="H32" i="5"/>
  <c r="I32" i="5"/>
  <c r="I28" i="5"/>
  <c r="H25" i="5"/>
  <c r="H27" i="5"/>
  <c r="H30" i="5"/>
  <c r="H29" i="5"/>
  <c r="I30" i="5"/>
  <c r="H28" i="5"/>
  <c r="I29" i="5"/>
  <c r="I31" i="5"/>
  <c r="I33" i="5"/>
  <c r="U15" i="33"/>
  <c r="U28" i="33"/>
  <c r="I15" i="5"/>
  <c r="I3" i="5"/>
  <c r="H4" i="5"/>
  <c r="H16" i="5"/>
  <c r="I4" i="5"/>
  <c r="I16" i="5"/>
  <c r="U25" i="33"/>
  <c r="U6" i="33"/>
  <c r="Q7" i="5" s="1"/>
  <c r="U13" i="33"/>
  <c r="Q14" i="5" s="1"/>
  <c r="U20" i="33"/>
  <c r="U2" i="33"/>
  <c r="U16" i="33"/>
  <c r="Q17" i="5" s="1"/>
  <c r="U26" i="33"/>
  <c r="J23" i="33"/>
  <c r="U21" i="33"/>
  <c r="U27" i="33"/>
  <c r="U7" i="33"/>
  <c r="Q8" i="5" s="1"/>
  <c r="U11" i="33"/>
  <c r="Q12" i="5" s="1"/>
  <c r="U3" i="33"/>
  <c r="U4" i="33"/>
  <c r="Q5" i="5" s="1"/>
  <c r="M8" i="33"/>
  <c r="U14" i="33" s="1"/>
  <c r="U23" i="33"/>
  <c r="U29" i="33"/>
  <c r="U18" i="33"/>
  <c r="U8" i="33"/>
  <c r="Q9" i="5" s="1"/>
  <c r="N52" i="27"/>
  <c r="Q52" i="27"/>
  <c r="P52" i="27"/>
  <c r="O52" i="27"/>
  <c r="P54" i="27"/>
  <c r="O54" i="27"/>
  <c r="N54" i="27"/>
  <c r="Q54" i="27"/>
  <c r="P50" i="27"/>
  <c r="N50" i="27"/>
  <c r="O50" i="27"/>
  <c r="Q50" i="27"/>
  <c r="O53" i="27"/>
  <c r="N53" i="27"/>
  <c r="Q53" i="27"/>
  <c r="P53" i="27"/>
  <c r="Q47" i="27"/>
  <c r="P47" i="27"/>
  <c r="O47" i="27"/>
  <c r="N47" i="27"/>
  <c r="Q55" i="27"/>
  <c r="P55" i="27"/>
  <c r="O55" i="27"/>
  <c r="N55" i="27"/>
  <c r="P46" i="27"/>
  <c r="O46" i="27"/>
  <c r="N46" i="27"/>
  <c r="Q46" i="27"/>
  <c r="N48" i="27"/>
  <c r="P48" i="27"/>
  <c r="Q48" i="27"/>
  <c r="O48" i="27"/>
  <c r="O49" i="27"/>
  <c r="Q49" i="27"/>
  <c r="N49" i="27"/>
  <c r="P49" i="27"/>
  <c r="Q51" i="27"/>
  <c r="O51" i="27"/>
  <c r="P51" i="27"/>
  <c r="N51" i="27"/>
  <c r="U6" i="27"/>
  <c r="U10" i="27"/>
  <c r="T4" i="27"/>
  <c r="V5" i="27"/>
  <c r="T6" i="27"/>
  <c r="T8" i="27"/>
  <c r="T10" i="27"/>
  <c r="T5" i="27"/>
  <c r="V6" i="27"/>
  <c r="T7" i="27"/>
  <c r="T9" i="27"/>
  <c r="V10" i="27"/>
  <c r="V7" i="27"/>
  <c r="U5" i="27"/>
  <c r="U7" i="27"/>
  <c r="F237" i="25"/>
  <c r="I237" i="25" s="1"/>
  <c r="J237" i="25"/>
  <c r="T663" i="21"/>
  <c r="T664" i="21"/>
  <c r="T665" i="21"/>
  <c r="T666" i="21"/>
  <c r="T667" i="21"/>
  <c r="T668" i="21"/>
  <c r="T669" i="21"/>
  <c r="T670" i="21"/>
  <c r="T671" i="21"/>
  <c r="T672" i="21"/>
  <c r="U663" i="21"/>
  <c r="U664" i="21"/>
  <c r="U665" i="21"/>
  <c r="U666" i="21"/>
  <c r="U667" i="21"/>
  <c r="U668" i="21"/>
  <c r="U669" i="21"/>
  <c r="U670" i="21"/>
  <c r="U671" i="21"/>
  <c r="U672" i="21"/>
  <c r="Q21" i="5" l="1"/>
  <c r="Q22" i="5"/>
  <c r="U22" i="33"/>
  <c r="Q18" i="5"/>
  <c r="Q26" i="5"/>
  <c r="U30" i="33"/>
  <c r="Q27" i="5"/>
  <c r="Q28" i="5"/>
  <c r="Q25" i="5"/>
  <c r="Q31" i="5"/>
  <c r="Q30" i="5"/>
  <c r="Q29" i="5"/>
  <c r="Q23" i="5"/>
  <c r="Q33" i="5"/>
  <c r="Q34" i="5"/>
  <c r="Q4" i="5"/>
  <c r="Q16" i="5"/>
  <c r="Q15" i="5"/>
  <c r="Q3" i="5"/>
  <c r="U10" i="33"/>
  <c r="Q11" i="5" s="1"/>
  <c r="U5" i="33"/>
  <c r="Q6" i="5" s="1"/>
  <c r="U9" i="33"/>
  <c r="Q10" i="5" s="1"/>
  <c r="F236" i="25"/>
  <c r="I236" i="25" s="1"/>
  <c r="F235" i="25"/>
  <c r="I235" i="25" s="1"/>
  <c r="F234" i="25"/>
  <c r="I234" i="25" s="1"/>
  <c r="F233" i="25"/>
  <c r="I233" i="25" s="1"/>
  <c r="F232" i="25"/>
  <c r="I232" i="25" s="1"/>
  <c r="J236" i="25"/>
  <c r="J235" i="25"/>
  <c r="J234" i="25"/>
  <c r="J233" i="25"/>
  <c r="J232" i="25"/>
  <c r="Q19" i="5" l="1"/>
  <c r="Q20" i="5"/>
  <c r="Q32" i="5"/>
  <c r="Q24" i="5"/>
  <c r="F230" i="25"/>
  <c r="I230" i="25" s="1"/>
  <c r="F231" i="25"/>
  <c r="I231" i="25" s="1"/>
  <c r="J230" i="25"/>
  <c r="J231" i="25"/>
  <c r="F229" i="25"/>
  <c r="I229" i="25" s="1"/>
  <c r="J229" i="25"/>
  <c r="T611" i="21"/>
  <c r="T612" i="21"/>
  <c r="T613" i="21"/>
  <c r="T614" i="21"/>
  <c r="T615" i="21"/>
  <c r="T616" i="21"/>
  <c r="T617" i="21"/>
  <c r="T618" i="21"/>
  <c r="T619" i="21"/>
  <c r="T620" i="21"/>
  <c r="T621" i="21"/>
  <c r="T622" i="21"/>
  <c r="T623" i="21"/>
  <c r="T624" i="21"/>
  <c r="T625" i="21"/>
  <c r="T626" i="21"/>
  <c r="T627" i="21"/>
  <c r="T628" i="21"/>
  <c r="T629" i="21"/>
  <c r="T630" i="21"/>
  <c r="T631" i="21"/>
  <c r="T632" i="21"/>
  <c r="T633" i="21"/>
  <c r="T634" i="21"/>
  <c r="T635" i="21"/>
  <c r="T636" i="21"/>
  <c r="T637" i="21"/>
  <c r="T638" i="21"/>
  <c r="T639" i="21"/>
  <c r="T640" i="21"/>
  <c r="T641" i="21"/>
  <c r="T642" i="21"/>
  <c r="T643" i="21"/>
  <c r="T644" i="21"/>
  <c r="T645" i="21"/>
  <c r="T646" i="21"/>
  <c r="T647" i="21"/>
  <c r="T648" i="21"/>
  <c r="T649" i="21"/>
  <c r="T650" i="21"/>
  <c r="T651" i="21"/>
  <c r="T652" i="21"/>
  <c r="T653" i="21"/>
  <c r="T654" i="21"/>
  <c r="T655" i="21"/>
  <c r="T656" i="21"/>
  <c r="T657" i="21"/>
  <c r="T658" i="21"/>
  <c r="T659" i="21"/>
  <c r="T660" i="21"/>
  <c r="T661" i="21"/>
  <c r="T662" i="21"/>
  <c r="U611" i="21"/>
  <c r="U612" i="21"/>
  <c r="U613" i="21"/>
  <c r="U614" i="21"/>
  <c r="U615" i="21"/>
  <c r="U616" i="21"/>
  <c r="U617" i="21"/>
  <c r="U618" i="21"/>
  <c r="U619" i="21"/>
  <c r="U620" i="21"/>
  <c r="U621" i="21"/>
  <c r="U622" i="21"/>
  <c r="U623" i="21"/>
  <c r="U624" i="21"/>
  <c r="U625" i="21"/>
  <c r="U626" i="21"/>
  <c r="U627" i="21"/>
  <c r="U628" i="21"/>
  <c r="U629" i="21"/>
  <c r="U630" i="21"/>
  <c r="U631" i="21"/>
  <c r="U632" i="21"/>
  <c r="U633" i="21"/>
  <c r="U634" i="21"/>
  <c r="U635" i="21"/>
  <c r="U636" i="21"/>
  <c r="U637" i="21"/>
  <c r="U638" i="21"/>
  <c r="U639" i="21"/>
  <c r="U640" i="21"/>
  <c r="U641" i="21"/>
  <c r="U642" i="21"/>
  <c r="U643" i="21"/>
  <c r="U644" i="21"/>
  <c r="U645" i="21"/>
  <c r="U646" i="21"/>
  <c r="U647" i="21"/>
  <c r="U648" i="21"/>
  <c r="U649" i="21"/>
  <c r="U650" i="21"/>
  <c r="U651" i="21"/>
  <c r="U652" i="21"/>
  <c r="U653" i="21"/>
  <c r="U654" i="21"/>
  <c r="U655" i="21"/>
  <c r="U656" i="21"/>
  <c r="U657" i="21"/>
  <c r="U658" i="21"/>
  <c r="U659" i="21"/>
  <c r="U660" i="21"/>
  <c r="U661" i="21"/>
  <c r="U662" i="21"/>
  <c r="T606" i="21" l="1"/>
  <c r="T607" i="21"/>
  <c r="T608" i="21"/>
  <c r="T609" i="21"/>
  <c r="T610" i="21"/>
  <c r="U606" i="21"/>
  <c r="U607" i="21"/>
  <c r="U608" i="21"/>
  <c r="U609" i="21"/>
  <c r="U610" i="21"/>
  <c r="F222" i="22" l="1"/>
  <c r="I222" i="22" s="1"/>
  <c r="F223" i="22"/>
  <c r="I223" i="22" s="1"/>
  <c r="F224" i="22"/>
  <c r="I224" i="22" s="1"/>
  <c r="F225" i="22"/>
  <c r="I225" i="22" s="1"/>
  <c r="F226" i="22"/>
  <c r="I226" i="22" s="1"/>
  <c r="F227" i="22"/>
  <c r="I227" i="22" s="1"/>
  <c r="F228" i="22"/>
  <c r="I228" i="22" s="1"/>
  <c r="J222" i="22"/>
  <c r="J223" i="22"/>
  <c r="J224" i="22"/>
  <c r="J225" i="22"/>
  <c r="J226" i="22"/>
  <c r="J227" i="22"/>
  <c r="J228" i="22"/>
  <c r="F222" i="24"/>
  <c r="I222" i="24" s="1"/>
  <c r="F223" i="24"/>
  <c r="I223" i="24" s="1"/>
  <c r="F224" i="24"/>
  <c r="I224" i="24" s="1"/>
  <c r="F225" i="24"/>
  <c r="I225" i="24" s="1"/>
  <c r="F226" i="24"/>
  <c r="I226" i="24" s="1"/>
  <c r="F227" i="24"/>
  <c r="I227" i="24" s="1"/>
  <c r="F228" i="24"/>
  <c r="I228" i="24" s="1"/>
  <c r="J222" i="24"/>
  <c r="J223" i="24"/>
  <c r="J224" i="24"/>
  <c r="J225" i="24"/>
  <c r="J226" i="24"/>
  <c r="J227" i="24"/>
  <c r="J228" i="24"/>
  <c r="F228" i="25"/>
  <c r="I228" i="25" s="1"/>
  <c r="J228" i="25"/>
  <c r="F227" i="25"/>
  <c r="I227" i="25" s="1"/>
  <c r="J227" i="25"/>
  <c r="F226" i="25"/>
  <c r="I226" i="25" s="1"/>
  <c r="J226" i="25"/>
  <c r="F225" i="25"/>
  <c r="I225" i="25" s="1"/>
  <c r="J225" i="25"/>
  <c r="F224" i="25"/>
  <c r="I224" i="25" s="1"/>
  <c r="J224" i="25"/>
  <c r="F223" i="25"/>
  <c r="I223" i="25" s="1"/>
  <c r="J223" i="25"/>
  <c r="F222" i="25"/>
  <c r="I222" i="25" s="1"/>
  <c r="J222" i="25"/>
  <c r="T603" i="21" l="1"/>
  <c r="T604" i="21"/>
  <c r="T605" i="21"/>
  <c r="U603" i="21"/>
  <c r="U604" i="21"/>
  <c r="U605" i="21"/>
  <c r="F4" i="24" l="1"/>
  <c r="F5" i="24"/>
  <c r="F6" i="24"/>
  <c r="F7" i="24"/>
  <c r="F8" i="24"/>
  <c r="F9" i="24"/>
  <c r="F10" i="24"/>
  <c r="F11" i="24"/>
  <c r="F12" i="24"/>
  <c r="F13" i="24"/>
  <c r="F14" i="24"/>
  <c r="F15" i="24"/>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87" i="24"/>
  <c r="F88" i="24"/>
  <c r="F89" i="24"/>
  <c r="F90" i="24"/>
  <c r="F91" i="24"/>
  <c r="F92" i="24"/>
  <c r="F93" i="24"/>
  <c r="F94" i="24"/>
  <c r="F95" i="24"/>
  <c r="F96" i="24"/>
  <c r="F97" i="24"/>
  <c r="F98" i="24"/>
  <c r="F99" i="24"/>
  <c r="F100" i="24"/>
  <c r="F101" i="24"/>
  <c r="F102" i="24"/>
  <c r="F103" i="24"/>
  <c r="F104" i="24"/>
  <c r="F105" i="24"/>
  <c r="F106" i="24"/>
  <c r="F107" i="24"/>
  <c r="F108" i="24"/>
  <c r="F109" i="24"/>
  <c r="F110" i="24"/>
  <c r="F111" i="24"/>
  <c r="F112" i="24"/>
  <c r="F113" i="24"/>
  <c r="F114" i="24"/>
  <c r="F115" i="24"/>
  <c r="F116" i="24"/>
  <c r="F117" i="24"/>
  <c r="F118" i="24"/>
  <c r="F119" i="24"/>
  <c r="F120" i="24"/>
  <c r="F121" i="24"/>
  <c r="F122" i="24"/>
  <c r="F123" i="24"/>
  <c r="F124" i="24"/>
  <c r="F125" i="24"/>
  <c r="F126" i="24"/>
  <c r="F127" i="24"/>
  <c r="F128" i="24"/>
  <c r="F129" i="24"/>
  <c r="F130" i="24"/>
  <c r="F131" i="24"/>
  <c r="F132" i="24"/>
  <c r="F133" i="24"/>
  <c r="F134" i="24"/>
  <c r="F135" i="24"/>
  <c r="F136" i="24"/>
  <c r="F137" i="24"/>
  <c r="F138" i="24"/>
  <c r="F139" i="24"/>
  <c r="F140" i="24"/>
  <c r="F141" i="24"/>
  <c r="F142" i="24"/>
  <c r="F143" i="24"/>
  <c r="F144" i="24"/>
  <c r="F145" i="24"/>
  <c r="F146" i="24"/>
  <c r="F147" i="24"/>
  <c r="F148" i="24"/>
  <c r="F149" i="24"/>
  <c r="F150" i="24"/>
  <c r="F151" i="24"/>
  <c r="F152" i="24"/>
  <c r="F153" i="24"/>
  <c r="F154" i="24"/>
  <c r="F155" i="24"/>
  <c r="F156" i="24"/>
  <c r="F157" i="24"/>
  <c r="F158" i="24"/>
  <c r="F159" i="24"/>
  <c r="F160" i="24"/>
  <c r="F161" i="24"/>
  <c r="F162" i="24"/>
  <c r="F163" i="24"/>
  <c r="F164" i="24"/>
  <c r="F165" i="24"/>
  <c r="F166" i="24"/>
  <c r="F167" i="24"/>
  <c r="F168" i="24"/>
  <c r="F169" i="24"/>
  <c r="F170" i="24"/>
  <c r="F171" i="24"/>
  <c r="F172" i="24"/>
  <c r="F173" i="24"/>
  <c r="F174" i="24"/>
  <c r="F175" i="24"/>
  <c r="F176" i="24"/>
  <c r="F177" i="24"/>
  <c r="F178" i="24"/>
  <c r="F179" i="24"/>
  <c r="F180" i="24"/>
  <c r="F181" i="24"/>
  <c r="F182" i="24"/>
  <c r="F183" i="24"/>
  <c r="F184" i="24"/>
  <c r="F185" i="24"/>
  <c r="F186" i="24"/>
  <c r="F187" i="24"/>
  <c r="F188" i="24"/>
  <c r="F189" i="24"/>
  <c r="F190" i="24"/>
  <c r="F191" i="24"/>
  <c r="F192" i="24"/>
  <c r="F193" i="24"/>
  <c r="F194" i="24"/>
  <c r="F195" i="24"/>
  <c r="F196" i="24"/>
  <c r="F197" i="24"/>
  <c r="F198" i="24"/>
  <c r="F199" i="24"/>
  <c r="F200" i="24"/>
  <c r="F201" i="24"/>
  <c r="F202" i="24"/>
  <c r="F203" i="24"/>
  <c r="F204" i="24"/>
  <c r="F205" i="24"/>
  <c r="F206" i="24"/>
  <c r="F207" i="24"/>
  <c r="F208" i="24"/>
  <c r="F209" i="24"/>
  <c r="F210" i="24"/>
  <c r="F211" i="24"/>
  <c r="F212" i="24"/>
  <c r="F216" i="24"/>
  <c r="I216" i="24" s="1"/>
  <c r="F217" i="24"/>
  <c r="I217" i="24" s="1"/>
  <c r="F218" i="24"/>
  <c r="I218" i="24" s="1"/>
  <c r="F219" i="24"/>
  <c r="F220" i="24"/>
  <c r="I220" i="24" s="1"/>
  <c r="F221" i="24"/>
  <c r="I221" i="24" s="1"/>
  <c r="F213" i="24"/>
  <c r="F214" i="24"/>
  <c r="F215" i="24"/>
  <c r="I215" i="24" s="1"/>
  <c r="F4" i="22"/>
  <c r="F5" i="22"/>
  <c r="F6" i="22"/>
  <c r="F7" i="22"/>
  <c r="F8" i="22"/>
  <c r="F9" i="22"/>
  <c r="F10" i="22"/>
  <c r="F11" i="22"/>
  <c r="F12" i="22"/>
  <c r="F13" i="22"/>
  <c r="F14" i="22"/>
  <c r="F15" i="22"/>
  <c r="F16" i="22"/>
  <c r="F17" i="22"/>
  <c r="F18" i="22"/>
  <c r="F19" i="22"/>
  <c r="F20" i="22"/>
  <c r="F21" i="22"/>
  <c r="F22" i="22"/>
  <c r="F23" i="22"/>
  <c r="F24" i="22"/>
  <c r="F25" i="22"/>
  <c r="F26" i="22"/>
  <c r="F27" i="22"/>
  <c r="F28" i="22"/>
  <c r="F29" i="22"/>
  <c r="F30" i="22"/>
  <c r="F31" i="22"/>
  <c r="F32" i="22"/>
  <c r="F33" i="22"/>
  <c r="F34" i="22"/>
  <c r="F35" i="22"/>
  <c r="F36" i="22"/>
  <c r="F37" i="22"/>
  <c r="F38" i="22"/>
  <c r="F39" i="22"/>
  <c r="F40" i="22"/>
  <c r="F41" i="22"/>
  <c r="F42" i="22"/>
  <c r="F43" i="22"/>
  <c r="F44" i="22"/>
  <c r="F45" i="22"/>
  <c r="F46" i="22"/>
  <c r="F47" i="22"/>
  <c r="F48" i="22"/>
  <c r="F49" i="22"/>
  <c r="F50" i="22"/>
  <c r="F51" i="22"/>
  <c r="F52" i="22"/>
  <c r="F53" i="22"/>
  <c r="F54" i="22"/>
  <c r="F55" i="22"/>
  <c r="F56" i="22"/>
  <c r="F57" i="22"/>
  <c r="F58" i="22"/>
  <c r="F59" i="22"/>
  <c r="F60" i="22"/>
  <c r="F61" i="22"/>
  <c r="F62" i="22"/>
  <c r="F63" i="22"/>
  <c r="F64" i="22"/>
  <c r="F65" i="22"/>
  <c r="F66" i="22"/>
  <c r="F67" i="22"/>
  <c r="F68" i="22"/>
  <c r="F69" i="22"/>
  <c r="F70" i="22"/>
  <c r="F71" i="22"/>
  <c r="F72" i="22"/>
  <c r="F73" i="22"/>
  <c r="F74" i="22"/>
  <c r="F75" i="22"/>
  <c r="F76" i="22"/>
  <c r="F77" i="22"/>
  <c r="F78" i="22"/>
  <c r="F79" i="22"/>
  <c r="F80" i="22"/>
  <c r="F81" i="22"/>
  <c r="F82" i="22"/>
  <c r="F83" i="22"/>
  <c r="F84" i="22"/>
  <c r="F85" i="22"/>
  <c r="F86" i="22"/>
  <c r="F87" i="22"/>
  <c r="F88" i="22"/>
  <c r="F89" i="22"/>
  <c r="F90" i="22"/>
  <c r="F91" i="22"/>
  <c r="F92" i="22"/>
  <c r="F93" i="22"/>
  <c r="F94" i="22"/>
  <c r="F95" i="22"/>
  <c r="F96" i="22"/>
  <c r="F97" i="22"/>
  <c r="F98" i="22"/>
  <c r="F99" i="22"/>
  <c r="F100" i="22"/>
  <c r="F101" i="22"/>
  <c r="F102" i="22"/>
  <c r="F103" i="22"/>
  <c r="F104" i="22"/>
  <c r="F105" i="22"/>
  <c r="F106" i="22"/>
  <c r="F107" i="22"/>
  <c r="F108" i="22"/>
  <c r="F109" i="22"/>
  <c r="F110" i="22"/>
  <c r="F111" i="22"/>
  <c r="F112" i="22"/>
  <c r="F113" i="22"/>
  <c r="F114" i="22"/>
  <c r="F115" i="22"/>
  <c r="F116" i="22"/>
  <c r="F117" i="22"/>
  <c r="F118" i="22"/>
  <c r="F119" i="22"/>
  <c r="F120" i="22"/>
  <c r="F121" i="22"/>
  <c r="F122" i="22"/>
  <c r="F123" i="22"/>
  <c r="F124" i="22"/>
  <c r="F125" i="22"/>
  <c r="F126" i="22"/>
  <c r="F127" i="22"/>
  <c r="F128" i="22"/>
  <c r="F129" i="22"/>
  <c r="F130" i="22"/>
  <c r="F131" i="22"/>
  <c r="F132" i="22"/>
  <c r="F133" i="22"/>
  <c r="F134" i="22"/>
  <c r="F135" i="22"/>
  <c r="F136" i="22"/>
  <c r="F137" i="22"/>
  <c r="F138" i="22"/>
  <c r="F139" i="22"/>
  <c r="F140" i="22"/>
  <c r="F141" i="22"/>
  <c r="F142" i="22"/>
  <c r="F143" i="22"/>
  <c r="F144" i="22"/>
  <c r="F145" i="22"/>
  <c r="F146" i="22"/>
  <c r="F147" i="22"/>
  <c r="F148" i="22"/>
  <c r="F149" i="22"/>
  <c r="F150" i="22"/>
  <c r="F151" i="22"/>
  <c r="F152" i="22"/>
  <c r="F153" i="22"/>
  <c r="F154" i="22"/>
  <c r="F155" i="22"/>
  <c r="F156" i="22"/>
  <c r="F157" i="22"/>
  <c r="F158" i="22"/>
  <c r="F159" i="22"/>
  <c r="F160" i="22"/>
  <c r="F161" i="22"/>
  <c r="F162" i="22"/>
  <c r="F163" i="22"/>
  <c r="F164" i="22"/>
  <c r="F165" i="22"/>
  <c r="F166" i="22"/>
  <c r="F167" i="22"/>
  <c r="F168" i="22"/>
  <c r="F169" i="22"/>
  <c r="F170" i="22"/>
  <c r="F171" i="22"/>
  <c r="F172" i="22"/>
  <c r="F173" i="22"/>
  <c r="F174" i="22"/>
  <c r="F175" i="22"/>
  <c r="F176" i="22"/>
  <c r="F177" i="22"/>
  <c r="F178" i="22"/>
  <c r="F179" i="22"/>
  <c r="F180" i="22"/>
  <c r="F181" i="22"/>
  <c r="F182" i="22"/>
  <c r="F183" i="22"/>
  <c r="F184" i="22"/>
  <c r="F185" i="22"/>
  <c r="F186" i="22"/>
  <c r="F187" i="22"/>
  <c r="F188" i="22"/>
  <c r="F189" i="22"/>
  <c r="F190" i="22"/>
  <c r="F191" i="22"/>
  <c r="F192" i="22"/>
  <c r="F193" i="22"/>
  <c r="F194" i="22"/>
  <c r="F195" i="22"/>
  <c r="F196" i="22"/>
  <c r="F197" i="22"/>
  <c r="F198" i="22"/>
  <c r="F199" i="22"/>
  <c r="F200" i="22"/>
  <c r="F201" i="22"/>
  <c r="F202" i="22"/>
  <c r="F203" i="22"/>
  <c r="F204" i="22"/>
  <c r="F205" i="22"/>
  <c r="F206" i="22"/>
  <c r="F207" i="22"/>
  <c r="F208" i="22"/>
  <c r="F209" i="22"/>
  <c r="F210" i="22"/>
  <c r="F211" i="22"/>
  <c r="F212" i="22"/>
  <c r="F213" i="22"/>
  <c r="F215" i="22"/>
  <c r="F216" i="22"/>
  <c r="F217" i="22"/>
  <c r="F218" i="22"/>
  <c r="F219" i="22"/>
  <c r="F220" i="22"/>
  <c r="F221" i="22"/>
  <c r="F214" i="22"/>
  <c r="I215" i="22"/>
  <c r="I216" i="22"/>
  <c r="I217" i="22"/>
  <c r="I218" i="22"/>
  <c r="I219" i="22"/>
  <c r="I220" i="22"/>
  <c r="I221" i="22"/>
  <c r="J215" i="22"/>
  <c r="J216" i="22"/>
  <c r="J217" i="22"/>
  <c r="J218" i="22"/>
  <c r="J219" i="22"/>
  <c r="J220" i="22"/>
  <c r="J221" i="22"/>
  <c r="I219" i="24"/>
  <c r="J215" i="24"/>
  <c r="J216" i="24"/>
  <c r="J217" i="24"/>
  <c r="J218" i="24"/>
  <c r="J219" i="24"/>
  <c r="J220" i="24"/>
  <c r="J221" i="24"/>
  <c r="T595" i="21"/>
  <c r="T596" i="21"/>
  <c r="T597" i="21"/>
  <c r="T598" i="21"/>
  <c r="T599" i="21"/>
  <c r="T600" i="21"/>
  <c r="T601" i="21"/>
  <c r="T602" i="21"/>
  <c r="U595" i="21"/>
  <c r="U596" i="21"/>
  <c r="U597" i="21"/>
  <c r="U598" i="21"/>
  <c r="U599" i="21"/>
  <c r="U600" i="21"/>
  <c r="U601" i="21"/>
  <c r="U602" i="21"/>
  <c r="F215" i="25"/>
  <c r="I215" i="25" s="1"/>
  <c r="F216" i="25"/>
  <c r="I216" i="25" s="1"/>
  <c r="F217" i="25"/>
  <c r="I217" i="25" s="1"/>
  <c r="F218" i="25"/>
  <c r="I218" i="25" s="1"/>
  <c r="F219" i="25"/>
  <c r="I219" i="25" s="1"/>
  <c r="F220" i="25"/>
  <c r="I220" i="25" s="1"/>
  <c r="F221" i="25"/>
  <c r="I221" i="25" s="1"/>
  <c r="J215" i="25"/>
  <c r="J216" i="25"/>
  <c r="J217" i="25"/>
  <c r="J218" i="25"/>
  <c r="J219" i="25"/>
  <c r="J220" i="25"/>
  <c r="J221" i="25"/>
  <c r="I207" i="22" l="1"/>
  <c r="I208" i="22"/>
  <c r="I209" i="22"/>
  <c r="I210" i="22"/>
  <c r="I211" i="22"/>
  <c r="I212" i="22"/>
  <c r="I213" i="22"/>
  <c r="I214" i="22"/>
  <c r="J207" i="22"/>
  <c r="J208" i="22"/>
  <c r="J209" i="22"/>
  <c r="J210" i="22"/>
  <c r="J211" i="22"/>
  <c r="J212" i="22"/>
  <c r="J213" i="22"/>
  <c r="J214" i="22"/>
  <c r="I207" i="24"/>
  <c r="I208" i="24"/>
  <c r="I209" i="24"/>
  <c r="I210" i="24"/>
  <c r="I211" i="24"/>
  <c r="I212" i="24"/>
  <c r="I213" i="24"/>
  <c r="I214" i="24"/>
  <c r="J207" i="24"/>
  <c r="J208" i="24"/>
  <c r="J209" i="24"/>
  <c r="J210" i="24"/>
  <c r="J211" i="24"/>
  <c r="J212" i="24"/>
  <c r="J213" i="24"/>
  <c r="J214" i="24"/>
  <c r="F207" i="25"/>
  <c r="F208" i="25"/>
  <c r="F209" i="25"/>
  <c r="F210" i="25"/>
  <c r="F211" i="25"/>
  <c r="F212" i="25"/>
  <c r="F213" i="25"/>
  <c r="F214" i="25"/>
  <c r="I207" i="25"/>
  <c r="I208" i="25"/>
  <c r="I209" i="25"/>
  <c r="I210" i="25"/>
  <c r="I211" i="25"/>
  <c r="I212" i="25"/>
  <c r="I213" i="25"/>
  <c r="I214" i="25"/>
  <c r="J207" i="25"/>
  <c r="J208" i="25"/>
  <c r="J209" i="25"/>
  <c r="J210" i="25"/>
  <c r="J211" i="25"/>
  <c r="J212" i="25"/>
  <c r="J213" i="25"/>
  <c r="J214" i="25"/>
  <c r="T577" i="21"/>
  <c r="T578" i="21"/>
  <c r="T579" i="21"/>
  <c r="T580" i="21"/>
  <c r="T581" i="21"/>
  <c r="T582" i="21"/>
  <c r="T583" i="21"/>
  <c r="T584" i="21"/>
  <c r="T585" i="21"/>
  <c r="T586" i="21"/>
  <c r="T587" i="21"/>
  <c r="T588" i="21"/>
  <c r="T589" i="21"/>
  <c r="T590" i="21"/>
  <c r="T591" i="21"/>
  <c r="T592" i="21"/>
  <c r="T593" i="21"/>
  <c r="T594" i="21"/>
  <c r="U577" i="21"/>
  <c r="U578" i="21"/>
  <c r="U579" i="21"/>
  <c r="U580" i="21"/>
  <c r="U581" i="21"/>
  <c r="U582" i="21"/>
  <c r="U583" i="21"/>
  <c r="U584" i="21"/>
  <c r="U585" i="21"/>
  <c r="U586" i="21"/>
  <c r="U587" i="21"/>
  <c r="U588" i="21"/>
  <c r="U589" i="21"/>
  <c r="U590" i="21"/>
  <c r="U591" i="21"/>
  <c r="U592" i="21"/>
  <c r="U593" i="21"/>
  <c r="U594" i="21"/>
  <c r="I199" i="22" l="1"/>
  <c r="I200" i="22"/>
  <c r="I201" i="22"/>
  <c r="I202" i="22"/>
  <c r="I203" i="22"/>
  <c r="I204" i="22"/>
  <c r="I205" i="22"/>
  <c r="I206" i="22"/>
  <c r="J199" i="22"/>
  <c r="J200" i="22"/>
  <c r="J201" i="22"/>
  <c r="J202" i="22"/>
  <c r="J203" i="22"/>
  <c r="J204" i="22"/>
  <c r="J205" i="22"/>
  <c r="J206" i="22"/>
  <c r="I199" i="24"/>
  <c r="I200" i="24"/>
  <c r="I201" i="24"/>
  <c r="I202" i="24"/>
  <c r="I203" i="24"/>
  <c r="I204" i="24"/>
  <c r="I205" i="24"/>
  <c r="I206" i="24"/>
  <c r="J199" i="24"/>
  <c r="J200" i="24"/>
  <c r="J201" i="24"/>
  <c r="J202" i="24"/>
  <c r="J203" i="24"/>
  <c r="J204" i="24"/>
  <c r="J205" i="24"/>
  <c r="J206" i="24"/>
  <c r="F206" i="25"/>
  <c r="I206" i="25" s="1"/>
  <c r="F199" i="25"/>
  <c r="I199" i="25" s="1"/>
  <c r="F200" i="25"/>
  <c r="I200" i="25" s="1"/>
  <c r="F201" i="25"/>
  <c r="I201" i="25" s="1"/>
  <c r="F202" i="25"/>
  <c r="F203" i="25"/>
  <c r="I203" i="25" s="1"/>
  <c r="F204" i="25"/>
  <c r="I204" i="25" s="1"/>
  <c r="F205" i="25"/>
  <c r="I205" i="25" s="1"/>
  <c r="I202" i="25"/>
  <c r="J199" i="25"/>
  <c r="J200" i="25"/>
  <c r="J201" i="25"/>
  <c r="J202" i="25"/>
  <c r="J203" i="25"/>
  <c r="J204" i="25"/>
  <c r="J205" i="25"/>
  <c r="J206" i="25"/>
  <c r="T115" i="21"/>
  <c r="T351" i="21"/>
  <c r="T537" i="21"/>
  <c r="T141" i="21"/>
  <c r="T142" i="21"/>
  <c r="T143" i="21"/>
  <c r="T23" i="21"/>
  <c r="T24" i="21"/>
  <c r="T61" i="21"/>
  <c r="U115" i="21"/>
  <c r="U351" i="21"/>
  <c r="U537" i="21"/>
  <c r="U141" i="21"/>
  <c r="U142" i="21"/>
  <c r="U143" i="21"/>
  <c r="U23" i="21"/>
  <c r="U24" i="21"/>
  <c r="U61" i="21"/>
  <c r="I188" i="22"/>
  <c r="I189" i="22"/>
  <c r="I190" i="22"/>
  <c r="I191" i="22"/>
  <c r="I192" i="22"/>
  <c r="I193" i="22"/>
  <c r="I194" i="22"/>
  <c r="I195" i="22"/>
  <c r="I196" i="22"/>
  <c r="I197" i="22"/>
  <c r="I198" i="22"/>
  <c r="J188" i="22"/>
  <c r="J189" i="22"/>
  <c r="J190" i="22"/>
  <c r="J191" i="22"/>
  <c r="J192" i="22"/>
  <c r="J193" i="22"/>
  <c r="J194" i="22"/>
  <c r="J195" i="22"/>
  <c r="J196" i="22"/>
  <c r="J197" i="22"/>
  <c r="J198" i="22"/>
  <c r="I188" i="24"/>
  <c r="I189" i="24"/>
  <c r="I190" i="24"/>
  <c r="I191" i="24"/>
  <c r="I192" i="24"/>
  <c r="I193" i="24"/>
  <c r="I194" i="24"/>
  <c r="I195" i="24"/>
  <c r="I196" i="24"/>
  <c r="I197" i="24"/>
  <c r="I198" i="24"/>
  <c r="J188" i="24"/>
  <c r="J189" i="24"/>
  <c r="J190" i="24"/>
  <c r="J191" i="24"/>
  <c r="J192" i="24"/>
  <c r="J193" i="24"/>
  <c r="J194" i="24"/>
  <c r="J195" i="24"/>
  <c r="J196" i="24"/>
  <c r="J197" i="24"/>
  <c r="J198" i="24"/>
  <c r="F188" i="25" l="1"/>
  <c r="I188" i="25" s="1"/>
  <c r="F189" i="25"/>
  <c r="I189" i="25" s="1"/>
  <c r="F190" i="25"/>
  <c r="I190" i="25" s="1"/>
  <c r="F191" i="25"/>
  <c r="I191" i="25" s="1"/>
  <c r="F192" i="25"/>
  <c r="I192" i="25" s="1"/>
  <c r="F193" i="25"/>
  <c r="I193" i="25" s="1"/>
  <c r="F194" i="25"/>
  <c r="I194" i="25" s="1"/>
  <c r="F195" i="25"/>
  <c r="I195" i="25" s="1"/>
  <c r="F196" i="25"/>
  <c r="I196" i="25" s="1"/>
  <c r="F197" i="25"/>
  <c r="I197" i="25" s="1"/>
  <c r="F198" i="25"/>
  <c r="I198" i="25" s="1"/>
  <c r="J188" i="25"/>
  <c r="J189" i="25"/>
  <c r="J190" i="25"/>
  <c r="J191" i="25"/>
  <c r="J192" i="25"/>
  <c r="J193" i="25"/>
  <c r="J194" i="25"/>
  <c r="J195" i="25"/>
  <c r="J196" i="25"/>
  <c r="J197" i="25"/>
  <c r="J198" i="25"/>
  <c r="T97" i="21"/>
  <c r="T41" i="21"/>
  <c r="T268" i="21"/>
  <c r="T183" i="21"/>
  <c r="T398" i="21"/>
  <c r="T506" i="21"/>
  <c r="T436" i="21"/>
  <c r="T409" i="21"/>
  <c r="T137" i="21"/>
  <c r="T410" i="21"/>
  <c r="T184" i="21"/>
  <c r="T387" i="21"/>
  <c r="U97" i="21"/>
  <c r="U41" i="21"/>
  <c r="U268" i="21"/>
  <c r="U183" i="21"/>
  <c r="U398" i="21"/>
  <c r="U506" i="21"/>
  <c r="U436" i="21"/>
  <c r="U409" i="21"/>
  <c r="U137" i="21"/>
  <c r="U410" i="21"/>
  <c r="U184" i="21"/>
  <c r="U387" i="21"/>
  <c r="P17" i="27" l="1"/>
  <c r="I181" i="22"/>
  <c r="I182" i="22"/>
  <c r="I183" i="22"/>
  <c r="I184" i="22"/>
  <c r="I185" i="22"/>
  <c r="I186" i="22"/>
  <c r="I187" i="22"/>
  <c r="J181" i="22"/>
  <c r="J182" i="22"/>
  <c r="J183" i="22"/>
  <c r="J184" i="22"/>
  <c r="J185" i="22"/>
  <c r="J186" i="22"/>
  <c r="J187" i="22"/>
  <c r="I181" i="24"/>
  <c r="I182" i="24"/>
  <c r="I183" i="24"/>
  <c r="I184" i="24"/>
  <c r="I185" i="24"/>
  <c r="I186" i="24"/>
  <c r="I187" i="24"/>
  <c r="J181" i="24"/>
  <c r="J182" i="24"/>
  <c r="J183" i="24"/>
  <c r="J184" i="24"/>
  <c r="J185" i="24"/>
  <c r="J186" i="24"/>
  <c r="J187" i="24"/>
  <c r="F187" i="25"/>
  <c r="F181" i="25"/>
  <c r="I181" i="25" s="1"/>
  <c r="F182" i="25"/>
  <c r="I182" i="25" s="1"/>
  <c r="F183" i="25"/>
  <c r="I183" i="25" s="1"/>
  <c r="F184" i="25"/>
  <c r="I184" i="25" s="1"/>
  <c r="F185" i="25"/>
  <c r="I185" i="25" s="1"/>
  <c r="F186" i="25"/>
  <c r="I186" i="25"/>
  <c r="I187" i="25"/>
  <c r="J181" i="25"/>
  <c r="J182" i="25"/>
  <c r="J183" i="25"/>
  <c r="J184" i="25"/>
  <c r="J185" i="25"/>
  <c r="J186" i="25"/>
  <c r="J187" i="25"/>
  <c r="T101" i="21"/>
  <c r="T304" i="21"/>
  <c r="T549" i="21"/>
  <c r="T519" i="21"/>
  <c r="U101" i="21"/>
  <c r="U304" i="21"/>
  <c r="U549" i="21"/>
  <c r="U519" i="21"/>
  <c r="Q69" i="27" l="1"/>
  <c r="P62" i="27"/>
  <c r="O62" i="27"/>
  <c r="Q62" i="27"/>
  <c r="Q70" i="27"/>
  <c r="Q67" i="27"/>
  <c r="Q63" i="27"/>
  <c r="O63" i="27"/>
  <c r="P63" i="27"/>
  <c r="P58" i="27"/>
  <c r="O58" i="27"/>
  <c r="Q58" i="27"/>
  <c r="N58" i="27"/>
  <c r="Q68" i="27"/>
  <c r="P64" i="27"/>
  <c r="Q64" i="27"/>
  <c r="O64" i="27"/>
  <c r="Q59" i="27"/>
  <c r="O59" i="27"/>
  <c r="P59" i="27"/>
  <c r="N59" i="27"/>
  <c r="N56" i="27"/>
  <c r="P56" i="27"/>
  <c r="Q56" i="27"/>
  <c r="O56" i="27"/>
  <c r="P66" i="27"/>
  <c r="O66" i="27"/>
  <c r="Q66" i="27"/>
  <c r="Q60" i="27"/>
  <c r="P60" i="27"/>
  <c r="O60" i="27"/>
  <c r="O65" i="27"/>
  <c r="Q65" i="27"/>
  <c r="P65" i="27"/>
  <c r="O57" i="27"/>
  <c r="Q57" i="27"/>
  <c r="N57" i="27"/>
  <c r="P57" i="27"/>
  <c r="O61" i="27"/>
  <c r="Q61" i="27"/>
  <c r="P61" i="27"/>
  <c r="O17" i="27"/>
  <c r="Q17" i="27"/>
  <c r="N17" i="27"/>
  <c r="N4" i="27"/>
  <c r="O4" i="27"/>
  <c r="Q4" i="27"/>
  <c r="P4" i="27"/>
  <c r="Q108" i="27"/>
  <c r="P108" i="27"/>
  <c r="O108" i="27"/>
  <c r="N108" i="27"/>
  <c r="P102" i="27"/>
  <c r="O102" i="27"/>
  <c r="N102" i="27"/>
  <c r="Q102" i="27"/>
  <c r="N41" i="27"/>
  <c r="Q41" i="27"/>
  <c r="P41" i="27"/>
  <c r="O41" i="27"/>
  <c r="P139" i="27"/>
  <c r="O139" i="27"/>
  <c r="Q139" i="27"/>
  <c r="N139" i="27"/>
  <c r="Q71" i="27"/>
  <c r="P71" i="27"/>
  <c r="O71" i="27"/>
  <c r="N71" i="27"/>
  <c r="N88" i="27"/>
  <c r="Q88" i="27"/>
  <c r="P88" i="27"/>
  <c r="O88" i="27"/>
  <c r="Q152" i="27"/>
  <c r="P152" i="27"/>
  <c r="O152" i="27"/>
  <c r="N152" i="27"/>
  <c r="N65" i="27"/>
  <c r="N25" i="27"/>
  <c r="Q25" i="27"/>
  <c r="P25" i="27"/>
  <c r="O25" i="27"/>
  <c r="Q83" i="27"/>
  <c r="P83" i="27"/>
  <c r="O83" i="27"/>
  <c r="N83" i="27"/>
  <c r="N29" i="27"/>
  <c r="O29" i="27"/>
  <c r="Q29" i="27"/>
  <c r="P29" i="27"/>
  <c r="Q7" i="27"/>
  <c r="P7" i="27"/>
  <c r="N7" i="27"/>
  <c r="O7" i="27"/>
  <c r="N33" i="27"/>
  <c r="Q33" i="27"/>
  <c r="O33" i="27"/>
  <c r="P33" i="27"/>
  <c r="N141" i="27"/>
  <c r="Q141" i="27"/>
  <c r="P141" i="27"/>
  <c r="O141" i="27"/>
  <c r="Q95" i="27"/>
  <c r="P95" i="27"/>
  <c r="O95" i="27"/>
  <c r="N95" i="27"/>
  <c r="Q79" i="27"/>
  <c r="P79" i="27"/>
  <c r="O79" i="27"/>
  <c r="N79" i="27"/>
  <c r="O13" i="27"/>
  <c r="N13" i="27"/>
  <c r="Q13" i="27"/>
  <c r="P13" i="27"/>
  <c r="N72" i="27"/>
  <c r="Q72" i="27"/>
  <c r="P72" i="27"/>
  <c r="O72" i="27"/>
  <c r="Q140" i="27"/>
  <c r="P140" i="27"/>
  <c r="O140" i="27"/>
  <c r="N140" i="27"/>
  <c r="O6" i="27"/>
  <c r="P6" i="27"/>
  <c r="N6" i="27"/>
  <c r="Q6" i="27"/>
  <c r="Q124" i="27"/>
  <c r="P124" i="27"/>
  <c r="O124" i="27"/>
  <c r="N124" i="27"/>
  <c r="O26" i="27"/>
  <c r="P26" i="27"/>
  <c r="N26" i="27"/>
  <c r="Q26" i="27"/>
  <c r="P67" i="27"/>
  <c r="O67" i="27"/>
  <c r="N67" i="27"/>
  <c r="N80" i="27"/>
  <c r="Q80" i="27"/>
  <c r="P80" i="27"/>
  <c r="O80" i="27"/>
  <c r="Q112" i="27"/>
  <c r="P112" i="27"/>
  <c r="O112" i="27"/>
  <c r="N112" i="27"/>
  <c r="O93" i="27"/>
  <c r="N93" i="27"/>
  <c r="Q93" i="27"/>
  <c r="P93" i="27"/>
  <c r="O114" i="27"/>
  <c r="N114" i="27"/>
  <c r="Q114" i="27"/>
  <c r="P114" i="27"/>
  <c r="O142" i="27"/>
  <c r="N142" i="27"/>
  <c r="Q142" i="27"/>
  <c r="P142" i="27"/>
  <c r="N84" i="27"/>
  <c r="Q84" i="27"/>
  <c r="P84" i="27"/>
  <c r="O84" i="27"/>
  <c r="N113" i="27"/>
  <c r="Q113" i="27"/>
  <c r="P113" i="27"/>
  <c r="O113" i="27"/>
  <c r="P27" i="27"/>
  <c r="Q27" i="27"/>
  <c r="O27" i="27"/>
  <c r="N27" i="27"/>
  <c r="P23" i="27"/>
  <c r="O23" i="27"/>
  <c r="Q23" i="27"/>
  <c r="N23" i="27"/>
  <c r="P82" i="27"/>
  <c r="O82" i="27"/>
  <c r="N82" i="27"/>
  <c r="Q82" i="27"/>
  <c r="N5" i="27"/>
  <c r="O5" i="27"/>
  <c r="N37" i="27"/>
  <c r="Q37" i="27"/>
  <c r="O37" i="27"/>
  <c r="P37" i="27"/>
  <c r="N66" i="27"/>
  <c r="Q32" i="27"/>
  <c r="P32" i="27"/>
  <c r="N32" i="27"/>
  <c r="O32" i="27"/>
  <c r="O38" i="27"/>
  <c r="N38" i="27"/>
  <c r="Q38" i="27"/>
  <c r="P38" i="27"/>
  <c r="P74" i="27"/>
  <c r="O74" i="27"/>
  <c r="N74" i="27"/>
  <c r="Q74" i="27"/>
  <c r="O42" i="27"/>
  <c r="N42" i="27"/>
  <c r="Q42" i="27"/>
  <c r="P42" i="27"/>
  <c r="O30" i="27"/>
  <c r="N30" i="27"/>
  <c r="P30" i="27"/>
  <c r="Q30" i="27"/>
  <c r="N157" i="27"/>
  <c r="Q157" i="27"/>
  <c r="P157" i="27"/>
  <c r="O157" i="27"/>
  <c r="N121" i="27"/>
  <c r="Q121" i="27"/>
  <c r="P121" i="27"/>
  <c r="O121" i="27"/>
  <c r="P39" i="27"/>
  <c r="O39" i="27"/>
  <c r="N39" i="27"/>
  <c r="Q39" i="27"/>
  <c r="O73" i="27"/>
  <c r="N73" i="27"/>
  <c r="Q73" i="27"/>
  <c r="P73" i="27"/>
  <c r="N129" i="27"/>
  <c r="Q129" i="27"/>
  <c r="P129" i="27"/>
  <c r="O129" i="27"/>
  <c r="Q75" i="27"/>
  <c r="P75" i="27"/>
  <c r="O75" i="27"/>
  <c r="N75" i="27"/>
  <c r="Q136" i="27"/>
  <c r="P136" i="27"/>
  <c r="O136" i="27"/>
  <c r="N136" i="27"/>
  <c r="P111" i="27"/>
  <c r="O111" i="27"/>
  <c r="Q111" i="27"/>
  <c r="N111" i="27"/>
  <c r="Q128" i="27"/>
  <c r="P128" i="27"/>
  <c r="O128" i="27"/>
  <c r="N128" i="27"/>
  <c r="P78" i="27"/>
  <c r="O78" i="27"/>
  <c r="N78" i="27"/>
  <c r="Q78" i="27"/>
  <c r="P104" i="27"/>
  <c r="N104" i="27"/>
  <c r="Q104" i="27"/>
  <c r="O104" i="27"/>
  <c r="Q148" i="27"/>
  <c r="P148" i="27"/>
  <c r="O148" i="27"/>
  <c r="N148" i="27"/>
  <c r="P86" i="27"/>
  <c r="O86" i="27"/>
  <c r="N86" i="27"/>
  <c r="Q86" i="27"/>
  <c r="P135" i="27"/>
  <c r="O135" i="27"/>
  <c r="Q135" i="27"/>
  <c r="N135" i="27"/>
  <c r="O77" i="27"/>
  <c r="N77" i="27"/>
  <c r="Q77" i="27"/>
  <c r="P77" i="27"/>
  <c r="O154" i="27"/>
  <c r="N154" i="27"/>
  <c r="Q154" i="27"/>
  <c r="P154" i="27"/>
  <c r="P115" i="27"/>
  <c r="O115" i="27"/>
  <c r="Q115" i="27"/>
  <c r="N115" i="27"/>
  <c r="P19" i="27"/>
  <c r="O19" i="27"/>
  <c r="Q19" i="27"/>
  <c r="N19" i="27"/>
  <c r="P31" i="27"/>
  <c r="O31" i="27"/>
  <c r="Q31" i="27"/>
  <c r="N31" i="27"/>
  <c r="P94" i="27"/>
  <c r="O94" i="27"/>
  <c r="N94" i="27"/>
  <c r="Q94" i="27"/>
  <c r="O130" i="27"/>
  <c r="N130" i="27"/>
  <c r="Q130" i="27"/>
  <c r="P130" i="27"/>
  <c r="N76" i="27"/>
  <c r="Q76" i="27"/>
  <c r="P76" i="27"/>
  <c r="O76" i="27"/>
  <c r="Q9" i="27"/>
  <c r="P9" i="27"/>
  <c r="N9" i="27"/>
  <c r="O9" i="27"/>
  <c r="N61" i="27"/>
  <c r="Q144" i="27"/>
  <c r="P144" i="27"/>
  <c r="O144" i="27"/>
  <c r="N144" i="27"/>
  <c r="P155" i="27"/>
  <c r="O155" i="27"/>
  <c r="Q155" i="27"/>
  <c r="N155" i="27"/>
  <c r="N68" i="27"/>
  <c r="P68" i="27"/>
  <c r="O68" i="27"/>
  <c r="P151" i="27"/>
  <c r="O151" i="27"/>
  <c r="Q151" i="27"/>
  <c r="N151" i="27"/>
  <c r="O110" i="27"/>
  <c r="N110" i="27"/>
  <c r="Q110" i="27"/>
  <c r="P110" i="27"/>
  <c r="N64" i="27"/>
  <c r="Q11" i="27"/>
  <c r="P11" i="27"/>
  <c r="N11" i="27"/>
  <c r="O11" i="27"/>
  <c r="P16" i="27"/>
  <c r="O16" i="27"/>
  <c r="Q16" i="27"/>
  <c r="N16" i="27"/>
  <c r="P15" i="27"/>
  <c r="O15" i="27"/>
  <c r="N15" i="27"/>
  <c r="Q15" i="27"/>
  <c r="O107" i="27"/>
  <c r="P107" i="27"/>
  <c r="N107" i="27"/>
  <c r="N21" i="27"/>
  <c r="Q21" i="27"/>
  <c r="P21" i="27"/>
  <c r="O21" i="27"/>
  <c r="O150" i="27"/>
  <c r="N150" i="27"/>
  <c r="Q150" i="27"/>
  <c r="P150" i="27"/>
  <c r="N92" i="27"/>
  <c r="Q92" i="27"/>
  <c r="P92" i="27"/>
  <c r="O92" i="27"/>
  <c r="P98" i="27"/>
  <c r="O98" i="27"/>
  <c r="N98" i="27"/>
  <c r="Q98" i="27"/>
  <c r="N12" i="27"/>
  <c r="Q12" i="27"/>
  <c r="O12" i="27"/>
  <c r="P12" i="27"/>
  <c r="P90" i="27"/>
  <c r="O90" i="27"/>
  <c r="N90" i="27"/>
  <c r="Q90" i="27"/>
  <c r="O85" i="27"/>
  <c r="N85" i="27"/>
  <c r="Q85" i="27"/>
  <c r="P85" i="27"/>
  <c r="P123" i="27"/>
  <c r="O123" i="27"/>
  <c r="Q123" i="27"/>
  <c r="N123" i="27"/>
  <c r="O10" i="27"/>
  <c r="P10" i="27"/>
  <c r="N10" i="27"/>
  <c r="Q10" i="27"/>
  <c r="N109" i="27"/>
  <c r="Q109" i="27"/>
  <c r="O109" i="27"/>
  <c r="P109" i="27"/>
  <c r="O8" i="27"/>
  <c r="N8" i="27"/>
  <c r="Q8" i="27"/>
  <c r="P8" i="27"/>
  <c r="N125" i="27"/>
  <c r="Q125" i="27"/>
  <c r="O125" i="27"/>
  <c r="P125" i="27"/>
  <c r="N153" i="27"/>
  <c r="Q153" i="27"/>
  <c r="O153" i="27"/>
  <c r="P153" i="27"/>
  <c r="Q116" i="27"/>
  <c r="P116" i="27"/>
  <c r="O116" i="27"/>
  <c r="N116" i="27"/>
  <c r="O81" i="27"/>
  <c r="N81" i="27"/>
  <c r="Q81" i="27"/>
  <c r="P81" i="27"/>
  <c r="O138" i="27"/>
  <c r="N138" i="27"/>
  <c r="Q138" i="27"/>
  <c r="P138" i="27"/>
  <c r="P147" i="27"/>
  <c r="O147" i="27"/>
  <c r="Q147" i="27"/>
  <c r="N147" i="27"/>
  <c r="Q132" i="27"/>
  <c r="P132" i="27"/>
  <c r="O132" i="27"/>
  <c r="N132" i="27"/>
  <c r="P14" i="27"/>
  <c r="Q14" i="27"/>
  <c r="O14" i="27"/>
  <c r="N14" i="27"/>
  <c r="Q20" i="27"/>
  <c r="P20" i="27"/>
  <c r="O20" i="27"/>
  <c r="N20" i="27"/>
  <c r="Q36" i="27"/>
  <c r="P36" i="27"/>
  <c r="N36" i="27"/>
  <c r="O36" i="27"/>
  <c r="N45" i="27"/>
  <c r="Q45" i="27"/>
  <c r="P45" i="27"/>
  <c r="O45" i="27"/>
  <c r="O69" i="27"/>
  <c r="N69" i="27"/>
  <c r="P69" i="27"/>
  <c r="N149" i="27"/>
  <c r="Q149" i="27"/>
  <c r="P149" i="27"/>
  <c r="O149" i="27"/>
  <c r="P70" i="27"/>
  <c r="O70" i="27"/>
  <c r="N70" i="27"/>
  <c r="Q28" i="27"/>
  <c r="N28" i="27"/>
  <c r="P28" i="27"/>
  <c r="O28" i="27"/>
  <c r="Q99" i="27"/>
  <c r="P99" i="27"/>
  <c r="O99" i="27"/>
  <c r="N99" i="27"/>
  <c r="P143" i="27"/>
  <c r="O143" i="27"/>
  <c r="Q143" i="27"/>
  <c r="N143" i="27"/>
  <c r="Q40" i="27"/>
  <c r="P40" i="27"/>
  <c r="O40" i="27"/>
  <c r="N40" i="27"/>
  <c r="N106" i="27"/>
  <c r="Q106" i="27"/>
  <c r="P106" i="27"/>
  <c r="O106" i="27"/>
  <c r="N62" i="27"/>
  <c r="O101" i="27"/>
  <c r="N101" i="27"/>
  <c r="Q101" i="27"/>
  <c r="P101" i="27"/>
  <c r="Q44" i="27"/>
  <c r="P44" i="27"/>
  <c r="O44" i="27"/>
  <c r="N44" i="27"/>
  <c r="Q156" i="27"/>
  <c r="P156" i="27"/>
  <c r="O156" i="27"/>
  <c r="N156" i="27"/>
  <c r="N117" i="27"/>
  <c r="Q117" i="27"/>
  <c r="O117" i="27"/>
  <c r="P117" i="27"/>
  <c r="N63" i="27"/>
  <c r="P119" i="27"/>
  <c r="O119" i="27"/>
  <c r="Q119" i="27"/>
  <c r="N119" i="27"/>
  <c r="O134" i="27"/>
  <c r="N134" i="27"/>
  <c r="Q134" i="27"/>
  <c r="P134" i="27"/>
  <c r="P43" i="27"/>
  <c r="O43" i="27"/>
  <c r="N43" i="27"/>
  <c r="Q43" i="27"/>
  <c r="Q24" i="27"/>
  <c r="P24" i="27"/>
  <c r="O24" i="27"/>
  <c r="N24" i="27"/>
  <c r="O34" i="27"/>
  <c r="N34" i="27"/>
  <c r="P34" i="27"/>
  <c r="Q34" i="27"/>
  <c r="N60" i="27"/>
  <c r="O22" i="27"/>
  <c r="N22" i="27"/>
  <c r="Q22" i="27"/>
  <c r="P22" i="27"/>
  <c r="N133" i="27"/>
  <c r="Q133" i="27"/>
  <c r="P133" i="27"/>
  <c r="O133" i="27"/>
  <c r="O146" i="27"/>
  <c r="N146" i="27"/>
  <c r="Q146" i="27"/>
  <c r="P146" i="27"/>
  <c r="N145" i="27"/>
  <c r="Q145" i="27"/>
  <c r="O145" i="27"/>
  <c r="P145" i="27"/>
  <c r="Q91" i="27"/>
  <c r="P91" i="27"/>
  <c r="O91" i="27"/>
  <c r="N91" i="27"/>
  <c r="O126" i="27"/>
  <c r="N126" i="27"/>
  <c r="Q126" i="27"/>
  <c r="P126" i="27"/>
  <c r="Q105" i="27"/>
  <c r="N105" i="27"/>
  <c r="P105" i="27"/>
  <c r="O105" i="27"/>
  <c r="O118" i="27"/>
  <c r="N118" i="27"/>
  <c r="Q118" i="27"/>
  <c r="P118" i="27"/>
  <c r="N137" i="27"/>
  <c r="Q137" i="27"/>
  <c r="O137" i="27"/>
  <c r="P137" i="27"/>
  <c r="O89" i="27"/>
  <c r="N89" i="27"/>
  <c r="Q89" i="27"/>
  <c r="P89" i="27"/>
  <c r="Q103" i="27"/>
  <c r="P103" i="27"/>
  <c r="O103" i="27"/>
  <c r="N103" i="27"/>
  <c r="N100" i="27"/>
  <c r="Q100" i="27"/>
  <c r="P100" i="27"/>
  <c r="O100" i="27"/>
  <c r="P127" i="27"/>
  <c r="O127" i="27"/>
  <c r="Q127" i="27"/>
  <c r="N127" i="27"/>
  <c r="O97" i="27"/>
  <c r="N97" i="27"/>
  <c r="Q97" i="27"/>
  <c r="P97" i="27"/>
  <c r="O122" i="27"/>
  <c r="N122" i="27"/>
  <c r="Q122" i="27"/>
  <c r="P122" i="27"/>
  <c r="Q87" i="27"/>
  <c r="P87" i="27"/>
  <c r="O87" i="27"/>
  <c r="N87" i="27"/>
  <c r="Q120" i="27"/>
  <c r="P120" i="27"/>
  <c r="O120" i="27"/>
  <c r="N120" i="27"/>
  <c r="N96" i="27"/>
  <c r="Q96" i="27"/>
  <c r="P96" i="27"/>
  <c r="O96" i="27"/>
  <c r="P131" i="27"/>
  <c r="O131" i="27"/>
  <c r="Q131" i="27"/>
  <c r="N131" i="27"/>
  <c r="P18" i="27"/>
  <c r="Q18" i="27"/>
  <c r="O18" i="27"/>
  <c r="N18" i="27"/>
  <c r="P35" i="27"/>
  <c r="O35" i="27"/>
  <c r="Q35" i="27"/>
  <c r="N35" i="27"/>
  <c r="I175" i="22"/>
  <c r="I176" i="22"/>
  <c r="I177" i="22"/>
  <c r="I178" i="22"/>
  <c r="I179" i="22"/>
  <c r="I180" i="22"/>
  <c r="J175" i="22"/>
  <c r="J176" i="22"/>
  <c r="J177" i="22"/>
  <c r="J178" i="22"/>
  <c r="J179" i="22"/>
  <c r="J180" i="22"/>
  <c r="I175" i="24"/>
  <c r="I176" i="24"/>
  <c r="I177" i="24"/>
  <c r="I178" i="24"/>
  <c r="I179" i="24"/>
  <c r="I180" i="24"/>
  <c r="J175" i="24"/>
  <c r="J176" i="24"/>
  <c r="J177" i="24"/>
  <c r="J178" i="24"/>
  <c r="J179" i="24"/>
  <c r="J180" i="24"/>
  <c r="F175" i="25"/>
  <c r="I175" i="25" s="1"/>
  <c r="F176" i="25"/>
  <c r="I176" i="25" s="1"/>
  <c r="F177" i="25"/>
  <c r="I177" i="25" s="1"/>
  <c r="F178" i="25"/>
  <c r="I178" i="25" s="1"/>
  <c r="F179" i="25"/>
  <c r="I179" i="25" s="1"/>
  <c r="F180" i="25"/>
  <c r="I180" i="25" s="1"/>
  <c r="J175" i="25"/>
  <c r="J176" i="25"/>
  <c r="J177" i="25"/>
  <c r="J178" i="25"/>
  <c r="J179" i="25"/>
  <c r="J180" i="25"/>
  <c r="I173" i="22" l="1"/>
  <c r="I174" i="22"/>
  <c r="J173" i="22"/>
  <c r="J174" i="22"/>
  <c r="I173" i="24"/>
  <c r="I174" i="24"/>
  <c r="J173" i="24"/>
  <c r="J174" i="24"/>
  <c r="F173" i="25" l="1"/>
  <c r="I173" i="25" s="1"/>
  <c r="F174" i="25"/>
  <c r="I174" i="25" s="1"/>
  <c r="J173" i="25"/>
  <c r="J174" i="25"/>
  <c r="I168" i="24"/>
  <c r="I169" i="24"/>
  <c r="I170" i="24"/>
  <c r="I171" i="24"/>
  <c r="I172" i="24"/>
  <c r="J168" i="24"/>
  <c r="J169" i="24"/>
  <c r="J170" i="24"/>
  <c r="J171" i="24"/>
  <c r="J172" i="24"/>
  <c r="F168" i="25"/>
  <c r="I168" i="25" s="1"/>
  <c r="F169" i="25"/>
  <c r="I169" i="25" s="1"/>
  <c r="F170" i="25"/>
  <c r="F171" i="25"/>
  <c r="I171" i="25" s="1"/>
  <c r="F172" i="25"/>
  <c r="I172" i="25" s="1"/>
  <c r="I170" i="25"/>
  <c r="J168" i="25"/>
  <c r="J169" i="25"/>
  <c r="J170" i="25"/>
  <c r="J171" i="25"/>
  <c r="J172" i="25"/>
  <c r="I168" i="22"/>
  <c r="I169" i="22"/>
  <c r="I170" i="22"/>
  <c r="I171" i="22"/>
  <c r="I172" i="22"/>
  <c r="J168" i="22"/>
  <c r="J169" i="22"/>
  <c r="J170" i="22"/>
  <c r="J171" i="22"/>
  <c r="J172" i="22"/>
  <c r="F5" i="25"/>
  <c r="I5" i="25" s="1"/>
  <c r="F6" i="25"/>
  <c r="I6" i="25" s="1"/>
  <c r="F7" i="25"/>
  <c r="I7" i="25" s="1"/>
  <c r="F8" i="25"/>
  <c r="I8" i="25" s="1"/>
  <c r="F9" i="25"/>
  <c r="I9" i="25" s="1"/>
  <c r="F10" i="25"/>
  <c r="I10" i="25" s="1"/>
  <c r="F11" i="25"/>
  <c r="I11" i="25" s="1"/>
  <c r="F12" i="25"/>
  <c r="I12" i="25" s="1"/>
  <c r="F13" i="25"/>
  <c r="I13" i="25" s="1"/>
  <c r="F14" i="25"/>
  <c r="I14" i="25" s="1"/>
  <c r="F15" i="25"/>
  <c r="I15" i="25" s="1"/>
  <c r="F16" i="25"/>
  <c r="I16" i="25" s="1"/>
  <c r="F17" i="25"/>
  <c r="I17" i="25" s="1"/>
  <c r="F18" i="25"/>
  <c r="I18" i="25" s="1"/>
  <c r="F19" i="25"/>
  <c r="F20" i="25"/>
  <c r="I20" i="25" s="1"/>
  <c r="F21" i="25"/>
  <c r="I21" i="25" s="1"/>
  <c r="F22" i="25"/>
  <c r="I22" i="25" s="1"/>
  <c r="F23" i="25"/>
  <c r="I23" i="25" s="1"/>
  <c r="F24" i="25"/>
  <c r="I24" i="25" s="1"/>
  <c r="F25" i="25"/>
  <c r="I25" i="25" s="1"/>
  <c r="F26" i="25"/>
  <c r="I26" i="25" s="1"/>
  <c r="F27" i="25"/>
  <c r="I27" i="25" s="1"/>
  <c r="F28" i="25"/>
  <c r="I28" i="25" s="1"/>
  <c r="F29" i="25"/>
  <c r="I29" i="25" s="1"/>
  <c r="F30" i="25"/>
  <c r="I30" i="25" s="1"/>
  <c r="F31" i="25"/>
  <c r="I31" i="25" s="1"/>
  <c r="F32" i="25"/>
  <c r="I32" i="25" s="1"/>
  <c r="F33" i="25"/>
  <c r="I33" i="25" s="1"/>
  <c r="F34" i="25"/>
  <c r="I34" i="25" s="1"/>
  <c r="F35" i="25"/>
  <c r="I35" i="25" s="1"/>
  <c r="F36" i="25"/>
  <c r="I36" i="25" s="1"/>
  <c r="F37" i="25"/>
  <c r="I37" i="25" s="1"/>
  <c r="F38" i="25"/>
  <c r="I38" i="25" s="1"/>
  <c r="F39" i="25"/>
  <c r="I39" i="25" s="1"/>
  <c r="F40" i="25"/>
  <c r="I40" i="25" s="1"/>
  <c r="F41" i="25"/>
  <c r="I41" i="25" s="1"/>
  <c r="F42" i="25"/>
  <c r="I42" i="25" s="1"/>
  <c r="F43" i="25"/>
  <c r="I43" i="25" s="1"/>
  <c r="F44" i="25"/>
  <c r="I44" i="25" s="1"/>
  <c r="F45" i="25"/>
  <c r="I45" i="25" s="1"/>
  <c r="F46" i="25"/>
  <c r="I46" i="25" s="1"/>
  <c r="F47" i="25"/>
  <c r="I47" i="25" s="1"/>
  <c r="F48" i="25"/>
  <c r="I48" i="25" s="1"/>
  <c r="F49" i="25"/>
  <c r="I49" i="25" s="1"/>
  <c r="F50" i="25"/>
  <c r="I50" i="25" s="1"/>
  <c r="F51" i="25"/>
  <c r="I51" i="25" s="1"/>
  <c r="F52" i="25"/>
  <c r="I52" i="25" s="1"/>
  <c r="F53" i="25"/>
  <c r="I53" i="25" s="1"/>
  <c r="F54" i="25"/>
  <c r="F55" i="25"/>
  <c r="I55" i="25" s="1"/>
  <c r="F56" i="25"/>
  <c r="I56" i="25" s="1"/>
  <c r="F57" i="25"/>
  <c r="F58" i="25"/>
  <c r="I58" i="25" s="1"/>
  <c r="F59" i="25"/>
  <c r="I59" i="25" s="1"/>
  <c r="F60" i="25"/>
  <c r="I60" i="25" s="1"/>
  <c r="F61" i="25"/>
  <c r="I61" i="25" s="1"/>
  <c r="F62" i="25"/>
  <c r="I62" i="25" s="1"/>
  <c r="F63" i="25"/>
  <c r="I63" i="25" s="1"/>
  <c r="F64" i="25"/>
  <c r="I64" i="25" s="1"/>
  <c r="F65" i="25"/>
  <c r="I65" i="25" s="1"/>
  <c r="F66" i="25"/>
  <c r="I66" i="25" s="1"/>
  <c r="F67" i="25"/>
  <c r="I67" i="25" s="1"/>
  <c r="F68" i="25"/>
  <c r="I68" i="25" s="1"/>
  <c r="F69" i="25"/>
  <c r="I69" i="25" s="1"/>
  <c r="F70" i="25"/>
  <c r="I70" i="25" s="1"/>
  <c r="F71" i="25"/>
  <c r="I71" i="25" s="1"/>
  <c r="F72" i="25"/>
  <c r="I72" i="25" s="1"/>
  <c r="F73" i="25"/>
  <c r="F74" i="25"/>
  <c r="F75" i="25"/>
  <c r="I75" i="25" s="1"/>
  <c r="F76" i="25"/>
  <c r="I76" i="25" s="1"/>
  <c r="F77" i="25"/>
  <c r="I77" i="25" s="1"/>
  <c r="F78" i="25"/>
  <c r="I78" i="25" s="1"/>
  <c r="F79" i="25"/>
  <c r="I79" i="25" s="1"/>
  <c r="F80" i="25"/>
  <c r="I80" i="25" s="1"/>
  <c r="F81" i="25"/>
  <c r="F82" i="25"/>
  <c r="I82" i="25" s="1"/>
  <c r="F83" i="25"/>
  <c r="I83" i="25" s="1"/>
  <c r="F84" i="25"/>
  <c r="I84" i="25" s="1"/>
  <c r="F85" i="25"/>
  <c r="I85" i="25" s="1"/>
  <c r="F86" i="25"/>
  <c r="I86" i="25" s="1"/>
  <c r="F87" i="25"/>
  <c r="I87" i="25" s="1"/>
  <c r="F88" i="25"/>
  <c r="I88" i="25" s="1"/>
  <c r="F89" i="25"/>
  <c r="I89" i="25" s="1"/>
  <c r="F90" i="25"/>
  <c r="I90" i="25" s="1"/>
  <c r="F91" i="25"/>
  <c r="F92" i="25"/>
  <c r="I92" i="25" s="1"/>
  <c r="F93" i="25"/>
  <c r="I93" i="25" s="1"/>
  <c r="F94" i="25"/>
  <c r="I94" i="25" s="1"/>
  <c r="F95" i="25"/>
  <c r="I95" i="25" s="1"/>
  <c r="F96" i="25"/>
  <c r="I96" i="25" s="1"/>
  <c r="F97" i="25"/>
  <c r="I97" i="25" s="1"/>
  <c r="F98" i="25"/>
  <c r="F99" i="25"/>
  <c r="I99" i="25" s="1"/>
  <c r="F100" i="25"/>
  <c r="I100" i="25" s="1"/>
  <c r="F101" i="25"/>
  <c r="I101" i="25" s="1"/>
  <c r="F102" i="25"/>
  <c r="I102" i="25" s="1"/>
  <c r="F103" i="25"/>
  <c r="I103" i="25" s="1"/>
  <c r="F104" i="25"/>
  <c r="I104" i="25" s="1"/>
  <c r="F105" i="25"/>
  <c r="I105" i="25" s="1"/>
  <c r="F106" i="25"/>
  <c r="I106" i="25" s="1"/>
  <c r="F107" i="25"/>
  <c r="I107" i="25" s="1"/>
  <c r="F108" i="25"/>
  <c r="I108" i="25" s="1"/>
  <c r="F109" i="25"/>
  <c r="I109" i="25" s="1"/>
  <c r="F110" i="25"/>
  <c r="I110" i="25" s="1"/>
  <c r="F111" i="25"/>
  <c r="I111" i="25" s="1"/>
  <c r="F112" i="25"/>
  <c r="I112" i="25" s="1"/>
  <c r="F113" i="25"/>
  <c r="I113" i="25" s="1"/>
  <c r="F114" i="25"/>
  <c r="I114" i="25" s="1"/>
  <c r="F115" i="25"/>
  <c r="I115" i="25" s="1"/>
  <c r="F116" i="25"/>
  <c r="I116" i="25" s="1"/>
  <c r="F117" i="25"/>
  <c r="I117" i="25" s="1"/>
  <c r="F118" i="25"/>
  <c r="I118" i="25" s="1"/>
  <c r="F119" i="25"/>
  <c r="I119" i="25" s="1"/>
  <c r="F120" i="25"/>
  <c r="I120" i="25" s="1"/>
  <c r="F121" i="25"/>
  <c r="I121" i="25" s="1"/>
  <c r="F122" i="25"/>
  <c r="I122" i="25" s="1"/>
  <c r="F123" i="25"/>
  <c r="I123" i="25" s="1"/>
  <c r="F124" i="25"/>
  <c r="I124" i="25" s="1"/>
  <c r="F125" i="25"/>
  <c r="I125" i="25" s="1"/>
  <c r="F126" i="25"/>
  <c r="I126" i="25" s="1"/>
  <c r="F127" i="25"/>
  <c r="I127" i="25" s="1"/>
  <c r="F128" i="25"/>
  <c r="I128" i="25" s="1"/>
  <c r="F129" i="25"/>
  <c r="I129" i="25" s="1"/>
  <c r="F130" i="25"/>
  <c r="F131" i="25"/>
  <c r="F132" i="25"/>
  <c r="I132" i="25" s="1"/>
  <c r="F133" i="25"/>
  <c r="I133" i="25" s="1"/>
  <c r="F134" i="25"/>
  <c r="I134" i="25" s="1"/>
  <c r="F135" i="25"/>
  <c r="I135" i="25" s="1"/>
  <c r="F136" i="25"/>
  <c r="I136" i="25" s="1"/>
  <c r="F137" i="25"/>
  <c r="I137" i="25" s="1"/>
  <c r="F138" i="25"/>
  <c r="I138" i="25" s="1"/>
  <c r="F139" i="25"/>
  <c r="I139" i="25" s="1"/>
  <c r="F140" i="25"/>
  <c r="I140" i="25" s="1"/>
  <c r="F141" i="25"/>
  <c r="I141" i="25" s="1"/>
  <c r="F142" i="25"/>
  <c r="I142" i="25" s="1"/>
  <c r="F143" i="25"/>
  <c r="I143" i="25" s="1"/>
  <c r="F144" i="25"/>
  <c r="I144" i="25" s="1"/>
  <c r="F145" i="25"/>
  <c r="I145" i="25" s="1"/>
  <c r="F146" i="25"/>
  <c r="I146" i="25" s="1"/>
  <c r="F147" i="25"/>
  <c r="I147" i="25" s="1"/>
  <c r="F148" i="25"/>
  <c r="I148" i="25" s="1"/>
  <c r="F149" i="25"/>
  <c r="I149" i="25" s="1"/>
  <c r="F150" i="25"/>
  <c r="I150" i="25" s="1"/>
  <c r="F151" i="25"/>
  <c r="I151" i="25" s="1"/>
  <c r="F152" i="25"/>
  <c r="I152" i="25" s="1"/>
  <c r="F153" i="25"/>
  <c r="I153" i="25" s="1"/>
  <c r="F154" i="25"/>
  <c r="I154" i="25" s="1"/>
  <c r="F155" i="25"/>
  <c r="I155" i="25" s="1"/>
  <c r="F156" i="25"/>
  <c r="I156" i="25" s="1"/>
  <c r="F157" i="25"/>
  <c r="I157" i="25" s="1"/>
  <c r="F158" i="25"/>
  <c r="I158" i="25" s="1"/>
  <c r="F159" i="25"/>
  <c r="I159" i="25" s="1"/>
  <c r="F160" i="25"/>
  <c r="I160" i="25" s="1"/>
  <c r="F161" i="25"/>
  <c r="I161" i="25" s="1"/>
  <c r="F162" i="25"/>
  <c r="I162" i="25" s="1"/>
  <c r="F163" i="25"/>
  <c r="I163" i="25" s="1"/>
  <c r="F164" i="25"/>
  <c r="I164" i="25" s="1"/>
  <c r="F165" i="25"/>
  <c r="I165" i="25" s="1"/>
  <c r="F166" i="25"/>
  <c r="I166" i="25" s="1"/>
  <c r="F167" i="25"/>
  <c r="I167" i="25" s="1"/>
  <c r="F4" i="25"/>
  <c r="J167" i="25"/>
  <c r="J166" i="25"/>
  <c r="J165" i="25"/>
  <c r="J164" i="25"/>
  <c r="J163" i="25"/>
  <c r="J162" i="25"/>
  <c r="J161" i="25"/>
  <c r="J160" i="25"/>
  <c r="J159" i="25"/>
  <c r="J158" i="25"/>
  <c r="J157" i="25"/>
  <c r="J156" i="25"/>
  <c r="J155" i="25"/>
  <c r="J154" i="25"/>
  <c r="J153" i="25"/>
  <c r="J152" i="25"/>
  <c r="J151" i="25"/>
  <c r="J150" i="25"/>
  <c r="J149" i="25"/>
  <c r="J148" i="25"/>
  <c r="J147" i="25"/>
  <c r="J146" i="25"/>
  <c r="J145" i="25"/>
  <c r="J144" i="25"/>
  <c r="J143" i="25"/>
  <c r="J142" i="25"/>
  <c r="J141" i="25"/>
  <c r="J140" i="25"/>
  <c r="J139" i="25"/>
  <c r="J138" i="25"/>
  <c r="J137" i="25"/>
  <c r="J136" i="25"/>
  <c r="J135" i="25"/>
  <c r="J134" i="25"/>
  <c r="J133" i="25"/>
  <c r="J132" i="25"/>
  <c r="J131" i="25"/>
  <c r="I131" i="25"/>
  <c r="J130" i="25"/>
  <c r="I130" i="25"/>
  <c r="J129" i="25"/>
  <c r="J128" i="25"/>
  <c r="J127" i="25"/>
  <c r="J126" i="25"/>
  <c r="J125" i="25"/>
  <c r="J124" i="25"/>
  <c r="J123" i="25"/>
  <c r="J122" i="25"/>
  <c r="J121" i="25"/>
  <c r="J120" i="25"/>
  <c r="J119" i="25"/>
  <c r="J118" i="25"/>
  <c r="J117" i="25"/>
  <c r="J116" i="25"/>
  <c r="J115" i="25"/>
  <c r="J114" i="25"/>
  <c r="J113" i="25"/>
  <c r="J112" i="25"/>
  <c r="J111" i="25"/>
  <c r="J110" i="25"/>
  <c r="J109" i="25"/>
  <c r="J108" i="25"/>
  <c r="J107" i="25"/>
  <c r="J106" i="25"/>
  <c r="J105" i="25"/>
  <c r="J104" i="25"/>
  <c r="J103" i="25"/>
  <c r="J102" i="25"/>
  <c r="J101" i="25"/>
  <c r="J100" i="25"/>
  <c r="J99" i="25"/>
  <c r="J98" i="25"/>
  <c r="I98" i="25"/>
  <c r="J97" i="25"/>
  <c r="J96" i="25"/>
  <c r="J95" i="25"/>
  <c r="J94" i="25"/>
  <c r="J93" i="25"/>
  <c r="J92" i="25"/>
  <c r="J91" i="25"/>
  <c r="I91" i="25"/>
  <c r="J90" i="25"/>
  <c r="J89" i="25"/>
  <c r="J88" i="25"/>
  <c r="J87" i="25"/>
  <c r="J86" i="25"/>
  <c r="J85" i="25"/>
  <c r="J84" i="25"/>
  <c r="J83" i="25"/>
  <c r="J82" i="25"/>
  <c r="J81" i="25"/>
  <c r="I81" i="25"/>
  <c r="J80" i="25"/>
  <c r="J79" i="25"/>
  <c r="J78" i="25"/>
  <c r="J77" i="25"/>
  <c r="J76" i="25"/>
  <c r="J75" i="25"/>
  <c r="J74" i="25"/>
  <c r="I74" i="25"/>
  <c r="J73" i="25"/>
  <c r="I73" i="25"/>
  <c r="J72" i="25"/>
  <c r="J71" i="25"/>
  <c r="J70" i="25"/>
  <c r="J69" i="25"/>
  <c r="J68" i="25"/>
  <c r="J67" i="25"/>
  <c r="J66" i="25"/>
  <c r="J65" i="25"/>
  <c r="J64" i="25"/>
  <c r="J63" i="25"/>
  <c r="J62" i="25"/>
  <c r="J61" i="25"/>
  <c r="J60" i="25"/>
  <c r="J59" i="25"/>
  <c r="J58" i="25"/>
  <c r="J57" i="25"/>
  <c r="I57" i="25"/>
  <c r="J56" i="25"/>
  <c r="J55" i="25"/>
  <c r="J54" i="25"/>
  <c r="I54" i="25"/>
  <c r="J53" i="25"/>
  <c r="J52" i="25"/>
  <c r="J51" i="25"/>
  <c r="J50" i="25"/>
  <c r="J49" i="25"/>
  <c r="J48" i="25"/>
  <c r="J47" i="25"/>
  <c r="J46" i="25"/>
  <c r="J45" i="25"/>
  <c r="J44" i="25"/>
  <c r="J43" i="25"/>
  <c r="J42" i="25"/>
  <c r="J41" i="25"/>
  <c r="J40" i="25"/>
  <c r="J39" i="25"/>
  <c r="J38" i="25"/>
  <c r="J37" i="25"/>
  <c r="J36" i="25"/>
  <c r="J35" i="25"/>
  <c r="J34" i="25"/>
  <c r="J33" i="25"/>
  <c r="J32" i="25"/>
  <c r="J31" i="25"/>
  <c r="J30" i="25"/>
  <c r="J29" i="25"/>
  <c r="J28" i="25"/>
  <c r="J27" i="25"/>
  <c r="J26" i="25"/>
  <c r="J25" i="25"/>
  <c r="J24" i="25"/>
  <c r="J23" i="25"/>
  <c r="J22" i="25"/>
  <c r="J21" i="25"/>
  <c r="J20" i="25"/>
  <c r="J19" i="25"/>
  <c r="I19" i="25"/>
  <c r="U18" i="25"/>
  <c r="J18" i="25"/>
  <c r="U17" i="25"/>
  <c r="J17" i="25"/>
  <c r="J16" i="25"/>
  <c r="J15" i="25"/>
  <c r="J14" i="25"/>
  <c r="J13" i="25"/>
  <c r="J12" i="25"/>
  <c r="J11" i="25"/>
  <c r="J10" i="25"/>
  <c r="J9" i="25"/>
  <c r="J8" i="25"/>
  <c r="J7" i="25"/>
  <c r="J6" i="25"/>
  <c r="J5" i="25"/>
  <c r="J4" i="25"/>
  <c r="A4" i="25"/>
  <c r="L4" i="25" s="1"/>
  <c r="BO27" i="4" l="1" a="1"/>
  <c r="BZ28" i="4" s="1"/>
  <c r="DG29" i="5" s="1"/>
  <c r="BO19" i="4" a="1"/>
  <c r="BO4" i="4" a="1"/>
  <c r="N4" i="25"/>
  <c r="U4" i="25"/>
  <c r="U9" i="25"/>
  <c r="U14" i="25"/>
  <c r="V10" i="25"/>
  <c r="V4" i="25"/>
  <c r="V5" i="25"/>
  <c r="V6" i="25"/>
  <c r="I4" i="25"/>
  <c r="O4" i="25" s="1"/>
  <c r="Q4" i="25" s="1"/>
  <c r="A5" i="25"/>
  <c r="U7" i="25"/>
  <c r="U5" i="25"/>
  <c r="V8" i="25"/>
  <c r="M4" i="25"/>
  <c r="W10" i="25"/>
  <c r="W5" i="25"/>
  <c r="W6" i="25"/>
  <c r="U10" i="25"/>
  <c r="W7" i="25"/>
  <c r="U8" i="25"/>
  <c r="W4" i="25"/>
  <c r="U6" i="25"/>
  <c r="V7" i="25"/>
  <c r="W8" i="25"/>
  <c r="BV30" i="4" l="1"/>
  <c r="DC31" i="5" s="1"/>
  <c r="BO30" i="4"/>
  <c r="CV31" i="5" s="1"/>
  <c r="BT30" i="4"/>
  <c r="DA31" i="5" s="1"/>
  <c r="BY30" i="4"/>
  <c r="DF31" i="5" s="1"/>
  <c r="BR31" i="4"/>
  <c r="CY32" i="5" s="1"/>
  <c r="BT28" i="4"/>
  <c r="DA29" i="5" s="1"/>
  <c r="BY28" i="4"/>
  <c r="DF29" i="5" s="1"/>
  <c r="BR29" i="4"/>
  <c r="CY30" i="5" s="1"/>
  <c r="BO31" i="4"/>
  <c r="CV32" i="5" s="1"/>
  <c r="BT31" i="4"/>
  <c r="DA32" i="5" s="1"/>
  <c r="BY31" i="4"/>
  <c r="DF32" i="5" s="1"/>
  <c r="BO29" i="4"/>
  <c r="CV30" i="5" s="1"/>
  <c r="M1" i="5" s="1"/>
  <c r="BT29" i="4"/>
  <c r="DA30" i="5" s="1"/>
  <c r="BY29" i="4"/>
  <c r="DF30" i="5" s="1"/>
  <c r="BR30" i="4"/>
  <c r="CY31" i="5" s="1"/>
  <c r="BV29" i="4"/>
  <c r="DC30" i="5" s="1"/>
  <c r="BS31" i="4"/>
  <c r="CZ32" i="5" s="1"/>
  <c r="BX31" i="4"/>
  <c r="DE32" i="5" s="1"/>
  <c r="BR27" i="4"/>
  <c r="CY28" i="5" s="1"/>
  <c r="BO28" i="4"/>
  <c r="CV29" i="5" s="1"/>
  <c r="BX29" i="4"/>
  <c r="DE30" i="5" s="1"/>
  <c r="BQ30" i="4"/>
  <c r="CX31" i="5" s="1"/>
  <c r="BZ31" i="4"/>
  <c r="DG32" i="5" s="1"/>
  <c r="BT27" i="4"/>
  <c r="DA28" i="5" s="1"/>
  <c r="BY27" i="4"/>
  <c r="DF28" i="5" s="1"/>
  <c r="BR28" i="4"/>
  <c r="CY29" i="5" s="1"/>
  <c r="BS30" i="4"/>
  <c r="CZ31" i="5" s="1"/>
  <c r="BX30" i="4"/>
  <c r="DE31" i="5" s="1"/>
  <c r="BQ31" i="4"/>
  <c r="CX32" i="5" s="1"/>
  <c r="BV31" i="4"/>
  <c r="DC32" i="5" s="1"/>
  <c r="BS27" i="4"/>
  <c r="CZ28" i="5" s="1"/>
  <c r="BX27" i="4"/>
  <c r="DE28" i="5" s="1"/>
  <c r="BQ28" i="4"/>
  <c r="CX29" i="5" s="1"/>
  <c r="BV28" i="4"/>
  <c r="DC29" i="5" s="1"/>
  <c r="BW30" i="4"/>
  <c r="DD31" i="5" s="1"/>
  <c r="BP31" i="4"/>
  <c r="CW32" i="5" s="1"/>
  <c r="BU31" i="4"/>
  <c r="DB32" i="5" s="1"/>
  <c r="BS28" i="4"/>
  <c r="CZ29" i="5" s="1"/>
  <c r="BX28" i="4"/>
  <c r="DE29" i="5" s="1"/>
  <c r="BQ29" i="4"/>
  <c r="CX30" i="5" s="1"/>
  <c r="BZ30" i="4"/>
  <c r="DG31" i="5" s="1"/>
  <c r="BW31" i="4"/>
  <c r="DD32" i="5" s="1"/>
  <c r="BQ27" i="4"/>
  <c r="CX28" i="5" s="1"/>
  <c r="BV27" i="4"/>
  <c r="DC28" i="5" s="1"/>
  <c r="BO27" i="4"/>
  <c r="CV28" i="5" s="1"/>
  <c r="BS29" i="4"/>
  <c r="CZ30" i="5" s="1"/>
  <c r="BW28" i="4"/>
  <c r="DD29" i="5" s="1"/>
  <c r="BP29" i="4"/>
  <c r="CW30" i="5" s="1"/>
  <c r="BU29" i="4"/>
  <c r="DB30" i="5" s="1"/>
  <c r="BZ29" i="4"/>
  <c r="DG30" i="5" s="1"/>
  <c r="BP27" i="4"/>
  <c r="CW28" i="5" s="1"/>
  <c r="BU27" i="4"/>
  <c r="DB28" i="5" s="1"/>
  <c r="BZ27" i="4"/>
  <c r="DG28" i="5" s="1"/>
  <c r="BW29" i="4"/>
  <c r="DD30" i="5" s="1"/>
  <c r="BP30" i="4"/>
  <c r="CW31" i="5" s="1"/>
  <c r="BU30" i="4"/>
  <c r="DB31" i="5" s="1"/>
  <c r="BW27" i="4"/>
  <c r="DD28" i="5" s="1"/>
  <c r="BP28" i="4"/>
  <c r="CW29" i="5" s="1"/>
  <c r="BU28" i="4"/>
  <c r="DB29" i="5" s="1"/>
  <c r="BO19" i="4"/>
  <c r="CV20" i="5" s="1"/>
  <c r="BU22" i="4"/>
  <c r="DB23" i="5" s="1"/>
  <c r="BQ20" i="4"/>
  <c r="CX21" i="5" s="1"/>
  <c r="BP23" i="4"/>
  <c r="CW24" i="5" s="1"/>
  <c r="BX21" i="4"/>
  <c r="DE22" i="5" s="1"/>
  <c r="BT20" i="4"/>
  <c r="DA21" i="5" s="1"/>
  <c r="BP19" i="4"/>
  <c r="CW20" i="5" s="1"/>
  <c r="BZ22" i="4"/>
  <c r="DG23" i="5" s="1"/>
  <c r="BV21" i="4"/>
  <c r="DC22" i="5" s="1"/>
  <c r="BR20" i="4"/>
  <c r="CY21" i="5" s="1"/>
  <c r="BY23" i="4"/>
  <c r="DF24" i="5" s="1"/>
  <c r="BU20" i="4"/>
  <c r="DB21" i="5" s="1"/>
  <c r="BS23" i="4"/>
  <c r="CZ24" i="5" s="1"/>
  <c r="BO22" i="4"/>
  <c r="CV23" i="5" s="1"/>
  <c r="BW20" i="4"/>
  <c r="DD21" i="5" s="1"/>
  <c r="BS19" i="4"/>
  <c r="CZ20" i="5" s="1"/>
  <c r="BU23" i="4"/>
  <c r="DB24" i="5" s="1"/>
  <c r="BU21" i="4"/>
  <c r="DB22" i="5" s="1"/>
  <c r="BX23" i="4"/>
  <c r="DE24" i="5" s="1"/>
  <c r="BT22" i="4"/>
  <c r="DA23" i="5" s="1"/>
  <c r="BX19" i="4"/>
  <c r="DE20" i="5" s="1"/>
  <c r="BV23" i="4"/>
  <c r="DC24" i="5" s="1"/>
  <c r="BR22" i="4"/>
  <c r="CY23" i="5" s="1"/>
  <c r="BZ20" i="4"/>
  <c r="DG21" i="5" s="1"/>
  <c r="BQ22" i="4"/>
  <c r="CX23" i="5" s="1"/>
  <c r="BW22" i="4"/>
  <c r="DD23" i="5" s="1"/>
  <c r="BO20" i="4"/>
  <c r="CV21" i="5" s="1"/>
  <c r="BY22" i="4"/>
  <c r="DF23" i="5" s="1"/>
  <c r="BY20" i="4"/>
  <c r="DF21" i="5" s="1"/>
  <c r="BP22" i="4"/>
  <c r="CW23" i="5" s="1"/>
  <c r="BT19" i="4"/>
  <c r="DA20" i="5" s="1"/>
  <c r="BZ21" i="4"/>
  <c r="DG22" i="5" s="1"/>
  <c r="BV20" i="4"/>
  <c r="DC21" i="5" s="1"/>
  <c r="BQ21" i="4"/>
  <c r="CX22" i="5" s="1"/>
  <c r="BS22" i="4"/>
  <c r="CZ23" i="5" s="1"/>
  <c r="BW19" i="4"/>
  <c r="DD20" i="5" s="1"/>
  <c r="BY21" i="4"/>
  <c r="DF22" i="5" s="1"/>
  <c r="BQ19" i="4"/>
  <c r="CX20" i="5" s="1"/>
  <c r="BX22" i="4"/>
  <c r="DE23" i="5" s="1"/>
  <c r="BT21" i="4"/>
  <c r="DA22" i="5" s="1"/>
  <c r="BP20" i="4"/>
  <c r="CW21" i="5" s="1"/>
  <c r="BZ23" i="4"/>
  <c r="DG24" i="5" s="1"/>
  <c r="BV22" i="4"/>
  <c r="DC23" i="5" s="1"/>
  <c r="BR21" i="4"/>
  <c r="CY22" i="5" s="1"/>
  <c r="BZ19" i="4"/>
  <c r="DG20" i="5" s="1"/>
  <c r="BQ23" i="4"/>
  <c r="CX24" i="5" s="1"/>
  <c r="BY19" i="4"/>
  <c r="DF20" i="5" s="1"/>
  <c r="BO23" i="4"/>
  <c r="CV24" i="5" s="1"/>
  <c r="BW21" i="4"/>
  <c r="DD22" i="5" s="1"/>
  <c r="BS20" i="4"/>
  <c r="CZ21" i="5" s="1"/>
  <c r="BP21" i="4"/>
  <c r="CW22" i="5" s="1"/>
  <c r="BV19" i="4"/>
  <c r="DC20" i="5" s="1"/>
  <c r="BU19" i="4"/>
  <c r="DB20" i="5" s="1"/>
  <c r="BS21" i="4"/>
  <c r="CZ22" i="5" s="1"/>
  <c r="BT23" i="4"/>
  <c r="DA24" i="5" s="1"/>
  <c r="BX20" i="4"/>
  <c r="DE21" i="5" s="1"/>
  <c r="BR23" i="4"/>
  <c r="CY24" i="5" s="1"/>
  <c r="BR19" i="4"/>
  <c r="CY20" i="5" s="1"/>
  <c r="BW23" i="4"/>
  <c r="DD24" i="5" s="1"/>
  <c r="BO21" i="4"/>
  <c r="CV22" i="5" s="1"/>
  <c r="L1" i="5" s="1"/>
  <c r="BZ8" i="4"/>
  <c r="BO5" i="4"/>
  <c r="BO7" i="4"/>
  <c r="BW8" i="4"/>
  <c r="BP5" i="4"/>
  <c r="BT6" i="4"/>
  <c r="BX7" i="4"/>
  <c r="BQ4" i="4"/>
  <c r="BU5" i="4"/>
  <c r="BY6" i="4"/>
  <c r="BQ8" i="4"/>
  <c r="BS5" i="4"/>
  <c r="BR4" i="4"/>
  <c r="BV5" i="4"/>
  <c r="BZ6" i="4"/>
  <c r="BR8" i="4"/>
  <c r="BW6" i="4"/>
  <c r="BP6" i="4"/>
  <c r="BX8" i="4"/>
  <c r="BW4" i="4"/>
  <c r="BR5" i="4"/>
  <c r="BW5" i="4"/>
  <c r="BS7" i="4"/>
  <c r="BP4" i="4"/>
  <c r="BT5" i="4"/>
  <c r="BX6" i="4"/>
  <c r="BP8" i="4"/>
  <c r="BU4" i="4"/>
  <c r="BY5" i="4"/>
  <c r="BQ7" i="4"/>
  <c r="BU8" i="4"/>
  <c r="BO6" i="4"/>
  <c r="BV4" i="4"/>
  <c r="BZ5" i="4"/>
  <c r="BR7" i="4"/>
  <c r="BV8" i="4"/>
  <c r="BO8" i="4"/>
  <c r="BT7" i="4"/>
  <c r="BU6" i="4"/>
  <c r="BO4" i="4"/>
  <c r="BZ7" i="4"/>
  <c r="BS6" i="4"/>
  <c r="BW7" i="4"/>
  <c r="BT4" i="4"/>
  <c r="BX5" i="4"/>
  <c r="BP7" i="4"/>
  <c r="BT8" i="4"/>
  <c r="BY4" i="4"/>
  <c r="BQ6" i="4"/>
  <c r="BU7" i="4"/>
  <c r="BY8" i="4"/>
  <c r="BS8" i="4"/>
  <c r="BZ4" i="4"/>
  <c r="BR6" i="4"/>
  <c r="BV7" i="4"/>
  <c r="BS4" i="4"/>
  <c r="BX4" i="4"/>
  <c r="BQ5" i="4"/>
  <c r="BY7" i="4"/>
  <c r="BV6" i="4"/>
  <c r="R4" i="25"/>
  <c r="P4" i="25"/>
  <c r="A6" i="25"/>
  <c r="U15" i="25"/>
  <c r="U16" i="25" s="1"/>
  <c r="V9" i="25"/>
  <c r="W9" i="25"/>
  <c r="A7" i="25" l="1"/>
  <c r="A8" i="25" l="1"/>
  <c r="A9" i="25" l="1"/>
  <c r="A10" i="25" l="1"/>
  <c r="A11" i="25" l="1"/>
  <c r="A12" i="25" l="1"/>
  <c r="A13" i="25" l="1"/>
  <c r="A14" i="25" l="1"/>
  <c r="A15" i="25" s="1"/>
  <c r="A16" i="25" s="1"/>
  <c r="A17" i="25" s="1"/>
  <c r="A18" i="25" s="1"/>
  <c r="A19" i="25" s="1"/>
  <c r="A20" i="25" s="1"/>
  <c r="A21" i="25" s="1"/>
  <c r="A22" i="25" s="1"/>
  <c r="A23" i="25" s="1"/>
  <c r="A24" i="25" s="1"/>
  <c r="A25" i="25" s="1"/>
  <c r="A26" i="25" s="1"/>
  <c r="A27" i="25" s="1"/>
  <c r="A28" i="25" s="1"/>
  <c r="A29" i="25" s="1"/>
  <c r="A30" i="25" s="1"/>
  <c r="A31" i="25" s="1"/>
  <c r="A32" i="25" s="1"/>
  <c r="A33" i="25" s="1"/>
  <c r="A34" i="25" s="1"/>
  <c r="A35" i="25" s="1"/>
  <c r="A36" i="25" s="1"/>
  <c r="A37" i="25" s="1"/>
  <c r="A38" i="25" s="1"/>
  <c r="A39" i="25" s="1"/>
  <c r="A40" i="25" s="1"/>
  <c r="A41" i="25" s="1"/>
  <c r="A42" i="25" s="1"/>
  <c r="A43" i="25" s="1"/>
  <c r="A44" i="25" s="1"/>
  <c r="A45" i="25" s="1"/>
  <c r="A46" i="25" s="1"/>
  <c r="A47" i="25" s="1"/>
  <c r="A48" i="25" s="1"/>
  <c r="A49" i="25" s="1"/>
  <c r="A50" i="25" s="1"/>
  <c r="A51" i="25" s="1"/>
  <c r="A52" i="25" s="1"/>
  <c r="A53" i="25" s="1"/>
  <c r="A54" i="25" s="1"/>
  <c r="A55" i="25" s="1"/>
  <c r="A56" i="25" s="1"/>
  <c r="A57" i="25" s="1"/>
  <c r="A58" i="25" s="1"/>
  <c r="A59" i="25" s="1"/>
  <c r="A60" i="25" s="1"/>
  <c r="A61" i="25" s="1"/>
  <c r="A62" i="25" s="1"/>
  <c r="A63" i="25" s="1"/>
  <c r="A64" i="25" s="1"/>
  <c r="A65" i="25" s="1"/>
  <c r="A66" i="25" s="1"/>
  <c r="A67" i="25" s="1"/>
  <c r="A68" i="25" s="1"/>
  <c r="A69" i="25" s="1"/>
  <c r="A70" i="25" s="1"/>
  <c r="A71" i="25" s="1"/>
  <c r="A72" i="25" s="1"/>
  <c r="A73" i="25" s="1"/>
  <c r="A74" i="25" s="1"/>
  <c r="A75" i="25" s="1"/>
  <c r="A76" i="25" s="1"/>
  <c r="A77" i="25" s="1"/>
  <c r="A78" i="25" s="1"/>
  <c r="A79" i="25" s="1"/>
  <c r="A80" i="25" s="1"/>
  <c r="A81" i="25" s="1"/>
  <c r="A82" i="25" s="1"/>
  <c r="A83" i="25" s="1"/>
  <c r="A84" i="25" s="1"/>
  <c r="A85" i="25" s="1"/>
  <c r="A86" i="25" s="1"/>
  <c r="A87" i="25" s="1"/>
  <c r="A88" i="25" s="1"/>
  <c r="A89" i="25" s="1"/>
  <c r="A90" i="25" s="1"/>
  <c r="A91" i="25" s="1"/>
  <c r="A92" i="25" s="1"/>
  <c r="A93" i="25" s="1"/>
  <c r="A94" i="25" s="1"/>
  <c r="A95" i="25" s="1"/>
  <c r="A96" i="25" s="1"/>
  <c r="A97" i="25" s="1"/>
  <c r="A98" i="25" s="1"/>
  <c r="A99" i="25" s="1"/>
  <c r="A100" i="25" s="1"/>
  <c r="A101" i="25" s="1"/>
  <c r="A102" i="25" s="1"/>
  <c r="A103" i="25" s="1"/>
  <c r="A104" i="25" s="1"/>
  <c r="A105" i="25" s="1"/>
  <c r="A106" i="25" s="1"/>
  <c r="A107" i="25" s="1"/>
  <c r="A108" i="25" s="1"/>
  <c r="A109" i="25" s="1"/>
  <c r="A110" i="25" s="1"/>
  <c r="A111" i="25" s="1"/>
  <c r="A112" i="25" s="1"/>
  <c r="A113" i="25" s="1"/>
  <c r="A114" i="25" s="1"/>
  <c r="A115" i="25" s="1"/>
  <c r="A116" i="25" s="1"/>
  <c r="A117" i="25" s="1"/>
  <c r="A118" i="25" s="1"/>
  <c r="A119" i="25" s="1"/>
  <c r="A120" i="25" s="1"/>
  <c r="A121" i="25" s="1"/>
  <c r="A122" i="25" s="1"/>
  <c r="A123" i="25" s="1"/>
  <c r="A124" i="25" s="1"/>
  <c r="A125" i="25" s="1"/>
  <c r="A126" i="25" s="1"/>
  <c r="A127" i="25" s="1"/>
  <c r="A128" i="25" s="1"/>
  <c r="A129" i="25" s="1"/>
  <c r="A130" i="25" s="1"/>
  <c r="A131" i="25" s="1"/>
  <c r="A132" i="25" s="1"/>
  <c r="A133" i="25" s="1"/>
  <c r="A134" i="25" s="1"/>
  <c r="A135" i="25" s="1"/>
  <c r="A136" i="25" s="1"/>
  <c r="A137" i="25" s="1"/>
  <c r="A138" i="25" s="1"/>
  <c r="A139" i="25" s="1"/>
  <c r="A140" i="25" s="1"/>
  <c r="A141" i="25" s="1"/>
  <c r="A142" i="25" s="1"/>
  <c r="A143" i="25" s="1"/>
  <c r="A144" i="25" s="1"/>
  <c r="A145" i="25" s="1"/>
  <c r="A146" i="25" s="1"/>
  <c r="A147" i="25" s="1"/>
  <c r="A148" i="25" s="1"/>
  <c r="A149" i="25" s="1"/>
  <c r="A150" i="25" s="1"/>
  <c r="A151" i="25" s="1"/>
  <c r="A152" i="25" s="1"/>
  <c r="A153" i="25" s="1"/>
  <c r="A154" i="25" s="1"/>
  <c r="A155" i="25" s="1"/>
  <c r="A156" i="25" s="1"/>
  <c r="A157" i="25" s="1"/>
  <c r="A158" i="25" s="1"/>
  <c r="A159" i="25" s="1"/>
  <c r="A160" i="25" s="1"/>
  <c r="A161" i="25" s="1"/>
  <c r="A162" i="25" s="1"/>
  <c r="A163" i="25" s="1"/>
  <c r="A164" i="25" s="1"/>
  <c r="A165" i="25" s="1"/>
  <c r="A166" i="25" s="1"/>
  <c r="A167" i="25" s="1"/>
  <c r="A168" i="25" s="1"/>
  <c r="A169" i="25" s="1"/>
  <c r="A170" i="25" s="1"/>
  <c r="A171" i="25" s="1"/>
  <c r="A172" i="25" s="1"/>
  <c r="A173" i="25" s="1"/>
  <c r="A174" i="25" s="1"/>
  <c r="A175" i="25" s="1"/>
  <c r="A176" i="25" s="1"/>
  <c r="A177" i="25" s="1"/>
  <c r="A178" i="25" s="1"/>
  <c r="A179" i="25" s="1"/>
  <c r="A180" i="25" s="1"/>
  <c r="A181" i="25" s="1"/>
  <c r="A182" i="25" s="1"/>
  <c r="A183" i="25" s="1"/>
  <c r="A184" i="25" s="1"/>
  <c r="A185" i="25" s="1"/>
  <c r="A186" i="25" s="1"/>
  <c r="A187" i="25" s="1"/>
  <c r="A188" i="25" s="1"/>
  <c r="A189" i="25" s="1"/>
  <c r="A190" i="25" s="1"/>
  <c r="A191" i="25" s="1"/>
  <c r="A192" i="25" s="1"/>
  <c r="A193" i="25" s="1"/>
  <c r="A194" i="25" s="1"/>
  <c r="A195" i="25" s="1"/>
  <c r="A196" i="25" s="1"/>
  <c r="A197" i="25" s="1"/>
  <c r="A198" i="25" s="1"/>
  <c r="A199" i="25" s="1"/>
  <c r="A200" i="25" s="1"/>
  <c r="A201" i="25" s="1"/>
  <c r="A202" i="25" s="1"/>
  <c r="A203" i="25" s="1"/>
  <c r="A204" i="25" s="1"/>
  <c r="A205" i="25" s="1"/>
  <c r="A206" i="25" s="1"/>
  <c r="A207" i="25" s="1"/>
  <c r="A208" i="25" s="1"/>
  <c r="A209" i="25" s="1"/>
  <c r="A210" i="25" s="1"/>
  <c r="A211" i="25" s="1"/>
  <c r="A212" i="25" s="1"/>
  <c r="A213" i="25" s="1"/>
  <c r="A214" i="25" s="1"/>
  <c r="A215" i="25" s="1"/>
  <c r="A216" i="25" s="1"/>
  <c r="A217" i="25" s="1"/>
  <c r="A218" i="25" s="1"/>
  <c r="A219" i="25" s="1"/>
  <c r="A220" i="25" s="1"/>
  <c r="A221" i="25" s="1"/>
  <c r="A222" i="25" s="1"/>
  <c r="A223" i="25" s="1"/>
  <c r="A224" i="25" s="1"/>
  <c r="A225" i="25" s="1"/>
  <c r="A226" i="25" s="1"/>
  <c r="A227" i="25" s="1"/>
  <c r="A228" i="25" s="1"/>
  <c r="A229" i="25" s="1"/>
  <c r="A230" i="25" s="1"/>
  <c r="A231" i="25" s="1"/>
  <c r="A232" i="25" s="1"/>
  <c r="A233" i="25" s="1"/>
  <c r="A234" i="25" s="1"/>
  <c r="A235" i="25" s="1"/>
  <c r="A236" i="25" s="1"/>
  <c r="A237" i="25" s="1"/>
  <c r="A238" i="25" s="1"/>
  <c r="A239" i="25" s="1"/>
  <c r="A240" i="25" s="1"/>
  <c r="A241" i="25" s="1"/>
  <c r="A242" i="25" s="1"/>
  <c r="A243" i="25" s="1"/>
  <c r="A244" i="25" s="1"/>
  <c r="A245" i="25" s="1"/>
  <c r="A246" i="25" s="1"/>
  <c r="A247" i="25" s="1"/>
  <c r="A248" i="25" s="1"/>
  <c r="A249" i="25" s="1"/>
  <c r="A250" i="25" s="1"/>
  <c r="A251" i="25" s="1"/>
  <c r="A252" i="25" s="1"/>
  <c r="A253" i="25" s="1"/>
  <c r="A254" i="25" s="1"/>
  <c r="A255" i="25" s="1"/>
  <c r="A256" i="25" s="1"/>
  <c r="A257" i="25" s="1"/>
  <c r="A258" i="25" s="1"/>
  <c r="A259" i="25" s="1"/>
  <c r="A260" i="25" s="1"/>
  <c r="A261" i="25" s="1"/>
  <c r="A262" i="25" s="1"/>
  <c r="A263" i="25" s="1"/>
  <c r="A264" i="25" s="1"/>
  <c r="A265" i="25" s="1"/>
  <c r="A266" i="25" s="1"/>
  <c r="A267" i="25" s="1"/>
  <c r="A268" i="25" s="1"/>
  <c r="A269" i="25" s="1"/>
  <c r="A270" i="25" s="1"/>
  <c r="A271" i="25" s="1"/>
  <c r="A272" i="25" s="1"/>
  <c r="A273" i="25" s="1"/>
  <c r="A274" i="25" s="1"/>
  <c r="A275" i="25" s="1"/>
  <c r="A276" i="25" s="1"/>
  <c r="A277" i="25" s="1"/>
  <c r="A278" i="25" s="1"/>
  <c r="A279" i="25" s="1"/>
  <c r="A280" i="25" s="1"/>
  <c r="A281" i="25" s="1"/>
  <c r="A282" i="25" s="1"/>
  <c r="A283" i="25" s="1"/>
  <c r="A284" i="25" s="1"/>
  <c r="A285" i="25" s="1"/>
  <c r="A286" i="25" s="1"/>
  <c r="A287" i="25" s="1"/>
  <c r="A288" i="25" s="1"/>
  <c r="A289" i="25" s="1"/>
  <c r="A290" i="25" s="1"/>
  <c r="A291" i="25" s="1"/>
  <c r="A292" i="25" s="1"/>
  <c r="A293" i="25" s="1"/>
  <c r="A294" i="25" s="1"/>
  <c r="A295" i="25" s="1"/>
  <c r="A296" i="25" s="1"/>
  <c r="A297" i="25" s="1"/>
  <c r="A298" i="25" s="1"/>
  <c r="A299" i="25" s="1"/>
  <c r="A300" i="25" s="1"/>
  <c r="A301" i="25" s="1"/>
  <c r="A302" i="25" s="1"/>
  <c r="A303" i="25" s="1"/>
  <c r="A304" i="25" s="1"/>
  <c r="A305" i="25" s="1"/>
  <c r="A306" i="25" s="1"/>
  <c r="A307" i="25" s="1"/>
  <c r="A308" i="25" s="1"/>
  <c r="A309" i="25" s="1"/>
  <c r="A310" i="25" s="1"/>
  <c r="A311" i="25" s="1"/>
  <c r="A312" i="25" s="1"/>
  <c r="A313" i="25" s="1"/>
  <c r="A314" i="25" s="1"/>
  <c r="A315" i="25" s="1"/>
  <c r="A316" i="25" s="1"/>
  <c r="A317" i="25" s="1"/>
  <c r="A318" i="25" s="1"/>
  <c r="A319" i="25" s="1"/>
  <c r="A320" i="25" s="1"/>
  <c r="A321" i="25" s="1"/>
  <c r="A322" i="25" s="1"/>
  <c r="A323" i="25" s="1"/>
  <c r="A324" i="25" s="1"/>
  <c r="A325" i="25" s="1"/>
  <c r="A326" i="25" s="1"/>
  <c r="A327" i="25" s="1"/>
  <c r="A328" i="25" s="1"/>
  <c r="A329" i="25" s="1"/>
  <c r="A330" i="25" s="1"/>
  <c r="A331" i="25" s="1"/>
  <c r="A332" i="25" s="1"/>
  <c r="A333" i="25" s="1"/>
  <c r="A334" i="25" s="1"/>
  <c r="A335" i="25" s="1"/>
  <c r="A336" i="25" s="1"/>
  <c r="A337" i="25" s="1"/>
  <c r="A338" i="25" s="1"/>
  <c r="A339" i="25" s="1"/>
  <c r="A340" i="25" s="1"/>
  <c r="A341" i="25" s="1"/>
  <c r="A342" i="25" s="1"/>
  <c r="A343" i="25" s="1"/>
  <c r="A344" i="25" s="1"/>
  <c r="A345" i="25" s="1"/>
  <c r="A346" i="25" s="1"/>
  <c r="A347" i="25" s="1"/>
  <c r="A348" i="25" s="1"/>
  <c r="A349" i="25" s="1"/>
  <c r="A350" i="25" s="1"/>
  <c r="A351" i="25" s="1"/>
  <c r="A352" i="25" s="1"/>
  <c r="A353" i="25" s="1"/>
  <c r="A354" i="25" s="1"/>
  <c r="A355" i="25" s="1"/>
  <c r="A356" i="25" s="1"/>
  <c r="A357" i="25" s="1"/>
  <c r="A358" i="25" s="1"/>
  <c r="A359" i="25" s="1"/>
  <c r="A360" i="25" s="1"/>
  <c r="A361" i="25" s="1"/>
  <c r="A362" i="25" s="1"/>
  <c r="A363" i="25" s="1"/>
  <c r="A364" i="25" s="1"/>
  <c r="A365" i="25" s="1"/>
  <c r="A366" i="25" s="1"/>
  <c r="A367" i="25" s="1"/>
  <c r="A368" i="25" s="1"/>
  <c r="A369" i="25" s="1"/>
  <c r="A370" i="25" s="1"/>
  <c r="A371" i="25" s="1"/>
  <c r="A372" i="25" s="1"/>
  <c r="A373" i="25" s="1"/>
  <c r="A374" i="25" s="1"/>
  <c r="A375" i="25" s="1"/>
  <c r="A376" i="25" s="1"/>
  <c r="A377" i="25" s="1"/>
  <c r="A378" i="25" s="1"/>
  <c r="A379" i="25" s="1"/>
  <c r="A380" i="25" s="1"/>
  <c r="A381" i="25" s="1"/>
  <c r="A382" i="25" s="1"/>
  <c r="A383" i="25" s="1"/>
  <c r="A384" i="25" s="1"/>
  <c r="A385" i="25" s="1"/>
  <c r="A386" i="25" s="1"/>
  <c r="A387" i="25" s="1"/>
  <c r="A388" i="25" s="1"/>
  <c r="A389" i="25" s="1"/>
  <c r="A390" i="25" s="1"/>
  <c r="A391" i="25" s="1"/>
  <c r="A392" i="25" s="1"/>
  <c r="A393" i="25" s="1"/>
  <c r="A394" i="25" s="1"/>
  <c r="A395" i="25" s="1"/>
  <c r="A396" i="25" s="1"/>
  <c r="A397" i="25" s="1"/>
  <c r="A398" i="25" s="1"/>
  <c r="A399" i="25" s="1"/>
  <c r="A400" i="25" s="1"/>
  <c r="A401" i="25" s="1"/>
  <c r="A402" i="25" s="1"/>
  <c r="A403" i="25" s="1"/>
  <c r="A404" i="25" s="1"/>
  <c r="A405" i="25" s="1"/>
  <c r="A406" i="25" s="1"/>
  <c r="A407" i="25" s="1"/>
  <c r="A408" i="25" s="1"/>
  <c r="A409" i="25" s="1"/>
  <c r="A410" i="25" s="1"/>
  <c r="A411" i="25" s="1"/>
  <c r="A412" i="25" s="1"/>
  <c r="A413" i="25" s="1"/>
  <c r="A414" i="25" s="1"/>
  <c r="A415" i="25" s="1"/>
  <c r="A416" i="25" s="1"/>
  <c r="A417" i="25" s="1"/>
  <c r="A418" i="25" s="1"/>
  <c r="A419" i="25" s="1"/>
  <c r="A420" i="25" s="1"/>
  <c r="A421" i="25" s="1"/>
  <c r="A422" i="25" s="1"/>
  <c r="A423" i="25" s="1"/>
  <c r="A424" i="25" s="1"/>
  <c r="A425" i="25" s="1"/>
  <c r="A426" i="25" s="1"/>
  <c r="A427" i="25" s="1"/>
  <c r="A428" i="25" s="1"/>
  <c r="A429" i="25" s="1"/>
  <c r="A430" i="25" s="1"/>
  <c r="A431" i="25" s="1"/>
  <c r="A432" i="25" s="1"/>
  <c r="A433" i="25" s="1"/>
  <c r="A434" i="25" s="1"/>
  <c r="A435" i="25" s="1"/>
  <c r="A436" i="25" s="1"/>
  <c r="A437" i="25" s="1"/>
  <c r="A438" i="25" s="1"/>
  <c r="A439" i="25" s="1"/>
  <c r="A440" i="25" s="1"/>
  <c r="A441" i="25" s="1"/>
  <c r="A442" i="25" s="1"/>
  <c r="A443" i="25" s="1"/>
  <c r="A444" i="25" s="1"/>
  <c r="A445" i="25" s="1"/>
  <c r="A446" i="25" s="1"/>
  <c r="A447" i="25" s="1"/>
  <c r="A448" i="25" s="1"/>
  <c r="A449" i="25" s="1"/>
  <c r="A450" i="25" s="1"/>
  <c r="A451" i="25" s="1"/>
  <c r="A452" i="25" s="1"/>
  <c r="A453" i="25" s="1"/>
  <c r="A454" i="25" s="1"/>
  <c r="A455" i="25" s="1"/>
  <c r="A456" i="25" s="1"/>
  <c r="A457" i="25" s="1"/>
  <c r="A458" i="25" s="1"/>
  <c r="A459" i="25" s="1"/>
  <c r="A460" i="25" s="1"/>
  <c r="A461" i="25" s="1"/>
  <c r="A462" i="25" s="1"/>
  <c r="A463" i="25" s="1"/>
  <c r="A464" i="25" s="1"/>
  <c r="A465" i="25" s="1"/>
  <c r="A466" i="25" s="1"/>
  <c r="A467" i="25" s="1"/>
  <c r="A468" i="25" s="1"/>
  <c r="A469" i="25" s="1"/>
  <c r="A470" i="25" s="1"/>
  <c r="A471" i="25" s="1"/>
  <c r="A472" i="25" s="1"/>
  <c r="A473" i="25" s="1"/>
  <c r="A474" i="25" s="1"/>
  <c r="A475" i="25" s="1"/>
  <c r="A476" i="25" s="1"/>
  <c r="A477" i="25" s="1"/>
  <c r="A478" i="25" s="1"/>
  <c r="A479" i="25" s="1"/>
  <c r="A480" i="25" s="1"/>
  <c r="A481" i="25" s="1"/>
  <c r="A482" i="25" s="1"/>
  <c r="A483" i="25" s="1"/>
  <c r="A484" i="25" s="1"/>
  <c r="A485" i="25" s="1"/>
  <c r="A486" i="25" s="1"/>
  <c r="A487" i="25" s="1"/>
  <c r="A488" i="25" s="1"/>
  <c r="A489" i="25" s="1"/>
  <c r="A490" i="25" s="1"/>
  <c r="A491" i="25" s="1"/>
  <c r="A492" i="25" s="1"/>
  <c r="A493" i="25" s="1"/>
  <c r="A494" i="25" s="1"/>
  <c r="A495" i="25" s="1"/>
  <c r="A496" i="25" s="1"/>
  <c r="A497" i="25" s="1"/>
  <c r="A498" i="25" s="1"/>
  <c r="A499" i="25" s="1"/>
  <c r="A500" i="25" s="1"/>
  <c r="A501" i="25" s="1"/>
  <c r="A502" i="25" s="1"/>
  <c r="A503" i="25" s="1"/>
  <c r="A504" i="25" s="1"/>
  <c r="A505" i="25" s="1"/>
  <c r="A506" i="25" s="1"/>
  <c r="A507" i="25" s="1"/>
  <c r="A508" i="25" s="1"/>
  <c r="A509" i="25" s="1"/>
  <c r="A510" i="25" s="1"/>
  <c r="A511" i="25" s="1"/>
  <c r="A512" i="25" s="1"/>
  <c r="A513" i="25" s="1"/>
  <c r="A514" i="25" s="1"/>
  <c r="A515" i="25" s="1"/>
  <c r="A516" i="25" s="1"/>
  <c r="A517" i="25" s="1"/>
  <c r="A518" i="25" s="1"/>
  <c r="A519" i="25" s="1"/>
  <c r="A520" i="25" s="1"/>
  <c r="A521" i="25" s="1"/>
  <c r="A522" i="25" s="1"/>
  <c r="A523" i="25" s="1"/>
  <c r="A524" i="25" s="1"/>
  <c r="A525" i="25" s="1"/>
  <c r="A526" i="25" s="1"/>
  <c r="A527" i="25" s="1"/>
  <c r="A528" i="25" s="1"/>
  <c r="A529" i="25" s="1"/>
  <c r="A530" i="25" s="1"/>
  <c r="A531" i="25" s="1"/>
  <c r="A532" i="25" s="1"/>
  <c r="A533" i="25" s="1"/>
  <c r="A534" i="25" s="1"/>
  <c r="A535" i="25" s="1"/>
  <c r="A536" i="25" s="1"/>
  <c r="A537" i="25" s="1"/>
  <c r="A538" i="25" s="1"/>
  <c r="A539" i="25" s="1"/>
  <c r="A540" i="25" s="1"/>
  <c r="A541" i="25" s="1"/>
  <c r="A542" i="25" s="1"/>
  <c r="A543" i="25" s="1"/>
  <c r="A544" i="25" s="1"/>
  <c r="A545" i="25" s="1"/>
  <c r="A546" i="25" s="1"/>
  <c r="A547" i="25" s="1"/>
  <c r="A548" i="25" s="1"/>
  <c r="A549" i="25" s="1"/>
  <c r="A550" i="25" s="1"/>
  <c r="A551" i="25" s="1"/>
  <c r="A552" i="25" s="1"/>
  <c r="A553" i="25" s="1"/>
  <c r="A554" i="25" s="1"/>
  <c r="A555" i="25" s="1"/>
  <c r="A556" i="25" s="1"/>
  <c r="A557" i="25" s="1"/>
  <c r="A558" i="25" s="1"/>
  <c r="A559" i="25" s="1"/>
  <c r="A560" i="25" s="1"/>
  <c r="A561" i="25" s="1"/>
  <c r="A562" i="25" s="1"/>
  <c r="A563" i="25" s="1"/>
  <c r="A564" i="25" s="1"/>
  <c r="A565" i="25" s="1"/>
  <c r="A566" i="25" s="1"/>
  <c r="A567" i="25" s="1"/>
  <c r="A568" i="25" s="1"/>
  <c r="A569" i="25" s="1"/>
  <c r="A570" i="25" s="1"/>
  <c r="A571" i="25" s="1"/>
  <c r="A572" i="25" s="1"/>
  <c r="A573" i="25" s="1"/>
  <c r="A574" i="25" s="1"/>
  <c r="A575" i="25" s="1"/>
  <c r="A576" i="25" s="1"/>
  <c r="A577" i="25" s="1"/>
  <c r="A578" i="25" s="1"/>
  <c r="A579" i="25" s="1"/>
  <c r="A580" i="25" s="1"/>
  <c r="A581" i="25" s="1"/>
  <c r="A582" i="25" s="1"/>
  <c r="A583" i="25" s="1"/>
  <c r="A584" i="25" s="1"/>
  <c r="A585" i="25" s="1"/>
  <c r="A586" i="25" s="1"/>
  <c r="A587" i="25" s="1"/>
  <c r="A588" i="25" s="1"/>
  <c r="A589" i="25" s="1"/>
  <c r="A590" i="25" s="1"/>
  <c r="A591" i="25" s="1"/>
  <c r="A592" i="25" s="1"/>
  <c r="A593" i="25" s="1"/>
  <c r="A594" i="25" s="1"/>
  <c r="A595" i="25" s="1"/>
  <c r="A596" i="25" s="1"/>
  <c r="A597" i="25" s="1"/>
  <c r="A598" i="25" s="1"/>
  <c r="A599" i="25" s="1"/>
  <c r="A600" i="25" s="1"/>
  <c r="A601" i="25" s="1"/>
  <c r="A602" i="25" s="1"/>
  <c r="A603" i="25" s="1"/>
  <c r="A604" i="25" s="1"/>
  <c r="A605" i="25" s="1"/>
  <c r="A606" i="25" s="1"/>
  <c r="A607" i="25" s="1"/>
  <c r="A608" i="25" s="1"/>
  <c r="A609" i="25" s="1"/>
  <c r="A610" i="25" s="1"/>
  <c r="A611" i="25" s="1"/>
  <c r="A612" i="25" s="1"/>
  <c r="A613" i="25" s="1"/>
  <c r="A614" i="25" s="1"/>
  <c r="A615" i="25" s="1"/>
  <c r="A616" i="25" s="1"/>
  <c r="A617" i="25" s="1"/>
  <c r="A618" i="25" s="1"/>
  <c r="A619" i="25" s="1"/>
  <c r="A620" i="25" s="1"/>
  <c r="A621" i="25" s="1"/>
  <c r="A622" i="25" s="1"/>
  <c r="A623" i="25" s="1"/>
  <c r="A624" i="25" s="1"/>
  <c r="A625" i="25" s="1"/>
  <c r="A626" i="25" s="1"/>
  <c r="A627" i="25" s="1"/>
  <c r="A628" i="25" s="1"/>
  <c r="A629" i="25" s="1"/>
  <c r="A630" i="25" s="1"/>
  <c r="A631" i="25" s="1"/>
  <c r="A632" i="25" s="1"/>
  <c r="A633" i="25" s="1"/>
  <c r="A634" i="25" s="1"/>
  <c r="A635" i="25" s="1"/>
  <c r="A636" i="25" s="1"/>
  <c r="A637" i="25" s="1"/>
  <c r="A638" i="25" s="1"/>
  <c r="A639" i="25" s="1"/>
  <c r="A640" i="25" s="1"/>
  <c r="A641" i="25" s="1"/>
  <c r="A642" i="25" s="1"/>
  <c r="A643" i="25" s="1"/>
  <c r="A644" i="25" s="1"/>
  <c r="A645" i="25" s="1"/>
  <c r="A646" i="25" s="1"/>
  <c r="A647" i="25" s="1"/>
  <c r="A648" i="25" s="1"/>
  <c r="A649" i="25" s="1"/>
  <c r="A650" i="25" s="1"/>
  <c r="A651" i="25" s="1"/>
  <c r="A652" i="25" s="1"/>
  <c r="A653" i="25" s="1"/>
  <c r="A654" i="25" s="1"/>
  <c r="A655" i="25" s="1"/>
  <c r="A656" i="25" s="1"/>
  <c r="A657" i="25" s="1"/>
  <c r="A658" i="25" s="1"/>
  <c r="A659" i="25" s="1"/>
  <c r="A660" i="25" s="1"/>
  <c r="A661" i="25" s="1"/>
  <c r="A662" i="25" s="1"/>
  <c r="A663" i="25" s="1"/>
  <c r="A664" i="25" s="1"/>
  <c r="A665" i="25" s="1"/>
  <c r="A666" i="25" s="1"/>
  <c r="A667" i="25" s="1"/>
  <c r="A668" i="25" s="1"/>
  <c r="A669" i="25" s="1"/>
  <c r="A670" i="25" s="1"/>
  <c r="A671" i="25" s="1"/>
  <c r="A672" i="25" s="1"/>
  <c r="A673" i="25" s="1"/>
  <c r="A674" i="25" s="1"/>
  <c r="A675" i="25" s="1"/>
  <c r="A676" i="25" s="1"/>
  <c r="A677" i="25" s="1"/>
  <c r="A678" i="25" s="1"/>
  <c r="A679" i="25" s="1"/>
  <c r="A680" i="25" s="1"/>
  <c r="A681" i="25" s="1"/>
  <c r="A682" i="25" s="1"/>
  <c r="A683" i="25" s="1"/>
  <c r="A684" i="25" s="1"/>
  <c r="A685" i="25" s="1"/>
  <c r="A686" i="25" s="1"/>
  <c r="A687" i="25" s="1"/>
  <c r="A688" i="25" s="1"/>
  <c r="A689" i="25" s="1"/>
  <c r="A690" i="25" s="1"/>
  <c r="A691" i="25" s="1"/>
  <c r="A692" i="25" s="1"/>
  <c r="A693" i="25" s="1"/>
  <c r="A694" i="25" s="1"/>
  <c r="A695" i="25" s="1"/>
  <c r="A696" i="25" s="1"/>
  <c r="A697" i="25" s="1"/>
  <c r="A698" i="25" s="1"/>
  <c r="A699" i="25" s="1"/>
  <c r="A700" i="25" s="1"/>
  <c r="A701" i="25" s="1"/>
  <c r="A702" i="25" s="1"/>
  <c r="A703" i="25" s="1"/>
  <c r="A704" i="25" s="1"/>
  <c r="A705" i="25" s="1"/>
  <c r="A706" i="25" s="1"/>
  <c r="A707" i="25" s="1"/>
  <c r="A708" i="25" s="1"/>
  <c r="A709" i="25" s="1"/>
  <c r="A710" i="25" s="1"/>
  <c r="A711" i="25" s="1"/>
  <c r="A712" i="25" s="1"/>
  <c r="A713" i="25" s="1"/>
  <c r="A714" i="25" s="1"/>
  <c r="A715" i="25" s="1"/>
  <c r="A716" i="25" s="1"/>
  <c r="A717" i="25" s="1"/>
  <c r="A718" i="25" s="1"/>
  <c r="A719" i="25" s="1"/>
  <c r="A720" i="25" s="1"/>
  <c r="A721" i="25" s="1"/>
  <c r="A722" i="25" s="1"/>
  <c r="A723" i="25" s="1"/>
  <c r="A724" i="25" s="1"/>
  <c r="A725" i="25" s="1"/>
  <c r="A726" i="25" s="1"/>
  <c r="A727" i="25" s="1"/>
  <c r="A728" i="25" s="1"/>
  <c r="A729" i="25" s="1"/>
  <c r="A730" i="25" s="1"/>
  <c r="A731" i="25" s="1"/>
  <c r="A732" i="25" s="1"/>
  <c r="A733" i="25" s="1"/>
  <c r="A734" i="25" s="1"/>
  <c r="A735" i="25" s="1"/>
  <c r="A736" i="25" s="1"/>
  <c r="A737" i="25" s="1"/>
  <c r="A738" i="25" s="1"/>
  <c r="A739" i="25" s="1"/>
  <c r="A740" i="25" s="1"/>
  <c r="A741" i="25" s="1"/>
  <c r="A742" i="25" s="1"/>
  <c r="A743" i="25" s="1"/>
  <c r="A744" i="25" s="1"/>
  <c r="A745" i="25" s="1"/>
  <c r="A746" i="25" s="1"/>
  <c r="A747" i="25" s="1"/>
  <c r="A748" i="25" s="1"/>
  <c r="A749" i="25" s="1"/>
  <c r="A750" i="25" s="1"/>
  <c r="A751" i="25" s="1"/>
  <c r="A752" i="25" s="1"/>
  <c r="A753" i="25" s="1"/>
  <c r="A754" i="25" s="1"/>
  <c r="A755" i="25" s="1"/>
  <c r="A756" i="25" s="1"/>
  <c r="A757" i="25" s="1"/>
  <c r="A758" i="25" s="1"/>
  <c r="A759" i="25" s="1"/>
  <c r="A760" i="25" s="1"/>
  <c r="A761" i="25" s="1"/>
  <c r="A762" i="25" s="1"/>
  <c r="A763" i="25" s="1"/>
  <c r="A764" i="25" s="1"/>
  <c r="A765" i="25" s="1"/>
  <c r="A766" i="25" s="1"/>
  <c r="A767" i="25" s="1"/>
  <c r="A768" i="25" s="1"/>
  <c r="A769" i="25" s="1"/>
  <c r="A770" i="25" s="1"/>
  <c r="A771" i="25" s="1"/>
  <c r="A772" i="25" s="1"/>
  <c r="A773" i="25" s="1"/>
  <c r="A774" i="25" s="1"/>
  <c r="A775" i="25" s="1"/>
  <c r="A776" i="25" s="1"/>
  <c r="A777" i="25" s="1"/>
  <c r="A778" i="25" s="1"/>
  <c r="A779" i="25" s="1"/>
  <c r="A780" i="25" s="1"/>
  <c r="A781" i="25" s="1"/>
  <c r="A782" i="25" s="1"/>
  <c r="A783" i="25" s="1"/>
  <c r="A784" i="25" s="1"/>
  <c r="A785" i="25" s="1"/>
  <c r="A786" i="25" s="1"/>
  <c r="A787" i="25" s="1"/>
  <c r="A788" i="25" s="1"/>
  <c r="A789" i="25" s="1"/>
  <c r="A790" i="25" s="1"/>
  <c r="A791" i="25" s="1"/>
  <c r="A792" i="25" s="1"/>
  <c r="A793" i="25" s="1"/>
  <c r="A794" i="25" s="1"/>
  <c r="A795" i="25" s="1"/>
  <c r="A796" i="25" s="1"/>
  <c r="A797" i="25" s="1"/>
  <c r="A798" i="25" s="1"/>
  <c r="A799" i="25" s="1"/>
  <c r="A800" i="25" s="1"/>
  <c r="A801" i="25" s="1"/>
  <c r="A802" i="25" s="1"/>
  <c r="A803" i="25" s="1"/>
  <c r="A804" i="25" s="1"/>
  <c r="A805" i="25" s="1"/>
  <c r="A806" i="25" s="1"/>
  <c r="A807" i="25" s="1"/>
  <c r="A808" i="25" s="1"/>
  <c r="A809" i="25" s="1"/>
  <c r="A810" i="25" s="1"/>
  <c r="A811" i="25" s="1"/>
  <c r="A812" i="25" s="1"/>
  <c r="A813" i="25" s="1"/>
  <c r="A814" i="25" s="1"/>
  <c r="A815" i="25" s="1"/>
  <c r="A816" i="25" s="1"/>
  <c r="A817" i="25" s="1"/>
  <c r="A818" i="25" s="1"/>
  <c r="A819" i="25" s="1"/>
  <c r="A820" i="25" s="1"/>
  <c r="A821" i="25" s="1"/>
  <c r="A822" i="25" s="1"/>
  <c r="A823" i="25" s="1"/>
  <c r="A824" i="25" s="1"/>
  <c r="A825" i="25" s="1"/>
  <c r="A826" i="25" s="1"/>
  <c r="A827" i="25" s="1"/>
  <c r="A828" i="25" s="1"/>
  <c r="A829" i="25" s="1"/>
  <c r="A830" i="25" s="1"/>
  <c r="A831" i="25" s="1"/>
  <c r="A832" i="25" s="1"/>
  <c r="A833" i="25" s="1"/>
  <c r="A834" i="25" s="1"/>
  <c r="A835" i="25" s="1"/>
  <c r="A836" i="25" s="1"/>
  <c r="A837" i="25" s="1"/>
  <c r="A838" i="25" s="1"/>
  <c r="A839" i="25" s="1"/>
  <c r="A840" i="25" s="1"/>
  <c r="A841" i="25" s="1"/>
  <c r="A842" i="25" s="1"/>
  <c r="A843" i="25" s="1"/>
  <c r="A844" i="25" s="1"/>
  <c r="A845" i="25" s="1"/>
  <c r="A846" i="25" s="1"/>
  <c r="A847" i="25" s="1"/>
  <c r="A848" i="25" s="1"/>
  <c r="A849" i="25" s="1"/>
  <c r="A850" i="25" s="1"/>
  <c r="A851" i="25" s="1"/>
  <c r="A852" i="25" s="1"/>
  <c r="A853" i="25" s="1"/>
  <c r="A854" i="25" s="1"/>
  <c r="A855" i="25" s="1"/>
  <c r="A856" i="25" s="1"/>
  <c r="A857" i="25" s="1"/>
  <c r="A858" i="25" s="1"/>
  <c r="A859" i="25" s="1"/>
  <c r="A860" i="25" s="1"/>
  <c r="A861" i="25" s="1"/>
  <c r="A862" i="25" s="1"/>
  <c r="A863" i="25" s="1"/>
  <c r="A864" i="25" s="1"/>
  <c r="A865" i="25" s="1"/>
  <c r="A866" i="25" s="1"/>
  <c r="A867" i="25" s="1"/>
  <c r="A868" i="25" s="1"/>
  <c r="A869" i="25" s="1"/>
  <c r="A870" i="25" s="1"/>
  <c r="A871" i="25" s="1"/>
  <c r="A872" i="25" s="1"/>
  <c r="A873" i="25" s="1"/>
  <c r="A874" i="25" s="1"/>
  <c r="A875" i="25" s="1"/>
  <c r="A876" i="25" s="1"/>
  <c r="A877" i="25" s="1"/>
  <c r="A878" i="25" s="1"/>
  <c r="A879" i="25" s="1"/>
  <c r="A880" i="25" s="1"/>
  <c r="A881" i="25" s="1"/>
  <c r="A882" i="25" s="1"/>
  <c r="A883" i="25" s="1"/>
  <c r="A884" i="25" s="1"/>
  <c r="A885" i="25" s="1"/>
  <c r="A886" i="25" s="1"/>
  <c r="A887" i="25" s="1"/>
  <c r="A888" i="25" s="1"/>
  <c r="A889" i="25" s="1"/>
  <c r="A890" i="25" s="1"/>
  <c r="A891" i="25" s="1"/>
  <c r="A892" i="25" s="1"/>
  <c r="A893" i="25" s="1"/>
  <c r="A894" i="25" s="1"/>
  <c r="A895" i="25" s="1"/>
  <c r="A896" i="25" s="1"/>
  <c r="A897" i="25" s="1"/>
  <c r="A898" i="25" s="1"/>
  <c r="A899" i="25" s="1"/>
  <c r="A900" i="25" s="1"/>
  <c r="A901" i="25" s="1"/>
  <c r="A902" i="25" s="1"/>
  <c r="A903" i="25" s="1"/>
  <c r="A904" i="25" s="1"/>
  <c r="A905" i="25" s="1"/>
  <c r="A906" i="25" s="1"/>
  <c r="A907" i="25" s="1"/>
  <c r="A908" i="25" s="1"/>
  <c r="A909" i="25" s="1"/>
  <c r="A910" i="25" s="1"/>
  <c r="A911" i="25" s="1"/>
  <c r="A912" i="25" s="1"/>
  <c r="A913" i="25" s="1"/>
  <c r="A914" i="25" s="1"/>
  <c r="A915" i="25" s="1"/>
  <c r="A916" i="25" s="1"/>
  <c r="A917" i="25" s="1"/>
  <c r="A918" i="25" s="1"/>
  <c r="A919" i="25" s="1"/>
  <c r="A920" i="25" s="1"/>
  <c r="A921" i="25" s="1"/>
  <c r="A922" i="25" s="1"/>
  <c r="A923" i="25" s="1"/>
  <c r="A924" i="25" s="1"/>
  <c r="A925" i="25" s="1"/>
  <c r="A926" i="25" s="1"/>
  <c r="A927" i="25" s="1"/>
  <c r="A928" i="25" s="1"/>
  <c r="A929" i="25" s="1"/>
  <c r="A930" i="25" s="1"/>
  <c r="A931" i="25" s="1"/>
  <c r="A932" i="25" s="1"/>
  <c r="A933" i="25" s="1"/>
  <c r="A934" i="25" s="1"/>
  <c r="A935" i="25" s="1"/>
  <c r="A936" i="25" s="1"/>
  <c r="A937" i="25" s="1"/>
  <c r="A938" i="25" s="1"/>
  <c r="A939" i="25" s="1"/>
  <c r="A940" i="25" s="1"/>
  <c r="A941" i="25" s="1"/>
  <c r="A942" i="25" s="1"/>
  <c r="A943" i="25" s="1"/>
  <c r="A944" i="25" s="1"/>
  <c r="A945" i="25" s="1"/>
  <c r="A946" i="25" s="1"/>
  <c r="A947" i="25" s="1"/>
  <c r="A948" i="25" s="1"/>
  <c r="A949" i="25" s="1"/>
  <c r="A950" i="25" s="1"/>
  <c r="A951" i="25" s="1"/>
  <c r="A952" i="25" s="1"/>
  <c r="A953" i="25" s="1"/>
  <c r="A954" i="25" s="1"/>
  <c r="A955" i="25" s="1"/>
  <c r="A956" i="25" s="1"/>
  <c r="A957" i="25" s="1"/>
  <c r="A958" i="25" s="1"/>
  <c r="A959" i="25" s="1"/>
  <c r="A960" i="25" s="1"/>
  <c r="A961" i="25" s="1"/>
  <c r="A962" i="25" s="1"/>
  <c r="A963" i="25" s="1"/>
  <c r="A964" i="25" s="1"/>
  <c r="A965" i="25" s="1"/>
  <c r="A966" i="25" s="1"/>
  <c r="A967" i="25" s="1"/>
  <c r="A968" i="25" s="1"/>
  <c r="A969" i="25" s="1"/>
  <c r="A970" i="25" s="1"/>
  <c r="A971" i="25" s="1"/>
  <c r="A972" i="25" s="1"/>
  <c r="A973" i="25" s="1"/>
  <c r="A974" i="25" s="1"/>
  <c r="A975" i="25" s="1"/>
  <c r="A976" i="25" s="1"/>
  <c r="A977" i="25" s="1"/>
  <c r="A978" i="25" s="1"/>
  <c r="A979" i="25" s="1"/>
  <c r="A980" i="25" s="1"/>
  <c r="A981" i="25" s="1"/>
  <c r="A982" i="25" s="1"/>
  <c r="A983" i="25" s="1"/>
  <c r="A984" i="25" s="1"/>
  <c r="A985" i="25" s="1"/>
  <c r="A986" i="25" s="1"/>
  <c r="A987" i="25" s="1"/>
  <c r="A988" i="25" s="1"/>
  <c r="A989" i="25" s="1"/>
  <c r="A990" i="25" s="1"/>
  <c r="A991" i="25" s="1"/>
  <c r="A992" i="25" s="1"/>
  <c r="A993" i="25" s="1"/>
  <c r="A994" i="25" s="1"/>
  <c r="A995" i="25" s="1"/>
  <c r="A996" i="25" s="1"/>
  <c r="A997" i="25" s="1"/>
  <c r="A998" i="25" s="1"/>
  <c r="A999" i="25" s="1"/>
  <c r="A1000" i="25" s="1"/>
  <c r="A1001" i="25" s="1"/>
  <c r="A1002" i="25" s="1"/>
  <c r="A1003" i="25" s="1"/>
  <c r="A1004" i="25" s="1"/>
  <c r="A1005" i="25" s="1"/>
  <c r="A1006" i="25" s="1"/>
  <c r="A1007" i="25" s="1"/>
  <c r="A1008" i="25" s="1"/>
  <c r="A1009" i="25" s="1"/>
  <c r="A1010" i="25" s="1"/>
  <c r="A1011" i="25" s="1"/>
  <c r="A1012" i="25" s="1"/>
  <c r="A1013" i="25" s="1"/>
  <c r="A1014" i="25" s="1"/>
  <c r="A1015" i="25" s="1"/>
  <c r="A1016" i="25" s="1"/>
  <c r="A1017" i="25" s="1"/>
  <c r="A1018" i="25" s="1"/>
  <c r="A1019" i="25" s="1"/>
  <c r="A1020" i="25" s="1"/>
  <c r="A1021" i="25" s="1"/>
  <c r="A1022" i="25" s="1"/>
  <c r="A1023" i="25" s="1"/>
  <c r="A1024" i="25" s="1"/>
  <c r="A1025" i="25" s="1"/>
  <c r="A1026" i="25" s="1"/>
  <c r="A1027" i="25" s="1"/>
  <c r="A1028" i="25" s="1"/>
  <c r="A1029" i="25" s="1"/>
  <c r="A1030" i="25" s="1"/>
  <c r="A1031" i="25" s="1"/>
  <c r="A1032" i="25" s="1"/>
  <c r="A1033" i="25" s="1"/>
  <c r="A1034" i="25" s="1"/>
  <c r="A1035" i="25" s="1"/>
  <c r="A1036" i="25" s="1"/>
  <c r="A1037" i="25" s="1"/>
  <c r="A1038" i="25" s="1"/>
  <c r="A1039" i="25" s="1"/>
  <c r="A1040" i="25" s="1"/>
  <c r="A1041" i="25" s="1"/>
  <c r="A1042" i="25" s="1"/>
  <c r="A1043" i="25" s="1"/>
  <c r="A1044" i="25" s="1"/>
  <c r="A1045" i="25" s="1"/>
  <c r="A1046" i="25" s="1"/>
  <c r="A1047" i="25" s="1"/>
  <c r="A1048" i="25" s="1"/>
  <c r="A1049" i="25" s="1"/>
  <c r="A1050" i="25" s="1"/>
  <c r="A1051" i="25" s="1"/>
  <c r="A1052" i="25" s="1"/>
  <c r="A1053" i="25" s="1"/>
  <c r="A1054" i="25" s="1"/>
  <c r="A1055" i="25" s="1"/>
  <c r="A1056" i="25" s="1"/>
  <c r="A1057" i="25" s="1"/>
  <c r="A1058" i="25" s="1"/>
  <c r="A1059" i="25" s="1"/>
  <c r="A1060" i="25" s="1"/>
  <c r="A1061" i="25" s="1"/>
  <c r="A1062" i="25" s="1"/>
  <c r="A1063" i="25" s="1"/>
  <c r="A1064" i="25" s="1"/>
  <c r="A1065" i="25" s="1"/>
  <c r="A1066" i="25" s="1"/>
  <c r="A1067" i="25" s="1"/>
  <c r="A1068" i="25" s="1"/>
  <c r="A1069" i="25" s="1"/>
  <c r="A1070" i="25" s="1"/>
  <c r="A1071" i="25" s="1"/>
  <c r="A1072" i="25" s="1"/>
  <c r="A1073" i="25" s="1"/>
  <c r="A1074" i="25" s="1"/>
  <c r="A1075" i="25" s="1"/>
  <c r="A1076" i="25" s="1"/>
  <c r="A1077" i="25" s="1"/>
  <c r="A1078" i="25" s="1"/>
  <c r="A1079" i="25" s="1"/>
  <c r="A1080" i="25" s="1"/>
  <c r="A1081" i="25" s="1"/>
  <c r="A1082" i="25" s="1"/>
  <c r="A1083" i="25" s="1"/>
  <c r="A1084" i="25" s="1"/>
  <c r="A1085" i="25" s="1"/>
  <c r="A1086" i="25" s="1"/>
  <c r="A1087" i="25" s="1"/>
  <c r="A1088" i="25" s="1"/>
  <c r="A1089" i="25" s="1"/>
  <c r="A1090" i="25" s="1"/>
  <c r="A1091" i="25" s="1"/>
  <c r="A1092" i="25" s="1"/>
  <c r="A1093" i="25" s="1"/>
  <c r="A1094" i="25" s="1"/>
  <c r="A1095" i="25" s="1"/>
  <c r="A1096" i="25" s="1"/>
  <c r="A1097" i="25" s="1"/>
  <c r="A1098" i="25" s="1"/>
  <c r="A1099" i="25" s="1"/>
  <c r="A1100" i="25" s="1"/>
  <c r="A1101" i="25" s="1"/>
  <c r="A1102" i="25" s="1"/>
  <c r="A1103" i="25" s="1"/>
  <c r="A1104" i="25" s="1"/>
  <c r="A1105" i="25" s="1"/>
  <c r="A1106" i="25" s="1"/>
  <c r="A1107" i="25" s="1"/>
  <c r="A1108" i="25" s="1"/>
  <c r="A1109" i="25" s="1"/>
  <c r="A1110" i="25" s="1"/>
  <c r="A1111" i="25" s="1"/>
  <c r="A1112" i="25" s="1"/>
  <c r="A1113" i="25" s="1"/>
  <c r="A1114" i="25" s="1"/>
  <c r="A1115" i="25" s="1"/>
  <c r="A1116" i="25" s="1"/>
  <c r="A1117" i="25" s="1"/>
  <c r="A1118" i="25" s="1"/>
  <c r="A1119" i="25" s="1"/>
  <c r="A1120" i="25" s="1"/>
  <c r="A1121" i="25" s="1"/>
  <c r="A1122" i="25" s="1"/>
  <c r="A1123" i="25" s="1"/>
  <c r="A1124" i="25" s="1"/>
  <c r="A1125" i="25" s="1"/>
  <c r="A1126" i="25" s="1"/>
  <c r="A1127" i="25" s="1"/>
  <c r="A1128" i="25" s="1"/>
  <c r="A1129" i="25" s="1"/>
  <c r="A1130" i="25" s="1"/>
  <c r="A1131" i="25" s="1"/>
  <c r="A1132" i="25" s="1"/>
  <c r="A1133" i="25" s="1"/>
  <c r="A1134" i="25" s="1"/>
  <c r="A1135" i="25" s="1"/>
  <c r="A1136" i="25" s="1"/>
  <c r="A1137" i="25" s="1"/>
  <c r="A1138" i="25" s="1"/>
  <c r="A1139" i="25" s="1"/>
  <c r="A1140" i="25" s="1"/>
  <c r="A1141" i="25" s="1"/>
  <c r="A1142" i="25" s="1"/>
  <c r="A1143" i="25" s="1"/>
  <c r="A1144" i="25" s="1"/>
  <c r="A1145" i="25" s="1"/>
  <c r="A1146" i="25" s="1"/>
  <c r="A1147" i="25" s="1"/>
  <c r="A1148" i="25" s="1"/>
  <c r="A1149" i="25" s="1"/>
  <c r="A1150" i="25" s="1"/>
  <c r="A1151" i="25" s="1"/>
  <c r="A1152" i="25" s="1"/>
  <c r="A1153" i="25" s="1"/>
  <c r="A1154" i="25" s="1"/>
  <c r="A1155" i="25" s="1"/>
  <c r="A1156" i="25" s="1"/>
  <c r="A1157" i="25" s="1"/>
  <c r="A1158" i="25" s="1"/>
  <c r="A1159" i="25" s="1"/>
  <c r="A1160" i="25" s="1"/>
  <c r="A1161" i="25" s="1"/>
  <c r="A1162" i="25" s="1"/>
  <c r="A1163" i="25" s="1"/>
  <c r="A1164" i="25" s="1"/>
  <c r="A1165" i="25" s="1"/>
  <c r="A1166" i="25" s="1"/>
  <c r="A1167" i="25" s="1"/>
  <c r="A1168" i="25" s="1"/>
  <c r="A1169" i="25" s="1"/>
  <c r="A1170" i="25" s="1"/>
  <c r="A1171" i="25" s="1"/>
  <c r="A1172" i="25" s="1"/>
  <c r="A1173" i="25" s="1"/>
  <c r="A1174" i="25" s="1"/>
  <c r="A1175" i="25" s="1"/>
  <c r="A1176" i="25" s="1"/>
  <c r="A1177" i="25" s="1"/>
  <c r="A1178" i="25" s="1"/>
  <c r="A1179" i="25" s="1"/>
  <c r="A1180" i="25" s="1"/>
  <c r="A1181" i="25" s="1"/>
  <c r="A1182" i="25" s="1"/>
  <c r="A1183" i="25" s="1"/>
  <c r="A1184" i="25" s="1"/>
  <c r="A1185" i="25" s="1"/>
  <c r="A1186" i="25" s="1"/>
  <c r="A1187" i="25" s="1"/>
  <c r="A1188" i="25" s="1"/>
  <c r="A1189" i="25" s="1"/>
  <c r="A1190" i="25" s="1"/>
  <c r="A1191" i="25" s="1"/>
  <c r="A1192" i="25" s="1"/>
  <c r="A1193" i="25" s="1"/>
  <c r="A1194" i="25" s="1"/>
  <c r="A1195" i="25" s="1"/>
  <c r="A1196" i="25" s="1"/>
  <c r="A1197" i="25" s="1"/>
  <c r="A1198" i="25" s="1"/>
  <c r="A1199" i="25" s="1"/>
  <c r="A1200" i="25" s="1"/>
  <c r="A1201" i="25" s="1"/>
  <c r="A1202" i="25" s="1"/>
  <c r="A1203" i="25" s="1"/>
  <c r="A1204" i="25" s="1"/>
  <c r="A1205" i="25" s="1"/>
  <c r="A1206" i="25" s="1"/>
  <c r="A1207" i="25" s="1"/>
  <c r="A1208" i="25" s="1"/>
  <c r="A1209" i="25" s="1"/>
  <c r="A1210" i="25" s="1"/>
  <c r="A1211" i="25" s="1"/>
  <c r="A1212" i="25" s="1"/>
  <c r="A1213" i="25" s="1"/>
  <c r="A1214" i="25" s="1"/>
  <c r="A1215" i="25" s="1"/>
  <c r="A1216" i="25" s="1"/>
  <c r="A1217" i="25" s="1"/>
  <c r="A1218" i="25" s="1"/>
  <c r="A1219" i="25" s="1"/>
  <c r="A1220" i="25" s="1"/>
  <c r="A1221" i="25" s="1"/>
  <c r="A1222" i="25" s="1"/>
  <c r="A1223" i="25" s="1"/>
  <c r="A1224" i="25" s="1"/>
  <c r="A1225" i="25" s="1"/>
  <c r="A1226" i="25" s="1"/>
  <c r="A1227" i="25" s="1"/>
  <c r="A1228" i="25" s="1"/>
  <c r="A1229" i="25" s="1"/>
  <c r="A1230" i="25" s="1"/>
  <c r="A1231" i="25" s="1"/>
  <c r="A1232" i="25" s="1"/>
  <c r="A1233" i="25" s="1"/>
  <c r="A1234" i="25" s="1"/>
  <c r="A1235" i="25" s="1"/>
  <c r="A1236" i="25" s="1"/>
  <c r="A1237" i="25" s="1"/>
  <c r="A1238" i="25" s="1"/>
  <c r="A1239" i="25" s="1"/>
  <c r="A1240" i="25" s="1"/>
  <c r="A1241" i="25" s="1"/>
  <c r="A1242" i="25" s="1"/>
  <c r="A1243" i="25" s="1"/>
  <c r="A1244" i="25" s="1"/>
  <c r="A1245" i="25" s="1"/>
  <c r="A1246" i="25" s="1"/>
  <c r="A1247" i="25" s="1"/>
  <c r="A1248" i="25" s="1"/>
  <c r="A1249" i="25" s="1"/>
  <c r="A1250" i="25" s="1"/>
  <c r="A1251" i="25" s="1"/>
  <c r="A1252" i="25" s="1"/>
  <c r="A1253" i="25" s="1"/>
  <c r="A1254" i="25" s="1"/>
  <c r="A1255" i="25" s="1"/>
  <c r="A1256" i="25" s="1"/>
  <c r="A1257" i="25" s="1"/>
  <c r="A1258" i="25" s="1"/>
  <c r="A1259" i="25" s="1"/>
  <c r="A1260" i="25" s="1"/>
  <c r="A1261" i="25" s="1"/>
  <c r="A1262" i="25" s="1"/>
  <c r="A1263" i="25" s="1"/>
  <c r="A1264" i="25" s="1"/>
  <c r="A1265" i="25" s="1"/>
  <c r="A1266" i="25" s="1"/>
  <c r="A1267" i="25" s="1"/>
  <c r="A1268" i="25" s="1"/>
  <c r="A1269" i="25" s="1"/>
  <c r="A1270" i="25" s="1"/>
  <c r="A1271" i="25" s="1"/>
  <c r="A1272" i="25" s="1"/>
  <c r="A1273" i="25" s="1"/>
  <c r="A1274" i="25" s="1"/>
  <c r="A1275" i="25" s="1"/>
  <c r="A1276" i="25" s="1"/>
  <c r="A1277" i="25" s="1"/>
  <c r="A1278" i="25" s="1"/>
  <c r="A1279" i="25" s="1"/>
  <c r="A1280" i="25" s="1"/>
  <c r="A1281" i="25" s="1"/>
  <c r="A1282" i="25" s="1"/>
  <c r="A1283" i="25" s="1"/>
  <c r="A1284" i="25" s="1"/>
  <c r="A1285" i="25" s="1"/>
  <c r="A1286" i="25" s="1"/>
  <c r="A1287" i="25" s="1"/>
  <c r="A1288" i="25" s="1"/>
  <c r="A1289" i="25" s="1"/>
  <c r="A1290" i="25" s="1"/>
  <c r="A1291" i="25" s="1"/>
  <c r="A1292" i="25" s="1"/>
  <c r="A1293" i="25" s="1"/>
  <c r="A1294" i="25" s="1"/>
  <c r="A1295" i="25" s="1"/>
  <c r="A1296" i="25" s="1"/>
  <c r="A1297" i="25" s="1"/>
  <c r="A1298" i="25" s="1"/>
  <c r="A1299" i="25" s="1"/>
  <c r="A1300" i="25" s="1"/>
  <c r="A1301" i="25" s="1"/>
  <c r="A1302" i="25" s="1"/>
  <c r="A1303" i="25" s="1"/>
  <c r="A1304" i="25" s="1"/>
  <c r="A1305" i="25" s="1"/>
  <c r="A1306" i="25" s="1"/>
  <c r="A1307" i="25" s="1"/>
  <c r="A1308" i="25" s="1"/>
  <c r="A1309" i="25" s="1"/>
  <c r="A1310" i="25" s="1"/>
  <c r="A1311" i="25" s="1"/>
  <c r="A1312" i="25" s="1"/>
  <c r="A1313" i="25" s="1"/>
  <c r="A1314" i="25" s="1"/>
  <c r="A1315" i="25" s="1"/>
  <c r="A1316" i="25" s="1"/>
  <c r="A1317" i="25" s="1"/>
  <c r="A1318" i="25" s="1"/>
  <c r="A1319" i="25" s="1"/>
  <c r="A1320" i="25" s="1"/>
  <c r="A1321" i="25" s="1"/>
  <c r="A1322" i="25" s="1"/>
  <c r="A1323" i="25" s="1"/>
  <c r="A1324" i="25" s="1"/>
  <c r="A1325" i="25" s="1"/>
  <c r="A1326" i="25" s="1"/>
  <c r="A1327" i="25" s="1"/>
  <c r="A1328" i="25" s="1"/>
  <c r="A1329" i="25" s="1"/>
  <c r="A1330" i="25" s="1"/>
  <c r="A1331" i="25" s="1"/>
  <c r="A1332" i="25" s="1"/>
  <c r="A1333" i="25" s="1"/>
  <c r="A1334" i="25" s="1"/>
  <c r="A1335" i="25" s="1"/>
  <c r="A1336" i="25" s="1"/>
  <c r="A1337" i="25" s="1"/>
  <c r="A1338" i="25" s="1"/>
  <c r="A1339" i="25" s="1"/>
  <c r="A1340" i="25" s="1"/>
  <c r="A1341" i="25" s="1"/>
  <c r="A1342" i="25" s="1"/>
  <c r="A1343" i="25" s="1"/>
  <c r="A1344" i="25" s="1"/>
  <c r="A1345" i="25" s="1"/>
  <c r="A1346" i="25" s="1"/>
  <c r="A1347" i="25" s="1"/>
  <c r="A1348" i="25" s="1"/>
  <c r="A1349" i="25" s="1"/>
  <c r="A1350" i="25" s="1"/>
  <c r="A1351" i="25" s="1"/>
  <c r="A1352" i="25" s="1"/>
  <c r="A1353" i="25" s="1"/>
  <c r="A1354" i="25" s="1"/>
  <c r="A1355" i="25" s="1"/>
  <c r="A1356" i="25" s="1"/>
  <c r="A1357" i="25" s="1"/>
  <c r="A1358" i="25" s="1"/>
  <c r="A1359" i="25" s="1"/>
  <c r="A1360" i="25" s="1"/>
  <c r="A1361" i="25" s="1"/>
  <c r="A1362" i="25" s="1"/>
  <c r="A1363" i="25" s="1"/>
  <c r="A1364" i="25" s="1"/>
  <c r="A1365" i="25" s="1"/>
  <c r="A1366" i="25" s="1"/>
  <c r="A1367" i="25" s="1"/>
  <c r="A1368" i="25" s="1"/>
  <c r="A1369" i="25" s="1"/>
  <c r="A1370" i="25" s="1"/>
  <c r="A1371" i="25" s="1"/>
  <c r="A1372" i="25" s="1"/>
  <c r="A1373" i="25" s="1"/>
  <c r="A1374" i="25" s="1"/>
  <c r="A1375" i="25" s="1"/>
  <c r="A1376" i="25" s="1"/>
  <c r="A1377" i="25" s="1"/>
  <c r="A1378" i="25" s="1"/>
  <c r="A1379" i="25" s="1"/>
  <c r="A1380" i="25" s="1"/>
  <c r="A1381" i="25" s="1"/>
  <c r="A1382" i="25" s="1"/>
  <c r="A1383" i="25" s="1"/>
  <c r="A1384" i="25" s="1"/>
  <c r="A1385" i="25" s="1"/>
  <c r="A1386" i="25" s="1"/>
  <c r="A1387" i="25" s="1"/>
  <c r="A1388" i="25" s="1"/>
  <c r="A1389" i="25" s="1"/>
  <c r="A1390" i="25" s="1"/>
  <c r="A1391" i="25" s="1"/>
  <c r="A1392" i="25" s="1"/>
  <c r="A1393" i="25" s="1"/>
  <c r="A1394" i="25" s="1"/>
  <c r="A1395" i="25" s="1"/>
  <c r="A1396" i="25" s="1"/>
  <c r="A1397" i="25" s="1"/>
  <c r="A1398" i="25" s="1"/>
  <c r="A1399" i="25" s="1"/>
  <c r="A1400" i="25" s="1"/>
  <c r="A1401" i="25" s="1"/>
  <c r="A1402" i="25" s="1"/>
  <c r="A1403" i="25" s="1"/>
  <c r="A1404" i="25" s="1"/>
  <c r="A1405" i="25" s="1"/>
  <c r="A1406" i="25" s="1"/>
  <c r="A1407" i="25" s="1"/>
  <c r="A1408" i="25" s="1"/>
  <c r="A1409" i="25" s="1"/>
  <c r="A1410" i="25" s="1"/>
  <c r="A1411" i="25" s="1"/>
  <c r="A1412" i="25" s="1"/>
  <c r="A1413" i="25" s="1"/>
  <c r="A1414" i="25" s="1"/>
  <c r="A1415" i="25" s="1"/>
  <c r="A1416" i="25" s="1"/>
  <c r="A1417" i="25" s="1"/>
  <c r="A1418" i="25" s="1"/>
  <c r="A1419" i="25" s="1"/>
  <c r="A1420" i="25" s="1"/>
  <c r="A1421" i="25" s="1"/>
  <c r="A1422" i="25" s="1"/>
  <c r="A1423" i="25" s="1"/>
  <c r="A1424" i="25" s="1"/>
  <c r="A1425" i="25" s="1"/>
  <c r="A1426" i="25" s="1"/>
  <c r="A1427" i="25" s="1"/>
  <c r="A1428" i="25" s="1"/>
  <c r="A1429" i="25" s="1"/>
  <c r="A1430" i="25" s="1"/>
  <c r="A1431" i="25" s="1"/>
  <c r="A1432" i="25" s="1"/>
  <c r="A1433" i="25" s="1"/>
  <c r="A1434" i="25" s="1"/>
  <c r="A1435" i="25" s="1"/>
  <c r="A1436" i="25" s="1"/>
  <c r="A1437" i="25" s="1"/>
  <c r="A1438" i="25" s="1"/>
  <c r="A1439" i="25" s="1"/>
  <c r="A1440" i="25" s="1"/>
  <c r="A1441" i="25" s="1"/>
  <c r="A1442" i="25" s="1"/>
  <c r="A1443" i="25" s="1"/>
  <c r="A1444" i="25" s="1"/>
  <c r="A1445" i="25" s="1"/>
  <c r="A1446" i="25" s="1"/>
  <c r="A1447" i="25" s="1"/>
  <c r="A1448" i="25" s="1"/>
  <c r="A1449" i="25" s="1"/>
  <c r="A1450" i="25" s="1"/>
  <c r="A1451" i="25" s="1"/>
  <c r="A1452" i="25" s="1"/>
  <c r="A1453" i="25" s="1"/>
  <c r="A1454" i="25" s="1"/>
  <c r="A1455" i="25" s="1"/>
  <c r="A1456" i="25" s="1"/>
  <c r="A1457" i="25" s="1"/>
  <c r="A1458" i="25" s="1"/>
  <c r="A1459" i="25" s="1"/>
  <c r="A1460" i="25" s="1"/>
  <c r="A1461" i="25" s="1"/>
  <c r="A1462" i="25" s="1"/>
  <c r="A1463" i="25" s="1"/>
  <c r="A1464" i="25" s="1"/>
  <c r="A1465" i="25" s="1"/>
  <c r="A1466" i="25" s="1"/>
  <c r="A1467" i="25" s="1"/>
  <c r="A1468" i="25" s="1"/>
  <c r="A1469" i="25" s="1"/>
  <c r="A1470" i="25" s="1"/>
  <c r="A1471" i="25" s="1"/>
  <c r="A1472" i="25" s="1"/>
  <c r="A1473" i="25" s="1"/>
  <c r="A1474" i="25" s="1"/>
  <c r="A1475" i="25" s="1"/>
  <c r="A1476" i="25" s="1"/>
  <c r="A1477" i="25" s="1"/>
  <c r="A1478" i="25" s="1"/>
  <c r="A1479" i="25" s="1"/>
  <c r="A1480" i="25" s="1"/>
  <c r="A1481" i="25" s="1"/>
  <c r="A1482" i="25" s="1"/>
  <c r="A1483" i="25" s="1"/>
  <c r="A1484" i="25" s="1"/>
  <c r="A1485" i="25" s="1"/>
  <c r="A1486" i="25" s="1"/>
  <c r="A1487" i="25" s="1"/>
  <c r="A1488" i="25" s="1"/>
  <c r="A1489" i="25" s="1"/>
  <c r="A1490" i="25" s="1"/>
  <c r="A1491" i="25" s="1"/>
  <c r="A1492" i="25" s="1"/>
  <c r="A1493" i="25" s="1"/>
  <c r="A1494" i="25" s="1"/>
  <c r="A1495" i="25" s="1"/>
  <c r="A1496" i="25" s="1"/>
  <c r="A1497" i="25" s="1"/>
  <c r="A1498" i="25" s="1"/>
  <c r="A1499" i="25" s="1"/>
  <c r="A1500" i="25" s="1"/>
  <c r="A1501" i="25" s="1"/>
  <c r="A1502" i="25" s="1"/>
  <c r="A1503" i="25" s="1"/>
  <c r="A1504" i="25" s="1"/>
  <c r="A1505" i="25" s="1"/>
  <c r="A1506" i="25" s="1"/>
  <c r="A1507" i="25" s="1"/>
  <c r="A1508" i="25" s="1"/>
  <c r="A1509" i="25" s="1"/>
  <c r="A1510" i="25" s="1"/>
  <c r="A1511" i="25" s="1"/>
  <c r="A1512" i="25" s="1"/>
  <c r="A1513" i="25" s="1"/>
  <c r="A1514" i="25" s="1"/>
  <c r="A1515" i="25" s="1"/>
  <c r="A1516" i="25" s="1"/>
  <c r="A1517" i="25" s="1"/>
  <c r="A1518" i="25" s="1"/>
  <c r="A1519" i="25" s="1"/>
  <c r="A1520" i="25" s="1"/>
  <c r="A1521" i="25" s="1"/>
  <c r="A1522" i="25" s="1"/>
  <c r="A1523" i="25" s="1"/>
  <c r="A1524" i="25" s="1"/>
  <c r="A1525" i="25" s="1"/>
  <c r="A1526" i="25" s="1"/>
  <c r="A1527" i="25" s="1"/>
  <c r="A1528" i="25" s="1"/>
  <c r="A1529" i="25" s="1"/>
  <c r="A1530" i="25" s="1"/>
  <c r="A1531" i="25" s="1"/>
  <c r="A1532" i="25" s="1"/>
  <c r="A1533" i="25" s="1"/>
  <c r="A1534" i="25" s="1"/>
  <c r="A1535" i="25" s="1"/>
  <c r="A1536" i="25" s="1"/>
  <c r="A1537" i="25" s="1"/>
  <c r="A1538" i="25" s="1"/>
  <c r="A1539" i="25" s="1"/>
  <c r="A1540" i="25" s="1"/>
  <c r="A1541" i="25" s="1"/>
  <c r="A1542" i="25" s="1"/>
  <c r="A1543" i="25" s="1"/>
  <c r="A1544" i="25" s="1"/>
  <c r="A1545" i="25" s="1"/>
  <c r="A1546" i="25" s="1"/>
  <c r="A1547" i="25" s="1"/>
  <c r="A1548" i="25" s="1"/>
  <c r="A1549" i="25" s="1"/>
  <c r="A1550" i="25" s="1"/>
  <c r="A1551" i="25" s="1"/>
  <c r="A1552" i="25" s="1"/>
  <c r="A1553" i="25" s="1"/>
  <c r="A1554" i="25" s="1"/>
  <c r="A1555" i="25" s="1"/>
  <c r="A1556" i="25" s="1"/>
  <c r="A1557" i="25" s="1"/>
  <c r="A1558" i="25" s="1"/>
  <c r="A1559" i="25" s="1"/>
  <c r="A1560" i="25" s="1"/>
  <c r="A1561" i="25" s="1"/>
  <c r="A1562" i="25" s="1"/>
  <c r="A1563" i="25" s="1"/>
  <c r="A1564" i="25" s="1"/>
  <c r="A1565" i="25" s="1"/>
  <c r="A1566" i="25" s="1"/>
  <c r="A1567" i="25" s="1"/>
  <c r="A1568" i="25" s="1"/>
  <c r="A1569" i="25" s="1"/>
  <c r="A1570" i="25" s="1"/>
  <c r="A1571" i="25" s="1"/>
  <c r="A1572" i="25" s="1"/>
  <c r="A1573" i="25" s="1"/>
  <c r="A1574" i="25" s="1"/>
  <c r="A1575" i="25" s="1"/>
  <c r="A1576" i="25" s="1"/>
  <c r="A1577" i="25" s="1"/>
  <c r="A1578" i="25" s="1"/>
  <c r="A1579" i="25" s="1"/>
  <c r="A1580" i="25" s="1"/>
  <c r="A1581" i="25" s="1"/>
  <c r="A1582" i="25" s="1"/>
  <c r="A1583" i="25" s="1"/>
  <c r="A1584" i="25" s="1"/>
  <c r="A1585" i="25" s="1"/>
  <c r="A1586" i="25" s="1"/>
  <c r="A1587" i="25" s="1"/>
  <c r="A1588" i="25" s="1"/>
  <c r="A1589" i="25" s="1"/>
  <c r="A1590" i="25" s="1"/>
  <c r="A1591" i="25" s="1"/>
  <c r="A1592" i="25" s="1"/>
  <c r="A1593" i="25" s="1"/>
  <c r="A1594" i="25" s="1"/>
  <c r="A1595" i="25" s="1"/>
  <c r="A1596" i="25" s="1"/>
  <c r="A1597" i="25" s="1"/>
  <c r="A1598" i="25" s="1"/>
  <c r="A1599" i="25" s="1"/>
  <c r="A1600" i="25" s="1"/>
  <c r="A1601" i="25" s="1"/>
  <c r="A1602" i="25" s="1"/>
  <c r="A1603" i="25" s="1"/>
  <c r="A1604" i="25" s="1"/>
  <c r="A1605" i="25" s="1"/>
  <c r="A1606" i="25" s="1"/>
  <c r="A1607" i="25" s="1"/>
  <c r="A1608" i="25" s="1"/>
  <c r="A1609" i="25" s="1"/>
  <c r="A1610" i="25" s="1"/>
  <c r="A1611" i="25" s="1"/>
  <c r="A1612" i="25" s="1"/>
  <c r="A1613" i="25" s="1"/>
  <c r="A1614" i="25" s="1"/>
  <c r="A1615" i="25" s="1"/>
  <c r="A1616" i="25" s="1"/>
  <c r="A1617" i="25" s="1"/>
  <c r="A1618" i="25" s="1"/>
  <c r="A1619" i="25" s="1"/>
  <c r="A1620" i="25" s="1"/>
  <c r="A1621" i="25" s="1"/>
  <c r="A1622" i="25" s="1"/>
  <c r="A1623" i="25" s="1"/>
  <c r="A1624" i="25" s="1"/>
  <c r="A1625" i="25" s="1"/>
  <c r="A1626" i="25" s="1"/>
  <c r="A1627" i="25" s="1"/>
  <c r="A1628" i="25" s="1"/>
  <c r="A1629" i="25" s="1"/>
  <c r="A1630" i="25" s="1"/>
  <c r="A1631" i="25" s="1"/>
  <c r="A1632" i="25" s="1"/>
  <c r="A1633" i="25" s="1"/>
  <c r="A1634" i="25" s="1"/>
  <c r="A1635" i="25" s="1"/>
  <c r="A1636" i="25" s="1"/>
  <c r="A1637" i="25" s="1"/>
  <c r="A1638" i="25" s="1"/>
  <c r="A1639" i="25" s="1"/>
  <c r="A1640" i="25" s="1"/>
  <c r="A1641" i="25" s="1"/>
  <c r="A1642" i="25" s="1"/>
  <c r="A1643" i="25" s="1"/>
  <c r="A1644" i="25" s="1"/>
  <c r="A1645" i="25" s="1"/>
  <c r="A1646" i="25" s="1"/>
  <c r="A1647" i="25" s="1"/>
  <c r="A1648" i="25" s="1"/>
  <c r="A1649" i="25" s="1"/>
  <c r="A1650" i="25" s="1"/>
  <c r="A1651" i="25" s="1"/>
  <c r="A1652" i="25" s="1"/>
  <c r="A1653" i="25" s="1"/>
  <c r="A1654" i="25" s="1"/>
  <c r="A1655" i="25" s="1"/>
  <c r="A1656" i="25" s="1"/>
  <c r="A1657" i="25" s="1"/>
  <c r="A1658" i="25" s="1"/>
  <c r="A1659" i="25" s="1"/>
  <c r="A1660" i="25" s="1"/>
  <c r="A1661" i="25" s="1"/>
  <c r="A1662" i="25" s="1"/>
  <c r="A1663" i="25" s="1"/>
  <c r="A1664" i="25" s="1"/>
  <c r="A1665" i="25" s="1"/>
  <c r="A1666" i="25" s="1"/>
  <c r="A1667" i="25" s="1"/>
  <c r="A1668" i="25" s="1"/>
  <c r="A1669" i="25" s="1"/>
  <c r="A1670" i="25" s="1"/>
  <c r="A1671" i="25" s="1"/>
  <c r="A1672" i="25" s="1"/>
  <c r="A1673" i="25" s="1"/>
  <c r="A1674" i="25" s="1"/>
  <c r="A1675" i="25" s="1"/>
  <c r="A1676" i="25" s="1"/>
  <c r="A1677" i="25" s="1"/>
  <c r="A1678" i="25" s="1"/>
  <c r="A1679" i="25" s="1"/>
  <c r="A1680" i="25" s="1"/>
  <c r="A1681" i="25" s="1"/>
  <c r="A1682" i="25" s="1"/>
  <c r="A1683" i="25" s="1"/>
  <c r="A1684" i="25" s="1"/>
  <c r="A1685" i="25" s="1"/>
  <c r="A1686" i="25" s="1"/>
  <c r="A1687" i="25" s="1"/>
  <c r="A1688" i="25" s="1"/>
  <c r="A1689" i="25" s="1"/>
  <c r="A1690" i="25" s="1"/>
  <c r="A1691" i="25" s="1"/>
  <c r="A1692" i="25" s="1"/>
  <c r="A1693" i="25" s="1"/>
  <c r="A1694" i="25" s="1"/>
  <c r="A1695" i="25" s="1"/>
  <c r="A1696" i="25" s="1"/>
  <c r="A1697" i="25" s="1"/>
  <c r="A1698" i="25" s="1"/>
  <c r="A1699" i="25" s="1"/>
  <c r="A1700" i="25" s="1"/>
  <c r="A1701" i="25" s="1"/>
  <c r="A1702" i="25" s="1"/>
  <c r="A1703" i="25" s="1"/>
  <c r="A1704" i="25" s="1"/>
  <c r="A1705" i="25" s="1"/>
  <c r="A1706" i="25" s="1"/>
  <c r="A1707" i="25" s="1"/>
  <c r="A1708" i="25" s="1"/>
  <c r="A1709" i="25" s="1"/>
  <c r="A1710" i="25" s="1"/>
  <c r="A1711" i="25" s="1"/>
  <c r="A1712" i="25" s="1"/>
  <c r="A1713" i="25" s="1"/>
  <c r="A1714" i="25" s="1"/>
  <c r="A1715" i="25" s="1"/>
  <c r="A1716" i="25" s="1"/>
  <c r="A1717" i="25" s="1"/>
  <c r="A1718" i="25" s="1"/>
  <c r="A1719" i="25" s="1"/>
  <c r="A1720" i="25" s="1"/>
  <c r="A1721" i="25" s="1"/>
  <c r="A1722" i="25" s="1"/>
  <c r="A1723" i="25" s="1"/>
  <c r="A1724" i="25" s="1"/>
  <c r="A1725" i="25" s="1"/>
  <c r="A1726" i="25" s="1"/>
  <c r="A1727" i="25" s="1"/>
  <c r="A1728" i="25" s="1"/>
  <c r="A1729" i="25" s="1"/>
  <c r="A1730" i="25" s="1"/>
  <c r="A1731" i="25" s="1"/>
  <c r="A1732" i="25" s="1"/>
  <c r="A1733" i="25" s="1"/>
  <c r="A1734" i="25" s="1"/>
  <c r="A1735" i="25" s="1"/>
  <c r="A1736" i="25" s="1"/>
  <c r="A1737" i="25" s="1"/>
  <c r="A1738" i="25" s="1"/>
  <c r="A1739" i="25" s="1"/>
  <c r="A1740" i="25" s="1"/>
  <c r="A1741" i="25" s="1"/>
  <c r="A1742" i="25" s="1"/>
  <c r="A1743" i="25" s="1"/>
  <c r="A1744" i="25" s="1"/>
  <c r="A1745" i="25" s="1"/>
  <c r="A1746" i="25" s="1"/>
  <c r="A1747" i="25" s="1"/>
  <c r="A1748" i="25" s="1"/>
  <c r="L65" i="25" s="1"/>
  <c r="R65" i="25" l="1"/>
  <c r="Q65" i="25"/>
  <c r="L10" i="25"/>
  <c r="R10" i="25" s="1"/>
  <c r="L15" i="25"/>
  <c r="R15" i="25" s="1"/>
  <c r="L76" i="25"/>
  <c r="L102" i="25"/>
  <c r="L91" i="25"/>
  <c r="O91" i="25" s="1"/>
  <c r="L114" i="25"/>
  <c r="L97" i="25"/>
  <c r="L60" i="25"/>
  <c r="L59" i="25"/>
  <c r="M59" i="25" s="1"/>
  <c r="L49" i="25"/>
  <c r="L86" i="25"/>
  <c r="M86" i="25" s="1"/>
  <c r="L81" i="25"/>
  <c r="L112" i="25"/>
  <c r="N112" i="25" s="1"/>
  <c r="L75" i="25"/>
  <c r="L115" i="25"/>
  <c r="N115" i="25" s="1"/>
  <c r="L43" i="25"/>
  <c r="L44" i="25"/>
  <c r="L54" i="25"/>
  <c r="L128" i="25"/>
  <c r="N128" i="25" s="1"/>
  <c r="L38" i="25"/>
  <c r="L70" i="25"/>
  <c r="L113" i="25"/>
  <c r="N65" i="25"/>
  <c r="M65" i="25"/>
  <c r="P65" i="25"/>
  <c r="O65" i="25"/>
  <c r="O115" i="25"/>
  <c r="N76" i="25"/>
  <c r="M76" i="25"/>
  <c r="O76" i="25"/>
  <c r="P76" i="25"/>
  <c r="L92" i="25"/>
  <c r="N86" i="25"/>
  <c r="P86" i="25"/>
  <c r="O86" i="25"/>
  <c r="N97" i="25"/>
  <c r="M97" i="25"/>
  <c r="P97" i="25"/>
  <c r="O97" i="25"/>
  <c r="M10" i="25"/>
  <c r="P10" i="25"/>
  <c r="L123" i="25"/>
  <c r="L45" i="25"/>
  <c r="L87" i="25"/>
  <c r="L140" i="25"/>
  <c r="L156" i="25"/>
  <c r="L152" i="25"/>
  <c r="L108" i="25"/>
  <c r="L124" i="25"/>
  <c r="L148" i="25"/>
  <c r="L135" i="25"/>
  <c r="L82" i="25"/>
  <c r="L31" i="25"/>
  <c r="L6" i="25"/>
  <c r="L52" i="25"/>
  <c r="L68" i="25"/>
  <c r="L56" i="25"/>
  <c r="L104" i="25"/>
  <c r="L100" i="25"/>
  <c r="L36" i="25"/>
  <c r="L21" i="25"/>
  <c r="R21" i="25" s="1"/>
  <c r="L109" i="25"/>
  <c r="L143" i="25"/>
  <c r="L130" i="25"/>
  <c r="L66" i="25"/>
  <c r="L40" i="25"/>
  <c r="L16" i="25"/>
  <c r="R16" i="25" s="1"/>
  <c r="L125" i="25"/>
  <c r="L84" i="25"/>
  <c r="L146" i="25"/>
  <c r="L13" i="25"/>
  <c r="R13" i="25" s="1"/>
  <c r="L17" i="25"/>
  <c r="R17" i="25" s="1"/>
  <c r="L149" i="25"/>
  <c r="L61" i="25"/>
  <c r="L89" i="25"/>
  <c r="L157" i="25"/>
  <c r="L155" i="25"/>
  <c r="L12" i="25"/>
  <c r="R12" i="25" s="1"/>
  <c r="L96" i="25"/>
  <c r="L127" i="25"/>
  <c r="L64" i="25"/>
  <c r="L151" i="25"/>
  <c r="L85" i="25"/>
  <c r="L117" i="25"/>
  <c r="L121" i="25"/>
  <c r="L47" i="25"/>
  <c r="L101" i="25"/>
  <c r="L94" i="25"/>
  <c r="L129" i="25"/>
  <c r="L35" i="25"/>
  <c r="L142" i="25"/>
  <c r="L42" i="25"/>
  <c r="L5" i="25"/>
  <c r="L71" i="25"/>
  <c r="L58" i="25"/>
  <c r="L119" i="25"/>
  <c r="L136" i="25"/>
  <c r="L19" i="25"/>
  <c r="R19" i="25" s="1"/>
  <c r="L24" i="25"/>
  <c r="L126" i="25"/>
  <c r="L67" i="25"/>
  <c r="L7" i="25"/>
  <c r="L20" i="25"/>
  <c r="R20" i="25" s="1"/>
  <c r="L132" i="25"/>
  <c r="L145" i="25"/>
  <c r="L72" i="25"/>
  <c r="L88" i="25"/>
  <c r="L150" i="25"/>
  <c r="L116" i="25"/>
  <c r="L69" i="25"/>
  <c r="L103" i="25"/>
  <c r="L63" i="25"/>
  <c r="L32" i="25"/>
  <c r="L106" i="25"/>
  <c r="L77" i="25"/>
  <c r="L83" i="25"/>
  <c r="L22" i="25"/>
  <c r="R22" i="25" s="1"/>
  <c r="L90" i="25"/>
  <c r="L26" i="25"/>
  <c r="L138" i="25"/>
  <c r="L99" i="25"/>
  <c r="L23" i="25"/>
  <c r="R23" i="25" s="1"/>
  <c r="L122" i="25"/>
  <c r="L144" i="25"/>
  <c r="L55" i="25"/>
  <c r="L9" i="25"/>
  <c r="L39" i="25"/>
  <c r="L29" i="25"/>
  <c r="L154" i="25"/>
  <c r="L118" i="25"/>
  <c r="L133" i="25"/>
  <c r="L79" i="25"/>
  <c r="L131" i="25"/>
  <c r="L139" i="25"/>
  <c r="L78" i="25"/>
  <c r="L48" i="25"/>
  <c r="L30" i="25"/>
  <c r="L107" i="25"/>
  <c r="L27" i="25"/>
  <c r="L153" i="25"/>
  <c r="L51" i="25"/>
  <c r="L37" i="25"/>
  <c r="L80" i="25"/>
  <c r="L137" i="25"/>
  <c r="L73" i="25"/>
  <c r="L18" i="25"/>
  <c r="R18" i="25" s="1"/>
  <c r="L110" i="25"/>
  <c r="L14" i="25"/>
  <c r="R14" i="25" s="1"/>
  <c r="L93" i="25"/>
  <c r="L53" i="25"/>
  <c r="L33" i="25"/>
  <c r="L57" i="25"/>
  <c r="L41" i="25"/>
  <c r="L8" i="25"/>
  <c r="L141" i="25"/>
  <c r="L111" i="25"/>
  <c r="L50" i="25"/>
  <c r="L120" i="25"/>
  <c r="L25" i="25"/>
  <c r="L98" i="25"/>
  <c r="L74" i="25"/>
  <c r="L134" i="25"/>
  <c r="L95" i="25"/>
  <c r="L46" i="25"/>
  <c r="L147" i="25"/>
  <c r="L34" i="25"/>
  <c r="L11" i="25"/>
  <c r="R11" i="25" s="1"/>
  <c r="L62" i="25"/>
  <c r="L28" i="25"/>
  <c r="L105" i="25"/>
  <c r="M128" i="25" l="1"/>
  <c r="M115" i="25"/>
  <c r="O59" i="25"/>
  <c r="P91" i="25"/>
  <c r="N15" i="25"/>
  <c r="N10" i="25"/>
  <c r="M112" i="25"/>
  <c r="O15" i="25"/>
  <c r="O10" i="25"/>
  <c r="P15" i="25"/>
  <c r="M15" i="25"/>
  <c r="R28" i="25"/>
  <c r="Q147" i="25"/>
  <c r="R147" i="25"/>
  <c r="R74" i="25"/>
  <c r="Q74" i="25"/>
  <c r="R50" i="25"/>
  <c r="Q50" i="25"/>
  <c r="R41" i="25"/>
  <c r="Q41" i="25"/>
  <c r="R93" i="25"/>
  <c r="Q93" i="25"/>
  <c r="R73" i="25"/>
  <c r="Q73" i="25"/>
  <c r="Q51" i="25"/>
  <c r="R51" i="25"/>
  <c r="R30" i="25"/>
  <c r="Q131" i="25"/>
  <c r="R131" i="25"/>
  <c r="R154" i="25"/>
  <c r="Q154" i="25"/>
  <c r="Q55" i="25"/>
  <c r="R55" i="25"/>
  <c r="Q99" i="25"/>
  <c r="R99" i="25"/>
  <c r="R32" i="25"/>
  <c r="Q32" i="25"/>
  <c r="R116" i="25"/>
  <c r="Q116" i="25"/>
  <c r="R145" i="25"/>
  <c r="Q145" i="25"/>
  <c r="Q67" i="25"/>
  <c r="R67" i="25"/>
  <c r="R136" i="25"/>
  <c r="Q136" i="25"/>
  <c r="R5" i="25"/>
  <c r="R129" i="25"/>
  <c r="Q129" i="25"/>
  <c r="R121" i="25"/>
  <c r="Q121" i="25"/>
  <c r="R64" i="25"/>
  <c r="Q64" i="25"/>
  <c r="Q155" i="25"/>
  <c r="R155" i="25"/>
  <c r="R149" i="25"/>
  <c r="Q149" i="25"/>
  <c r="R84" i="25"/>
  <c r="Q84" i="25"/>
  <c r="R66" i="25"/>
  <c r="Q66" i="25"/>
  <c r="R56" i="25"/>
  <c r="Q56" i="25"/>
  <c r="R31" i="25"/>
  <c r="Q31" i="25"/>
  <c r="R124" i="25"/>
  <c r="Q124" i="25"/>
  <c r="R140" i="25"/>
  <c r="Q140" i="25"/>
  <c r="R92" i="25"/>
  <c r="Q92" i="25"/>
  <c r="O113" i="25"/>
  <c r="R113" i="25"/>
  <c r="Q113" i="25"/>
  <c r="N54" i="25"/>
  <c r="R54" i="25"/>
  <c r="Q54" i="25"/>
  <c r="N75" i="25"/>
  <c r="Q75" i="25"/>
  <c r="R75" i="25"/>
  <c r="P49" i="25"/>
  <c r="R49" i="25"/>
  <c r="Q49" i="25"/>
  <c r="O114" i="25"/>
  <c r="R114" i="25"/>
  <c r="Q114" i="25"/>
  <c r="R62" i="25"/>
  <c r="Q62" i="25"/>
  <c r="R98" i="25"/>
  <c r="Q98" i="25"/>
  <c r="R111" i="25"/>
  <c r="Q111" i="25"/>
  <c r="R57" i="25"/>
  <c r="Q57" i="25"/>
  <c r="R137" i="25"/>
  <c r="Q137" i="25"/>
  <c r="R153" i="25"/>
  <c r="Q153" i="25"/>
  <c r="R48" i="25"/>
  <c r="Q48" i="25"/>
  <c r="R79" i="25"/>
  <c r="Q79" i="25"/>
  <c r="R29" i="25"/>
  <c r="R144" i="25"/>
  <c r="Q144" i="25"/>
  <c r="R138" i="25"/>
  <c r="Q138" i="25"/>
  <c r="Q83" i="25"/>
  <c r="R83" i="25"/>
  <c r="R63" i="25"/>
  <c r="Q63" i="25"/>
  <c r="R150" i="25"/>
  <c r="Q150" i="25"/>
  <c r="R132" i="25"/>
  <c r="Q132" i="25"/>
  <c r="R126" i="25"/>
  <c r="Q126" i="25"/>
  <c r="Q119" i="25"/>
  <c r="R119" i="25"/>
  <c r="R42" i="25"/>
  <c r="Q42" i="25"/>
  <c r="R94" i="25"/>
  <c r="Q94" i="25"/>
  <c r="R117" i="25"/>
  <c r="Q117" i="25"/>
  <c r="R127" i="25"/>
  <c r="Q127" i="25"/>
  <c r="R157" i="25"/>
  <c r="Q157" i="25"/>
  <c r="R125" i="25"/>
  <c r="Q125" i="25"/>
  <c r="R130" i="25"/>
  <c r="Q130" i="25"/>
  <c r="R36" i="25"/>
  <c r="Q36" i="25"/>
  <c r="R68" i="25"/>
  <c r="Q68" i="25"/>
  <c r="R82" i="25"/>
  <c r="Q82" i="25"/>
  <c r="R108" i="25"/>
  <c r="Q108" i="25"/>
  <c r="Q87" i="25"/>
  <c r="R87" i="25"/>
  <c r="O70" i="25"/>
  <c r="R70" i="25"/>
  <c r="Q70" i="25"/>
  <c r="N44" i="25"/>
  <c r="R44" i="25"/>
  <c r="Q44" i="25"/>
  <c r="P112" i="25"/>
  <c r="R112" i="25"/>
  <c r="Q112" i="25"/>
  <c r="P59" i="25"/>
  <c r="Q59" i="25"/>
  <c r="R59" i="25"/>
  <c r="N91" i="25"/>
  <c r="Q91" i="25"/>
  <c r="R91" i="25"/>
  <c r="R25" i="25"/>
  <c r="R141" i="25"/>
  <c r="Q141" i="25"/>
  <c r="R33" i="25"/>
  <c r="Q33" i="25"/>
  <c r="R110" i="25"/>
  <c r="Q110" i="25"/>
  <c r="R80" i="25"/>
  <c r="Q80" i="25"/>
  <c r="R27" i="25"/>
  <c r="R78" i="25"/>
  <c r="Q78" i="25"/>
  <c r="R133" i="25"/>
  <c r="Q133" i="25"/>
  <c r="Q39" i="25"/>
  <c r="R39" i="25"/>
  <c r="R122" i="25"/>
  <c r="Q122" i="25"/>
  <c r="R26" i="25"/>
  <c r="R77" i="25"/>
  <c r="Q77" i="25"/>
  <c r="Q103" i="25"/>
  <c r="R103" i="25"/>
  <c r="R88" i="25"/>
  <c r="Q88" i="25"/>
  <c r="R24" i="25"/>
  <c r="R58" i="25"/>
  <c r="Q58" i="25"/>
  <c r="R142" i="25"/>
  <c r="Q142" i="25"/>
  <c r="R101" i="25"/>
  <c r="Q101" i="25"/>
  <c r="R85" i="25"/>
  <c r="Q85" i="25"/>
  <c r="R96" i="25"/>
  <c r="Q96" i="25"/>
  <c r="R89" i="25"/>
  <c r="Q89" i="25"/>
  <c r="R143" i="25"/>
  <c r="Q143" i="25"/>
  <c r="R100" i="25"/>
  <c r="Q100" i="25"/>
  <c r="R52" i="25"/>
  <c r="Q52" i="25"/>
  <c r="Q135" i="25"/>
  <c r="R135" i="25"/>
  <c r="R152" i="25"/>
  <c r="Q152" i="25"/>
  <c r="R45" i="25"/>
  <c r="Q45" i="25"/>
  <c r="M38" i="25"/>
  <c r="R38" i="25"/>
  <c r="Q38" i="25"/>
  <c r="M43" i="25"/>
  <c r="Q43" i="25"/>
  <c r="R43" i="25"/>
  <c r="P81" i="25"/>
  <c r="R81" i="25"/>
  <c r="Q81" i="25"/>
  <c r="O60" i="25"/>
  <c r="R60" i="25"/>
  <c r="Q60" i="25"/>
  <c r="P102" i="25"/>
  <c r="R102" i="25"/>
  <c r="Q102" i="25"/>
  <c r="R46" i="25"/>
  <c r="Q46" i="25"/>
  <c r="R95" i="25"/>
  <c r="Q95" i="25"/>
  <c r="R105" i="25"/>
  <c r="Q105" i="25"/>
  <c r="R34" i="25"/>
  <c r="Q34" i="25"/>
  <c r="R134" i="25"/>
  <c r="Q134" i="25"/>
  <c r="R120" i="25"/>
  <c r="Q120" i="25"/>
  <c r="R8" i="25"/>
  <c r="R53" i="25"/>
  <c r="Q53" i="25"/>
  <c r="R37" i="25"/>
  <c r="Q37" i="25"/>
  <c r="Q107" i="25"/>
  <c r="R107" i="25"/>
  <c r="Q139" i="25"/>
  <c r="R139" i="25"/>
  <c r="R118" i="25"/>
  <c r="Q118" i="25"/>
  <c r="R9" i="25"/>
  <c r="R90" i="25"/>
  <c r="Q90" i="25"/>
  <c r="R106" i="25"/>
  <c r="Q106" i="25"/>
  <c r="R69" i="25"/>
  <c r="Q69" i="25"/>
  <c r="R72" i="25"/>
  <c r="Q72" i="25"/>
  <c r="R7" i="25"/>
  <c r="Q71" i="25"/>
  <c r="R71" i="25"/>
  <c r="Q35" i="25"/>
  <c r="R35" i="25"/>
  <c r="R47" i="25"/>
  <c r="Q47" i="25"/>
  <c r="Q151" i="25"/>
  <c r="R151" i="25"/>
  <c r="R61" i="25"/>
  <c r="Q61" i="25"/>
  <c r="R146" i="25"/>
  <c r="Q146" i="25"/>
  <c r="R40" i="25"/>
  <c r="Q40" i="25"/>
  <c r="R109" i="25"/>
  <c r="Q109" i="25"/>
  <c r="R104" i="25"/>
  <c r="Q104" i="25"/>
  <c r="R6" i="25"/>
  <c r="R148" i="25"/>
  <c r="Q148" i="25"/>
  <c r="R156" i="25"/>
  <c r="Q156" i="25"/>
  <c r="Q123" i="25"/>
  <c r="R123" i="25"/>
  <c r="P128" i="25"/>
  <c r="R128" i="25"/>
  <c r="Q128" i="25"/>
  <c r="P115" i="25"/>
  <c r="Q115" i="25"/>
  <c r="R115" i="25"/>
  <c r="R86" i="25"/>
  <c r="Q86" i="25"/>
  <c r="R97" i="25"/>
  <c r="Q97" i="25"/>
  <c r="R76" i="25"/>
  <c r="Q76" i="25"/>
  <c r="P60" i="25"/>
  <c r="O38" i="25"/>
  <c r="N38" i="25"/>
  <c r="N60" i="25"/>
  <c r="M102" i="25"/>
  <c r="O128" i="25"/>
  <c r="N102" i="25"/>
  <c r="M60" i="25"/>
  <c r="O43" i="25"/>
  <c r="O81" i="25"/>
  <c r="N43" i="25"/>
  <c r="M81" i="25"/>
  <c r="P38" i="25"/>
  <c r="P43" i="25"/>
  <c r="N81" i="25"/>
  <c r="O102" i="25"/>
  <c r="P70" i="25"/>
  <c r="O44" i="25"/>
  <c r="M70" i="25"/>
  <c r="M114" i="25"/>
  <c r="P44" i="25"/>
  <c r="P113" i="25"/>
  <c r="O49" i="25"/>
  <c r="O54" i="25"/>
  <c r="M49" i="25"/>
  <c r="P114" i="25"/>
  <c r="P75" i="25"/>
  <c r="M113" i="25"/>
  <c r="P54" i="25"/>
  <c r="O75" i="25"/>
  <c r="N49" i="25"/>
  <c r="N59" i="25"/>
  <c r="N70" i="25"/>
  <c r="O112" i="25"/>
  <c r="N114" i="25"/>
  <c r="M91" i="25"/>
  <c r="M44" i="25"/>
  <c r="N113" i="25"/>
  <c r="M54" i="25"/>
  <c r="M75" i="25"/>
  <c r="N98" i="25"/>
  <c r="M98" i="25"/>
  <c r="P98" i="25"/>
  <c r="O98" i="25"/>
  <c r="N57" i="25"/>
  <c r="M57" i="25"/>
  <c r="O57" i="25"/>
  <c r="P57" i="25"/>
  <c r="N14" i="25"/>
  <c r="O14" i="25"/>
  <c r="M14" i="25"/>
  <c r="P14" i="25"/>
  <c r="N48" i="25"/>
  <c r="M48" i="25"/>
  <c r="O48" i="25"/>
  <c r="P48" i="25"/>
  <c r="M144" i="25"/>
  <c r="O144" i="25"/>
  <c r="N144" i="25"/>
  <c r="P144" i="25"/>
  <c r="N63" i="25"/>
  <c r="M63" i="25"/>
  <c r="P63" i="25"/>
  <c r="O63" i="25"/>
  <c r="O126" i="25"/>
  <c r="N126" i="25"/>
  <c r="M126" i="25"/>
  <c r="P126" i="25"/>
  <c r="O117" i="25"/>
  <c r="N117" i="25"/>
  <c r="M117" i="25"/>
  <c r="P117" i="25"/>
  <c r="O125" i="25"/>
  <c r="N125" i="25"/>
  <c r="M125" i="25"/>
  <c r="P125" i="25"/>
  <c r="N36" i="25"/>
  <c r="M36" i="25"/>
  <c r="O36" i="25"/>
  <c r="P36" i="25"/>
  <c r="O108" i="25"/>
  <c r="N108" i="25"/>
  <c r="M108" i="25"/>
  <c r="P108" i="25"/>
  <c r="M135" i="25"/>
  <c r="P135" i="25"/>
  <c r="O135" i="25"/>
  <c r="N135" i="25"/>
  <c r="M152" i="25"/>
  <c r="P152" i="25"/>
  <c r="N152" i="25"/>
  <c r="O152" i="25"/>
  <c r="N45" i="25"/>
  <c r="M45" i="25"/>
  <c r="P45" i="25"/>
  <c r="O45" i="25"/>
  <c r="N79" i="25"/>
  <c r="M79" i="25"/>
  <c r="P79" i="25"/>
  <c r="O79" i="25"/>
  <c r="M138" i="25"/>
  <c r="O138" i="25"/>
  <c r="N138" i="25"/>
  <c r="P138" i="25"/>
  <c r="M150" i="25"/>
  <c r="P150" i="25"/>
  <c r="N150" i="25"/>
  <c r="O150" i="25"/>
  <c r="O119" i="25"/>
  <c r="N119" i="25"/>
  <c r="M119" i="25"/>
  <c r="P119" i="25"/>
  <c r="N94" i="25"/>
  <c r="M94" i="25"/>
  <c r="O94" i="25"/>
  <c r="P94" i="25"/>
  <c r="M157" i="25"/>
  <c r="P157" i="25"/>
  <c r="O157" i="25"/>
  <c r="N157" i="25"/>
  <c r="M130" i="25"/>
  <c r="O130" i="25"/>
  <c r="N130" i="25"/>
  <c r="P130" i="25"/>
  <c r="N82" i="25"/>
  <c r="M82" i="25"/>
  <c r="P82" i="25"/>
  <c r="O82" i="25"/>
  <c r="M141" i="25"/>
  <c r="P141" i="25"/>
  <c r="O141" i="25"/>
  <c r="N141" i="25"/>
  <c r="N80" i="25"/>
  <c r="M80" i="25"/>
  <c r="O80" i="25"/>
  <c r="P80" i="25"/>
  <c r="N78" i="25"/>
  <c r="M78" i="25"/>
  <c r="O78" i="25"/>
  <c r="P78" i="25"/>
  <c r="N39" i="25"/>
  <c r="M39" i="25"/>
  <c r="P39" i="25"/>
  <c r="O39" i="25"/>
  <c r="M26" i="25"/>
  <c r="N26" i="25"/>
  <c r="P26" i="25"/>
  <c r="O26" i="25"/>
  <c r="N58" i="25"/>
  <c r="M58" i="25"/>
  <c r="P58" i="25"/>
  <c r="O58" i="25"/>
  <c r="N101" i="25"/>
  <c r="M101" i="25"/>
  <c r="P101" i="25"/>
  <c r="O101" i="25"/>
  <c r="N96" i="25"/>
  <c r="M96" i="25"/>
  <c r="P96" i="25"/>
  <c r="O96" i="25"/>
  <c r="N100" i="25"/>
  <c r="M100" i="25"/>
  <c r="O100" i="25"/>
  <c r="P100" i="25"/>
  <c r="N105" i="25"/>
  <c r="M105" i="25"/>
  <c r="P105" i="25"/>
  <c r="O105" i="25"/>
  <c r="M134" i="25"/>
  <c r="O134" i="25"/>
  <c r="N134" i="25"/>
  <c r="P134" i="25"/>
  <c r="O8" i="25"/>
  <c r="P8" i="25"/>
  <c r="N8" i="25"/>
  <c r="M8" i="25"/>
  <c r="N53" i="25"/>
  <c r="M53" i="25"/>
  <c r="P53" i="25"/>
  <c r="O53" i="25"/>
  <c r="N18" i="25"/>
  <c r="M18" i="25"/>
  <c r="O18" i="25"/>
  <c r="P18" i="25"/>
  <c r="N37" i="25"/>
  <c r="M37" i="25"/>
  <c r="P37" i="25"/>
  <c r="O37" i="25"/>
  <c r="N107" i="25"/>
  <c r="M107" i="25"/>
  <c r="O107" i="25"/>
  <c r="M139" i="25"/>
  <c r="P139" i="25"/>
  <c r="O139" i="25"/>
  <c r="N139" i="25"/>
  <c r="O118" i="25"/>
  <c r="N118" i="25"/>
  <c r="M118" i="25"/>
  <c r="P118" i="25"/>
  <c r="P9" i="25"/>
  <c r="O9" i="25"/>
  <c r="N9" i="25"/>
  <c r="M9" i="25"/>
  <c r="M23" i="25"/>
  <c r="O23" i="25"/>
  <c r="N23" i="25"/>
  <c r="P23" i="25"/>
  <c r="N90" i="25"/>
  <c r="M90" i="25"/>
  <c r="P90" i="25"/>
  <c r="O90" i="25"/>
  <c r="N106" i="25"/>
  <c r="M106" i="25"/>
  <c r="P106" i="25"/>
  <c r="O106" i="25"/>
  <c r="N69" i="25"/>
  <c r="M69" i="25"/>
  <c r="O69" i="25"/>
  <c r="P69" i="25"/>
  <c r="N72" i="25"/>
  <c r="M72" i="25"/>
  <c r="P72" i="25"/>
  <c r="O72" i="25"/>
  <c r="N7" i="25"/>
  <c r="M7" i="25"/>
  <c r="P7" i="25"/>
  <c r="O7" i="25"/>
  <c r="M19" i="25"/>
  <c r="O19" i="25"/>
  <c r="N19" i="25"/>
  <c r="P19" i="25"/>
  <c r="N71" i="25"/>
  <c r="M71" i="25"/>
  <c r="P71" i="25"/>
  <c r="O71" i="25"/>
  <c r="M35" i="25"/>
  <c r="O35" i="25"/>
  <c r="N35" i="25"/>
  <c r="P35" i="25"/>
  <c r="N47" i="25"/>
  <c r="M47" i="25"/>
  <c r="P47" i="25"/>
  <c r="O47" i="25"/>
  <c r="M151" i="25"/>
  <c r="P151" i="25"/>
  <c r="N151" i="25"/>
  <c r="O151" i="25"/>
  <c r="N12" i="25"/>
  <c r="P12" i="25"/>
  <c r="O12" i="25"/>
  <c r="M12" i="25"/>
  <c r="N61" i="25"/>
  <c r="M61" i="25"/>
  <c r="P61" i="25"/>
  <c r="O61" i="25"/>
  <c r="M146" i="25"/>
  <c r="P146" i="25"/>
  <c r="N146" i="25"/>
  <c r="O146" i="25"/>
  <c r="N40" i="25"/>
  <c r="M40" i="25"/>
  <c r="P40" i="25"/>
  <c r="O40" i="25"/>
  <c r="O109" i="25"/>
  <c r="N109" i="25"/>
  <c r="M109" i="25"/>
  <c r="P109" i="25"/>
  <c r="N104" i="25"/>
  <c r="M104" i="25"/>
  <c r="P104" i="25"/>
  <c r="O104" i="25"/>
  <c r="M6" i="25"/>
  <c r="O6" i="25"/>
  <c r="N6" i="25"/>
  <c r="P6" i="25"/>
  <c r="M148" i="25"/>
  <c r="P148" i="25"/>
  <c r="N148" i="25"/>
  <c r="O148" i="25"/>
  <c r="M156" i="25"/>
  <c r="P156" i="25"/>
  <c r="O156" i="25"/>
  <c r="N156" i="25"/>
  <c r="O123" i="25"/>
  <c r="N123" i="25"/>
  <c r="M123" i="25"/>
  <c r="P123" i="25"/>
  <c r="N62" i="25"/>
  <c r="M62" i="25"/>
  <c r="O62" i="25"/>
  <c r="P62" i="25"/>
  <c r="N46" i="25"/>
  <c r="M46" i="25"/>
  <c r="O46" i="25"/>
  <c r="P46" i="25"/>
  <c r="O111" i="25"/>
  <c r="N111" i="25"/>
  <c r="M111" i="25"/>
  <c r="P111" i="25"/>
  <c r="M137" i="25"/>
  <c r="P137" i="25"/>
  <c r="O137" i="25"/>
  <c r="N137" i="25"/>
  <c r="M153" i="25"/>
  <c r="P153" i="25"/>
  <c r="N153" i="25"/>
  <c r="O153" i="25"/>
  <c r="M29" i="25"/>
  <c r="O29" i="25"/>
  <c r="P29" i="25"/>
  <c r="N29" i="25"/>
  <c r="N83" i="25"/>
  <c r="M83" i="25"/>
  <c r="O83" i="25"/>
  <c r="P83" i="25"/>
  <c r="M132" i="25"/>
  <c r="O132" i="25"/>
  <c r="N132" i="25"/>
  <c r="P132" i="25"/>
  <c r="N42" i="25"/>
  <c r="M42" i="25"/>
  <c r="P42" i="25"/>
  <c r="O42" i="25"/>
  <c r="O127" i="25"/>
  <c r="N127" i="25"/>
  <c r="M127" i="25"/>
  <c r="P127" i="25"/>
  <c r="O17" i="25"/>
  <c r="M17" i="25"/>
  <c r="P17" i="25"/>
  <c r="N17" i="25"/>
  <c r="N68" i="25"/>
  <c r="M68" i="25"/>
  <c r="O68" i="25"/>
  <c r="P68" i="25"/>
  <c r="N87" i="25"/>
  <c r="M87" i="25"/>
  <c r="P87" i="25"/>
  <c r="O87" i="25"/>
  <c r="N11" i="25"/>
  <c r="O11" i="25"/>
  <c r="M11" i="25"/>
  <c r="P11" i="25"/>
  <c r="N95" i="25"/>
  <c r="M95" i="25"/>
  <c r="P95" i="25"/>
  <c r="O95" i="25"/>
  <c r="M25" i="25"/>
  <c r="O25" i="25"/>
  <c r="P25" i="25"/>
  <c r="N25" i="25"/>
  <c r="M33" i="25"/>
  <c r="O33" i="25"/>
  <c r="P33" i="25"/>
  <c r="N33" i="25"/>
  <c r="O110" i="25"/>
  <c r="N110" i="25"/>
  <c r="M110" i="25"/>
  <c r="P110" i="25"/>
  <c r="M27" i="25"/>
  <c r="O27" i="25"/>
  <c r="N27" i="25"/>
  <c r="P27" i="25"/>
  <c r="M133" i="25"/>
  <c r="P133" i="25"/>
  <c r="O133" i="25"/>
  <c r="N133" i="25"/>
  <c r="O122" i="25"/>
  <c r="N122" i="25"/>
  <c r="M122" i="25"/>
  <c r="P122" i="25"/>
  <c r="N77" i="25"/>
  <c r="M77" i="25"/>
  <c r="P77" i="25"/>
  <c r="O77" i="25"/>
  <c r="N103" i="25"/>
  <c r="M103" i="25"/>
  <c r="P103" i="25"/>
  <c r="O103" i="25"/>
  <c r="N88" i="25"/>
  <c r="M88" i="25"/>
  <c r="P88" i="25"/>
  <c r="O88" i="25"/>
  <c r="M20" i="25"/>
  <c r="O20" i="25"/>
  <c r="P20" i="25"/>
  <c r="N20" i="25"/>
  <c r="M24" i="25"/>
  <c r="O24" i="25"/>
  <c r="P24" i="25"/>
  <c r="N24" i="25"/>
  <c r="M142" i="25"/>
  <c r="O142" i="25"/>
  <c r="N142" i="25"/>
  <c r="P142" i="25"/>
  <c r="N85" i="25"/>
  <c r="M85" i="25"/>
  <c r="P85" i="25"/>
  <c r="O85" i="25"/>
  <c r="N89" i="25"/>
  <c r="M89" i="25"/>
  <c r="O89" i="25"/>
  <c r="P89" i="25"/>
  <c r="N13" i="25"/>
  <c r="M13" i="25"/>
  <c r="P13" i="25"/>
  <c r="O13" i="25"/>
  <c r="P16" i="25"/>
  <c r="M16" i="25"/>
  <c r="O16" i="25"/>
  <c r="N16" i="25"/>
  <c r="M143" i="25"/>
  <c r="P143" i="25"/>
  <c r="O143" i="25"/>
  <c r="N143" i="25"/>
  <c r="N52" i="25"/>
  <c r="M52" i="25"/>
  <c r="O52" i="25"/>
  <c r="P52" i="25"/>
  <c r="M34" i="25"/>
  <c r="N34" i="25"/>
  <c r="P34" i="25"/>
  <c r="O34" i="25"/>
  <c r="O120" i="25"/>
  <c r="N120" i="25"/>
  <c r="M120" i="25"/>
  <c r="P120" i="25"/>
  <c r="M28" i="25"/>
  <c r="O28" i="25"/>
  <c r="P28" i="25"/>
  <c r="N28" i="25"/>
  <c r="M147" i="25"/>
  <c r="P147" i="25"/>
  <c r="N147" i="25"/>
  <c r="O147" i="25"/>
  <c r="N74" i="25"/>
  <c r="M74" i="25"/>
  <c r="P74" i="25"/>
  <c r="O74" i="25"/>
  <c r="N50" i="25"/>
  <c r="M50" i="25"/>
  <c r="P50" i="25"/>
  <c r="O50" i="25"/>
  <c r="N41" i="25"/>
  <c r="M41" i="25"/>
  <c r="O41" i="25"/>
  <c r="P41" i="25"/>
  <c r="N93" i="25"/>
  <c r="M93" i="25"/>
  <c r="P93" i="25"/>
  <c r="O93" i="25"/>
  <c r="N73" i="25"/>
  <c r="M73" i="25"/>
  <c r="O73" i="25"/>
  <c r="P73" i="25"/>
  <c r="N51" i="25"/>
  <c r="M51" i="25"/>
  <c r="O51" i="25"/>
  <c r="P51" i="25"/>
  <c r="M30" i="25"/>
  <c r="O30" i="25"/>
  <c r="N30" i="25"/>
  <c r="P30" i="25"/>
  <c r="M131" i="25"/>
  <c r="P131" i="25"/>
  <c r="O131" i="25"/>
  <c r="N131" i="25"/>
  <c r="M154" i="25"/>
  <c r="P154" i="25"/>
  <c r="N154" i="25"/>
  <c r="O154" i="25"/>
  <c r="N55" i="25"/>
  <c r="M55" i="25"/>
  <c r="P55" i="25"/>
  <c r="O55" i="25"/>
  <c r="N99" i="25"/>
  <c r="M99" i="25"/>
  <c r="O99" i="25"/>
  <c r="P99" i="25"/>
  <c r="M22" i="25"/>
  <c r="O22" i="25"/>
  <c r="N22" i="25"/>
  <c r="P22" i="25"/>
  <c r="M32" i="25"/>
  <c r="O32" i="25"/>
  <c r="P32" i="25"/>
  <c r="N32" i="25"/>
  <c r="O116" i="25"/>
  <c r="N116" i="25"/>
  <c r="M116" i="25"/>
  <c r="P116" i="25"/>
  <c r="M145" i="25"/>
  <c r="P145" i="25"/>
  <c r="N145" i="25"/>
  <c r="O145" i="25"/>
  <c r="N67" i="25"/>
  <c r="M67" i="25"/>
  <c r="O67" i="25"/>
  <c r="P67" i="25"/>
  <c r="M136" i="25"/>
  <c r="O136" i="25"/>
  <c r="N136" i="25"/>
  <c r="P136" i="25"/>
  <c r="P5" i="25"/>
  <c r="O5" i="25"/>
  <c r="Q5" i="25" s="1"/>
  <c r="M5" i="25"/>
  <c r="N5" i="25"/>
  <c r="M129" i="25"/>
  <c r="P129" i="25"/>
  <c r="O129" i="25"/>
  <c r="N129" i="25"/>
  <c r="O121" i="25"/>
  <c r="N121" i="25"/>
  <c r="M121" i="25"/>
  <c r="P121" i="25"/>
  <c r="N64" i="25"/>
  <c r="M64" i="25"/>
  <c r="P64" i="25"/>
  <c r="O64" i="25"/>
  <c r="M155" i="25"/>
  <c r="P155" i="25"/>
  <c r="O155" i="25"/>
  <c r="N155" i="25"/>
  <c r="M149" i="25"/>
  <c r="P149" i="25"/>
  <c r="N149" i="25"/>
  <c r="O149" i="25"/>
  <c r="N84" i="25"/>
  <c r="M84" i="25"/>
  <c r="O84" i="25"/>
  <c r="P84" i="25"/>
  <c r="N66" i="25"/>
  <c r="M66" i="25"/>
  <c r="P66" i="25"/>
  <c r="O66" i="25"/>
  <c r="M21" i="25"/>
  <c r="O21" i="25"/>
  <c r="P21" i="25"/>
  <c r="N21" i="25"/>
  <c r="N56" i="25"/>
  <c r="M56" i="25"/>
  <c r="P56" i="25"/>
  <c r="O56" i="25"/>
  <c r="M31" i="25"/>
  <c r="O31" i="25"/>
  <c r="N31" i="25"/>
  <c r="P31" i="25"/>
  <c r="O124" i="25"/>
  <c r="N124" i="25"/>
  <c r="M124" i="25"/>
  <c r="P124" i="25"/>
  <c r="M140" i="25"/>
  <c r="O140" i="25"/>
  <c r="N140" i="25"/>
  <c r="P140" i="25"/>
  <c r="N92" i="25"/>
  <c r="M92" i="25"/>
  <c r="O92" i="25"/>
  <c r="P92" i="25"/>
  <c r="Q6" i="25" l="1"/>
  <c r="Q7" i="25" s="1"/>
  <c r="Q8" i="25" s="1"/>
  <c r="Q9" i="25" s="1"/>
  <c r="Q10" i="25" s="1"/>
  <c r="Q11" i="25" s="1"/>
  <c r="Q12" i="25" s="1"/>
  <c r="Q13" i="25" s="1"/>
  <c r="Q14" i="25" s="1"/>
  <c r="Q15" i="25" s="1"/>
  <c r="Q16" i="25" s="1"/>
  <c r="Q17" i="25" s="1"/>
  <c r="Q18" i="25" s="1"/>
  <c r="Q19" i="25" s="1"/>
  <c r="Q20" i="25" s="1"/>
  <c r="Q21" i="25" s="1"/>
  <c r="Q22" i="25" s="1"/>
  <c r="Q23" i="25" s="1"/>
  <c r="Q24" i="25" s="1"/>
  <c r="Q25" i="25" s="1"/>
  <c r="Q26" i="25" s="1"/>
  <c r="Q27" i="25" s="1"/>
  <c r="Q28" i="25" s="1"/>
  <c r="Q29" i="25" s="1"/>
  <c r="Q30" i="25" s="1"/>
  <c r="J167" i="24"/>
  <c r="I167" i="24"/>
  <c r="J166" i="24"/>
  <c r="I166" i="24"/>
  <c r="J165" i="24"/>
  <c r="I165" i="24"/>
  <c r="J164" i="24"/>
  <c r="I164" i="24"/>
  <c r="J163" i="24"/>
  <c r="I163" i="24"/>
  <c r="J162" i="24"/>
  <c r="I162" i="24"/>
  <c r="J161" i="24"/>
  <c r="I161" i="24"/>
  <c r="J160" i="24"/>
  <c r="I160" i="24"/>
  <c r="J159" i="24"/>
  <c r="I159" i="24"/>
  <c r="J158" i="24"/>
  <c r="I158" i="24"/>
  <c r="J157" i="24"/>
  <c r="I157" i="24"/>
  <c r="J156" i="24"/>
  <c r="I156" i="24"/>
  <c r="J155" i="24"/>
  <c r="I155" i="24"/>
  <c r="J154" i="24"/>
  <c r="I154" i="24"/>
  <c r="J153" i="24"/>
  <c r="I153" i="24"/>
  <c r="J152" i="24"/>
  <c r="I152" i="24"/>
  <c r="J151" i="24"/>
  <c r="I151" i="24"/>
  <c r="J150" i="24"/>
  <c r="I150" i="24"/>
  <c r="J149" i="24"/>
  <c r="I149" i="24"/>
  <c r="J148" i="24"/>
  <c r="I148" i="24"/>
  <c r="J147" i="24"/>
  <c r="I147" i="24"/>
  <c r="J146" i="24"/>
  <c r="I146" i="24"/>
  <c r="J145" i="24"/>
  <c r="I145" i="24"/>
  <c r="J144" i="24"/>
  <c r="I144" i="24"/>
  <c r="J143" i="24"/>
  <c r="I143" i="24"/>
  <c r="J142" i="24"/>
  <c r="I142" i="24"/>
  <c r="J141" i="24"/>
  <c r="I141" i="24"/>
  <c r="J140" i="24"/>
  <c r="I140" i="24"/>
  <c r="J139" i="24"/>
  <c r="I139" i="24"/>
  <c r="J138" i="24"/>
  <c r="I138" i="24"/>
  <c r="J137" i="24"/>
  <c r="I137" i="24"/>
  <c r="J136" i="24"/>
  <c r="I136" i="24"/>
  <c r="J135" i="24"/>
  <c r="I135" i="24"/>
  <c r="J134" i="24"/>
  <c r="I134" i="24"/>
  <c r="J133" i="24"/>
  <c r="I133" i="24"/>
  <c r="J132" i="24"/>
  <c r="I132" i="24"/>
  <c r="J131" i="24"/>
  <c r="I131" i="24"/>
  <c r="J130" i="24"/>
  <c r="I130" i="24"/>
  <c r="J129" i="24"/>
  <c r="I129" i="24"/>
  <c r="J128" i="24"/>
  <c r="I128" i="24"/>
  <c r="J127" i="24"/>
  <c r="I127" i="24"/>
  <c r="J126" i="24"/>
  <c r="I126" i="24"/>
  <c r="J125" i="24"/>
  <c r="I125" i="24"/>
  <c r="J124" i="24"/>
  <c r="I124" i="24"/>
  <c r="J123" i="24"/>
  <c r="I123" i="24"/>
  <c r="J122" i="24"/>
  <c r="I122" i="24"/>
  <c r="J121" i="24"/>
  <c r="I121" i="24"/>
  <c r="J120" i="24"/>
  <c r="I120" i="24"/>
  <c r="J119" i="24"/>
  <c r="I119" i="24"/>
  <c r="J118" i="24"/>
  <c r="I118" i="24"/>
  <c r="J117" i="24"/>
  <c r="I117" i="24"/>
  <c r="J116" i="24"/>
  <c r="I116" i="24"/>
  <c r="J115" i="24"/>
  <c r="I115" i="24"/>
  <c r="J114" i="24"/>
  <c r="I114" i="24"/>
  <c r="J113" i="24"/>
  <c r="I113" i="24"/>
  <c r="J112" i="24"/>
  <c r="I112" i="24"/>
  <c r="J111" i="24"/>
  <c r="I111" i="24"/>
  <c r="J110" i="24"/>
  <c r="I110" i="24"/>
  <c r="J109" i="24"/>
  <c r="I109" i="24"/>
  <c r="J108" i="24"/>
  <c r="I108" i="24"/>
  <c r="J107" i="24"/>
  <c r="I107" i="24"/>
  <c r="J106" i="24"/>
  <c r="I106" i="24"/>
  <c r="J105" i="24"/>
  <c r="I105" i="24"/>
  <c r="J104" i="24"/>
  <c r="I104" i="24"/>
  <c r="J103" i="24"/>
  <c r="I103" i="24"/>
  <c r="J102" i="24"/>
  <c r="I102" i="24"/>
  <c r="J101" i="24"/>
  <c r="I101" i="24"/>
  <c r="J100" i="24"/>
  <c r="I100" i="24"/>
  <c r="J99" i="24"/>
  <c r="I99" i="24"/>
  <c r="J98" i="24"/>
  <c r="I98" i="24"/>
  <c r="J97" i="24"/>
  <c r="I97" i="24"/>
  <c r="J96" i="24"/>
  <c r="I96" i="24"/>
  <c r="J95" i="24"/>
  <c r="I95" i="24"/>
  <c r="J94" i="24"/>
  <c r="I94" i="24"/>
  <c r="J93" i="24"/>
  <c r="I93" i="24"/>
  <c r="J92" i="24"/>
  <c r="I92" i="24"/>
  <c r="J91" i="24"/>
  <c r="I91" i="24"/>
  <c r="J90" i="24"/>
  <c r="I90" i="24"/>
  <c r="J89" i="24"/>
  <c r="I89" i="24"/>
  <c r="J88" i="24"/>
  <c r="I88" i="24"/>
  <c r="J87" i="24"/>
  <c r="I87" i="24"/>
  <c r="J86" i="24"/>
  <c r="I86" i="24"/>
  <c r="J85" i="24"/>
  <c r="I85" i="24"/>
  <c r="J84" i="24"/>
  <c r="I84" i="24"/>
  <c r="J83" i="24"/>
  <c r="I83" i="24"/>
  <c r="J82" i="24"/>
  <c r="I82" i="24"/>
  <c r="J81" i="24"/>
  <c r="I81" i="24"/>
  <c r="J80" i="24"/>
  <c r="I80" i="24"/>
  <c r="J79" i="24"/>
  <c r="I79" i="24"/>
  <c r="J78" i="24"/>
  <c r="I78" i="24"/>
  <c r="J77" i="24"/>
  <c r="I77" i="24"/>
  <c r="J76" i="24"/>
  <c r="I76" i="24"/>
  <c r="J75" i="24"/>
  <c r="I75" i="24"/>
  <c r="J74" i="24"/>
  <c r="I74" i="24"/>
  <c r="J73" i="24"/>
  <c r="I73" i="24"/>
  <c r="J72" i="24"/>
  <c r="I72" i="24"/>
  <c r="J71" i="24"/>
  <c r="I71" i="24"/>
  <c r="J70" i="24"/>
  <c r="I70" i="24"/>
  <c r="J69" i="24"/>
  <c r="I69" i="24"/>
  <c r="J68" i="24"/>
  <c r="I68" i="24"/>
  <c r="J67" i="24"/>
  <c r="I67" i="24"/>
  <c r="J66" i="24"/>
  <c r="I66" i="24"/>
  <c r="J65" i="24"/>
  <c r="I65" i="24"/>
  <c r="J64" i="24"/>
  <c r="I64" i="24"/>
  <c r="J63" i="24"/>
  <c r="I63" i="24"/>
  <c r="J62" i="24"/>
  <c r="I62" i="24"/>
  <c r="J61" i="24"/>
  <c r="I61" i="24"/>
  <c r="J60" i="24"/>
  <c r="I60" i="24"/>
  <c r="J59" i="24"/>
  <c r="I59" i="24"/>
  <c r="J58" i="24"/>
  <c r="I58" i="24"/>
  <c r="J57" i="24"/>
  <c r="I57" i="24"/>
  <c r="J56" i="24"/>
  <c r="I56" i="24"/>
  <c r="J55" i="24"/>
  <c r="I55" i="24"/>
  <c r="J54" i="24"/>
  <c r="I54" i="24"/>
  <c r="J53" i="24"/>
  <c r="I53" i="24"/>
  <c r="J52" i="24"/>
  <c r="I52" i="24"/>
  <c r="J51" i="24"/>
  <c r="I51" i="24"/>
  <c r="J50" i="24"/>
  <c r="I50" i="24"/>
  <c r="J49" i="24"/>
  <c r="I49" i="24"/>
  <c r="J48" i="24"/>
  <c r="I48" i="24"/>
  <c r="J47" i="24"/>
  <c r="I47" i="24"/>
  <c r="J46" i="24"/>
  <c r="I46" i="24"/>
  <c r="J45" i="24"/>
  <c r="I45" i="24"/>
  <c r="J44" i="24"/>
  <c r="I44" i="24"/>
  <c r="J43" i="24"/>
  <c r="I43" i="24"/>
  <c r="J42" i="24"/>
  <c r="I42" i="24"/>
  <c r="J41" i="24"/>
  <c r="I41" i="24"/>
  <c r="J40" i="24"/>
  <c r="I40" i="24"/>
  <c r="J39" i="24"/>
  <c r="I39" i="24"/>
  <c r="J38" i="24"/>
  <c r="I38" i="24"/>
  <c r="J37" i="24"/>
  <c r="I37" i="24"/>
  <c r="J36" i="24"/>
  <c r="I36" i="24"/>
  <c r="J35" i="24"/>
  <c r="I35" i="24"/>
  <c r="J34" i="24"/>
  <c r="I34" i="24"/>
  <c r="J33" i="24"/>
  <c r="I33" i="24"/>
  <c r="J32" i="24"/>
  <c r="I32" i="24"/>
  <c r="J31" i="24"/>
  <c r="I31" i="24"/>
  <c r="J30" i="24"/>
  <c r="I30" i="24"/>
  <c r="J29" i="24"/>
  <c r="I29" i="24"/>
  <c r="J28" i="24"/>
  <c r="I28" i="24"/>
  <c r="J27" i="24"/>
  <c r="I27" i="24"/>
  <c r="J26" i="24"/>
  <c r="I26" i="24"/>
  <c r="J25" i="24"/>
  <c r="I25" i="24"/>
  <c r="J24" i="24"/>
  <c r="I24" i="24"/>
  <c r="J23" i="24"/>
  <c r="I23" i="24"/>
  <c r="J22" i="24"/>
  <c r="I22" i="24"/>
  <c r="J21" i="24"/>
  <c r="I21" i="24"/>
  <c r="J20" i="24"/>
  <c r="I20" i="24"/>
  <c r="J19" i="24"/>
  <c r="I19" i="24"/>
  <c r="U18" i="24"/>
  <c r="J18" i="24"/>
  <c r="I18" i="24"/>
  <c r="U17" i="24"/>
  <c r="J17" i="24"/>
  <c r="I17" i="24"/>
  <c r="J16" i="24"/>
  <c r="I16" i="24"/>
  <c r="J15" i="24"/>
  <c r="I15" i="24"/>
  <c r="U14" i="24"/>
  <c r="J14" i="24"/>
  <c r="I14" i="24"/>
  <c r="J13" i="24"/>
  <c r="I13" i="24"/>
  <c r="J12" i="24"/>
  <c r="I12" i="24"/>
  <c r="J11" i="24"/>
  <c r="I11" i="24"/>
  <c r="J10" i="24"/>
  <c r="I10" i="24"/>
  <c r="J9" i="24"/>
  <c r="I9" i="24"/>
  <c r="J8" i="24"/>
  <c r="I8" i="24"/>
  <c r="J7" i="24"/>
  <c r="I7" i="24"/>
  <c r="J6" i="24"/>
  <c r="I6" i="24"/>
  <c r="J5" i="24"/>
  <c r="I5" i="24"/>
  <c r="J4" i="24"/>
  <c r="I4" i="24"/>
  <c r="A4" i="24"/>
  <c r="A5" i="24" s="1"/>
  <c r="A6" i="24" s="1"/>
  <c r="A7" i="24" s="1"/>
  <c r="A8" i="24" s="1"/>
  <c r="A9" i="24" s="1"/>
  <c r="A10" i="24" s="1"/>
  <c r="A11" i="24" s="1"/>
  <c r="A12" i="24" s="1"/>
  <c r="A13" i="24" s="1"/>
  <c r="A14" i="24" s="1"/>
  <c r="A15" i="24" s="1"/>
  <c r="A16" i="24" s="1"/>
  <c r="A17" i="24" s="1"/>
  <c r="A18" i="24" s="1"/>
  <c r="A19" i="24" s="1"/>
  <c r="A20" i="24" s="1"/>
  <c r="A21" i="24" s="1"/>
  <c r="A22" i="24" s="1"/>
  <c r="A23" i="24" s="1"/>
  <c r="A24" i="24" s="1"/>
  <c r="A25" i="24" s="1"/>
  <c r="A26" i="24" s="1"/>
  <c r="A27" i="24" s="1"/>
  <c r="A28" i="24" s="1"/>
  <c r="A29" i="24" s="1"/>
  <c r="A30" i="24" s="1"/>
  <c r="A31" i="24" s="1"/>
  <c r="A32" i="24" s="1"/>
  <c r="A33" i="24" s="1"/>
  <c r="A34" i="24" s="1"/>
  <c r="A35" i="24" s="1"/>
  <c r="A36" i="24" s="1"/>
  <c r="A37" i="24" s="1"/>
  <c r="A38" i="24" s="1"/>
  <c r="A39" i="24" s="1"/>
  <c r="A40" i="24" s="1"/>
  <c r="A41" i="24" s="1"/>
  <c r="A42" i="24" s="1"/>
  <c r="A43" i="24" s="1"/>
  <c r="A44" i="24" s="1"/>
  <c r="A45" i="24" s="1"/>
  <c r="A46" i="24" s="1"/>
  <c r="A47" i="24" s="1"/>
  <c r="A48" i="24" s="1"/>
  <c r="A49" i="24" s="1"/>
  <c r="A50" i="24" s="1"/>
  <c r="A51" i="24" s="1"/>
  <c r="A52" i="24" s="1"/>
  <c r="A53" i="24" s="1"/>
  <c r="A54" i="24" s="1"/>
  <c r="A55" i="24" s="1"/>
  <c r="A56" i="24" s="1"/>
  <c r="A57" i="24" s="1"/>
  <c r="A58" i="24" s="1"/>
  <c r="A59" i="24" s="1"/>
  <c r="A60" i="24" s="1"/>
  <c r="A61" i="24" s="1"/>
  <c r="A62" i="24" s="1"/>
  <c r="A63" i="24" s="1"/>
  <c r="A64" i="24" s="1"/>
  <c r="A65" i="24" s="1"/>
  <c r="A66" i="24" s="1"/>
  <c r="A67" i="24" s="1"/>
  <c r="A68" i="24" s="1"/>
  <c r="A69" i="24" s="1"/>
  <c r="A70" i="24" s="1"/>
  <c r="A71" i="24" s="1"/>
  <c r="A72" i="24" s="1"/>
  <c r="A73" i="24" s="1"/>
  <c r="A74" i="24" s="1"/>
  <c r="A75" i="24" s="1"/>
  <c r="A76" i="24" s="1"/>
  <c r="A77" i="24" s="1"/>
  <c r="A78" i="24" s="1"/>
  <c r="A79" i="24" s="1"/>
  <c r="A80" i="24" s="1"/>
  <c r="A81" i="24" s="1"/>
  <c r="A82" i="24" s="1"/>
  <c r="A83" i="24" s="1"/>
  <c r="A84" i="24" s="1"/>
  <c r="A85" i="24" s="1"/>
  <c r="A86" i="24" s="1"/>
  <c r="A87" i="24" s="1"/>
  <c r="A88" i="24" s="1"/>
  <c r="A89" i="24" s="1"/>
  <c r="A90" i="24" s="1"/>
  <c r="A91" i="24" s="1"/>
  <c r="A92" i="24" s="1"/>
  <c r="A93" i="24" s="1"/>
  <c r="A94" i="24" s="1"/>
  <c r="A95" i="24" s="1"/>
  <c r="A96" i="24" s="1"/>
  <c r="A97" i="24" s="1"/>
  <c r="A98" i="24" s="1"/>
  <c r="A99" i="24" s="1"/>
  <c r="A100" i="24" s="1"/>
  <c r="A101" i="24" s="1"/>
  <c r="A102" i="24" s="1"/>
  <c r="A103" i="24" s="1"/>
  <c r="A104" i="24" s="1"/>
  <c r="A105" i="24" s="1"/>
  <c r="A106" i="24" s="1"/>
  <c r="A107" i="24" s="1"/>
  <c r="A108" i="24" s="1"/>
  <c r="A109" i="24" s="1"/>
  <c r="A110" i="24" s="1"/>
  <c r="A111" i="24" s="1"/>
  <c r="A112" i="24" s="1"/>
  <c r="A113" i="24" s="1"/>
  <c r="A114" i="24" s="1"/>
  <c r="A115" i="24" s="1"/>
  <c r="A116" i="24" s="1"/>
  <c r="A117" i="24" s="1"/>
  <c r="A118" i="24" s="1"/>
  <c r="A119" i="24" s="1"/>
  <c r="A120" i="24" s="1"/>
  <c r="A121" i="24" s="1"/>
  <c r="A122" i="24" s="1"/>
  <c r="A123" i="24" s="1"/>
  <c r="A124" i="24" s="1"/>
  <c r="A125" i="24" s="1"/>
  <c r="A126" i="24" s="1"/>
  <c r="A127" i="24" s="1"/>
  <c r="A128" i="24" s="1"/>
  <c r="A129" i="24" s="1"/>
  <c r="A130" i="24" s="1"/>
  <c r="A131" i="24" s="1"/>
  <c r="A132" i="24" s="1"/>
  <c r="A133" i="24" s="1"/>
  <c r="A134" i="24" s="1"/>
  <c r="A135" i="24" s="1"/>
  <c r="A136" i="24" s="1"/>
  <c r="A137" i="24" s="1"/>
  <c r="A138" i="24" s="1"/>
  <c r="A139" i="24" s="1"/>
  <c r="A140" i="24" s="1"/>
  <c r="A141" i="24" s="1"/>
  <c r="A142" i="24" s="1"/>
  <c r="A143" i="24" s="1"/>
  <c r="A144" i="24" s="1"/>
  <c r="A145" i="24" s="1"/>
  <c r="A146" i="24" s="1"/>
  <c r="A147" i="24" s="1"/>
  <c r="A148" i="24" s="1"/>
  <c r="A149" i="24" s="1"/>
  <c r="A150" i="24" s="1"/>
  <c r="A151" i="24" s="1"/>
  <c r="A152" i="24" s="1"/>
  <c r="A153" i="24" s="1"/>
  <c r="A154" i="24" s="1"/>
  <c r="A155" i="24" s="1"/>
  <c r="A156" i="24" s="1"/>
  <c r="A157" i="24" s="1"/>
  <c r="A158" i="24" s="1"/>
  <c r="A159" i="24" s="1"/>
  <c r="A160" i="24" s="1"/>
  <c r="A161" i="24" s="1"/>
  <c r="A162" i="24" s="1"/>
  <c r="A163" i="24" s="1"/>
  <c r="A164" i="24" s="1"/>
  <c r="A165" i="24" s="1"/>
  <c r="A166" i="24" s="1"/>
  <c r="A167" i="24" s="1"/>
  <c r="A168" i="24" s="1"/>
  <c r="A169" i="24" s="1"/>
  <c r="A170" i="24" s="1"/>
  <c r="A171" i="24" s="1"/>
  <c r="A172" i="24" s="1"/>
  <c r="A173" i="24" s="1"/>
  <c r="A174" i="24" s="1"/>
  <c r="A175" i="24" s="1"/>
  <c r="A176" i="24" s="1"/>
  <c r="A177" i="24" s="1"/>
  <c r="A178" i="24" s="1"/>
  <c r="A179" i="24" s="1"/>
  <c r="A180" i="24" s="1"/>
  <c r="A181" i="24" s="1"/>
  <c r="A182" i="24" s="1"/>
  <c r="A183" i="24" s="1"/>
  <c r="A184" i="24" s="1"/>
  <c r="A185" i="24" s="1"/>
  <c r="A186" i="24" s="1"/>
  <c r="A187" i="24" s="1"/>
  <c r="A188" i="24" s="1"/>
  <c r="A189" i="24" s="1"/>
  <c r="A190" i="24" s="1"/>
  <c r="A191" i="24" s="1"/>
  <c r="A192" i="24" s="1"/>
  <c r="A193" i="24" s="1"/>
  <c r="A194" i="24" s="1"/>
  <c r="A195" i="24" s="1"/>
  <c r="A196" i="24" s="1"/>
  <c r="A197" i="24" s="1"/>
  <c r="A198" i="24" s="1"/>
  <c r="A199" i="24" s="1"/>
  <c r="A200" i="24" s="1"/>
  <c r="A201" i="24" s="1"/>
  <c r="A202" i="24" s="1"/>
  <c r="A203" i="24" s="1"/>
  <c r="A204" i="24" s="1"/>
  <c r="A205" i="24" s="1"/>
  <c r="A206" i="24" s="1"/>
  <c r="A207" i="24" s="1"/>
  <c r="A208" i="24" s="1"/>
  <c r="A209" i="24" s="1"/>
  <c r="A210" i="24" s="1"/>
  <c r="A211" i="24" s="1"/>
  <c r="A212" i="24" s="1"/>
  <c r="A213" i="24" s="1"/>
  <c r="A214" i="24" s="1"/>
  <c r="A215" i="24" s="1"/>
  <c r="A216" i="24" s="1"/>
  <c r="A217" i="24" s="1"/>
  <c r="A218" i="24" s="1"/>
  <c r="A219" i="24" s="1"/>
  <c r="A220" i="24" s="1"/>
  <c r="A221" i="24" s="1"/>
  <c r="A222" i="24" s="1"/>
  <c r="A223" i="24" s="1"/>
  <c r="A224" i="24" s="1"/>
  <c r="A225" i="24" s="1"/>
  <c r="A226" i="24" s="1"/>
  <c r="A227" i="24" s="1"/>
  <c r="A228" i="24" s="1"/>
  <c r="A229" i="24" s="1"/>
  <c r="A230" i="24" s="1"/>
  <c r="A231" i="24" s="1"/>
  <c r="A232" i="24" s="1"/>
  <c r="A233" i="24" s="1"/>
  <c r="A234" i="24" s="1"/>
  <c r="A235" i="24" s="1"/>
  <c r="A236" i="24" s="1"/>
  <c r="A237" i="24" s="1"/>
  <c r="A238" i="24" s="1"/>
  <c r="A239" i="24" s="1"/>
  <c r="A240" i="24" s="1"/>
  <c r="A241" i="24" s="1"/>
  <c r="A242" i="24" s="1"/>
  <c r="A243" i="24" s="1"/>
  <c r="A244" i="24" s="1"/>
  <c r="A245" i="24" s="1"/>
  <c r="A246" i="24" s="1"/>
  <c r="A247" i="24" s="1"/>
  <c r="A248" i="24" s="1"/>
  <c r="A249" i="24" s="1"/>
  <c r="A250" i="24" s="1"/>
  <c r="A251" i="24" s="1"/>
  <c r="A252" i="24" s="1"/>
  <c r="A253" i="24" s="1"/>
  <c r="A254" i="24" s="1"/>
  <c r="A255" i="24" s="1"/>
  <c r="A256" i="24" s="1"/>
  <c r="A257" i="24" s="1"/>
  <c r="A258" i="24" s="1"/>
  <c r="A259" i="24" s="1"/>
  <c r="A260" i="24" s="1"/>
  <c r="A261" i="24" s="1"/>
  <c r="A262" i="24" s="1"/>
  <c r="A263" i="24" s="1"/>
  <c r="A264" i="24" s="1"/>
  <c r="A265" i="24" s="1"/>
  <c r="A266" i="24" s="1"/>
  <c r="A267" i="24" s="1"/>
  <c r="A268" i="24" s="1"/>
  <c r="A269" i="24" s="1"/>
  <c r="A270" i="24" s="1"/>
  <c r="A271" i="24" s="1"/>
  <c r="A272" i="24" s="1"/>
  <c r="A273" i="24" s="1"/>
  <c r="A274" i="24" s="1"/>
  <c r="A275" i="24" s="1"/>
  <c r="A276" i="24" s="1"/>
  <c r="A277" i="24" s="1"/>
  <c r="A278" i="24" s="1"/>
  <c r="A279" i="24" s="1"/>
  <c r="A280" i="24" s="1"/>
  <c r="A281" i="24" s="1"/>
  <c r="A282" i="24" s="1"/>
  <c r="A283" i="24" s="1"/>
  <c r="A284" i="24" s="1"/>
  <c r="A285" i="24" s="1"/>
  <c r="A286" i="24" s="1"/>
  <c r="A287" i="24" s="1"/>
  <c r="A288" i="24" s="1"/>
  <c r="A289" i="24" s="1"/>
  <c r="A290" i="24" s="1"/>
  <c r="A291" i="24" s="1"/>
  <c r="A292" i="24" s="1"/>
  <c r="A293" i="24" s="1"/>
  <c r="A294" i="24" s="1"/>
  <c r="A295" i="24" s="1"/>
  <c r="A296" i="24" s="1"/>
  <c r="A297" i="24" s="1"/>
  <c r="A298" i="24" s="1"/>
  <c r="A299" i="24" s="1"/>
  <c r="A300" i="24" s="1"/>
  <c r="A301" i="24" s="1"/>
  <c r="A302" i="24" s="1"/>
  <c r="A303" i="24" s="1"/>
  <c r="A304" i="24" s="1"/>
  <c r="A305" i="24" s="1"/>
  <c r="A306" i="24" s="1"/>
  <c r="A307" i="24" s="1"/>
  <c r="A308" i="24" s="1"/>
  <c r="A309" i="24" s="1"/>
  <c r="A310" i="24" s="1"/>
  <c r="A311" i="24" s="1"/>
  <c r="A312" i="24" s="1"/>
  <c r="A313" i="24" s="1"/>
  <c r="A314" i="24" s="1"/>
  <c r="A315" i="24" s="1"/>
  <c r="A316" i="24" s="1"/>
  <c r="A317" i="24" s="1"/>
  <c r="A318" i="24" s="1"/>
  <c r="A319" i="24" s="1"/>
  <c r="A320" i="24" s="1"/>
  <c r="A321" i="24" s="1"/>
  <c r="A322" i="24" s="1"/>
  <c r="A323" i="24" s="1"/>
  <c r="A324" i="24" s="1"/>
  <c r="A325" i="24" s="1"/>
  <c r="A326" i="24" s="1"/>
  <c r="A327" i="24" s="1"/>
  <c r="A328" i="24" s="1"/>
  <c r="A329" i="24" s="1"/>
  <c r="A330" i="24" s="1"/>
  <c r="A331" i="24" s="1"/>
  <c r="A332" i="24" s="1"/>
  <c r="A333" i="24" s="1"/>
  <c r="A334" i="24" s="1"/>
  <c r="A335" i="24" s="1"/>
  <c r="A336" i="24" s="1"/>
  <c r="A337" i="24" s="1"/>
  <c r="A338" i="24" s="1"/>
  <c r="A339" i="24" s="1"/>
  <c r="A340" i="24" s="1"/>
  <c r="A341" i="24" s="1"/>
  <c r="A342" i="24" s="1"/>
  <c r="A343" i="24" s="1"/>
  <c r="A344" i="24" s="1"/>
  <c r="A345" i="24" s="1"/>
  <c r="A346" i="24" s="1"/>
  <c r="A347" i="24" s="1"/>
  <c r="A348" i="24" s="1"/>
  <c r="A349" i="24" s="1"/>
  <c r="A350" i="24" s="1"/>
  <c r="A351" i="24" s="1"/>
  <c r="A352" i="24" s="1"/>
  <c r="A353" i="24" s="1"/>
  <c r="A354" i="24" s="1"/>
  <c r="A355" i="24" s="1"/>
  <c r="A356" i="24" s="1"/>
  <c r="A357" i="24" s="1"/>
  <c r="A358" i="24" s="1"/>
  <c r="A359" i="24" s="1"/>
  <c r="A360" i="24" s="1"/>
  <c r="A361" i="24" s="1"/>
  <c r="A362" i="24" s="1"/>
  <c r="A363" i="24" s="1"/>
  <c r="A364" i="24" s="1"/>
  <c r="A365" i="24" s="1"/>
  <c r="A366" i="24" s="1"/>
  <c r="A367" i="24" s="1"/>
  <c r="A368" i="24" s="1"/>
  <c r="A369" i="24" s="1"/>
  <c r="A370" i="24" s="1"/>
  <c r="A371" i="24" s="1"/>
  <c r="A372" i="24" s="1"/>
  <c r="A373" i="24" s="1"/>
  <c r="A374" i="24" s="1"/>
  <c r="A375" i="24" s="1"/>
  <c r="A376" i="24" s="1"/>
  <c r="A377" i="24" s="1"/>
  <c r="A378" i="24" s="1"/>
  <c r="A379" i="24" s="1"/>
  <c r="A380" i="24" s="1"/>
  <c r="A381" i="24" s="1"/>
  <c r="A382" i="24" s="1"/>
  <c r="A383" i="24" s="1"/>
  <c r="A384" i="24" s="1"/>
  <c r="A385" i="24" s="1"/>
  <c r="A386" i="24" s="1"/>
  <c r="A387" i="24" s="1"/>
  <c r="A388" i="24" s="1"/>
  <c r="A389" i="24" s="1"/>
  <c r="A390" i="24" s="1"/>
  <c r="A391" i="24" s="1"/>
  <c r="A392" i="24" s="1"/>
  <c r="A393" i="24" s="1"/>
  <c r="A394" i="24" s="1"/>
  <c r="A395" i="24" s="1"/>
  <c r="A396" i="24" s="1"/>
  <c r="A397" i="24" s="1"/>
  <c r="A398" i="24" s="1"/>
  <c r="A399" i="24" s="1"/>
  <c r="A400" i="24" s="1"/>
  <c r="A401" i="24" s="1"/>
  <c r="A402" i="24" s="1"/>
  <c r="A403" i="24" s="1"/>
  <c r="A404" i="24" s="1"/>
  <c r="A405" i="24" s="1"/>
  <c r="A406" i="24" s="1"/>
  <c r="A407" i="24" s="1"/>
  <c r="A408" i="24" s="1"/>
  <c r="A409" i="24" s="1"/>
  <c r="A410" i="24" s="1"/>
  <c r="A411" i="24" s="1"/>
  <c r="A412" i="24" s="1"/>
  <c r="A413" i="24" s="1"/>
  <c r="A414" i="24" s="1"/>
  <c r="A415" i="24" s="1"/>
  <c r="A416" i="24" s="1"/>
  <c r="A417" i="24" s="1"/>
  <c r="A418" i="24" s="1"/>
  <c r="A419" i="24" s="1"/>
  <c r="A420" i="24" s="1"/>
  <c r="A421" i="24" s="1"/>
  <c r="A422" i="24" s="1"/>
  <c r="A423" i="24" s="1"/>
  <c r="A424" i="24" s="1"/>
  <c r="A425" i="24" s="1"/>
  <c r="A426" i="24" s="1"/>
  <c r="A427" i="24" s="1"/>
  <c r="A428" i="24" s="1"/>
  <c r="A429" i="24" s="1"/>
  <c r="A430" i="24" s="1"/>
  <c r="A431" i="24" s="1"/>
  <c r="A432" i="24" s="1"/>
  <c r="A433" i="24" s="1"/>
  <c r="A434" i="24" s="1"/>
  <c r="A435" i="24" s="1"/>
  <c r="A436" i="24" s="1"/>
  <c r="A437" i="24" s="1"/>
  <c r="A438" i="24" s="1"/>
  <c r="A439" i="24" s="1"/>
  <c r="A440" i="24" s="1"/>
  <c r="A441" i="24" s="1"/>
  <c r="A442" i="24" s="1"/>
  <c r="A443" i="24" s="1"/>
  <c r="A444" i="24" s="1"/>
  <c r="A445" i="24" s="1"/>
  <c r="A446" i="24" s="1"/>
  <c r="A447" i="24" s="1"/>
  <c r="A448" i="24" s="1"/>
  <c r="A449" i="24" s="1"/>
  <c r="A450" i="24" s="1"/>
  <c r="A451" i="24" s="1"/>
  <c r="A452" i="24" s="1"/>
  <c r="A453" i="24" s="1"/>
  <c r="A454" i="24" s="1"/>
  <c r="A455" i="24" s="1"/>
  <c r="A456" i="24" s="1"/>
  <c r="A457" i="24" s="1"/>
  <c r="A458" i="24" s="1"/>
  <c r="A459" i="24" s="1"/>
  <c r="A460" i="24" s="1"/>
  <c r="A461" i="24" s="1"/>
  <c r="A462" i="24" s="1"/>
  <c r="A463" i="24" s="1"/>
  <c r="A464" i="24" s="1"/>
  <c r="A465" i="24" s="1"/>
  <c r="A466" i="24" s="1"/>
  <c r="A467" i="24" s="1"/>
  <c r="A468" i="24" s="1"/>
  <c r="A469" i="24" s="1"/>
  <c r="A470" i="24" s="1"/>
  <c r="A471" i="24" s="1"/>
  <c r="A472" i="24" s="1"/>
  <c r="A473" i="24" s="1"/>
  <c r="A474" i="24" s="1"/>
  <c r="A475" i="24" s="1"/>
  <c r="A476" i="24" s="1"/>
  <c r="A477" i="24" s="1"/>
  <c r="A478" i="24" s="1"/>
  <c r="A479" i="24" s="1"/>
  <c r="A480" i="24" s="1"/>
  <c r="A481" i="24" s="1"/>
  <c r="A482" i="24" s="1"/>
  <c r="A483" i="24" s="1"/>
  <c r="A484" i="24" s="1"/>
  <c r="A485" i="24" s="1"/>
  <c r="A486" i="24" s="1"/>
  <c r="A487" i="24" s="1"/>
  <c r="A488" i="24" s="1"/>
  <c r="A489" i="24" s="1"/>
  <c r="A490" i="24" s="1"/>
  <c r="A491" i="24" s="1"/>
  <c r="A492" i="24" s="1"/>
  <c r="A493" i="24" s="1"/>
  <c r="A494" i="24" s="1"/>
  <c r="A495" i="24" s="1"/>
  <c r="A496" i="24" s="1"/>
  <c r="A497" i="24" s="1"/>
  <c r="A498" i="24" s="1"/>
  <c r="A499" i="24" s="1"/>
  <c r="A500" i="24" s="1"/>
  <c r="A501" i="24" s="1"/>
  <c r="A502" i="24" s="1"/>
  <c r="A503" i="24" s="1"/>
  <c r="A504" i="24" s="1"/>
  <c r="A505" i="24" s="1"/>
  <c r="A506" i="24" s="1"/>
  <c r="A507" i="24" s="1"/>
  <c r="A508" i="24" s="1"/>
  <c r="A509" i="24" s="1"/>
  <c r="A510" i="24" s="1"/>
  <c r="A511" i="24" s="1"/>
  <c r="A512" i="24" s="1"/>
  <c r="A513" i="24" s="1"/>
  <c r="A514" i="24" s="1"/>
  <c r="A515" i="24" s="1"/>
  <c r="A516" i="24" s="1"/>
  <c r="A517" i="24" s="1"/>
  <c r="A518" i="24" s="1"/>
  <c r="A519" i="24" s="1"/>
  <c r="A520" i="24" s="1"/>
  <c r="A521" i="24" s="1"/>
  <c r="A522" i="24" s="1"/>
  <c r="A523" i="24" s="1"/>
  <c r="A524" i="24" s="1"/>
  <c r="A525" i="24" s="1"/>
  <c r="A526" i="24" s="1"/>
  <c r="A527" i="24" s="1"/>
  <c r="A528" i="24" s="1"/>
  <c r="A529" i="24" s="1"/>
  <c r="A530" i="24" s="1"/>
  <c r="A531" i="24" s="1"/>
  <c r="A532" i="24" s="1"/>
  <c r="A533" i="24" s="1"/>
  <c r="A534" i="24" s="1"/>
  <c r="A535" i="24" s="1"/>
  <c r="A536" i="24" s="1"/>
  <c r="A537" i="24" s="1"/>
  <c r="A538" i="24" s="1"/>
  <c r="A539" i="24" s="1"/>
  <c r="A540" i="24" s="1"/>
  <c r="A541" i="24" s="1"/>
  <c r="A542" i="24" s="1"/>
  <c r="A543" i="24" s="1"/>
  <c r="A544" i="24" s="1"/>
  <c r="A545" i="24" s="1"/>
  <c r="A546" i="24" s="1"/>
  <c r="A547" i="24" s="1"/>
  <c r="A548" i="24" s="1"/>
  <c r="A549" i="24" s="1"/>
  <c r="A550" i="24" s="1"/>
  <c r="A551" i="24" s="1"/>
  <c r="A552" i="24" s="1"/>
  <c r="A553" i="24" s="1"/>
  <c r="A554" i="24" s="1"/>
  <c r="A555" i="24" s="1"/>
  <c r="A556" i="24" s="1"/>
  <c r="A557" i="24" s="1"/>
  <c r="A558" i="24" s="1"/>
  <c r="A559" i="24" s="1"/>
  <c r="A560" i="24" s="1"/>
  <c r="A561" i="24" s="1"/>
  <c r="A562" i="24" s="1"/>
  <c r="A563" i="24" s="1"/>
  <c r="A564" i="24" s="1"/>
  <c r="A565" i="24" s="1"/>
  <c r="A566" i="24" s="1"/>
  <c r="A567" i="24" s="1"/>
  <c r="A568" i="24" s="1"/>
  <c r="A569" i="24" s="1"/>
  <c r="A570" i="24" s="1"/>
  <c r="A571" i="24" s="1"/>
  <c r="A572" i="24" s="1"/>
  <c r="A573" i="24" s="1"/>
  <c r="A574" i="24" s="1"/>
  <c r="A575" i="24" s="1"/>
  <c r="A576" i="24" s="1"/>
  <c r="A577" i="24" s="1"/>
  <c r="A578" i="24" s="1"/>
  <c r="A579" i="24" s="1"/>
  <c r="A580" i="24" s="1"/>
  <c r="A581" i="24" s="1"/>
  <c r="A582" i="24" s="1"/>
  <c r="A583" i="24" s="1"/>
  <c r="A584" i="24" s="1"/>
  <c r="A585" i="24" s="1"/>
  <c r="A586" i="24" s="1"/>
  <c r="A587" i="24" s="1"/>
  <c r="A588" i="24" s="1"/>
  <c r="A589" i="24" s="1"/>
  <c r="A590" i="24" s="1"/>
  <c r="A591" i="24" s="1"/>
  <c r="A592" i="24" s="1"/>
  <c r="A593" i="24" s="1"/>
  <c r="A594" i="24" s="1"/>
  <c r="A595" i="24" s="1"/>
  <c r="A596" i="24" s="1"/>
  <c r="A597" i="24" s="1"/>
  <c r="A598" i="24" s="1"/>
  <c r="A599" i="24" s="1"/>
  <c r="A600" i="24" s="1"/>
  <c r="A601" i="24" s="1"/>
  <c r="A602" i="24" s="1"/>
  <c r="A603" i="24" s="1"/>
  <c r="A604" i="24" s="1"/>
  <c r="A605" i="24" s="1"/>
  <c r="A606" i="24" s="1"/>
  <c r="A607" i="24" s="1"/>
  <c r="A608" i="24" s="1"/>
  <c r="A609" i="24" s="1"/>
  <c r="A610" i="24" s="1"/>
  <c r="A611" i="24" s="1"/>
  <c r="A612" i="24" s="1"/>
  <c r="A613" i="24" s="1"/>
  <c r="A614" i="24" s="1"/>
  <c r="A615" i="24" s="1"/>
  <c r="A616" i="24" s="1"/>
  <c r="A617" i="24" s="1"/>
  <c r="A618" i="24" s="1"/>
  <c r="A619" i="24" s="1"/>
  <c r="A620" i="24" s="1"/>
  <c r="A621" i="24" s="1"/>
  <c r="A622" i="24" s="1"/>
  <c r="A623" i="24" s="1"/>
  <c r="A624" i="24" s="1"/>
  <c r="A625" i="24" s="1"/>
  <c r="A626" i="24" s="1"/>
  <c r="A627" i="24" s="1"/>
  <c r="A628" i="24" s="1"/>
  <c r="A629" i="24" s="1"/>
  <c r="A630" i="24" s="1"/>
  <c r="A631" i="24" s="1"/>
  <c r="A632" i="24" s="1"/>
  <c r="A633" i="24" s="1"/>
  <c r="A634" i="24" s="1"/>
  <c r="A635" i="24" s="1"/>
  <c r="A636" i="24" s="1"/>
  <c r="A637" i="24" s="1"/>
  <c r="A638" i="24" s="1"/>
  <c r="A639" i="24" s="1"/>
  <c r="A640" i="24" s="1"/>
  <c r="A641" i="24" s="1"/>
  <c r="A642" i="24" s="1"/>
  <c r="A643" i="24" s="1"/>
  <c r="A644" i="24" s="1"/>
  <c r="A645" i="24" s="1"/>
  <c r="A646" i="24" s="1"/>
  <c r="A647" i="24" s="1"/>
  <c r="A648" i="24" s="1"/>
  <c r="A649" i="24" s="1"/>
  <c r="A650" i="24" s="1"/>
  <c r="A651" i="24" s="1"/>
  <c r="A652" i="24" s="1"/>
  <c r="A653" i="24" s="1"/>
  <c r="A654" i="24" s="1"/>
  <c r="A655" i="24" s="1"/>
  <c r="A656" i="24" s="1"/>
  <c r="A657" i="24" s="1"/>
  <c r="A658" i="24" s="1"/>
  <c r="A659" i="24" s="1"/>
  <c r="A660" i="24" s="1"/>
  <c r="A661" i="24" s="1"/>
  <c r="A662" i="24" s="1"/>
  <c r="A663" i="24" s="1"/>
  <c r="A664" i="24" s="1"/>
  <c r="A665" i="24" s="1"/>
  <c r="A666" i="24" s="1"/>
  <c r="A667" i="24" s="1"/>
  <c r="A668" i="24" s="1"/>
  <c r="A669" i="24" s="1"/>
  <c r="A670" i="24" s="1"/>
  <c r="A671" i="24" s="1"/>
  <c r="A672" i="24" s="1"/>
  <c r="A673" i="24" s="1"/>
  <c r="A674" i="24" s="1"/>
  <c r="A675" i="24" s="1"/>
  <c r="A676" i="24" s="1"/>
  <c r="A677" i="24" s="1"/>
  <c r="A678" i="24" s="1"/>
  <c r="A679" i="24" s="1"/>
  <c r="A680" i="24" s="1"/>
  <c r="A681" i="24" s="1"/>
  <c r="A682" i="24" s="1"/>
  <c r="A683" i="24" s="1"/>
  <c r="A684" i="24" s="1"/>
  <c r="A685" i="24" s="1"/>
  <c r="A686" i="24" s="1"/>
  <c r="A687" i="24" s="1"/>
  <c r="A688" i="24" s="1"/>
  <c r="A689" i="24" s="1"/>
  <c r="A690" i="24" s="1"/>
  <c r="A691" i="24" s="1"/>
  <c r="A692" i="24" s="1"/>
  <c r="A693" i="24" s="1"/>
  <c r="A694" i="24" s="1"/>
  <c r="A695" i="24" s="1"/>
  <c r="A696" i="24" s="1"/>
  <c r="A697" i="24" s="1"/>
  <c r="A698" i="24" s="1"/>
  <c r="A699" i="24" s="1"/>
  <c r="A700" i="24" s="1"/>
  <c r="A701" i="24" s="1"/>
  <c r="A702" i="24" s="1"/>
  <c r="A703" i="24" s="1"/>
  <c r="A704" i="24" s="1"/>
  <c r="A705" i="24" s="1"/>
  <c r="A706" i="24" s="1"/>
  <c r="A707" i="24" s="1"/>
  <c r="A708" i="24" s="1"/>
  <c r="A709" i="24" s="1"/>
  <c r="A710" i="24" s="1"/>
  <c r="A711" i="24" s="1"/>
  <c r="A712" i="24" s="1"/>
  <c r="A713" i="24" s="1"/>
  <c r="A714" i="24" s="1"/>
  <c r="A715" i="24" s="1"/>
  <c r="A716" i="24" s="1"/>
  <c r="A717" i="24" s="1"/>
  <c r="A718" i="24" s="1"/>
  <c r="A719" i="24" s="1"/>
  <c r="A720" i="24" s="1"/>
  <c r="A721" i="24" s="1"/>
  <c r="A722" i="24" s="1"/>
  <c r="A723" i="24" s="1"/>
  <c r="A724" i="24" s="1"/>
  <c r="A725" i="24" s="1"/>
  <c r="A726" i="24" s="1"/>
  <c r="A727" i="24" s="1"/>
  <c r="A728" i="24" s="1"/>
  <c r="A729" i="24" s="1"/>
  <c r="A730" i="24" s="1"/>
  <c r="A731" i="24" s="1"/>
  <c r="A732" i="24" s="1"/>
  <c r="A733" i="24" s="1"/>
  <c r="A734" i="24" s="1"/>
  <c r="A735" i="24" s="1"/>
  <c r="A736" i="24" s="1"/>
  <c r="A737" i="24" s="1"/>
  <c r="A738" i="24" s="1"/>
  <c r="A739" i="24" s="1"/>
  <c r="A740" i="24" s="1"/>
  <c r="A741" i="24" s="1"/>
  <c r="A742" i="24" s="1"/>
  <c r="A743" i="24" s="1"/>
  <c r="A744" i="24" s="1"/>
  <c r="A745" i="24" s="1"/>
  <c r="A746" i="24" s="1"/>
  <c r="A747" i="24" s="1"/>
  <c r="A748" i="24" s="1"/>
  <c r="A749" i="24" s="1"/>
  <c r="A750" i="24" s="1"/>
  <c r="A751" i="24" s="1"/>
  <c r="A752" i="24" s="1"/>
  <c r="A753" i="24" s="1"/>
  <c r="A754" i="24" s="1"/>
  <c r="A755" i="24" s="1"/>
  <c r="A756" i="24" s="1"/>
  <c r="A757" i="24" s="1"/>
  <c r="A758" i="24" s="1"/>
  <c r="A759" i="24" s="1"/>
  <c r="A760" i="24" s="1"/>
  <c r="A761" i="24" s="1"/>
  <c r="A762" i="24" s="1"/>
  <c r="A763" i="24" s="1"/>
  <c r="A764" i="24" s="1"/>
  <c r="A765" i="24" s="1"/>
  <c r="A766" i="24" s="1"/>
  <c r="A767" i="24" s="1"/>
  <c r="A768" i="24" s="1"/>
  <c r="A769" i="24" s="1"/>
  <c r="A770" i="24" s="1"/>
  <c r="A771" i="24" s="1"/>
  <c r="A772" i="24" s="1"/>
  <c r="A773" i="24" s="1"/>
  <c r="A774" i="24" s="1"/>
  <c r="A775" i="24" s="1"/>
  <c r="A776" i="24" s="1"/>
  <c r="A777" i="24" s="1"/>
  <c r="A778" i="24" s="1"/>
  <c r="A779" i="24" s="1"/>
  <c r="A780" i="24" s="1"/>
  <c r="A781" i="24" s="1"/>
  <c r="A782" i="24" s="1"/>
  <c r="A783" i="24" s="1"/>
  <c r="A784" i="24" s="1"/>
  <c r="A785" i="24" s="1"/>
  <c r="A786" i="24" s="1"/>
  <c r="A787" i="24" s="1"/>
  <c r="A788" i="24" s="1"/>
  <c r="A789" i="24" s="1"/>
  <c r="A790" i="24" s="1"/>
  <c r="A791" i="24" s="1"/>
  <c r="A792" i="24" s="1"/>
  <c r="A793" i="24" s="1"/>
  <c r="A794" i="24" s="1"/>
  <c r="A795" i="24" s="1"/>
  <c r="A796" i="24" s="1"/>
  <c r="A797" i="24" s="1"/>
  <c r="A798" i="24" s="1"/>
  <c r="A799" i="24" s="1"/>
  <c r="A800" i="24" s="1"/>
  <c r="A801" i="24" s="1"/>
  <c r="A802" i="24" s="1"/>
  <c r="A803" i="24" s="1"/>
  <c r="A804" i="24" s="1"/>
  <c r="A805" i="24" s="1"/>
  <c r="A806" i="24" s="1"/>
  <c r="A807" i="24" s="1"/>
  <c r="A808" i="24" s="1"/>
  <c r="A809" i="24" s="1"/>
  <c r="A810" i="24" s="1"/>
  <c r="A811" i="24" s="1"/>
  <c r="A812" i="24" s="1"/>
  <c r="A813" i="24" s="1"/>
  <c r="A814" i="24" s="1"/>
  <c r="A815" i="24" s="1"/>
  <c r="A816" i="24" s="1"/>
  <c r="A817" i="24" s="1"/>
  <c r="A818" i="24" s="1"/>
  <c r="A819" i="24" s="1"/>
  <c r="A820" i="24" s="1"/>
  <c r="A821" i="24" s="1"/>
  <c r="A822" i="24" s="1"/>
  <c r="A823" i="24" s="1"/>
  <c r="A824" i="24" s="1"/>
  <c r="A825" i="24" s="1"/>
  <c r="A826" i="24" s="1"/>
  <c r="A827" i="24" s="1"/>
  <c r="A828" i="24" s="1"/>
  <c r="A829" i="24" s="1"/>
  <c r="A830" i="24" s="1"/>
  <c r="A831" i="24" s="1"/>
  <c r="A832" i="24" s="1"/>
  <c r="A833" i="24" s="1"/>
  <c r="A834" i="24" s="1"/>
  <c r="A835" i="24" s="1"/>
  <c r="A836" i="24" s="1"/>
  <c r="A837" i="24" s="1"/>
  <c r="A838" i="24" s="1"/>
  <c r="A839" i="24" s="1"/>
  <c r="A840" i="24" s="1"/>
  <c r="A841" i="24" s="1"/>
  <c r="A842" i="24" s="1"/>
  <c r="A843" i="24" s="1"/>
  <c r="A844" i="24" s="1"/>
  <c r="A845" i="24" s="1"/>
  <c r="A846" i="24" s="1"/>
  <c r="A847" i="24" s="1"/>
  <c r="A848" i="24" s="1"/>
  <c r="A849" i="24" s="1"/>
  <c r="A850" i="24" s="1"/>
  <c r="A851" i="24" s="1"/>
  <c r="A852" i="24" s="1"/>
  <c r="A853" i="24" s="1"/>
  <c r="A854" i="24" s="1"/>
  <c r="A855" i="24" s="1"/>
  <c r="A856" i="24" s="1"/>
  <c r="A857" i="24" s="1"/>
  <c r="A858" i="24" s="1"/>
  <c r="A859" i="24" s="1"/>
  <c r="A860" i="24" s="1"/>
  <c r="A861" i="24" s="1"/>
  <c r="A862" i="24" s="1"/>
  <c r="A863" i="24" s="1"/>
  <c r="A864" i="24" s="1"/>
  <c r="A865" i="24" s="1"/>
  <c r="A866" i="24" s="1"/>
  <c r="A867" i="24" s="1"/>
  <c r="A868" i="24" s="1"/>
  <c r="A869" i="24" s="1"/>
  <c r="A870" i="24" s="1"/>
  <c r="A871" i="24" s="1"/>
  <c r="A872" i="24" s="1"/>
  <c r="A873" i="24" s="1"/>
  <c r="A874" i="24" s="1"/>
  <c r="A875" i="24" s="1"/>
  <c r="A876" i="24" s="1"/>
  <c r="A877" i="24" s="1"/>
  <c r="A878" i="24" s="1"/>
  <c r="A879" i="24" s="1"/>
  <c r="A880" i="24" s="1"/>
  <c r="A881" i="24" s="1"/>
  <c r="A882" i="24" s="1"/>
  <c r="A883" i="24" s="1"/>
  <c r="A884" i="24" s="1"/>
  <c r="A885" i="24" s="1"/>
  <c r="A886" i="24" s="1"/>
  <c r="A887" i="24" s="1"/>
  <c r="A888" i="24" s="1"/>
  <c r="A889" i="24" s="1"/>
  <c r="A890" i="24" s="1"/>
  <c r="A891" i="24" s="1"/>
  <c r="A892" i="24" s="1"/>
  <c r="A893" i="24" s="1"/>
  <c r="A894" i="24" s="1"/>
  <c r="A895" i="24" s="1"/>
  <c r="A896" i="24" s="1"/>
  <c r="A897" i="24" s="1"/>
  <c r="A898" i="24" s="1"/>
  <c r="A899" i="24" s="1"/>
  <c r="A900" i="24" s="1"/>
  <c r="A901" i="24" s="1"/>
  <c r="A902" i="24" s="1"/>
  <c r="A903" i="24" s="1"/>
  <c r="A904" i="24" s="1"/>
  <c r="A905" i="24" s="1"/>
  <c r="A906" i="24" s="1"/>
  <c r="A907" i="24" s="1"/>
  <c r="A908" i="24" s="1"/>
  <c r="A909" i="24" s="1"/>
  <c r="A910" i="24" s="1"/>
  <c r="A911" i="24" s="1"/>
  <c r="A912" i="24" s="1"/>
  <c r="A913" i="24" s="1"/>
  <c r="A914" i="24" s="1"/>
  <c r="A915" i="24" s="1"/>
  <c r="A916" i="24" s="1"/>
  <c r="A917" i="24" s="1"/>
  <c r="A918" i="24" s="1"/>
  <c r="A919" i="24" s="1"/>
  <c r="A920" i="24" s="1"/>
  <c r="A921" i="24" s="1"/>
  <c r="A922" i="24" s="1"/>
  <c r="A923" i="24" s="1"/>
  <c r="A924" i="24" s="1"/>
  <c r="A925" i="24" s="1"/>
  <c r="A926" i="24" s="1"/>
  <c r="A927" i="24" s="1"/>
  <c r="A928" i="24" s="1"/>
  <c r="A929" i="24" s="1"/>
  <c r="A930" i="24" s="1"/>
  <c r="A931" i="24" s="1"/>
  <c r="A932" i="24" s="1"/>
  <c r="A933" i="24" s="1"/>
  <c r="A934" i="24" s="1"/>
  <c r="A935" i="24" s="1"/>
  <c r="A936" i="24" s="1"/>
  <c r="A937" i="24" s="1"/>
  <c r="A938" i="24" s="1"/>
  <c r="A939" i="24" s="1"/>
  <c r="A940" i="24" s="1"/>
  <c r="A941" i="24" s="1"/>
  <c r="A942" i="24" s="1"/>
  <c r="A943" i="24" s="1"/>
  <c r="A944" i="24" s="1"/>
  <c r="A945" i="24" s="1"/>
  <c r="A946" i="24" s="1"/>
  <c r="A947" i="24" s="1"/>
  <c r="A948" i="24" s="1"/>
  <c r="A949" i="24" s="1"/>
  <c r="A950" i="24" s="1"/>
  <c r="A951" i="24" s="1"/>
  <c r="A952" i="24" s="1"/>
  <c r="A953" i="24" s="1"/>
  <c r="A954" i="24" s="1"/>
  <c r="A955" i="24" s="1"/>
  <c r="A956" i="24" s="1"/>
  <c r="A957" i="24" s="1"/>
  <c r="A958" i="24" s="1"/>
  <c r="A959" i="24" s="1"/>
  <c r="A960" i="24" s="1"/>
  <c r="A961" i="24" s="1"/>
  <c r="A962" i="24" s="1"/>
  <c r="A963" i="24" s="1"/>
  <c r="A964" i="24" s="1"/>
  <c r="A965" i="24" s="1"/>
  <c r="A966" i="24" s="1"/>
  <c r="A967" i="24" s="1"/>
  <c r="A968" i="24" s="1"/>
  <c r="A969" i="24" s="1"/>
  <c r="A970" i="24" s="1"/>
  <c r="A971" i="24" s="1"/>
  <c r="A972" i="24" s="1"/>
  <c r="A973" i="24" s="1"/>
  <c r="A974" i="24" s="1"/>
  <c r="A975" i="24" s="1"/>
  <c r="A976" i="24" s="1"/>
  <c r="A977" i="24" s="1"/>
  <c r="A978" i="24" s="1"/>
  <c r="A979" i="24" s="1"/>
  <c r="A980" i="24" s="1"/>
  <c r="A981" i="24" s="1"/>
  <c r="A982" i="24" s="1"/>
  <c r="A983" i="24" s="1"/>
  <c r="A984" i="24" s="1"/>
  <c r="A985" i="24" s="1"/>
  <c r="A986" i="24" s="1"/>
  <c r="A987" i="24" s="1"/>
  <c r="A988" i="24" s="1"/>
  <c r="A989" i="24" s="1"/>
  <c r="A990" i="24" s="1"/>
  <c r="A991" i="24" s="1"/>
  <c r="A992" i="24" s="1"/>
  <c r="A993" i="24" s="1"/>
  <c r="A994" i="24" s="1"/>
  <c r="A995" i="24" s="1"/>
  <c r="A996" i="24" s="1"/>
  <c r="A997" i="24" s="1"/>
  <c r="A998" i="24" s="1"/>
  <c r="A999" i="24" s="1"/>
  <c r="A1000" i="24" s="1"/>
  <c r="A1001" i="24" s="1"/>
  <c r="A1002" i="24" s="1"/>
  <c r="A1003" i="24" s="1"/>
  <c r="A1004" i="24" s="1"/>
  <c r="A1005" i="24" s="1"/>
  <c r="A1006" i="24" s="1"/>
  <c r="A1007" i="24" s="1"/>
  <c r="A1008" i="24" s="1"/>
  <c r="A1009" i="24" s="1"/>
  <c r="A1010" i="24" s="1"/>
  <c r="A1011" i="24" s="1"/>
  <c r="A1012" i="24" s="1"/>
  <c r="A1013" i="24" s="1"/>
  <c r="A1014" i="24" s="1"/>
  <c r="A1015" i="24" s="1"/>
  <c r="A1016" i="24" s="1"/>
  <c r="A1017" i="24" s="1"/>
  <c r="A1018" i="24" s="1"/>
  <c r="A1019" i="24" s="1"/>
  <c r="A1020" i="24" s="1"/>
  <c r="A1021" i="24" s="1"/>
  <c r="A1022" i="24" s="1"/>
  <c r="A1023" i="24" s="1"/>
  <c r="A1024" i="24" s="1"/>
  <c r="A1025" i="24" s="1"/>
  <c r="A1026" i="24" s="1"/>
  <c r="A1027" i="24" s="1"/>
  <c r="A1028" i="24" s="1"/>
  <c r="A1029" i="24" s="1"/>
  <c r="A1030" i="24" s="1"/>
  <c r="A1031" i="24" s="1"/>
  <c r="A1032" i="24" s="1"/>
  <c r="A1033" i="24" s="1"/>
  <c r="A1034" i="24" s="1"/>
  <c r="A1035" i="24" s="1"/>
  <c r="A1036" i="24" s="1"/>
  <c r="A1037" i="24" s="1"/>
  <c r="A1038" i="24" s="1"/>
  <c r="A1039" i="24" s="1"/>
  <c r="A1040" i="24" s="1"/>
  <c r="A1041" i="24" s="1"/>
  <c r="A1042" i="24" s="1"/>
  <c r="A1043" i="24" s="1"/>
  <c r="A1044" i="24" s="1"/>
  <c r="A1045" i="24" s="1"/>
  <c r="A1046" i="24" s="1"/>
  <c r="A1047" i="24" s="1"/>
  <c r="A1048" i="24" s="1"/>
  <c r="A1049" i="24" s="1"/>
  <c r="A1050" i="24" s="1"/>
  <c r="A1051" i="24" s="1"/>
  <c r="A1052" i="24" s="1"/>
  <c r="A1053" i="24" s="1"/>
  <c r="A1054" i="24" s="1"/>
  <c r="A1055" i="24" s="1"/>
  <c r="A1056" i="24" s="1"/>
  <c r="A1057" i="24" s="1"/>
  <c r="A1058" i="24" s="1"/>
  <c r="A1059" i="24" s="1"/>
  <c r="A1060" i="24" s="1"/>
  <c r="A1061" i="24" s="1"/>
  <c r="A1062" i="24" s="1"/>
  <c r="A1063" i="24" s="1"/>
  <c r="A1064" i="24" s="1"/>
  <c r="A1065" i="24" s="1"/>
  <c r="A1066" i="24" s="1"/>
  <c r="A1067" i="24" s="1"/>
  <c r="A1068" i="24" s="1"/>
  <c r="A1069" i="24" s="1"/>
  <c r="A1070" i="24" s="1"/>
  <c r="A1071" i="24" s="1"/>
  <c r="A1072" i="24" s="1"/>
  <c r="A1073" i="24" s="1"/>
  <c r="A1074" i="24" s="1"/>
  <c r="A1075" i="24" s="1"/>
  <c r="A1076" i="24" s="1"/>
  <c r="A1077" i="24" s="1"/>
  <c r="A1078" i="24" s="1"/>
  <c r="A1079" i="24" s="1"/>
  <c r="A1080" i="24" s="1"/>
  <c r="A1081" i="24" s="1"/>
  <c r="A1082" i="24" s="1"/>
  <c r="A1083" i="24" s="1"/>
  <c r="A1084" i="24" s="1"/>
  <c r="A1085" i="24" s="1"/>
  <c r="A1086" i="24" s="1"/>
  <c r="A1087" i="24" s="1"/>
  <c r="A1088" i="24" s="1"/>
  <c r="A1089" i="24" s="1"/>
  <c r="A1090" i="24" s="1"/>
  <c r="A1091" i="24" s="1"/>
  <c r="A1092" i="24" s="1"/>
  <c r="A1093" i="24" s="1"/>
  <c r="A1094" i="24" s="1"/>
  <c r="A1095" i="24" s="1"/>
  <c r="A1096" i="24" s="1"/>
  <c r="A1097" i="24" s="1"/>
  <c r="A1098" i="24" s="1"/>
  <c r="A1099" i="24" s="1"/>
  <c r="A1100" i="24" s="1"/>
  <c r="A1101" i="24" s="1"/>
  <c r="A1102" i="24" s="1"/>
  <c r="A1103" i="24" s="1"/>
  <c r="A1104" i="24" s="1"/>
  <c r="A1105" i="24" s="1"/>
  <c r="A1106" i="24" s="1"/>
  <c r="A1107" i="24" s="1"/>
  <c r="A1108" i="24" s="1"/>
  <c r="A1109" i="24" s="1"/>
  <c r="A1110" i="24" s="1"/>
  <c r="A1111" i="24" s="1"/>
  <c r="A1112" i="24" s="1"/>
  <c r="A1113" i="24" s="1"/>
  <c r="A1114" i="24" s="1"/>
  <c r="A1115" i="24" s="1"/>
  <c r="A1116" i="24" s="1"/>
  <c r="A1117" i="24" s="1"/>
  <c r="A1118" i="24" s="1"/>
  <c r="A1119" i="24" s="1"/>
  <c r="A1120" i="24" s="1"/>
  <c r="A1121" i="24" s="1"/>
  <c r="A1122" i="24" s="1"/>
  <c r="A1123" i="24" s="1"/>
  <c r="A1124" i="24" s="1"/>
  <c r="A1125" i="24" s="1"/>
  <c r="A1126" i="24" s="1"/>
  <c r="A1127" i="24" s="1"/>
  <c r="A1128" i="24" s="1"/>
  <c r="A1129" i="24" s="1"/>
  <c r="A1130" i="24" s="1"/>
  <c r="A1131" i="24" s="1"/>
  <c r="A1132" i="24" s="1"/>
  <c r="A1133" i="24" s="1"/>
  <c r="A1134" i="24" s="1"/>
  <c r="A1135" i="24" s="1"/>
  <c r="A1136" i="24" s="1"/>
  <c r="A1137" i="24" s="1"/>
  <c r="A1138" i="24" s="1"/>
  <c r="A1139" i="24" s="1"/>
  <c r="A1140" i="24" s="1"/>
  <c r="A1141" i="24" s="1"/>
  <c r="A1142" i="24" s="1"/>
  <c r="A1143" i="24" s="1"/>
  <c r="A1144" i="24" s="1"/>
  <c r="A1145" i="24" s="1"/>
  <c r="A1146" i="24" s="1"/>
  <c r="A1147" i="24" s="1"/>
  <c r="A1148" i="24" s="1"/>
  <c r="A1149" i="24" s="1"/>
  <c r="A1150" i="24" s="1"/>
  <c r="A1151" i="24" s="1"/>
  <c r="A1152" i="24" s="1"/>
  <c r="A1153" i="24" s="1"/>
  <c r="A1154" i="24" s="1"/>
  <c r="A1155" i="24" s="1"/>
  <c r="A1156" i="24" s="1"/>
  <c r="A1157" i="24" s="1"/>
  <c r="A1158" i="24" s="1"/>
  <c r="A1159" i="24" s="1"/>
  <c r="A1160" i="24" s="1"/>
  <c r="A1161" i="24" s="1"/>
  <c r="A1162" i="24" s="1"/>
  <c r="A1163" i="24" s="1"/>
  <c r="A1164" i="24" s="1"/>
  <c r="A1165" i="24" s="1"/>
  <c r="A1166" i="24" s="1"/>
  <c r="A1167" i="24" s="1"/>
  <c r="A1168" i="24" s="1"/>
  <c r="A1169" i="24" s="1"/>
  <c r="A1170" i="24" s="1"/>
  <c r="A1171" i="24" s="1"/>
  <c r="A1172" i="24" s="1"/>
  <c r="A1173" i="24" s="1"/>
  <c r="A1174" i="24" s="1"/>
  <c r="A1175" i="24" s="1"/>
  <c r="A1176" i="24" s="1"/>
  <c r="A1177" i="24" s="1"/>
  <c r="A1178" i="24" s="1"/>
  <c r="A1179" i="24" s="1"/>
  <c r="A1180" i="24" s="1"/>
  <c r="A1181" i="24" s="1"/>
  <c r="A1182" i="24" s="1"/>
  <c r="A1183" i="24" s="1"/>
  <c r="A1184" i="24" s="1"/>
  <c r="A1185" i="24" s="1"/>
  <c r="A1186" i="24" s="1"/>
  <c r="A1187" i="24" s="1"/>
  <c r="A1188" i="24" s="1"/>
  <c r="A1189" i="24" s="1"/>
  <c r="A1190" i="24" s="1"/>
  <c r="A1191" i="24" s="1"/>
  <c r="A1192" i="24" s="1"/>
  <c r="A1193" i="24" s="1"/>
  <c r="A1194" i="24" s="1"/>
  <c r="A1195" i="24" s="1"/>
  <c r="A1196" i="24" s="1"/>
  <c r="A1197" i="24" s="1"/>
  <c r="A1198" i="24" s="1"/>
  <c r="A1199" i="24" s="1"/>
  <c r="A1200" i="24" s="1"/>
  <c r="A1201" i="24" s="1"/>
  <c r="A1202" i="24" s="1"/>
  <c r="A1203" i="24" s="1"/>
  <c r="A1204" i="24" s="1"/>
  <c r="A1205" i="24" s="1"/>
  <c r="A1206" i="24" s="1"/>
  <c r="A1207" i="24" s="1"/>
  <c r="A1208" i="24" s="1"/>
  <c r="A1209" i="24" s="1"/>
  <c r="A1210" i="24" s="1"/>
  <c r="A1211" i="24" s="1"/>
  <c r="A1212" i="24" s="1"/>
  <c r="A1213" i="24" s="1"/>
  <c r="A1214" i="24" s="1"/>
  <c r="A1215" i="24" s="1"/>
  <c r="A1216" i="24" s="1"/>
  <c r="A1217" i="24" s="1"/>
  <c r="A1218" i="24" s="1"/>
  <c r="A1219" i="24" s="1"/>
  <c r="A1220" i="24" s="1"/>
  <c r="A1221" i="24" s="1"/>
  <c r="A1222" i="24" s="1"/>
  <c r="A1223" i="24" s="1"/>
  <c r="A1224" i="24" s="1"/>
  <c r="A1225" i="24" s="1"/>
  <c r="A1226" i="24" s="1"/>
  <c r="A1227" i="24" s="1"/>
  <c r="A1228" i="24" s="1"/>
  <c r="A1229" i="24" s="1"/>
  <c r="A1230" i="24" s="1"/>
  <c r="A1231" i="24" s="1"/>
  <c r="A1232" i="24" s="1"/>
  <c r="A1233" i="24" s="1"/>
  <c r="A1234" i="24" s="1"/>
  <c r="A1235" i="24" s="1"/>
  <c r="A1236" i="24" s="1"/>
  <c r="A1237" i="24" s="1"/>
  <c r="A1238" i="24" s="1"/>
  <c r="A1239" i="24" s="1"/>
  <c r="A1240" i="24" s="1"/>
  <c r="A1241" i="24" s="1"/>
  <c r="A1242" i="24" s="1"/>
  <c r="A1243" i="24" s="1"/>
  <c r="A1244" i="24" s="1"/>
  <c r="A1245" i="24" s="1"/>
  <c r="A1246" i="24" s="1"/>
  <c r="A1247" i="24" s="1"/>
  <c r="A1248" i="24" s="1"/>
  <c r="A1249" i="24" s="1"/>
  <c r="A1250" i="24" s="1"/>
  <c r="A1251" i="24" s="1"/>
  <c r="A1252" i="24" s="1"/>
  <c r="A1253" i="24" s="1"/>
  <c r="A1254" i="24" s="1"/>
  <c r="A1255" i="24" s="1"/>
  <c r="A1256" i="24" s="1"/>
  <c r="A1257" i="24" s="1"/>
  <c r="A1258" i="24" s="1"/>
  <c r="A1259" i="24" s="1"/>
  <c r="A1260" i="24" s="1"/>
  <c r="A1261" i="24" s="1"/>
  <c r="A1262" i="24" s="1"/>
  <c r="A1263" i="24" s="1"/>
  <c r="A1264" i="24" s="1"/>
  <c r="A1265" i="24" s="1"/>
  <c r="A1266" i="24" s="1"/>
  <c r="A1267" i="24" s="1"/>
  <c r="A1268" i="24" s="1"/>
  <c r="A1269" i="24" s="1"/>
  <c r="A1270" i="24" s="1"/>
  <c r="A1271" i="24" s="1"/>
  <c r="A1272" i="24" s="1"/>
  <c r="A1273" i="24" s="1"/>
  <c r="A1274" i="24" s="1"/>
  <c r="A1275" i="24" s="1"/>
  <c r="A1276" i="24" s="1"/>
  <c r="A1277" i="24" s="1"/>
  <c r="A1278" i="24" s="1"/>
  <c r="A1279" i="24" s="1"/>
  <c r="A1280" i="24" s="1"/>
  <c r="A1281" i="24" s="1"/>
  <c r="A1282" i="24" s="1"/>
  <c r="A1283" i="24" s="1"/>
  <c r="A1284" i="24" s="1"/>
  <c r="A1285" i="24" s="1"/>
  <c r="A1286" i="24" s="1"/>
  <c r="A1287" i="24" s="1"/>
  <c r="A1288" i="24" s="1"/>
  <c r="A1289" i="24" s="1"/>
  <c r="A1290" i="24" s="1"/>
  <c r="A1291" i="24" s="1"/>
  <c r="A1292" i="24" s="1"/>
  <c r="A1293" i="24" s="1"/>
  <c r="A1294" i="24" s="1"/>
  <c r="A1295" i="24" s="1"/>
  <c r="A1296" i="24" s="1"/>
  <c r="A1297" i="24" s="1"/>
  <c r="A1298" i="24" s="1"/>
  <c r="A1299" i="24" s="1"/>
  <c r="A1300" i="24" s="1"/>
  <c r="A1301" i="24" s="1"/>
  <c r="A1302" i="24" s="1"/>
  <c r="A1303" i="24" s="1"/>
  <c r="A1304" i="24" s="1"/>
  <c r="A1305" i="24" s="1"/>
  <c r="A1306" i="24" s="1"/>
  <c r="A1307" i="24" s="1"/>
  <c r="A1308" i="24" s="1"/>
  <c r="A1309" i="24" s="1"/>
  <c r="A1310" i="24" s="1"/>
  <c r="A1311" i="24" s="1"/>
  <c r="A1312" i="24" s="1"/>
  <c r="A1313" i="24" s="1"/>
  <c r="A1314" i="24" s="1"/>
  <c r="A1315" i="24" s="1"/>
  <c r="A1316" i="24" s="1"/>
  <c r="A1317" i="24" s="1"/>
  <c r="A1318" i="24" s="1"/>
  <c r="A1319" i="24" s="1"/>
  <c r="A1320" i="24" s="1"/>
  <c r="A1321" i="24" s="1"/>
  <c r="A1322" i="24" s="1"/>
  <c r="A1323" i="24" s="1"/>
  <c r="A1324" i="24" s="1"/>
  <c r="A1325" i="24" s="1"/>
  <c r="A1326" i="24" s="1"/>
  <c r="A1327" i="24" s="1"/>
  <c r="A1328" i="24" s="1"/>
  <c r="A1329" i="24" s="1"/>
  <c r="A1330" i="24" s="1"/>
  <c r="A1331" i="24" s="1"/>
  <c r="A1332" i="24" s="1"/>
  <c r="A1333" i="24" s="1"/>
  <c r="A1334" i="24" s="1"/>
  <c r="A1335" i="24" s="1"/>
  <c r="A1336" i="24" s="1"/>
  <c r="A1337" i="24" s="1"/>
  <c r="A1338" i="24" s="1"/>
  <c r="A1339" i="24" s="1"/>
  <c r="A1340" i="24" s="1"/>
  <c r="A1341" i="24" s="1"/>
  <c r="A1342" i="24" s="1"/>
  <c r="A1343" i="24" s="1"/>
  <c r="A1344" i="24" s="1"/>
  <c r="A1345" i="24" s="1"/>
  <c r="A1346" i="24" s="1"/>
  <c r="A1347" i="24" s="1"/>
  <c r="A1348" i="24" s="1"/>
  <c r="A1349" i="24" s="1"/>
  <c r="A1350" i="24" s="1"/>
  <c r="A1351" i="24" s="1"/>
  <c r="A1352" i="24" s="1"/>
  <c r="A1353" i="24" s="1"/>
  <c r="A1354" i="24" s="1"/>
  <c r="A1355" i="24" s="1"/>
  <c r="A1356" i="24" s="1"/>
  <c r="A1357" i="24" s="1"/>
  <c r="A1358" i="24" s="1"/>
  <c r="A1359" i="24" s="1"/>
  <c r="A1360" i="24" s="1"/>
  <c r="A1361" i="24" s="1"/>
  <c r="A1362" i="24" s="1"/>
  <c r="A1363" i="24" s="1"/>
  <c r="A1364" i="24" s="1"/>
  <c r="A1365" i="24" s="1"/>
  <c r="A1366" i="24" s="1"/>
  <c r="A1367" i="24" s="1"/>
  <c r="A1368" i="24" s="1"/>
  <c r="A1369" i="24" s="1"/>
  <c r="A1370" i="24" s="1"/>
  <c r="A1371" i="24" s="1"/>
  <c r="A1372" i="24" s="1"/>
  <c r="A1373" i="24" s="1"/>
  <c r="A1374" i="24" s="1"/>
  <c r="A1375" i="24" s="1"/>
  <c r="A1376" i="24" s="1"/>
  <c r="A1377" i="24" s="1"/>
  <c r="A1378" i="24" s="1"/>
  <c r="A1379" i="24" s="1"/>
  <c r="A1380" i="24" s="1"/>
  <c r="A1381" i="24" s="1"/>
  <c r="A1382" i="24" s="1"/>
  <c r="A1383" i="24" s="1"/>
  <c r="A1384" i="24" s="1"/>
  <c r="A1385" i="24" s="1"/>
  <c r="A1386" i="24" s="1"/>
  <c r="A1387" i="24" s="1"/>
  <c r="A1388" i="24" s="1"/>
  <c r="A1389" i="24" s="1"/>
  <c r="A1390" i="24" s="1"/>
  <c r="A1391" i="24" s="1"/>
  <c r="A1392" i="24" s="1"/>
  <c r="A1393" i="24" s="1"/>
  <c r="A1394" i="24" s="1"/>
  <c r="A1395" i="24" s="1"/>
  <c r="A1396" i="24" s="1"/>
  <c r="A1397" i="24" s="1"/>
  <c r="A1398" i="24" s="1"/>
  <c r="A1399" i="24" s="1"/>
  <c r="A1400" i="24" s="1"/>
  <c r="A1401" i="24" s="1"/>
  <c r="A1402" i="24" s="1"/>
  <c r="A1403" i="24" s="1"/>
  <c r="A1404" i="24" s="1"/>
  <c r="A1405" i="24" s="1"/>
  <c r="A1406" i="24" s="1"/>
  <c r="A1407" i="24" s="1"/>
  <c r="A1408" i="24" s="1"/>
  <c r="A1409" i="24" s="1"/>
  <c r="A1410" i="24" s="1"/>
  <c r="A1411" i="24" s="1"/>
  <c r="A1412" i="24" s="1"/>
  <c r="A1413" i="24" s="1"/>
  <c r="A1414" i="24" s="1"/>
  <c r="A1415" i="24" s="1"/>
  <c r="A1416" i="24" s="1"/>
  <c r="A1417" i="24" s="1"/>
  <c r="A1418" i="24" s="1"/>
  <c r="A1419" i="24" s="1"/>
  <c r="A1420" i="24" s="1"/>
  <c r="A1421" i="24" s="1"/>
  <c r="A1422" i="24" s="1"/>
  <c r="A1423" i="24" s="1"/>
  <c r="A1424" i="24" s="1"/>
  <c r="A1425" i="24" s="1"/>
  <c r="A1426" i="24" s="1"/>
  <c r="A1427" i="24" s="1"/>
  <c r="A1428" i="24" s="1"/>
  <c r="A1429" i="24" s="1"/>
  <c r="A1430" i="24" s="1"/>
  <c r="A1431" i="24" s="1"/>
  <c r="A1432" i="24" s="1"/>
  <c r="A1433" i="24" s="1"/>
  <c r="A1434" i="24" s="1"/>
  <c r="A1435" i="24" s="1"/>
  <c r="A1436" i="24" s="1"/>
  <c r="A1437" i="24" s="1"/>
  <c r="A1438" i="24" s="1"/>
  <c r="A1439" i="24" s="1"/>
  <c r="A1440" i="24" s="1"/>
  <c r="A1441" i="24" s="1"/>
  <c r="A1442" i="24" s="1"/>
  <c r="A1443" i="24" s="1"/>
  <c r="A1444" i="24" s="1"/>
  <c r="A1445" i="24" s="1"/>
  <c r="A1446" i="24" s="1"/>
  <c r="A1447" i="24" s="1"/>
  <c r="A1448" i="24" s="1"/>
  <c r="A1449" i="24" s="1"/>
  <c r="A1450" i="24" s="1"/>
  <c r="A1451" i="24" s="1"/>
  <c r="A1452" i="24" s="1"/>
  <c r="A1453" i="24" s="1"/>
  <c r="A1454" i="24" s="1"/>
  <c r="A1455" i="24" s="1"/>
  <c r="A1456" i="24" s="1"/>
  <c r="A1457" i="24" s="1"/>
  <c r="A1458" i="24" s="1"/>
  <c r="A1459" i="24" s="1"/>
  <c r="A1460" i="24" s="1"/>
  <c r="A1461" i="24" s="1"/>
  <c r="A1462" i="24" s="1"/>
  <c r="A1463" i="24" s="1"/>
  <c r="A1464" i="24" s="1"/>
  <c r="A1465" i="24" s="1"/>
  <c r="A1466" i="24" s="1"/>
  <c r="A1467" i="24" s="1"/>
  <c r="A1468" i="24" s="1"/>
  <c r="A1469" i="24" s="1"/>
  <c r="A1470" i="24" s="1"/>
  <c r="A1471" i="24" s="1"/>
  <c r="A1472" i="24" s="1"/>
  <c r="A1473" i="24" s="1"/>
  <c r="A1474" i="24" s="1"/>
  <c r="A1475" i="24" s="1"/>
  <c r="A1476" i="24" s="1"/>
  <c r="A1477" i="24" s="1"/>
  <c r="A1478" i="24" s="1"/>
  <c r="A1479" i="24" s="1"/>
  <c r="A1480" i="24" s="1"/>
  <c r="A1481" i="24" s="1"/>
  <c r="A1482" i="24" s="1"/>
  <c r="A1483" i="24" s="1"/>
  <c r="A1484" i="24" s="1"/>
  <c r="A1485" i="24" s="1"/>
  <c r="A1486" i="24" s="1"/>
  <c r="A1487" i="24" s="1"/>
  <c r="A1488" i="24" s="1"/>
  <c r="A1489" i="24" s="1"/>
  <c r="A1490" i="24" s="1"/>
  <c r="A1491" i="24" s="1"/>
  <c r="A1492" i="24" s="1"/>
  <c r="A1493" i="24" s="1"/>
  <c r="A1494" i="24" s="1"/>
  <c r="A1495" i="24" s="1"/>
  <c r="A1496" i="24" s="1"/>
  <c r="A1497" i="24" s="1"/>
  <c r="A1498" i="24" s="1"/>
  <c r="A1499" i="24" s="1"/>
  <c r="A1500" i="24" s="1"/>
  <c r="A1501" i="24" s="1"/>
  <c r="A1502" i="24" s="1"/>
  <c r="A1503" i="24" s="1"/>
  <c r="A1504" i="24" s="1"/>
  <c r="A1505" i="24" s="1"/>
  <c r="A1506" i="24" s="1"/>
  <c r="A1507" i="24" s="1"/>
  <c r="A1508" i="24" s="1"/>
  <c r="A1509" i="24" s="1"/>
  <c r="A1510" i="24" s="1"/>
  <c r="A1511" i="24" s="1"/>
  <c r="A1512" i="24" s="1"/>
  <c r="A1513" i="24" s="1"/>
  <c r="A1514" i="24" s="1"/>
  <c r="A1515" i="24" s="1"/>
  <c r="A1516" i="24" s="1"/>
  <c r="A1517" i="24" s="1"/>
  <c r="A1518" i="24" s="1"/>
  <c r="A1519" i="24" s="1"/>
  <c r="A1520" i="24" s="1"/>
  <c r="A1521" i="24" s="1"/>
  <c r="A1522" i="24" s="1"/>
  <c r="A1523" i="24" s="1"/>
  <c r="A1524" i="24" s="1"/>
  <c r="A1525" i="24" s="1"/>
  <c r="A1526" i="24" s="1"/>
  <c r="A1527" i="24" s="1"/>
  <c r="A1528" i="24" s="1"/>
  <c r="A1529" i="24" s="1"/>
  <c r="A1530" i="24" s="1"/>
  <c r="A1531" i="24" s="1"/>
  <c r="A1532" i="24" s="1"/>
  <c r="A1533" i="24" s="1"/>
  <c r="A1534" i="24" s="1"/>
  <c r="A1535" i="24" s="1"/>
  <c r="A1536" i="24" s="1"/>
  <c r="A1537" i="24" s="1"/>
  <c r="A1538" i="24" s="1"/>
  <c r="A1539" i="24" s="1"/>
  <c r="A1540" i="24" s="1"/>
  <c r="A1541" i="24" s="1"/>
  <c r="A1542" i="24" s="1"/>
  <c r="A1543" i="24" s="1"/>
  <c r="A1544" i="24" s="1"/>
  <c r="A1545" i="24" s="1"/>
  <c r="A1546" i="24" s="1"/>
  <c r="A1547" i="24" s="1"/>
  <c r="A1548" i="24" s="1"/>
  <c r="A1549" i="24" s="1"/>
  <c r="A1550" i="24" s="1"/>
  <c r="A1551" i="24" s="1"/>
  <c r="A1552" i="24" s="1"/>
  <c r="A1553" i="24" s="1"/>
  <c r="A1554" i="24" s="1"/>
  <c r="A1555" i="24" s="1"/>
  <c r="A1556" i="24" s="1"/>
  <c r="A1557" i="24" s="1"/>
  <c r="A1558" i="24" s="1"/>
  <c r="A1559" i="24" s="1"/>
  <c r="A1560" i="24" s="1"/>
  <c r="A1561" i="24" s="1"/>
  <c r="A1562" i="24" s="1"/>
  <c r="A1563" i="24" s="1"/>
  <c r="A1564" i="24" s="1"/>
  <c r="A1565" i="24" s="1"/>
  <c r="A1566" i="24" s="1"/>
  <c r="A1567" i="24" s="1"/>
  <c r="A1568" i="24" s="1"/>
  <c r="A1569" i="24" s="1"/>
  <c r="A1570" i="24" s="1"/>
  <c r="A1571" i="24" s="1"/>
  <c r="A1572" i="24" s="1"/>
  <c r="A1573" i="24" s="1"/>
  <c r="A1574" i="24" s="1"/>
  <c r="A1575" i="24" s="1"/>
  <c r="A1576" i="24" s="1"/>
  <c r="A1577" i="24" s="1"/>
  <c r="A1578" i="24" s="1"/>
  <c r="A1579" i="24" s="1"/>
  <c r="A1580" i="24" s="1"/>
  <c r="A1581" i="24" s="1"/>
  <c r="A1582" i="24" s="1"/>
  <c r="A1583" i="24" s="1"/>
  <c r="A1584" i="24" s="1"/>
  <c r="A1585" i="24" s="1"/>
  <c r="A1586" i="24" s="1"/>
  <c r="A1587" i="24" s="1"/>
  <c r="A1588" i="24" s="1"/>
  <c r="A1589" i="24" s="1"/>
  <c r="A1590" i="24" s="1"/>
  <c r="A1591" i="24" s="1"/>
  <c r="A1592" i="24" s="1"/>
  <c r="A1593" i="24" s="1"/>
  <c r="A1594" i="24" s="1"/>
  <c r="A1595" i="24" s="1"/>
  <c r="A1596" i="24" s="1"/>
  <c r="A1597" i="24" s="1"/>
  <c r="A1598" i="24" s="1"/>
  <c r="A1599" i="24" s="1"/>
  <c r="A1600" i="24" s="1"/>
  <c r="A1601" i="24" s="1"/>
  <c r="A1602" i="24" s="1"/>
  <c r="A1603" i="24" s="1"/>
  <c r="A1604" i="24" s="1"/>
  <c r="A1605" i="24" s="1"/>
  <c r="A1606" i="24" s="1"/>
  <c r="A1607" i="24" s="1"/>
  <c r="A1608" i="24" s="1"/>
  <c r="A1609" i="24" s="1"/>
  <c r="A1610" i="24" s="1"/>
  <c r="A1611" i="24" s="1"/>
  <c r="A1612" i="24" s="1"/>
  <c r="A1613" i="24" s="1"/>
  <c r="A1614" i="24" s="1"/>
  <c r="A1615" i="24" s="1"/>
  <c r="A1616" i="24" s="1"/>
  <c r="A1617" i="24" s="1"/>
  <c r="A1618" i="24" s="1"/>
  <c r="A1619" i="24" s="1"/>
  <c r="A1620" i="24" s="1"/>
  <c r="A1621" i="24" s="1"/>
  <c r="A1622" i="24" s="1"/>
  <c r="A1623" i="24" s="1"/>
  <c r="A1624" i="24" s="1"/>
  <c r="A1625" i="24" s="1"/>
  <c r="A1626" i="24" s="1"/>
  <c r="A1627" i="24" s="1"/>
  <c r="A1628" i="24" s="1"/>
  <c r="A1629" i="24" s="1"/>
  <c r="A1630" i="24" s="1"/>
  <c r="A1631" i="24" s="1"/>
  <c r="A1632" i="24" s="1"/>
  <c r="A1633" i="24" s="1"/>
  <c r="A1634" i="24" s="1"/>
  <c r="A1635" i="24" s="1"/>
  <c r="A1636" i="24" s="1"/>
  <c r="A1637" i="24" s="1"/>
  <c r="A1638" i="24" s="1"/>
  <c r="A1639" i="24" s="1"/>
  <c r="A1640" i="24" s="1"/>
  <c r="A1641" i="24" s="1"/>
  <c r="A1642" i="24" s="1"/>
  <c r="A1643" i="24" s="1"/>
  <c r="A1644" i="24" s="1"/>
  <c r="A1645" i="24" s="1"/>
  <c r="A1646" i="24" s="1"/>
  <c r="A1647" i="24" s="1"/>
  <c r="A1648" i="24" s="1"/>
  <c r="A1649" i="24" s="1"/>
  <c r="A1650" i="24" s="1"/>
  <c r="A1651" i="24" s="1"/>
  <c r="A1652" i="24" s="1"/>
  <c r="A1653" i="24" s="1"/>
  <c r="A1654" i="24" s="1"/>
  <c r="A1655" i="24" s="1"/>
  <c r="A1656" i="24" s="1"/>
  <c r="A1657" i="24" s="1"/>
  <c r="A1658" i="24" s="1"/>
  <c r="A1659" i="24" s="1"/>
  <c r="A1660" i="24" s="1"/>
  <c r="A1661" i="24" s="1"/>
  <c r="A1662" i="24" s="1"/>
  <c r="A1663" i="24" s="1"/>
  <c r="A1664" i="24" s="1"/>
  <c r="A1665" i="24" s="1"/>
  <c r="A1666" i="24" s="1"/>
  <c r="A1667" i="24" s="1"/>
  <c r="A1668" i="24" s="1"/>
  <c r="A1669" i="24" s="1"/>
  <c r="A1670" i="24" s="1"/>
  <c r="A1671" i="24" s="1"/>
  <c r="A1672" i="24" s="1"/>
  <c r="A1673" i="24" s="1"/>
  <c r="A1674" i="24" s="1"/>
  <c r="A1675" i="24" s="1"/>
  <c r="A1676" i="24" s="1"/>
  <c r="A1677" i="24" s="1"/>
  <c r="A1678" i="24" s="1"/>
  <c r="A1679" i="24" s="1"/>
  <c r="A1680" i="24" s="1"/>
  <c r="A1681" i="24" s="1"/>
  <c r="A1682" i="24" s="1"/>
  <c r="A1683" i="24" s="1"/>
  <c r="A1684" i="24" s="1"/>
  <c r="A1685" i="24" s="1"/>
  <c r="A1686" i="24" s="1"/>
  <c r="A1687" i="24" s="1"/>
  <c r="A1688" i="24" s="1"/>
  <c r="A1689" i="24" s="1"/>
  <c r="A1690" i="24" s="1"/>
  <c r="A1691" i="24" s="1"/>
  <c r="A1692" i="24" s="1"/>
  <c r="A1693" i="24" s="1"/>
  <c r="A1694" i="24" s="1"/>
  <c r="A1695" i="24" s="1"/>
  <c r="A1696" i="24" s="1"/>
  <c r="A1697" i="24" s="1"/>
  <c r="A1698" i="24" s="1"/>
  <c r="A1699" i="24" s="1"/>
  <c r="A1700" i="24" s="1"/>
  <c r="A1701" i="24" s="1"/>
  <c r="A1702" i="24" s="1"/>
  <c r="A1703" i="24" s="1"/>
  <c r="A1704" i="24" s="1"/>
  <c r="A1705" i="24" s="1"/>
  <c r="A1706" i="24" s="1"/>
  <c r="A1707" i="24" s="1"/>
  <c r="A1708" i="24" s="1"/>
  <c r="A1709" i="24" s="1"/>
  <c r="A1710" i="24" s="1"/>
  <c r="A1711" i="24" s="1"/>
  <c r="A1712" i="24" s="1"/>
  <c r="A1713" i="24" s="1"/>
  <c r="A1714" i="24" s="1"/>
  <c r="A1715" i="24" s="1"/>
  <c r="A1716" i="24" s="1"/>
  <c r="A1717" i="24" s="1"/>
  <c r="A1718" i="24" s="1"/>
  <c r="A1719" i="24" s="1"/>
  <c r="A1720" i="24" s="1"/>
  <c r="A1721" i="24" s="1"/>
  <c r="A1722" i="24" s="1"/>
  <c r="A1723" i="24" s="1"/>
  <c r="A1724" i="24" s="1"/>
  <c r="A1725" i="24" s="1"/>
  <c r="A1726" i="24" s="1"/>
  <c r="A1727" i="24" s="1"/>
  <c r="A1728" i="24" s="1"/>
  <c r="A1729" i="24" s="1"/>
  <c r="A1730" i="24" s="1"/>
  <c r="A1731" i="24" s="1"/>
  <c r="A1732" i="24" s="1"/>
  <c r="A1733" i="24" s="1"/>
  <c r="A1734" i="24" s="1"/>
  <c r="A1735" i="24" s="1"/>
  <c r="A1736" i="24" s="1"/>
  <c r="A1737" i="24" s="1"/>
  <c r="A1738" i="24" s="1"/>
  <c r="A1739" i="24" s="1"/>
  <c r="A1740" i="24" s="1"/>
  <c r="A1741" i="24" s="1"/>
  <c r="A1742" i="24" s="1"/>
  <c r="A1743" i="24" s="1"/>
  <c r="A1744" i="24" s="1"/>
  <c r="A1745" i="24" s="1"/>
  <c r="A1746" i="24" s="1"/>
  <c r="A1747" i="24" s="1"/>
  <c r="A1748" i="24" s="1"/>
  <c r="I159" i="22"/>
  <c r="I160" i="22"/>
  <c r="I161" i="22"/>
  <c r="I162" i="22"/>
  <c r="I163" i="22"/>
  <c r="I164" i="22"/>
  <c r="I165" i="22"/>
  <c r="I166" i="22"/>
  <c r="I167" i="22"/>
  <c r="J159" i="22"/>
  <c r="J160" i="22"/>
  <c r="J161" i="22"/>
  <c r="J162" i="22"/>
  <c r="J163" i="22"/>
  <c r="J164" i="22"/>
  <c r="J165" i="22"/>
  <c r="J166" i="22"/>
  <c r="J167" i="22"/>
  <c r="T222" i="21"/>
  <c r="T107" i="21"/>
  <c r="U222" i="21"/>
  <c r="U107" i="21"/>
  <c r="L4" i="24" l="1"/>
  <c r="R4" i="24" s="1"/>
  <c r="U9" i="24"/>
  <c r="V10" i="24"/>
  <c r="L17" i="24"/>
  <c r="R17" i="24" s="1"/>
  <c r="L108" i="24"/>
  <c r="R108" i="24" s="1"/>
  <c r="L112" i="24"/>
  <c r="R112" i="24" s="1"/>
  <c r="L116" i="24"/>
  <c r="R116" i="24" s="1"/>
  <c r="L120" i="24"/>
  <c r="R120" i="24" s="1"/>
  <c r="L124" i="24"/>
  <c r="R124" i="24" s="1"/>
  <c r="L128" i="24"/>
  <c r="R128" i="24" s="1"/>
  <c r="L132" i="24"/>
  <c r="R132" i="24" s="1"/>
  <c r="U10" i="24"/>
  <c r="V8" i="24"/>
  <c r="U15" i="24"/>
  <c r="U16" i="24" s="1"/>
  <c r="U5" i="24"/>
  <c r="V6" i="24"/>
  <c r="W7" i="24"/>
  <c r="O4" i="24"/>
  <c r="Q4" i="24" s="1"/>
  <c r="N4" i="24"/>
  <c r="M4" i="24"/>
  <c r="W6" i="24"/>
  <c r="L18" i="24"/>
  <c r="R18" i="24" s="1"/>
  <c r="P4" i="24"/>
  <c r="L8" i="24"/>
  <c r="R8" i="24" s="1"/>
  <c r="L110" i="24"/>
  <c r="R110" i="24" s="1"/>
  <c r="L114" i="24"/>
  <c r="R114" i="24" s="1"/>
  <c r="L118" i="24"/>
  <c r="R118" i="24" s="1"/>
  <c r="L122" i="24"/>
  <c r="R122" i="24" s="1"/>
  <c r="L126" i="24"/>
  <c r="R126" i="24" s="1"/>
  <c r="L130" i="24"/>
  <c r="R130" i="24" s="1"/>
  <c r="L7" i="24"/>
  <c r="R7" i="24" s="1"/>
  <c r="U8" i="24"/>
  <c r="V9" i="24"/>
  <c r="W10" i="24"/>
  <c r="L11" i="24"/>
  <c r="R11" i="24" s="1"/>
  <c r="L12" i="24"/>
  <c r="R12" i="24" s="1"/>
  <c r="L13" i="24"/>
  <c r="R13" i="24" s="1"/>
  <c r="L14" i="24"/>
  <c r="R14" i="24" s="1"/>
  <c r="L107" i="24"/>
  <c r="R107" i="24" s="1"/>
  <c r="L106" i="24"/>
  <c r="R106" i="24" s="1"/>
  <c r="L105" i="24"/>
  <c r="R105" i="24" s="1"/>
  <c r="L104" i="24"/>
  <c r="R104" i="24" s="1"/>
  <c r="L157" i="24"/>
  <c r="R157" i="24" s="1"/>
  <c r="L156" i="24"/>
  <c r="R156" i="24" s="1"/>
  <c r="L155" i="24"/>
  <c r="R155" i="24" s="1"/>
  <c r="L154" i="24"/>
  <c r="R154" i="24" s="1"/>
  <c r="L153" i="24"/>
  <c r="R153" i="24" s="1"/>
  <c r="L152" i="24"/>
  <c r="R152" i="24" s="1"/>
  <c r="L151" i="24"/>
  <c r="R151" i="24" s="1"/>
  <c r="L150" i="24"/>
  <c r="R150" i="24" s="1"/>
  <c r="L149" i="24"/>
  <c r="R149" i="24" s="1"/>
  <c r="L148" i="24"/>
  <c r="R148" i="24" s="1"/>
  <c r="L147" i="24"/>
  <c r="R147" i="24" s="1"/>
  <c r="L146" i="24"/>
  <c r="R146" i="24" s="1"/>
  <c r="L145" i="24"/>
  <c r="R145" i="24" s="1"/>
  <c r="L144" i="24"/>
  <c r="R144" i="24" s="1"/>
  <c r="L143" i="24"/>
  <c r="R143" i="24" s="1"/>
  <c r="L142" i="24"/>
  <c r="R142" i="24" s="1"/>
  <c r="L141" i="24"/>
  <c r="R141" i="24" s="1"/>
  <c r="L140" i="24"/>
  <c r="R140" i="24" s="1"/>
  <c r="L139" i="24"/>
  <c r="R139" i="24" s="1"/>
  <c r="L138" i="24"/>
  <c r="R138" i="24" s="1"/>
  <c r="L137" i="24"/>
  <c r="R137" i="24" s="1"/>
  <c r="L136" i="24"/>
  <c r="R136" i="24" s="1"/>
  <c r="L135" i="24"/>
  <c r="R135" i="24" s="1"/>
  <c r="L134" i="24"/>
  <c r="R134" i="24" s="1"/>
  <c r="U4" i="24"/>
  <c r="V5" i="24"/>
  <c r="V4" i="24"/>
  <c r="W5" i="24"/>
  <c r="L6" i="24"/>
  <c r="R6" i="24" s="1"/>
  <c r="W9" i="24"/>
  <c r="L10" i="24"/>
  <c r="R10" i="24" s="1"/>
  <c r="L15" i="24"/>
  <c r="R15" i="24" s="1"/>
  <c r="L19" i="24"/>
  <c r="R19" i="24" s="1"/>
  <c r="L20" i="24"/>
  <c r="R20" i="24" s="1"/>
  <c r="L21" i="24"/>
  <c r="R21" i="24" s="1"/>
  <c r="L22" i="24"/>
  <c r="R22" i="24" s="1"/>
  <c r="L23" i="24"/>
  <c r="R23" i="24" s="1"/>
  <c r="L24" i="24"/>
  <c r="R24" i="24" s="1"/>
  <c r="L25" i="24"/>
  <c r="R25" i="24" s="1"/>
  <c r="L26" i="24"/>
  <c r="R26" i="24" s="1"/>
  <c r="L27" i="24"/>
  <c r="R27" i="24" s="1"/>
  <c r="L28" i="24"/>
  <c r="R28" i="24" s="1"/>
  <c r="L29" i="24"/>
  <c r="R29" i="24" s="1"/>
  <c r="L30" i="24"/>
  <c r="R30" i="24" s="1"/>
  <c r="L31" i="24"/>
  <c r="R31" i="24" s="1"/>
  <c r="L32" i="24"/>
  <c r="R32" i="24" s="1"/>
  <c r="L33" i="24"/>
  <c r="R33" i="24" s="1"/>
  <c r="L34" i="24"/>
  <c r="R34" i="24" s="1"/>
  <c r="L35" i="24"/>
  <c r="R35" i="24" s="1"/>
  <c r="L36" i="24"/>
  <c r="R36" i="24" s="1"/>
  <c r="L37" i="24"/>
  <c r="R37" i="24" s="1"/>
  <c r="L38" i="24"/>
  <c r="R38" i="24" s="1"/>
  <c r="L39" i="24"/>
  <c r="R39" i="24" s="1"/>
  <c r="L40" i="24"/>
  <c r="R40" i="24" s="1"/>
  <c r="L41" i="24"/>
  <c r="R41" i="24" s="1"/>
  <c r="L42" i="24"/>
  <c r="R42" i="24" s="1"/>
  <c r="L43" i="24"/>
  <c r="R43" i="24" s="1"/>
  <c r="L44" i="24"/>
  <c r="R44" i="24" s="1"/>
  <c r="L45" i="24"/>
  <c r="R45" i="24" s="1"/>
  <c r="L46" i="24"/>
  <c r="R46" i="24" s="1"/>
  <c r="L47" i="24"/>
  <c r="R47" i="24" s="1"/>
  <c r="L48" i="24"/>
  <c r="R48" i="24" s="1"/>
  <c r="L49" i="24"/>
  <c r="R49" i="24" s="1"/>
  <c r="L50" i="24"/>
  <c r="R50" i="24" s="1"/>
  <c r="L51" i="24"/>
  <c r="R51" i="24" s="1"/>
  <c r="L52" i="24"/>
  <c r="R52" i="24" s="1"/>
  <c r="L53" i="24"/>
  <c r="R53" i="24" s="1"/>
  <c r="L54" i="24"/>
  <c r="R54" i="24" s="1"/>
  <c r="L55" i="24"/>
  <c r="R55" i="24" s="1"/>
  <c r="L56" i="24"/>
  <c r="R56" i="24" s="1"/>
  <c r="L57" i="24"/>
  <c r="R57" i="24" s="1"/>
  <c r="L58" i="24"/>
  <c r="R58" i="24" s="1"/>
  <c r="L59" i="24"/>
  <c r="R59" i="24" s="1"/>
  <c r="L60" i="24"/>
  <c r="R60" i="24" s="1"/>
  <c r="L61" i="24"/>
  <c r="R61" i="24" s="1"/>
  <c r="L62" i="24"/>
  <c r="R62" i="24" s="1"/>
  <c r="L63" i="24"/>
  <c r="R63" i="24" s="1"/>
  <c r="L64" i="24"/>
  <c r="R64" i="24" s="1"/>
  <c r="L65" i="24"/>
  <c r="R65" i="24" s="1"/>
  <c r="L66" i="24"/>
  <c r="R66" i="24" s="1"/>
  <c r="L67" i="24"/>
  <c r="R67" i="24" s="1"/>
  <c r="L68" i="24"/>
  <c r="R68" i="24" s="1"/>
  <c r="L69" i="24"/>
  <c r="R69" i="24" s="1"/>
  <c r="L70" i="24"/>
  <c r="R70" i="24" s="1"/>
  <c r="L71" i="24"/>
  <c r="R71" i="24" s="1"/>
  <c r="L72" i="24"/>
  <c r="R72" i="24" s="1"/>
  <c r="L73" i="24"/>
  <c r="R73" i="24" s="1"/>
  <c r="L74" i="24"/>
  <c r="R74" i="24" s="1"/>
  <c r="L75" i="24"/>
  <c r="R75" i="24" s="1"/>
  <c r="L76" i="24"/>
  <c r="R76" i="24" s="1"/>
  <c r="L77" i="24"/>
  <c r="R77" i="24" s="1"/>
  <c r="L78" i="24"/>
  <c r="R78" i="24" s="1"/>
  <c r="L79" i="24"/>
  <c r="R79" i="24" s="1"/>
  <c r="L80" i="24"/>
  <c r="R80" i="24" s="1"/>
  <c r="L81" i="24"/>
  <c r="R81" i="24" s="1"/>
  <c r="L82" i="24"/>
  <c r="R82" i="24" s="1"/>
  <c r="L83" i="24"/>
  <c r="R83" i="24" s="1"/>
  <c r="L84" i="24"/>
  <c r="R84" i="24" s="1"/>
  <c r="L85" i="24"/>
  <c r="R85" i="24" s="1"/>
  <c r="L86" i="24"/>
  <c r="R86" i="24" s="1"/>
  <c r="L87" i="24"/>
  <c r="R87" i="24" s="1"/>
  <c r="L88" i="24"/>
  <c r="R88" i="24" s="1"/>
  <c r="L89" i="24"/>
  <c r="R89" i="24" s="1"/>
  <c r="L90" i="24"/>
  <c r="R90" i="24" s="1"/>
  <c r="L91" i="24"/>
  <c r="R91" i="24" s="1"/>
  <c r="L92" i="24"/>
  <c r="R92" i="24" s="1"/>
  <c r="L93" i="24"/>
  <c r="R93" i="24" s="1"/>
  <c r="L94" i="24"/>
  <c r="R94" i="24" s="1"/>
  <c r="L95" i="24"/>
  <c r="R95" i="24" s="1"/>
  <c r="L96" i="24"/>
  <c r="R96" i="24" s="1"/>
  <c r="L97" i="24"/>
  <c r="R97" i="24" s="1"/>
  <c r="L98" i="24"/>
  <c r="R98" i="24" s="1"/>
  <c r="L99" i="24"/>
  <c r="R99" i="24" s="1"/>
  <c r="L100" i="24"/>
  <c r="R100" i="24" s="1"/>
  <c r="L101" i="24"/>
  <c r="R101" i="24" s="1"/>
  <c r="L102" i="24"/>
  <c r="R102" i="24" s="1"/>
  <c r="L103" i="24"/>
  <c r="R103" i="24" s="1"/>
  <c r="L109" i="24"/>
  <c r="R109" i="24" s="1"/>
  <c r="L111" i="24"/>
  <c r="R111" i="24" s="1"/>
  <c r="L113" i="24"/>
  <c r="R113" i="24" s="1"/>
  <c r="L115" i="24"/>
  <c r="R115" i="24" s="1"/>
  <c r="L117" i="24"/>
  <c r="R117" i="24" s="1"/>
  <c r="L119" i="24"/>
  <c r="R119" i="24" s="1"/>
  <c r="L121" i="24"/>
  <c r="R121" i="24" s="1"/>
  <c r="L123" i="24"/>
  <c r="R123" i="24" s="1"/>
  <c r="L125" i="24"/>
  <c r="R125" i="24" s="1"/>
  <c r="L127" i="24"/>
  <c r="R127" i="24" s="1"/>
  <c r="L129" i="24"/>
  <c r="R129" i="24" s="1"/>
  <c r="L131" i="24"/>
  <c r="R131" i="24" s="1"/>
  <c r="L133" i="24"/>
  <c r="R133" i="24" s="1"/>
  <c r="U7" i="24"/>
  <c r="W4" i="24"/>
  <c r="L5" i="24"/>
  <c r="R5" i="24" s="1"/>
  <c r="U6" i="24"/>
  <c r="V7" i="24"/>
  <c r="W8" i="24"/>
  <c r="L9" i="24"/>
  <c r="R9" i="24" s="1"/>
  <c r="L16" i="24"/>
  <c r="R16" i="24" s="1"/>
  <c r="I151" i="22"/>
  <c r="I152" i="22"/>
  <c r="I153" i="22"/>
  <c r="I154" i="22"/>
  <c r="I155" i="22"/>
  <c r="I156" i="22"/>
  <c r="I157" i="22"/>
  <c r="I158" i="22"/>
  <c r="J151" i="22"/>
  <c r="J152" i="22"/>
  <c r="J153" i="22"/>
  <c r="J154" i="22"/>
  <c r="J155" i="22"/>
  <c r="J156" i="22"/>
  <c r="J157" i="22"/>
  <c r="J158" i="22"/>
  <c r="T155" i="21"/>
  <c r="T538" i="21"/>
  <c r="T224" i="21"/>
  <c r="T5" i="21"/>
  <c r="T153" i="21"/>
  <c r="T526" i="21"/>
  <c r="T536" i="21"/>
  <c r="T314" i="21"/>
  <c r="T197" i="21"/>
  <c r="U155" i="21"/>
  <c r="U538" i="21"/>
  <c r="U224" i="21"/>
  <c r="U5" i="21"/>
  <c r="U153" i="21"/>
  <c r="U526" i="21"/>
  <c r="U536" i="21"/>
  <c r="U314" i="21"/>
  <c r="U197" i="21"/>
  <c r="Q111" i="24" l="1"/>
  <c r="Q93" i="24"/>
  <c r="Q77" i="24"/>
  <c r="Q65" i="24"/>
  <c r="Q53" i="24"/>
  <c r="Q49" i="24"/>
  <c r="Q135" i="24"/>
  <c r="Q133" i="24"/>
  <c r="Q125" i="24"/>
  <c r="Q117" i="24"/>
  <c r="Q109" i="24"/>
  <c r="Q100" i="24"/>
  <c r="Q96" i="24"/>
  <c r="Q92" i="24"/>
  <c r="Q88" i="24"/>
  <c r="Q84" i="24"/>
  <c r="Q80" i="24"/>
  <c r="Q76" i="24"/>
  <c r="Q72" i="24"/>
  <c r="Q68" i="24"/>
  <c r="Q64" i="24"/>
  <c r="Q60" i="24"/>
  <c r="Q56" i="24"/>
  <c r="Q52" i="24"/>
  <c r="Q48" i="24"/>
  <c r="Q44" i="24"/>
  <c r="Q40" i="24"/>
  <c r="Q136" i="24"/>
  <c r="Q140" i="24"/>
  <c r="Q144" i="24"/>
  <c r="Q148" i="24"/>
  <c r="Q152" i="24"/>
  <c r="Q156" i="24"/>
  <c r="Q106" i="24"/>
  <c r="Q122" i="24"/>
  <c r="Q120" i="24"/>
  <c r="Q127" i="24"/>
  <c r="Q101" i="24"/>
  <c r="Q89" i="24"/>
  <c r="Q81" i="24"/>
  <c r="Q69" i="24"/>
  <c r="Q57" i="24"/>
  <c r="Q45" i="24"/>
  <c r="Q131" i="24"/>
  <c r="Q115" i="24"/>
  <c r="Q103" i="24"/>
  <c r="Q95" i="24"/>
  <c r="Q87" i="24"/>
  <c r="Q83" i="24"/>
  <c r="Q79" i="24"/>
  <c r="Q75" i="24"/>
  <c r="Q71" i="24"/>
  <c r="Q67" i="24"/>
  <c r="Q63" i="24"/>
  <c r="Q59" i="24"/>
  <c r="Q55" i="24"/>
  <c r="Q51" i="24"/>
  <c r="Q47" i="24"/>
  <c r="Q43" i="24"/>
  <c r="Q39" i="24"/>
  <c r="Q137" i="24"/>
  <c r="Q141" i="24"/>
  <c r="Q145" i="24"/>
  <c r="Q149" i="24"/>
  <c r="Q153" i="24"/>
  <c r="Q157" i="24"/>
  <c r="Q107" i="24"/>
  <c r="Q118" i="24"/>
  <c r="Q132" i="24"/>
  <c r="Q116" i="24"/>
  <c r="Q119" i="24"/>
  <c r="Q97" i="24"/>
  <c r="Q85" i="24"/>
  <c r="Q73" i="24"/>
  <c r="Q61" i="24"/>
  <c r="Q41" i="24"/>
  <c r="Q123" i="24"/>
  <c r="Q99" i="24"/>
  <c r="Q91" i="24"/>
  <c r="Q129" i="24"/>
  <c r="Q121" i="24"/>
  <c r="Q113" i="24"/>
  <c r="Q102" i="24"/>
  <c r="Q98" i="24"/>
  <c r="Q94" i="24"/>
  <c r="Q90" i="24"/>
  <c r="Q86" i="24"/>
  <c r="Q82" i="24"/>
  <c r="Q78" i="24"/>
  <c r="Q74" i="24"/>
  <c r="Q70" i="24"/>
  <c r="Q66" i="24"/>
  <c r="Q62" i="24"/>
  <c r="Q58" i="24"/>
  <c r="Q54" i="24"/>
  <c r="Q50" i="24"/>
  <c r="Q46" i="24"/>
  <c r="Q42" i="24"/>
  <c r="Q134" i="24"/>
  <c r="Q138" i="24"/>
  <c r="Q142" i="24"/>
  <c r="Q146" i="24"/>
  <c r="Q150" i="24"/>
  <c r="Q154" i="24"/>
  <c r="Q104" i="24"/>
  <c r="Q130" i="24"/>
  <c r="Q114" i="24"/>
  <c r="Q128" i="24"/>
  <c r="Q112" i="24"/>
  <c r="Q139" i="24"/>
  <c r="Q143" i="24"/>
  <c r="Q147" i="24"/>
  <c r="Q151" i="24"/>
  <c r="Q155" i="24"/>
  <c r="Q105" i="24"/>
  <c r="Q126" i="24"/>
  <c r="Q110" i="24"/>
  <c r="Q124" i="24"/>
  <c r="Q108" i="24"/>
  <c r="M125" i="24"/>
  <c r="N125" i="24"/>
  <c r="P125" i="24"/>
  <c r="O125" i="24"/>
  <c r="M109" i="24"/>
  <c r="N109" i="24"/>
  <c r="P109" i="24"/>
  <c r="O109" i="24"/>
  <c r="M96" i="24"/>
  <c r="P96" i="24"/>
  <c r="O96" i="24"/>
  <c r="N96" i="24"/>
  <c r="M88" i="24"/>
  <c r="P88" i="24"/>
  <c r="O88" i="24"/>
  <c r="N88" i="24"/>
  <c r="M80" i="24"/>
  <c r="O80" i="24"/>
  <c r="P80" i="24"/>
  <c r="N80" i="24"/>
  <c r="M72" i="24"/>
  <c r="O72" i="24"/>
  <c r="P72" i="24"/>
  <c r="N72" i="24"/>
  <c r="M60" i="24"/>
  <c r="O60" i="24"/>
  <c r="P60" i="24"/>
  <c r="N60" i="24"/>
  <c r="M52" i="24"/>
  <c r="O52" i="24"/>
  <c r="P52" i="24"/>
  <c r="N52" i="24"/>
  <c r="M40" i="24"/>
  <c r="P40" i="24"/>
  <c r="O40" i="24"/>
  <c r="N40" i="24"/>
  <c r="M28" i="24"/>
  <c r="P28" i="24"/>
  <c r="O28" i="24"/>
  <c r="N28" i="24"/>
  <c r="M129" i="24"/>
  <c r="N129" i="24"/>
  <c r="P129" i="24"/>
  <c r="O129" i="24"/>
  <c r="M121" i="24"/>
  <c r="N121" i="24"/>
  <c r="P121" i="24"/>
  <c r="O121" i="24"/>
  <c r="M113" i="24"/>
  <c r="N113" i="24"/>
  <c r="P113" i="24"/>
  <c r="O113" i="24"/>
  <c r="M102" i="24"/>
  <c r="P102" i="24"/>
  <c r="O102" i="24"/>
  <c r="N102" i="24"/>
  <c r="M98" i="24"/>
  <c r="O98" i="24"/>
  <c r="P98" i="24"/>
  <c r="N98" i="24"/>
  <c r="M94" i="24"/>
  <c r="P94" i="24"/>
  <c r="O94" i="24"/>
  <c r="N94" i="24"/>
  <c r="M90" i="24"/>
  <c r="P90" i="24"/>
  <c r="O90" i="24"/>
  <c r="N90" i="24"/>
  <c r="M86" i="24"/>
  <c r="O86" i="24"/>
  <c r="P86" i="24"/>
  <c r="N86" i="24"/>
  <c r="M82" i="24"/>
  <c r="P82" i="24"/>
  <c r="O82" i="24"/>
  <c r="N82" i="24"/>
  <c r="M78" i="24"/>
  <c r="P78" i="24"/>
  <c r="O78" i="24"/>
  <c r="N78" i="24"/>
  <c r="M74" i="24"/>
  <c r="O74" i="24"/>
  <c r="P74" i="24"/>
  <c r="N74" i="24"/>
  <c r="M70" i="24"/>
  <c r="P70" i="24"/>
  <c r="O70" i="24"/>
  <c r="N70" i="24"/>
  <c r="M66" i="24"/>
  <c r="O66" i="24"/>
  <c r="P66" i="24"/>
  <c r="N66" i="24"/>
  <c r="M62" i="24"/>
  <c r="O62" i="24"/>
  <c r="P62" i="24"/>
  <c r="N62" i="24"/>
  <c r="M58" i="24"/>
  <c r="O58" i="24"/>
  <c r="P58" i="24"/>
  <c r="N58" i="24"/>
  <c r="M54" i="24"/>
  <c r="P54" i="24"/>
  <c r="O54" i="24"/>
  <c r="N54" i="24"/>
  <c r="M50" i="24"/>
  <c r="O50" i="24"/>
  <c r="P50" i="24"/>
  <c r="N50" i="24"/>
  <c r="M46" i="24"/>
  <c r="P46" i="24"/>
  <c r="O46" i="24"/>
  <c r="N46" i="24"/>
  <c r="M42" i="24"/>
  <c r="O42" i="24"/>
  <c r="P42" i="24"/>
  <c r="N42" i="24"/>
  <c r="M38" i="24"/>
  <c r="P38" i="24"/>
  <c r="O38" i="24"/>
  <c r="N38" i="24"/>
  <c r="M34" i="24"/>
  <c r="P34" i="24"/>
  <c r="O34" i="24"/>
  <c r="N34" i="24"/>
  <c r="M30" i="24"/>
  <c r="P30" i="24"/>
  <c r="O30" i="24"/>
  <c r="N30" i="24"/>
  <c r="M26" i="24"/>
  <c r="O26" i="24"/>
  <c r="P26" i="24"/>
  <c r="N26" i="24"/>
  <c r="M22" i="24"/>
  <c r="P22" i="24"/>
  <c r="O22" i="24"/>
  <c r="N22" i="24"/>
  <c r="M15" i="24"/>
  <c r="P15" i="24"/>
  <c r="O15" i="24"/>
  <c r="N15" i="24"/>
  <c r="M134" i="24"/>
  <c r="P134" i="24"/>
  <c r="O134" i="24"/>
  <c r="N134" i="24"/>
  <c r="M138" i="24"/>
  <c r="P138" i="24"/>
  <c r="O138" i="24"/>
  <c r="N138" i="24"/>
  <c r="M142" i="24"/>
  <c r="P142" i="24"/>
  <c r="O142" i="24"/>
  <c r="N142" i="24"/>
  <c r="M146" i="24"/>
  <c r="P146" i="24"/>
  <c r="O146" i="24"/>
  <c r="N146" i="24"/>
  <c r="M150" i="24"/>
  <c r="P150" i="24"/>
  <c r="N150" i="24"/>
  <c r="O150" i="24"/>
  <c r="M154" i="24"/>
  <c r="P154" i="24"/>
  <c r="N154" i="24"/>
  <c r="O154" i="24"/>
  <c r="P104" i="24"/>
  <c r="O104" i="24"/>
  <c r="N104" i="24"/>
  <c r="M104" i="24"/>
  <c r="N14" i="24"/>
  <c r="M14" i="24"/>
  <c r="P14" i="24"/>
  <c r="O14" i="24"/>
  <c r="M130" i="24"/>
  <c r="P130" i="24"/>
  <c r="O130" i="24"/>
  <c r="N130" i="24"/>
  <c r="M114" i="24"/>
  <c r="P114" i="24"/>
  <c r="O114" i="24"/>
  <c r="N114" i="24"/>
  <c r="N18" i="24"/>
  <c r="P18" i="24"/>
  <c r="M18" i="24"/>
  <c r="O18" i="24"/>
  <c r="M128" i="24"/>
  <c r="P128" i="24"/>
  <c r="O128" i="24"/>
  <c r="N128" i="24"/>
  <c r="M112" i="24"/>
  <c r="P112" i="24"/>
  <c r="O112" i="24"/>
  <c r="N112" i="24"/>
  <c r="M119" i="24"/>
  <c r="N119" i="24"/>
  <c r="P119" i="24"/>
  <c r="O119" i="24"/>
  <c r="M111" i="24"/>
  <c r="N111" i="24"/>
  <c r="P111" i="24"/>
  <c r="O111" i="24"/>
  <c r="M101" i="24"/>
  <c r="P101" i="24"/>
  <c r="O101" i="24"/>
  <c r="N101" i="24"/>
  <c r="M97" i="24"/>
  <c r="O97" i="24"/>
  <c r="P97" i="24"/>
  <c r="N97" i="24"/>
  <c r="M93" i="24"/>
  <c r="P93" i="24"/>
  <c r="O93" i="24"/>
  <c r="N93" i="24"/>
  <c r="M89" i="24"/>
  <c r="O89" i="24"/>
  <c r="P89" i="24"/>
  <c r="N89" i="24"/>
  <c r="M85" i="24"/>
  <c r="P85" i="24"/>
  <c r="O85" i="24"/>
  <c r="N85" i="24"/>
  <c r="M81" i="24"/>
  <c r="P81" i="24"/>
  <c r="O81" i="24"/>
  <c r="N81" i="24"/>
  <c r="M77" i="24"/>
  <c r="O77" i="24"/>
  <c r="P77" i="24"/>
  <c r="N77" i="24"/>
  <c r="M73" i="24"/>
  <c r="P73" i="24"/>
  <c r="O73" i="24"/>
  <c r="N73" i="24"/>
  <c r="M69" i="24"/>
  <c r="O69" i="24"/>
  <c r="P69" i="24"/>
  <c r="N69" i="24"/>
  <c r="M65" i="24"/>
  <c r="O65" i="24"/>
  <c r="P65" i="24"/>
  <c r="N65" i="24"/>
  <c r="M61" i="24"/>
  <c r="P61" i="24"/>
  <c r="O61" i="24"/>
  <c r="N61" i="24"/>
  <c r="M57" i="24"/>
  <c r="P57" i="24"/>
  <c r="O57" i="24"/>
  <c r="N57" i="24"/>
  <c r="M53" i="24"/>
  <c r="P53" i="24"/>
  <c r="O53" i="24"/>
  <c r="N53" i="24"/>
  <c r="M49" i="24"/>
  <c r="P49" i="24"/>
  <c r="O49" i="24"/>
  <c r="N49" i="24"/>
  <c r="M45" i="24"/>
  <c r="P45" i="24"/>
  <c r="O45" i="24"/>
  <c r="N45" i="24"/>
  <c r="M41" i="24"/>
  <c r="P41" i="24"/>
  <c r="O41" i="24"/>
  <c r="N41" i="24"/>
  <c r="M37" i="24"/>
  <c r="P37" i="24"/>
  <c r="O37" i="24"/>
  <c r="N37" i="24"/>
  <c r="M33" i="24"/>
  <c r="P33" i="24"/>
  <c r="O33" i="24"/>
  <c r="N33" i="24"/>
  <c r="M29" i="24"/>
  <c r="O29" i="24"/>
  <c r="P29" i="24"/>
  <c r="N29" i="24"/>
  <c r="M25" i="24"/>
  <c r="P25" i="24"/>
  <c r="O25" i="24"/>
  <c r="N25" i="24"/>
  <c r="M21" i="24"/>
  <c r="O21" i="24"/>
  <c r="P21" i="24"/>
  <c r="N21" i="24"/>
  <c r="M10" i="24"/>
  <c r="P10" i="24"/>
  <c r="O10" i="24"/>
  <c r="N10" i="24"/>
  <c r="M135" i="24"/>
  <c r="P135" i="24"/>
  <c r="O135" i="24"/>
  <c r="N135" i="24"/>
  <c r="M139" i="24"/>
  <c r="P139" i="24"/>
  <c r="O139" i="24"/>
  <c r="N139" i="24"/>
  <c r="M143" i="24"/>
  <c r="P143" i="24"/>
  <c r="O143" i="24"/>
  <c r="N143" i="24"/>
  <c r="M147" i="24"/>
  <c r="P147" i="24"/>
  <c r="O147" i="24"/>
  <c r="N147" i="24"/>
  <c r="M151" i="24"/>
  <c r="P151" i="24"/>
  <c r="N151" i="24"/>
  <c r="O151" i="24"/>
  <c r="M155" i="24"/>
  <c r="P155" i="24"/>
  <c r="N155" i="24"/>
  <c r="O155" i="24"/>
  <c r="P105" i="24"/>
  <c r="M105" i="24"/>
  <c r="O105" i="24"/>
  <c r="N105" i="24"/>
  <c r="N13" i="24"/>
  <c r="M13" i="24"/>
  <c r="P13" i="24"/>
  <c r="O13" i="24"/>
  <c r="M126" i="24"/>
  <c r="P126" i="24"/>
  <c r="O126" i="24"/>
  <c r="N126" i="24"/>
  <c r="M110" i="24"/>
  <c r="P110" i="24"/>
  <c r="O110" i="24"/>
  <c r="N110" i="24"/>
  <c r="M124" i="24"/>
  <c r="P124" i="24"/>
  <c r="O124" i="24"/>
  <c r="N124" i="24"/>
  <c r="M108" i="24"/>
  <c r="P108" i="24"/>
  <c r="O108" i="24"/>
  <c r="N108" i="24"/>
  <c r="M127" i="24"/>
  <c r="N127" i="24"/>
  <c r="P127" i="24"/>
  <c r="O127" i="24"/>
  <c r="P16" i="24"/>
  <c r="O16" i="24"/>
  <c r="N16" i="24"/>
  <c r="M16" i="24"/>
  <c r="M64" i="24"/>
  <c r="P64" i="24"/>
  <c r="O64" i="24"/>
  <c r="N64" i="24"/>
  <c r="M48" i="24"/>
  <c r="O48" i="24"/>
  <c r="P48" i="24"/>
  <c r="N48" i="24"/>
  <c r="M36" i="24"/>
  <c r="P36" i="24"/>
  <c r="O36" i="24"/>
  <c r="N36" i="24"/>
  <c r="M136" i="24"/>
  <c r="P136" i="24"/>
  <c r="O136" i="24"/>
  <c r="N136" i="24"/>
  <c r="M140" i="24"/>
  <c r="P140" i="24"/>
  <c r="O140" i="24"/>
  <c r="N140" i="24"/>
  <c r="M144" i="24"/>
  <c r="P144" i="24"/>
  <c r="O144" i="24"/>
  <c r="N144" i="24"/>
  <c r="M148" i="24"/>
  <c r="P148" i="24"/>
  <c r="O148" i="24"/>
  <c r="N148" i="24"/>
  <c r="M152" i="24"/>
  <c r="P152" i="24"/>
  <c r="N152" i="24"/>
  <c r="O152" i="24"/>
  <c r="M156" i="24"/>
  <c r="P156" i="24"/>
  <c r="N156" i="24"/>
  <c r="O156" i="24"/>
  <c r="P106" i="24"/>
  <c r="O106" i="24"/>
  <c r="N106" i="24"/>
  <c r="M106" i="24"/>
  <c r="N12" i="24"/>
  <c r="M12" i="24"/>
  <c r="P12" i="24"/>
  <c r="O12" i="24"/>
  <c r="M122" i="24"/>
  <c r="P122" i="24"/>
  <c r="O122" i="24"/>
  <c r="N122" i="24"/>
  <c r="O8" i="24"/>
  <c r="N8" i="24"/>
  <c r="M8" i="24"/>
  <c r="P8" i="24"/>
  <c r="M120" i="24"/>
  <c r="P120" i="24"/>
  <c r="O120" i="24"/>
  <c r="N120" i="24"/>
  <c r="O17" i="24"/>
  <c r="N17" i="24"/>
  <c r="M17" i="24"/>
  <c r="P17" i="24"/>
  <c r="M133" i="24"/>
  <c r="N133" i="24"/>
  <c r="P133" i="24"/>
  <c r="O133" i="24"/>
  <c r="M117" i="24"/>
  <c r="N117" i="24"/>
  <c r="P117" i="24"/>
  <c r="O117" i="24"/>
  <c r="M100" i="24"/>
  <c r="P100" i="24"/>
  <c r="O100" i="24"/>
  <c r="N100" i="24"/>
  <c r="M92" i="24"/>
  <c r="O92" i="24"/>
  <c r="P92" i="24"/>
  <c r="N92" i="24"/>
  <c r="M84" i="24"/>
  <c r="P84" i="24"/>
  <c r="O84" i="24"/>
  <c r="N84" i="24"/>
  <c r="M76" i="24"/>
  <c r="P76" i="24"/>
  <c r="O76" i="24"/>
  <c r="N76" i="24"/>
  <c r="M68" i="24"/>
  <c r="P68" i="24"/>
  <c r="O68" i="24"/>
  <c r="N68" i="24"/>
  <c r="M56" i="24"/>
  <c r="P56" i="24"/>
  <c r="O56" i="24"/>
  <c r="N56" i="24"/>
  <c r="M44" i="24"/>
  <c r="O44" i="24"/>
  <c r="P44" i="24"/>
  <c r="N44" i="24"/>
  <c r="M32" i="24"/>
  <c r="O32" i="24"/>
  <c r="P32" i="24"/>
  <c r="N32" i="24"/>
  <c r="M24" i="24"/>
  <c r="P24" i="24"/>
  <c r="O24" i="24"/>
  <c r="N24" i="24"/>
  <c r="M20" i="24"/>
  <c r="P20" i="24"/>
  <c r="O20" i="24"/>
  <c r="N20" i="24"/>
  <c r="P9" i="24"/>
  <c r="O9" i="24"/>
  <c r="N9" i="24"/>
  <c r="M9" i="24"/>
  <c r="P5" i="24"/>
  <c r="O5" i="24"/>
  <c r="Q5" i="24" s="1"/>
  <c r="N5" i="24"/>
  <c r="M5" i="24"/>
  <c r="M131" i="24"/>
  <c r="N131" i="24"/>
  <c r="P131" i="24"/>
  <c r="O131" i="24"/>
  <c r="M123" i="24"/>
  <c r="N123" i="24"/>
  <c r="P123" i="24"/>
  <c r="O123" i="24"/>
  <c r="M115" i="24"/>
  <c r="N115" i="24"/>
  <c r="P115" i="24"/>
  <c r="O115" i="24"/>
  <c r="P103" i="24"/>
  <c r="M103" i="24"/>
  <c r="O103" i="24"/>
  <c r="N103" i="24"/>
  <c r="M99" i="24"/>
  <c r="P99" i="24"/>
  <c r="O99" i="24"/>
  <c r="N99" i="24"/>
  <c r="M95" i="24"/>
  <c r="P95" i="24"/>
  <c r="O95" i="24"/>
  <c r="N95" i="24"/>
  <c r="M91" i="24"/>
  <c r="P91" i="24"/>
  <c r="O91" i="24"/>
  <c r="N91" i="24"/>
  <c r="M87" i="24"/>
  <c r="P87" i="24"/>
  <c r="O87" i="24"/>
  <c r="N87" i="24"/>
  <c r="M83" i="24"/>
  <c r="O83" i="24"/>
  <c r="P83" i="24"/>
  <c r="N83" i="24"/>
  <c r="M79" i="24"/>
  <c r="P79" i="24"/>
  <c r="O79" i="24"/>
  <c r="N79" i="24"/>
  <c r="M75" i="24"/>
  <c r="P75" i="24"/>
  <c r="O75" i="24"/>
  <c r="N75" i="24"/>
  <c r="M71" i="24"/>
  <c r="P71" i="24"/>
  <c r="O71" i="24"/>
  <c r="N71" i="24"/>
  <c r="M67" i="24"/>
  <c r="P67" i="24"/>
  <c r="O67" i="24"/>
  <c r="N67" i="24"/>
  <c r="M63" i="24"/>
  <c r="P63" i="24"/>
  <c r="O63" i="24"/>
  <c r="N63" i="24"/>
  <c r="M59" i="24"/>
  <c r="P59" i="24"/>
  <c r="O59" i="24"/>
  <c r="N59" i="24"/>
  <c r="M55" i="24"/>
  <c r="P55" i="24"/>
  <c r="O55" i="24"/>
  <c r="N55" i="24"/>
  <c r="M51" i="24"/>
  <c r="P51" i="24"/>
  <c r="O51" i="24"/>
  <c r="N51" i="24"/>
  <c r="M47" i="24"/>
  <c r="P47" i="24"/>
  <c r="O47" i="24"/>
  <c r="N47" i="24"/>
  <c r="M43" i="24"/>
  <c r="P43" i="24"/>
  <c r="O43" i="24"/>
  <c r="N43" i="24"/>
  <c r="M39" i="24"/>
  <c r="P39" i="24"/>
  <c r="O39" i="24"/>
  <c r="N39" i="24"/>
  <c r="M35" i="24"/>
  <c r="O35" i="24"/>
  <c r="P35" i="24"/>
  <c r="N35" i="24"/>
  <c r="M31" i="24"/>
  <c r="P31" i="24"/>
  <c r="O31" i="24"/>
  <c r="N31" i="24"/>
  <c r="M27" i="24"/>
  <c r="P27" i="24"/>
  <c r="O27" i="24"/>
  <c r="N27" i="24"/>
  <c r="M23" i="24"/>
  <c r="O23" i="24"/>
  <c r="P23" i="24"/>
  <c r="N23" i="24"/>
  <c r="M19" i="24"/>
  <c r="P19" i="24"/>
  <c r="O19" i="24"/>
  <c r="N19" i="24"/>
  <c r="M6" i="24"/>
  <c r="P6" i="24"/>
  <c r="O6" i="24"/>
  <c r="N6" i="24"/>
  <c r="M137" i="24"/>
  <c r="P137" i="24"/>
  <c r="O137" i="24"/>
  <c r="N137" i="24"/>
  <c r="M141" i="24"/>
  <c r="P141" i="24"/>
  <c r="O141" i="24"/>
  <c r="N141" i="24"/>
  <c r="M145" i="24"/>
  <c r="P145" i="24"/>
  <c r="O145" i="24"/>
  <c r="N145" i="24"/>
  <c r="M149" i="24"/>
  <c r="P149" i="24"/>
  <c r="N149" i="24"/>
  <c r="O149" i="24"/>
  <c r="M153" i="24"/>
  <c r="P153" i="24"/>
  <c r="N153" i="24"/>
  <c r="O153" i="24"/>
  <c r="M157" i="24"/>
  <c r="P157" i="24"/>
  <c r="N157" i="24"/>
  <c r="O157" i="24"/>
  <c r="M107" i="24"/>
  <c r="O107" i="24"/>
  <c r="N107" i="24"/>
  <c r="N11" i="24"/>
  <c r="M11" i="24"/>
  <c r="P11" i="24"/>
  <c r="O11" i="24"/>
  <c r="N7" i="24"/>
  <c r="M7" i="24"/>
  <c r="P7" i="24"/>
  <c r="O7" i="24"/>
  <c r="M118" i="24"/>
  <c r="P118" i="24"/>
  <c r="O118" i="24"/>
  <c r="N118" i="24"/>
  <c r="M132" i="24"/>
  <c r="P132" i="24"/>
  <c r="O132" i="24"/>
  <c r="N132" i="24"/>
  <c r="M116" i="24"/>
  <c r="P116" i="24"/>
  <c r="O116" i="24"/>
  <c r="N116" i="24"/>
  <c r="I141" i="22"/>
  <c r="I142" i="22"/>
  <c r="I143" i="22"/>
  <c r="I144" i="22"/>
  <c r="I145" i="22"/>
  <c r="I146" i="22"/>
  <c r="I147" i="22"/>
  <c r="I148" i="22"/>
  <c r="I149" i="22"/>
  <c r="I150" i="22"/>
  <c r="J141" i="22"/>
  <c r="J142" i="22"/>
  <c r="J143" i="22"/>
  <c r="J144" i="22"/>
  <c r="J145" i="22"/>
  <c r="J146" i="22"/>
  <c r="J147" i="22"/>
  <c r="J148" i="22"/>
  <c r="J149" i="22"/>
  <c r="J150" i="22"/>
  <c r="T271" i="21"/>
  <c r="T185" i="21"/>
  <c r="T282" i="21"/>
  <c r="U271" i="21"/>
  <c r="U185" i="21"/>
  <c r="U282" i="21"/>
  <c r="Q6" i="24" l="1"/>
  <c r="Q7" i="24" s="1"/>
  <c r="Q8" i="24" s="1"/>
  <c r="Q9" i="24" s="1"/>
  <c r="Q10" i="24" s="1"/>
  <c r="Q11" i="24" s="1"/>
  <c r="Q12" i="24" s="1"/>
  <c r="Q13" i="24" s="1"/>
  <c r="Q14" i="24" s="1"/>
  <c r="Q15" i="24" s="1"/>
  <c r="Q16" i="24" s="1"/>
  <c r="Q17" i="24" s="1"/>
  <c r="Q18" i="24" s="1"/>
  <c r="Q19" i="24" s="1"/>
  <c r="Q20" i="24" s="1"/>
  <c r="Q21" i="24" s="1"/>
  <c r="Q22" i="24" s="1"/>
  <c r="Q23" i="24" s="1"/>
  <c r="Q24" i="24" s="1"/>
  <c r="Q25" i="24" s="1"/>
  <c r="Q26" i="24" s="1"/>
  <c r="Q27" i="24" s="1"/>
  <c r="Q28" i="24" s="1"/>
  <c r="Q29" i="24" s="1"/>
  <c r="Q30" i="24" s="1"/>
  <c r="Q31" i="24" s="1"/>
  <c r="Q32" i="24" s="1"/>
  <c r="Q33" i="24" s="1"/>
  <c r="Q34" i="24" s="1"/>
  <c r="Q35" i="24" s="1"/>
  <c r="Q36" i="24" s="1"/>
  <c r="Q37" i="24" s="1"/>
  <c r="Q38" i="24" s="1"/>
  <c r="I133" i="22"/>
  <c r="I134" i="22"/>
  <c r="I135" i="22"/>
  <c r="I136" i="22"/>
  <c r="I137" i="22"/>
  <c r="I138" i="22"/>
  <c r="I139" i="22"/>
  <c r="I140" i="22"/>
  <c r="J133" i="22"/>
  <c r="J134" i="22"/>
  <c r="J135" i="22"/>
  <c r="J136" i="22"/>
  <c r="J137" i="22"/>
  <c r="J138" i="22"/>
  <c r="J139" i="22"/>
  <c r="J140" i="22"/>
  <c r="T154" i="21"/>
  <c r="U154" i="21"/>
  <c r="I120" i="22" l="1"/>
  <c r="J120" i="22"/>
  <c r="I121" i="22"/>
  <c r="J121" i="22"/>
  <c r="I122" i="22"/>
  <c r="J122" i="22"/>
  <c r="I123" i="22"/>
  <c r="J123" i="22"/>
  <c r="I124" i="22"/>
  <c r="J124" i="22"/>
  <c r="I125" i="22"/>
  <c r="J125" i="22"/>
  <c r="I126" i="22"/>
  <c r="J126" i="22"/>
  <c r="I127" i="22"/>
  <c r="J127" i="22"/>
  <c r="I128" i="22"/>
  <c r="J128" i="22"/>
  <c r="I129" i="22"/>
  <c r="J129" i="22"/>
  <c r="I130" i="22"/>
  <c r="J130" i="22"/>
  <c r="I131" i="22"/>
  <c r="J131" i="22"/>
  <c r="I132" i="22"/>
  <c r="J132" i="22"/>
  <c r="I119" i="22"/>
  <c r="J119" i="22"/>
  <c r="T295" i="21"/>
  <c r="T12" i="21"/>
  <c r="T428" i="21"/>
  <c r="U295" i="21"/>
  <c r="U12" i="21"/>
  <c r="U428" i="21"/>
  <c r="I117" i="22"/>
  <c r="I118" i="22"/>
  <c r="J117" i="22"/>
  <c r="J118" i="22"/>
  <c r="I116" i="22" l="1"/>
  <c r="J116" i="22"/>
  <c r="T347" i="21" l="1"/>
  <c r="T371" i="21"/>
  <c r="T527" i="21"/>
  <c r="T381" i="21"/>
  <c r="T292" i="21"/>
  <c r="T201" i="21"/>
  <c r="T235" i="21"/>
  <c r="T308" i="21"/>
  <c r="T31" i="21"/>
  <c r="T289" i="21"/>
  <c r="T493" i="21"/>
  <c r="T37" i="21"/>
  <c r="T513" i="21"/>
  <c r="T149" i="21"/>
  <c r="U347" i="21"/>
  <c r="U371" i="21"/>
  <c r="U527" i="21"/>
  <c r="U381" i="21"/>
  <c r="U292" i="21"/>
  <c r="U201" i="21"/>
  <c r="U235" i="21"/>
  <c r="U308" i="21"/>
  <c r="U31" i="21"/>
  <c r="U289" i="21"/>
  <c r="U493" i="21"/>
  <c r="U37" i="21"/>
  <c r="U513" i="21"/>
  <c r="U149" i="21"/>
  <c r="I103" i="22" l="1"/>
  <c r="I104" i="22"/>
  <c r="I105" i="22"/>
  <c r="I106" i="22"/>
  <c r="I107" i="22"/>
  <c r="I108" i="22"/>
  <c r="I109" i="22"/>
  <c r="I110" i="22"/>
  <c r="I111" i="22"/>
  <c r="I112" i="22"/>
  <c r="I113" i="22"/>
  <c r="I114" i="22"/>
  <c r="I115" i="22"/>
  <c r="J103" i="22"/>
  <c r="J104" i="22"/>
  <c r="J105" i="22"/>
  <c r="J106" i="22"/>
  <c r="J107" i="22"/>
  <c r="J108" i="22"/>
  <c r="J109" i="22"/>
  <c r="J110" i="22"/>
  <c r="J111" i="22"/>
  <c r="J112" i="22"/>
  <c r="J113" i="22"/>
  <c r="J114" i="22"/>
  <c r="J115" i="22"/>
  <c r="I99" i="22" l="1"/>
  <c r="I100" i="22"/>
  <c r="I101" i="22"/>
  <c r="I102" i="22"/>
  <c r="J99" i="22"/>
  <c r="J100" i="22"/>
  <c r="J101" i="22"/>
  <c r="J102" i="22"/>
  <c r="I4" i="22"/>
  <c r="I5" i="22"/>
  <c r="I6" i="22"/>
  <c r="I7" i="22"/>
  <c r="I8" i="22"/>
  <c r="I9" i="22"/>
  <c r="I10" i="22"/>
  <c r="I11" i="22"/>
  <c r="I12" i="22"/>
  <c r="I13" i="22"/>
  <c r="I14" i="22"/>
  <c r="I15" i="22"/>
  <c r="I16" i="22"/>
  <c r="I17" i="22"/>
  <c r="I18" i="22"/>
  <c r="I19" i="22"/>
  <c r="I20" i="22"/>
  <c r="I21" i="22"/>
  <c r="I22" i="22"/>
  <c r="I23" i="22"/>
  <c r="I24" i="22"/>
  <c r="I25" i="22"/>
  <c r="I26" i="22"/>
  <c r="I27" i="22"/>
  <c r="I28" i="22"/>
  <c r="I29" i="22"/>
  <c r="I30" i="22"/>
  <c r="I31" i="22"/>
  <c r="I32" i="22"/>
  <c r="I33" i="22"/>
  <c r="I34" i="22"/>
  <c r="I35" i="22"/>
  <c r="I36" i="22"/>
  <c r="I37" i="22"/>
  <c r="I38" i="22"/>
  <c r="I39" i="22"/>
  <c r="I40" i="22"/>
  <c r="I41" i="22"/>
  <c r="I42" i="22"/>
  <c r="I43" i="22"/>
  <c r="I44" i="22"/>
  <c r="I45" i="22"/>
  <c r="I46" i="22"/>
  <c r="I47" i="22"/>
  <c r="I48" i="22"/>
  <c r="I49" i="22"/>
  <c r="I50" i="22"/>
  <c r="I51" i="22"/>
  <c r="I52" i="22"/>
  <c r="I53" i="22"/>
  <c r="I54" i="22"/>
  <c r="I55" i="22"/>
  <c r="I56" i="22"/>
  <c r="I57" i="22"/>
  <c r="I58" i="22"/>
  <c r="I59" i="22"/>
  <c r="I60" i="22"/>
  <c r="I61" i="22"/>
  <c r="I62" i="22"/>
  <c r="I63" i="22"/>
  <c r="I64" i="22"/>
  <c r="I65" i="22"/>
  <c r="I66" i="22"/>
  <c r="I67" i="22"/>
  <c r="I68" i="22"/>
  <c r="I69" i="22"/>
  <c r="I70" i="22"/>
  <c r="I71" i="22"/>
  <c r="I72" i="22"/>
  <c r="I73" i="22"/>
  <c r="I74" i="22"/>
  <c r="I75" i="22"/>
  <c r="I76" i="22"/>
  <c r="I77" i="22"/>
  <c r="I78" i="22"/>
  <c r="I79" i="22"/>
  <c r="I80" i="22"/>
  <c r="I81" i="22"/>
  <c r="I82" i="22"/>
  <c r="I83" i="22"/>
  <c r="I84" i="22"/>
  <c r="I85" i="22"/>
  <c r="I86" i="22"/>
  <c r="I87" i="22"/>
  <c r="I88" i="22"/>
  <c r="I89" i="22"/>
  <c r="I90" i="22"/>
  <c r="I91" i="22"/>
  <c r="I92" i="22"/>
  <c r="I93" i="22"/>
  <c r="I94" i="22"/>
  <c r="I95" i="22"/>
  <c r="I96" i="22"/>
  <c r="I97" i="22"/>
  <c r="I98" i="22"/>
  <c r="T341" i="21"/>
  <c r="T148" i="21"/>
  <c r="T323" i="21"/>
  <c r="T73" i="21"/>
  <c r="T262" i="21"/>
  <c r="U341" i="21"/>
  <c r="U148" i="21"/>
  <c r="U323" i="21"/>
  <c r="U73" i="21"/>
  <c r="U262" i="21"/>
  <c r="J84" i="22" l="1"/>
  <c r="J85" i="22"/>
  <c r="J86" i="22"/>
  <c r="J87" i="22"/>
  <c r="J88" i="22"/>
  <c r="J89" i="22"/>
  <c r="J90" i="22"/>
  <c r="J91" i="22"/>
  <c r="J92" i="22"/>
  <c r="J93" i="22"/>
  <c r="J94" i="22"/>
  <c r="J95" i="22"/>
  <c r="J96" i="22"/>
  <c r="J97" i="22"/>
  <c r="J98" i="22"/>
  <c r="T475" i="21"/>
  <c r="T310" i="21"/>
  <c r="T77" i="21"/>
  <c r="T453" i="21"/>
  <c r="T270" i="21"/>
  <c r="T276" i="21"/>
  <c r="U475" i="21"/>
  <c r="U310" i="21"/>
  <c r="U77" i="21"/>
  <c r="U453" i="21"/>
  <c r="U270" i="21"/>
  <c r="U276" i="21"/>
  <c r="DM4" i="5"/>
  <c r="DM5" i="5"/>
  <c r="DM6" i="5"/>
  <c r="DM7" i="5"/>
  <c r="DM8" i="5"/>
  <c r="DM9" i="5"/>
  <c r="DM10" i="5"/>
  <c r="DM11" i="5"/>
  <c r="DM12" i="5"/>
  <c r="DM13" i="5"/>
  <c r="DM14" i="5"/>
  <c r="DM15" i="5"/>
  <c r="DM16" i="5"/>
  <c r="DM17" i="5"/>
  <c r="DM18" i="5"/>
  <c r="DM19" i="5"/>
  <c r="DM20" i="5"/>
  <c r="DM21" i="5"/>
  <c r="DM22" i="5"/>
  <c r="DM23" i="5"/>
  <c r="DM24" i="5"/>
  <c r="DM25" i="5"/>
  <c r="DM26" i="5"/>
  <c r="DM27" i="5"/>
  <c r="DM28" i="5"/>
  <c r="DM29" i="5"/>
  <c r="DM30" i="5"/>
  <c r="DM31" i="5"/>
  <c r="DM32" i="5"/>
  <c r="DM33" i="5"/>
  <c r="DM34" i="5"/>
  <c r="J67" i="22" l="1"/>
  <c r="J68" i="22"/>
  <c r="J69" i="22"/>
  <c r="J70" i="22"/>
  <c r="J71" i="22"/>
  <c r="J72" i="22"/>
  <c r="J73" i="22"/>
  <c r="J74" i="22"/>
  <c r="J75" i="22"/>
  <c r="J76" i="22"/>
  <c r="J77" i="22"/>
  <c r="J78" i="22"/>
  <c r="J79" i="22"/>
  <c r="J80" i="22"/>
  <c r="J81" i="22"/>
  <c r="J82" i="22"/>
  <c r="J83" i="22"/>
  <c r="T552" i="21"/>
  <c r="T417" i="21"/>
  <c r="T111" i="21"/>
  <c r="U552" i="21"/>
  <c r="U417" i="21"/>
  <c r="U111" i="21"/>
  <c r="M99" i="23"/>
  <c r="O10" i="23"/>
  <c r="O11" i="23"/>
  <c r="O12" i="23"/>
  <c r="O13" i="23"/>
  <c r="O14" i="23"/>
  <c r="O15" i="23"/>
  <c r="O16" i="23"/>
  <c r="O17" i="23"/>
  <c r="O18" i="23"/>
  <c r="O19" i="23"/>
  <c r="O20" i="23"/>
  <c r="O21" i="23"/>
  <c r="O22" i="23"/>
  <c r="O23" i="23"/>
  <c r="O24" i="23"/>
  <c r="O25" i="23"/>
  <c r="O26" i="23"/>
  <c r="O27" i="23"/>
  <c r="O28" i="23"/>
  <c r="O29" i="23"/>
  <c r="O30" i="23"/>
  <c r="O31" i="23"/>
  <c r="O32" i="23"/>
  <c r="O33" i="23"/>
  <c r="O34" i="23"/>
  <c r="O35" i="23"/>
  <c r="O36" i="23"/>
  <c r="O37" i="23"/>
  <c r="O38" i="23"/>
  <c r="O39" i="23"/>
  <c r="O40" i="23"/>
  <c r="O41" i="23"/>
  <c r="O42" i="23"/>
  <c r="O43" i="23"/>
  <c r="O44" i="23"/>
  <c r="O45" i="23"/>
  <c r="O46" i="23"/>
  <c r="O47" i="23"/>
  <c r="O48" i="23"/>
  <c r="O49" i="23"/>
  <c r="O50" i="23"/>
  <c r="O51" i="23"/>
  <c r="O52" i="23"/>
  <c r="O53" i="23"/>
  <c r="O54" i="23"/>
  <c r="O55" i="23"/>
  <c r="O56" i="23"/>
  <c r="O57" i="23"/>
  <c r="O58" i="23"/>
  <c r="O59" i="23"/>
  <c r="O60" i="23"/>
  <c r="O61" i="23"/>
  <c r="O62" i="23"/>
  <c r="O63" i="23"/>
  <c r="O64" i="23"/>
  <c r="O65" i="23"/>
  <c r="O66" i="23"/>
  <c r="O67" i="23"/>
  <c r="O68" i="23"/>
  <c r="O69" i="23"/>
  <c r="O70" i="23"/>
  <c r="O71" i="23"/>
  <c r="O72" i="23"/>
  <c r="O73" i="23"/>
  <c r="O74" i="23"/>
  <c r="O75" i="23"/>
  <c r="O76" i="23"/>
  <c r="O77" i="23"/>
  <c r="O78" i="23"/>
  <c r="O79" i="23"/>
  <c r="O80" i="23"/>
  <c r="O81" i="23"/>
  <c r="O82" i="23"/>
  <c r="O83" i="23"/>
  <c r="O84" i="23"/>
  <c r="O85" i="23"/>
  <c r="O86" i="23"/>
  <c r="O87" i="23"/>
  <c r="O88" i="23"/>
  <c r="O89" i="23"/>
  <c r="O90" i="23"/>
  <c r="O91" i="23"/>
  <c r="O92" i="23"/>
  <c r="O93" i="23"/>
  <c r="O94" i="23"/>
  <c r="O95" i="23"/>
  <c r="O96" i="23"/>
  <c r="O97" i="23"/>
  <c r="O98" i="23"/>
  <c r="O99" i="23"/>
  <c r="O100" i="23"/>
  <c r="O101" i="23"/>
  <c r="O102" i="23"/>
  <c r="O103" i="23"/>
  <c r="O104" i="23"/>
  <c r="O105" i="23"/>
  <c r="O106" i="23"/>
  <c r="O107" i="23"/>
  <c r="O108" i="23"/>
  <c r="O109" i="23"/>
  <c r="O110" i="23"/>
  <c r="O111" i="23"/>
  <c r="O112" i="23"/>
  <c r="O113" i="23"/>
  <c r="O114" i="23"/>
  <c r="O115" i="23"/>
  <c r="O116" i="23"/>
  <c r="O117" i="23"/>
  <c r="O118" i="23"/>
  <c r="O119" i="23"/>
  <c r="O120" i="23"/>
  <c r="O121" i="23"/>
  <c r="O122" i="23"/>
  <c r="O123" i="23"/>
  <c r="O124" i="23"/>
  <c r="O125" i="23"/>
  <c r="O126" i="23"/>
  <c r="O127" i="23"/>
  <c r="O128" i="23"/>
  <c r="O129" i="23"/>
  <c r="O130" i="23"/>
  <c r="O131" i="23"/>
  <c r="O132" i="23"/>
  <c r="O133" i="23"/>
  <c r="O134" i="23"/>
  <c r="O135" i="23"/>
  <c r="O136" i="23"/>
  <c r="O137" i="23"/>
  <c r="O138" i="23"/>
  <c r="O139" i="23"/>
  <c r="O140" i="23"/>
  <c r="O141" i="23"/>
  <c r="O142" i="23"/>
  <c r="O143" i="23"/>
  <c r="O144" i="23"/>
  <c r="O145" i="23"/>
  <c r="O146" i="23"/>
  <c r="O147" i="23"/>
  <c r="O148" i="23"/>
  <c r="O149" i="23"/>
  <c r="O150" i="23"/>
  <c r="O151" i="23"/>
  <c r="O152" i="23"/>
  <c r="O153" i="23"/>
  <c r="O154" i="23"/>
  <c r="O155" i="23"/>
  <c r="O156" i="23"/>
  <c r="O157" i="23"/>
  <c r="O158" i="23"/>
  <c r="O159" i="23"/>
  <c r="O160" i="23"/>
  <c r="O161" i="23"/>
  <c r="O162" i="23"/>
  <c r="O163" i="23"/>
  <c r="O164" i="23"/>
  <c r="O165" i="23"/>
  <c r="O166" i="23"/>
  <c r="O167" i="23"/>
  <c r="O168" i="23"/>
  <c r="O169" i="23"/>
  <c r="O170" i="23"/>
  <c r="O171" i="23"/>
  <c r="O172" i="23"/>
  <c r="O173" i="23"/>
  <c r="O174" i="23"/>
  <c r="O175" i="23"/>
  <c r="O176" i="23"/>
  <c r="O177" i="23"/>
  <c r="O178" i="23"/>
  <c r="O179" i="23"/>
  <c r="O180" i="23"/>
  <c r="O181" i="23"/>
  <c r="O182" i="23"/>
  <c r="O183" i="23"/>
  <c r="O184" i="23"/>
  <c r="O185" i="23"/>
  <c r="O186" i="23"/>
  <c r="O187" i="23"/>
  <c r="O188" i="23"/>
  <c r="O189" i="23"/>
  <c r="O190" i="23"/>
  <c r="O191" i="23"/>
  <c r="O192" i="23"/>
  <c r="O193" i="23"/>
  <c r="O194" i="23"/>
  <c r="O195" i="23"/>
  <c r="O196" i="23"/>
  <c r="O197" i="23"/>
  <c r="O198" i="23"/>
  <c r="O199" i="23"/>
  <c r="O200" i="23"/>
  <c r="O201" i="23"/>
  <c r="O202" i="23"/>
  <c r="O203" i="23"/>
  <c r="O204" i="23"/>
  <c r="O205" i="23"/>
  <c r="O206" i="23"/>
  <c r="O207" i="23"/>
  <c r="O208" i="23"/>
  <c r="O209" i="23"/>
  <c r="O210" i="23"/>
  <c r="O211" i="23"/>
  <c r="O212" i="23"/>
  <c r="O213" i="23"/>
  <c r="O214" i="23"/>
  <c r="O215" i="23"/>
  <c r="O216" i="23"/>
  <c r="O217" i="23"/>
  <c r="O218" i="23"/>
  <c r="O219" i="23"/>
  <c r="O220" i="23"/>
  <c r="O221" i="23"/>
  <c r="O222" i="23"/>
  <c r="O223" i="23"/>
  <c r="O224" i="23"/>
  <c r="O225" i="23"/>
  <c r="O226" i="23"/>
  <c r="O227" i="23"/>
  <c r="O228" i="23"/>
  <c r="O229" i="23"/>
  <c r="O230" i="23"/>
  <c r="O231" i="23"/>
  <c r="O232" i="23"/>
  <c r="O233" i="23"/>
  <c r="O234" i="23"/>
  <c r="O235" i="23"/>
  <c r="O236" i="23"/>
  <c r="O237" i="23"/>
  <c r="O238" i="23"/>
  <c r="O239" i="23"/>
  <c r="O240" i="23"/>
  <c r="O241" i="23"/>
  <c r="O242" i="23"/>
  <c r="O243" i="23"/>
  <c r="O244" i="23"/>
  <c r="O245" i="23"/>
  <c r="O246" i="23"/>
  <c r="O247" i="23"/>
  <c r="O248" i="23"/>
  <c r="O249" i="23"/>
  <c r="O250" i="23"/>
  <c r="O251" i="23"/>
  <c r="O252" i="23"/>
  <c r="O253" i="23"/>
  <c r="O254" i="23"/>
  <c r="O255" i="23"/>
  <c r="O256" i="23"/>
  <c r="O257" i="23"/>
  <c r="O258" i="23"/>
  <c r="O259" i="23"/>
  <c r="O260" i="23"/>
  <c r="O261" i="23"/>
  <c r="O262" i="23"/>
  <c r="O263" i="23"/>
  <c r="O264" i="23"/>
  <c r="O265" i="23"/>
  <c r="O266" i="23"/>
  <c r="O267" i="23"/>
  <c r="O268" i="23"/>
  <c r="O269" i="23"/>
  <c r="O270" i="23"/>
  <c r="O271" i="23"/>
  <c r="O272" i="23"/>
  <c r="O273" i="23"/>
  <c r="O274" i="23"/>
  <c r="O275" i="23"/>
  <c r="O276" i="23"/>
  <c r="O277" i="23"/>
  <c r="O278" i="23"/>
  <c r="O279" i="23"/>
  <c r="O280" i="23"/>
  <c r="O281" i="23"/>
  <c r="O282" i="23"/>
  <c r="O283" i="23"/>
  <c r="O284" i="23"/>
  <c r="O285" i="23"/>
  <c r="O286" i="23"/>
  <c r="O287" i="23"/>
  <c r="O288" i="23"/>
  <c r="O289" i="23"/>
  <c r="O290" i="23"/>
  <c r="O291" i="23"/>
  <c r="O292" i="23"/>
  <c r="O293" i="23"/>
  <c r="O294" i="23"/>
  <c r="O295" i="23"/>
  <c r="O296" i="23"/>
  <c r="O297" i="23"/>
  <c r="O298" i="23"/>
  <c r="O299" i="23"/>
  <c r="O300" i="23"/>
  <c r="O301" i="23"/>
  <c r="O302" i="23"/>
  <c r="O303" i="23"/>
  <c r="O304" i="23"/>
  <c r="O305" i="23"/>
  <c r="O306" i="23"/>
  <c r="O307" i="23"/>
  <c r="O308" i="23"/>
  <c r="O309" i="23"/>
  <c r="O310" i="23"/>
  <c r="O311" i="23"/>
  <c r="O312" i="23"/>
  <c r="O313" i="23"/>
  <c r="O314" i="23"/>
  <c r="O315" i="23"/>
  <c r="O316" i="23"/>
  <c r="O317" i="23"/>
  <c r="O318" i="23"/>
  <c r="O319" i="23"/>
  <c r="O320" i="23"/>
  <c r="O321" i="23"/>
  <c r="O322" i="23"/>
  <c r="O323" i="23"/>
  <c r="O324" i="23"/>
  <c r="O325" i="23"/>
  <c r="O326" i="23"/>
  <c r="O327" i="23"/>
  <c r="O328" i="23"/>
  <c r="O329" i="23"/>
  <c r="O330" i="23"/>
  <c r="O331" i="23"/>
  <c r="O332" i="23"/>
  <c r="O333" i="23"/>
  <c r="O334" i="23"/>
  <c r="O335" i="23"/>
  <c r="O336" i="23"/>
  <c r="O337" i="23"/>
  <c r="O338" i="23"/>
  <c r="O339" i="23"/>
  <c r="O340" i="23"/>
  <c r="O341" i="23"/>
  <c r="O342" i="23"/>
  <c r="O343" i="23"/>
  <c r="O344" i="23"/>
  <c r="O345" i="23"/>
  <c r="O346" i="23"/>
  <c r="O347" i="23"/>
  <c r="O348" i="23"/>
  <c r="O349" i="23"/>
  <c r="O350" i="23"/>
  <c r="O351" i="23"/>
  <c r="O352" i="23"/>
  <c r="O353" i="23"/>
  <c r="O354" i="23"/>
  <c r="O355" i="23"/>
  <c r="O356" i="23"/>
  <c r="O357" i="23"/>
  <c r="O358" i="23"/>
  <c r="O359" i="23"/>
  <c r="O360" i="23"/>
  <c r="O361" i="23"/>
  <c r="O362" i="23"/>
  <c r="O363" i="23"/>
  <c r="O364" i="23"/>
  <c r="O365" i="23"/>
  <c r="O366" i="23"/>
  <c r="O367" i="23"/>
  <c r="O368" i="23"/>
  <c r="O369" i="23"/>
  <c r="O370" i="23"/>
  <c r="O371" i="23"/>
  <c r="O372" i="23"/>
  <c r="O373" i="23"/>
  <c r="O374" i="23"/>
  <c r="O375" i="23"/>
  <c r="O376" i="23"/>
  <c r="O377" i="23"/>
  <c r="O378" i="23"/>
  <c r="O379" i="23"/>
  <c r="O380" i="23"/>
  <c r="O381" i="23"/>
  <c r="O382" i="23"/>
  <c r="O383" i="23"/>
  <c r="O384" i="23"/>
  <c r="O385" i="23"/>
  <c r="O386" i="23"/>
  <c r="O387" i="23"/>
  <c r="O388" i="23"/>
  <c r="O389" i="23"/>
  <c r="O390" i="23"/>
  <c r="O391" i="23"/>
  <c r="O392" i="23"/>
  <c r="O393" i="23"/>
  <c r="O394" i="23"/>
  <c r="O395" i="23"/>
  <c r="O396" i="23"/>
  <c r="O397" i="23"/>
  <c r="O398" i="23"/>
  <c r="O399" i="23"/>
  <c r="O400" i="23"/>
  <c r="O401" i="23"/>
  <c r="O402" i="23"/>
  <c r="O403" i="23"/>
  <c r="O404" i="23"/>
  <c r="O405" i="23"/>
  <c r="O406" i="23"/>
  <c r="O407" i="23"/>
  <c r="O408" i="23"/>
  <c r="O409" i="23"/>
  <c r="O9" i="23"/>
  <c r="N9" i="23"/>
  <c r="N10" i="23"/>
  <c r="N11" i="23"/>
  <c r="N12" i="23"/>
  <c r="N13" i="23"/>
  <c r="N14" i="23"/>
  <c r="N15" i="23"/>
  <c r="N16" i="23"/>
  <c r="N17" i="23"/>
  <c r="N18" i="23"/>
  <c r="N19" i="23"/>
  <c r="N20" i="23"/>
  <c r="N21" i="23"/>
  <c r="N22" i="23"/>
  <c r="N23" i="23"/>
  <c r="N24" i="23"/>
  <c r="N25" i="23"/>
  <c r="N26" i="23"/>
  <c r="N27" i="23"/>
  <c r="N28" i="23"/>
  <c r="N29" i="23"/>
  <c r="N30" i="23"/>
  <c r="N31" i="23"/>
  <c r="N32" i="23"/>
  <c r="N33" i="23"/>
  <c r="N34" i="23"/>
  <c r="N35" i="23"/>
  <c r="N36" i="23"/>
  <c r="N37" i="23"/>
  <c r="N38" i="23"/>
  <c r="N39" i="23"/>
  <c r="N40" i="23"/>
  <c r="N41" i="23"/>
  <c r="N42" i="23"/>
  <c r="N43" i="23"/>
  <c r="N44" i="23"/>
  <c r="N45" i="23"/>
  <c r="N46" i="23"/>
  <c r="N47" i="23"/>
  <c r="N48" i="23"/>
  <c r="N49" i="23"/>
  <c r="N50" i="23"/>
  <c r="N51" i="23"/>
  <c r="N52" i="23"/>
  <c r="N53" i="23"/>
  <c r="N54" i="23"/>
  <c r="N55" i="23"/>
  <c r="N56" i="23"/>
  <c r="N57" i="23"/>
  <c r="N58" i="23"/>
  <c r="N59" i="23"/>
  <c r="N60" i="23"/>
  <c r="N61" i="23"/>
  <c r="N62" i="23"/>
  <c r="N63" i="23"/>
  <c r="N64" i="23"/>
  <c r="N65" i="23"/>
  <c r="N66" i="23"/>
  <c r="N67" i="23"/>
  <c r="N68" i="23"/>
  <c r="N69" i="23"/>
  <c r="N70" i="23"/>
  <c r="N71" i="23"/>
  <c r="N72" i="23"/>
  <c r="N73" i="23"/>
  <c r="N74" i="23"/>
  <c r="N75" i="23"/>
  <c r="N76" i="23"/>
  <c r="N77" i="23"/>
  <c r="N78" i="23"/>
  <c r="N79" i="23"/>
  <c r="N80" i="23"/>
  <c r="N81" i="23"/>
  <c r="N82" i="23"/>
  <c r="N83" i="23"/>
  <c r="N84" i="23"/>
  <c r="N85" i="23"/>
  <c r="N86" i="23"/>
  <c r="N87" i="23"/>
  <c r="N88" i="23"/>
  <c r="N89" i="23"/>
  <c r="N90" i="23"/>
  <c r="N91" i="23"/>
  <c r="N92" i="23"/>
  <c r="N93" i="23"/>
  <c r="N94" i="23"/>
  <c r="N95" i="23"/>
  <c r="N96" i="23"/>
  <c r="N97" i="23"/>
  <c r="N98" i="23"/>
  <c r="N99" i="23"/>
  <c r="N100" i="23"/>
  <c r="N101" i="23"/>
  <c r="N102" i="23"/>
  <c r="N103" i="23"/>
  <c r="N104" i="23"/>
  <c r="N105" i="23"/>
  <c r="N106" i="23"/>
  <c r="N107" i="23"/>
  <c r="N108" i="23"/>
  <c r="N109" i="23"/>
  <c r="N110" i="23"/>
  <c r="N111" i="23"/>
  <c r="N112" i="23"/>
  <c r="N113" i="23"/>
  <c r="N114" i="23"/>
  <c r="N115" i="23"/>
  <c r="N116" i="23"/>
  <c r="N117" i="23"/>
  <c r="N118" i="23"/>
  <c r="N119" i="23"/>
  <c r="N120" i="23"/>
  <c r="N121" i="23"/>
  <c r="N122" i="23"/>
  <c r="N123" i="23"/>
  <c r="N124" i="23"/>
  <c r="N125" i="23"/>
  <c r="N126" i="23"/>
  <c r="N127" i="23"/>
  <c r="N128" i="23"/>
  <c r="N129" i="23"/>
  <c r="N130" i="23"/>
  <c r="N131" i="23"/>
  <c r="N132" i="23"/>
  <c r="N133" i="23"/>
  <c r="N134" i="23"/>
  <c r="N135" i="23"/>
  <c r="N136" i="23"/>
  <c r="N137" i="23"/>
  <c r="N138" i="23"/>
  <c r="N139" i="23"/>
  <c r="N140" i="23"/>
  <c r="N141" i="23"/>
  <c r="N142" i="23"/>
  <c r="N143" i="23"/>
  <c r="N144" i="23"/>
  <c r="N145" i="23"/>
  <c r="N146" i="23"/>
  <c r="N147" i="23"/>
  <c r="N148" i="23"/>
  <c r="N149" i="23"/>
  <c r="N150" i="23"/>
  <c r="N151" i="23"/>
  <c r="N152" i="23"/>
  <c r="N153" i="23"/>
  <c r="N154" i="23"/>
  <c r="N155" i="23"/>
  <c r="N156" i="23"/>
  <c r="N157" i="23"/>
  <c r="N158" i="23"/>
  <c r="N159" i="23"/>
  <c r="N160" i="23"/>
  <c r="N161" i="23"/>
  <c r="N162" i="23"/>
  <c r="N163" i="23"/>
  <c r="N164" i="23"/>
  <c r="N165" i="23"/>
  <c r="N166" i="23"/>
  <c r="N167" i="23"/>
  <c r="N168" i="23"/>
  <c r="N169" i="23"/>
  <c r="N170" i="23"/>
  <c r="N171" i="23"/>
  <c r="N172" i="23"/>
  <c r="N173" i="23"/>
  <c r="N174" i="23"/>
  <c r="N175" i="23"/>
  <c r="N176" i="23"/>
  <c r="N177" i="23"/>
  <c r="N178" i="23"/>
  <c r="N179" i="23"/>
  <c r="N180" i="23"/>
  <c r="N181" i="23"/>
  <c r="N182" i="23"/>
  <c r="N183" i="23"/>
  <c r="N184" i="23"/>
  <c r="N185" i="23"/>
  <c r="N186" i="23"/>
  <c r="N187" i="23"/>
  <c r="N188" i="23"/>
  <c r="N189" i="23"/>
  <c r="N190" i="23"/>
  <c r="N191" i="23"/>
  <c r="N192" i="23"/>
  <c r="N193" i="23"/>
  <c r="N194" i="23"/>
  <c r="N195" i="23"/>
  <c r="N196" i="23"/>
  <c r="N197" i="23"/>
  <c r="N198" i="23"/>
  <c r="N199" i="23"/>
  <c r="N200" i="23"/>
  <c r="N201" i="23"/>
  <c r="N202" i="23"/>
  <c r="N203" i="23"/>
  <c r="N204" i="23"/>
  <c r="N205" i="23"/>
  <c r="N206" i="23"/>
  <c r="N207" i="23"/>
  <c r="N208" i="23"/>
  <c r="N209" i="23"/>
  <c r="N210" i="23"/>
  <c r="N211" i="23"/>
  <c r="N212" i="23"/>
  <c r="N213" i="23"/>
  <c r="N214" i="23"/>
  <c r="N215" i="23"/>
  <c r="N216" i="23"/>
  <c r="N217" i="23"/>
  <c r="N218" i="23"/>
  <c r="N219" i="23"/>
  <c r="N220" i="23"/>
  <c r="N221" i="23"/>
  <c r="N222" i="23"/>
  <c r="N223" i="23"/>
  <c r="N224" i="23"/>
  <c r="N225" i="23"/>
  <c r="N226" i="23"/>
  <c r="N227" i="23"/>
  <c r="N228" i="23"/>
  <c r="N229" i="23"/>
  <c r="N230" i="23"/>
  <c r="N231" i="23"/>
  <c r="N232" i="23"/>
  <c r="N233" i="23"/>
  <c r="N234" i="23"/>
  <c r="N235" i="23"/>
  <c r="N236" i="23"/>
  <c r="N237" i="23"/>
  <c r="N238" i="23"/>
  <c r="N239" i="23"/>
  <c r="N240" i="23"/>
  <c r="N241" i="23"/>
  <c r="N242" i="23"/>
  <c r="N243" i="23"/>
  <c r="N244" i="23"/>
  <c r="N245" i="23"/>
  <c r="N246" i="23"/>
  <c r="N247" i="23"/>
  <c r="N248" i="23"/>
  <c r="N249" i="23"/>
  <c r="N250" i="23"/>
  <c r="N251" i="23"/>
  <c r="N252" i="23"/>
  <c r="N253" i="23"/>
  <c r="N254" i="23"/>
  <c r="N255" i="23"/>
  <c r="N256" i="23"/>
  <c r="N257" i="23"/>
  <c r="N258" i="23"/>
  <c r="N259" i="23"/>
  <c r="N260" i="23"/>
  <c r="N261" i="23"/>
  <c r="N262" i="23"/>
  <c r="N263" i="23"/>
  <c r="N264" i="23"/>
  <c r="N265" i="23"/>
  <c r="N266" i="23"/>
  <c r="N267" i="23"/>
  <c r="N268" i="23"/>
  <c r="N269" i="23"/>
  <c r="N270" i="23"/>
  <c r="N271" i="23"/>
  <c r="N272" i="23"/>
  <c r="N273" i="23"/>
  <c r="N274" i="23"/>
  <c r="N275" i="23"/>
  <c r="N276" i="23"/>
  <c r="N277" i="23"/>
  <c r="N278" i="23"/>
  <c r="N279" i="23"/>
  <c r="N280" i="23"/>
  <c r="N281" i="23"/>
  <c r="N282" i="23"/>
  <c r="N283" i="23"/>
  <c r="N284" i="23"/>
  <c r="N285" i="23"/>
  <c r="N286" i="23"/>
  <c r="N287" i="23"/>
  <c r="N288" i="23"/>
  <c r="N289" i="23"/>
  <c r="N290" i="23"/>
  <c r="N291" i="23"/>
  <c r="N292" i="23"/>
  <c r="N293" i="23"/>
  <c r="N294" i="23"/>
  <c r="N295" i="23"/>
  <c r="N296" i="23"/>
  <c r="N297" i="23"/>
  <c r="N298" i="23"/>
  <c r="N299" i="23"/>
  <c r="N300" i="23"/>
  <c r="N301" i="23"/>
  <c r="N302" i="23"/>
  <c r="N303" i="23"/>
  <c r="N304" i="23"/>
  <c r="N305" i="23"/>
  <c r="N306" i="23"/>
  <c r="N307" i="23"/>
  <c r="N308" i="23"/>
  <c r="N309" i="23"/>
  <c r="N310" i="23"/>
  <c r="N311" i="23"/>
  <c r="N312" i="23"/>
  <c r="N313" i="23"/>
  <c r="N314" i="23"/>
  <c r="N315" i="23"/>
  <c r="N316" i="23"/>
  <c r="N317" i="23"/>
  <c r="N318" i="23"/>
  <c r="N319" i="23"/>
  <c r="N320" i="23"/>
  <c r="N321" i="23"/>
  <c r="N322" i="23"/>
  <c r="N323" i="23"/>
  <c r="N324" i="23"/>
  <c r="N325" i="23"/>
  <c r="N326" i="23"/>
  <c r="N327" i="23"/>
  <c r="N328" i="23"/>
  <c r="N329" i="23"/>
  <c r="N330" i="23"/>
  <c r="N331" i="23"/>
  <c r="N332" i="23"/>
  <c r="N333" i="23"/>
  <c r="N334" i="23"/>
  <c r="N335" i="23"/>
  <c r="N336" i="23"/>
  <c r="N337" i="23"/>
  <c r="N338" i="23"/>
  <c r="N339" i="23"/>
  <c r="N340" i="23"/>
  <c r="N341" i="23"/>
  <c r="N342" i="23"/>
  <c r="N343" i="23"/>
  <c r="N344" i="23"/>
  <c r="N345" i="23"/>
  <c r="N346" i="23"/>
  <c r="N347" i="23"/>
  <c r="N348" i="23"/>
  <c r="N349" i="23"/>
  <c r="N350" i="23"/>
  <c r="N351" i="23"/>
  <c r="N352" i="23"/>
  <c r="N353" i="23"/>
  <c r="N354" i="23"/>
  <c r="N355" i="23"/>
  <c r="N356" i="23"/>
  <c r="N357" i="23"/>
  <c r="N358" i="23"/>
  <c r="N359" i="23"/>
  <c r="N360" i="23"/>
  <c r="N361" i="23"/>
  <c r="N362" i="23"/>
  <c r="N363" i="23"/>
  <c r="N364" i="23"/>
  <c r="N365" i="23"/>
  <c r="N366" i="23"/>
  <c r="N367" i="23"/>
  <c r="N368" i="23"/>
  <c r="N369" i="23"/>
  <c r="N370" i="23"/>
  <c r="N371" i="23"/>
  <c r="N372" i="23"/>
  <c r="N373" i="23"/>
  <c r="N374" i="23"/>
  <c r="N375" i="23"/>
  <c r="N376" i="23"/>
  <c r="N377" i="23"/>
  <c r="N378" i="23"/>
  <c r="N379" i="23"/>
  <c r="N380" i="23"/>
  <c r="N381" i="23"/>
  <c r="N382" i="23"/>
  <c r="N383" i="23"/>
  <c r="N384" i="23"/>
  <c r="N385" i="23"/>
  <c r="N386" i="23"/>
  <c r="N387" i="23"/>
  <c r="N388" i="23"/>
  <c r="N389" i="23"/>
  <c r="N390" i="23"/>
  <c r="N391" i="23"/>
  <c r="N392" i="23"/>
  <c r="N393" i="23"/>
  <c r="N394" i="23"/>
  <c r="N395" i="23"/>
  <c r="N396" i="23"/>
  <c r="N397" i="23"/>
  <c r="N398" i="23"/>
  <c r="N399" i="23"/>
  <c r="N400" i="23"/>
  <c r="N401" i="23"/>
  <c r="N402" i="23"/>
  <c r="N403" i="23"/>
  <c r="N404" i="23"/>
  <c r="N405" i="23"/>
  <c r="N406" i="23"/>
  <c r="N407" i="23"/>
  <c r="N408" i="23"/>
  <c r="N409" i="23"/>
  <c r="L10" i="23"/>
  <c r="M10" i="23" s="1"/>
  <c r="L11" i="23"/>
  <c r="M11" i="23" s="1"/>
  <c r="L12" i="23"/>
  <c r="M12" i="23" s="1"/>
  <c r="L13" i="23"/>
  <c r="M13" i="23" s="1"/>
  <c r="L14" i="23"/>
  <c r="M14" i="23" s="1"/>
  <c r="L15" i="23"/>
  <c r="M15" i="23" s="1"/>
  <c r="L16" i="23"/>
  <c r="M16" i="23" s="1"/>
  <c r="L17" i="23"/>
  <c r="M17" i="23" s="1"/>
  <c r="L18" i="23"/>
  <c r="M18" i="23" s="1"/>
  <c r="L19" i="23"/>
  <c r="M19" i="23" s="1"/>
  <c r="L20" i="23"/>
  <c r="M20" i="23" s="1"/>
  <c r="L21" i="23"/>
  <c r="M21" i="23" s="1"/>
  <c r="L22" i="23"/>
  <c r="M22" i="23" s="1"/>
  <c r="L23" i="23"/>
  <c r="M23" i="23" s="1"/>
  <c r="L24" i="23"/>
  <c r="M24" i="23" s="1"/>
  <c r="L25" i="23"/>
  <c r="M25" i="23" s="1"/>
  <c r="L26" i="23"/>
  <c r="M26" i="23" s="1"/>
  <c r="L27" i="23"/>
  <c r="M27" i="23" s="1"/>
  <c r="L28" i="23"/>
  <c r="M28" i="23" s="1"/>
  <c r="L29" i="23"/>
  <c r="M29" i="23" s="1"/>
  <c r="L30" i="23"/>
  <c r="M30" i="23" s="1"/>
  <c r="L31" i="23"/>
  <c r="M31" i="23" s="1"/>
  <c r="L32" i="23"/>
  <c r="M32" i="23" s="1"/>
  <c r="L33" i="23"/>
  <c r="M33" i="23" s="1"/>
  <c r="L34" i="23"/>
  <c r="M34" i="23" s="1"/>
  <c r="L35" i="23"/>
  <c r="M35" i="23" s="1"/>
  <c r="L36" i="23"/>
  <c r="M36" i="23" s="1"/>
  <c r="L37" i="23"/>
  <c r="M37" i="23" s="1"/>
  <c r="L38" i="23"/>
  <c r="M38" i="23" s="1"/>
  <c r="L39" i="23"/>
  <c r="M39" i="23" s="1"/>
  <c r="L40" i="23"/>
  <c r="M40" i="23" s="1"/>
  <c r="L41" i="23"/>
  <c r="M41" i="23" s="1"/>
  <c r="L42" i="23"/>
  <c r="M42" i="23" s="1"/>
  <c r="L43" i="23"/>
  <c r="M43" i="23" s="1"/>
  <c r="L44" i="23"/>
  <c r="M44" i="23" s="1"/>
  <c r="L45" i="23"/>
  <c r="M45" i="23" s="1"/>
  <c r="L46" i="23"/>
  <c r="M46" i="23" s="1"/>
  <c r="L47" i="23"/>
  <c r="M47" i="23" s="1"/>
  <c r="L48" i="23"/>
  <c r="M48" i="23" s="1"/>
  <c r="L49" i="23"/>
  <c r="M49" i="23" s="1"/>
  <c r="L50" i="23"/>
  <c r="M50" i="23" s="1"/>
  <c r="L51" i="23"/>
  <c r="M51" i="23" s="1"/>
  <c r="L52" i="23"/>
  <c r="M52" i="23" s="1"/>
  <c r="L53" i="23"/>
  <c r="M53" i="23" s="1"/>
  <c r="L54" i="23"/>
  <c r="M54" i="23" s="1"/>
  <c r="L55" i="23"/>
  <c r="M55" i="23" s="1"/>
  <c r="L56" i="23"/>
  <c r="M56" i="23" s="1"/>
  <c r="L57" i="23"/>
  <c r="M57" i="23" s="1"/>
  <c r="L58" i="23"/>
  <c r="M58" i="23" s="1"/>
  <c r="L59" i="23"/>
  <c r="M59" i="23" s="1"/>
  <c r="L60" i="23"/>
  <c r="M60" i="23" s="1"/>
  <c r="L61" i="23"/>
  <c r="M61" i="23" s="1"/>
  <c r="L62" i="23"/>
  <c r="M62" i="23" s="1"/>
  <c r="L63" i="23"/>
  <c r="M63" i="23" s="1"/>
  <c r="L64" i="23"/>
  <c r="M64" i="23" s="1"/>
  <c r="L65" i="23"/>
  <c r="M65" i="23" s="1"/>
  <c r="L66" i="23"/>
  <c r="M66" i="23" s="1"/>
  <c r="L67" i="23"/>
  <c r="M67" i="23" s="1"/>
  <c r="L68" i="23"/>
  <c r="M68" i="23" s="1"/>
  <c r="L69" i="23"/>
  <c r="M69" i="23" s="1"/>
  <c r="L70" i="23"/>
  <c r="M70" i="23" s="1"/>
  <c r="L71" i="23"/>
  <c r="M71" i="23" s="1"/>
  <c r="L72" i="23"/>
  <c r="M72" i="23" s="1"/>
  <c r="L73" i="23"/>
  <c r="M73" i="23" s="1"/>
  <c r="L74" i="23"/>
  <c r="M74" i="23" s="1"/>
  <c r="L75" i="23"/>
  <c r="M75" i="23" s="1"/>
  <c r="L76" i="23"/>
  <c r="M76" i="23" s="1"/>
  <c r="L77" i="23"/>
  <c r="M77" i="23" s="1"/>
  <c r="L78" i="23"/>
  <c r="M78" i="23" s="1"/>
  <c r="L79" i="23"/>
  <c r="M79" i="23" s="1"/>
  <c r="L80" i="23"/>
  <c r="M80" i="23" s="1"/>
  <c r="L81" i="23"/>
  <c r="M81" i="23" s="1"/>
  <c r="L82" i="23"/>
  <c r="M82" i="23" s="1"/>
  <c r="L83" i="23"/>
  <c r="M83" i="23" s="1"/>
  <c r="L84" i="23"/>
  <c r="M84" i="23" s="1"/>
  <c r="L85" i="23"/>
  <c r="M85" i="23" s="1"/>
  <c r="L86" i="23"/>
  <c r="M86" i="23" s="1"/>
  <c r="L87" i="23"/>
  <c r="M87" i="23" s="1"/>
  <c r="L88" i="23"/>
  <c r="M88" i="23" s="1"/>
  <c r="L89" i="23"/>
  <c r="M89" i="23" s="1"/>
  <c r="L90" i="23"/>
  <c r="M90" i="23" s="1"/>
  <c r="L91" i="23"/>
  <c r="M91" i="23" s="1"/>
  <c r="L92" i="23"/>
  <c r="M92" i="23" s="1"/>
  <c r="L93" i="23"/>
  <c r="M93" i="23" s="1"/>
  <c r="L94" i="23"/>
  <c r="M94" i="23" s="1"/>
  <c r="L95" i="23"/>
  <c r="M95" i="23" s="1"/>
  <c r="L96" i="23"/>
  <c r="M96" i="23" s="1"/>
  <c r="L97" i="23"/>
  <c r="M97" i="23" s="1"/>
  <c r="L98" i="23"/>
  <c r="M98" i="23" s="1"/>
  <c r="L9" i="23"/>
  <c r="M9" i="23" s="1"/>
  <c r="L100" i="23"/>
  <c r="M100" i="23" s="1"/>
  <c r="L101" i="23"/>
  <c r="M101" i="23" s="1"/>
  <c r="L102" i="23"/>
  <c r="M102" i="23" s="1"/>
  <c r="L103" i="23"/>
  <c r="M103" i="23" s="1"/>
  <c r="L104" i="23"/>
  <c r="M104" i="23" s="1"/>
  <c r="L105" i="23"/>
  <c r="M105" i="23" s="1"/>
  <c r="L106" i="23"/>
  <c r="M106" i="23" s="1"/>
  <c r="L107" i="23"/>
  <c r="M107" i="23" s="1"/>
  <c r="L108" i="23"/>
  <c r="M108" i="23" s="1"/>
  <c r="L109" i="23"/>
  <c r="M109" i="23" s="1"/>
  <c r="L110" i="23"/>
  <c r="M110" i="23" s="1"/>
  <c r="L111" i="23"/>
  <c r="M111" i="23" s="1"/>
  <c r="L112" i="23"/>
  <c r="M112" i="23" s="1"/>
  <c r="L113" i="23"/>
  <c r="M113" i="23" s="1"/>
  <c r="L114" i="23"/>
  <c r="M114" i="23" s="1"/>
  <c r="L115" i="23"/>
  <c r="M115" i="23" s="1"/>
  <c r="L116" i="23"/>
  <c r="M116" i="23" s="1"/>
  <c r="L117" i="23"/>
  <c r="M117" i="23" s="1"/>
  <c r="L118" i="23"/>
  <c r="M118" i="23" s="1"/>
  <c r="L119" i="23"/>
  <c r="M119" i="23" s="1"/>
  <c r="L120" i="23"/>
  <c r="M120" i="23" s="1"/>
  <c r="L121" i="23"/>
  <c r="M121" i="23" s="1"/>
  <c r="L122" i="23"/>
  <c r="M122" i="23" s="1"/>
  <c r="L123" i="23"/>
  <c r="M123" i="23" s="1"/>
  <c r="L124" i="23"/>
  <c r="M124" i="23" s="1"/>
  <c r="L125" i="23"/>
  <c r="M125" i="23" s="1"/>
  <c r="L126" i="23"/>
  <c r="M126" i="23" s="1"/>
  <c r="L127" i="23"/>
  <c r="M127" i="23" s="1"/>
  <c r="L128" i="23"/>
  <c r="M128" i="23" s="1"/>
  <c r="L129" i="23"/>
  <c r="M129" i="23" s="1"/>
  <c r="L130" i="23"/>
  <c r="M130" i="23" s="1"/>
  <c r="L131" i="23"/>
  <c r="M131" i="23" s="1"/>
  <c r="L132" i="23"/>
  <c r="M132" i="23" s="1"/>
  <c r="L133" i="23"/>
  <c r="M133" i="23" s="1"/>
  <c r="L134" i="23"/>
  <c r="M134" i="23" s="1"/>
  <c r="L135" i="23"/>
  <c r="M135" i="23" s="1"/>
  <c r="L136" i="23"/>
  <c r="M136" i="23" s="1"/>
  <c r="L137" i="23"/>
  <c r="M137" i="23" s="1"/>
  <c r="L138" i="23"/>
  <c r="M138" i="23" s="1"/>
  <c r="L139" i="23"/>
  <c r="M139" i="23" s="1"/>
  <c r="L140" i="23"/>
  <c r="M140" i="23" s="1"/>
  <c r="L141" i="23"/>
  <c r="M141" i="23" s="1"/>
  <c r="L142" i="23"/>
  <c r="M142" i="23" s="1"/>
  <c r="L143" i="23"/>
  <c r="M143" i="23" s="1"/>
  <c r="L144" i="23"/>
  <c r="M144" i="23" s="1"/>
  <c r="L145" i="23"/>
  <c r="M145" i="23" s="1"/>
  <c r="L146" i="23"/>
  <c r="M146" i="23" s="1"/>
  <c r="L147" i="23"/>
  <c r="M147" i="23" s="1"/>
  <c r="L148" i="23"/>
  <c r="M148" i="23" s="1"/>
  <c r="L149" i="23"/>
  <c r="M149" i="23" s="1"/>
  <c r="L150" i="23"/>
  <c r="M150" i="23" s="1"/>
  <c r="L151" i="23"/>
  <c r="M151" i="23" s="1"/>
  <c r="L152" i="23"/>
  <c r="M152" i="23" s="1"/>
  <c r="L153" i="23"/>
  <c r="M153" i="23" s="1"/>
  <c r="L154" i="23"/>
  <c r="M154" i="23" s="1"/>
  <c r="L155" i="23"/>
  <c r="M155" i="23" s="1"/>
  <c r="L156" i="23"/>
  <c r="M156" i="23" s="1"/>
  <c r="L157" i="23"/>
  <c r="M157" i="23" s="1"/>
  <c r="L158" i="23"/>
  <c r="M158" i="23" s="1"/>
  <c r="L159" i="23"/>
  <c r="M159" i="23" s="1"/>
  <c r="L160" i="23"/>
  <c r="M160" i="23" s="1"/>
  <c r="L161" i="23"/>
  <c r="M161" i="23" s="1"/>
  <c r="L162" i="23"/>
  <c r="M162" i="23" s="1"/>
  <c r="L163" i="23"/>
  <c r="M163" i="23" s="1"/>
  <c r="L164" i="23"/>
  <c r="M164" i="23" s="1"/>
  <c r="L165" i="23"/>
  <c r="M165" i="23" s="1"/>
  <c r="L166" i="23"/>
  <c r="M166" i="23" s="1"/>
  <c r="L167" i="23"/>
  <c r="M167" i="23" s="1"/>
  <c r="L168" i="23"/>
  <c r="M168" i="23" s="1"/>
  <c r="L169" i="23"/>
  <c r="M169" i="23" s="1"/>
  <c r="L170" i="23"/>
  <c r="M170" i="23" s="1"/>
  <c r="L171" i="23"/>
  <c r="M171" i="23" s="1"/>
  <c r="L172" i="23"/>
  <c r="M172" i="23" s="1"/>
  <c r="L173" i="23"/>
  <c r="M173" i="23" s="1"/>
  <c r="L174" i="23"/>
  <c r="M174" i="23" s="1"/>
  <c r="L175" i="23"/>
  <c r="M175" i="23" s="1"/>
  <c r="L176" i="23"/>
  <c r="M176" i="23" s="1"/>
  <c r="L177" i="23"/>
  <c r="M177" i="23" s="1"/>
  <c r="L178" i="23"/>
  <c r="M178" i="23" s="1"/>
  <c r="L179" i="23"/>
  <c r="M179" i="23" s="1"/>
  <c r="L180" i="23"/>
  <c r="M180" i="23" s="1"/>
  <c r="L181" i="23"/>
  <c r="M181" i="23" s="1"/>
  <c r="L182" i="23"/>
  <c r="M182" i="23" s="1"/>
  <c r="L183" i="23"/>
  <c r="M183" i="23" s="1"/>
  <c r="L184" i="23"/>
  <c r="M184" i="23" s="1"/>
  <c r="L185" i="23"/>
  <c r="M185" i="23" s="1"/>
  <c r="L186" i="23"/>
  <c r="M186" i="23" s="1"/>
  <c r="L187" i="23"/>
  <c r="M187" i="23" s="1"/>
  <c r="L188" i="23"/>
  <c r="M188" i="23" s="1"/>
  <c r="L189" i="23"/>
  <c r="M189" i="23" s="1"/>
  <c r="L190" i="23"/>
  <c r="M190" i="23" s="1"/>
  <c r="L191" i="23"/>
  <c r="M191" i="23" s="1"/>
  <c r="L192" i="23"/>
  <c r="M192" i="23" s="1"/>
  <c r="L193" i="23"/>
  <c r="M193" i="23" s="1"/>
  <c r="L194" i="23"/>
  <c r="M194" i="23" s="1"/>
  <c r="L195" i="23"/>
  <c r="M195" i="23" s="1"/>
  <c r="L196" i="23"/>
  <c r="M196" i="23" s="1"/>
  <c r="L197" i="23"/>
  <c r="M197" i="23" s="1"/>
  <c r="L198" i="23"/>
  <c r="M198" i="23" s="1"/>
  <c r="L199" i="23"/>
  <c r="M199" i="23" s="1"/>
  <c r="L200" i="23"/>
  <c r="M200" i="23" s="1"/>
  <c r="L201" i="23"/>
  <c r="M201" i="23" s="1"/>
  <c r="L202" i="23"/>
  <c r="M202" i="23" s="1"/>
  <c r="L203" i="23"/>
  <c r="M203" i="23" s="1"/>
  <c r="L204" i="23"/>
  <c r="M204" i="23" s="1"/>
  <c r="L205" i="23"/>
  <c r="M205" i="23" s="1"/>
  <c r="L206" i="23"/>
  <c r="M206" i="23" s="1"/>
  <c r="L207" i="23"/>
  <c r="M207" i="23" s="1"/>
  <c r="L208" i="23"/>
  <c r="M208" i="23" s="1"/>
  <c r="L209" i="23"/>
  <c r="M209" i="23" s="1"/>
  <c r="L210" i="23"/>
  <c r="M210" i="23" s="1"/>
  <c r="L211" i="23"/>
  <c r="M211" i="23" s="1"/>
  <c r="L212" i="23"/>
  <c r="M212" i="23" s="1"/>
  <c r="L213" i="23"/>
  <c r="M213" i="23" s="1"/>
  <c r="L214" i="23"/>
  <c r="M214" i="23" s="1"/>
  <c r="L215" i="23"/>
  <c r="M215" i="23" s="1"/>
  <c r="L216" i="23"/>
  <c r="M216" i="23" s="1"/>
  <c r="L217" i="23"/>
  <c r="M217" i="23" s="1"/>
  <c r="L218" i="23"/>
  <c r="M218" i="23" s="1"/>
  <c r="L219" i="23"/>
  <c r="M219" i="23" s="1"/>
  <c r="L220" i="23"/>
  <c r="M220" i="23" s="1"/>
  <c r="L221" i="23"/>
  <c r="M221" i="23" s="1"/>
  <c r="L222" i="23"/>
  <c r="M222" i="23" s="1"/>
  <c r="L223" i="23"/>
  <c r="M223" i="23" s="1"/>
  <c r="L224" i="23"/>
  <c r="M224" i="23" s="1"/>
  <c r="L225" i="23"/>
  <c r="M225" i="23" s="1"/>
  <c r="L226" i="23"/>
  <c r="M226" i="23" s="1"/>
  <c r="L227" i="23"/>
  <c r="M227" i="23" s="1"/>
  <c r="L228" i="23"/>
  <c r="M228" i="23" s="1"/>
  <c r="L229" i="23"/>
  <c r="M229" i="23" s="1"/>
  <c r="L230" i="23"/>
  <c r="M230" i="23" s="1"/>
  <c r="L231" i="23"/>
  <c r="M231" i="23" s="1"/>
  <c r="L232" i="23"/>
  <c r="M232" i="23" s="1"/>
  <c r="L233" i="23"/>
  <c r="M233" i="23" s="1"/>
  <c r="L234" i="23"/>
  <c r="M234" i="23" s="1"/>
  <c r="L235" i="23"/>
  <c r="M235" i="23" s="1"/>
  <c r="L236" i="23"/>
  <c r="M236" i="23" s="1"/>
  <c r="L237" i="23"/>
  <c r="M237" i="23" s="1"/>
  <c r="L238" i="23"/>
  <c r="M238" i="23" s="1"/>
  <c r="L239" i="23"/>
  <c r="M239" i="23" s="1"/>
  <c r="L240" i="23"/>
  <c r="M240" i="23" s="1"/>
  <c r="L241" i="23"/>
  <c r="M241" i="23" s="1"/>
  <c r="L242" i="23"/>
  <c r="M242" i="23" s="1"/>
  <c r="L243" i="23"/>
  <c r="M243" i="23" s="1"/>
  <c r="L244" i="23"/>
  <c r="M244" i="23" s="1"/>
  <c r="L245" i="23"/>
  <c r="M245" i="23" s="1"/>
  <c r="L246" i="23"/>
  <c r="M246" i="23" s="1"/>
  <c r="L247" i="23"/>
  <c r="M247" i="23" s="1"/>
  <c r="L248" i="23"/>
  <c r="M248" i="23" s="1"/>
  <c r="L249" i="23"/>
  <c r="M249" i="23" s="1"/>
  <c r="L250" i="23"/>
  <c r="M250" i="23" s="1"/>
  <c r="L251" i="23"/>
  <c r="M251" i="23" s="1"/>
  <c r="L252" i="23"/>
  <c r="M252" i="23" s="1"/>
  <c r="L253" i="23"/>
  <c r="M253" i="23" s="1"/>
  <c r="L254" i="23"/>
  <c r="M254" i="23" s="1"/>
  <c r="L255" i="23"/>
  <c r="M255" i="23" s="1"/>
  <c r="L256" i="23"/>
  <c r="M256" i="23" s="1"/>
  <c r="L257" i="23"/>
  <c r="M257" i="23" s="1"/>
  <c r="L258" i="23"/>
  <c r="M258" i="23" s="1"/>
  <c r="L259" i="23"/>
  <c r="M259" i="23" s="1"/>
  <c r="L260" i="23"/>
  <c r="M260" i="23" s="1"/>
  <c r="L261" i="23"/>
  <c r="M261" i="23" s="1"/>
  <c r="L262" i="23"/>
  <c r="M262" i="23" s="1"/>
  <c r="L263" i="23"/>
  <c r="M263" i="23" s="1"/>
  <c r="L264" i="23"/>
  <c r="M264" i="23" s="1"/>
  <c r="L265" i="23"/>
  <c r="M265" i="23" s="1"/>
  <c r="L266" i="23"/>
  <c r="M266" i="23" s="1"/>
  <c r="L267" i="23"/>
  <c r="M267" i="23" s="1"/>
  <c r="L268" i="23"/>
  <c r="M268" i="23" s="1"/>
  <c r="L269" i="23"/>
  <c r="M269" i="23" s="1"/>
  <c r="L270" i="23"/>
  <c r="M270" i="23" s="1"/>
  <c r="L271" i="23"/>
  <c r="M271" i="23" s="1"/>
  <c r="L272" i="23"/>
  <c r="M272" i="23" s="1"/>
  <c r="L273" i="23"/>
  <c r="M273" i="23" s="1"/>
  <c r="L274" i="23"/>
  <c r="M274" i="23" s="1"/>
  <c r="L275" i="23"/>
  <c r="M275" i="23" s="1"/>
  <c r="L276" i="23"/>
  <c r="M276" i="23" s="1"/>
  <c r="L277" i="23"/>
  <c r="M277" i="23" s="1"/>
  <c r="L278" i="23"/>
  <c r="M278" i="23" s="1"/>
  <c r="L279" i="23"/>
  <c r="M279" i="23" s="1"/>
  <c r="L280" i="23"/>
  <c r="M280" i="23" s="1"/>
  <c r="L281" i="23"/>
  <c r="M281" i="23" s="1"/>
  <c r="L282" i="23"/>
  <c r="M282" i="23" s="1"/>
  <c r="L283" i="23"/>
  <c r="M283" i="23" s="1"/>
  <c r="L284" i="23"/>
  <c r="M284" i="23" s="1"/>
  <c r="L285" i="23"/>
  <c r="M285" i="23" s="1"/>
  <c r="L286" i="23"/>
  <c r="M286" i="23" s="1"/>
  <c r="L287" i="23"/>
  <c r="M287" i="23" s="1"/>
  <c r="L288" i="23"/>
  <c r="M288" i="23" s="1"/>
  <c r="L289" i="23"/>
  <c r="M289" i="23" s="1"/>
  <c r="L290" i="23"/>
  <c r="M290" i="23" s="1"/>
  <c r="L291" i="23"/>
  <c r="M291" i="23" s="1"/>
  <c r="L292" i="23"/>
  <c r="M292" i="23" s="1"/>
  <c r="L293" i="23"/>
  <c r="M293" i="23" s="1"/>
  <c r="L294" i="23"/>
  <c r="M294" i="23" s="1"/>
  <c r="L295" i="23"/>
  <c r="M295" i="23" s="1"/>
  <c r="L296" i="23"/>
  <c r="M296" i="23" s="1"/>
  <c r="L297" i="23"/>
  <c r="M297" i="23" s="1"/>
  <c r="L298" i="23"/>
  <c r="M298" i="23" s="1"/>
  <c r="L299" i="23"/>
  <c r="M299" i="23" s="1"/>
  <c r="L300" i="23"/>
  <c r="M300" i="23" s="1"/>
  <c r="L301" i="23"/>
  <c r="M301" i="23" s="1"/>
  <c r="L302" i="23"/>
  <c r="M302" i="23" s="1"/>
  <c r="L303" i="23"/>
  <c r="M303" i="23" s="1"/>
  <c r="L304" i="23"/>
  <c r="M304" i="23" s="1"/>
  <c r="L305" i="23"/>
  <c r="M305" i="23" s="1"/>
  <c r="L306" i="23"/>
  <c r="M306" i="23" s="1"/>
  <c r="L307" i="23"/>
  <c r="M307" i="23" s="1"/>
  <c r="L308" i="23"/>
  <c r="M308" i="23" s="1"/>
  <c r="L309" i="23"/>
  <c r="M309" i="23" s="1"/>
  <c r="L310" i="23"/>
  <c r="M310" i="23" s="1"/>
  <c r="L311" i="23"/>
  <c r="M311" i="23" s="1"/>
  <c r="L312" i="23"/>
  <c r="M312" i="23" s="1"/>
  <c r="L313" i="23"/>
  <c r="M313" i="23" s="1"/>
  <c r="L314" i="23"/>
  <c r="M314" i="23" s="1"/>
  <c r="L315" i="23"/>
  <c r="M315" i="23" s="1"/>
  <c r="L316" i="23"/>
  <c r="M316" i="23" s="1"/>
  <c r="L317" i="23"/>
  <c r="M317" i="23" s="1"/>
  <c r="L318" i="23"/>
  <c r="M318" i="23" s="1"/>
  <c r="L319" i="23"/>
  <c r="M319" i="23" s="1"/>
  <c r="L320" i="23"/>
  <c r="M320" i="23" s="1"/>
  <c r="L321" i="23"/>
  <c r="M321" i="23" s="1"/>
  <c r="L322" i="23"/>
  <c r="M322" i="23" s="1"/>
  <c r="L323" i="23"/>
  <c r="M323" i="23" s="1"/>
  <c r="L324" i="23"/>
  <c r="M324" i="23" s="1"/>
  <c r="L325" i="23"/>
  <c r="M325" i="23" s="1"/>
  <c r="L326" i="23"/>
  <c r="M326" i="23" s="1"/>
  <c r="L327" i="23"/>
  <c r="M327" i="23" s="1"/>
  <c r="L328" i="23"/>
  <c r="M328" i="23" s="1"/>
  <c r="L329" i="23"/>
  <c r="M329" i="23" s="1"/>
  <c r="L330" i="23"/>
  <c r="M330" i="23" s="1"/>
  <c r="L331" i="23"/>
  <c r="M331" i="23" s="1"/>
  <c r="L332" i="23"/>
  <c r="M332" i="23" s="1"/>
  <c r="L333" i="23"/>
  <c r="M333" i="23" s="1"/>
  <c r="L334" i="23"/>
  <c r="M334" i="23" s="1"/>
  <c r="L335" i="23"/>
  <c r="M335" i="23" s="1"/>
  <c r="L336" i="23"/>
  <c r="M336" i="23" s="1"/>
  <c r="L337" i="23"/>
  <c r="M337" i="23" s="1"/>
  <c r="L338" i="23"/>
  <c r="M338" i="23" s="1"/>
  <c r="L339" i="23"/>
  <c r="M339" i="23" s="1"/>
  <c r="L340" i="23"/>
  <c r="M340" i="23" s="1"/>
  <c r="L341" i="23"/>
  <c r="M341" i="23" s="1"/>
  <c r="L342" i="23"/>
  <c r="M342" i="23" s="1"/>
  <c r="L343" i="23"/>
  <c r="M343" i="23" s="1"/>
  <c r="L344" i="23"/>
  <c r="M344" i="23" s="1"/>
  <c r="L345" i="23"/>
  <c r="M345" i="23" s="1"/>
  <c r="L346" i="23"/>
  <c r="M346" i="23" s="1"/>
  <c r="L347" i="23"/>
  <c r="M347" i="23" s="1"/>
  <c r="L348" i="23"/>
  <c r="M348" i="23" s="1"/>
  <c r="L349" i="23"/>
  <c r="M349" i="23" s="1"/>
  <c r="L350" i="23"/>
  <c r="M350" i="23" s="1"/>
  <c r="L351" i="23"/>
  <c r="M351" i="23" s="1"/>
  <c r="L352" i="23"/>
  <c r="M352" i="23" s="1"/>
  <c r="L353" i="23"/>
  <c r="M353" i="23" s="1"/>
  <c r="L354" i="23"/>
  <c r="M354" i="23" s="1"/>
  <c r="L355" i="23"/>
  <c r="M355" i="23" s="1"/>
  <c r="L356" i="23"/>
  <c r="M356" i="23" s="1"/>
  <c r="L357" i="23"/>
  <c r="M357" i="23" s="1"/>
  <c r="L358" i="23"/>
  <c r="M358" i="23" s="1"/>
  <c r="L359" i="23"/>
  <c r="M359" i="23" s="1"/>
  <c r="L360" i="23"/>
  <c r="M360" i="23" s="1"/>
  <c r="L361" i="23"/>
  <c r="M361" i="23" s="1"/>
  <c r="L362" i="23"/>
  <c r="M362" i="23" s="1"/>
  <c r="L363" i="23"/>
  <c r="M363" i="23" s="1"/>
  <c r="L364" i="23"/>
  <c r="M364" i="23" s="1"/>
  <c r="L365" i="23"/>
  <c r="M365" i="23" s="1"/>
  <c r="L366" i="23"/>
  <c r="M366" i="23" s="1"/>
  <c r="L367" i="23"/>
  <c r="M367" i="23" s="1"/>
  <c r="L368" i="23"/>
  <c r="M368" i="23" s="1"/>
  <c r="L369" i="23"/>
  <c r="M369" i="23" s="1"/>
  <c r="L370" i="23"/>
  <c r="M370" i="23" s="1"/>
  <c r="L371" i="23"/>
  <c r="M371" i="23" s="1"/>
  <c r="L372" i="23"/>
  <c r="M372" i="23" s="1"/>
  <c r="L373" i="23"/>
  <c r="M373" i="23" s="1"/>
  <c r="L374" i="23"/>
  <c r="M374" i="23" s="1"/>
  <c r="L375" i="23"/>
  <c r="M375" i="23" s="1"/>
  <c r="L376" i="23"/>
  <c r="M376" i="23" s="1"/>
  <c r="L377" i="23"/>
  <c r="M377" i="23" s="1"/>
  <c r="L378" i="23"/>
  <c r="M378" i="23" s="1"/>
  <c r="L379" i="23"/>
  <c r="M379" i="23" s="1"/>
  <c r="L380" i="23"/>
  <c r="M380" i="23" s="1"/>
  <c r="L381" i="23"/>
  <c r="M381" i="23" s="1"/>
  <c r="L382" i="23"/>
  <c r="M382" i="23" s="1"/>
  <c r="L383" i="23"/>
  <c r="M383" i="23" s="1"/>
  <c r="L384" i="23"/>
  <c r="M384" i="23" s="1"/>
  <c r="L385" i="23"/>
  <c r="M385" i="23" s="1"/>
  <c r="L386" i="23"/>
  <c r="M386" i="23" s="1"/>
  <c r="L387" i="23"/>
  <c r="M387" i="23" s="1"/>
  <c r="L388" i="23"/>
  <c r="M388" i="23" s="1"/>
  <c r="L389" i="23"/>
  <c r="M389" i="23" s="1"/>
  <c r="L390" i="23"/>
  <c r="M390" i="23" s="1"/>
  <c r="L391" i="23"/>
  <c r="M391" i="23" s="1"/>
  <c r="L392" i="23"/>
  <c r="M392" i="23" s="1"/>
  <c r="L393" i="23"/>
  <c r="M393" i="23" s="1"/>
  <c r="L394" i="23"/>
  <c r="M394" i="23" s="1"/>
  <c r="L395" i="23"/>
  <c r="M395" i="23" s="1"/>
  <c r="L396" i="23"/>
  <c r="M396" i="23" s="1"/>
  <c r="L397" i="23"/>
  <c r="M397" i="23" s="1"/>
  <c r="L398" i="23"/>
  <c r="M398" i="23" s="1"/>
  <c r="L399" i="23"/>
  <c r="M399" i="23" s="1"/>
  <c r="L400" i="23"/>
  <c r="M400" i="23" s="1"/>
  <c r="L401" i="23"/>
  <c r="M401" i="23" s="1"/>
  <c r="L402" i="23"/>
  <c r="M402" i="23" s="1"/>
  <c r="L403" i="23"/>
  <c r="M403" i="23" s="1"/>
  <c r="L404" i="23"/>
  <c r="M404" i="23" s="1"/>
  <c r="L405" i="23"/>
  <c r="M405" i="23" s="1"/>
  <c r="L406" i="23"/>
  <c r="M406" i="23" s="1"/>
  <c r="L407" i="23"/>
  <c r="M407" i="23" s="1"/>
  <c r="L408" i="23"/>
  <c r="M408" i="23" s="1"/>
  <c r="L409" i="23"/>
  <c r="M409" i="23" s="1"/>
  <c r="K1" i="23"/>
  <c r="J66" i="22"/>
  <c r="J60" i="22"/>
  <c r="J61" i="22"/>
  <c r="J62" i="22"/>
  <c r="J63" i="22"/>
  <c r="J64" i="22"/>
  <c r="J65" i="22"/>
  <c r="J58" i="22"/>
  <c r="J59" i="22"/>
  <c r="J4" i="22"/>
  <c r="J5" i="22"/>
  <c r="J6" i="22"/>
  <c r="J7" i="22"/>
  <c r="J8" i="22"/>
  <c r="J9" i="22"/>
  <c r="J10" i="22"/>
  <c r="J11" i="22"/>
  <c r="J12" i="22"/>
  <c r="J13" i="22"/>
  <c r="J14" i="22"/>
  <c r="J15" i="22"/>
  <c r="J16" i="22"/>
  <c r="J17" i="22"/>
  <c r="J18" i="22"/>
  <c r="J19" i="22"/>
  <c r="J20" i="22"/>
  <c r="J21" i="22"/>
  <c r="J22" i="22"/>
  <c r="J23" i="22"/>
  <c r="J24" i="22"/>
  <c r="J25" i="22"/>
  <c r="J26" i="22"/>
  <c r="J27" i="22"/>
  <c r="J28" i="22"/>
  <c r="J29" i="22"/>
  <c r="J30" i="22"/>
  <c r="J31" i="22"/>
  <c r="J32" i="22"/>
  <c r="J33" i="22"/>
  <c r="J34" i="22"/>
  <c r="J35" i="22"/>
  <c r="J36" i="22"/>
  <c r="J37" i="22"/>
  <c r="J38" i="22"/>
  <c r="J39" i="22"/>
  <c r="J40" i="22"/>
  <c r="J41" i="22"/>
  <c r="J42" i="22"/>
  <c r="J43" i="22"/>
  <c r="J44" i="22"/>
  <c r="J45" i="22"/>
  <c r="J46" i="22"/>
  <c r="J47" i="22"/>
  <c r="J48" i="22"/>
  <c r="J49" i="22"/>
  <c r="J50" i="22"/>
  <c r="J51" i="22"/>
  <c r="J52" i="22"/>
  <c r="J53" i="22"/>
  <c r="J54" i="22"/>
  <c r="J55" i="22"/>
  <c r="J56" i="22"/>
  <c r="J57" i="22"/>
  <c r="K9" i="23" l="1"/>
  <c r="J9" i="23" s="1"/>
  <c r="K10" i="23" l="1"/>
  <c r="J10" i="23" s="1"/>
  <c r="K11" i="23" l="1"/>
  <c r="J11" i="23" s="1"/>
  <c r="K12" i="23" l="1"/>
  <c r="J12" i="23" l="1"/>
  <c r="K13" i="23"/>
  <c r="K14" i="23" s="1"/>
  <c r="K15" i="23" s="1"/>
  <c r="K16" i="23" s="1"/>
  <c r="K17" i="23" s="1"/>
  <c r="K18" i="23" s="1"/>
  <c r="K19" i="23" s="1"/>
  <c r="K20" i="23" s="1"/>
  <c r="K21" i="23" s="1"/>
  <c r="K22" i="23" s="1"/>
  <c r="K23" i="23" s="1"/>
  <c r="K24" i="23" s="1"/>
  <c r="K25" i="23" s="1"/>
  <c r="K26" i="23" s="1"/>
  <c r="K27" i="23" s="1"/>
  <c r="K28" i="23" s="1"/>
  <c r="K29" i="23" s="1"/>
  <c r="K30" i="23" s="1"/>
  <c r="K31" i="23" s="1"/>
  <c r="K32" i="23" s="1"/>
  <c r="K33" i="23" s="1"/>
  <c r="K34" i="23" s="1"/>
  <c r="K35" i="23" s="1"/>
  <c r="K36" i="23" s="1"/>
  <c r="K37" i="23" s="1"/>
  <c r="K38" i="23" s="1"/>
  <c r="K39" i="23" s="1"/>
  <c r="K40" i="23" s="1"/>
  <c r="K41" i="23" s="1"/>
  <c r="K42" i="23" s="1"/>
  <c r="K43" i="23" s="1"/>
  <c r="K44" i="23" s="1"/>
  <c r="K45" i="23" s="1"/>
  <c r="K46" i="23" s="1"/>
  <c r="K47" i="23" s="1"/>
  <c r="K48" i="23" s="1"/>
  <c r="K49" i="23" s="1"/>
  <c r="K50" i="23" s="1"/>
  <c r="K51" i="23" s="1"/>
  <c r="K52" i="23" s="1"/>
  <c r="K53" i="23" s="1"/>
  <c r="K54" i="23" s="1"/>
  <c r="K55" i="23" s="1"/>
  <c r="K56" i="23" s="1"/>
  <c r="K57" i="23" s="1"/>
  <c r="K58" i="23" s="1"/>
  <c r="K59" i="23" s="1"/>
  <c r="K60" i="23" s="1"/>
  <c r="K61" i="23" s="1"/>
  <c r="K62" i="23" s="1"/>
  <c r="K63" i="23" s="1"/>
  <c r="K64" i="23" s="1"/>
  <c r="K65" i="23" s="1"/>
  <c r="K66" i="23" s="1"/>
  <c r="K67" i="23" s="1"/>
  <c r="K68" i="23" s="1"/>
  <c r="K69" i="23" s="1"/>
  <c r="K70" i="23" s="1"/>
  <c r="K71" i="23" s="1"/>
  <c r="K72" i="23" s="1"/>
  <c r="K73" i="23" s="1"/>
  <c r="K74" i="23" s="1"/>
  <c r="K75" i="23" s="1"/>
  <c r="K76" i="23" s="1"/>
  <c r="K77" i="23" s="1"/>
  <c r="K78" i="23" s="1"/>
  <c r="K79" i="23" s="1"/>
  <c r="K80" i="23" s="1"/>
  <c r="K81" i="23" s="1"/>
  <c r="K82" i="23" s="1"/>
  <c r="K83" i="23" s="1"/>
  <c r="K84" i="23" s="1"/>
  <c r="K85" i="23" s="1"/>
  <c r="K86" i="23" s="1"/>
  <c r="K87" i="23" s="1"/>
  <c r="K88" i="23" s="1"/>
  <c r="K89" i="23" s="1"/>
  <c r="K90" i="23" s="1"/>
  <c r="K91" i="23" s="1"/>
  <c r="K92" i="23" s="1"/>
  <c r="K93" i="23" s="1"/>
  <c r="K94" i="23" s="1"/>
  <c r="K95" i="23" s="1"/>
  <c r="K96" i="23" s="1"/>
  <c r="K97" i="23" s="1"/>
  <c r="K98" i="23" s="1"/>
  <c r="K99" i="23" s="1"/>
  <c r="K100" i="23" s="1"/>
  <c r="K101" i="23" s="1"/>
  <c r="K102" i="23" s="1"/>
  <c r="K103" i="23" s="1"/>
  <c r="K104" i="23" s="1"/>
  <c r="K105" i="23" s="1"/>
  <c r="K106" i="23" s="1"/>
  <c r="K107" i="23" s="1"/>
  <c r="K108" i="23" s="1"/>
  <c r="K109" i="23" s="1"/>
  <c r="K110" i="23" s="1"/>
  <c r="K111" i="23" s="1"/>
  <c r="K112" i="23" s="1"/>
  <c r="K113" i="23" s="1"/>
  <c r="K114" i="23" s="1"/>
  <c r="K115" i="23" s="1"/>
  <c r="K116" i="23" s="1"/>
  <c r="K117" i="23" s="1"/>
  <c r="K118" i="23" s="1"/>
  <c r="K119" i="23" s="1"/>
  <c r="K120" i="23" s="1"/>
  <c r="K121" i="23" s="1"/>
  <c r="K122" i="23" s="1"/>
  <c r="K123" i="23" s="1"/>
  <c r="K124" i="23" s="1"/>
  <c r="K125" i="23" s="1"/>
  <c r="K126" i="23" s="1"/>
  <c r="K127" i="23" s="1"/>
  <c r="K128" i="23" s="1"/>
  <c r="K129" i="23" s="1"/>
  <c r="K130" i="23" s="1"/>
  <c r="K131" i="23" s="1"/>
  <c r="K132" i="23" s="1"/>
  <c r="K133" i="23" s="1"/>
  <c r="K134" i="23" s="1"/>
  <c r="K135" i="23" s="1"/>
  <c r="K136" i="23" s="1"/>
  <c r="K137" i="23" s="1"/>
  <c r="K138" i="23" s="1"/>
  <c r="K139" i="23" s="1"/>
  <c r="K140" i="23" s="1"/>
  <c r="K141" i="23" s="1"/>
  <c r="K142" i="23" s="1"/>
  <c r="K143" i="23" s="1"/>
  <c r="K144" i="23" s="1"/>
  <c r="K145" i="23" s="1"/>
  <c r="K146" i="23" s="1"/>
  <c r="K147" i="23" s="1"/>
  <c r="K148" i="23" s="1"/>
  <c r="K149" i="23" s="1"/>
  <c r="K150" i="23" s="1"/>
  <c r="K151" i="23" s="1"/>
  <c r="K152" i="23" s="1"/>
  <c r="K153" i="23" s="1"/>
  <c r="K154" i="23" s="1"/>
  <c r="K155" i="23" s="1"/>
  <c r="K156" i="23" s="1"/>
  <c r="K157" i="23" s="1"/>
  <c r="K158" i="23" s="1"/>
  <c r="K159" i="23" s="1"/>
  <c r="K160" i="23" s="1"/>
  <c r="K161" i="23" s="1"/>
  <c r="K162" i="23" s="1"/>
  <c r="K163" i="23" s="1"/>
  <c r="K164" i="23" s="1"/>
  <c r="K165" i="23" s="1"/>
  <c r="K166" i="23" s="1"/>
  <c r="K167" i="23" s="1"/>
  <c r="K168" i="23" s="1"/>
  <c r="K169" i="23" s="1"/>
  <c r="K170" i="23" s="1"/>
  <c r="K171" i="23" s="1"/>
  <c r="K172" i="23" s="1"/>
  <c r="K173" i="23" s="1"/>
  <c r="K174" i="23" s="1"/>
  <c r="K175" i="23" s="1"/>
  <c r="K176" i="23" s="1"/>
  <c r="K177" i="23" s="1"/>
  <c r="K178" i="23" s="1"/>
  <c r="K179" i="23" s="1"/>
  <c r="K180" i="23" s="1"/>
  <c r="K181" i="23" s="1"/>
  <c r="K182" i="23" s="1"/>
  <c r="K183" i="23" s="1"/>
  <c r="K184" i="23" s="1"/>
  <c r="K185" i="23" s="1"/>
  <c r="K186" i="23" s="1"/>
  <c r="K187" i="23" s="1"/>
  <c r="K188" i="23" s="1"/>
  <c r="K189" i="23" s="1"/>
  <c r="K190" i="23" s="1"/>
  <c r="K191" i="23" s="1"/>
  <c r="K192" i="23" s="1"/>
  <c r="K193" i="23" s="1"/>
  <c r="K194" i="23" s="1"/>
  <c r="K195" i="23" s="1"/>
  <c r="K196" i="23" s="1"/>
  <c r="K197" i="23" s="1"/>
  <c r="K198" i="23" s="1"/>
  <c r="K199" i="23" s="1"/>
  <c r="K200" i="23" s="1"/>
  <c r="K201" i="23" s="1"/>
  <c r="K202" i="23" s="1"/>
  <c r="K203" i="23" s="1"/>
  <c r="K204" i="23" s="1"/>
  <c r="K205" i="23" s="1"/>
  <c r="K206" i="23" s="1"/>
  <c r="K207" i="23" s="1"/>
  <c r="K208" i="23" s="1"/>
  <c r="K209" i="23" s="1"/>
  <c r="K210" i="23" s="1"/>
  <c r="K211" i="23" s="1"/>
  <c r="K212" i="23" s="1"/>
  <c r="K213" i="23" s="1"/>
  <c r="K214" i="23" s="1"/>
  <c r="K215" i="23" s="1"/>
  <c r="K216" i="23" s="1"/>
  <c r="K217" i="23" s="1"/>
  <c r="K218" i="23" s="1"/>
  <c r="K219" i="23" s="1"/>
  <c r="K220" i="23" s="1"/>
  <c r="K221" i="23" s="1"/>
  <c r="K222" i="23" s="1"/>
  <c r="K223" i="23" s="1"/>
  <c r="K224" i="23" s="1"/>
  <c r="K225" i="23" s="1"/>
  <c r="K226" i="23" s="1"/>
  <c r="K227" i="23" s="1"/>
  <c r="K228" i="23" s="1"/>
  <c r="K229" i="23" s="1"/>
  <c r="K230" i="23" s="1"/>
  <c r="K231" i="23" s="1"/>
  <c r="K232" i="23" s="1"/>
  <c r="K233" i="23" s="1"/>
  <c r="K234" i="23" s="1"/>
  <c r="K235" i="23" s="1"/>
  <c r="K236" i="23" s="1"/>
  <c r="K237" i="23" s="1"/>
  <c r="K238" i="23" s="1"/>
  <c r="K239" i="23" s="1"/>
  <c r="K240" i="23" s="1"/>
  <c r="K241" i="23" s="1"/>
  <c r="K242" i="23" s="1"/>
  <c r="K243" i="23" s="1"/>
  <c r="K244" i="23" s="1"/>
  <c r="K245" i="23" s="1"/>
  <c r="K246" i="23" s="1"/>
  <c r="K247" i="23" s="1"/>
  <c r="K248" i="23" s="1"/>
  <c r="K249" i="23" s="1"/>
  <c r="K250" i="23" s="1"/>
  <c r="K251" i="23" s="1"/>
  <c r="K252" i="23" s="1"/>
  <c r="K253" i="23" s="1"/>
  <c r="K254" i="23" s="1"/>
  <c r="K255" i="23" s="1"/>
  <c r="K256" i="23" s="1"/>
  <c r="K257" i="23" s="1"/>
  <c r="K258" i="23" s="1"/>
  <c r="K259" i="23" s="1"/>
  <c r="K260" i="23" s="1"/>
  <c r="K261" i="23" s="1"/>
  <c r="K262" i="23" s="1"/>
  <c r="K263" i="23" s="1"/>
  <c r="K264" i="23" s="1"/>
  <c r="K265" i="23" s="1"/>
  <c r="K266" i="23" s="1"/>
  <c r="K267" i="23" s="1"/>
  <c r="K268" i="23" s="1"/>
  <c r="K269" i="23" s="1"/>
  <c r="K270" i="23" s="1"/>
  <c r="K271" i="23" s="1"/>
  <c r="K272" i="23" s="1"/>
  <c r="K273" i="23" s="1"/>
  <c r="K274" i="23" s="1"/>
  <c r="K275" i="23" s="1"/>
  <c r="K276" i="23" s="1"/>
  <c r="K277" i="23" s="1"/>
  <c r="K278" i="23" s="1"/>
  <c r="K279" i="23" s="1"/>
  <c r="K280" i="23" s="1"/>
  <c r="K281" i="23" s="1"/>
  <c r="K282" i="23" s="1"/>
  <c r="K283" i="23" s="1"/>
  <c r="K284" i="23" s="1"/>
  <c r="K285" i="23" s="1"/>
  <c r="K286" i="23" s="1"/>
  <c r="K287" i="23" s="1"/>
  <c r="K288" i="23" s="1"/>
  <c r="K289" i="23" s="1"/>
  <c r="K290" i="23" s="1"/>
  <c r="K291" i="23" s="1"/>
  <c r="K292" i="23" s="1"/>
  <c r="K293" i="23" s="1"/>
  <c r="K294" i="23" s="1"/>
  <c r="K295" i="23" s="1"/>
  <c r="K296" i="23" s="1"/>
  <c r="K297" i="23" s="1"/>
  <c r="K298" i="23" s="1"/>
  <c r="K299" i="23" s="1"/>
  <c r="K300" i="23" s="1"/>
  <c r="K301" i="23" s="1"/>
  <c r="K302" i="23" s="1"/>
  <c r="K303" i="23" s="1"/>
  <c r="K304" i="23" s="1"/>
  <c r="K305" i="23" s="1"/>
  <c r="K306" i="23" s="1"/>
  <c r="K307" i="23" s="1"/>
  <c r="K308" i="23" s="1"/>
  <c r="K309" i="23" s="1"/>
  <c r="K310" i="23" s="1"/>
  <c r="K311" i="23" s="1"/>
  <c r="K312" i="23" s="1"/>
  <c r="K313" i="23" s="1"/>
  <c r="K314" i="23" s="1"/>
  <c r="K315" i="23" s="1"/>
  <c r="K316" i="23" s="1"/>
  <c r="K317" i="23" s="1"/>
  <c r="K318" i="23" s="1"/>
  <c r="K319" i="23" s="1"/>
  <c r="K320" i="23" s="1"/>
  <c r="K321" i="23" s="1"/>
  <c r="K322" i="23" s="1"/>
  <c r="K323" i="23" s="1"/>
  <c r="K324" i="23" s="1"/>
  <c r="K325" i="23" s="1"/>
  <c r="K326" i="23" s="1"/>
  <c r="K327" i="23" s="1"/>
  <c r="K328" i="23" s="1"/>
  <c r="K329" i="23" s="1"/>
  <c r="K330" i="23" s="1"/>
  <c r="K331" i="23" s="1"/>
  <c r="K332" i="23" s="1"/>
  <c r="K333" i="23" s="1"/>
  <c r="K334" i="23" s="1"/>
  <c r="K335" i="23" s="1"/>
  <c r="K336" i="23" s="1"/>
  <c r="K337" i="23" s="1"/>
  <c r="K338" i="23" s="1"/>
  <c r="K339" i="23" s="1"/>
  <c r="K340" i="23" s="1"/>
  <c r="K341" i="23" s="1"/>
  <c r="K342" i="23" s="1"/>
  <c r="K343" i="23" s="1"/>
  <c r="K344" i="23" s="1"/>
  <c r="K345" i="23" s="1"/>
  <c r="K346" i="23" s="1"/>
  <c r="K347" i="23" s="1"/>
  <c r="K348" i="23" s="1"/>
  <c r="K349" i="23" s="1"/>
  <c r="K350" i="23" s="1"/>
  <c r="K351" i="23" s="1"/>
  <c r="K352" i="23" s="1"/>
  <c r="K353" i="23" s="1"/>
  <c r="K354" i="23" s="1"/>
  <c r="K355" i="23" s="1"/>
  <c r="K356" i="23" s="1"/>
  <c r="K357" i="23" s="1"/>
  <c r="K358" i="23" s="1"/>
  <c r="K359" i="23" s="1"/>
  <c r="K360" i="23" s="1"/>
  <c r="K361" i="23" s="1"/>
  <c r="K362" i="23" s="1"/>
  <c r="K363" i="23" s="1"/>
  <c r="K364" i="23" s="1"/>
  <c r="K365" i="23" s="1"/>
  <c r="K366" i="23" s="1"/>
  <c r="K367" i="23" s="1"/>
  <c r="K368" i="23" s="1"/>
  <c r="K369" i="23" s="1"/>
  <c r="K370" i="23" s="1"/>
  <c r="K371" i="23" s="1"/>
  <c r="K372" i="23" s="1"/>
  <c r="K373" i="23" s="1"/>
  <c r="K374" i="23" s="1"/>
  <c r="K375" i="23" s="1"/>
  <c r="K376" i="23" s="1"/>
  <c r="K377" i="23" s="1"/>
  <c r="K378" i="23" s="1"/>
  <c r="K379" i="23" s="1"/>
  <c r="K380" i="23" s="1"/>
  <c r="K381" i="23" s="1"/>
  <c r="K382" i="23" s="1"/>
  <c r="K383" i="23" s="1"/>
  <c r="K384" i="23" s="1"/>
  <c r="K385" i="23" s="1"/>
  <c r="K386" i="23" s="1"/>
  <c r="K387" i="23" s="1"/>
  <c r="K388" i="23" s="1"/>
  <c r="K389" i="23" s="1"/>
  <c r="K390" i="23" s="1"/>
  <c r="K391" i="23" s="1"/>
  <c r="K392" i="23" s="1"/>
  <c r="K393" i="23" s="1"/>
  <c r="K394" i="23" s="1"/>
  <c r="K395" i="23" s="1"/>
  <c r="K396" i="23" s="1"/>
  <c r="K397" i="23" s="1"/>
  <c r="K398" i="23" s="1"/>
  <c r="K399" i="23" s="1"/>
  <c r="K400" i="23" s="1"/>
  <c r="K401" i="23" s="1"/>
  <c r="K402" i="23" s="1"/>
  <c r="K403" i="23" s="1"/>
  <c r="K404" i="23" s="1"/>
  <c r="K405" i="23" s="1"/>
  <c r="K406" i="23" s="1"/>
  <c r="K407" i="23" s="1"/>
  <c r="K408" i="23" s="1"/>
  <c r="K409" i="23" s="1"/>
  <c r="J13" i="23" l="1"/>
  <c r="J14" i="23" s="1"/>
  <c r="J15" i="23" l="1"/>
  <c r="J16" i="23" l="1"/>
  <c r="J17" i="23" l="1"/>
  <c r="J18" i="23" l="1"/>
  <c r="J19" i="23" s="1"/>
  <c r="J20" i="23" s="1"/>
  <c r="J21" i="23" s="1"/>
  <c r="J22" i="23" s="1"/>
  <c r="J23" i="23" s="1"/>
  <c r="J24" i="23" s="1"/>
  <c r="J25" i="23" s="1"/>
  <c r="J26" i="23" s="1"/>
  <c r="J27" i="23" s="1"/>
  <c r="J28" i="23" s="1"/>
  <c r="J29" i="23" s="1"/>
  <c r="J30" i="23" s="1"/>
  <c r="J31" i="23" s="1"/>
  <c r="J32" i="23" s="1"/>
  <c r="J33" i="23" s="1"/>
  <c r="J34" i="23" s="1"/>
  <c r="J35" i="23" s="1"/>
  <c r="J36" i="23" s="1"/>
  <c r="J37" i="23" s="1"/>
  <c r="J38" i="23" s="1"/>
  <c r="J39" i="23" s="1"/>
  <c r="J40" i="23" s="1"/>
  <c r="J41" i="23" s="1"/>
  <c r="J42" i="23" s="1"/>
  <c r="J43" i="23" s="1"/>
  <c r="J44" i="23" s="1"/>
  <c r="J45" i="23" s="1"/>
  <c r="J46" i="23" s="1"/>
  <c r="J47" i="23" s="1"/>
  <c r="J48" i="23" s="1"/>
  <c r="J49" i="23" s="1"/>
  <c r="J50" i="23" s="1"/>
  <c r="J51" i="23" s="1"/>
  <c r="J52" i="23" s="1"/>
  <c r="J53" i="23" s="1"/>
  <c r="J54" i="23" s="1"/>
  <c r="J55" i="23" s="1"/>
  <c r="J56" i="23" s="1"/>
  <c r="J57" i="23" s="1"/>
  <c r="J58" i="23" s="1"/>
  <c r="J59" i="23" s="1"/>
  <c r="J60" i="23" s="1"/>
  <c r="J61" i="23" s="1"/>
  <c r="J62" i="23" s="1"/>
  <c r="J63" i="23" s="1"/>
  <c r="J64" i="23" s="1"/>
  <c r="J65" i="23" s="1"/>
  <c r="J66" i="23" s="1"/>
  <c r="J67" i="23" s="1"/>
  <c r="J68" i="23" s="1"/>
  <c r="J69" i="23" s="1"/>
  <c r="J70" i="23" s="1"/>
  <c r="J71" i="23" s="1"/>
  <c r="J72" i="23" s="1"/>
  <c r="J73" i="23" s="1"/>
  <c r="J74" i="23" s="1"/>
  <c r="J75" i="23" s="1"/>
  <c r="J76" i="23" s="1"/>
  <c r="J77" i="23" s="1"/>
  <c r="J78" i="23" s="1"/>
  <c r="J79" i="23" s="1"/>
  <c r="J80" i="23" s="1"/>
  <c r="J81" i="23" s="1"/>
  <c r="J82" i="23" s="1"/>
  <c r="J83" i="23" s="1"/>
  <c r="J84" i="23" s="1"/>
  <c r="J85" i="23" s="1"/>
  <c r="J86" i="23" s="1"/>
  <c r="J87" i="23" s="1"/>
  <c r="J88" i="23" s="1"/>
  <c r="J89" i="23" s="1"/>
  <c r="J90" i="23" s="1"/>
  <c r="J91" i="23" s="1"/>
  <c r="J92" i="23" s="1"/>
  <c r="J93" i="23" s="1"/>
  <c r="J94" i="23" s="1"/>
  <c r="J95" i="23" s="1"/>
  <c r="J96" i="23" s="1"/>
  <c r="J97" i="23" s="1"/>
  <c r="J98" i="23" s="1"/>
  <c r="J99" i="23" s="1"/>
  <c r="J100" i="23" s="1"/>
  <c r="J101" i="23" s="1"/>
  <c r="J102" i="23" s="1"/>
  <c r="J103" i="23" s="1"/>
  <c r="J104" i="23" s="1"/>
  <c r="J105" i="23" s="1"/>
  <c r="J106" i="23" s="1"/>
  <c r="J107" i="23" s="1"/>
  <c r="J108" i="23" s="1"/>
  <c r="J109" i="23" s="1"/>
  <c r="J110" i="23" s="1"/>
  <c r="J111" i="23" s="1"/>
  <c r="J112" i="23" s="1"/>
  <c r="J113" i="23" s="1"/>
  <c r="J114" i="23" s="1"/>
  <c r="J115" i="23" s="1"/>
  <c r="J116" i="23" s="1"/>
  <c r="J117" i="23" s="1"/>
  <c r="J118" i="23" s="1"/>
  <c r="J119" i="23" s="1"/>
  <c r="J120" i="23" s="1"/>
  <c r="J121" i="23" s="1"/>
  <c r="J122" i="23" s="1"/>
  <c r="J123" i="23" s="1"/>
  <c r="J124" i="23" s="1"/>
  <c r="J125" i="23" s="1"/>
  <c r="J126" i="23" s="1"/>
  <c r="J127" i="23" s="1"/>
  <c r="J128" i="23" s="1"/>
  <c r="J129" i="23" s="1"/>
  <c r="J130" i="23" s="1"/>
  <c r="J131" i="23" s="1"/>
  <c r="J132" i="23" s="1"/>
  <c r="J133" i="23" s="1"/>
  <c r="J134" i="23" s="1"/>
  <c r="J135" i="23" s="1"/>
  <c r="J136" i="23" s="1"/>
  <c r="J137" i="23" s="1"/>
  <c r="J138" i="23" s="1"/>
  <c r="J139" i="23" s="1"/>
  <c r="J140" i="23" s="1"/>
  <c r="J141" i="23" s="1"/>
  <c r="J142" i="23" s="1"/>
  <c r="J143" i="23" s="1"/>
  <c r="J144" i="23" s="1"/>
  <c r="J145" i="23" s="1"/>
  <c r="J146" i="23" s="1"/>
  <c r="J147" i="23" s="1"/>
  <c r="J148" i="23" s="1"/>
  <c r="J149" i="23" s="1"/>
  <c r="J150" i="23" s="1"/>
  <c r="J151" i="23" s="1"/>
  <c r="J152" i="23" s="1"/>
  <c r="J153" i="23" s="1"/>
  <c r="J154" i="23" s="1"/>
  <c r="J155" i="23" s="1"/>
  <c r="J156" i="23" s="1"/>
  <c r="J157" i="23" s="1"/>
  <c r="J158" i="23" s="1"/>
  <c r="J159" i="23" s="1"/>
  <c r="J160" i="23" s="1"/>
  <c r="J161" i="23" s="1"/>
  <c r="J162" i="23" s="1"/>
  <c r="J163" i="23" s="1"/>
  <c r="J164" i="23" s="1"/>
  <c r="J165" i="23" s="1"/>
  <c r="J166" i="23" s="1"/>
  <c r="J167" i="23" s="1"/>
  <c r="J168" i="23" s="1"/>
  <c r="J169" i="23" s="1"/>
  <c r="J170" i="23" s="1"/>
  <c r="J171" i="23" s="1"/>
  <c r="J172" i="23" s="1"/>
  <c r="J173" i="23" s="1"/>
  <c r="J174" i="23" s="1"/>
  <c r="J175" i="23" s="1"/>
  <c r="J176" i="23" s="1"/>
  <c r="J177" i="23" s="1"/>
  <c r="J178" i="23" s="1"/>
  <c r="J179" i="23" s="1"/>
  <c r="J180" i="23" s="1"/>
  <c r="J181" i="23" s="1"/>
  <c r="J182" i="23" s="1"/>
  <c r="J183" i="23" s="1"/>
  <c r="J184" i="23" s="1"/>
  <c r="J185" i="23" s="1"/>
  <c r="J186" i="23" s="1"/>
  <c r="J187" i="23" s="1"/>
  <c r="J188" i="23" s="1"/>
  <c r="J189" i="23" s="1"/>
  <c r="J190" i="23" s="1"/>
  <c r="J191" i="23" s="1"/>
  <c r="J192" i="23" s="1"/>
  <c r="J193" i="23" s="1"/>
  <c r="J194" i="23" s="1"/>
  <c r="J195" i="23" s="1"/>
  <c r="J196" i="23" s="1"/>
  <c r="J197" i="23" s="1"/>
  <c r="J198" i="23" s="1"/>
  <c r="J199" i="23" s="1"/>
  <c r="J200" i="23" s="1"/>
  <c r="J201" i="23" s="1"/>
  <c r="J202" i="23" s="1"/>
  <c r="J203" i="23" s="1"/>
  <c r="J204" i="23" s="1"/>
  <c r="J205" i="23" s="1"/>
  <c r="J206" i="23" s="1"/>
  <c r="J207" i="23" s="1"/>
  <c r="J208" i="23" s="1"/>
  <c r="J209" i="23" s="1"/>
  <c r="J210" i="23" s="1"/>
  <c r="J211" i="23" s="1"/>
  <c r="J212" i="23" s="1"/>
  <c r="J213" i="23" s="1"/>
  <c r="J214" i="23" s="1"/>
  <c r="J215" i="23" s="1"/>
  <c r="J216" i="23" s="1"/>
  <c r="J217" i="23" s="1"/>
  <c r="J218" i="23" s="1"/>
  <c r="J219" i="23" s="1"/>
  <c r="J220" i="23" s="1"/>
  <c r="J221" i="23" s="1"/>
  <c r="J222" i="23" s="1"/>
  <c r="J223" i="23" s="1"/>
  <c r="J224" i="23" s="1"/>
  <c r="J225" i="23" s="1"/>
  <c r="J226" i="23" s="1"/>
  <c r="J227" i="23" s="1"/>
  <c r="J228" i="23" s="1"/>
  <c r="J229" i="23" s="1"/>
  <c r="J230" i="23" s="1"/>
  <c r="J231" i="23" s="1"/>
  <c r="J232" i="23" s="1"/>
  <c r="J233" i="23" s="1"/>
  <c r="J234" i="23" s="1"/>
  <c r="J235" i="23" s="1"/>
  <c r="J236" i="23" s="1"/>
  <c r="J237" i="23" s="1"/>
  <c r="J238" i="23" s="1"/>
  <c r="J239" i="23" s="1"/>
  <c r="J240" i="23" s="1"/>
  <c r="J241" i="23" s="1"/>
  <c r="J242" i="23" s="1"/>
  <c r="J243" i="23" s="1"/>
  <c r="J244" i="23" s="1"/>
  <c r="J245" i="23" s="1"/>
  <c r="J246" i="23" s="1"/>
  <c r="J247" i="23" s="1"/>
  <c r="J248" i="23" s="1"/>
  <c r="J249" i="23" s="1"/>
  <c r="J250" i="23" s="1"/>
  <c r="J251" i="23" s="1"/>
  <c r="J252" i="23" s="1"/>
  <c r="J253" i="23" s="1"/>
  <c r="J254" i="23" s="1"/>
  <c r="J255" i="23" s="1"/>
  <c r="J256" i="23" s="1"/>
  <c r="J257" i="23" s="1"/>
  <c r="J258" i="23" s="1"/>
  <c r="J259" i="23" s="1"/>
  <c r="J260" i="23" s="1"/>
  <c r="J261" i="23" s="1"/>
  <c r="J262" i="23" s="1"/>
  <c r="J263" i="23" s="1"/>
  <c r="J264" i="23" s="1"/>
  <c r="J265" i="23" s="1"/>
  <c r="J266" i="23" s="1"/>
  <c r="J267" i="23" s="1"/>
  <c r="J268" i="23" s="1"/>
  <c r="J269" i="23" s="1"/>
  <c r="J270" i="23" s="1"/>
  <c r="J271" i="23" s="1"/>
  <c r="J272" i="23" s="1"/>
  <c r="J273" i="23" s="1"/>
  <c r="J274" i="23" s="1"/>
  <c r="J275" i="23" s="1"/>
  <c r="J276" i="23" s="1"/>
  <c r="J277" i="23" s="1"/>
  <c r="J278" i="23" s="1"/>
  <c r="J279" i="23" s="1"/>
  <c r="J280" i="23" s="1"/>
  <c r="J281" i="23" s="1"/>
  <c r="J282" i="23" s="1"/>
  <c r="J283" i="23" s="1"/>
  <c r="J284" i="23" s="1"/>
  <c r="J285" i="23" s="1"/>
  <c r="J286" i="23" s="1"/>
  <c r="J287" i="23" s="1"/>
  <c r="J288" i="23" s="1"/>
  <c r="J289" i="23" s="1"/>
  <c r="J290" i="23" s="1"/>
  <c r="J291" i="23" s="1"/>
  <c r="J292" i="23" s="1"/>
  <c r="J293" i="23" s="1"/>
  <c r="J294" i="23" s="1"/>
  <c r="J295" i="23" s="1"/>
  <c r="J296" i="23" s="1"/>
  <c r="J297" i="23" s="1"/>
  <c r="J298" i="23" s="1"/>
  <c r="J299" i="23" s="1"/>
  <c r="J300" i="23" s="1"/>
  <c r="J301" i="23" s="1"/>
  <c r="J302" i="23" s="1"/>
  <c r="J303" i="23" s="1"/>
  <c r="J304" i="23" s="1"/>
  <c r="J305" i="23" s="1"/>
  <c r="J306" i="23" s="1"/>
  <c r="J307" i="23" s="1"/>
  <c r="J308" i="23" s="1"/>
  <c r="J309" i="23" s="1"/>
  <c r="J310" i="23" s="1"/>
  <c r="J311" i="23" s="1"/>
  <c r="J312" i="23" s="1"/>
  <c r="J313" i="23" s="1"/>
  <c r="J314" i="23" s="1"/>
  <c r="J315" i="23" s="1"/>
  <c r="J316" i="23" s="1"/>
  <c r="J317" i="23" s="1"/>
  <c r="J318" i="23" s="1"/>
  <c r="J319" i="23" s="1"/>
  <c r="J320" i="23" s="1"/>
  <c r="J321" i="23" s="1"/>
  <c r="J322" i="23" s="1"/>
  <c r="J323" i="23" s="1"/>
  <c r="J324" i="23" s="1"/>
  <c r="J325" i="23" s="1"/>
  <c r="J326" i="23" s="1"/>
  <c r="J327" i="23" s="1"/>
  <c r="J328" i="23" s="1"/>
  <c r="J329" i="23" s="1"/>
  <c r="J330" i="23" s="1"/>
  <c r="J331" i="23" s="1"/>
  <c r="J332" i="23" s="1"/>
  <c r="J333" i="23" s="1"/>
  <c r="J334" i="23" s="1"/>
  <c r="J335" i="23" s="1"/>
  <c r="J336" i="23" s="1"/>
  <c r="J337" i="23" s="1"/>
  <c r="J338" i="23" s="1"/>
  <c r="J339" i="23" s="1"/>
  <c r="J340" i="23" s="1"/>
  <c r="J341" i="23" s="1"/>
  <c r="J342" i="23" s="1"/>
  <c r="J343" i="23" s="1"/>
  <c r="J344" i="23" s="1"/>
  <c r="J345" i="23" s="1"/>
  <c r="J346" i="23" s="1"/>
  <c r="J347" i="23" s="1"/>
  <c r="J348" i="23" s="1"/>
  <c r="J349" i="23" s="1"/>
  <c r="J350" i="23" s="1"/>
  <c r="J351" i="23" s="1"/>
  <c r="J352" i="23" s="1"/>
  <c r="J353" i="23" s="1"/>
  <c r="J354" i="23" s="1"/>
  <c r="J355" i="23" s="1"/>
  <c r="J356" i="23" s="1"/>
  <c r="J357" i="23" s="1"/>
  <c r="J358" i="23" s="1"/>
  <c r="J359" i="23" s="1"/>
  <c r="J360" i="23" s="1"/>
  <c r="J361" i="23" s="1"/>
  <c r="J362" i="23" s="1"/>
  <c r="J363" i="23" s="1"/>
  <c r="J364" i="23" s="1"/>
  <c r="J365" i="23" s="1"/>
  <c r="J366" i="23" s="1"/>
  <c r="J367" i="23" s="1"/>
  <c r="J368" i="23" s="1"/>
  <c r="J369" i="23" s="1"/>
  <c r="J370" i="23" s="1"/>
  <c r="J371" i="23" s="1"/>
  <c r="J372" i="23" s="1"/>
  <c r="J373" i="23" s="1"/>
  <c r="J374" i="23" s="1"/>
  <c r="J375" i="23" s="1"/>
  <c r="J376" i="23" s="1"/>
  <c r="J377" i="23" s="1"/>
  <c r="J378" i="23" s="1"/>
  <c r="J379" i="23" s="1"/>
  <c r="J380" i="23" s="1"/>
  <c r="J381" i="23" s="1"/>
  <c r="J382" i="23" s="1"/>
  <c r="J383" i="23" s="1"/>
  <c r="J384" i="23" s="1"/>
  <c r="J385" i="23" s="1"/>
  <c r="J386" i="23" s="1"/>
  <c r="J387" i="23" s="1"/>
  <c r="J388" i="23" s="1"/>
  <c r="J389" i="23" s="1"/>
  <c r="J390" i="23" s="1"/>
  <c r="J391" i="23" s="1"/>
  <c r="J392" i="23" s="1"/>
  <c r="J393" i="23" s="1"/>
  <c r="J394" i="23" s="1"/>
  <c r="J395" i="23" s="1"/>
  <c r="J396" i="23" s="1"/>
  <c r="J397" i="23" s="1"/>
  <c r="J398" i="23" s="1"/>
  <c r="J399" i="23" s="1"/>
  <c r="J400" i="23" s="1"/>
  <c r="J401" i="23" s="1"/>
  <c r="J402" i="23" s="1"/>
  <c r="J403" i="23" s="1"/>
  <c r="J404" i="23" s="1"/>
  <c r="J405" i="23" s="1"/>
  <c r="J406" i="23" s="1"/>
  <c r="J407" i="23" s="1"/>
  <c r="J408" i="23" s="1"/>
  <c r="J409" i="23" s="1"/>
  <c r="Q10" i="23" l="1"/>
  <c r="EJ5" i="5" s="1"/>
  <c r="Q11" i="23"/>
  <c r="EJ6" i="5" s="1"/>
  <c r="U11" i="23"/>
  <c r="Q57" i="23"/>
  <c r="Q142" i="23"/>
  <c r="Q119" i="23"/>
  <c r="Q53" i="23"/>
  <c r="Q92" i="23"/>
  <c r="Q34" i="23"/>
  <c r="EJ29" i="5" s="1"/>
  <c r="Q174" i="23"/>
  <c r="Q33" i="23"/>
  <c r="EJ28" i="5" s="1"/>
  <c r="Q98" i="23"/>
  <c r="Q75" i="23"/>
  <c r="Q188" i="23"/>
  <c r="Q178" i="23"/>
  <c r="Q62" i="23"/>
  <c r="Q78" i="23"/>
  <c r="Q132" i="23"/>
  <c r="Q141" i="23"/>
  <c r="Q17" i="23"/>
  <c r="EJ12" i="5" s="1"/>
  <c r="Q28" i="23"/>
  <c r="EJ23" i="5" s="1"/>
  <c r="Q69" i="23"/>
  <c r="Q116" i="23"/>
  <c r="Q106" i="23"/>
  <c r="Q124" i="23"/>
  <c r="Q114" i="23"/>
  <c r="Q161" i="23"/>
  <c r="Q20" i="23"/>
  <c r="EJ15" i="5" s="1"/>
  <c r="Q138" i="23"/>
  <c r="Q25" i="23"/>
  <c r="EJ20" i="5" s="1"/>
  <c r="Q111" i="23"/>
  <c r="Q59" i="23"/>
  <c r="Q185" i="23"/>
  <c r="Q18" i="23"/>
  <c r="EJ13" i="5" s="1"/>
  <c r="Q56" i="23"/>
  <c r="Q175" i="23"/>
  <c r="Q95" i="23"/>
  <c r="Q113" i="23"/>
  <c r="Q88" i="23"/>
  <c r="Q12" i="23"/>
  <c r="EJ7" i="5" s="1"/>
  <c r="Q103" i="23"/>
  <c r="Q31" i="23"/>
  <c r="EJ26" i="5" s="1"/>
  <c r="Q117" i="23"/>
  <c r="Q97" i="23"/>
  <c r="Q15" i="23"/>
  <c r="EJ10" i="5" s="1"/>
  <c r="Q14" i="23"/>
  <c r="EJ9" i="5" s="1"/>
  <c r="Q183" i="23"/>
  <c r="Q44" i="23"/>
  <c r="Q42" i="23"/>
  <c r="Q152" i="23"/>
  <c r="Q52" i="23"/>
  <c r="Q105" i="23"/>
  <c r="Q157" i="23"/>
  <c r="Q47" i="23"/>
  <c r="Q46" i="23"/>
  <c r="Q83" i="23"/>
  <c r="Q19" i="23"/>
  <c r="EJ14" i="5" s="1"/>
  <c r="Q79" i="23"/>
  <c r="Q41" i="23"/>
  <c r="EJ36" i="5" s="1"/>
  <c r="Q87" i="23"/>
  <c r="Q29" i="23"/>
  <c r="EJ24" i="5" s="1"/>
  <c r="Q163" i="23"/>
  <c r="Q169" i="23"/>
  <c r="Q63" i="23"/>
  <c r="Q181" i="23"/>
  <c r="Q143" i="23"/>
  <c r="Q60" i="23"/>
  <c r="Q162" i="23"/>
  <c r="Q180" i="23"/>
  <c r="Q23" i="23"/>
  <c r="EJ18" i="5" s="1"/>
  <c r="Q65" i="23"/>
  <c r="Q73" i="23"/>
  <c r="Q36" i="23"/>
  <c r="EJ31" i="5" s="1"/>
  <c r="Q90" i="23"/>
  <c r="Q30" i="23"/>
  <c r="EJ25" i="5" s="1"/>
  <c r="Q144" i="23"/>
  <c r="Q189" i="23"/>
  <c r="Q109" i="23"/>
  <c r="Q91" i="23"/>
  <c r="Q84" i="23"/>
  <c r="Q130" i="23"/>
  <c r="Q160" i="23"/>
  <c r="Q166" i="23"/>
  <c r="Q125" i="23"/>
  <c r="Q39" i="23"/>
  <c r="EJ34" i="5" s="1"/>
  <c r="Q187" i="23"/>
  <c r="Q55" i="23"/>
  <c r="Q156" i="23"/>
  <c r="Q45" i="23"/>
  <c r="Q100" i="23"/>
  <c r="Q140" i="23"/>
  <c r="Q133" i="23"/>
  <c r="Q76" i="23"/>
  <c r="Q171" i="23"/>
  <c r="Q50" i="23"/>
  <c r="Q24" i="23"/>
  <c r="EJ19" i="5" s="1"/>
  <c r="Q38" i="23"/>
  <c r="EJ33" i="5" s="1"/>
  <c r="Q89" i="23"/>
  <c r="Q158" i="23"/>
  <c r="Q81" i="23"/>
  <c r="Q85" i="23"/>
  <c r="Q118" i="23"/>
  <c r="Q145" i="23"/>
  <c r="Q137" i="23"/>
  <c r="Q164" i="23"/>
  <c r="Q110" i="23"/>
  <c r="Q126" i="23"/>
  <c r="Q190" i="23"/>
  <c r="Q167" i="23"/>
  <c r="Q172" i="23"/>
  <c r="Q58" i="23"/>
  <c r="Q26" i="23"/>
  <c r="EJ21" i="5" s="1"/>
  <c r="Q155" i="23"/>
  <c r="Q139" i="23"/>
  <c r="Q71" i="23"/>
  <c r="Q154" i="23"/>
  <c r="Q170" i="23"/>
  <c r="Q148" i="23"/>
  <c r="Q165" i="23"/>
  <c r="Q72" i="23"/>
  <c r="Q107" i="23"/>
  <c r="Q94" i="23"/>
  <c r="Q115" i="23"/>
  <c r="Q22" i="23"/>
  <c r="EJ17" i="5" s="1"/>
  <c r="Q49" i="23"/>
  <c r="Q37" i="23"/>
  <c r="EJ32" i="5" s="1"/>
  <c r="Q35" i="23"/>
  <c r="EJ30" i="5" s="1"/>
  <c r="Q168" i="23"/>
  <c r="Q149" i="23"/>
  <c r="Q68" i="23"/>
  <c r="Q136" i="23"/>
  <c r="Q151" i="23"/>
  <c r="Q82" i="23"/>
  <c r="Q134" i="23"/>
  <c r="Q131" i="23"/>
  <c r="Q67" i="23"/>
  <c r="Q122" i="23"/>
  <c r="Q66" i="23"/>
  <c r="Q123" i="23"/>
  <c r="Q74" i="23"/>
  <c r="Q177" i="23"/>
  <c r="Q176" i="23"/>
  <c r="Q146" i="23"/>
  <c r="Q153" i="23"/>
  <c r="Q16" i="23"/>
  <c r="EJ11" i="5" s="1"/>
  <c r="Q121" i="23"/>
  <c r="Q51" i="23"/>
  <c r="Q70" i="23"/>
  <c r="Q184" i="23"/>
  <c r="Q120" i="23"/>
  <c r="Q186" i="23"/>
  <c r="Q27" i="23"/>
  <c r="EJ22" i="5" s="1"/>
  <c r="Q104" i="23"/>
  <c r="Q61" i="23"/>
  <c r="Q150" i="23"/>
  <c r="Q128" i="23"/>
  <c r="Q173" i="23"/>
  <c r="Q159" i="23"/>
  <c r="Q32" i="23"/>
  <c r="EJ27" i="5" s="1"/>
  <c r="Q86" i="23"/>
  <c r="Q147" i="23"/>
  <c r="Q80" i="23"/>
  <c r="Q43" i="23"/>
  <c r="Q179" i="23"/>
  <c r="Q21" i="23"/>
  <c r="EJ16" i="5" s="1"/>
  <c r="Q40" i="23"/>
  <c r="EJ35" i="5" s="1"/>
  <c r="Q101" i="23"/>
  <c r="Q77" i="23"/>
  <c r="Q127" i="23"/>
  <c r="Q182" i="23"/>
  <c r="Q96" i="23"/>
  <c r="Q64" i="23"/>
  <c r="Q54" i="23"/>
  <c r="Q108" i="23"/>
  <c r="Q135" i="23"/>
  <c r="Q99" i="23"/>
  <c r="Q13" i="23"/>
  <c r="EJ8" i="5" s="1"/>
  <c r="Q112" i="23"/>
  <c r="Q93" i="23"/>
  <c r="Q48" i="23"/>
  <c r="Q129" i="23"/>
  <c r="Q102" i="23"/>
  <c r="T12" i="23"/>
  <c r="EK7" i="5" s="1"/>
  <c r="U10" i="23"/>
  <c r="T140" i="23"/>
  <c r="U9" i="23"/>
  <c r="Q9" i="23"/>
  <c r="EJ4" i="5" s="1"/>
  <c r="T9" i="23"/>
  <c r="EK4" i="5" s="1"/>
  <c r="T10" i="23"/>
  <c r="EK5" i="5" s="1"/>
  <c r="T11" i="23"/>
  <c r="EK6" i="5" s="1"/>
  <c r="U151" i="23"/>
  <c r="T149" i="23"/>
  <c r="T182" i="23"/>
  <c r="T164" i="23"/>
  <c r="T159" i="23"/>
  <c r="U133" i="23"/>
  <c r="T103" i="23"/>
  <c r="U93" i="23"/>
  <c r="U180" i="23"/>
  <c r="T72" i="23"/>
  <c r="U87" i="23"/>
  <c r="U123" i="23"/>
  <c r="T18" i="23"/>
  <c r="EK13" i="5" s="1"/>
  <c r="T54" i="23"/>
  <c r="U119" i="23"/>
  <c r="T116" i="23"/>
  <c r="T21" i="23"/>
  <c r="EK16" i="5" s="1"/>
  <c r="U43" i="23"/>
  <c r="T172" i="23"/>
  <c r="U57" i="23"/>
  <c r="U42" i="23"/>
  <c r="T70" i="23"/>
  <c r="T187" i="23"/>
  <c r="U156" i="23"/>
  <c r="T69" i="23"/>
  <c r="U12" i="23"/>
  <c r="T125" i="23"/>
  <c r="U13" i="23"/>
  <c r="U44" i="23"/>
  <c r="U124" i="23"/>
  <c r="T101" i="23"/>
  <c r="T121" i="23"/>
  <c r="T123" i="23"/>
  <c r="T135" i="23"/>
  <c r="U90" i="23"/>
  <c r="U146" i="23"/>
  <c r="U144" i="23"/>
  <c r="T71" i="23"/>
  <c r="U46" i="23"/>
  <c r="T80" i="23"/>
  <c r="U83" i="23"/>
  <c r="T50" i="23"/>
  <c r="U174" i="23"/>
  <c r="U14" i="23"/>
  <c r="U64" i="23"/>
  <c r="T32" i="23"/>
  <c r="EK27" i="5" s="1"/>
  <c r="U56" i="23"/>
  <c r="U187" i="23"/>
  <c r="U38" i="23"/>
  <c r="T93" i="23"/>
  <c r="T162" i="23"/>
  <c r="U150" i="23"/>
  <c r="U105" i="23"/>
  <c r="U107" i="23"/>
  <c r="U155" i="23"/>
  <c r="T181" i="23"/>
  <c r="U121" i="23"/>
  <c r="T130" i="23"/>
  <c r="U25" i="23"/>
  <c r="T24" i="23"/>
  <c r="EK19" i="5" s="1"/>
  <c r="T83" i="23"/>
  <c r="T28" i="23"/>
  <c r="EK23" i="5" s="1"/>
  <c r="T44" i="23"/>
  <c r="T155" i="23"/>
  <c r="T61" i="23"/>
  <c r="U79" i="23"/>
  <c r="U186" i="23"/>
  <c r="U65" i="23"/>
  <c r="U82" i="23"/>
  <c r="T177" i="23"/>
  <c r="U175" i="23"/>
  <c r="T104" i="23"/>
  <c r="U71" i="23"/>
  <c r="T190" i="23"/>
  <c r="T169" i="23"/>
  <c r="T128" i="23"/>
  <c r="U190" i="23"/>
  <c r="U108" i="23"/>
  <c r="T176" i="23"/>
  <c r="U54" i="23"/>
  <c r="T92" i="23"/>
  <c r="U103" i="23"/>
  <c r="U98" i="23"/>
  <c r="U120" i="23"/>
  <c r="U109" i="23"/>
  <c r="T160" i="23"/>
  <c r="U70" i="23"/>
  <c r="U130" i="23"/>
  <c r="U72" i="23"/>
  <c r="U81" i="23"/>
  <c r="U30" i="23"/>
  <c r="U166" i="23"/>
  <c r="U145" i="23"/>
  <c r="T87" i="23"/>
  <c r="U40" i="23"/>
  <c r="T76" i="23"/>
  <c r="U157" i="23"/>
  <c r="T171" i="23"/>
  <c r="T58" i="23"/>
  <c r="T173" i="23"/>
  <c r="T55" i="23"/>
  <c r="T34" i="23"/>
  <c r="EK29" i="5" s="1"/>
  <c r="T163" i="23"/>
  <c r="T166" i="23"/>
  <c r="T43" i="23"/>
  <c r="U41" i="23"/>
  <c r="T86" i="23"/>
  <c r="T170" i="23"/>
  <c r="T179" i="23"/>
  <c r="U116" i="23"/>
  <c r="T144" i="23"/>
  <c r="U115" i="23"/>
  <c r="T114" i="23"/>
  <c r="T91" i="23"/>
  <c r="U88" i="23"/>
  <c r="U80" i="23"/>
  <c r="T185" i="23"/>
  <c r="T82" i="23"/>
  <c r="T133" i="23"/>
  <c r="U21" i="23"/>
  <c r="T13" i="23"/>
  <c r="EK8" i="5" s="1"/>
  <c r="U16" i="23"/>
  <c r="U49" i="23"/>
  <c r="T124" i="23"/>
  <c r="U117" i="23"/>
  <c r="T42" i="23"/>
  <c r="T38" i="23"/>
  <c r="EK33" i="5" s="1"/>
  <c r="U160" i="23"/>
  <c r="T106" i="23"/>
  <c r="T17" i="23"/>
  <c r="EK12" i="5" s="1"/>
  <c r="U48" i="23"/>
  <c r="T112" i="23"/>
  <c r="U172" i="23"/>
  <c r="U101" i="23"/>
  <c r="T31" i="23"/>
  <c r="EK26" i="5" s="1"/>
  <c r="U39" i="23"/>
  <c r="T75" i="23"/>
  <c r="U111" i="23"/>
  <c r="U106" i="23"/>
  <c r="U91" i="23"/>
  <c r="T142" i="23"/>
  <c r="U161" i="23"/>
  <c r="T68" i="23"/>
  <c r="T110" i="23"/>
  <c r="U129" i="23"/>
  <c r="T117" i="23"/>
  <c r="U179" i="23"/>
  <c r="T167" i="23"/>
  <c r="U58" i="23"/>
  <c r="T184" i="23"/>
  <c r="U162" i="23"/>
  <c r="T88" i="23"/>
  <c r="T35" i="23"/>
  <c r="EK30" i="5" s="1"/>
  <c r="T99" i="23"/>
  <c r="T157" i="23"/>
  <c r="T59" i="23"/>
  <c r="U28" i="23"/>
  <c r="U171" i="23"/>
  <c r="T94" i="23"/>
  <c r="T89" i="23"/>
  <c r="U69" i="23"/>
  <c r="T188" i="23"/>
  <c r="U135" i="23"/>
  <c r="U35" i="23"/>
  <c r="U86" i="23"/>
  <c r="U102" i="23"/>
  <c r="U114" i="23"/>
  <c r="T119" i="23"/>
  <c r="T126" i="23"/>
  <c r="U31" i="23"/>
  <c r="T131" i="23"/>
  <c r="T174" i="23"/>
  <c r="T81" i="23"/>
  <c r="U17" i="23"/>
  <c r="U138" i="23"/>
  <c r="T47" i="23"/>
  <c r="T84" i="23"/>
  <c r="U61" i="23"/>
  <c r="T129" i="23"/>
  <c r="U142" i="23"/>
  <c r="T33" i="23"/>
  <c r="EK28" i="5" s="1"/>
  <c r="U158" i="23"/>
  <c r="U47" i="23"/>
  <c r="U189" i="23"/>
  <c r="T74" i="23"/>
  <c r="T15" i="23"/>
  <c r="EK10" i="5" s="1"/>
  <c r="T168" i="23"/>
  <c r="U95" i="23"/>
  <c r="U152" i="23"/>
  <c r="T109" i="23"/>
  <c r="T53" i="23"/>
  <c r="U183" i="23"/>
  <c r="T51" i="23"/>
  <c r="T97" i="23"/>
  <c r="U45" i="23"/>
  <c r="T95" i="23"/>
  <c r="U73" i="23"/>
  <c r="T156" i="23"/>
  <c r="U36" i="23"/>
  <c r="U34" i="23"/>
  <c r="U22" i="23"/>
  <c r="T23" i="23"/>
  <c r="EK18" i="5" s="1"/>
  <c r="U78" i="23"/>
  <c r="U141" i="23"/>
  <c r="U118" i="23"/>
  <c r="T146" i="23"/>
  <c r="T16" i="23"/>
  <c r="EK11" i="5" s="1"/>
  <c r="T29" i="23"/>
  <c r="EK24" i="5" s="1"/>
  <c r="T78" i="23"/>
  <c r="U66" i="23"/>
  <c r="T40" i="23"/>
  <c r="EK35" i="5" s="1"/>
  <c r="T26" i="23"/>
  <c r="EK21" i="5" s="1"/>
  <c r="T161" i="23"/>
  <c r="T154" i="23"/>
  <c r="U168" i="23"/>
  <c r="U84" i="23"/>
  <c r="T115" i="23"/>
  <c r="U33" i="23"/>
  <c r="T96" i="23"/>
  <c r="T49" i="23"/>
  <c r="U181" i="23"/>
  <c r="T165" i="23"/>
  <c r="T120" i="23"/>
  <c r="T22" i="23"/>
  <c r="EK17" i="5" s="1"/>
  <c r="U67" i="23"/>
  <c r="U94" i="23"/>
  <c r="T158" i="23"/>
  <c r="T118" i="23"/>
  <c r="U20" i="23"/>
  <c r="T98" i="23"/>
  <c r="U182" i="23"/>
  <c r="U143" i="23"/>
  <c r="T45" i="23"/>
  <c r="T30" i="23"/>
  <c r="EK25" i="5" s="1"/>
  <c r="T178" i="23"/>
  <c r="T36" i="23"/>
  <c r="EK31" i="5" s="1"/>
  <c r="U122" i="23"/>
  <c r="T79" i="23"/>
  <c r="T77" i="23"/>
  <c r="U77" i="23"/>
  <c r="U19" i="23"/>
  <c r="U18" i="23"/>
  <c r="U32" i="23"/>
  <c r="U154" i="23"/>
  <c r="T64" i="23"/>
  <c r="U96" i="23"/>
  <c r="T152" i="23"/>
  <c r="T137" i="23"/>
  <c r="T46" i="23"/>
  <c r="T111" i="23"/>
  <c r="U110" i="23"/>
  <c r="U134" i="23"/>
  <c r="U113" i="23"/>
  <c r="T14" i="23"/>
  <c r="EK9" i="5" s="1"/>
  <c r="U97" i="23"/>
  <c r="T107" i="23"/>
  <c r="T67" i="23"/>
  <c r="U74" i="23"/>
  <c r="U51" i="23"/>
  <c r="T134" i="23"/>
  <c r="U173" i="23"/>
  <c r="U85" i="23"/>
  <c r="U147" i="23"/>
  <c r="U24" i="23"/>
  <c r="T143" i="23"/>
  <c r="U15" i="23"/>
  <c r="U184" i="23"/>
  <c r="U68" i="23"/>
  <c r="T37" i="23"/>
  <c r="EK32" i="5" s="1"/>
  <c r="T113" i="23"/>
  <c r="T151" i="23"/>
  <c r="T180" i="23"/>
  <c r="T63" i="23"/>
  <c r="T25" i="23"/>
  <c r="EK20" i="5" s="1"/>
  <c r="T132" i="23"/>
  <c r="T108" i="23"/>
  <c r="U126" i="23"/>
  <c r="T147" i="23"/>
  <c r="U26" i="23"/>
  <c r="T122" i="23"/>
  <c r="U100" i="23"/>
  <c r="U131" i="23"/>
  <c r="U148" i="23"/>
  <c r="U136" i="23"/>
  <c r="T85" i="23"/>
  <c r="T48" i="23"/>
  <c r="T153" i="23"/>
  <c r="U164" i="23"/>
  <c r="T189" i="23"/>
  <c r="U153" i="23"/>
  <c r="U127" i="23"/>
  <c r="U55" i="23"/>
  <c r="U165" i="23"/>
  <c r="U125" i="23"/>
  <c r="T183" i="23"/>
  <c r="U53" i="23"/>
  <c r="U178" i="23"/>
  <c r="T66" i="23"/>
  <c r="T139" i="23"/>
  <c r="T41" i="23"/>
  <c r="EK36" i="5" s="1"/>
  <c r="U23" i="23"/>
  <c r="T150" i="23"/>
  <c r="U139" i="23"/>
  <c r="U29" i="23"/>
  <c r="U104" i="23"/>
  <c r="U188" i="23"/>
  <c r="T100" i="23"/>
  <c r="T141" i="23"/>
  <c r="T60" i="23"/>
  <c r="U75" i="23"/>
  <c r="U176" i="23"/>
  <c r="T65" i="23"/>
  <c r="U132" i="23"/>
  <c r="T127" i="23"/>
  <c r="U50" i="23"/>
  <c r="U177" i="23"/>
  <c r="T136" i="23"/>
  <c r="T73" i="23"/>
  <c r="T102" i="23"/>
  <c r="U137" i="23"/>
  <c r="U37" i="23"/>
  <c r="U169" i="23"/>
  <c r="T186" i="23"/>
  <c r="U63" i="23"/>
  <c r="T56" i="23"/>
  <c r="U140" i="23"/>
  <c r="T20" i="23"/>
  <c r="EK15" i="5" s="1"/>
  <c r="T90" i="23"/>
  <c r="U76" i="23"/>
  <c r="U163" i="23"/>
  <c r="U185" i="23"/>
  <c r="U159" i="23"/>
  <c r="U149" i="23"/>
  <c r="U92" i="23"/>
  <c r="U99" i="23"/>
  <c r="T62" i="23"/>
  <c r="U59" i="23"/>
  <c r="U170" i="23"/>
  <c r="T148" i="23"/>
  <c r="T52" i="23"/>
  <c r="T57" i="23"/>
  <c r="U27" i="23"/>
  <c r="U52" i="23"/>
  <c r="U89" i="23"/>
  <c r="T145" i="23"/>
  <c r="U167" i="23"/>
  <c r="U128" i="23"/>
  <c r="T19" i="23"/>
  <c r="EK14" i="5" s="1"/>
  <c r="U60" i="23"/>
  <c r="T39" i="23"/>
  <c r="EK34" i="5" s="1"/>
  <c r="T138" i="23"/>
  <c r="T27" i="23"/>
  <c r="EK22" i="5" s="1"/>
  <c r="T105" i="23"/>
  <c r="U112" i="23"/>
  <c r="U62" i="23"/>
  <c r="T175" i="23"/>
  <c r="T261" i="21" l="1"/>
  <c r="T210" i="21"/>
  <c r="T407" i="21"/>
  <c r="T530" i="21"/>
  <c r="T550" i="21"/>
  <c r="T266" i="21"/>
  <c r="T80" i="21"/>
  <c r="T138" i="21"/>
  <c r="T42" i="21"/>
  <c r="T47" i="21"/>
  <c r="T227" i="21"/>
  <c r="T249" i="21"/>
  <c r="T134" i="21"/>
  <c r="T198" i="21"/>
  <c r="U261" i="21"/>
  <c r="U210" i="21"/>
  <c r="U407" i="21"/>
  <c r="U530" i="21"/>
  <c r="U550" i="21"/>
  <c r="U266" i="21"/>
  <c r="U80" i="21"/>
  <c r="U138" i="21"/>
  <c r="U42" i="21"/>
  <c r="U47" i="21"/>
  <c r="U227" i="21"/>
  <c r="U249" i="21"/>
  <c r="U134" i="21"/>
  <c r="U198" i="21"/>
  <c r="W2" i="21" l="1"/>
  <c r="T326" i="21" l="1"/>
  <c r="T342" i="21"/>
  <c r="T299" i="21"/>
  <c r="T386" i="21"/>
  <c r="T533" i="21"/>
  <c r="T382" i="21"/>
  <c r="U326" i="21"/>
  <c r="U342" i="21"/>
  <c r="U299" i="21"/>
  <c r="U386" i="21"/>
  <c r="U533" i="21"/>
  <c r="U382" i="21"/>
  <c r="DN4" i="5"/>
  <c r="DN5" i="5"/>
  <c r="DN6" i="5"/>
  <c r="DN7" i="5"/>
  <c r="DN8" i="5"/>
  <c r="DN9" i="5"/>
  <c r="DN10" i="5"/>
  <c r="DN11" i="5"/>
  <c r="DN12" i="5"/>
  <c r="DN13" i="5"/>
  <c r="DN14" i="5"/>
  <c r="DN15" i="5"/>
  <c r="DN16" i="5"/>
  <c r="DN17" i="5"/>
  <c r="DN18" i="5"/>
  <c r="DN19" i="5"/>
  <c r="DN20" i="5"/>
  <c r="DN21" i="5"/>
  <c r="DN22" i="5"/>
  <c r="DN23" i="5"/>
  <c r="DN24" i="5"/>
  <c r="DN25" i="5"/>
  <c r="DN26" i="5"/>
  <c r="DN27" i="5"/>
  <c r="DN28" i="5"/>
  <c r="DN29" i="5"/>
  <c r="DN30" i="5"/>
  <c r="DN31" i="5"/>
  <c r="DN32" i="5"/>
  <c r="DN33" i="5"/>
  <c r="DN34" i="5"/>
  <c r="DN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 i="5"/>
  <c r="U14" i="22" l="1"/>
  <c r="U18" i="22"/>
  <c r="U17" i="22"/>
  <c r="U2" i="21" l="1"/>
  <c r="T2" i="21"/>
  <c r="U485" i="21"/>
  <c r="U408" i="21"/>
  <c r="U274" i="21"/>
  <c r="U418" i="21"/>
  <c r="U247" i="21"/>
  <c r="U346" i="21"/>
  <c r="U306" i="21"/>
  <c r="U195" i="21"/>
  <c r="U389" i="21"/>
  <c r="T485" i="21"/>
  <c r="T408" i="21"/>
  <c r="T274" i="21"/>
  <c r="T418" i="21"/>
  <c r="T247" i="21"/>
  <c r="T346" i="21"/>
  <c r="T306" i="21"/>
  <c r="T195" i="21"/>
  <c r="T389" i="21"/>
  <c r="V2" i="21" l="1"/>
  <c r="A4" i="22"/>
  <c r="A5" i="22" s="1"/>
  <c r="A6" i="22" s="1"/>
  <c r="A7" i="22" s="1"/>
  <c r="A8" i="22" s="1"/>
  <c r="A9" i="22" s="1"/>
  <c r="A10" i="22" s="1"/>
  <c r="A11" i="22" s="1"/>
  <c r="A12" i="22" s="1"/>
  <c r="A13" i="22" s="1"/>
  <c r="A14" i="22" s="1"/>
  <c r="A15" i="22" s="1"/>
  <c r="A16" i="22" s="1"/>
  <c r="A17" i="22" s="1"/>
  <c r="A18" i="22" s="1"/>
  <c r="A19" i="22" s="1"/>
  <c r="A20" i="22" s="1"/>
  <c r="A21" i="22" s="1"/>
  <c r="A22" i="22" s="1"/>
  <c r="A23" i="22" s="1"/>
  <c r="A24" i="22" s="1"/>
  <c r="A25" i="22" s="1"/>
  <c r="A26" i="22" s="1"/>
  <c r="A27" i="22" s="1"/>
  <c r="A28" i="22" s="1"/>
  <c r="A29" i="22" s="1"/>
  <c r="A30" i="22" s="1"/>
  <c r="A31" i="22" s="1"/>
  <c r="A32" i="22" s="1"/>
  <c r="A33" i="22" s="1"/>
  <c r="A34" i="22" s="1"/>
  <c r="A35" i="22" s="1"/>
  <c r="A36" i="22" s="1"/>
  <c r="A37" i="22" s="1"/>
  <c r="A38" i="22" s="1"/>
  <c r="A39" i="22" s="1"/>
  <c r="A40" i="22" s="1"/>
  <c r="A41" i="22" s="1"/>
  <c r="A42" i="22" s="1"/>
  <c r="A43" i="22" s="1"/>
  <c r="A44" i="22" s="1"/>
  <c r="A45" i="22" s="1"/>
  <c r="A46" i="22" s="1"/>
  <c r="A47" i="22" s="1"/>
  <c r="A48" i="22" s="1"/>
  <c r="A49" i="22" s="1"/>
  <c r="A50" i="22" s="1"/>
  <c r="A51" i="22" s="1"/>
  <c r="A52" i="22" s="1"/>
  <c r="A53" i="22" s="1"/>
  <c r="A54" i="22" s="1"/>
  <c r="A55" i="22" s="1"/>
  <c r="A56" i="22" s="1"/>
  <c r="A57" i="22" s="1"/>
  <c r="A58" i="22" s="1"/>
  <c r="A59" i="22" s="1"/>
  <c r="A60" i="22" s="1"/>
  <c r="A61" i="22" s="1"/>
  <c r="A62" i="22" s="1"/>
  <c r="A63" i="22" s="1"/>
  <c r="A64" i="22" s="1"/>
  <c r="A65" i="22" s="1"/>
  <c r="A66" i="22" s="1"/>
  <c r="A67" i="22" s="1"/>
  <c r="A68" i="22" s="1"/>
  <c r="A69" i="22" s="1"/>
  <c r="A70" i="22" s="1"/>
  <c r="A71" i="22" s="1"/>
  <c r="A72" i="22" s="1"/>
  <c r="A73" i="22" s="1"/>
  <c r="A74" i="22" s="1"/>
  <c r="A75" i="22" s="1"/>
  <c r="A76" i="22" s="1"/>
  <c r="A77" i="22" s="1"/>
  <c r="A78" i="22" s="1"/>
  <c r="A79" i="22" s="1"/>
  <c r="A80" i="22" s="1"/>
  <c r="A81" i="22" s="1"/>
  <c r="A82" i="22" s="1"/>
  <c r="A83" i="22" s="1"/>
  <c r="A84" i="22" s="1"/>
  <c r="A85" i="22" s="1"/>
  <c r="A86" i="22" s="1"/>
  <c r="A87" i="22" s="1"/>
  <c r="A88" i="22" s="1"/>
  <c r="A89" i="22" s="1"/>
  <c r="A90" i="22" s="1"/>
  <c r="A91" i="22" s="1"/>
  <c r="A92" i="22" s="1"/>
  <c r="A93" i="22" s="1"/>
  <c r="A94" i="22" s="1"/>
  <c r="A95" i="22" s="1"/>
  <c r="A96" i="22" s="1"/>
  <c r="A97" i="22" s="1"/>
  <c r="A98" i="22" s="1"/>
  <c r="A99" i="22" s="1"/>
  <c r="A100" i="22" s="1"/>
  <c r="A101" i="22" s="1"/>
  <c r="A102" i="22" s="1"/>
  <c r="A103" i="22" s="1"/>
  <c r="A104" i="22" s="1"/>
  <c r="A105" i="22" s="1"/>
  <c r="A106" i="22" s="1"/>
  <c r="A107" i="22" s="1"/>
  <c r="A108" i="22" s="1"/>
  <c r="A109" i="22" s="1"/>
  <c r="A110" i="22" s="1"/>
  <c r="A111" i="22" s="1"/>
  <c r="A112" i="22" s="1"/>
  <c r="A113" i="22" s="1"/>
  <c r="A114" i="22" s="1"/>
  <c r="A115" i="22" s="1"/>
  <c r="A116" i="22" s="1"/>
  <c r="A117" i="22" s="1"/>
  <c r="A118" i="22" s="1"/>
  <c r="A119" i="22" s="1"/>
  <c r="A120" i="22" s="1"/>
  <c r="A121" i="22" s="1"/>
  <c r="A122" i="22" s="1"/>
  <c r="A123" i="22" s="1"/>
  <c r="A124" i="22" s="1"/>
  <c r="A125" i="22" s="1"/>
  <c r="A126" i="22" s="1"/>
  <c r="A127" i="22" s="1"/>
  <c r="A128" i="22" s="1"/>
  <c r="A129" i="22" s="1"/>
  <c r="A130" i="22" s="1"/>
  <c r="A131" i="22" s="1"/>
  <c r="A132" i="22" s="1"/>
  <c r="A133" i="22" s="1"/>
  <c r="A134" i="22" s="1"/>
  <c r="A135" i="22" s="1"/>
  <c r="A136" i="22" s="1"/>
  <c r="A137" i="22" s="1"/>
  <c r="A138" i="22" s="1"/>
  <c r="A139" i="22" s="1"/>
  <c r="A140" i="22" s="1"/>
  <c r="A141" i="22" s="1"/>
  <c r="A142" i="22" s="1"/>
  <c r="A143" i="22" s="1"/>
  <c r="A144" i="22" s="1"/>
  <c r="A145" i="22" s="1"/>
  <c r="A146" i="22" s="1"/>
  <c r="A147" i="22" s="1"/>
  <c r="A148" i="22" s="1"/>
  <c r="A149" i="22" s="1"/>
  <c r="A150" i="22" s="1"/>
  <c r="A151" i="22" s="1"/>
  <c r="A152" i="22" s="1"/>
  <c r="A153" i="22" s="1"/>
  <c r="A154" i="22" s="1"/>
  <c r="A155" i="22" s="1"/>
  <c r="A156" i="22" s="1"/>
  <c r="A157" i="22" s="1"/>
  <c r="A158" i="22" s="1"/>
  <c r="A159" i="22" s="1"/>
  <c r="A160" i="22" s="1"/>
  <c r="A161" i="22" s="1"/>
  <c r="A162" i="22" s="1"/>
  <c r="A163" i="22" s="1"/>
  <c r="A164" i="22" s="1"/>
  <c r="A165" i="22" s="1"/>
  <c r="A166" i="22" s="1"/>
  <c r="A167" i="22" s="1"/>
  <c r="A168" i="22" s="1"/>
  <c r="A169" i="22" s="1"/>
  <c r="A170" i="22" s="1"/>
  <c r="A171" i="22" s="1"/>
  <c r="A172" i="22" s="1"/>
  <c r="A173" i="22" s="1"/>
  <c r="A174" i="22" s="1"/>
  <c r="A175" i="22" s="1"/>
  <c r="A176" i="22" s="1"/>
  <c r="A177" i="22" s="1"/>
  <c r="A178" i="22" s="1"/>
  <c r="A179" i="22" s="1"/>
  <c r="A180" i="22" s="1"/>
  <c r="A181" i="22" s="1"/>
  <c r="A182" i="22" s="1"/>
  <c r="A183" i="22" s="1"/>
  <c r="A184" i="22" s="1"/>
  <c r="A185" i="22" s="1"/>
  <c r="A186" i="22" s="1"/>
  <c r="A187" i="22" s="1"/>
  <c r="A188" i="22" s="1"/>
  <c r="A189" i="22" s="1"/>
  <c r="A190" i="22" s="1"/>
  <c r="A191" i="22" s="1"/>
  <c r="A192" i="22" s="1"/>
  <c r="A193" i="22" s="1"/>
  <c r="A194" i="22" s="1"/>
  <c r="A195" i="22" s="1"/>
  <c r="A196" i="22" s="1"/>
  <c r="A197" i="22" s="1"/>
  <c r="A198" i="22" s="1"/>
  <c r="A199" i="22" s="1"/>
  <c r="A200" i="22" s="1"/>
  <c r="A201" i="22" s="1"/>
  <c r="A202" i="22" s="1"/>
  <c r="A203" i="22" s="1"/>
  <c r="A204" i="22" s="1"/>
  <c r="A205" i="22" s="1"/>
  <c r="A206" i="22" s="1"/>
  <c r="A207" i="22" s="1"/>
  <c r="A208" i="22" s="1"/>
  <c r="A209" i="22" s="1"/>
  <c r="A210" i="22" s="1"/>
  <c r="A211" i="22" s="1"/>
  <c r="A212" i="22" s="1"/>
  <c r="A213" i="22" s="1"/>
  <c r="A214" i="22" s="1"/>
  <c r="A215" i="22" s="1"/>
  <c r="A216" i="22" s="1"/>
  <c r="A217" i="22" s="1"/>
  <c r="A218" i="22" s="1"/>
  <c r="A219" i="22" s="1"/>
  <c r="A220" i="22" s="1"/>
  <c r="A221" i="22" s="1"/>
  <c r="A222" i="22" s="1"/>
  <c r="A223" i="22" s="1"/>
  <c r="A224" i="22" s="1"/>
  <c r="A225" i="22" s="1"/>
  <c r="A226" i="22" s="1"/>
  <c r="A227" i="22" s="1"/>
  <c r="A228" i="22" s="1"/>
  <c r="A229" i="22" s="1"/>
  <c r="A230" i="22" s="1"/>
  <c r="A231" i="22" s="1"/>
  <c r="A232" i="22" s="1"/>
  <c r="A233" i="22" s="1"/>
  <c r="A234" i="22" s="1"/>
  <c r="A235" i="22" s="1"/>
  <c r="A236" i="22" s="1"/>
  <c r="A237" i="22" s="1"/>
  <c r="A238" i="22" s="1"/>
  <c r="A239" i="22" s="1"/>
  <c r="A240" i="22" s="1"/>
  <c r="A241" i="22" s="1"/>
  <c r="A242" i="22" s="1"/>
  <c r="A243" i="22" s="1"/>
  <c r="A244" i="22" s="1"/>
  <c r="A245" i="22" s="1"/>
  <c r="A246" i="22" s="1"/>
  <c r="A247" i="22" s="1"/>
  <c r="A248" i="22" s="1"/>
  <c r="A249" i="22" s="1"/>
  <c r="A250" i="22" s="1"/>
  <c r="A251" i="22" s="1"/>
  <c r="A252" i="22" s="1"/>
  <c r="A253" i="22" s="1"/>
  <c r="A254" i="22" s="1"/>
  <c r="A255" i="22" s="1"/>
  <c r="A256" i="22" s="1"/>
  <c r="A257" i="22" s="1"/>
  <c r="A258" i="22" s="1"/>
  <c r="A259" i="22" s="1"/>
  <c r="A260" i="22" s="1"/>
  <c r="A261" i="22" s="1"/>
  <c r="A262" i="22" s="1"/>
  <c r="A263" i="22" s="1"/>
  <c r="A264" i="22" s="1"/>
  <c r="A265" i="22" s="1"/>
  <c r="A266" i="22" s="1"/>
  <c r="A267" i="22" s="1"/>
  <c r="A268" i="22" s="1"/>
  <c r="A269" i="22" s="1"/>
  <c r="A270" i="22" s="1"/>
  <c r="A271" i="22" s="1"/>
  <c r="A272" i="22" s="1"/>
  <c r="A273" i="22" s="1"/>
  <c r="A274" i="22" s="1"/>
  <c r="A275" i="22" s="1"/>
  <c r="A276" i="22" s="1"/>
  <c r="A277" i="22" s="1"/>
  <c r="A278" i="22" s="1"/>
  <c r="A279" i="22" s="1"/>
  <c r="A280" i="22" s="1"/>
  <c r="A281" i="22" s="1"/>
  <c r="A282" i="22" s="1"/>
  <c r="A283" i="22" s="1"/>
  <c r="A284" i="22" s="1"/>
  <c r="A285" i="22" s="1"/>
  <c r="A286" i="22" s="1"/>
  <c r="A287" i="22" s="1"/>
  <c r="A288" i="22" s="1"/>
  <c r="A289" i="22" s="1"/>
  <c r="A290" i="22" s="1"/>
  <c r="A291" i="22" s="1"/>
  <c r="A292" i="22" s="1"/>
  <c r="A293" i="22" s="1"/>
  <c r="A294" i="22" s="1"/>
  <c r="A295" i="22" s="1"/>
  <c r="A296" i="22" s="1"/>
  <c r="A297" i="22" s="1"/>
  <c r="A298" i="22" s="1"/>
  <c r="A299" i="22" s="1"/>
  <c r="A300" i="22" s="1"/>
  <c r="A301" i="22" s="1"/>
  <c r="A302" i="22" s="1"/>
  <c r="A303" i="22" s="1"/>
  <c r="A304" i="22" s="1"/>
  <c r="A305" i="22" s="1"/>
  <c r="A306" i="22" s="1"/>
  <c r="A307" i="22" s="1"/>
  <c r="A308" i="22" s="1"/>
  <c r="A309" i="22" s="1"/>
  <c r="A310" i="22" s="1"/>
  <c r="A311" i="22" s="1"/>
  <c r="A312" i="22" s="1"/>
  <c r="A313" i="22" s="1"/>
  <c r="A314" i="22" s="1"/>
  <c r="A315" i="22" s="1"/>
  <c r="A316" i="22" s="1"/>
  <c r="A317" i="22" s="1"/>
  <c r="A318" i="22" s="1"/>
  <c r="A319" i="22" s="1"/>
  <c r="A320" i="22" s="1"/>
  <c r="A321" i="22" s="1"/>
  <c r="A322" i="22" s="1"/>
  <c r="A323" i="22" s="1"/>
  <c r="A324" i="22" s="1"/>
  <c r="A325" i="22" s="1"/>
  <c r="A326" i="22" s="1"/>
  <c r="A327" i="22" s="1"/>
  <c r="A328" i="22" s="1"/>
  <c r="A329" i="22" s="1"/>
  <c r="A330" i="22" s="1"/>
  <c r="A331" i="22" s="1"/>
  <c r="A332" i="22" s="1"/>
  <c r="A333" i="22" s="1"/>
  <c r="A334" i="22" s="1"/>
  <c r="A335" i="22" s="1"/>
  <c r="A336" i="22" s="1"/>
  <c r="A337" i="22" s="1"/>
  <c r="A338" i="22" s="1"/>
  <c r="A339" i="22" s="1"/>
  <c r="A340" i="22" s="1"/>
  <c r="A341" i="22" s="1"/>
  <c r="A342" i="22" s="1"/>
  <c r="A343" i="22" s="1"/>
  <c r="A344" i="22" s="1"/>
  <c r="A345" i="22" s="1"/>
  <c r="A346" i="22" s="1"/>
  <c r="A347" i="22" s="1"/>
  <c r="A348" i="22" s="1"/>
  <c r="A349" i="22" s="1"/>
  <c r="A350" i="22" s="1"/>
  <c r="A351" i="22" s="1"/>
  <c r="A352" i="22" s="1"/>
  <c r="A353" i="22" s="1"/>
  <c r="A354" i="22" s="1"/>
  <c r="A355" i="22" s="1"/>
  <c r="A356" i="22" s="1"/>
  <c r="A357" i="22" s="1"/>
  <c r="A358" i="22" s="1"/>
  <c r="A359" i="22" s="1"/>
  <c r="A360" i="22" s="1"/>
  <c r="A361" i="22" s="1"/>
  <c r="A362" i="22" s="1"/>
  <c r="A363" i="22" s="1"/>
  <c r="A364" i="22" s="1"/>
  <c r="A365" i="22" s="1"/>
  <c r="A366" i="22" s="1"/>
  <c r="A367" i="22" s="1"/>
  <c r="A368" i="22" s="1"/>
  <c r="A369" i="22" s="1"/>
  <c r="A370" i="22" s="1"/>
  <c r="A371" i="22" s="1"/>
  <c r="A372" i="22" s="1"/>
  <c r="A373" i="22" s="1"/>
  <c r="A374" i="22" s="1"/>
  <c r="A375" i="22" s="1"/>
  <c r="A376" i="22" s="1"/>
  <c r="A377" i="22" s="1"/>
  <c r="A378" i="22" s="1"/>
  <c r="A379" i="22" s="1"/>
  <c r="A380" i="22" s="1"/>
  <c r="A381" i="22" s="1"/>
  <c r="A382" i="22" s="1"/>
  <c r="A383" i="22" s="1"/>
  <c r="A384" i="22" s="1"/>
  <c r="A385" i="22" s="1"/>
  <c r="A386" i="22" s="1"/>
  <c r="A387" i="22" s="1"/>
  <c r="A388" i="22" s="1"/>
  <c r="A389" i="22" s="1"/>
  <c r="A390" i="22" s="1"/>
  <c r="A391" i="22" s="1"/>
  <c r="A392" i="22" s="1"/>
  <c r="A393" i="22" s="1"/>
  <c r="A394" i="22" s="1"/>
  <c r="A395" i="22" s="1"/>
  <c r="A396" i="22" s="1"/>
  <c r="A397" i="22" s="1"/>
  <c r="A398" i="22" s="1"/>
  <c r="A399" i="22" s="1"/>
  <c r="A400" i="22" s="1"/>
  <c r="A401" i="22" s="1"/>
  <c r="A402" i="22" s="1"/>
  <c r="A403" i="22" s="1"/>
  <c r="A404" i="22" s="1"/>
  <c r="A405" i="22" s="1"/>
  <c r="A406" i="22" s="1"/>
  <c r="A407" i="22" s="1"/>
  <c r="A408" i="22" s="1"/>
  <c r="A409" i="22" s="1"/>
  <c r="A410" i="22" s="1"/>
  <c r="A411" i="22" s="1"/>
  <c r="A412" i="22" s="1"/>
  <c r="A413" i="22" s="1"/>
  <c r="A414" i="22" s="1"/>
  <c r="A415" i="22" s="1"/>
  <c r="A416" i="22" s="1"/>
  <c r="A417" i="22" s="1"/>
  <c r="A418" i="22" s="1"/>
  <c r="A419" i="22" s="1"/>
  <c r="A420" i="22" s="1"/>
  <c r="A421" i="22" s="1"/>
  <c r="A422" i="22" s="1"/>
  <c r="A423" i="22" s="1"/>
  <c r="A424" i="22" s="1"/>
  <c r="A425" i="22" s="1"/>
  <c r="A426" i="22" s="1"/>
  <c r="A427" i="22" s="1"/>
  <c r="A428" i="22" s="1"/>
  <c r="A429" i="22" s="1"/>
  <c r="A430" i="22" s="1"/>
  <c r="A431" i="22" s="1"/>
  <c r="A432" i="22" s="1"/>
  <c r="A433" i="22" s="1"/>
  <c r="A434" i="22" s="1"/>
  <c r="A435" i="22" s="1"/>
  <c r="A436" i="22" s="1"/>
  <c r="A437" i="22" s="1"/>
  <c r="A438" i="22" s="1"/>
  <c r="A439" i="22" s="1"/>
  <c r="A440" i="22" s="1"/>
  <c r="A441" i="22" s="1"/>
  <c r="A442" i="22" s="1"/>
  <c r="A443" i="22" s="1"/>
  <c r="A444" i="22" s="1"/>
  <c r="A445" i="22" s="1"/>
  <c r="A446" i="22" s="1"/>
  <c r="A447" i="22" s="1"/>
  <c r="A448" i="22" s="1"/>
  <c r="A449" i="22" s="1"/>
  <c r="A450" i="22" s="1"/>
  <c r="A451" i="22" s="1"/>
  <c r="A452" i="22" s="1"/>
  <c r="A453" i="22" s="1"/>
  <c r="A454" i="22" s="1"/>
  <c r="A455" i="22" s="1"/>
  <c r="A456" i="22" s="1"/>
  <c r="A457" i="22" s="1"/>
  <c r="A458" i="22" s="1"/>
  <c r="A459" i="22" s="1"/>
  <c r="A460" i="22" s="1"/>
  <c r="A461" i="22" s="1"/>
  <c r="A462" i="22" s="1"/>
  <c r="A463" i="22" s="1"/>
  <c r="A464" i="22" s="1"/>
  <c r="A465" i="22" s="1"/>
  <c r="A466" i="22" s="1"/>
  <c r="A467" i="22" s="1"/>
  <c r="A468" i="22" s="1"/>
  <c r="A469" i="22" s="1"/>
  <c r="A470" i="22" s="1"/>
  <c r="A471" i="22" s="1"/>
  <c r="A472" i="22" s="1"/>
  <c r="A473" i="22" s="1"/>
  <c r="A474" i="22" s="1"/>
  <c r="A475" i="22" s="1"/>
  <c r="A476" i="22" s="1"/>
  <c r="A477" i="22" s="1"/>
  <c r="A478" i="22" s="1"/>
  <c r="A479" i="22" s="1"/>
  <c r="A480" i="22" s="1"/>
  <c r="A481" i="22" s="1"/>
  <c r="A482" i="22" s="1"/>
  <c r="A483" i="22" s="1"/>
  <c r="A484" i="22" s="1"/>
  <c r="A485" i="22" s="1"/>
  <c r="A486" i="22" s="1"/>
  <c r="A487" i="22" s="1"/>
  <c r="A488" i="22" s="1"/>
  <c r="A489" i="22" s="1"/>
  <c r="A490" i="22" s="1"/>
  <c r="A491" i="22" s="1"/>
  <c r="A492" i="22" s="1"/>
  <c r="A493" i="22" s="1"/>
  <c r="A494" i="22" s="1"/>
  <c r="A495" i="22" s="1"/>
  <c r="A496" i="22" s="1"/>
  <c r="A497" i="22" s="1"/>
  <c r="A498" i="22" s="1"/>
  <c r="A499" i="22" s="1"/>
  <c r="A500" i="22" s="1"/>
  <c r="A501" i="22" s="1"/>
  <c r="A502" i="22" s="1"/>
  <c r="A503" i="22" s="1"/>
  <c r="A504" i="22" s="1"/>
  <c r="A505" i="22" s="1"/>
  <c r="A506" i="22" s="1"/>
  <c r="A507" i="22" s="1"/>
  <c r="A508" i="22" s="1"/>
  <c r="A509" i="22" s="1"/>
  <c r="A510" i="22" s="1"/>
  <c r="A511" i="22" s="1"/>
  <c r="A512" i="22" s="1"/>
  <c r="A513" i="22" s="1"/>
  <c r="A514" i="22" s="1"/>
  <c r="A515" i="22" s="1"/>
  <c r="A516" i="22" s="1"/>
  <c r="A517" i="22" s="1"/>
  <c r="A518" i="22" s="1"/>
  <c r="A519" i="22" s="1"/>
  <c r="A520" i="22" s="1"/>
  <c r="A521" i="22" s="1"/>
  <c r="A522" i="22" s="1"/>
  <c r="A523" i="22" s="1"/>
  <c r="A524" i="22" s="1"/>
  <c r="A525" i="22" s="1"/>
  <c r="A526" i="22" s="1"/>
  <c r="A527" i="22" s="1"/>
  <c r="A528" i="22" s="1"/>
  <c r="A529" i="22" s="1"/>
  <c r="A530" i="22" s="1"/>
  <c r="A531" i="22" s="1"/>
  <c r="A532" i="22" s="1"/>
  <c r="A533" i="22" s="1"/>
  <c r="A534" i="22" s="1"/>
  <c r="A535" i="22" s="1"/>
  <c r="A536" i="22" s="1"/>
  <c r="A537" i="22" s="1"/>
  <c r="A538" i="22" s="1"/>
  <c r="A539" i="22" s="1"/>
  <c r="A540" i="22" s="1"/>
  <c r="A541" i="22" s="1"/>
  <c r="A542" i="22" s="1"/>
  <c r="A543" i="22" s="1"/>
  <c r="A544" i="22" s="1"/>
  <c r="A545" i="22" s="1"/>
  <c r="A546" i="22" s="1"/>
  <c r="A547" i="22" s="1"/>
  <c r="A548" i="22" s="1"/>
  <c r="A549" i="22" s="1"/>
  <c r="A550" i="22" s="1"/>
  <c r="A551" i="22" s="1"/>
  <c r="A552" i="22" s="1"/>
  <c r="A553" i="22" s="1"/>
  <c r="A554" i="22" s="1"/>
  <c r="A555" i="22" s="1"/>
  <c r="A556" i="22" s="1"/>
  <c r="A557" i="22" s="1"/>
  <c r="A558" i="22" s="1"/>
  <c r="A559" i="22" s="1"/>
  <c r="A560" i="22" s="1"/>
  <c r="A561" i="22" s="1"/>
  <c r="A562" i="22" s="1"/>
  <c r="A563" i="22" s="1"/>
  <c r="A564" i="22" s="1"/>
  <c r="A565" i="22" s="1"/>
  <c r="A566" i="22" s="1"/>
  <c r="A567" i="22" s="1"/>
  <c r="A568" i="22" s="1"/>
  <c r="A569" i="22" s="1"/>
  <c r="A570" i="22" s="1"/>
  <c r="A571" i="22" s="1"/>
  <c r="A572" i="22" s="1"/>
  <c r="A573" i="22" s="1"/>
  <c r="A574" i="22" s="1"/>
  <c r="A575" i="22" s="1"/>
  <c r="A576" i="22" s="1"/>
  <c r="A577" i="22" s="1"/>
  <c r="A578" i="22" s="1"/>
  <c r="A579" i="22" s="1"/>
  <c r="A580" i="22" s="1"/>
  <c r="A581" i="22" s="1"/>
  <c r="A582" i="22" s="1"/>
  <c r="A583" i="22" s="1"/>
  <c r="A584" i="22" s="1"/>
  <c r="A585" i="22" s="1"/>
  <c r="A586" i="22" s="1"/>
  <c r="A587" i="22" s="1"/>
  <c r="A588" i="22" s="1"/>
  <c r="A589" i="22" s="1"/>
  <c r="A590" i="22" s="1"/>
  <c r="A591" i="22" s="1"/>
  <c r="A592" i="22" s="1"/>
  <c r="A593" i="22" s="1"/>
  <c r="A594" i="22" s="1"/>
  <c r="A595" i="22" s="1"/>
  <c r="A596" i="22" s="1"/>
  <c r="A597" i="22" s="1"/>
  <c r="A598" i="22" s="1"/>
  <c r="A599" i="22" s="1"/>
  <c r="A600" i="22" s="1"/>
  <c r="A601" i="22" s="1"/>
  <c r="A602" i="22" s="1"/>
  <c r="A603" i="22" s="1"/>
  <c r="A604" i="22" s="1"/>
  <c r="A605" i="22" s="1"/>
  <c r="A606" i="22" s="1"/>
  <c r="A607" i="22" s="1"/>
  <c r="A608" i="22" s="1"/>
  <c r="A609" i="22" s="1"/>
  <c r="A610" i="22" s="1"/>
  <c r="A611" i="22" s="1"/>
  <c r="A612" i="22" s="1"/>
  <c r="A613" i="22" s="1"/>
  <c r="A614" i="22" s="1"/>
  <c r="A615" i="22" s="1"/>
  <c r="A616" i="22" s="1"/>
  <c r="A617" i="22" s="1"/>
  <c r="A618" i="22" s="1"/>
  <c r="A619" i="22" s="1"/>
  <c r="A620" i="22" s="1"/>
  <c r="A621" i="22" s="1"/>
  <c r="A622" i="22" s="1"/>
  <c r="A623" i="22" s="1"/>
  <c r="A624" i="22" s="1"/>
  <c r="A625" i="22" s="1"/>
  <c r="A626" i="22" s="1"/>
  <c r="A627" i="22" s="1"/>
  <c r="A628" i="22" s="1"/>
  <c r="A629" i="22" s="1"/>
  <c r="A630" i="22" s="1"/>
  <c r="A631" i="22" s="1"/>
  <c r="A632" i="22" s="1"/>
  <c r="A633" i="22" s="1"/>
  <c r="A634" i="22" s="1"/>
  <c r="A635" i="22" s="1"/>
  <c r="A636" i="22" s="1"/>
  <c r="A637" i="22" s="1"/>
  <c r="A638" i="22" s="1"/>
  <c r="A639" i="22" s="1"/>
  <c r="A640" i="22" s="1"/>
  <c r="A641" i="22" s="1"/>
  <c r="A642" i="22" s="1"/>
  <c r="A643" i="22" s="1"/>
  <c r="A644" i="22" s="1"/>
  <c r="A645" i="22" s="1"/>
  <c r="A646" i="22" s="1"/>
  <c r="A647" i="22" s="1"/>
  <c r="A648" i="22" s="1"/>
  <c r="A649" i="22" s="1"/>
  <c r="A650" i="22" s="1"/>
  <c r="A651" i="22" s="1"/>
  <c r="A652" i="22" s="1"/>
  <c r="A653" i="22" s="1"/>
  <c r="A654" i="22" s="1"/>
  <c r="A655" i="22" s="1"/>
  <c r="A656" i="22" s="1"/>
  <c r="A657" i="22" s="1"/>
  <c r="A658" i="22" s="1"/>
  <c r="A659" i="22" s="1"/>
  <c r="A660" i="22" s="1"/>
  <c r="A661" i="22" s="1"/>
  <c r="A662" i="22" s="1"/>
  <c r="A663" i="22" s="1"/>
  <c r="A664" i="22" s="1"/>
  <c r="A665" i="22" s="1"/>
  <c r="A666" i="22" s="1"/>
  <c r="A667" i="22" s="1"/>
  <c r="A668" i="22" s="1"/>
  <c r="A669" i="22" s="1"/>
  <c r="A670" i="22" s="1"/>
  <c r="A671" i="22" s="1"/>
  <c r="A672" i="22" s="1"/>
  <c r="A673" i="22" s="1"/>
  <c r="A674" i="22" s="1"/>
  <c r="A675" i="22" s="1"/>
  <c r="A676" i="22" s="1"/>
  <c r="A677" i="22" s="1"/>
  <c r="A678" i="22" s="1"/>
  <c r="A679" i="22" s="1"/>
  <c r="A680" i="22" s="1"/>
  <c r="A681" i="22" s="1"/>
  <c r="A682" i="22" s="1"/>
  <c r="A683" i="22" s="1"/>
  <c r="A684" i="22" s="1"/>
  <c r="A685" i="22" s="1"/>
  <c r="A686" i="22" s="1"/>
  <c r="A687" i="22" s="1"/>
  <c r="A688" i="22" s="1"/>
  <c r="A689" i="22" s="1"/>
  <c r="A690" i="22" s="1"/>
  <c r="A691" i="22" s="1"/>
  <c r="A692" i="22" s="1"/>
  <c r="A693" i="22" s="1"/>
  <c r="A694" i="22" s="1"/>
  <c r="A695" i="22" s="1"/>
  <c r="A696" i="22" s="1"/>
  <c r="A697" i="22" s="1"/>
  <c r="A698" i="22" s="1"/>
  <c r="A699" i="22" s="1"/>
  <c r="A700" i="22" s="1"/>
  <c r="A701" i="22" s="1"/>
  <c r="A702" i="22" s="1"/>
  <c r="A703" i="22" s="1"/>
  <c r="A704" i="22" s="1"/>
  <c r="A705" i="22" s="1"/>
  <c r="A706" i="22" s="1"/>
  <c r="A707" i="22" s="1"/>
  <c r="A708" i="22" s="1"/>
  <c r="A709" i="22" s="1"/>
  <c r="A710" i="22" s="1"/>
  <c r="A711" i="22" s="1"/>
  <c r="A712" i="22" s="1"/>
  <c r="A713" i="22" s="1"/>
  <c r="A714" i="22" s="1"/>
  <c r="A715" i="22" s="1"/>
  <c r="A716" i="22" s="1"/>
  <c r="A717" i="22" s="1"/>
  <c r="A718" i="22" s="1"/>
  <c r="A719" i="22" s="1"/>
  <c r="A720" i="22" s="1"/>
  <c r="A721" i="22" s="1"/>
  <c r="A722" i="22" s="1"/>
  <c r="A723" i="22" s="1"/>
  <c r="A724" i="22" s="1"/>
  <c r="A725" i="22" s="1"/>
  <c r="A726" i="22" s="1"/>
  <c r="A727" i="22" s="1"/>
  <c r="A728" i="22" s="1"/>
  <c r="A729" i="22" s="1"/>
  <c r="A730" i="22" s="1"/>
  <c r="A731" i="22" s="1"/>
  <c r="A732" i="22" s="1"/>
  <c r="A733" i="22" s="1"/>
  <c r="A734" i="22" s="1"/>
  <c r="A735" i="22" s="1"/>
  <c r="A736" i="22" s="1"/>
  <c r="A737" i="22" s="1"/>
  <c r="A738" i="22" s="1"/>
  <c r="A739" i="22" s="1"/>
  <c r="A740" i="22" s="1"/>
  <c r="A741" i="22" s="1"/>
  <c r="A742" i="22" s="1"/>
  <c r="A743" i="22" s="1"/>
  <c r="A744" i="22" s="1"/>
  <c r="A745" i="22" s="1"/>
  <c r="A746" i="22" s="1"/>
  <c r="A747" i="22" s="1"/>
  <c r="A748" i="22" s="1"/>
  <c r="A749" i="22" s="1"/>
  <c r="A750" i="22" s="1"/>
  <c r="A751" i="22" s="1"/>
  <c r="A752" i="22" s="1"/>
  <c r="A753" i="22" s="1"/>
  <c r="A754" i="22" s="1"/>
  <c r="A755" i="22" s="1"/>
  <c r="A756" i="22" s="1"/>
  <c r="A757" i="22" s="1"/>
  <c r="A758" i="22" s="1"/>
  <c r="A759" i="22" s="1"/>
  <c r="A760" i="22" s="1"/>
  <c r="A761" i="22" s="1"/>
  <c r="A762" i="22" s="1"/>
  <c r="A763" i="22" s="1"/>
  <c r="A764" i="22" s="1"/>
  <c r="A765" i="22" s="1"/>
  <c r="A766" i="22" s="1"/>
  <c r="A767" i="22" s="1"/>
  <c r="A768" i="22" s="1"/>
  <c r="A769" i="22" s="1"/>
  <c r="A770" i="22" s="1"/>
  <c r="A771" i="22" s="1"/>
  <c r="A772" i="22" s="1"/>
  <c r="A773" i="22" s="1"/>
  <c r="A774" i="22" s="1"/>
  <c r="A775" i="22" s="1"/>
  <c r="A776" i="22" s="1"/>
  <c r="A777" i="22" s="1"/>
  <c r="A778" i="22" s="1"/>
  <c r="A779" i="22" s="1"/>
  <c r="A780" i="22" s="1"/>
  <c r="A781" i="22" s="1"/>
  <c r="A782" i="22" s="1"/>
  <c r="A783" i="22" s="1"/>
  <c r="A784" i="22" s="1"/>
  <c r="A785" i="22" s="1"/>
  <c r="A786" i="22" s="1"/>
  <c r="A787" i="22" s="1"/>
  <c r="A788" i="22" s="1"/>
  <c r="A789" i="22" s="1"/>
  <c r="A790" i="22" s="1"/>
  <c r="A791" i="22" s="1"/>
  <c r="A792" i="22" s="1"/>
  <c r="A793" i="22" s="1"/>
  <c r="A794" i="22" s="1"/>
  <c r="A795" i="22" s="1"/>
  <c r="A796" i="22" s="1"/>
  <c r="A797" i="22" s="1"/>
  <c r="A798" i="22" s="1"/>
  <c r="A799" i="22" s="1"/>
  <c r="A800" i="22" s="1"/>
  <c r="A801" i="22" s="1"/>
  <c r="A802" i="22" s="1"/>
  <c r="A803" i="22" s="1"/>
  <c r="A804" i="22" s="1"/>
  <c r="A805" i="22" s="1"/>
  <c r="A806" i="22" s="1"/>
  <c r="A807" i="22" s="1"/>
  <c r="A808" i="22" s="1"/>
  <c r="A809" i="22" s="1"/>
  <c r="A810" i="22" s="1"/>
  <c r="A811" i="22" s="1"/>
  <c r="A812" i="22" s="1"/>
  <c r="A813" i="22" s="1"/>
  <c r="A814" i="22" s="1"/>
  <c r="A815" i="22" s="1"/>
  <c r="A816" i="22" s="1"/>
  <c r="A817" i="22" s="1"/>
  <c r="A818" i="22" s="1"/>
  <c r="A819" i="22" s="1"/>
  <c r="A820" i="22" s="1"/>
  <c r="A821" i="22" s="1"/>
  <c r="A822" i="22" s="1"/>
  <c r="A823" i="22" s="1"/>
  <c r="A824" i="22" s="1"/>
  <c r="A825" i="22" s="1"/>
  <c r="A826" i="22" s="1"/>
  <c r="A827" i="22" s="1"/>
  <c r="A828" i="22" s="1"/>
  <c r="A829" i="22" s="1"/>
  <c r="A830" i="22" s="1"/>
  <c r="A831" i="22" s="1"/>
  <c r="A832" i="22" s="1"/>
  <c r="A833" i="22" s="1"/>
  <c r="A834" i="22" s="1"/>
  <c r="A835" i="22" s="1"/>
  <c r="A836" i="22" s="1"/>
  <c r="A837" i="22" s="1"/>
  <c r="A838" i="22" s="1"/>
  <c r="A839" i="22" s="1"/>
  <c r="A840" i="22" s="1"/>
  <c r="A841" i="22" s="1"/>
  <c r="A842" i="22" s="1"/>
  <c r="A843" i="22" s="1"/>
  <c r="A844" i="22" s="1"/>
  <c r="A845" i="22" s="1"/>
  <c r="A846" i="22" s="1"/>
  <c r="A847" i="22" s="1"/>
  <c r="A848" i="22" s="1"/>
  <c r="A849" i="22" s="1"/>
  <c r="A850" i="22" s="1"/>
  <c r="A851" i="22" s="1"/>
  <c r="A852" i="22" s="1"/>
  <c r="A853" i="22" s="1"/>
  <c r="A854" i="22" s="1"/>
  <c r="A855" i="22" s="1"/>
  <c r="A856" i="22" s="1"/>
  <c r="A857" i="22" s="1"/>
  <c r="A858" i="22" s="1"/>
  <c r="A859" i="22" s="1"/>
  <c r="A860" i="22" s="1"/>
  <c r="A861" i="22" s="1"/>
  <c r="A862" i="22" s="1"/>
  <c r="A863" i="22" s="1"/>
  <c r="A864" i="22" s="1"/>
  <c r="A865" i="22" s="1"/>
  <c r="A866" i="22" s="1"/>
  <c r="A867" i="22" s="1"/>
  <c r="A868" i="22" s="1"/>
  <c r="A869" i="22" s="1"/>
  <c r="A870" i="22" s="1"/>
  <c r="A871" i="22" s="1"/>
  <c r="A872" i="22" s="1"/>
  <c r="A873" i="22" s="1"/>
  <c r="A874" i="22" s="1"/>
  <c r="A875" i="22" s="1"/>
  <c r="A876" i="22" s="1"/>
  <c r="A877" i="22" s="1"/>
  <c r="A878" i="22" s="1"/>
  <c r="A879" i="22" s="1"/>
  <c r="A880" i="22" s="1"/>
  <c r="A881" i="22" s="1"/>
  <c r="A882" i="22" s="1"/>
  <c r="A883" i="22" s="1"/>
  <c r="A884" i="22" s="1"/>
  <c r="A885" i="22" s="1"/>
  <c r="A886" i="22" s="1"/>
  <c r="A887" i="22" s="1"/>
  <c r="A888" i="22" s="1"/>
  <c r="A889" i="22" s="1"/>
  <c r="A890" i="22" s="1"/>
  <c r="A891" i="22" s="1"/>
  <c r="A892" i="22" s="1"/>
  <c r="A893" i="22" s="1"/>
  <c r="A894" i="22" s="1"/>
  <c r="A895" i="22" s="1"/>
  <c r="A896" i="22" s="1"/>
  <c r="A897" i="22" s="1"/>
  <c r="A898" i="22" s="1"/>
  <c r="A899" i="22" s="1"/>
  <c r="A900" i="22" s="1"/>
  <c r="A901" i="22" s="1"/>
  <c r="A902" i="22" s="1"/>
  <c r="A903" i="22" s="1"/>
  <c r="A904" i="22" s="1"/>
  <c r="A905" i="22" s="1"/>
  <c r="A906" i="22" s="1"/>
  <c r="A907" i="22" s="1"/>
  <c r="A908" i="22" s="1"/>
  <c r="A909" i="22" s="1"/>
  <c r="A910" i="22" s="1"/>
  <c r="A911" i="22" s="1"/>
  <c r="A912" i="22" s="1"/>
  <c r="A913" i="22" s="1"/>
  <c r="A914" i="22" s="1"/>
  <c r="A915" i="22" s="1"/>
  <c r="A916" i="22" s="1"/>
  <c r="A917" i="22" s="1"/>
  <c r="A918" i="22" s="1"/>
  <c r="A919" i="22" s="1"/>
  <c r="A920" i="22" s="1"/>
  <c r="A921" i="22" s="1"/>
  <c r="A922" i="22" s="1"/>
  <c r="A923" i="22" s="1"/>
  <c r="A924" i="22" s="1"/>
  <c r="A925" i="22" s="1"/>
  <c r="A926" i="22" s="1"/>
  <c r="A927" i="22" s="1"/>
  <c r="A928" i="22" s="1"/>
  <c r="A929" i="22" s="1"/>
  <c r="A930" i="22" s="1"/>
  <c r="A931" i="22" s="1"/>
  <c r="A932" i="22" s="1"/>
  <c r="A933" i="22" s="1"/>
  <c r="A934" i="22" s="1"/>
  <c r="A935" i="22" s="1"/>
  <c r="A936" i="22" s="1"/>
  <c r="A937" i="22" s="1"/>
  <c r="A938" i="22" s="1"/>
  <c r="A939" i="22" s="1"/>
  <c r="A940" i="22" s="1"/>
  <c r="A941" i="22" s="1"/>
  <c r="A942" i="22" s="1"/>
  <c r="A943" i="22" s="1"/>
  <c r="A944" i="22" s="1"/>
  <c r="A945" i="22" s="1"/>
  <c r="A946" i="22" s="1"/>
  <c r="A947" i="22" s="1"/>
  <c r="A948" i="22" s="1"/>
  <c r="A949" i="22" s="1"/>
  <c r="A950" i="22" s="1"/>
  <c r="A951" i="22" s="1"/>
  <c r="A952" i="22" s="1"/>
  <c r="A953" i="22" s="1"/>
  <c r="A954" i="22" s="1"/>
  <c r="A955" i="22" s="1"/>
  <c r="A956" i="22" s="1"/>
  <c r="A957" i="22" s="1"/>
  <c r="A958" i="22" s="1"/>
  <c r="A959" i="22" s="1"/>
  <c r="A960" i="22" s="1"/>
  <c r="A961" i="22" s="1"/>
  <c r="A962" i="22" s="1"/>
  <c r="A963" i="22" s="1"/>
  <c r="A964" i="22" s="1"/>
  <c r="A965" i="22" s="1"/>
  <c r="A966" i="22" s="1"/>
  <c r="A967" i="22" s="1"/>
  <c r="A968" i="22" s="1"/>
  <c r="A969" i="22" s="1"/>
  <c r="A970" i="22" s="1"/>
  <c r="A971" i="22" s="1"/>
  <c r="A972" i="22" s="1"/>
  <c r="A973" i="22" s="1"/>
  <c r="A974" i="22" s="1"/>
  <c r="A975" i="22" s="1"/>
  <c r="A976" i="22" s="1"/>
  <c r="A977" i="22" s="1"/>
  <c r="A978" i="22" s="1"/>
  <c r="A979" i="22" s="1"/>
  <c r="A980" i="22" s="1"/>
  <c r="A981" i="22" s="1"/>
  <c r="A982" i="22" s="1"/>
  <c r="A983" i="22" s="1"/>
  <c r="A984" i="22" s="1"/>
  <c r="A985" i="22" s="1"/>
  <c r="A986" i="22" s="1"/>
  <c r="A987" i="22" s="1"/>
  <c r="A988" i="22" s="1"/>
  <c r="A989" i="22" s="1"/>
  <c r="A990" i="22" s="1"/>
  <c r="A991" i="22" s="1"/>
  <c r="A992" i="22" s="1"/>
  <c r="A993" i="22" s="1"/>
  <c r="A994" i="22" s="1"/>
  <c r="A995" i="22" s="1"/>
  <c r="A996" i="22" s="1"/>
  <c r="A997" i="22" s="1"/>
  <c r="A998" i="22" s="1"/>
  <c r="A999" i="22" s="1"/>
  <c r="A1000" i="22" s="1"/>
  <c r="A1001" i="22" s="1"/>
  <c r="A1002" i="22" s="1"/>
  <c r="A1003" i="22" s="1"/>
  <c r="A1004" i="22" s="1"/>
  <c r="A1005" i="22" s="1"/>
  <c r="A1006" i="22" s="1"/>
  <c r="A1007" i="22" s="1"/>
  <c r="A1008" i="22" s="1"/>
  <c r="A1009" i="22" s="1"/>
  <c r="A1010" i="22" s="1"/>
  <c r="A1011" i="22" s="1"/>
  <c r="A1012" i="22" s="1"/>
  <c r="A1013" i="22" s="1"/>
  <c r="A1014" i="22" s="1"/>
  <c r="A1015" i="22" s="1"/>
  <c r="A1016" i="22" s="1"/>
  <c r="A1017" i="22" s="1"/>
  <c r="A1018" i="22" s="1"/>
  <c r="A1019" i="22" s="1"/>
  <c r="A1020" i="22" s="1"/>
  <c r="A1021" i="22" s="1"/>
  <c r="A1022" i="22" s="1"/>
  <c r="A1023" i="22" s="1"/>
  <c r="A1024" i="22" s="1"/>
  <c r="A1025" i="22" s="1"/>
  <c r="A1026" i="22" s="1"/>
  <c r="A1027" i="22" s="1"/>
  <c r="A1028" i="22" s="1"/>
  <c r="A1029" i="22" s="1"/>
  <c r="A1030" i="22" s="1"/>
  <c r="A1031" i="22" s="1"/>
  <c r="A1032" i="22" s="1"/>
  <c r="A1033" i="22" s="1"/>
  <c r="A1034" i="22" s="1"/>
  <c r="A1035" i="22" s="1"/>
  <c r="A1036" i="22" s="1"/>
  <c r="A1037" i="22" s="1"/>
  <c r="A1038" i="22" s="1"/>
  <c r="A1039" i="22" s="1"/>
  <c r="A1040" i="22" s="1"/>
  <c r="A1041" i="22" s="1"/>
  <c r="A1042" i="22" s="1"/>
  <c r="A1043" i="22" s="1"/>
  <c r="A1044" i="22" s="1"/>
  <c r="A1045" i="22" s="1"/>
  <c r="A1046" i="22" s="1"/>
  <c r="A1047" i="22" s="1"/>
  <c r="A1048" i="22" s="1"/>
  <c r="A1049" i="22" s="1"/>
  <c r="A1050" i="22" s="1"/>
  <c r="A1051" i="22" s="1"/>
  <c r="A1052" i="22" s="1"/>
  <c r="A1053" i="22" s="1"/>
  <c r="A1054" i="22" s="1"/>
  <c r="A1055" i="22" s="1"/>
  <c r="A1056" i="22" s="1"/>
  <c r="A1057" i="22" s="1"/>
  <c r="A1058" i="22" s="1"/>
  <c r="A1059" i="22" s="1"/>
  <c r="A1060" i="22" s="1"/>
  <c r="A1061" i="22" s="1"/>
  <c r="A1062" i="22" s="1"/>
  <c r="A1063" i="22" s="1"/>
  <c r="A1064" i="22" s="1"/>
  <c r="A1065" i="22" s="1"/>
  <c r="A1066" i="22" s="1"/>
  <c r="A1067" i="22" s="1"/>
  <c r="A1068" i="22" s="1"/>
  <c r="A1069" i="22" s="1"/>
  <c r="A1070" i="22" s="1"/>
  <c r="A1071" i="22" s="1"/>
  <c r="A1072" i="22" s="1"/>
  <c r="A1073" i="22" s="1"/>
  <c r="A1074" i="22" s="1"/>
  <c r="A1075" i="22" s="1"/>
  <c r="A1076" i="22" s="1"/>
  <c r="A1077" i="22" s="1"/>
  <c r="A1078" i="22" s="1"/>
  <c r="A1079" i="22" s="1"/>
  <c r="A1080" i="22" s="1"/>
  <c r="A1081" i="22" s="1"/>
  <c r="A1082" i="22" s="1"/>
  <c r="A1083" i="22" s="1"/>
  <c r="A1084" i="22" s="1"/>
  <c r="A1085" i="22" s="1"/>
  <c r="A1086" i="22" s="1"/>
  <c r="A1087" i="22" s="1"/>
  <c r="A1088" i="22" s="1"/>
  <c r="A1089" i="22" s="1"/>
  <c r="A1090" i="22" s="1"/>
  <c r="A1091" i="22" s="1"/>
  <c r="A1092" i="22" s="1"/>
  <c r="A1093" i="22" s="1"/>
  <c r="A1094" i="22" s="1"/>
  <c r="A1095" i="22" s="1"/>
  <c r="A1096" i="22" s="1"/>
  <c r="A1097" i="22" s="1"/>
  <c r="A1098" i="22" s="1"/>
  <c r="A1099" i="22" s="1"/>
  <c r="A1100" i="22" s="1"/>
  <c r="A1101" i="22" s="1"/>
  <c r="A1102" i="22" s="1"/>
  <c r="A1103" i="22" s="1"/>
  <c r="A1104" i="22" s="1"/>
  <c r="A1105" i="22" s="1"/>
  <c r="A1106" i="22" s="1"/>
  <c r="A1107" i="22" s="1"/>
  <c r="A1108" i="22" s="1"/>
  <c r="A1109" i="22" s="1"/>
  <c r="A1110" i="22" s="1"/>
  <c r="A1111" i="22" s="1"/>
  <c r="A1112" i="22" s="1"/>
  <c r="A1113" i="22" s="1"/>
  <c r="A1114" i="22" s="1"/>
  <c r="A1115" i="22" s="1"/>
  <c r="A1116" i="22" s="1"/>
  <c r="A1117" i="22" s="1"/>
  <c r="A1118" i="22" s="1"/>
  <c r="A1119" i="22" s="1"/>
  <c r="A1120" i="22" s="1"/>
  <c r="A1121" i="22" s="1"/>
  <c r="A1122" i="22" s="1"/>
  <c r="A1123" i="22" s="1"/>
  <c r="A1124" i="22" s="1"/>
  <c r="A1125" i="22" s="1"/>
  <c r="A1126" i="22" s="1"/>
  <c r="A1127" i="22" s="1"/>
  <c r="A1128" i="22" s="1"/>
  <c r="A1129" i="22" s="1"/>
  <c r="A1130" i="22" s="1"/>
  <c r="A1131" i="22" s="1"/>
  <c r="A1132" i="22" s="1"/>
  <c r="A1133" i="22" s="1"/>
  <c r="A1134" i="22" s="1"/>
  <c r="A1135" i="22" s="1"/>
  <c r="A1136" i="22" s="1"/>
  <c r="A1137" i="22" s="1"/>
  <c r="A1138" i="22" s="1"/>
  <c r="A1139" i="22" s="1"/>
  <c r="A1140" i="22" s="1"/>
  <c r="A1141" i="22" s="1"/>
  <c r="A1142" i="22" s="1"/>
  <c r="A1143" i="22" s="1"/>
  <c r="A1144" i="22" s="1"/>
  <c r="A1145" i="22" s="1"/>
  <c r="A1146" i="22" s="1"/>
  <c r="A1147" i="22" s="1"/>
  <c r="A1148" i="22" s="1"/>
  <c r="A1149" i="22" s="1"/>
  <c r="A1150" i="22" s="1"/>
  <c r="A1151" i="22" s="1"/>
  <c r="A1152" i="22" s="1"/>
  <c r="A1153" i="22" s="1"/>
  <c r="A1154" i="22" s="1"/>
  <c r="A1155" i="22" s="1"/>
  <c r="A1156" i="22" s="1"/>
  <c r="A1157" i="22" s="1"/>
  <c r="A1158" i="22" s="1"/>
  <c r="A1159" i="22" s="1"/>
  <c r="A1160" i="22" s="1"/>
  <c r="A1161" i="22" s="1"/>
  <c r="A1162" i="22" s="1"/>
  <c r="A1163" i="22" s="1"/>
  <c r="A1164" i="22" s="1"/>
  <c r="A1165" i="22" s="1"/>
  <c r="A1166" i="22" s="1"/>
  <c r="A1167" i="22" s="1"/>
  <c r="A1168" i="22" s="1"/>
  <c r="A1169" i="22" s="1"/>
  <c r="A1170" i="22" s="1"/>
  <c r="A1171" i="22" s="1"/>
  <c r="A1172" i="22" s="1"/>
  <c r="A1173" i="22" s="1"/>
  <c r="A1174" i="22" s="1"/>
  <c r="A1175" i="22" s="1"/>
  <c r="A1176" i="22" s="1"/>
  <c r="A1177" i="22" s="1"/>
  <c r="A1178" i="22" s="1"/>
  <c r="A1179" i="22" s="1"/>
  <c r="A1180" i="22" s="1"/>
  <c r="A1181" i="22" s="1"/>
  <c r="A1182" i="22" s="1"/>
  <c r="A1183" i="22" s="1"/>
  <c r="A1184" i="22" s="1"/>
  <c r="A1185" i="22" s="1"/>
  <c r="A1186" i="22" s="1"/>
  <c r="A1187" i="22" s="1"/>
  <c r="A1188" i="22" s="1"/>
  <c r="A1189" i="22" s="1"/>
  <c r="A1190" i="22" s="1"/>
  <c r="A1191" i="22" s="1"/>
  <c r="A1192" i="22" s="1"/>
  <c r="A1193" i="22" s="1"/>
  <c r="A1194" i="22" s="1"/>
  <c r="A1195" i="22" s="1"/>
  <c r="A1196" i="22" s="1"/>
  <c r="A1197" i="22" s="1"/>
  <c r="A1198" i="22" s="1"/>
  <c r="A1199" i="22" s="1"/>
  <c r="A1200" i="22" s="1"/>
  <c r="A1201" i="22" s="1"/>
  <c r="A1202" i="22" s="1"/>
  <c r="A1203" i="22" s="1"/>
  <c r="A1204" i="22" s="1"/>
  <c r="A1205" i="22" s="1"/>
  <c r="A1206" i="22" s="1"/>
  <c r="A1207" i="22" s="1"/>
  <c r="A1208" i="22" s="1"/>
  <c r="A1209" i="22" s="1"/>
  <c r="A1210" i="22" s="1"/>
  <c r="A1211" i="22" s="1"/>
  <c r="A1212" i="22" s="1"/>
  <c r="A1213" i="22" s="1"/>
  <c r="A1214" i="22" s="1"/>
  <c r="A1215" i="22" s="1"/>
  <c r="A1216" i="22" s="1"/>
  <c r="A1217" i="22" s="1"/>
  <c r="A1218" i="22" s="1"/>
  <c r="A1219" i="22" s="1"/>
  <c r="A1220" i="22" s="1"/>
  <c r="A1221" i="22" s="1"/>
  <c r="A1222" i="22" s="1"/>
  <c r="A1223" i="22" s="1"/>
  <c r="A1224" i="22" s="1"/>
  <c r="A1225" i="22" s="1"/>
  <c r="A1226" i="22" s="1"/>
  <c r="A1227" i="22" s="1"/>
  <c r="A1228" i="22" s="1"/>
  <c r="A1229" i="22" s="1"/>
  <c r="A1230" i="22" s="1"/>
  <c r="A1231" i="22" s="1"/>
  <c r="A1232" i="22" s="1"/>
  <c r="A1233" i="22" s="1"/>
  <c r="A1234" i="22" s="1"/>
  <c r="A1235" i="22" s="1"/>
  <c r="A1236" i="22" s="1"/>
  <c r="A1237" i="22" s="1"/>
  <c r="A1238" i="22" s="1"/>
  <c r="A1239" i="22" s="1"/>
  <c r="A1240" i="22" s="1"/>
  <c r="A1241" i="22" s="1"/>
  <c r="A1242" i="22" s="1"/>
  <c r="A1243" i="22" s="1"/>
  <c r="A1244" i="22" s="1"/>
  <c r="A1245" i="22" s="1"/>
  <c r="A1246" i="22" s="1"/>
  <c r="A1247" i="22" s="1"/>
  <c r="A1248" i="22" s="1"/>
  <c r="A1249" i="22" s="1"/>
  <c r="A1250" i="22" s="1"/>
  <c r="A1251" i="22" s="1"/>
  <c r="A1252" i="22" s="1"/>
  <c r="A1253" i="22" s="1"/>
  <c r="A1254" i="22" s="1"/>
  <c r="A1255" i="22" s="1"/>
  <c r="A1256" i="22" s="1"/>
  <c r="A1257" i="22" s="1"/>
  <c r="A1258" i="22" s="1"/>
  <c r="A1259" i="22" s="1"/>
  <c r="A1260" i="22" s="1"/>
  <c r="A1261" i="22" s="1"/>
  <c r="A1262" i="22" s="1"/>
  <c r="A1263" i="22" s="1"/>
  <c r="A1264" i="22" s="1"/>
  <c r="A1265" i="22" s="1"/>
  <c r="A1266" i="22" s="1"/>
  <c r="A1267" i="22" s="1"/>
  <c r="A1268" i="22" s="1"/>
  <c r="A1269" i="22" s="1"/>
  <c r="A1270" i="22" s="1"/>
  <c r="A1271" i="22" s="1"/>
  <c r="A1272" i="22" s="1"/>
  <c r="A1273" i="22" s="1"/>
  <c r="A1274" i="22" s="1"/>
  <c r="A1275" i="22" s="1"/>
  <c r="A1276" i="22" s="1"/>
  <c r="A1277" i="22" s="1"/>
  <c r="A1278" i="22" s="1"/>
  <c r="A1279" i="22" s="1"/>
  <c r="A1280" i="22" s="1"/>
  <c r="A1281" i="22" s="1"/>
  <c r="A1282" i="22" s="1"/>
  <c r="A1283" i="22" s="1"/>
  <c r="A1284" i="22" s="1"/>
  <c r="A1285" i="22" s="1"/>
  <c r="A1286" i="22" s="1"/>
  <c r="A1287" i="22" s="1"/>
  <c r="A1288" i="22" s="1"/>
  <c r="A1289" i="22" s="1"/>
  <c r="A1290" i="22" s="1"/>
  <c r="A1291" i="22" s="1"/>
  <c r="A1292" i="22" s="1"/>
  <c r="A1293" i="22" s="1"/>
  <c r="A1294" i="22" s="1"/>
  <c r="A1295" i="22" s="1"/>
  <c r="A1296" i="22" s="1"/>
  <c r="A1297" i="22" s="1"/>
  <c r="A1298" i="22" s="1"/>
  <c r="A1299" i="22" s="1"/>
  <c r="A1300" i="22" s="1"/>
  <c r="A1301" i="22" s="1"/>
  <c r="A1302" i="22" s="1"/>
  <c r="A1303" i="22" s="1"/>
  <c r="A1304" i="22" s="1"/>
  <c r="A1305" i="22" s="1"/>
  <c r="A1306" i="22" s="1"/>
  <c r="A1307" i="22" s="1"/>
  <c r="A1308" i="22" s="1"/>
  <c r="A1309" i="22" s="1"/>
  <c r="A1310" i="22" s="1"/>
  <c r="A1311" i="22" s="1"/>
  <c r="A1312" i="22" s="1"/>
  <c r="A1313" i="22" s="1"/>
  <c r="A1314" i="22" s="1"/>
  <c r="A1315" i="22" s="1"/>
  <c r="A1316" i="22" s="1"/>
  <c r="A1317" i="22" s="1"/>
  <c r="A1318" i="22" s="1"/>
  <c r="A1319" i="22" s="1"/>
  <c r="A1320" i="22" s="1"/>
  <c r="A1321" i="22" s="1"/>
  <c r="A1322" i="22" s="1"/>
  <c r="A1323" i="22" s="1"/>
  <c r="A1324" i="22" s="1"/>
  <c r="A1325" i="22" s="1"/>
  <c r="A1326" i="22" s="1"/>
  <c r="A1327" i="22" s="1"/>
  <c r="A1328" i="22" s="1"/>
  <c r="A1329" i="22" s="1"/>
  <c r="A1330" i="22" s="1"/>
  <c r="A1331" i="22" s="1"/>
  <c r="A1332" i="22" s="1"/>
  <c r="A1333" i="22" s="1"/>
  <c r="A1334" i="22" s="1"/>
  <c r="A1335" i="22" s="1"/>
  <c r="A1336" i="22" s="1"/>
  <c r="A1337" i="22" s="1"/>
  <c r="A1338" i="22" s="1"/>
  <c r="A1339" i="22" s="1"/>
  <c r="A1340" i="22" s="1"/>
  <c r="A1341" i="22" s="1"/>
  <c r="A1342" i="22" s="1"/>
  <c r="A1343" i="22" s="1"/>
  <c r="A1344" i="22" s="1"/>
  <c r="A1345" i="22" s="1"/>
  <c r="A1346" i="22" s="1"/>
  <c r="A1347" i="22" s="1"/>
  <c r="A1348" i="22" s="1"/>
  <c r="A1349" i="22" s="1"/>
  <c r="A1350" i="22" s="1"/>
  <c r="A1351" i="22" s="1"/>
  <c r="A1352" i="22" s="1"/>
  <c r="A1353" i="22" s="1"/>
  <c r="A1354" i="22" s="1"/>
  <c r="A1355" i="22" s="1"/>
  <c r="A1356" i="22" s="1"/>
  <c r="A1357" i="22" s="1"/>
  <c r="A1358" i="22" s="1"/>
  <c r="A1359" i="22" s="1"/>
  <c r="A1360" i="22" s="1"/>
  <c r="A1361" i="22" s="1"/>
  <c r="A1362" i="22" s="1"/>
  <c r="A1363" i="22" s="1"/>
  <c r="A1364" i="22" s="1"/>
  <c r="A1365" i="22" s="1"/>
  <c r="A1366" i="22" s="1"/>
  <c r="A1367" i="22" s="1"/>
  <c r="A1368" i="22" s="1"/>
  <c r="A1369" i="22" s="1"/>
  <c r="A1370" i="22" s="1"/>
  <c r="A1371" i="22" s="1"/>
  <c r="A1372" i="22" s="1"/>
  <c r="A1373" i="22" s="1"/>
  <c r="A1374" i="22" s="1"/>
  <c r="A1375" i="22" s="1"/>
  <c r="A1376" i="22" s="1"/>
  <c r="A1377" i="22" s="1"/>
  <c r="A1378" i="22" s="1"/>
  <c r="A1379" i="22" s="1"/>
  <c r="A1380" i="22" s="1"/>
  <c r="A1381" i="22" s="1"/>
  <c r="A1382" i="22" s="1"/>
  <c r="A1383" i="22" s="1"/>
  <c r="A1384" i="22" s="1"/>
  <c r="A1385" i="22" s="1"/>
  <c r="A1386" i="22" s="1"/>
  <c r="A1387" i="22" s="1"/>
  <c r="A1388" i="22" s="1"/>
  <c r="A1389" i="22" s="1"/>
  <c r="A1390" i="22" s="1"/>
  <c r="A1391" i="22" s="1"/>
  <c r="A1392" i="22" s="1"/>
  <c r="A1393" i="22" s="1"/>
  <c r="A1394" i="22" s="1"/>
  <c r="A1395" i="22" s="1"/>
  <c r="A1396" i="22" s="1"/>
  <c r="A1397" i="22" s="1"/>
  <c r="A1398" i="22" s="1"/>
  <c r="A1399" i="22" s="1"/>
  <c r="A1400" i="22" s="1"/>
  <c r="A1401" i="22" s="1"/>
  <c r="A1402" i="22" s="1"/>
  <c r="A1403" i="22" s="1"/>
  <c r="A1404" i="22" s="1"/>
  <c r="A1405" i="22" s="1"/>
  <c r="A1406" i="22" s="1"/>
  <c r="A1407" i="22" s="1"/>
  <c r="A1408" i="22" s="1"/>
  <c r="A1409" i="22" s="1"/>
  <c r="A1410" i="22" s="1"/>
  <c r="A1411" i="22" s="1"/>
  <c r="A1412" i="22" s="1"/>
  <c r="A1413" i="22" s="1"/>
  <c r="A1414" i="22" s="1"/>
  <c r="A1415" i="22" s="1"/>
  <c r="A1416" i="22" s="1"/>
  <c r="A1417" i="22" s="1"/>
  <c r="A1418" i="22" s="1"/>
  <c r="A1419" i="22" s="1"/>
  <c r="A1420" i="22" s="1"/>
  <c r="A1421" i="22" s="1"/>
  <c r="A1422" i="22" s="1"/>
  <c r="A1423" i="22" s="1"/>
  <c r="A1424" i="22" s="1"/>
  <c r="A1425" i="22" s="1"/>
  <c r="A1426" i="22" s="1"/>
  <c r="A1427" i="22" s="1"/>
  <c r="A1428" i="22" s="1"/>
  <c r="A1429" i="22" s="1"/>
  <c r="A1430" i="22" s="1"/>
  <c r="A1431" i="22" s="1"/>
  <c r="A1432" i="22" s="1"/>
  <c r="A1433" i="22" s="1"/>
  <c r="A1434" i="22" s="1"/>
  <c r="A1435" i="22" s="1"/>
  <c r="A1436" i="22" s="1"/>
  <c r="A1437" i="22" s="1"/>
  <c r="A1438" i="22" s="1"/>
  <c r="A1439" i="22" s="1"/>
  <c r="A1440" i="22" s="1"/>
  <c r="A1441" i="22" s="1"/>
  <c r="A1442" i="22" s="1"/>
  <c r="A1443" i="22" s="1"/>
  <c r="A1444" i="22" s="1"/>
  <c r="A1445" i="22" s="1"/>
  <c r="A1446" i="22" s="1"/>
  <c r="A1447" i="22" s="1"/>
  <c r="A1448" i="22" s="1"/>
  <c r="A1449" i="22" s="1"/>
  <c r="A1450" i="22" s="1"/>
  <c r="A1451" i="22" s="1"/>
  <c r="A1452" i="22" s="1"/>
  <c r="A1453" i="22" s="1"/>
  <c r="A1454" i="22" s="1"/>
  <c r="A1455" i="22" s="1"/>
  <c r="A1456" i="22" s="1"/>
  <c r="A1457" i="22" s="1"/>
  <c r="A1458" i="22" s="1"/>
  <c r="A1459" i="22" s="1"/>
  <c r="A1460" i="22" s="1"/>
  <c r="A1461" i="22" s="1"/>
  <c r="A1462" i="22" s="1"/>
  <c r="A1463" i="22" s="1"/>
  <c r="A1464" i="22" s="1"/>
  <c r="A1465" i="22" s="1"/>
  <c r="A1466" i="22" s="1"/>
  <c r="A1467" i="22" s="1"/>
  <c r="A1468" i="22" s="1"/>
  <c r="A1469" i="22" s="1"/>
  <c r="A1470" i="22" s="1"/>
  <c r="A1471" i="22" s="1"/>
  <c r="A1472" i="22" s="1"/>
  <c r="A1473" i="22" s="1"/>
  <c r="A1474" i="22" s="1"/>
  <c r="A1475" i="22" s="1"/>
  <c r="A1476" i="22" s="1"/>
  <c r="A1477" i="22" s="1"/>
  <c r="A1478" i="22" s="1"/>
  <c r="A1479" i="22" s="1"/>
  <c r="A1480" i="22" s="1"/>
  <c r="A1481" i="22" s="1"/>
  <c r="A1482" i="22" s="1"/>
  <c r="A1483" i="22" s="1"/>
  <c r="A1484" i="22" s="1"/>
  <c r="A1485" i="22" s="1"/>
  <c r="A1486" i="22" s="1"/>
  <c r="A1487" i="22" s="1"/>
  <c r="A1488" i="22" s="1"/>
  <c r="A1489" i="22" s="1"/>
  <c r="A1490" i="22" s="1"/>
  <c r="A1491" i="22" s="1"/>
  <c r="A1492" i="22" s="1"/>
  <c r="A1493" i="22" s="1"/>
  <c r="A1494" i="22" s="1"/>
  <c r="A1495" i="22" s="1"/>
  <c r="A1496" i="22" s="1"/>
  <c r="A1497" i="22" s="1"/>
  <c r="A1498" i="22" s="1"/>
  <c r="A1499" i="22" s="1"/>
  <c r="A1500" i="22" s="1"/>
  <c r="A1501" i="22" s="1"/>
  <c r="A1502" i="22" s="1"/>
  <c r="A1503" i="22" s="1"/>
  <c r="A1504" i="22" s="1"/>
  <c r="A1505" i="22" s="1"/>
  <c r="A1506" i="22" s="1"/>
  <c r="A1507" i="22" s="1"/>
  <c r="A1508" i="22" s="1"/>
  <c r="A1509" i="22" s="1"/>
  <c r="A1510" i="22" s="1"/>
  <c r="A1511" i="22" s="1"/>
  <c r="A1512" i="22" s="1"/>
  <c r="A1513" i="22" s="1"/>
  <c r="A1514" i="22" s="1"/>
  <c r="A1515" i="22" s="1"/>
  <c r="A1516" i="22" s="1"/>
  <c r="A1517" i="22" s="1"/>
  <c r="A1518" i="22" s="1"/>
  <c r="A1519" i="22" s="1"/>
  <c r="A1520" i="22" s="1"/>
  <c r="A1521" i="22" s="1"/>
  <c r="A1522" i="22" s="1"/>
  <c r="A1523" i="22" s="1"/>
  <c r="A1524" i="22" s="1"/>
  <c r="A1525" i="22" s="1"/>
  <c r="A1526" i="22" s="1"/>
  <c r="A1527" i="22" s="1"/>
  <c r="A1528" i="22" s="1"/>
  <c r="A1529" i="22" s="1"/>
  <c r="A1530" i="22" s="1"/>
  <c r="A1531" i="22" s="1"/>
  <c r="A1532" i="22" s="1"/>
  <c r="A1533" i="22" s="1"/>
  <c r="A1534" i="22" s="1"/>
  <c r="A1535" i="22" s="1"/>
  <c r="A1536" i="22" s="1"/>
  <c r="A1537" i="22" s="1"/>
  <c r="A1538" i="22" s="1"/>
  <c r="A1539" i="22" s="1"/>
  <c r="A1540" i="22" s="1"/>
  <c r="A1541" i="22" s="1"/>
  <c r="A1542" i="22" s="1"/>
  <c r="A1543" i="22" s="1"/>
  <c r="A1544" i="22" s="1"/>
  <c r="A1545" i="22" s="1"/>
  <c r="A1546" i="22" s="1"/>
  <c r="A1547" i="22" s="1"/>
  <c r="A1548" i="22" s="1"/>
  <c r="A1549" i="22" s="1"/>
  <c r="A1550" i="22" s="1"/>
  <c r="A1551" i="22" s="1"/>
  <c r="A1552" i="22" s="1"/>
  <c r="A1553" i="22" s="1"/>
  <c r="A1554" i="22" s="1"/>
  <c r="A1555" i="22" s="1"/>
  <c r="A1556" i="22" s="1"/>
  <c r="A1557" i="22" s="1"/>
  <c r="A1558" i="22" s="1"/>
  <c r="A1559" i="22" s="1"/>
  <c r="A1560" i="22" s="1"/>
  <c r="A1561" i="22" s="1"/>
  <c r="A1562" i="22" s="1"/>
  <c r="A1563" i="22" s="1"/>
  <c r="A1564" i="22" s="1"/>
  <c r="A1565" i="22" s="1"/>
  <c r="A1566" i="22" s="1"/>
  <c r="A1567" i="22" s="1"/>
  <c r="A1568" i="22" s="1"/>
  <c r="A1569" i="22" s="1"/>
  <c r="A1570" i="22" s="1"/>
  <c r="A1571" i="22" s="1"/>
  <c r="A1572" i="22" s="1"/>
  <c r="A1573" i="22" s="1"/>
  <c r="A1574" i="22" s="1"/>
  <c r="A1575" i="22" s="1"/>
  <c r="A1576" i="22" s="1"/>
  <c r="A1577" i="22" s="1"/>
  <c r="A1578" i="22" s="1"/>
  <c r="A1579" i="22" s="1"/>
  <c r="A1580" i="22" s="1"/>
  <c r="A1581" i="22" s="1"/>
  <c r="A1582" i="22" s="1"/>
  <c r="A1583" i="22" s="1"/>
  <c r="A1584" i="22" s="1"/>
  <c r="A1585" i="22" s="1"/>
  <c r="A1586" i="22" s="1"/>
  <c r="A1587" i="22" s="1"/>
  <c r="A1588" i="22" s="1"/>
  <c r="A1589" i="22" s="1"/>
  <c r="A1590" i="22" s="1"/>
  <c r="A1591" i="22" s="1"/>
  <c r="A1592" i="22" s="1"/>
  <c r="A1593" i="22" s="1"/>
  <c r="A1594" i="22" s="1"/>
  <c r="A1595" i="22" s="1"/>
  <c r="A1596" i="22" s="1"/>
  <c r="A1597" i="22" s="1"/>
  <c r="A1598" i="22" s="1"/>
  <c r="A1599" i="22" s="1"/>
  <c r="A1600" i="22" s="1"/>
  <c r="A1601" i="22" s="1"/>
  <c r="A1602" i="22" s="1"/>
  <c r="A1603" i="22" s="1"/>
  <c r="A1604" i="22" s="1"/>
  <c r="A1605" i="22" s="1"/>
  <c r="A1606" i="22" s="1"/>
  <c r="A1607" i="22" s="1"/>
  <c r="A1608" i="22" s="1"/>
  <c r="A1609" i="22" s="1"/>
  <c r="A1610" i="22" s="1"/>
  <c r="A1611" i="22" s="1"/>
  <c r="A1612" i="22" s="1"/>
  <c r="A1613" i="22" s="1"/>
  <c r="A1614" i="22" s="1"/>
  <c r="A1615" i="22" s="1"/>
  <c r="A1616" i="22" s="1"/>
  <c r="A1617" i="22" s="1"/>
  <c r="A1618" i="22" s="1"/>
  <c r="A1619" i="22" s="1"/>
  <c r="A1620" i="22" s="1"/>
  <c r="A1621" i="22" s="1"/>
  <c r="A1622" i="22" s="1"/>
  <c r="A1623" i="22" s="1"/>
  <c r="A1624" i="22" s="1"/>
  <c r="A1625" i="22" s="1"/>
  <c r="A1626" i="22" s="1"/>
  <c r="A1627" i="22" s="1"/>
  <c r="A1628" i="22" s="1"/>
  <c r="A1629" i="22" s="1"/>
  <c r="A1630" i="22" s="1"/>
  <c r="A1631" i="22" s="1"/>
  <c r="A1632" i="22" s="1"/>
  <c r="A1633" i="22" s="1"/>
  <c r="A1634" i="22" s="1"/>
  <c r="A1635" i="22" s="1"/>
  <c r="A1636" i="22" s="1"/>
  <c r="A1637" i="22" s="1"/>
  <c r="A1638" i="22" s="1"/>
  <c r="A1639" i="22" s="1"/>
  <c r="A1640" i="22" s="1"/>
  <c r="A1641" i="22" s="1"/>
  <c r="A1642" i="22" s="1"/>
  <c r="A1643" i="22" s="1"/>
  <c r="A1644" i="22" s="1"/>
  <c r="A1645" i="22" s="1"/>
  <c r="A1646" i="22" s="1"/>
  <c r="A1647" i="22" s="1"/>
  <c r="A1648" i="22" s="1"/>
  <c r="A1649" i="22" s="1"/>
  <c r="A1650" i="22" s="1"/>
  <c r="A1651" i="22" s="1"/>
  <c r="A1652" i="22" s="1"/>
  <c r="A1653" i="22" s="1"/>
  <c r="A1654" i="22" s="1"/>
  <c r="A1655" i="22" s="1"/>
  <c r="A1656" i="22" s="1"/>
  <c r="A1657" i="22" s="1"/>
  <c r="A1658" i="22" s="1"/>
  <c r="A1659" i="22" s="1"/>
  <c r="A1660" i="22" s="1"/>
  <c r="A1661" i="22" s="1"/>
  <c r="A1662" i="22" s="1"/>
  <c r="A1663" i="22" s="1"/>
  <c r="A1664" i="22" s="1"/>
  <c r="A1665" i="22" s="1"/>
  <c r="A1666" i="22" s="1"/>
  <c r="A1667" i="22" s="1"/>
  <c r="A1668" i="22" s="1"/>
  <c r="A1669" i="22" s="1"/>
  <c r="A1670" i="22" s="1"/>
  <c r="A1671" i="22" s="1"/>
  <c r="A1672" i="22" s="1"/>
  <c r="A1673" i="22" s="1"/>
  <c r="A1674" i="22" s="1"/>
  <c r="A1675" i="22" s="1"/>
  <c r="A1676" i="22" s="1"/>
  <c r="A1677" i="22" s="1"/>
  <c r="A1678" i="22" s="1"/>
  <c r="A1679" i="22" s="1"/>
  <c r="A1680" i="22" s="1"/>
  <c r="A1681" i="22" s="1"/>
  <c r="A1682" i="22" s="1"/>
  <c r="A1683" i="22" s="1"/>
  <c r="A1684" i="22" s="1"/>
  <c r="A1685" i="22" s="1"/>
  <c r="A1686" i="22" s="1"/>
  <c r="A1687" i="22" s="1"/>
  <c r="A1688" i="22" s="1"/>
  <c r="A1689" i="22" s="1"/>
  <c r="A1690" i="22" s="1"/>
  <c r="A1691" i="22" s="1"/>
  <c r="A1692" i="22" s="1"/>
  <c r="A1693" i="22" s="1"/>
  <c r="A1694" i="22" s="1"/>
  <c r="A1695" i="22" s="1"/>
  <c r="A1696" i="22" s="1"/>
  <c r="A1697" i="22" s="1"/>
  <c r="A1698" i="22" s="1"/>
  <c r="A1699" i="22" s="1"/>
  <c r="A1700" i="22" s="1"/>
  <c r="A1701" i="22" s="1"/>
  <c r="A1702" i="22" s="1"/>
  <c r="A1703" i="22" s="1"/>
  <c r="A1704" i="22" s="1"/>
  <c r="A1705" i="22" s="1"/>
  <c r="A1706" i="22" s="1"/>
  <c r="A1707" i="22" s="1"/>
  <c r="A1708" i="22" s="1"/>
  <c r="A1709" i="22" s="1"/>
  <c r="A1710" i="22" s="1"/>
  <c r="A1711" i="22" s="1"/>
  <c r="A1712" i="22" s="1"/>
  <c r="A1713" i="22" s="1"/>
  <c r="A1714" i="22" s="1"/>
  <c r="A1715" i="22" s="1"/>
  <c r="A1716" i="22" s="1"/>
  <c r="A1717" i="22" s="1"/>
  <c r="A1718" i="22" s="1"/>
  <c r="A1719" i="22" s="1"/>
  <c r="A1720" i="22" s="1"/>
  <c r="A1721" i="22" s="1"/>
  <c r="A1722" i="22" s="1"/>
  <c r="A1723" i="22" s="1"/>
  <c r="A1724" i="22" s="1"/>
  <c r="A1725" i="22" s="1"/>
  <c r="A1726" i="22" s="1"/>
  <c r="A1727" i="22" s="1"/>
  <c r="A1728" i="22" s="1"/>
  <c r="A1729" i="22" s="1"/>
  <c r="A1730" i="22" s="1"/>
  <c r="A1731" i="22" s="1"/>
  <c r="A1732" i="22" s="1"/>
  <c r="A1733" i="22" s="1"/>
  <c r="A1734" i="22" s="1"/>
  <c r="A1735" i="22" s="1"/>
  <c r="A1736" i="22" s="1"/>
  <c r="A1737" i="22" s="1"/>
  <c r="A1738" i="22" s="1"/>
  <c r="A1739" i="22" s="1"/>
  <c r="A1740" i="22" s="1"/>
  <c r="A1741" i="22" s="1"/>
  <c r="A1742" i="22" s="1"/>
  <c r="A1743" i="22" s="1"/>
  <c r="A1744" i="22" s="1"/>
  <c r="A1745" i="22" s="1"/>
  <c r="A1746" i="22" s="1"/>
  <c r="A1747" i="22" s="1"/>
  <c r="A1748" i="22" s="1"/>
  <c r="AH5" i="21" a="1"/>
  <c r="U211" i="21"/>
  <c r="U354" i="21"/>
  <c r="U237" i="21"/>
  <c r="U313" i="21"/>
  <c r="U401" i="21"/>
  <c r="U215" i="21"/>
  <c r="U448" i="21"/>
  <c r="U480" i="21"/>
  <c r="U434" i="21"/>
  <c r="U71" i="21"/>
  <c r="U358" i="21"/>
  <c r="U104" i="21"/>
  <c r="U229" i="21"/>
  <c r="U21" i="21"/>
  <c r="U488" i="21"/>
  <c r="U405" i="21"/>
  <c r="U192" i="21"/>
  <c r="U170" i="21"/>
  <c r="U329" i="21"/>
  <c r="U384" i="21"/>
  <c r="U244" i="21"/>
  <c r="U102" i="21"/>
  <c r="U441" i="21"/>
  <c r="U44" i="21"/>
  <c r="U497" i="21"/>
  <c r="U18" i="21"/>
  <c r="U397" i="21"/>
  <c r="U574" i="21"/>
  <c r="U288" i="21"/>
  <c r="U551" i="21"/>
  <c r="U218" i="21"/>
  <c r="U204" i="21"/>
  <c r="U374" i="21"/>
  <c r="U158" i="21"/>
  <c r="U194" i="21"/>
  <c r="U429" i="21"/>
  <c r="U455" i="21"/>
  <c r="U223" i="21"/>
  <c r="U318" i="21"/>
  <c r="U555" i="21"/>
  <c r="U385" i="21"/>
  <c r="U273" i="21"/>
  <c r="U465" i="21"/>
  <c r="U95" i="21"/>
  <c r="U214" i="21"/>
  <c r="U468" i="21"/>
  <c r="U64" i="21"/>
  <c r="U203" i="21"/>
  <c r="U388" i="21"/>
  <c r="U450" i="21"/>
  <c r="U541" i="21"/>
  <c r="U507" i="21"/>
  <c r="U216" i="21"/>
  <c r="U175" i="21"/>
  <c r="U370" i="21"/>
  <c r="U331" i="21"/>
  <c r="U517" i="21"/>
  <c r="U411" i="21"/>
  <c r="U336" i="21"/>
  <c r="U482" i="21"/>
  <c r="U532" i="21"/>
  <c r="U510" i="21"/>
  <c r="U132" i="21"/>
  <c r="U406" i="21"/>
  <c r="U477" i="21"/>
  <c r="U257" i="21"/>
  <c r="U173" i="21"/>
  <c r="U69" i="21"/>
  <c r="U451" i="21"/>
  <c r="U190" i="21"/>
  <c r="U234" i="21"/>
  <c r="U181" i="21"/>
  <c r="U133" i="21"/>
  <c r="U50" i="21"/>
  <c r="U56" i="21"/>
  <c r="U425" i="21"/>
  <c r="U152" i="21"/>
  <c r="U525" i="21"/>
  <c r="U120" i="21"/>
  <c r="U32" i="21"/>
  <c r="U100" i="21"/>
  <c r="U159" i="21"/>
  <c r="U114" i="21"/>
  <c r="U108" i="21"/>
  <c r="U413" i="21"/>
  <c r="U96" i="21"/>
  <c r="U286" i="21"/>
  <c r="U380" i="21"/>
  <c r="U207" i="21"/>
  <c r="U543" i="21"/>
  <c r="U305" i="21"/>
  <c r="U110" i="21"/>
  <c r="U38" i="21"/>
  <c r="U300" i="21"/>
  <c r="U476" i="21"/>
  <c r="U70" i="21"/>
  <c r="U452" i="21"/>
  <c r="U545" i="21"/>
  <c r="U424" i="21"/>
  <c r="U337" i="21"/>
  <c r="U414" i="21"/>
  <c r="U349" i="21"/>
  <c r="U365" i="21"/>
  <c r="U548" i="21"/>
  <c r="U504" i="21"/>
  <c r="U33" i="21"/>
  <c r="U322" i="21"/>
  <c r="U344" i="21"/>
  <c r="U66" i="21"/>
  <c r="U267" i="21"/>
  <c r="U49" i="21"/>
  <c r="U284" i="21"/>
  <c r="U45" i="21"/>
  <c r="U43" i="21"/>
  <c r="U208" i="21"/>
  <c r="U303" i="21"/>
  <c r="U487" i="21"/>
  <c r="U396" i="21"/>
  <c r="U573" i="21"/>
  <c r="U121" i="21"/>
  <c r="U163" i="21"/>
  <c r="U6" i="21"/>
  <c r="U535" i="21"/>
  <c r="U369" i="21"/>
  <c r="U232" i="21"/>
  <c r="U39" i="21"/>
  <c r="U34" i="21"/>
  <c r="U125" i="21"/>
  <c r="U320" i="21"/>
  <c r="U8" i="21"/>
  <c r="U357" i="21"/>
  <c r="U167" i="21"/>
  <c r="U11" i="21"/>
  <c r="U447" i="21"/>
  <c r="U135" i="21"/>
  <c r="U238" i="21"/>
  <c r="U459" i="21"/>
  <c r="U490" i="21"/>
  <c r="U446" i="21"/>
  <c r="U567" i="21"/>
  <c r="U483" i="21"/>
  <c r="U359" i="21"/>
  <c r="U231" i="21"/>
  <c r="U363" i="21"/>
  <c r="U514" i="21"/>
  <c r="U515" i="21"/>
  <c r="U460" i="21"/>
  <c r="U522" i="21"/>
  <c r="U361" i="21"/>
  <c r="U22" i="21"/>
  <c r="U236" i="21"/>
  <c r="U106" i="21"/>
  <c r="U516" i="21"/>
  <c r="U241" i="21"/>
  <c r="U52" i="21"/>
  <c r="U462" i="21"/>
  <c r="U187" i="21"/>
  <c r="U116" i="21"/>
  <c r="U302" i="21"/>
  <c r="U444" i="21"/>
  <c r="U498" i="21"/>
  <c r="U144" i="21"/>
  <c r="U59" i="21"/>
  <c r="U281" i="21"/>
  <c r="U432" i="21"/>
  <c r="U35" i="21"/>
  <c r="U559" i="21"/>
  <c r="U484" i="21"/>
  <c r="U46" i="21"/>
  <c r="U377" i="21"/>
  <c r="U422" i="21"/>
  <c r="U327" i="21"/>
  <c r="U17" i="21"/>
  <c r="U55" i="21"/>
  <c r="U355" i="21"/>
  <c r="U400" i="21"/>
  <c r="U176" i="21"/>
  <c r="U92" i="21"/>
  <c r="U372" i="21"/>
  <c r="U130" i="21"/>
  <c r="U36" i="21"/>
  <c r="U105" i="21"/>
  <c r="U60" i="21"/>
  <c r="U449" i="21"/>
  <c r="U334" i="21"/>
  <c r="U463" i="21"/>
  <c r="U124" i="21"/>
  <c r="U379" i="21"/>
  <c r="U335" i="21"/>
  <c r="U345" i="21"/>
  <c r="U557" i="21"/>
  <c r="U78" i="21"/>
  <c r="U290" i="21"/>
  <c r="U563" i="21"/>
  <c r="U420" i="21"/>
  <c r="U375" i="21"/>
  <c r="U572" i="21"/>
  <c r="U378" i="21"/>
  <c r="U556" i="21"/>
  <c r="U213" i="21"/>
  <c r="U40" i="21"/>
  <c r="U481" i="21"/>
  <c r="U221" i="21"/>
  <c r="U53" i="21"/>
  <c r="U209" i="21"/>
  <c r="U272" i="21"/>
  <c r="U575" i="21"/>
  <c r="U29" i="21"/>
  <c r="U188" i="21"/>
  <c r="U280" i="21"/>
  <c r="U202" i="21"/>
  <c r="U500" i="21"/>
  <c r="U558" i="21"/>
  <c r="U547" i="21"/>
  <c r="U478" i="21"/>
  <c r="U178" i="21"/>
  <c r="U531" i="21"/>
  <c r="U479" i="21"/>
  <c r="U495" i="21"/>
  <c r="U309" i="21"/>
  <c r="U174" i="21"/>
  <c r="U466" i="21"/>
  <c r="U90" i="21"/>
  <c r="U93" i="21"/>
  <c r="U259" i="21"/>
  <c r="U415" i="21"/>
  <c r="U352" i="21"/>
  <c r="U298" i="21"/>
  <c r="U205" i="21"/>
  <c r="U435" i="21"/>
  <c r="U534" i="21"/>
  <c r="U179" i="21"/>
  <c r="U293" i="21"/>
  <c r="U196" i="21"/>
  <c r="U76" i="21"/>
  <c r="U169" i="21"/>
  <c r="U219" i="21"/>
  <c r="U54" i="21"/>
  <c r="U87" i="21"/>
  <c r="U123" i="21"/>
  <c r="U546" i="21"/>
  <c r="U89" i="21"/>
  <c r="U474" i="21"/>
  <c r="U317" i="21"/>
  <c r="U473" i="21"/>
  <c r="U118" i="21"/>
  <c r="U296" i="21"/>
  <c r="U461" i="21"/>
  <c r="U512" i="21"/>
  <c r="U275" i="21"/>
  <c r="U496" i="21"/>
  <c r="U571" i="21"/>
  <c r="U58" i="21"/>
  <c r="U376" i="21"/>
  <c r="U508" i="21"/>
  <c r="U399" i="21"/>
  <c r="U246" i="21"/>
  <c r="U145" i="21"/>
  <c r="U307" i="21"/>
  <c r="U421" i="21"/>
  <c r="U15" i="21"/>
  <c r="U321" i="21"/>
  <c r="U505" i="21"/>
  <c r="U136" i="21"/>
  <c r="U523" i="21"/>
  <c r="U454" i="21"/>
  <c r="U51" i="21"/>
  <c r="U230" i="21"/>
  <c r="U81" i="21"/>
  <c r="U471" i="21"/>
  <c r="U265" i="21"/>
  <c r="U316" i="21"/>
  <c r="U297" i="21"/>
  <c r="U390" i="21"/>
  <c r="U253" i="21"/>
  <c r="U165" i="21"/>
  <c r="U412" i="21"/>
  <c r="U94" i="21"/>
  <c r="U27" i="21"/>
  <c r="U433" i="21"/>
  <c r="U75" i="21"/>
  <c r="U367" i="21"/>
  <c r="U569" i="21"/>
  <c r="U233" i="21"/>
  <c r="U82" i="21"/>
  <c r="U151" i="21"/>
  <c r="U156" i="21"/>
  <c r="U88" i="21"/>
  <c r="U492" i="21"/>
  <c r="U426" i="21"/>
  <c r="U338" i="21"/>
  <c r="U404" i="21"/>
  <c r="U356" i="21"/>
  <c r="U113" i="21"/>
  <c r="U72" i="21"/>
  <c r="U391" i="21"/>
  <c r="U364" i="21"/>
  <c r="U502" i="21"/>
  <c r="U277" i="21"/>
  <c r="U491" i="21"/>
  <c r="U315" i="21"/>
  <c r="U395" i="21"/>
  <c r="U164" i="21"/>
  <c r="U458" i="21"/>
  <c r="U439" i="21"/>
  <c r="U109" i="21"/>
  <c r="U242" i="21"/>
  <c r="U254" i="21"/>
  <c r="U443" i="21"/>
  <c r="U7" i="21"/>
  <c r="U312" i="21"/>
  <c r="U117" i="21"/>
  <c r="U402" i="21"/>
  <c r="U147" i="21"/>
  <c r="U339" i="21"/>
  <c r="U264" i="21"/>
  <c r="U171" i="21"/>
  <c r="U239" i="21"/>
  <c r="U9" i="21"/>
  <c r="U283" i="21"/>
  <c r="U79" i="21"/>
  <c r="U20" i="21"/>
  <c r="U456" i="21"/>
  <c r="U467" i="21"/>
  <c r="U340" i="21"/>
  <c r="U521" i="21"/>
  <c r="U65" i="21"/>
  <c r="U139" i="21"/>
  <c r="U427" i="21"/>
  <c r="U350" i="21"/>
  <c r="U172" i="21"/>
  <c r="U442" i="21"/>
  <c r="U566" i="21"/>
  <c r="U457" i="21"/>
  <c r="U67" i="21"/>
  <c r="U25" i="21"/>
  <c r="U353" i="21"/>
  <c r="U251" i="21"/>
  <c r="U470" i="21"/>
  <c r="U256" i="21"/>
  <c r="U285" i="21"/>
  <c r="U362" i="21"/>
  <c r="U383" i="21"/>
  <c r="U206" i="21"/>
  <c r="U199" i="21"/>
  <c r="U419" i="21"/>
  <c r="U499" i="21"/>
  <c r="U332" i="21"/>
  <c r="U168" i="21"/>
  <c r="U98" i="21"/>
  <c r="U524" i="21"/>
  <c r="U228" i="21"/>
  <c r="U217" i="21"/>
  <c r="U189" i="21"/>
  <c r="U128" i="21"/>
  <c r="U392" i="21"/>
  <c r="U319" i="21"/>
  <c r="U127" i="21"/>
  <c r="U437" i="21"/>
  <c r="U554" i="21"/>
  <c r="U562" i="21"/>
  <c r="U146" i="21"/>
  <c r="U119" i="21"/>
  <c r="U48" i="21"/>
  <c r="U509" i="21"/>
  <c r="U26" i="21"/>
  <c r="U160" i="21"/>
  <c r="U245" i="21"/>
  <c r="U140" i="21"/>
  <c r="U16" i="21"/>
  <c r="U255" i="21"/>
  <c r="U494" i="21"/>
  <c r="U220" i="21"/>
  <c r="U576" i="21"/>
  <c r="U279" i="21"/>
  <c r="U394" i="21"/>
  <c r="U373" i="21"/>
  <c r="U225" i="21"/>
  <c r="U269" i="21"/>
  <c r="U423" i="21"/>
  <c r="U162" i="21"/>
  <c r="U252" i="21"/>
  <c r="U472" i="21"/>
  <c r="U250" i="21"/>
  <c r="U294" i="21"/>
  <c r="U553" i="21"/>
  <c r="U248" i="21"/>
  <c r="U226" i="21"/>
  <c r="U263" i="21"/>
  <c r="U539" i="21"/>
  <c r="U14" i="21"/>
  <c r="U177" i="21"/>
  <c r="U157" i="21"/>
  <c r="U62" i="21"/>
  <c r="U501" i="21"/>
  <c r="U416" i="21"/>
  <c r="U343" i="21"/>
  <c r="U564" i="21"/>
  <c r="U13" i="21"/>
  <c r="U333" i="21"/>
  <c r="U258" i="21"/>
  <c r="U291" i="21"/>
  <c r="U19" i="21"/>
  <c r="U438" i="21"/>
  <c r="U182" i="21"/>
  <c r="U360" i="21"/>
  <c r="U57" i="21"/>
  <c r="U131" i="21"/>
  <c r="U85" i="21"/>
  <c r="U186" i="21"/>
  <c r="U240" i="21"/>
  <c r="U568" i="21"/>
  <c r="U103" i="21"/>
  <c r="U440" i="21"/>
  <c r="U511" i="21"/>
  <c r="U324" i="21"/>
  <c r="U150" i="21"/>
  <c r="U99" i="21"/>
  <c r="U393" i="21"/>
  <c r="U191" i="21"/>
  <c r="U28" i="21"/>
  <c r="U565" i="21"/>
  <c r="U278" i="21"/>
  <c r="U486" i="21"/>
  <c r="U30" i="21"/>
  <c r="U112" i="21"/>
  <c r="U122" i="21"/>
  <c r="U287" i="21"/>
  <c r="U83" i="21"/>
  <c r="U180" i="21"/>
  <c r="U328" i="21"/>
  <c r="U161" i="21"/>
  <c r="U74" i="21"/>
  <c r="U10" i="21"/>
  <c r="U348" i="21"/>
  <c r="U489" i="21"/>
  <c r="U325" i="21"/>
  <c r="U366" i="21"/>
  <c r="U86" i="21"/>
  <c r="U126" i="21"/>
  <c r="U311" i="21"/>
  <c r="U260" i="21"/>
  <c r="U431" i="21"/>
  <c r="U540" i="21"/>
  <c r="U166" i="21"/>
  <c r="U520" i="21"/>
  <c r="U243" i="21"/>
  <c r="U330" i="21"/>
  <c r="U469" i="21"/>
  <c r="U63" i="21"/>
  <c r="U561" i="21"/>
  <c r="U200" i="21"/>
  <c r="U403" i="21"/>
  <c r="U368" i="21"/>
  <c r="U528" i="21"/>
  <c r="U84" i="21"/>
  <c r="U464" i="21"/>
  <c r="U542" i="21"/>
  <c r="U529" i="21"/>
  <c r="U91" i="21"/>
  <c r="U193" i="21"/>
  <c r="U503" i="21"/>
  <c r="U68" i="21"/>
  <c r="U570" i="21"/>
  <c r="U301" i="21"/>
  <c r="U129" i="21"/>
  <c r="U518" i="21"/>
  <c r="U544" i="21"/>
  <c r="U445" i="21"/>
  <c r="U560" i="21"/>
  <c r="U430" i="21"/>
  <c r="U212" i="21"/>
  <c r="T211" i="21"/>
  <c r="T354" i="21"/>
  <c r="T237" i="21"/>
  <c r="T313" i="21"/>
  <c r="T401" i="21"/>
  <c r="T215" i="21"/>
  <c r="T448" i="21"/>
  <c r="T480" i="21"/>
  <c r="T434" i="21"/>
  <c r="T71" i="21"/>
  <c r="T358" i="21"/>
  <c r="T104" i="21"/>
  <c r="T229" i="21"/>
  <c r="T21" i="21"/>
  <c r="T488" i="21"/>
  <c r="T405" i="21"/>
  <c r="T192" i="21"/>
  <c r="T170" i="21"/>
  <c r="T329" i="21"/>
  <c r="T384" i="21"/>
  <c r="T244" i="21"/>
  <c r="T102" i="21"/>
  <c r="T441" i="21"/>
  <c r="T44" i="21"/>
  <c r="T497" i="21"/>
  <c r="T18" i="21"/>
  <c r="T397" i="21"/>
  <c r="T574" i="21"/>
  <c r="T288" i="21"/>
  <c r="T551" i="21"/>
  <c r="T218" i="21"/>
  <c r="T204" i="21"/>
  <c r="T374" i="21"/>
  <c r="T158" i="21"/>
  <c r="T194" i="21"/>
  <c r="T429" i="21"/>
  <c r="T455" i="21"/>
  <c r="T223" i="21"/>
  <c r="T318" i="21"/>
  <c r="T555" i="21"/>
  <c r="T385" i="21"/>
  <c r="T273" i="21"/>
  <c r="T465" i="21"/>
  <c r="T95" i="21"/>
  <c r="T214" i="21"/>
  <c r="T468" i="21"/>
  <c r="T64" i="21"/>
  <c r="T203" i="21"/>
  <c r="T388" i="21"/>
  <c r="T450" i="21"/>
  <c r="T541" i="21"/>
  <c r="T507" i="21"/>
  <c r="T216" i="21"/>
  <c r="T175" i="21"/>
  <c r="T370" i="21"/>
  <c r="T331" i="21"/>
  <c r="T517" i="21"/>
  <c r="T411" i="21"/>
  <c r="T336" i="21"/>
  <c r="T482" i="21"/>
  <c r="T532" i="21"/>
  <c r="T510" i="21"/>
  <c r="T132" i="21"/>
  <c r="T406" i="21"/>
  <c r="T477" i="21"/>
  <c r="T257" i="21"/>
  <c r="T173" i="21"/>
  <c r="T69" i="21"/>
  <c r="T451" i="21"/>
  <c r="T190" i="21"/>
  <c r="T234" i="21"/>
  <c r="T181" i="21"/>
  <c r="T133" i="21"/>
  <c r="T50" i="21"/>
  <c r="T56" i="21"/>
  <c r="T425" i="21"/>
  <c r="T152" i="21"/>
  <c r="T525" i="21"/>
  <c r="T120" i="21"/>
  <c r="T32" i="21"/>
  <c r="T100" i="21"/>
  <c r="T159" i="21"/>
  <c r="T114" i="21"/>
  <c r="T108" i="21"/>
  <c r="T413" i="21"/>
  <c r="T96" i="21"/>
  <c r="T286" i="21"/>
  <c r="T380" i="21"/>
  <c r="T207" i="21"/>
  <c r="T543" i="21"/>
  <c r="T305" i="21"/>
  <c r="T110" i="21"/>
  <c r="T38" i="21"/>
  <c r="T300" i="21"/>
  <c r="T476" i="21"/>
  <c r="T70" i="21"/>
  <c r="T452" i="21"/>
  <c r="T545" i="21"/>
  <c r="T424" i="21"/>
  <c r="T337" i="21"/>
  <c r="T414" i="21"/>
  <c r="T349" i="21"/>
  <c r="T365" i="21"/>
  <c r="T548" i="21"/>
  <c r="T504" i="21"/>
  <c r="T33" i="21"/>
  <c r="T322" i="21"/>
  <c r="T344" i="21"/>
  <c r="T66" i="21"/>
  <c r="T267" i="21"/>
  <c r="T49" i="21"/>
  <c r="T284" i="21"/>
  <c r="T45" i="21"/>
  <c r="T43" i="21"/>
  <c r="T208" i="21"/>
  <c r="T303" i="21"/>
  <c r="T487" i="21"/>
  <c r="T396" i="21"/>
  <c r="T573" i="21"/>
  <c r="T121" i="21"/>
  <c r="T163" i="21"/>
  <c r="T6" i="21"/>
  <c r="T535" i="21"/>
  <c r="T369" i="21"/>
  <c r="T232" i="21"/>
  <c r="T39" i="21"/>
  <c r="T34" i="21"/>
  <c r="T125" i="21"/>
  <c r="T320" i="21"/>
  <c r="T8" i="21"/>
  <c r="T357" i="21"/>
  <c r="T167" i="21"/>
  <c r="T11" i="21"/>
  <c r="T447" i="21"/>
  <c r="T135" i="21"/>
  <c r="T238" i="21"/>
  <c r="T459" i="21"/>
  <c r="T490" i="21"/>
  <c r="T446" i="21"/>
  <c r="T567" i="21"/>
  <c r="T483" i="21"/>
  <c r="T359" i="21"/>
  <c r="T231" i="21"/>
  <c r="T363" i="21"/>
  <c r="T514" i="21"/>
  <c r="T515" i="21"/>
  <c r="T460" i="21"/>
  <c r="T522" i="21"/>
  <c r="T361" i="21"/>
  <c r="T22" i="21"/>
  <c r="T236" i="21"/>
  <c r="T106" i="21"/>
  <c r="T516" i="21"/>
  <c r="T241" i="21"/>
  <c r="T52" i="21"/>
  <c r="T462" i="21"/>
  <c r="T187" i="21"/>
  <c r="T116" i="21"/>
  <c r="T302" i="21"/>
  <c r="T444" i="21"/>
  <c r="T498" i="21"/>
  <c r="T144" i="21"/>
  <c r="T59" i="21"/>
  <c r="T281" i="21"/>
  <c r="T432" i="21"/>
  <c r="T35" i="21"/>
  <c r="T559" i="21"/>
  <c r="T484" i="21"/>
  <c r="T46" i="21"/>
  <c r="T377" i="21"/>
  <c r="T422" i="21"/>
  <c r="T327" i="21"/>
  <c r="T17" i="21"/>
  <c r="T55" i="21"/>
  <c r="T355" i="21"/>
  <c r="T400" i="21"/>
  <c r="T176" i="21"/>
  <c r="T92" i="21"/>
  <c r="T372" i="21"/>
  <c r="T130" i="21"/>
  <c r="T36" i="21"/>
  <c r="T105" i="21"/>
  <c r="T60" i="21"/>
  <c r="T449" i="21"/>
  <c r="T334" i="21"/>
  <c r="T463" i="21"/>
  <c r="T124" i="21"/>
  <c r="T379" i="21"/>
  <c r="T335" i="21"/>
  <c r="T345" i="21"/>
  <c r="T557" i="21"/>
  <c r="T78" i="21"/>
  <c r="T290" i="21"/>
  <c r="T563" i="21"/>
  <c r="T420" i="21"/>
  <c r="T375" i="21"/>
  <c r="T572" i="21"/>
  <c r="T378" i="21"/>
  <c r="T556" i="21"/>
  <c r="T213" i="21"/>
  <c r="T40" i="21"/>
  <c r="T481" i="21"/>
  <c r="T221" i="21"/>
  <c r="T53" i="21"/>
  <c r="T209" i="21"/>
  <c r="T272" i="21"/>
  <c r="T575" i="21"/>
  <c r="T29" i="21"/>
  <c r="T188" i="21"/>
  <c r="T280" i="21"/>
  <c r="T202" i="21"/>
  <c r="T500" i="21"/>
  <c r="T558" i="21"/>
  <c r="T547" i="21"/>
  <c r="T478" i="21"/>
  <c r="T178" i="21"/>
  <c r="T531" i="21"/>
  <c r="T479" i="21"/>
  <c r="T495" i="21"/>
  <c r="T309" i="21"/>
  <c r="T174" i="21"/>
  <c r="T466" i="21"/>
  <c r="T90" i="21"/>
  <c r="T93" i="21"/>
  <c r="T259" i="21"/>
  <c r="T415" i="21"/>
  <c r="T352" i="21"/>
  <c r="T298" i="21"/>
  <c r="T205" i="21"/>
  <c r="T435" i="21"/>
  <c r="T534" i="21"/>
  <c r="T179" i="21"/>
  <c r="T293" i="21"/>
  <c r="T196" i="21"/>
  <c r="T76" i="21"/>
  <c r="T169" i="21"/>
  <c r="T219" i="21"/>
  <c r="T54" i="21"/>
  <c r="T87" i="21"/>
  <c r="T123" i="21"/>
  <c r="T546" i="21"/>
  <c r="T89" i="21"/>
  <c r="T474" i="21"/>
  <c r="T317" i="21"/>
  <c r="T473" i="21"/>
  <c r="T118" i="21"/>
  <c r="T296" i="21"/>
  <c r="T461" i="21"/>
  <c r="T512" i="21"/>
  <c r="T275" i="21"/>
  <c r="T496" i="21"/>
  <c r="T571" i="21"/>
  <c r="T58" i="21"/>
  <c r="T376" i="21"/>
  <c r="T508" i="21"/>
  <c r="T399" i="21"/>
  <c r="T246" i="21"/>
  <c r="T145" i="21"/>
  <c r="T307" i="21"/>
  <c r="T421" i="21"/>
  <c r="T15" i="21"/>
  <c r="T321" i="21"/>
  <c r="T505" i="21"/>
  <c r="T136" i="21"/>
  <c r="T523" i="21"/>
  <c r="T454" i="21"/>
  <c r="T51" i="21"/>
  <c r="T230" i="21"/>
  <c r="T81" i="21"/>
  <c r="T471" i="21"/>
  <c r="T265" i="21"/>
  <c r="T316" i="21"/>
  <c r="T297" i="21"/>
  <c r="T390" i="21"/>
  <c r="T253" i="21"/>
  <c r="T165" i="21"/>
  <c r="T412" i="21"/>
  <c r="T94" i="21"/>
  <c r="T27" i="21"/>
  <c r="T433" i="21"/>
  <c r="T75" i="21"/>
  <c r="T367" i="21"/>
  <c r="T569" i="21"/>
  <c r="T233" i="21"/>
  <c r="T82" i="21"/>
  <c r="T151" i="21"/>
  <c r="T156" i="21"/>
  <c r="T88" i="21"/>
  <c r="T492" i="21"/>
  <c r="T426" i="21"/>
  <c r="T338" i="21"/>
  <c r="T404" i="21"/>
  <c r="T356" i="21"/>
  <c r="T113" i="21"/>
  <c r="T72" i="21"/>
  <c r="T391" i="21"/>
  <c r="T364" i="21"/>
  <c r="T502" i="21"/>
  <c r="T277" i="21"/>
  <c r="T491" i="21"/>
  <c r="T315" i="21"/>
  <c r="T395" i="21"/>
  <c r="T164" i="21"/>
  <c r="T458" i="21"/>
  <c r="T439" i="21"/>
  <c r="T109" i="21"/>
  <c r="T242" i="21"/>
  <c r="T254" i="21"/>
  <c r="T443" i="21"/>
  <c r="T7" i="21"/>
  <c r="T312" i="21"/>
  <c r="T117" i="21"/>
  <c r="T402" i="21"/>
  <c r="T147" i="21"/>
  <c r="T339" i="21"/>
  <c r="T264" i="21"/>
  <c r="T171" i="21"/>
  <c r="T239" i="21"/>
  <c r="T9" i="21"/>
  <c r="T283" i="21"/>
  <c r="T79" i="21"/>
  <c r="T20" i="21"/>
  <c r="T456" i="21"/>
  <c r="T467" i="21"/>
  <c r="T340" i="21"/>
  <c r="T521" i="21"/>
  <c r="T65" i="21"/>
  <c r="T139" i="21"/>
  <c r="T427" i="21"/>
  <c r="T350" i="21"/>
  <c r="T172" i="21"/>
  <c r="T442" i="21"/>
  <c r="T566" i="21"/>
  <c r="T457" i="21"/>
  <c r="T67" i="21"/>
  <c r="T25" i="21"/>
  <c r="T353" i="21"/>
  <c r="T251" i="21"/>
  <c r="T470" i="21"/>
  <c r="T256" i="21"/>
  <c r="T285" i="21"/>
  <c r="T362" i="21"/>
  <c r="T383" i="21"/>
  <c r="T206" i="21"/>
  <c r="T199" i="21"/>
  <c r="T419" i="21"/>
  <c r="T499" i="21"/>
  <c r="T332" i="21"/>
  <c r="T168" i="21"/>
  <c r="T98" i="21"/>
  <c r="T524" i="21"/>
  <c r="T228" i="21"/>
  <c r="T217" i="21"/>
  <c r="T189" i="21"/>
  <c r="T128" i="21"/>
  <c r="T392" i="21"/>
  <c r="T319" i="21"/>
  <c r="T127" i="21"/>
  <c r="T437" i="21"/>
  <c r="T554" i="21"/>
  <c r="T562" i="21"/>
  <c r="T146" i="21"/>
  <c r="T119" i="21"/>
  <c r="T48" i="21"/>
  <c r="T509" i="21"/>
  <c r="T26" i="21"/>
  <c r="T160" i="21"/>
  <c r="T245" i="21"/>
  <c r="T140" i="21"/>
  <c r="T16" i="21"/>
  <c r="T255" i="21"/>
  <c r="T494" i="21"/>
  <c r="T220" i="21"/>
  <c r="T576" i="21"/>
  <c r="T279" i="21"/>
  <c r="T394" i="21"/>
  <c r="T373" i="21"/>
  <c r="T225" i="21"/>
  <c r="T269" i="21"/>
  <c r="T423" i="21"/>
  <c r="T162" i="21"/>
  <c r="T252" i="21"/>
  <c r="T472" i="21"/>
  <c r="T250" i="21"/>
  <c r="T294" i="21"/>
  <c r="T553" i="21"/>
  <c r="T248" i="21"/>
  <c r="T226" i="21"/>
  <c r="T263" i="21"/>
  <c r="T539" i="21"/>
  <c r="T14" i="21"/>
  <c r="T177" i="21"/>
  <c r="T157" i="21"/>
  <c r="T62" i="21"/>
  <c r="T501" i="21"/>
  <c r="T416" i="21"/>
  <c r="T343" i="21"/>
  <c r="T564" i="21"/>
  <c r="T13" i="21"/>
  <c r="T333" i="21"/>
  <c r="T258" i="21"/>
  <c r="T291" i="21"/>
  <c r="T19" i="21"/>
  <c r="T438" i="21"/>
  <c r="T182" i="21"/>
  <c r="T360" i="21"/>
  <c r="T57" i="21"/>
  <c r="T131" i="21"/>
  <c r="T85" i="21"/>
  <c r="T186" i="21"/>
  <c r="T240" i="21"/>
  <c r="T568" i="21"/>
  <c r="T103" i="21"/>
  <c r="T440" i="21"/>
  <c r="T511" i="21"/>
  <c r="T324" i="21"/>
  <c r="T150" i="21"/>
  <c r="T99" i="21"/>
  <c r="T393" i="21"/>
  <c r="T191" i="21"/>
  <c r="T28" i="21"/>
  <c r="T565" i="21"/>
  <c r="T278" i="21"/>
  <c r="T486" i="21"/>
  <c r="T30" i="21"/>
  <c r="T112" i="21"/>
  <c r="T122" i="21"/>
  <c r="T287" i="21"/>
  <c r="T83" i="21"/>
  <c r="T180" i="21"/>
  <c r="T328" i="21"/>
  <c r="T161" i="21"/>
  <c r="T74" i="21"/>
  <c r="T10" i="21"/>
  <c r="T348" i="21"/>
  <c r="T489" i="21"/>
  <c r="T325" i="21"/>
  <c r="T366" i="21"/>
  <c r="T86" i="21"/>
  <c r="T126" i="21"/>
  <c r="T311" i="21"/>
  <c r="T260" i="21"/>
  <c r="T431" i="21"/>
  <c r="T540" i="21"/>
  <c r="T166" i="21"/>
  <c r="T520" i="21"/>
  <c r="T243" i="21"/>
  <c r="T330" i="21"/>
  <c r="T469" i="21"/>
  <c r="T63" i="21"/>
  <c r="T561" i="21"/>
  <c r="T200" i="21"/>
  <c r="T403" i="21"/>
  <c r="T368" i="21"/>
  <c r="T528" i="21"/>
  <c r="T84" i="21"/>
  <c r="T464" i="21"/>
  <c r="T542" i="21"/>
  <c r="T529" i="21"/>
  <c r="T91" i="21"/>
  <c r="T193" i="21"/>
  <c r="T503" i="21"/>
  <c r="T68" i="21"/>
  <c r="T570" i="21"/>
  <c r="T301" i="21"/>
  <c r="T129" i="21"/>
  <c r="T518" i="21"/>
  <c r="T544" i="21"/>
  <c r="T445" i="21"/>
  <c r="T560" i="21"/>
  <c r="T430" i="21"/>
  <c r="T212" i="21"/>
  <c r="DG11" i="5"/>
  <c r="CW11" i="5"/>
  <c r="CX11" i="5"/>
  <c r="CY11" i="5"/>
  <c r="CZ11" i="5"/>
  <c r="DA11" i="5"/>
  <c r="DB11" i="5"/>
  <c r="DC11" i="5"/>
  <c r="DD11" i="5"/>
  <c r="DE11" i="5"/>
  <c r="DF11" i="5"/>
  <c r="CV11" i="5"/>
  <c r="V872" i="21" l="1"/>
  <c r="Y872" i="21" s="1"/>
  <c r="V868" i="21"/>
  <c r="Y868" i="21" s="1"/>
  <c r="V874" i="21"/>
  <c r="Y874" i="21" s="1"/>
  <c r="V873" i="21"/>
  <c r="Y873" i="21" s="1"/>
  <c r="V876" i="21"/>
  <c r="Y876" i="21" s="1"/>
  <c r="V870" i="21"/>
  <c r="Y870" i="21" s="1"/>
  <c r="V871" i="21"/>
  <c r="Y871" i="21" s="1"/>
  <c r="V869" i="21"/>
  <c r="Y869" i="21" s="1"/>
  <c r="V875" i="21"/>
  <c r="Y875" i="21" s="1"/>
  <c r="V859" i="21"/>
  <c r="Y859" i="21" s="1"/>
  <c r="V860" i="21"/>
  <c r="Y860" i="21" s="1"/>
  <c r="V857" i="21"/>
  <c r="Y857" i="21" s="1"/>
  <c r="V866" i="21"/>
  <c r="Y866" i="21" s="1"/>
  <c r="V863" i="21"/>
  <c r="Y863" i="21" s="1"/>
  <c r="V864" i="21"/>
  <c r="Y864" i="21" s="1"/>
  <c r="V865" i="21"/>
  <c r="Y865" i="21" s="1"/>
  <c r="V867" i="21"/>
  <c r="Y867" i="21" s="1"/>
  <c r="V858" i="21"/>
  <c r="Y858" i="21" s="1"/>
  <c r="V861" i="21"/>
  <c r="Y861" i="21" s="1"/>
  <c r="V862" i="21"/>
  <c r="Y862" i="21" s="1"/>
  <c r="V821" i="21"/>
  <c r="Y821" i="21" s="1"/>
  <c r="V837" i="21"/>
  <c r="Y837" i="21" s="1"/>
  <c r="V853" i="21"/>
  <c r="Y853" i="21" s="1"/>
  <c r="V834" i="21"/>
  <c r="Y834" i="21" s="1"/>
  <c r="V850" i="21"/>
  <c r="Y850" i="21" s="1"/>
  <c r="V840" i="21"/>
  <c r="Y840" i="21" s="1"/>
  <c r="V827" i="21"/>
  <c r="Y827" i="21" s="1"/>
  <c r="V843" i="21"/>
  <c r="Y843" i="21" s="1"/>
  <c r="V832" i="21"/>
  <c r="Y832" i="21" s="1"/>
  <c r="V825" i="21"/>
  <c r="Y825" i="21" s="1"/>
  <c r="V841" i="21"/>
  <c r="Y841" i="21" s="1"/>
  <c r="V822" i="21"/>
  <c r="Y822" i="21" s="1"/>
  <c r="V838" i="21"/>
  <c r="Y838" i="21" s="1"/>
  <c r="V854" i="21"/>
  <c r="Y854" i="21" s="1"/>
  <c r="V848" i="21"/>
  <c r="Y848" i="21" s="1"/>
  <c r="V831" i="21"/>
  <c r="Y831" i="21" s="1"/>
  <c r="V847" i="21"/>
  <c r="Y847" i="21" s="1"/>
  <c r="V844" i="21"/>
  <c r="Y844" i="21" s="1"/>
  <c r="V829" i="21"/>
  <c r="Y829" i="21" s="1"/>
  <c r="V845" i="21"/>
  <c r="Y845" i="21" s="1"/>
  <c r="V826" i="21"/>
  <c r="Y826" i="21" s="1"/>
  <c r="V842" i="21"/>
  <c r="Y842" i="21" s="1"/>
  <c r="V828" i="21"/>
  <c r="Y828" i="21" s="1"/>
  <c r="V856" i="21"/>
  <c r="Y856" i="21" s="1"/>
  <c r="V835" i="21"/>
  <c r="Y835" i="21" s="1"/>
  <c r="V851" i="21"/>
  <c r="Y851" i="21" s="1"/>
  <c r="V852" i="21"/>
  <c r="Y852" i="21" s="1"/>
  <c r="V833" i="21"/>
  <c r="Y833" i="21" s="1"/>
  <c r="V849" i="21"/>
  <c r="Y849" i="21" s="1"/>
  <c r="V830" i="21"/>
  <c r="Y830" i="21" s="1"/>
  <c r="V846" i="21"/>
  <c r="Y846" i="21" s="1"/>
  <c r="V836" i="21"/>
  <c r="Y836" i="21" s="1"/>
  <c r="V823" i="21"/>
  <c r="Y823" i="21" s="1"/>
  <c r="V839" i="21"/>
  <c r="Y839" i="21" s="1"/>
  <c r="V855" i="21"/>
  <c r="Y855" i="21" s="1"/>
  <c r="V824" i="21"/>
  <c r="Y824" i="21" s="1"/>
  <c r="V820" i="21"/>
  <c r="Y820" i="21" s="1"/>
  <c r="V772" i="21"/>
  <c r="Y772" i="21" s="1"/>
  <c r="V788" i="21"/>
  <c r="Y788" i="21" s="1"/>
  <c r="V804" i="21"/>
  <c r="Y804" i="21" s="1"/>
  <c r="V779" i="21"/>
  <c r="Y779" i="21" s="1"/>
  <c r="V773" i="21"/>
  <c r="Y773" i="21" s="1"/>
  <c r="V789" i="21"/>
  <c r="Y789" i="21" s="1"/>
  <c r="V805" i="21"/>
  <c r="Y805" i="21" s="1"/>
  <c r="V783" i="21"/>
  <c r="Y783" i="21" s="1"/>
  <c r="V774" i="21"/>
  <c r="Y774" i="21" s="1"/>
  <c r="V790" i="21"/>
  <c r="Y790" i="21" s="1"/>
  <c r="V806" i="21"/>
  <c r="Y806" i="21" s="1"/>
  <c r="V775" i="21"/>
  <c r="Y775" i="21" s="1"/>
  <c r="V796" i="21"/>
  <c r="Y796" i="21" s="1"/>
  <c r="V812" i="21"/>
  <c r="Y812" i="21" s="1"/>
  <c r="V781" i="21"/>
  <c r="Y781" i="21" s="1"/>
  <c r="V813" i="21"/>
  <c r="Y813" i="21" s="1"/>
  <c r="V782" i="21"/>
  <c r="Y782" i="21" s="1"/>
  <c r="V814" i="21"/>
  <c r="Y814" i="21" s="1"/>
  <c r="V784" i="21"/>
  <c r="Y784" i="21" s="1"/>
  <c r="V816" i="21"/>
  <c r="Y816" i="21" s="1"/>
  <c r="V801" i="21"/>
  <c r="Y801" i="21" s="1"/>
  <c r="V817" i="21"/>
  <c r="Y817" i="21" s="1"/>
  <c r="V802" i="21"/>
  <c r="Y802" i="21" s="1"/>
  <c r="V819" i="21"/>
  <c r="Y819" i="21" s="1"/>
  <c r="V776" i="21"/>
  <c r="Y776" i="21" s="1"/>
  <c r="V792" i="21"/>
  <c r="Y792" i="21" s="1"/>
  <c r="V808" i="21"/>
  <c r="Y808" i="21" s="1"/>
  <c r="V791" i="21"/>
  <c r="Y791" i="21" s="1"/>
  <c r="V777" i="21"/>
  <c r="Y777" i="21" s="1"/>
  <c r="V793" i="21"/>
  <c r="Y793" i="21" s="1"/>
  <c r="V809" i="21"/>
  <c r="Y809" i="21" s="1"/>
  <c r="V787" i="21"/>
  <c r="Y787" i="21" s="1"/>
  <c r="V778" i="21"/>
  <c r="Y778" i="21" s="1"/>
  <c r="V794" i="21"/>
  <c r="Y794" i="21" s="1"/>
  <c r="V810" i="21"/>
  <c r="Y810" i="21" s="1"/>
  <c r="V795" i="21"/>
  <c r="Y795" i="21" s="1"/>
  <c r="V780" i="21"/>
  <c r="Y780" i="21" s="1"/>
  <c r="V799" i="21"/>
  <c r="Y799" i="21" s="1"/>
  <c r="V797" i="21"/>
  <c r="Y797" i="21" s="1"/>
  <c r="V803" i="21"/>
  <c r="Y803" i="21" s="1"/>
  <c r="V798" i="21"/>
  <c r="Y798" i="21" s="1"/>
  <c r="V807" i="21"/>
  <c r="Y807" i="21" s="1"/>
  <c r="V800" i="21"/>
  <c r="Y800" i="21" s="1"/>
  <c r="V811" i="21"/>
  <c r="Y811" i="21" s="1"/>
  <c r="V785" i="21"/>
  <c r="Y785" i="21" s="1"/>
  <c r="V815" i="21"/>
  <c r="Y815" i="21" s="1"/>
  <c r="V786" i="21"/>
  <c r="Y786" i="21" s="1"/>
  <c r="V818" i="21"/>
  <c r="Y818" i="21" s="1"/>
  <c r="V764" i="21"/>
  <c r="Y764" i="21" s="1"/>
  <c r="V769" i="21"/>
  <c r="Y769" i="21" s="1"/>
  <c r="V765" i="21"/>
  <c r="Y765" i="21" s="1"/>
  <c r="V768" i="21"/>
  <c r="Y768" i="21" s="1"/>
  <c r="V771" i="21"/>
  <c r="Y771" i="21" s="1"/>
  <c r="V767" i="21"/>
  <c r="Y767" i="21" s="1"/>
  <c r="V766" i="21"/>
  <c r="Y766" i="21" s="1"/>
  <c r="V770" i="21"/>
  <c r="Y770" i="21" s="1"/>
  <c r="V760" i="21"/>
  <c r="Y760" i="21" s="1"/>
  <c r="V761" i="21"/>
  <c r="Y761" i="21" s="1"/>
  <c r="V763" i="21"/>
  <c r="Y763" i="21" s="1"/>
  <c r="V762" i="21"/>
  <c r="Y762" i="21" s="1"/>
  <c r="V759" i="21"/>
  <c r="Y759" i="21" s="1"/>
  <c r="V751" i="21"/>
  <c r="Y751" i="21" s="1"/>
  <c r="V758" i="21"/>
  <c r="Y758" i="21" s="1"/>
  <c r="V754" i="21"/>
  <c r="Y754" i="21" s="1"/>
  <c r="V755" i="21"/>
  <c r="Y755" i="21" s="1"/>
  <c r="V753" i="21"/>
  <c r="Y753" i="21" s="1"/>
  <c r="V756" i="21"/>
  <c r="Y756" i="21" s="1"/>
  <c r="V752" i="21"/>
  <c r="Y752" i="21" s="1"/>
  <c r="V757" i="21"/>
  <c r="Y757" i="21" s="1"/>
  <c r="V737" i="21"/>
  <c r="Y737" i="21" s="1"/>
  <c r="V750" i="21"/>
  <c r="Y750" i="21" s="1"/>
  <c r="V749" i="21"/>
  <c r="Y749" i="21" s="1"/>
  <c r="V747" i="21"/>
  <c r="Y747" i="21" s="1"/>
  <c r="V740" i="21"/>
  <c r="Y740" i="21" s="1"/>
  <c r="V745" i="21"/>
  <c r="Y745" i="21" s="1"/>
  <c r="V739" i="21"/>
  <c r="Y739" i="21" s="1"/>
  <c r="V738" i="21"/>
  <c r="Y738" i="21" s="1"/>
  <c r="V736" i="21"/>
  <c r="Y736" i="21" s="1"/>
  <c r="V734" i="21"/>
  <c r="Y734" i="21" s="1"/>
  <c r="V743" i="21"/>
  <c r="Y743" i="21" s="1"/>
  <c r="V746" i="21"/>
  <c r="Y746" i="21" s="1"/>
  <c r="V748" i="21"/>
  <c r="Y748" i="21" s="1"/>
  <c r="V742" i="21"/>
  <c r="Y742" i="21" s="1"/>
  <c r="V741" i="21"/>
  <c r="Y741" i="21" s="1"/>
  <c r="V735" i="21"/>
  <c r="Y735" i="21" s="1"/>
  <c r="V744" i="21"/>
  <c r="Y744" i="21" s="1"/>
  <c r="V725" i="21"/>
  <c r="Y725" i="21" s="1"/>
  <c r="V726" i="21"/>
  <c r="Y726" i="21" s="1"/>
  <c r="V727" i="21"/>
  <c r="Y727" i="21" s="1"/>
  <c r="V729" i="21"/>
  <c r="Y729" i="21" s="1"/>
  <c r="V730" i="21"/>
  <c r="Y730" i="21" s="1"/>
  <c r="V723" i="21"/>
  <c r="Y723" i="21" s="1"/>
  <c r="V733" i="21"/>
  <c r="Y733" i="21" s="1"/>
  <c r="V724" i="21"/>
  <c r="Y724" i="21" s="1"/>
  <c r="V731" i="21"/>
  <c r="Y731" i="21" s="1"/>
  <c r="V728" i="21"/>
  <c r="Y728" i="21" s="1"/>
  <c r="V732" i="21"/>
  <c r="Y732" i="21" s="1"/>
  <c r="V721" i="21"/>
  <c r="Y721" i="21" s="1"/>
  <c r="V722" i="21"/>
  <c r="Y722" i="21" s="1"/>
  <c r="V720" i="21"/>
  <c r="Y720" i="21" s="1"/>
  <c r="V708" i="21"/>
  <c r="Y708" i="21" s="1"/>
  <c r="V713" i="21"/>
  <c r="Y713" i="21" s="1"/>
  <c r="V718" i="21"/>
  <c r="Y718" i="21" s="1"/>
  <c r="V719" i="21"/>
  <c r="Y719" i="21" s="1"/>
  <c r="V712" i="21"/>
  <c r="Y712" i="21" s="1"/>
  <c r="V717" i="21"/>
  <c r="Y717" i="21" s="1"/>
  <c r="V711" i="21"/>
  <c r="Y711" i="21" s="1"/>
  <c r="V709" i="21"/>
  <c r="Y709" i="21" s="1"/>
  <c r="V716" i="21"/>
  <c r="Y716" i="21" s="1"/>
  <c r="V710" i="21"/>
  <c r="Y710" i="21" s="1"/>
  <c r="V715" i="21"/>
  <c r="Y715" i="21" s="1"/>
  <c r="V714" i="21"/>
  <c r="Y714" i="21" s="1"/>
  <c r="V700" i="21"/>
  <c r="Y700" i="21" s="1"/>
  <c r="V705" i="21"/>
  <c r="Y705" i="21" s="1"/>
  <c r="V701" i="21"/>
  <c r="Y701" i="21" s="1"/>
  <c r="V704" i="21"/>
  <c r="Y704" i="21" s="1"/>
  <c r="V702" i="21"/>
  <c r="Y702" i="21" s="1"/>
  <c r="V707" i="21"/>
  <c r="Y707" i="21" s="1"/>
  <c r="V706" i="21"/>
  <c r="Y706" i="21" s="1"/>
  <c r="V703" i="21"/>
  <c r="Y703" i="21" s="1"/>
  <c r="V698" i="21"/>
  <c r="Y698" i="21" s="1"/>
  <c r="V699" i="21"/>
  <c r="Y699" i="21" s="1"/>
  <c r="V694" i="21"/>
  <c r="Y694" i="21" s="1"/>
  <c r="V696" i="21"/>
  <c r="Y696" i="21" s="1"/>
  <c r="V695" i="21"/>
  <c r="Y695" i="21" s="1"/>
  <c r="V697" i="21"/>
  <c r="Y697" i="21" s="1"/>
  <c r="V688" i="21"/>
  <c r="Y688" i="21" s="1"/>
  <c r="V680" i="21"/>
  <c r="Y680" i="21" s="1"/>
  <c r="V677" i="21"/>
  <c r="Y677" i="21" s="1"/>
  <c r="V693" i="21"/>
  <c r="Y693" i="21" s="1"/>
  <c r="V687" i="21"/>
  <c r="Y687" i="21" s="1"/>
  <c r="V691" i="21"/>
  <c r="Y691" i="21" s="1"/>
  <c r="V690" i="21"/>
  <c r="Y690" i="21" s="1"/>
  <c r="V678" i="21"/>
  <c r="Y678" i="21" s="1"/>
  <c r="V684" i="21"/>
  <c r="Y684" i="21" s="1"/>
  <c r="V681" i="21"/>
  <c r="Y681" i="21" s="1"/>
  <c r="V674" i="21"/>
  <c r="Y674" i="21" s="1"/>
  <c r="V679" i="21"/>
  <c r="Y679" i="21" s="1"/>
  <c r="V689" i="21"/>
  <c r="Y689" i="21" s="1"/>
  <c r="V686" i="21"/>
  <c r="Y686" i="21" s="1"/>
  <c r="V692" i="21"/>
  <c r="Y692" i="21" s="1"/>
  <c r="V685" i="21"/>
  <c r="Y685" i="21" s="1"/>
  <c r="V682" i="21"/>
  <c r="Y682" i="21" s="1"/>
  <c r="V683" i="21"/>
  <c r="Y683" i="21" s="1"/>
  <c r="V676" i="21"/>
  <c r="Y676" i="21" s="1"/>
  <c r="V673" i="21"/>
  <c r="Y673" i="21" s="1"/>
  <c r="V675" i="21"/>
  <c r="Y675" i="21" s="1"/>
  <c r="V663" i="21"/>
  <c r="Y663" i="21" s="1"/>
  <c r="V665" i="21"/>
  <c r="Y665" i="21" s="1"/>
  <c r="V664" i="21"/>
  <c r="Y664" i="21" s="1"/>
  <c r="V670" i="21"/>
  <c r="Y670" i="21" s="1"/>
  <c r="V666" i="21"/>
  <c r="Y666" i="21" s="1"/>
  <c r="V667" i="21"/>
  <c r="Y667" i="21" s="1"/>
  <c r="V669" i="21"/>
  <c r="Y669" i="21" s="1"/>
  <c r="V668" i="21"/>
  <c r="Y668" i="21" s="1"/>
  <c r="V671" i="21"/>
  <c r="Y671" i="21" s="1"/>
  <c r="V672" i="21"/>
  <c r="Y672" i="21" s="1"/>
  <c r="V611" i="21"/>
  <c r="Y611" i="21" s="1"/>
  <c r="V627" i="21"/>
  <c r="Y627" i="21" s="1"/>
  <c r="V643" i="21"/>
  <c r="Y643" i="21" s="1"/>
  <c r="V659" i="21"/>
  <c r="Y659" i="21" s="1"/>
  <c r="V616" i="21"/>
  <c r="Y616" i="21" s="1"/>
  <c r="V632" i="21"/>
  <c r="Y632" i="21" s="1"/>
  <c r="V648" i="21"/>
  <c r="Y648" i="21" s="1"/>
  <c r="V618" i="21"/>
  <c r="Y618" i="21" s="1"/>
  <c r="V658" i="21"/>
  <c r="Y658" i="21" s="1"/>
  <c r="V621" i="21"/>
  <c r="Y621" i="21" s="1"/>
  <c r="V637" i="21"/>
  <c r="Y637" i="21" s="1"/>
  <c r="V653" i="21"/>
  <c r="Y653" i="21" s="1"/>
  <c r="V626" i="21"/>
  <c r="Y626" i="21" s="1"/>
  <c r="V655" i="21"/>
  <c r="Y655" i="21" s="1"/>
  <c r="V650" i="21"/>
  <c r="Y650" i="21" s="1"/>
  <c r="V649" i="21"/>
  <c r="Y649" i="21" s="1"/>
  <c r="V615" i="21"/>
  <c r="Y615" i="21" s="1"/>
  <c r="V631" i="21"/>
  <c r="Y631" i="21" s="1"/>
  <c r="V647" i="21"/>
  <c r="Y647" i="21" s="1"/>
  <c r="V622" i="21"/>
  <c r="Y622" i="21" s="1"/>
  <c r="V620" i="21"/>
  <c r="Y620" i="21" s="1"/>
  <c r="V636" i="21"/>
  <c r="Y636" i="21" s="1"/>
  <c r="V652" i="21"/>
  <c r="Y652" i="21" s="1"/>
  <c r="V630" i="21"/>
  <c r="Y630" i="21" s="1"/>
  <c r="V662" i="21"/>
  <c r="Y662" i="21" s="1"/>
  <c r="V625" i="21"/>
  <c r="Y625" i="21" s="1"/>
  <c r="V641" i="21"/>
  <c r="Y641" i="21" s="1"/>
  <c r="V657" i="21"/>
  <c r="Y657" i="21" s="1"/>
  <c r="V638" i="21"/>
  <c r="Y638" i="21" s="1"/>
  <c r="V639" i="21"/>
  <c r="Y639" i="21" s="1"/>
  <c r="V612" i="21"/>
  <c r="Y612" i="21" s="1"/>
  <c r="V644" i="21"/>
  <c r="Y644" i="21" s="1"/>
  <c r="V617" i="21"/>
  <c r="Y617" i="21" s="1"/>
  <c r="V614" i="21"/>
  <c r="Y614" i="21" s="1"/>
  <c r="V619" i="21"/>
  <c r="Y619" i="21" s="1"/>
  <c r="V635" i="21"/>
  <c r="Y635" i="21" s="1"/>
  <c r="V651" i="21"/>
  <c r="Y651" i="21" s="1"/>
  <c r="V634" i="21"/>
  <c r="Y634" i="21" s="1"/>
  <c r="V624" i="21"/>
  <c r="Y624" i="21" s="1"/>
  <c r="V640" i="21"/>
  <c r="Y640" i="21" s="1"/>
  <c r="V656" i="21"/>
  <c r="Y656" i="21" s="1"/>
  <c r="V642" i="21"/>
  <c r="Y642" i="21" s="1"/>
  <c r="V613" i="21"/>
  <c r="Y613" i="21" s="1"/>
  <c r="V629" i="21"/>
  <c r="Y629" i="21" s="1"/>
  <c r="V645" i="21"/>
  <c r="Y645" i="21" s="1"/>
  <c r="V661" i="21"/>
  <c r="Y661" i="21" s="1"/>
  <c r="V646" i="21"/>
  <c r="Y646" i="21" s="1"/>
  <c r="V623" i="21"/>
  <c r="Y623" i="21" s="1"/>
  <c r="V628" i="21"/>
  <c r="Y628" i="21" s="1"/>
  <c r="V660" i="21"/>
  <c r="Y660" i="21" s="1"/>
  <c r="V633" i="21"/>
  <c r="Y633" i="21" s="1"/>
  <c r="V654" i="21"/>
  <c r="Y654" i="21" s="1"/>
  <c r="V609" i="21"/>
  <c r="Y609" i="21" s="1"/>
  <c r="V608" i="21"/>
  <c r="Y608" i="21" s="1"/>
  <c r="V610" i="21"/>
  <c r="Y610" i="21" s="1"/>
  <c r="V606" i="21"/>
  <c r="Y606" i="21" s="1"/>
  <c r="V607" i="21"/>
  <c r="Y607" i="21" s="1"/>
  <c r="V605" i="21"/>
  <c r="Y605" i="21" s="1"/>
  <c r="V604" i="21"/>
  <c r="Y604" i="21" s="1"/>
  <c r="V603" i="21"/>
  <c r="Y603" i="21" s="1"/>
  <c r="V595" i="21"/>
  <c r="Y595" i="21" s="1"/>
  <c r="V597" i="21"/>
  <c r="Y597" i="21" s="1"/>
  <c r="V598" i="21"/>
  <c r="Y598" i="21" s="1"/>
  <c r="V599" i="21"/>
  <c r="Y599" i="21" s="1"/>
  <c r="V601" i="21"/>
  <c r="Y601" i="21" s="1"/>
  <c r="V596" i="21"/>
  <c r="Y596" i="21" s="1"/>
  <c r="V602" i="21"/>
  <c r="Y602" i="21" s="1"/>
  <c r="V600" i="21"/>
  <c r="Y600" i="21" s="1"/>
  <c r="V577" i="21"/>
  <c r="Y577" i="21" s="1"/>
  <c r="V593" i="21"/>
  <c r="Y593" i="21" s="1"/>
  <c r="V579" i="21"/>
  <c r="Y579" i="21" s="1"/>
  <c r="V588" i="21"/>
  <c r="Y588" i="21" s="1"/>
  <c r="V582" i="21"/>
  <c r="Y582" i="21" s="1"/>
  <c r="V581" i="21"/>
  <c r="Y581" i="21" s="1"/>
  <c r="V583" i="21"/>
  <c r="Y583" i="21" s="1"/>
  <c r="V587" i="21"/>
  <c r="Y587" i="21" s="1"/>
  <c r="V594" i="21"/>
  <c r="Y594" i="21" s="1"/>
  <c r="V590" i="21"/>
  <c r="Y590" i="21" s="1"/>
  <c r="V585" i="21"/>
  <c r="Y585" i="21" s="1"/>
  <c r="V584" i="21"/>
  <c r="Y584" i="21" s="1"/>
  <c r="V591" i="21"/>
  <c r="Y591" i="21" s="1"/>
  <c r="V586" i="21"/>
  <c r="Y586" i="21" s="1"/>
  <c r="V589" i="21"/>
  <c r="Y589" i="21" s="1"/>
  <c r="V592" i="21"/>
  <c r="Y592" i="21" s="1"/>
  <c r="V580" i="21"/>
  <c r="Y580" i="21" s="1"/>
  <c r="V578" i="21"/>
  <c r="Y578" i="21" s="1"/>
  <c r="V115" i="21"/>
  <c r="Y115" i="21" s="1"/>
  <c r="V24" i="21"/>
  <c r="Y24" i="21" s="1"/>
  <c r="V537" i="21"/>
  <c r="Y537" i="21" s="1"/>
  <c r="V23" i="21"/>
  <c r="Y23" i="21" s="1"/>
  <c r="V142" i="21"/>
  <c r="Y142" i="21" s="1"/>
  <c r="V351" i="21"/>
  <c r="Y351" i="21" s="1"/>
  <c r="V143" i="21"/>
  <c r="Y143" i="21" s="1"/>
  <c r="V61" i="21"/>
  <c r="Y61" i="21" s="1"/>
  <c r="V141" i="21"/>
  <c r="Y141" i="21" s="1"/>
  <c r="V97" i="21"/>
  <c r="Y97" i="21" s="1"/>
  <c r="V506" i="21"/>
  <c r="Y506" i="21" s="1"/>
  <c r="V183" i="21"/>
  <c r="Y183" i="21" s="1"/>
  <c r="V137" i="21"/>
  <c r="Y137" i="21" s="1"/>
  <c r="V436" i="21"/>
  <c r="Y436" i="21" s="1"/>
  <c r="V41" i="21"/>
  <c r="Y41" i="21" s="1"/>
  <c r="V268" i="21"/>
  <c r="Y268" i="21" s="1"/>
  <c r="V398" i="21"/>
  <c r="Y398" i="21" s="1"/>
  <c r="V410" i="21"/>
  <c r="Y410" i="21" s="1"/>
  <c r="V409" i="21"/>
  <c r="Y409" i="21" s="1"/>
  <c r="V387" i="21"/>
  <c r="Y387" i="21" s="1"/>
  <c r="V184" i="21"/>
  <c r="Y184" i="21" s="1"/>
  <c r="V101" i="21"/>
  <c r="Y101" i="21" s="1"/>
  <c r="V304" i="21"/>
  <c r="Y304" i="21" s="1"/>
  <c r="V519" i="21"/>
  <c r="Y519" i="21" s="1"/>
  <c r="V549" i="21"/>
  <c r="Y549" i="21" s="1"/>
  <c r="V222" i="21"/>
  <c r="Y222" i="21" s="1"/>
  <c r="V107" i="21"/>
  <c r="Y107" i="21" s="1"/>
  <c r="V526" i="21"/>
  <c r="Y526" i="21" s="1"/>
  <c r="V5" i="21"/>
  <c r="Y5" i="21" s="1"/>
  <c r="V314" i="21"/>
  <c r="Y314" i="21" s="1"/>
  <c r="V538" i="21"/>
  <c r="Y538" i="21" s="1"/>
  <c r="V155" i="21"/>
  <c r="Y155" i="21" s="1"/>
  <c r="V153" i="21"/>
  <c r="Y153" i="21" s="1"/>
  <c r="V197" i="21"/>
  <c r="Y197" i="21" s="1"/>
  <c r="V224" i="21"/>
  <c r="Y224" i="21" s="1"/>
  <c r="V536" i="21"/>
  <c r="Y536" i="21" s="1"/>
  <c r="V282" i="21"/>
  <c r="Y282" i="21" s="1"/>
  <c r="V185" i="21"/>
  <c r="Y185" i="21" s="1"/>
  <c r="V271" i="21"/>
  <c r="Y271" i="21" s="1"/>
  <c r="V154" i="21"/>
  <c r="Y154" i="21" s="1"/>
  <c r="V428" i="21"/>
  <c r="Y428" i="21" s="1"/>
  <c r="V12" i="21"/>
  <c r="Y12" i="21" s="1"/>
  <c r="V295" i="21"/>
  <c r="Y295" i="21" s="1"/>
  <c r="V347" i="21"/>
  <c r="Y347" i="21" s="1"/>
  <c r="V292" i="21"/>
  <c r="Y292" i="21" s="1"/>
  <c r="V31" i="21"/>
  <c r="Y31" i="21" s="1"/>
  <c r="V513" i="21"/>
  <c r="Y513" i="21" s="1"/>
  <c r="V308" i="21"/>
  <c r="Y308" i="21" s="1"/>
  <c r="V37" i="21"/>
  <c r="Y37" i="21" s="1"/>
  <c r="V381" i="21"/>
  <c r="Y381" i="21" s="1"/>
  <c r="V235" i="21"/>
  <c r="Y235" i="21" s="1"/>
  <c r="V201" i="21"/>
  <c r="Y201" i="21" s="1"/>
  <c r="V527" i="21"/>
  <c r="Y527" i="21" s="1"/>
  <c r="V371" i="21"/>
  <c r="Y371" i="21" s="1"/>
  <c r="V493" i="21"/>
  <c r="Y493" i="21" s="1"/>
  <c r="V149" i="21"/>
  <c r="Y149" i="21" s="1"/>
  <c r="V289" i="21"/>
  <c r="Y289" i="21" s="1"/>
  <c r="V341" i="21"/>
  <c r="Y341" i="21" s="1"/>
  <c r="V148" i="21"/>
  <c r="Y148" i="21" s="1"/>
  <c r="V73" i="21"/>
  <c r="Y73" i="21" s="1"/>
  <c r="V262" i="21"/>
  <c r="Y262" i="21" s="1"/>
  <c r="V323" i="21"/>
  <c r="Y323" i="21" s="1"/>
  <c r="V453" i="21"/>
  <c r="Y453" i="21" s="1"/>
  <c r="V77" i="21"/>
  <c r="Y77" i="21" s="1"/>
  <c r="V310" i="21"/>
  <c r="Y310" i="21" s="1"/>
  <c r="V270" i="21"/>
  <c r="Y270" i="21" s="1"/>
  <c r="V475" i="21"/>
  <c r="Y475" i="21" s="1"/>
  <c r="V276" i="21"/>
  <c r="Y276" i="21" s="1"/>
  <c r="V111" i="21"/>
  <c r="Y111" i="21" s="1"/>
  <c r="V417" i="21"/>
  <c r="Y417" i="21" s="1"/>
  <c r="V552" i="21"/>
  <c r="Y552" i="21" s="1"/>
  <c r="V261" i="21"/>
  <c r="Y261" i="21" s="1"/>
  <c r="V550" i="21"/>
  <c r="Y550" i="21" s="1"/>
  <c r="V42" i="21"/>
  <c r="Y42" i="21" s="1"/>
  <c r="V134" i="21"/>
  <c r="Y134" i="21" s="1"/>
  <c r="V80" i="21"/>
  <c r="Y80" i="21" s="1"/>
  <c r="V138" i="21"/>
  <c r="Y138" i="21" s="1"/>
  <c r="V407" i="21"/>
  <c r="Y407" i="21" s="1"/>
  <c r="V227" i="21"/>
  <c r="Y227" i="21" s="1"/>
  <c r="V530" i="21"/>
  <c r="Y530" i="21" s="1"/>
  <c r="V249" i="21"/>
  <c r="Y249" i="21" s="1"/>
  <c r="V266" i="21"/>
  <c r="Y266" i="21" s="1"/>
  <c r="V47" i="21"/>
  <c r="Y47" i="21" s="1"/>
  <c r="V198" i="21"/>
  <c r="Y198" i="21" s="1"/>
  <c r="V210" i="21"/>
  <c r="Y210" i="21" s="1"/>
  <c r="V326" i="21"/>
  <c r="Y326" i="21" s="1"/>
  <c r="V533" i="21"/>
  <c r="Y533" i="21" s="1"/>
  <c r="V342" i="21"/>
  <c r="Y342" i="21" s="1"/>
  <c r="V382" i="21"/>
  <c r="Y382" i="21" s="1"/>
  <c r="V299" i="21"/>
  <c r="Y299" i="21" s="1"/>
  <c r="V386" i="21"/>
  <c r="Y386" i="21" s="1"/>
  <c r="U15" i="22"/>
  <c r="U16" i="22" s="1"/>
  <c r="V212" i="21"/>
  <c r="Y212" i="21" s="1"/>
  <c r="V544" i="21"/>
  <c r="Y544" i="21" s="1"/>
  <c r="V570" i="21"/>
  <c r="Y570" i="21" s="1"/>
  <c r="U4" i="22"/>
  <c r="U9" i="22"/>
  <c r="V200" i="21"/>
  <c r="Y200" i="21" s="1"/>
  <c r="V161" i="21"/>
  <c r="Y161" i="21" s="1"/>
  <c r="V324" i="21"/>
  <c r="Y324" i="21" s="1"/>
  <c r="V333" i="21"/>
  <c r="Y333" i="21" s="1"/>
  <c r="V177" i="21"/>
  <c r="Y177" i="21" s="1"/>
  <c r="V250" i="21"/>
  <c r="Y250" i="21" s="1"/>
  <c r="V48" i="21"/>
  <c r="Y48" i="21" s="1"/>
  <c r="V228" i="21"/>
  <c r="Y228" i="21" s="1"/>
  <c r="V25" i="21"/>
  <c r="Y25" i="21" s="1"/>
  <c r="V283" i="21"/>
  <c r="Y283" i="21" s="1"/>
  <c r="V491" i="21"/>
  <c r="Y491" i="21" s="1"/>
  <c r="V233" i="21"/>
  <c r="Y233" i="21" s="1"/>
  <c r="V230" i="21"/>
  <c r="Y230" i="21" s="1"/>
  <c r="V399" i="21"/>
  <c r="Y399" i="21" s="1"/>
  <c r="V123" i="21"/>
  <c r="Y123" i="21" s="1"/>
  <c r="V309" i="21"/>
  <c r="Y309" i="21" s="1"/>
  <c r="V449" i="21"/>
  <c r="Y449" i="21" s="1"/>
  <c r="V430" i="21"/>
  <c r="Y430" i="21" s="1"/>
  <c r="V518" i="21"/>
  <c r="Y518" i="21" s="1"/>
  <c r="V68" i="21"/>
  <c r="Y68" i="21" s="1"/>
  <c r="V529" i="21"/>
  <c r="Y529" i="21" s="1"/>
  <c r="V528" i="21"/>
  <c r="Y528" i="21" s="1"/>
  <c r="V561" i="21"/>
  <c r="Y561" i="21" s="1"/>
  <c r="V243" i="21"/>
  <c r="Y243" i="21" s="1"/>
  <c r="V431" i="21"/>
  <c r="Y431" i="21" s="1"/>
  <c r="V86" i="21"/>
  <c r="Y86" i="21" s="1"/>
  <c r="V348" i="21"/>
  <c r="Y348" i="21" s="1"/>
  <c r="V328" i="21"/>
  <c r="Y328" i="21" s="1"/>
  <c r="V122" i="21"/>
  <c r="Y122" i="21" s="1"/>
  <c r="V278" i="21"/>
  <c r="Y278" i="21" s="1"/>
  <c r="V393" i="21"/>
  <c r="Y393" i="21" s="1"/>
  <c r="V511" i="21"/>
  <c r="Y511" i="21" s="1"/>
  <c r="V240" i="21"/>
  <c r="Y240" i="21" s="1"/>
  <c r="V57" i="21"/>
  <c r="Y57" i="21" s="1"/>
  <c r="V19" i="21"/>
  <c r="Y19" i="21" s="1"/>
  <c r="V13" i="21"/>
  <c r="Y13" i="21" s="1"/>
  <c r="V501" i="21"/>
  <c r="Y501" i="21" s="1"/>
  <c r="V14" i="21"/>
  <c r="Y14" i="21" s="1"/>
  <c r="V248" i="21"/>
  <c r="Y248" i="21" s="1"/>
  <c r="V472" i="21"/>
  <c r="Y472" i="21" s="1"/>
  <c r="V269" i="21"/>
  <c r="Y269" i="21" s="1"/>
  <c r="V279" i="21"/>
  <c r="Y279" i="21" s="1"/>
  <c r="V255" i="21"/>
  <c r="Y255" i="21" s="1"/>
  <c r="V160" i="21"/>
  <c r="Y160" i="21" s="1"/>
  <c r="V119" i="21"/>
  <c r="Y119" i="21" s="1"/>
  <c r="V437" i="21"/>
  <c r="Y437" i="21" s="1"/>
  <c r="V128" i="21"/>
  <c r="Y128" i="21" s="1"/>
  <c r="V524" i="21"/>
  <c r="Y524" i="21" s="1"/>
  <c r="V499" i="21"/>
  <c r="Y499" i="21" s="1"/>
  <c r="V383" i="21"/>
  <c r="Y383" i="21" s="1"/>
  <c r="V470" i="21"/>
  <c r="Y470" i="21" s="1"/>
  <c r="V67" i="21"/>
  <c r="Y67" i="21" s="1"/>
  <c r="V330" i="21"/>
  <c r="Y330" i="21" s="1"/>
  <c r="V489" i="21"/>
  <c r="Y489" i="21" s="1"/>
  <c r="V191" i="21"/>
  <c r="Y191" i="21" s="1"/>
  <c r="V438" i="21"/>
  <c r="Y438" i="21" s="1"/>
  <c r="V226" i="21"/>
  <c r="Y226" i="21" s="1"/>
  <c r="V423" i="21"/>
  <c r="Y423" i="21" s="1"/>
  <c r="V245" i="21"/>
  <c r="Y245" i="21" s="1"/>
  <c r="V332" i="21"/>
  <c r="Y332" i="21" s="1"/>
  <c r="V442" i="21"/>
  <c r="Y442" i="21" s="1"/>
  <c r="V264" i="21"/>
  <c r="Y264" i="21" s="1"/>
  <c r="V458" i="21"/>
  <c r="Y458" i="21" s="1"/>
  <c r="V88" i="21"/>
  <c r="Y88" i="21" s="1"/>
  <c r="V316" i="21"/>
  <c r="Y316" i="21" s="1"/>
  <c r="V571" i="21"/>
  <c r="Y571" i="21" s="1"/>
  <c r="V179" i="21"/>
  <c r="Y179" i="21" s="1"/>
  <c r="V178" i="21"/>
  <c r="Y178" i="21" s="1"/>
  <c r="V379" i="21"/>
  <c r="Y379" i="21" s="1"/>
  <c r="V560" i="21"/>
  <c r="Y560" i="21" s="1"/>
  <c r="V129" i="21"/>
  <c r="Y129" i="21" s="1"/>
  <c r="V503" i="21"/>
  <c r="Y503" i="21" s="1"/>
  <c r="V542" i="21"/>
  <c r="Y542" i="21" s="1"/>
  <c r="V368" i="21"/>
  <c r="Y368" i="21" s="1"/>
  <c r="V63" i="21"/>
  <c r="Y63" i="21" s="1"/>
  <c r="V520" i="21"/>
  <c r="Y520" i="21" s="1"/>
  <c r="V260" i="21"/>
  <c r="Y260" i="21" s="1"/>
  <c r="V366" i="21"/>
  <c r="Y366" i="21" s="1"/>
  <c r="V10" i="21"/>
  <c r="Y10" i="21" s="1"/>
  <c r="V180" i="21"/>
  <c r="Y180" i="21" s="1"/>
  <c r="V112" i="21"/>
  <c r="Y112" i="21" s="1"/>
  <c r="V565" i="21"/>
  <c r="Y565" i="21" s="1"/>
  <c r="V99" i="21"/>
  <c r="Y99" i="21" s="1"/>
  <c r="V440" i="21"/>
  <c r="Y440" i="21" s="1"/>
  <c r="V186" i="21"/>
  <c r="Y186" i="21" s="1"/>
  <c r="V360" i="21"/>
  <c r="Y360" i="21" s="1"/>
  <c r="V291" i="21"/>
  <c r="Y291" i="21" s="1"/>
  <c r="V564" i="21"/>
  <c r="Y564" i="21" s="1"/>
  <c r="V62" i="21"/>
  <c r="Y62" i="21" s="1"/>
  <c r="V539" i="21"/>
  <c r="Y539" i="21" s="1"/>
  <c r="V553" i="21"/>
  <c r="Y553" i="21" s="1"/>
  <c r="V252" i="21"/>
  <c r="Y252" i="21" s="1"/>
  <c r="V225" i="21"/>
  <c r="Y225" i="21" s="1"/>
  <c r="V576" i="21"/>
  <c r="Y576" i="21" s="1"/>
  <c r="V16" i="21"/>
  <c r="Y16" i="21" s="1"/>
  <c r="V26" i="21"/>
  <c r="Y26" i="21" s="1"/>
  <c r="V146" i="21"/>
  <c r="Y146" i="21" s="1"/>
  <c r="V127" i="21"/>
  <c r="Y127" i="21" s="1"/>
  <c r="V189" i="21"/>
  <c r="Y189" i="21" s="1"/>
  <c r="V98" i="21"/>
  <c r="Y98" i="21" s="1"/>
  <c r="V419" i="21"/>
  <c r="Y419" i="21" s="1"/>
  <c r="V362" i="21"/>
  <c r="Y362" i="21" s="1"/>
  <c r="V251" i="21"/>
  <c r="Y251" i="21" s="1"/>
  <c r="V91" i="21"/>
  <c r="Y91" i="21" s="1"/>
  <c r="V126" i="21"/>
  <c r="Y126" i="21" s="1"/>
  <c r="V486" i="21"/>
  <c r="Y486" i="21" s="1"/>
  <c r="V568" i="21"/>
  <c r="Y568" i="21" s="1"/>
  <c r="V416" i="21"/>
  <c r="Y416" i="21" s="1"/>
  <c r="V494" i="21"/>
  <c r="Y494" i="21" s="1"/>
  <c r="V392" i="21"/>
  <c r="Y392" i="21" s="1"/>
  <c r="V256" i="21"/>
  <c r="Y256" i="21" s="1"/>
  <c r="V467" i="21"/>
  <c r="Y467" i="21" s="1"/>
  <c r="V254" i="21"/>
  <c r="Y254" i="21" s="1"/>
  <c r="V391" i="21"/>
  <c r="Y391" i="21" s="1"/>
  <c r="V433" i="21"/>
  <c r="Y433" i="21" s="1"/>
  <c r="V421" i="21"/>
  <c r="Y421" i="21" s="1"/>
  <c r="V461" i="21"/>
  <c r="Y461" i="21" s="1"/>
  <c r="V169" i="21"/>
  <c r="Y169" i="21" s="1"/>
  <c r="V93" i="21"/>
  <c r="Y93" i="21" s="1"/>
  <c r="V375" i="21"/>
  <c r="Y375" i="21" s="1"/>
  <c r="V445" i="21"/>
  <c r="Y445" i="21" s="1"/>
  <c r="V301" i="21"/>
  <c r="Y301" i="21" s="1"/>
  <c r="V193" i="21"/>
  <c r="Y193" i="21" s="1"/>
  <c r="V464" i="21"/>
  <c r="Y464" i="21" s="1"/>
  <c r="V403" i="21"/>
  <c r="Y403" i="21" s="1"/>
  <c r="V469" i="21"/>
  <c r="Y469" i="21" s="1"/>
  <c r="V166" i="21"/>
  <c r="Y166" i="21" s="1"/>
  <c r="V311" i="21"/>
  <c r="Y311" i="21" s="1"/>
  <c r="V325" i="21"/>
  <c r="Y325" i="21" s="1"/>
  <c r="V74" i="21"/>
  <c r="Y74" i="21" s="1"/>
  <c r="V83" i="21"/>
  <c r="Y83" i="21" s="1"/>
  <c r="V30" i="21"/>
  <c r="Y30" i="21" s="1"/>
  <c r="V28" i="21"/>
  <c r="Y28" i="21" s="1"/>
  <c r="V150" i="21"/>
  <c r="Y150" i="21" s="1"/>
  <c r="V103" i="21"/>
  <c r="Y103" i="21" s="1"/>
  <c r="V85" i="21"/>
  <c r="Y85" i="21" s="1"/>
  <c r="V182" i="21"/>
  <c r="Y182" i="21" s="1"/>
  <c r="V258" i="21"/>
  <c r="Y258" i="21" s="1"/>
  <c r="V343" i="21"/>
  <c r="Y343" i="21" s="1"/>
  <c r="V157" i="21"/>
  <c r="Y157" i="21" s="1"/>
  <c r="V263" i="21"/>
  <c r="Y263" i="21" s="1"/>
  <c r="V294" i="21"/>
  <c r="Y294" i="21" s="1"/>
  <c r="V162" i="21"/>
  <c r="Y162" i="21" s="1"/>
  <c r="V373" i="21"/>
  <c r="Y373" i="21" s="1"/>
  <c r="V220" i="21"/>
  <c r="Y220" i="21" s="1"/>
  <c r="V140" i="21"/>
  <c r="Y140" i="21" s="1"/>
  <c r="V509" i="21"/>
  <c r="Y509" i="21" s="1"/>
  <c r="V562" i="21"/>
  <c r="Y562" i="21" s="1"/>
  <c r="V319" i="21"/>
  <c r="Y319" i="21" s="1"/>
  <c r="V217" i="21"/>
  <c r="Y217" i="21" s="1"/>
  <c r="V84" i="21"/>
  <c r="Y84" i="21" s="1"/>
  <c r="V540" i="21"/>
  <c r="Y540" i="21" s="1"/>
  <c r="V287" i="21"/>
  <c r="Y287" i="21" s="1"/>
  <c r="V131" i="21"/>
  <c r="Y131" i="21" s="1"/>
  <c r="V394" i="21"/>
  <c r="Y394" i="21" s="1"/>
  <c r="V554" i="21"/>
  <c r="Y554" i="21" s="1"/>
  <c r="V206" i="21"/>
  <c r="Y206" i="21" s="1"/>
  <c r="V139" i="21"/>
  <c r="Y139" i="21" s="1"/>
  <c r="V117" i="21"/>
  <c r="Y117" i="21" s="1"/>
  <c r="V404" i="21"/>
  <c r="Y404" i="21" s="1"/>
  <c r="V165" i="21"/>
  <c r="Y165" i="21" s="1"/>
  <c r="V136" i="21"/>
  <c r="Y136" i="21" s="1"/>
  <c r="V317" i="21"/>
  <c r="Y317" i="21" s="1"/>
  <c r="V298" i="21"/>
  <c r="Y298" i="21" s="1"/>
  <c r="V500" i="21"/>
  <c r="Y500" i="21" s="1"/>
  <c r="V29" i="21"/>
  <c r="Y29" i="21" s="1"/>
  <c r="V53" i="21"/>
  <c r="Y53" i="21" s="1"/>
  <c r="V213" i="21"/>
  <c r="Y213" i="21" s="1"/>
  <c r="V78" i="21"/>
  <c r="Y78" i="21" s="1"/>
  <c r="V130" i="21"/>
  <c r="Y130" i="21" s="1"/>
  <c r="V400" i="21"/>
  <c r="Y400" i="21" s="1"/>
  <c r="V327" i="21"/>
  <c r="Y327" i="21" s="1"/>
  <c r="V484" i="21"/>
  <c r="Y484" i="21" s="1"/>
  <c r="V281" i="21"/>
  <c r="Y281" i="21" s="1"/>
  <c r="V444" i="21"/>
  <c r="Y444" i="21" s="1"/>
  <c r="V462" i="21"/>
  <c r="Y462" i="21" s="1"/>
  <c r="V106" i="21"/>
  <c r="Y106" i="21" s="1"/>
  <c r="V522" i="21"/>
  <c r="Y522" i="21" s="1"/>
  <c r="V363" i="21"/>
  <c r="Y363" i="21" s="1"/>
  <c r="V567" i="21"/>
  <c r="Y567" i="21" s="1"/>
  <c r="V238" i="21"/>
  <c r="Y238" i="21" s="1"/>
  <c r="V167" i="21"/>
  <c r="Y167" i="21" s="1"/>
  <c r="V125" i="21"/>
  <c r="Y125" i="21" s="1"/>
  <c r="V369" i="21"/>
  <c r="Y369" i="21" s="1"/>
  <c r="V121" i="21"/>
  <c r="Y121" i="21" s="1"/>
  <c r="V303" i="21"/>
  <c r="Y303" i="21" s="1"/>
  <c r="V284" i="21"/>
  <c r="Y284" i="21" s="1"/>
  <c r="V344" i="21"/>
  <c r="Y344" i="21" s="1"/>
  <c r="V548" i="21"/>
  <c r="Y548" i="21" s="1"/>
  <c r="V337" i="21"/>
  <c r="Y337" i="21" s="1"/>
  <c r="V70" i="21"/>
  <c r="Y70" i="21" s="1"/>
  <c r="V110" i="21"/>
  <c r="Y110" i="21" s="1"/>
  <c r="V380" i="21"/>
  <c r="Y380" i="21" s="1"/>
  <c r="V108" i="21"/>
  <c r="Y108" i="21" s="1"/>
  <c r="V32" i="21"/>
  <c r="Y32" i="21" s="1"/>
  <c r="V425" i="21"/>
  <c r="Y425" i="21" s="1"/>
  <c r="V181" i="21"/>
  <c r="Y181" i="21" s="1"/>
  <c r="V69" i="21"/>
  <c r="Y69" i="21" s="1"/>
  <c r="V406" i="21"/>
  <c r="Y406" i="21" s="1"/>
  <c r="V482" i="21"/>
  <c r="Y482" i="21" s="1"/>
  <c r="V331" i="21"/>
  <c r="Y331" i="21" s="1"/>
  <c r="V507" i="21"/>
  <c r="Y507" i="21" s="1"/>
  <c r="V203" i="21"/>
  <c r="Y203" i="21" s="1"/>
  <c r="V95" i="21"/>
  <c r="Y95" i="21" s="1"/>
  <c r="V555" i="21"/>
  <c r="Y555" i="21" s="1"/>
  <c r="V429" i="21"/>
  <c r="Y429" i="21" s="1"/>
  <c r="V204" i="21"/>
  <c r="Y204" i="21" s="1"/>
  <c r="V574" i="21"/>
  <c r="Y574" i="21" s="1"/>
  <c r="V44" i="21"/>
  <c r="Y44" i="21" s="1"/>
  <c r="V384" i="21"/>
  <c r="Y384" i="21" s="1"/>
  <c r="V405" i="21"/>
  <c r="Y405" i="21" s="1"/>
  <c r="V104" i="21"/>
  <c r="Y104" i="21" s="1"/>
  <c r="V480" i="21"/>
  <c r="Y480" i="21" s="1"/>
  <c r="V313" i="21"/>
  <c r="Y313" i="21" s="1"/>
  <c r="V172" i="21"/>
  <c r="Y172" i="21" s="1"/>
  <c r="V65" i="21"/>
  <c r="Y65" i="21" s="1"/>
  <c r="V456" i="21"/>
  <c r="Y456" i="21" s="1"/>
  <c r="V9" i="21"/>
  <c r="Y9" i="21" s="1"/>
  <c r="V339" i="21"/>
  <c r="Y339" i="21" s="1"/>
  <c r="V312" i="21"/>
  <c r="Y312" i="21" s="1"/>
  <c r="V242" i="21"/>
  <c r="Y242" i="21" s="1"/>
  <c r="V164" i="21"/>
  <c r="Y164" i="21" s="1"/>
  <c r="V277" i="21"/>
  <c r="Y277" i="21" s="1"/>
  <c r="V72" i="21"/>
  <c r="Y72" i="21" s="1"/>
  <c r="V338" i="21"/>
  <c r="Y338" i="21" s="1"/>
  <c r="V156" i="21"/>
  <c r="Y156" i="21" s="1"/>
  <c r="V569" i="21"/>
  <c r="Y569" i="21" s="1"/>
  <c r="V27" i="21"/>
  <c r="Y27" i="21" s="1"/>
  <c r="V253" i="21"/>
  <c r="Y253" i="21" s="1"/>
  <c r="V265" i="21"/>
  <c r="Y265" i="21" s="1"/>
  <c r="V51" i="21"/>
  <c r="Y51" i="21" s="1"/>
  <c r="V505" i="21"/>
  <c r="Y505" i="21" s="1"/>
  <c r="V307" i="21"/>
  <c r="Y307" i="21" s="1"/>
  <c r="V508" i="21"/>
  <c r="Y508" i="21" s="1"/>
  <c r="V496" i="21"/>
  <c r="Y496" i="21" s="1"/>
  <c r="V296" i="21"/>
  <c r="Y296" i="21" s="1"/>
  <c r="V474" i="21"/>
  <c r="Y474" i="21" s="1"/>
  <c r="V87" i="21"/>
  <c r="Y87" i="21" s="1"/>
  <c r="V76" i="21"/>
  <c r="Y76" i="21" s="1"/>
  <c r="V534" i="21"/>
  <c r="Y534" i="21" s="1"/>
  <c r="V352" i="21"/>
  <c r="Y352" i="21" s="1"/>
  <c r="V90" i="21"/>
  <c r="Y90" i="21" s="1"/>
  <c r="V495" i="21"/>
  <c r="Y495" i="21" s="1"/>
  <c r="V478" i="21"/>
  <c r="Y478" i="21" s="1"/>
  <c r="V202" i="21"/>
  <c r="Y202" i="21" s="1"/>
  <c r="V575" i="21"/>
  <c r="Y575" i="21" s="1"/>
  <c r="V221" i="21"/>
  <c r="Y221" i="21" s="1"/>
  <c r="V556" i="21"/>
  <c r="Y556" i="21" s="1"/>
  <c r="V420" i="21"/>
  <c r="Y420" i="21" s="1"/>
  <c r="V557" i="21"/>
  <c r="Y557" i="21" s="1"/>
  <c r="V124" i="21"/>
  <c r="Y124" i="21" s="1"/>
  <c r="V60" i="21"/>
  <c r="Y60" i="21" s="1"/>
  <c r="V372" i="21"/>
  <c r="Y372" i="21" s="1"/>
  <c r="V355" i="21"/>
  <c r="Y355" i="21" s="1"/>
  <c r="V422" i="21"/>
  <c r="Y422" i="21" s="1"/>
  <c r="V559" i="21"/>
  <c r="Y559" i="21" s="1"/>
  <c r="V59" i="21"/>
  <c r="Y59" i="21" s="1"/>
  <c r="V302" i="21"/>
  <c r="Y302" i="21" s="1"/>
  <c r="V52" i="21"/>
  <c r="Y52" i="21" s="1"/>
  <c r="V236" i="21"/>
  <c r="Y236" i="21" s="1"/>
  <c r="V460" i="21"/>
  <c r="Y460" i="21" s="1"/>
  <c r="V231" i="21"/>
  <c r="Y231" i="21" s="1"/>
  <c r="V446" i="21"/>
  <c r="Y446" i="21" s="1"/>
  <c r="V135" i="21"/>
  <c r="Y135" i="21" s="1"/>
  <c r="V357" i="21"/>
  <c r="Y357" i="21" s="1"/>
  <c r="V34" i="21"/>
  <c r="Y34" i="21" s="1"/>
  <c r="V535" i="21"/>
  <c r="Y535" i="21" s="1"/>
  <c r="V573" i="21"/>
  <c r="Y573" i="21" s="1"/>
  <c r="V208" i="21"/>
  <c r="Y208" i="21" s="1"/>
  <c r="V49" i="21"/>
  <c r="Y49" i="21" s="1"/>
  <c r="V322" i="21"/>
  <c r="Y322" i="21" s="1"/>
  <c r="V365" i="21"/>
  <c r="Y365" i="21" s="1"/>
  <c r="V424" i="21"/>
  <c r="Y424" i="21" s="1"/>
  <c r="V476" i="21"/>
  <c r="Y476" i="21" s="1"/>
  <c r="V305" i="21"/>
  <c r="Y305" i="21" s="1"/>
  <c r="V286" i="21"/>
  <c r="Y286" i="21" s="1"/>
  <c r="V114" i="21"/>
  <c r="Y114" i="21" s="1"/>
  <c r="V120" i="21"/>
  <c r="Y120" i="21" s="1"/>
  <c r="V56" i="21"/>
  <c r="Y56" i="21" s="1"/>
  <c r="V234" i="21"/>
  <c r="Y234" i="21" s="1"/>
  <c r="V173" i="21"/>
  <c r="Y173" i="21" s="1"/>
  <c r="V132" i="21"/>
  <c r="Y132" i="21" s="1"/>
  <c r="V336" i="21"/>
  <c r="Y336" i="21" s="1"/>
  <c r="V370" i="21"/>
  <c r="Y370" i="21" s="1"/>
  <c r="V541" i="21"/>
  <c r="Y541" i="21" s="1"/>
  <c r="V64" i="21"/>
  <c r="Y64" i="21" s="1"/>
  <c r="V465" i="21"/>
  <c r="Y465" i="21" s="1"/>
  <c r="V318" i="21"/>
  <c r="Y318" i="21" s="1"/>
  <c r="V194" i="21"/>
  <c r="Y194" i="21" s="1"/>
  <c r="V218" i="21"/>
  <c r="Y218" i="21" s="1"/>
  <c r="V397" i="21"/>
  <c r="Y397" i="21" s="1"/>
  <c r="V441" i="21"/>
  <c r="Y441" i="21" s="1"/>
  <c r="V329" i="21"/>
  <c r="Y329" i="21" s="1"/>
  <c r="V488" i="21"/>
  <c r="Y488" i="21" s="1"/>
  <c r="V358" i="21"/>
  <c r="Y358" i="21" s="1"/>
  <c r="V448" i="21"/>
  <c r="Y448" i="21" s="1"/>
  <c r="V237" i="21"/>
  <c r="Y237" i="21" s="1"/>
  <c r="V485" i="21"/>
  <c r="Y485" i="21" s="1"/>
  <c r="V346" i="21"/>
  <c r="Y346" i="21" s="1"/>
  <c r="V457" i="21"/>
  <c r="Y457" i="21" s="1"/>
  <c r="V350" i="21"/>
  <c r="Y350" i="21" s="1"/>
  <c r="V521" i="21"/>
  <c r="Y521" i="21" s="1"/>
  <c r="V20" i="21"/>
  <c r="Y20" i="21" s="1"/>
  <c r="V239" i="21"/>
  <c r="Y239" i="21" s="1"/>
  <c r="V147" i="21"/>
  <c r="Y147" i="21" s="1"/>
  <c r="V7" i="21"/>
  <c r="Y7" i="21" s="1"/>
  <c r="V109" i="21"/>
  <c r="Y109" i="21" s="1"/>
  <c r="V395" i="21"/>
  <c r="Y395" i="21" s="1"/>
  <c r="V502" i="21"/>
  <c r="Y502" i="21" s="1"/>
  <c r="V113" i="21"/>
  <c r="Y113" i="21" s="1"/>
  <c r="V426" i="21"/>
  <c r="Y426" i="21" s="1"/>
  <c r="V151" i="21"/>
  <c r="Y151" i="21" s="1"/>
  <c r="V367" i="21"/>
  <c r="Y367" i="21" s="1"/>
  <c r="V94" i="21"/>
  <c r="Y94" i="21" s="1"/>
  <c r="V390" i="21"/>
  <c r="Y390" i="21" s="1"/>
  <c r="V471" i="21"/>
  <c r="Y471" i="21" s="1"/>
  <c r="V454" i="21"/>
  <c r="Y454" i="21" s="1"/>
  <c r="V321" i="21"/>
  <c r="Y321" i="21" s="1"/>
  <c r="V145" i="21"/>
  <c r="Y145" i="21" s="1"/>
  <c r="V376" i="21"/>
  <c r="Y376" i="21" s="1"/>
  <c r="V275" i="21"/>
  <c r="Y275" i="21" s="1"/>
  <c r="V118" i="21"/>
  <c r="Y118" i="21" s="1"/>
  <c r="V89" i="21"/>
  <c r="Y89" i="21" s="1"/>
  <c r="V54" i="21"/>
  <c r="Y54" i="21" s="1"/>
  <c r="V196" i="21"/>
  <c r="Y196" i="21" s="1"/>
  <c r="V435" i="21"/>
  <c r="Y435" i="21" s="1"/>
  <c r="V415" i="21"/>
  <c r="Y415" i="21" s="1"/>
  <c r="V466" i="21"/>
  <c r="Y466" i="21" s="1"/>
  <c r="V479" i="21"/>
  <c r="Y479" i="21" s="1"/>
  <c r="V547" i="21"/>
  <c r="Y547" i="21" s="1"/>
  <c r="V280" i="21"/>
  <c r="Y280" i="21" s="1"/>
  <c r="V272" i="21"/>
  <c r="Y272" i="21" s="1"/>
  <c r="V481" i="21"/>
  <c r="Y481" i="21" s="1"/>
  <c r="V378" i="21"/>
  <c r="Y378" i="21" s="1"/>
  <c r="V563" i="21"/>
  <c r="Y563" i="21" s="1"/>
  <c r="V345" i="21"/>
  <c r="Y345" i="21" s="1"/>
  <c r="V463" i="21"/>
  <c r="Y463" i="21" s="1"/>
  <c r="V105" i="21"/>
  <c r="Y105" i="21" s="1"/>
  <c r="V92" i="21"/>
  <c r="Y92" i="21" s="1"/>
  <c r="V55" i="21"/>
  <c r="Y55" i="21" s="1"/>
  <c r="V377" i="21"/>
  <c r="Y377" i="21" s="1"/>
  <c r="V35" i="21"/>
  <c r="Y35" i="21" s="1"/>
  <c r="V144" i="21"/>
  <c r="Y144" i="21" s="1"/>
  <c r="V116" i="21"/>
  <c r="Y116" i="21" s="1"/>
  <c r="V241" i="21"/>
  <c r="Y241" i="21" s="1"/>
  <c r="V22" i="21"/>
  <c r="Y22" i="21" s="1"/>
  <c r="V515" i="21"/>
  <c r="Y515" i="21" s="1"/>
  <c r="V359" i="21"/>
  <c r="Y359" i="21" s="1"/>
  <c r="V490" i="21"/>
  <c r="Y490" i="21" s="1"/>
  <c r="V447" i="21"/>
  <c r="Y447" i="21" s="1"/>
  <c r="V8" i="21"/>
  <c r="Y8" i="21" s="1"/>
  <c r="V39" i="21"/>
  <c r="Y39" i="21" s="1"/>
  <c r="V6" i="21"/>
  <c r="Y6" i="21" s="1"/>
  <c r="V396" i="21"/>
  <c r="Y396" i="21" s="1"/>
  <c r="V43" i="21"/>
  <c r="Y43" i="21" s="1"/>
  <c r="V267" i="21"/>
  <c r="Y267" i="21" s="1"/>
  <c r="V33" i="21"/>
  <c r="Y33" i="21" s="1"/>
  <c r="V349" i="21"/>
  <c r="Y349" i="21" s="1"/>
  <c r="V545" i="21"/>
  <c r="Y545" i="21" s="1"/>
  <c r="V300" i="21"/>
  <c r="Y300" i="21" s="1"/>
  <c r="V543" i="21"/>
  <c r="Y543" i="21" s="1"/>
  <c r="V96" i="21"/>
  <c r="Y96" i="21" s="1"/>
  <c r="V159" i="21"/>
  <c r="Y159" i="21" s="1"/>
  <c r="V525" i="21"/>
  <c r="Y525" i="21" s="1"/>
  <c r="V50" i="21"/>
  <c r="Y50" i="21" s="1"/>
  <c r="V190" i="21"/>
  <c r="Y190" i="21" s="1"/>
  <c r="V257" i="21"/>
  <c r="Y257" i="21" s="1"/>
  <c r="V510" i="21"/>
  <c r="Y510" i="21" s="1"/>
  <c r="V411" i="21"/>
  <c r="Y411" i="21" s="1"/>
  <c r="V175" i="21"/>
  <c r="Y175" i="21" s="1"/>
  <c r="V450" i="21"/>
  <c r="Y450" i="21" s="1"/>
  <c r="V468" i="21"/>
  <c r="Y468" i="21" s="1"/>
  <c r="V273" i="21"/>
  <c r="Y273" i="21" s="1"/>
  <c r="V223" i="21"/>
  <c r="Y223" i="21" s="1"/>
  <c r="V158" i="21"/>
  <c r="Y158" i="21" s="1"/>
  <c r="V551" i="21"/>
  <c r="Y551" i="21" s="1"/>
  <c r="V18" i="21"/>
  <c r="Y18" i="21" s="1"/>
  <c r="V102" i="21"/>
  <c r="Y102" i="21" s="1"/>
  <c r="V170" i="21"/>
  <c r="Y170" i="21" s="1"/>
  <c r="V21" i="21"/>
  <c r="Y21" i="21" s="1"/>
  <c r="V71" i="21"/>
  <c r="Y71" i="21" s="1"/>
  <c r="V215" i="21"/>
  <c r="Y215" i="21" s="1"/>
  <c r="V354" i="21"/>
  <c r="Y354" i="21" s="1"/>
  <c r="V247" i="21"/>
  <c r="Y247" i="21" s="1"/>
  <c r="V274" i="21"/>
  <c r="Y274" i="21" s="1"/>
  <c r="V168" i="21"/>
  <c r="Y168" i="21" s="1"/>
  <c r="V199" i="21"/>
  <c r="Y199" i="21" s="1"/>
  <c r="V285" i="21"/>
  <c r="Y285" i="21" s="1"/>
  <c r="V353" i="21"/>
  <c r="Y353" i="21" s="1"/>
  <c r="V566" i="21"/>
  <c r="Y566" i="21" s="1"/>
  <c r="V427" i="21"/>
  <c r="Y427" i="21" s="1"/>
  <c r="V340" i="21"/>
  <c r="Y340" i="21" s="1"/>
  <c r="V79" i="21"/>
  <c r="Y79" i="21" s="1"/>
  <c r="V171" i="21"/>
  <c r="Y171" i="21" s="1"/>
  <c r="V402" i="21"/>
  <c r="Y402" i="21" s="1"/>
  <c r="V443" i="21"/>
  <c r="Y443" i="21" s="1"/>
  <c r="V439" i="21"/>
  <c r="Y439" i="21" s="1"/>
  <c r="V315" i="21"/>
  <c r="Y315" i="21" s="1"/>
  <c r="V364" i="21"/>
  <c r="Y364" i="21" s="1"/>
  <c r="V356" i="21"/>
  <c r="Y356" i="21" s="1"/>
  <c r="V492" i="21"/>
  <c r="Y492" i="21" s="1"/>
  <c r="V82" i="21"/>
  <c r="Y82" i="21" s="1"/>
  <c r="V75" i="21"/>
  <c r="Y75" i="21" s="1"/>
  <c r="V412" i="21"/>
  <c r="Y412" i="21" s="1"/>
  <c r="V297" i="21"/>
  <c r="Y297" i="21" s="1"/>
  <c r="V81" i="21"/>
  <c r="Y81" i="21" s="1"/>
  <c r="V523" i="21"/>
  <c r="Y523" i="21" s="1"/>
  <c r="V15" i="21"/>
  <c r="Y15" i="21" s="1"/>
  <c r="V246" i="21"/>
  <c r="Y246" i="21" s="1"/>
  <c r="V58" i="21"/>
  <c r="Y58" i="21" s="1"/>
  <c r="V512" i="21"/>
  <c r="Y512" i="21" s="1"/>
  <c r="V473" i="21"/>
  <c r="Y473" i="21" s="1"/>
  <c r="V546" i="21"/>
  <c r="Y546" i="21" s="1"/>
  <c r="V219" i="21"/>
  <c r="Y219" i="21" s="1"/>
  <c r="V293" i="21"/>
  <c r="Y293" i="21" s="1"/>
  <c r="V205" i="21"/>
  <c r="Y205" i="21" s="1"/>
  <c r="V259" i="21"/>
  <c r="Y259" i="21" s="1"/>
  <c r="V174" i="21"/>
  <c r="Y174" i="21" s="1"/>
  <c r="V531" i="21"/>
  <c r="Y531" i="21" s="1"/>
  <c r="V558" i="21"/>
  <c r="Y558" i="21" s="1"/>
  <c r="V188" i="21"/>
  <c r="Y188" i="21" s="1"/>
  <c r="V209" i="21"/>
  <c r="Y209" i="21" s="1"/>
  <c r="V40" i="21"/>
  <c r="Y40" i="21" s="1"/>
  <c r="V572" i="21"/>
  <c r="Y572" i="21" s="1"/>
  <c r="V290" i="21"/>
  <c r="Y290" i="21" s="1"/>
  <c r="V335" i="21"/>
  <c r="Y335" i="21" s="1"/>
  <c r="V334" i="21"/>
  <c r="Y334" i="21" s="1"/>
  <c r="V36" i="21"/>
  <c r="Y36" i="21" s="1"/>
  <c r="V176" i="21"/>
  <c r="Y176" i="21" s="1"/>
  <c r="V17" i="21"/>
  <c r="Y17" i="21" s="1"/>
  <c r="V46" i="21"/>
  <c r="Y46" i="21" s="1"/>
  <c r="V432" i="21"/>
  <c r="Y432" i="21" s="1"/>
  <c r="V498" i="21"/>
  <c r="Y498" i="21" s="1"/>
  <c r="V187" i="21"/>
  <c r="Y187" i="21" s="1"/>
  <c r="V516" i="21"/>
  <c r="Y516" i="21" s="1"/>
  <c r="V361" i="21"/>
  <c r="Y361" i="21" s="1"/>
  <c r="V514" i="21"/>
  <c r="Y514" i="21" s="1"/>
  <c r="V483" i="21"/>
  <c r="Y483" i="21" s="1"/>
  <c r="V459" i="21"/>
  <c r="Y459" i="21" s="1"/>
  <c r="V11" i="21"/>
  <c r="Y11" i="21" s="1"/>
  <c r="V320" i="21"/>
  <c r="Y320" i="21" s="1"/>
  <c r="V232" i="21"/>
  <c r="Y232" i="21" s="1"/>
  <c r="V163" i="21"/>
  <c r="Y163" i="21" s="1"/>
  <c r="V487" i="21"/>
  <c r="Y487" i="21" s="1"/>
  <c r="V45" i="21"/>
  <c r="Y45" i="21" s="1"/>
  <c r="V66" i="21"/>
  <c r="Y66" i="21" s="1"/>
  <c r="V504" i="21"/>
  <c r="Y504" i="21" s="1"/>
  <c r="V414" i="21"/>
  <c r="Y414" i="21" s="1"/>
  <c r="V452" i="21"/>
  <c r="Y452" i="21" s="1"/>
  <c r="V38" i="21"/>
  <c r="Y38" i="21" s="1"/>
  <c r="V207" i="21"/>
  <c r="Y207" i="21" s="1"/>
  <c r="V413" i="21"/>
  <c r="Y413" i="21" s="1"/>
  <c r="V100" i="21"/>
  <c r="Y100" i="21" s="1"/>
  <c r="V152" i="21"/>
  <c r="Y152" i="21" s="1"/>
  <c r="V133" i="21"/>
  <c r="Y133" i="21" s="1"/>
  <c r="V451" i="21"/>
  <c r="Y451" i="21" s="1"/>
  <c r="V477" i="21"/>
  <c r="Y477" i="21" s="1"/>
  <c r="V532" i="21"/>
  <c r="Y532" i="21" s="1"/>
  <c r="V517" i="21"/>
  <c r="Y517" i="21" s="1"/>
  <c r="V216" i="21"/>
  <c r="Y216" i="21" s="1"/>
  <c r="V388" i="21"/>
  <c r="Y388" i="21" s="1"/>
  <c r="V214" i="21"/>
  <c r="Y214" i="21" s="1"/>
  <c r="V385" i="21"/>
  <c r="Y385" i="21" s="1"/>
  <c r="V455" i="21"/>
  <c r="Y455" i="21" s="1"/>
  <c r="V374" i="21"/>
  <c r="Y374" i="21" s="1"/>
  <c r="V288" i="21"/>
  <c r="Y288" i="21" s="1"/>
  <c r="V497" i="21"/>
  <c r="Y497" i="21" s="1"/>
  <c r="V244" i="21"/>
  <c r="Y244" i="21" s="1"/>
  <c r="V192" i="21"/>
  <c r="Y192" i="21" s="1"/>
  <c r="V229" i="21"/>
  <c r="Y229" i="21" s="1"/>
  <c r="V434" i="21"/>
  <c r="Y434" i="21" s="1"/>
  <c r="V401" i="21"/>
  <c r="Y401" i="21" s="1"/>
  <c r="V211" i="21"/>
  <c r="Y211" i="21" s="1"/>
  <c r="V389" i="21"/>
  <c r="Y389" i="21" s="1"/>
  <c r="V306" i="21"/>
  <c r="Y306" i="21" s="1"/>
  <c r="V195" i="21"/>
  <c r="Y195" i="21" s="1"/>
  <c r="V408" i="21"/>
  <c r="Y408" i="21" s="1"/>
  <c r="V418" i="21"/>
  <c r="Y418" i="21" s="1"/>
  <c r="BO11" i="4" a="1"/>
  <c r="BO11" i="4" s="1"/>
  <c r="CV12" i="5" s="1"/>
  <c r="U5" i="22"/>
  <c r="V4" i="22"/>
  <c r="V8" i="22"/>
  <c r="U6" i="22"/>
  <c r="U10" i="22"/>
  <c r="W8" i="22"/>
  <c r="V9" i="22"/>
  <c r="L4" i="22"/>
  <c r="R4" i="22" s="1"/>
  <c r="W5" i="22"/>
  <c r="V6" i="22"/>
  <c r="U7" i="22"/>
  <c r="W9" i="22"/>
  <c r="V10" i="22"/>
  <c r="W4" i="22"/>
  <c r="V5" i="22"/>
  <c r="W6" i="22"/>
  <c r="V7" i="22"/>
  <c r="U8" i="22"/>
  <c r="W10" i="22"/>
  <c r="W7" i="22"/>
  <c r="AH5" i="21"/>
  <c r="AH7" i="21"/>
  <c r="AH9" i="21"/>
  <c r="AI10" i="21"/>
  <c r="AI5" i="21"/>
  <c r="AI7" i="21"/>
  <c r="AI9" i="21"/>
  <c r="AH6" i="21"/>
  <c r="AH8" i="21"/>
  <c r="AH10" i="21"/>
  <c r="AI8" i="21"/>
  <c r="AI6" i="21"/>
  <c r="W869" i="21" l="1"/>
  <c r="W873" i="21"/>
  <c r="W872" i="21"/>
  <c r="W868" i="21"/>
  <c r="W876" i="21"/>
  <c r="W874" i="21"/>
  <c r="W870" i="21"/>
  <c r="W871" i="21"/>
  <c r="W875" i="21"/>
  <c r="W857" i="21"/>
  <c r="W861" i="21"/>
  <c r="W865" i="21"/>
  <c r="W867" i="21"/>
  <c r="W858" i="21"/>
  <c r="W862" i="21"/>
  <c r="W866" i="21"/>
  <c r="W859" i="21"/>
  <c r="W863" i="21"/>
  <c r="W860" i="21"/>
  <c r="W864" i="21"/>
  <c r="W821" i="21"/>
  <c r="W825" i="21"/>
  <c r="W829" i="21"/>
  <c r="W833" i="21"/>
  <c r="W837" i="21"/>
  <c r="W841" i="21"/>
  <c r="W845" i="21"/>
  <c r="W849" i="21"/>
  <c r="W853" i="21"/>
  <c r="W822" i="21"/>
  <c r="W826" i="21"/>
  <c r="W830" i="21"/>
  <c r="W834" i="21"/>
  <c r="W838" i="21"/>
  <c r="W842" i="21"/>
  <c r="W846" i="21"/>
  <c r="W850" i="21"/>
  <c r="W854" i="21"/>
  <c r="W836" i="21"/>
  <c r="W848" i="21"/>
  <c r="W823" i="21"/>
  <c r="W827" i="21"/>
  <c r="W831" i="21"/>
  <c r="W835" i="21"/>
  <c r="W839" i="21"/>
  <c r="W843" i="21"/>
  <c r="W847" i="21"/>
  <c r="W851" i="21"/>
  <c r="W855" i="21"/>
  <c r="W824" i="21"/>
  <c r="W828" i="21"/>
  <c r="W832" i="21"/>
  <c r="W840" i="21"/>
  <c r="W844" i="21"/>
  <c r="W852" i="21"/>
  <c r="W856" i="21"/>
  <c r="W820" i="21"/>
  <c r="W772" i="21"/>
  <c r="W776" i="21"/>
  <c r="W780" i="21"/>
  <c r="W784" i="21"/>
  <c r="W788" i="21"/>
  <c r="W792" i="21"/>
  <c r="W796" i="21"/>
  <c r="W800" i="21"/>
  <c r="W804" i="21"/>
  <c r="W808" i="21"/>
  <c r="W812" i="21"/>
  <c r="W816" i="21"/>
  <c r="W775" i="21"/>
  <c r="W787" i="21"/>
  <c r="W799" i="21"/>
  <c r="W811" i="21"/>
  <c r="W773" i="21"/>
  <c r="W777" i="21"/>
  <c r="W781" i="21"/>
  <c r="W785" i="21"/>
  <c r="W789" i="21"/>
  <c r="W793" i="21"/>
  <c r="W797" i="21"/>
  <c r="W801" i="21"/>
  <c r="W805" i="21"/>
  <c r="W809" i="21"/>
  <c r="W813" i="21"/>
  <c r="W817" i="21"/>
  <c r="W779" i="21"/>
  <c r="W791" i="21"/>
  <c r="W803" i="21"/>
  <c r="W815" i="21"/>
  <c r="W774" i="21"/>
  <c r="W778" i="21"/>
  <c r="W782" i="21"/>
  <c r="W786" i="21"/>
  <c r="W790" i="21"/>
  <c r="W794" i="21"/>
  <c r="W798" i="21"/>
  <c r="W802" i="21"/>
  <c r="W806" i="21"/>
  <c r="W810" i="21"/>
  <c r="W814" i="21"/>
  <c r="W818" i="21"/>
  <c r="W783" i="21"/>
  <c r="W795" i="21"/>
  <c r="W807" i="21"/>
  <c r="W819" i="21"/>
  <c r="W764" i="21"/>
  <c r="W768" i="21"/>
  <c r="W771" i="21"/>
  <c r="W765" i="21"/>
  <c r="W769" i="21"/>
  <c r="W766" i="21"/>
  <c r="W770" i="21"/>
  <c r="W767" i="21"/>
  <c r="W760" i="21"/>
  <c r="W761" i="21"/>
  <c r="W759" i="21"/>
  <c r="W763" i="21"/>
  <c r="W762" i="21"/>
  <c r="W751" i="21"/>
  <c r="W755" i="21"/>
  <c r="W758" i="21"/>
  <c r="W752" i="21"/>
  <c r="W756" i="21"/>
  <c r="W753" i="21"/>
  <c r="W757" i="21"/>
  <c r="W754" i="21"/>
  <c r="W734" i="21"/>
  <c r="W742" i="21"/>
  <c r="W750" i="21"/>
  <c r="W738" i="21"/>
  <c r="W746" i="21"/>
  <c r="W740" i="21"/>
  <c r="W743" i="21"/>
  <c r="W749" i="21"/>
  <c r="W745" i="21"/>
  <c r="W736" i="21"/>
  <c r="W748" i="21"/>
  <c r="W744" i="21"/>
  <c r="W747" i="21"/>
  <c r="W739" i="21"/>
  <c r="W737" i="21"/>
  <c r="W735" i="21"/>
  <c r="W741" i="21"/>
  <c r="W729" i="21"/>
  <c r="W723" i="21"/>
  <c r="W727" i="21"/>
  <c r="W731" i="21"/>
  <c r="W725" i="21"/>
  <c r="W733" i="21"/>
  <c r="W724" i="21"/>
  <c r="W728" i="21"/>
  <c r="W732" i="21"/>
  <c r="W726" i="21"/>
  <c r="W730" i="21"/>
  <c r="W722" i="21"/>
  <c r="W721" i="21"/>
  <c r="W720" i="21"/>
  <c r="W708" i="21"/>
  <c r="W712" i="21"/>
  <c r="W716" i="21"/>
  <c r="W709" i="21"/>
  <c r="W713" i="21"/>
  <c r="W717" i="21"/>
  <c r="W710" i="21"/>
  <c r="W714" i="21"/>
  <c r="W718" i="21"/>
  <c r="W711" i="21"/>
  <c r="W715" i="21"/>
  <c r="W719" i="21"/>
  <c r="W700" i="21"/>
  <c r="W704" i="21"/>
  <c r="W701" i="21"/>
  <c r="W705" i="21"/>
  <c r="W703" i="21"/>
  <c r="W707" i="21"/>
  <c r="W702" i="21"/>
  <c r="W706" i="21"/>
  <c r="W698" i="21"/>
  <c r="W699" i="21"/>
  <c r="W694" i="21"/>
  <c r="W697" i="21"/>
  <c r="W695" i="21"/>
  <c r="W696" i="21"/>
  <c r="W674" i="21"/>
  <c r="W678" i="21"/>
  <c r="W682" i="21"/>
  <c r="W686" i="21"/>
  <c r="W690" i="21"/>
  <c r="W687" i="21"/>
  <c r="W673" i="21"/>
  <c r="W681" i="21"/>
  <c r="W693" i="21"/>
  <c r="W675" i="21"/>
  <c r="W679" i="21"/>
  <c r="W683" i="21"/>
  <c r="W691" i="21"/>
  <c r="W677" i="21"/>
  <c r="W685" i="21"/>
  <c r="W689" i="21"/>
  <c r="W684" i="21"/>
  <c r="W680" i="21"/>
  <c r="W692" i="21"/>
  <c r="W676" i="21"/>
  <c r="W688" i="21"/>
  <c r="W665" i="21"/>
  <c r="W669" i="21"/>
  <c r="W664" i="21"/>
  <c r="W668" i="21"/>
  <c r="W672" i="21"/>
  <c r="W663" i="21"/>
  <c r="W667" i="21"/>
  <c r="W671" i="21"/>
  <c r="W666" i="21"/>
  <c r="W670" i="21"/>
  <c r="W611" i="21"/>
  <c r="W615" i="21"/>
  <c r="W619" i="21"/>
  <c r="W623" i="21"/>
  <c r="W627" i="21"/>
  <c r="W631" i="21"/>
  <c r="W635" i="21"/>
  <c r="W639" i="21"/>
  <c r="W643" i="21"/>
  <c r="W647" i="21"/>
  <c r="W651" i="21"/>
  <c r="W655" i="21"/>
  <c r="W659" i="21"/>
  <c r="W612" i="21"/>
  <c r="W616" i="21"/>
  <c r="W620" i="21"/>
  <c r="W624" i="21"/>
  <c r="W628" i="21"/>
  <c r="W632" i="21"/>
  <c r="W636" i="21"/>
  <c r="W640" i="21"/>
  <c r="W644" i="21"/>
  <c r="W648" i="21"/>
  <c r="W652" i="21"/>
  <c r="W656" i="21"/>
  <c r="W660" i="21"/>
  <c r="W630" i="21"/>
  <c r="W638" i="21"/>
  <c r="W646" i="21"/>
  <c r="W654" i="21"/>
  <c r="W662" i="21"/>
  <c r="W613" i="21"/>
  <c r="W617" i="21"/>
  <c r="W621" i="21"/>
  <c r="W625" i="21"/>
  <c r="W629" i="21"/>
  <c r="W633" i="21"/>
  <c r="W637" i="21"/>
  <c r="W641" i="21"/>
  <c r="W645" i="21"/>
  <c r="W649" i="21"/>
  <c r="W653" i="21"/>
  <c r="W657" i="21"/>
  <c r="W661" i="21"/>
  <c r="W614" i="21"/>
  <c r="W618" i="21"/>
  <c r="W622" i="21"/>
  <c r="W626" i="21"/>
  <c r="W634" i="21"/>
  <c r="W642" i="21"/>
  <c r="W650" i="21"/>
  <c r="W658" i="21"/>
  <c r="W607" i="21"/>
  <c r="W609" i="21"/>
  <c r="W608" i="21"/>
  <c r="W606" i="21"/>
  <c r="W610" i="21"/>
  <c r="W603" i="21"/>
  <c r="W604" i="21"/>
  <c r="W605" i="21"/>
  <c r="W595" i="21"/>
  <c r="W599" i="21"/>
  <c r="W598" i="21"/>
  <c r="W596" i="21"/>
  <c r="W600" i="21"/>
  <c r="W602" i="21"/>
  <c r="W597" i="21"/>
  <c r="W601" i="21"/>
  <c r="W579" i="21"/>
  <c r="W583" i="21"/>
  <c r="W587" i="21"/>
  <c r="W591" i="21"/>
  <c r="W578" i="21"/>
  <c r="W582" i="21"/>
  <c r="W594" i="21"/>
  <c r="W577" i="21"/>
  <c r="W585" i="21"/>
  <c r="W593" i="21"/>
  <c r="W590" i="21"/>
  <c r="W581" i="21"/>
  <c r="W589" i="21"/>
  <c r="W586" i="21"/>
  <c r="W592" i="21"/>
  <c r="W588" i="21"/>
  <c r="W580" i="21"/>
  <c r="W584" i="21"/>
  <c r="W115" i="21"/>
  <c r="W142" i="21"/>
  <c r="W61" i="21"/>
  <c r="W24" i="21"/>
  <c r="W143" i="21"/>
  <c r="W141" i="21"/>
  <c r="W537" i="21"/>
  <c r="W23" i="21"/>
  <c r="W351" i="21"/>
  <c r="W97" i="21"/>
  <c r="W398" i="21"/>
  <c r="W137" i="21"/>
  <c r="W409" i="21"/>
  <c r="W41" i="21"/>
  <c r="W506" i="21"/>
  <c r="W410" i="21"/>
  <c r="W268" i="21"/>
  <c r="W436" i="21"/>
  <c r="W184" i="21"/>
  <c r="W183" i="21"/>
  <c r="W387" i="21"/>
  <c r="W101" i="21"/>
  <c r="W304" i="21"/>
  <c r="W549" i="21"/>
  <c r="W519" i="21"/>
  <c r="W107" i="21"/>
  <c r="W222" i="21"/>
  <c r="W538" i="21"/>
  <c r="W526" i="21"/>
  <c r="W536" i="21"/>
  <c r="W224" i="21"/>
  <c r="W155" i="21"/>
  <c r="W153" i="21"/>
  <c r="W197" i="21"/>
  <c r="W314" i="21"/>
  <c r="W5" i="21"/>
  <c r="W271" i="21"/>
  <c r="W185" i="21"/>
  <c r="W282" i="21"/>
  <c r="W154" i="21"/>
  <c r="W295" i="21"/>
  <c r="W428" i="21"/>
  <c r="W12" i="21"/>
  <c r="W527" i="21"/>
  <c r="W235" i="21"/>
  <c r="W149" i="21"/>
  <c r="W371" i="21"/>
  <c r="W201" i="21"/>
  <c r="W289" i="21"/>
  <c r="W493" i="21"/>
  <c r="W292" i="21"/>
  <c r="W381" i="21"/>
  <c r="W347" i="21"/>
  <c r="W513" i="21"/>
  <c r="W37" i="21"/>
  <c r="W31" i="21"/>
  <c r="W308" i="21"/>
  <c r="W148" i="21"/>
  <c r="W341" i="21"/>
  <c r="W262" i="21"/>
  <c r="W323" i="21"/>
  <c r="W73" i="21"/>
  <c r="W77" i="21"/>
  <c r="W276" i="21"/>
  <c r="W475" i="21"/>
  <c r="W270" i="21"/>
  <c r="W310" i="21"/>
  <c r="W453" i="21"/>
  <c r="W552" i="21"/>
  <c r="W417" i="21"/>
  <c r="W111" i="21"/>
  <c r="W407" i="21"/>
  <c r="W80" i="21"/>
  <c r="W227" i="21"/>
  <c r="W261" i="21"/>
  <c r="W42" i="21"/>
  <c r="W210" i="21"/>
  <c r="W266" i="21"/>
  <c r="W47" i="21"/>
  <c r="W550" i="21"/>
  <c r="W134" i="21"/>
  <c r="W198" i="21"/>
  <c r="W249" i="21"/>
  <c r="W138" i="21"/>
  <c r="W530" i="21"/>
  <c r="W299" i="21"/>
  <c r="W382" i="21"/>
  <c r="W533" i="21"/>
  <c r="W386" i="21"/>
  <c r="W342" i="21"/>
  <c r="W326" i="21"/>
  <c r="W418" i="21"/>
  <c r="W274" i="21"/>
  <c r="W346" i="21"/>
  <c r="W389" i="21"/>
  <c r="W485" i="21"/>
  <c r="W306" i="21"/>
  <c r="W195" i="21"/>
  <c r="W408" i="21"/>
  <c r="W247" i="21"/>
  <c r="W160" i="21"/>
  <c r="W564" i="21"/>
  <c r="W212" i="21"/>
  <c r="W570" i="21"/>
  <c r="W84" i="21"/>
  <c r="W330" i="21"/>
  <c r="W126" i="21"/>
  <c r="W161" i="21"/>
  <c r="W486" i="21"/>
  <c r="W324" i="21"/>
  <c r="W131" i="21"/>
  <c r="W333" i="21"/>
  <c r="W177" i="21"/>
  <c r="W250" i="21"/>
  <c r="W394" i="21"/>
  <c r="W245" i="21"/>
  <c r="W554" i="21"/>
  <c r="W228" i="21"/>
  <c r="W206" i="21"/>
  <c r="W25" i="21"/>
  <c r="W139" i="21"/>
  <c r="W283" i="21"/>
  <c r="W117" i="21"/>
  <c r="W458" i="21"/>
  <c r="W391" i="21"/>
  <c r="W88" i="21"/>
  <c r="W433" i="21"/>
  <c r="W316" i="21"/>
  <c r="W136" i="21"/>
  <c r="W399" i="21"/>
  <c r="W461" i="21"/>
  <c r="W123" i="21"/>
  <c r="W179" i="21"/>
  <c r="W93" i="21"/>
  <c r="W178" i="21"/>
  <c r="W29" i="21"/>
  <c r="W213" i="21"/>
  <c r="W78" i="21"/>
  <c r="W449" i="21"/>
  <c r="W400" i="21"/>
  <c r="W484" i="21"/>
  <c r="W444" i="21"/>
  <c r="W106" i="21"/>
  <c r="W363" i="21"/>
  <c r="W238" i="21"/>
  <c r="W125" i="21"/>
  <c r="W121" i="21"/>
  <c r="W284" i="21"/>
  <c r="W548" i="21"/>
  <c r="W70" i="21"/>
  <c r="W380" i="21"/>
  <c r="W32" i="21"/>
  <c r="W181" i="21"/>
  <c r="W406" i="21"/>
  <c r="W331" i="21"/>
  <c r="W203" i="21"/>
  <c r="W555" i="21"/>
  <c r="W204" i="21"/>
  <c r="W44" i="21"/>
  <c r="W405" i="21"/>
  <c r="W480" i="21"/>
  <c r="W430" i="21"/>
  <c r="W68" i="21"/>
  <c r="W528" i="21"/>
  <c r="W243" i="21"/>
  <c r="W86" i="21"/>
  <c r="W328" i="21"/>
  <c r="W278" i="21"/>
  <c r="W511" i="21"/>
  <c r="W57" i="21"/>
  <c r="W13" i="21"/>
  <c r="W14" i="21"/>
  <c r="W472" i="21"/>
  <c r="W279" i="21"/>
  <c r="W437" i="21"/>
  <c r="W524" i="21"/>
  <c r="W383" i="21"/>
  <c r="W67" i="21"/>
  <c r="W65" i="21"/>
  <c r="W9" i="21"/>
  <c r="W312" i="21"/>
  <c r="W164" i="21"/>
  <c r="W72" i="21"/>
  <c r="W156" i="21"/>
  <c r="W27" i="21"/>
  <c r="W265" i="21"/>
  <c r="W505" i="21"/>
  <c r="W508" i="21"/>
  <c r="W296" i="21"/>
  <c r="W87" i="21"/>
  <c r="W534" i="21"/>
  <c r="W90" i="21"/>
  <c r="W478" i="21"/>
  <c r="W575" i="21"/>
  <c r="W556" i="21"/>
  <c r="W557" i="21"/>
  <c r="W60" i="21"/>
  <c r="W355" i="21"/>
  <c r="W559" i="21"/>
  <c r="W302" i="21"/>
  <c r="W236" i="21"/>
  <c r="W231" i="21"/>
  <c r="W135" i="21"/>
  <c r="W34" i="21"/>
  <c r="W573" i="21"/>
  <c r="W49" i="21"/>
  <c r="W365" i="21"/>
  <c r="W476" i="21"/>
  <c r="W286" i="21"/>
  <c r="W120" i="21"/>
  <c r="W234" i="21"/>
  <c r="W132" i="21"/>
  <c r="W370" i="21"/>
  <c r="W64" i="21"/>
  <c r="W318" i="21"/>
  <c r="W218" i="21"/>
  <c r="W441" i="21"/>
  <c r="W488" i="21"/>
  <c r="W448" i="21"/>
  <c r="W560" i="21"/>
  <c r="W503" i="21"/>
  <c r="W368" i="21"/>
  <c r="W520" i="21"/>
  <c r="W366" i="21"/>
  <c r="W180" i="21"/>
  <c r="W565" i="21"/>
  <c r="W440" i="21"/>
  <c r="W360" i="21"/>
  <c r="W539" i="21"/>
  <c r="W252" i="21"/>
  <c r="W576" i="21"/>
  <c r="W26" i="21"/>
  <c r="W127" i="21"/>
  <c r="W98" i="21"/>
  <c r="W362" i="21"/>
  <c r="W457" i="21"/>
  <c r="W521" i="21"/>
  <c r="W239" i="21"/>
  <c r="W7" i="21"/>
  <c r="W395" i="21"/>
  <c r="W113" i="21"/>
  <c r="W151" i="21"/>
  <c r="W94" i="21"/>
  <c r="W471" i="21"/>
  <c r="W321" i="21"/>
  <c r="W376" i="21"/>
  <c r="W118" i="21"/>
  <c r="W54" i="21"/>
  <c r="W435" i="21"/>
  <c r="W466" i="21"/>
  <c r="W547" i="21"/>
  <c r="W272" i="21"/>
  <c r="W378" i="21"/>
  <c r="W345" i="21"/>
  <c r="W105" i="21"/>
  <c r="W55" i="21"/>
  <c r="W35" i="21"/>
  <c r="W116" i="21"/>
  <c r="W22" i="21"/>
  <c r="W359" i="21"/>
  <c r="W447" i="21"/>
  <c r="W39" i="21"/>
  <c r="W396" i="21"/>
  <c r="W267" i="21"/>
  <c r="W349" i="21"/>
  <c r="W300" i="21"/>
  <c r="W96" i="21"/>
  <c r="W525" i="21"/>
  <c r="W190" i="21"/>
  <c r="W510" i="21"/>
  <c r="W379" i="21"/>
  <c r="W420" i="21"/>
  <c r="W544" i="21"/>
  <c r="W489" i="21"/>
  <c r="W438" i="21"/>
  <c r="W494" i="21"/>
  <c r="W256" i="21"/>
  <c r="W254" i="21"/>
  <c r="W165" i="21"/>
  <c r="W317" i="21"/>
  <c r="W500" i="21"/>
  <c r="W130" i="21"/>
  <c r="W522" i="21"/>
  <c r="W303" i="21"/>
  <c r="W108" i="21"/>
  <c r="W507" i="21"/>
  <c r="W384" i="21"/>
  <c r="W529" i="21"/>
  <c r="W122" i="21"/>
  <c r="W501" i="21"/>
  <c r="W119" i="21"/>
  <c r="W172" i="21"/>
  <c r="W277" i="21"/>
  <c r="W51" i="21"/>
  <c r="W76" i="21"/>
  <c r="W221" i="21"/>
  <c r="W422" i="21"/>
  <c r="W446" i="21"/>
  <c r="W322" i="21"/>
  <c r="W56" i="21"/>
  <c r="W465" i="21"/>
  <c r="W358" i="21"/>
  <c r="W63" i="21"/>
  <c r="W99" i="21"/>
  <c r="W553" i="21"/>
  <c r="W280" i="21"/>
  <c r="W175" i="21"/>
  <c r="W468" i="21"/>
  <c r="W223" i="21"/>
  <c r="W551" i="21"/>
  <c r="W102" i="21"/>
  <c r="W21" i="21"/>
  <c r="W215" i="21"/>
  <c r="W445" i="21"/>
  <c r="W193" i="21"/>
  <c r="W403" i="21"/>
  <c r="W166" i="21"/>
  <c r="W325" i="21"/>
  <c r="W83" i="21"/>
  <c r="W28" i="21"/>
  <c r="W103" i="21"/>
  <c r="W182" i="21"/>
  <c r="W343" i="21"/>
  <c r="W263" i="21"/>
  <c r="W162" i="21"/>
  <c r="W220" i="21"/>
  <c r="W509" i="21"/>
  <c r="W319" i="21"/>
  <c r="W168" i="21"/>
  <c r="W285" i="21"/>
  <c r="W566" i="21"/>
  <c r="W340" i="21"/>
  <c r="W171" i="21"/>
  <c r="W443" i="21"/>
  <c r="W315" i="21"/>
  <c r="W356" i="21"/>
  <c r="W82" i="21"/>
  <c r="W412" i="21"/>
  <c r="W15" i="21"/>
  <c r="W58" i="21"/>
  <c r="W473" i="21"/>
  <c r="W219" i="21"/>
  <c r="W205" i="21"/>
  <c r="W174" i="21"/>
  <c r="W558" i="21"/>
  <c r="W209" i="21"/>
  <c r="W572" i="21"/>
  <c r="W335" i="21"/>
  <c r="W36" i="21"/>
  <c r="W17" i="21"/>
  <c r="W432" i="21"/>
  <c r="W187" i="21"/>
  <c r="W483" i="21"/>
  <c r="W11" i="21"/>
  <c r="W232" i="21"/>
  <c r="W487" i="21"/>
  <c r="W66" i="21"/>
  <c r="W414" i="21"/>
  <c r="W38" i="21"/>
  <c r="W413" i="21"/>
  <c r="W152" i="21"/>
  <c r="W451" i="21"/>
  <c r="W532" i="21"/>
  <c r="W216" i="21"/>
  <c r="W214" i="21"/>
  <c r="W455" i="21"/>
  <c r="W288" i="21"/>
  <c r="W244" i="21"/>
  <c r="W229" i="21"/>
  <c r="W401" i="21"/>
  <c r="W91" i="21"/>
  <c r="W287" i="21"/>
  <c r="W416" i="21"/>
  <c r="W48" i="21"/>
  <c r="W442" i="21"/>
  <c r="W491" i="21"/>
  <c r="W230" i="21"/>
  <c r="W169" i="21"/>
  <c r="W53" i="21"/>
  <c r="W327" i="21"/>
  <c r="W567" i="21"/>
  <c r="W344" i="21"/>
  <c r="W425" i="21"/>
  <c r="W95" i="21"/>
  <c r="W104" i="21"/>
  <c r="W561" i="21"/>
  <c r="W393" i="21"/>
  <c r="W248" i="21"/>
  <c r="W128" i="21"/>
  <c r="W456" i="21"/>
  <c r="W338" i="21"/>
  <c r="W307" i="21"/>
  <c r="W352" i="21"/>
  <c r="W59" i="21"/>
  <c r="W357" i="21"/>
  <c r="W424" i="21"/>
  <c r="W173" i="21"/>
  <c r="W194" i="21"/>
  <c r="W237" i="21"/>
  <c r="W260" i="21"/>
  <c r="W186" i="21"/>
  <c r="W225" i="21"/>
  <c r="W189" i="21"/>
  <c r="W251" i="21"/>
  <c r="W20" i="21"/>
  <c r="W109" i="21"/>
  <c r="W426" i="21"/>
  <c r="W390" i="21"/>
  <c r="W145" i="21"/>
  <c r="W89" i="21"/>
  <c r="W415" i="21"/>
  <c r="W563" i="21"/>
  <c r="W92" i="21"/>
  <c r="W144" i="21"/>
  <c r="W515" i="21"/>
  <c r="W8" i="21"/>
  <c r="W43" i="21"/>
  <c r="W545" i="21"/>
  <c r="W159" i="21"/>
  <c r="W257" i="21"/>
  <c r="W200" i="21"/>
  <c r="W191" i="21"/>
  <c r="W226" i="21"/>
  <c r="W392" i="21"/>
  <c r="W467" i="21"/>
  <c r="W404" i="21"/>
  <c r="W421" i="21"/>
  <c r="W298" i="21"/>
  <c r="W375" i="21"/>
  <c r="W281" i="21"/>
  <c r="W167" i="21"/>
  <c r="W337" i="21"/>
  <c r="W69" i="21"/>
  <c r="W429" i="21"/>
  <c r="W313" i="21"/>
  <c r="W431" i="21"/>
  <c r="W240" i="21"/>
  <c r="W269" i="21"/>
  <c r="W499" i="21"/>
  <c r="W339" i="21"/>
  <c r="W569" i="21"/>
  <c r="W496" i="21"/>
  <c r="W495" i="21"/>
  <c r="W124" i="21"/>
  <c r="W52" i="21"/>
  <c r="W535" i="21"/>
  <c r="W305" i="21"/>
  <c r="W336" i="21"/>
  <c r="W397" i="21"/>
  <c r="W129" i="21"/>
  <c r="W10" i="21"/>
  <c r="W291" i="21"/>
  <c r="W16" i="21"/>
  <c r="W450" i="21"/>
  <c r="W273" i="21"/>
  <c r="W158" i="21"/>
  <c r="W18" i="21"/>
  <c r="W170" i="21"/>
  <c r="W71" i="21"/>
  <c r="W354" i="21"/>
  <c r="W301" i="21"/>
  <c r="W464" i="21"/>
  <c r="W469" i="21"/>
  <c r="W311" i="21"/>
  <c r="W74" i="21"/>
  <c r="W30" i="21"/>
  <c r="W150" i="21"/>
  <c r="W85" i="21"/>
  <c r="W258" i="21"/>
  <c r="W157" i="21"/>
  <c r="W294" i="21"/>
  <c r="W373" i="21"/>
  <c r="W140" i="21"/>
  <c r="W562" i="21"/>
  <c r="W217" i="21"/>
  <c r="W199" i="21"/>
  <c r="W353" i="21"/>
  <c r="W427" i="21"/>
  <c r="W79" i="21"/>
  <c r="W402" i="21"/>
  <c r="W439" i="21"/>
  <c r="W364" i="21"/>
  <c r="W492" i="21"/>
  <c r="W75" i="21"/>
  <c r="W297" i="21"/>
  <c r="W523" i="21"/>
  <c r="W246" i="21"/>
  <c r="W512" i="21"/>
  <c r="W546" i="21"/>
  <c r="W293" i="21"/>
  <c r="W259" i="21"/>
  <c r="W531" i="21"/>
  <c r="W188" i="21"/>
  <c r="W40" i="21"/>
  <c r="W290" i="21"/>
  <c r="W334" i="21"/>
  <c r="W176" i="21"/>
  <c r="W46" i="21"/>
  <c r="W498" i="21"/>
  <c r="W516" i="21"/>
  <c r="W514" i="21"/>
  <c r="W459" i="21"/>
  <c r="W320" i="21"/>
  <c r="W163" i="21"/>
  <c r="W45" i="21"/>
  <c r="W504" i="21"/>
  <c r="W452" i="21"/>
  <c r="W207" i="21"/>
  <c r="W100" i="21"/>
  <c r="W133" i="21"/>
  <c r="W477" i="21"/>
  <c r="W517" i="21"/>
  <c r="W388" i="21"/>
  <c r="W385" i="21"/>
  <c r="W374" i="21"/>
  <c r="W497" i="21"/>
  <c r="W192" i="21"/>
  <c r="W434" i="21"/>
  <c r="W211" i="21"/>
  <c r="W540" i="21"/>
  <c r="W568" i="21"/>
  <c r="W423" i="21"/>
  <c r="W332" i="21"/>
  <c r="W264" i="21"/>
  <c r="W233" i="21"/>
  <c r="W571" i="21"/>
  <c r="W309" i="21"/>
  <c r="W462" i="21"/>
  <c r="W369" i="21"/>
  <c r="W110" i="21"/>
  <c r="W482" i="21"/>
  <c r="W574" i="21"/>
  <c r="W518" i="21"/>
  <c r="W348" i="21"/>
  <c r="W19" i="21"/>
  <c r="W255" i="21"/>
  <c r="W470" i="21"/>
  <c r="W242" i="21"/>
  <c r="W253" i="21"/>
  <c r="W474" i="21"/>
  <c r="W202" i="21"/>
  <c r="W372" i="21"/>
  <c r="W460" i="21"/>
  <c r="W208" i="21"/>
  <c r="W114" i="21"/>
  <c r="W541" i="21"/>
  <c r="W329" i="21"/>
  <c r="W542" i="21"/>
  <c r="W112" i="21"/>
  <c r="W62" i="21"/>
  <c r="W146" i="21"/>
  <c r="W419" i="21"/>
  <c r="W350" i="21"/>
  <c r="W147" i="21"/>
  <c r="W502" i="21"/>
  <c r="W367" i="21"/>
  <c r="W454" i="21"/>
  <c r="W275" i="21"/>
  <c r="W196" i="21"/>
  <c r="W479" i="21"/>
  <c r="W481" i="21"/>
  <c r="W463" i="21"/>
  <c r="W377" i="21"/>
  <c r="W241" i="21"/>
  <c r="W490" i="21"/>
  <c r="W6" i="21"/>
  <c r="W33" i="21"/>
  <c r="W543" i="21"/>
  <c r="W50" i="21"/>
  <c r="W411" i="21"/>
  <c r="W81" i="21"/>
  <c r="W361" i="21"/>
  <c r="BS11" i="4"/>
  <c r="CZ12" i="5" s="1"/>
  <c r="BW12" i="4"/>
  <c r="DD13" i="5" s="1"/>
  <c r="BO14" i="4"/>
  <c r="CV15" i="5" s="1"/>
  <c r="BS15" i="4"/>
  <c r="CZ16" i="5" s="1"/>
  <c r="BY12" i="4"/>
  <c r="DF13" i="5" s="1"/>
  <c r="BU15" i="4"/>
  <c r="DB16" i="5" s="1"/>
  <c r="BZ13" i="4"/>
  <c r="DG14" i="5" s="1"/>
  <c r="BP11" i="4"/>
  <c r="CW12" i="5" s="1"/>
  <c r="BT12" i="4"/>
  <c r="DA13" i="5" s="1"/>
  <c r="BX13" i="4"/>
  <c r="DE14" i="5" s="1"/>
  <c r="BP15" i="4"/>
  <c r="CW16" i="5" s="1"/>
  <c r="BY11" i="4"/>
  <c r="DF12" i="5" s="1"/>
  <c r="BU14" i="4"/>
  <c r="DB15" i="5" s="1"/>
  <c r="BZ11" i="4"/>
  <c r="DG12" i="5" s="1"/>
  <c r="BR14" i="4"/>
  <c r="CY15" i="5" s="1"/>
  <c r="BW11" i="4"/>
  <c r="DD12" i="5" s="1"/>
  <c r="BO13" i="4"/>
  <c r="CV14" i="5" s="1"/>
  <c r="K1" i="5" s="1"/>
  <c r="BS14" i="4"/>
  <c r="CZ15" i="5" s="1"/>
  <c r="BW15" i="4"/>
  <c r="DD16" i="5" s="1"/>
  <c r="BU13" i="4"/>
  <c r="DB14" i="5" s="1"/>
  <c r="BV11" i="4"/>
  <c r="DC12" i="5" s="1"/>
  <c r="BV14" i="4"/>
  <c r="DC15" i="5" s="1"/>
  <c r="BT11" i="4"/>
  <c r="DA12" i="5" s="1"/>
  <c r="BX12" i="4"/>
  <c r="DE13" i="5" s="1"/>
  <c r="BP14" i="4"/>
  <c r="CW15" i="5" s="1"/>
  <c r="BT15" i="4"/>
  <c r="DA16" i="5" s="1"/>
  <c r="BU12" i="4"/>
  <c r="DB13" i="5" s="1"/>
  <c r="BQ15" i="4"/>
  <c r="CX16" i="5" s="1"/>
  <c r="BR12" i="4"/>
  <c r="CY13" i="5" s="1"/>
  <c r="BZ14" i="4"/>
  <c r="DG15" i="5" s="1"/>
  <c r="BO12" i="4"/>
  <c r="CV13" i="5" s="1"/>
  <c r="BS13" i="4"/>
  <c r="CZ14" i="5" s="1"/>
  <c r="BW14" i="4"/>
  <c r="DD15" i="5" s="1"/>
  <c r="BU11" i="4"/>
  <c r="DB12" i="5" s="1"/>
  <c r="BQ14" i="4"/>
  <c r="CX15" i="5" s="1"/>
  <c r="BV12" i="4"/>
  <c r="DC13" i="5" s="1"/>
  <c r="BR15" i="4"/>
  <c r="CY16" i="5" s="1"/>
  <c r="BX11" i="4"/>
  <c r="DE12" i="5" s="1"/>
  <c r="BP13" i="4"/>
  <c r="CW14" i="5" s="1"/>
  <c r="BT14" i="4"/>
  <c r="DA15" i="5" s="1"/>
  <c r="BX15" i="4"/>
  <c r="DE16" i="5" s="1"/>
  <c r="BQ13" i="4"/>
  <c r="CX14" i="5" s="1"/>
  <c r="BY15" i="4"/>
  <c r="DF16" i="5" s="1"/>
  <c r="BZ12" i="4"/>
  <c r="DG13" i="5" s="1"/>
  <c r="BV15" i="4"/>
  <c r="DC16" i="5" s="1"/>
  <c r="BS12" i="4"/>
  <c r="CZ13" i="5" s="1"/>
  <c r="BW13" i="4"/>
  <c r="DD14" i="5" s="1"/>
  <c r="BO15" i="4"/>
  <c r="CV16" i="5" s="1"/>
  <c r="BQ12" i="4"/>
  <c r="CX13" i="5" s="1"/>
  <c r="BY14" i="4"/>
  <c r="DF15" i="5" s="1"/>
  <c r="BR13" i="4"/>
  <c r="CY14" i="5" s="1"/>
  <c r="BZ15" i="4"/>
  <c r="DG16" i="5" s="1"/>
  <c r="BP12" i="4"/>
  <c r="CW13" i="5" s="1"/>
  <c r="BT13" i="4"/>
  <c r="DA14" i="5" s="1"/>
  <c r="BX14" i="4"/>
  <c r="DE15" i="5" s="1"/>
  <c r="BQ11" i="4"/>
  <c r="CX12" i="5" s="1"/>
  <c r="BY13" i="4"/>
  <c r="DF14" i="5" s="1"/>
  <c r="BR11" i="4"/>
  <c r="CY12" i="5" s="1"/>
  <c r="BV13" i="4"/>
  <c r="DC14" i="5" s="1"/>
  <c r="L5" i="22"/>
  <c r="R5" i="22" s="1"/>
  <c r="L111" i="22"/>
  <c r="L40" i="22"/>
  <c r="P40" i="22" s="1"/>
  <c r="L96" i="22"/>
  <c r="L18" i="22"/>
  <c r="R18" i="22" s="1"/>
  <c r="L48" i="22"/>
  <c r="L132" i="22"/>
  <c r="O132" i="22" s="1"/>
  <c r="L9" i="22"/>
  <c r="R9" i="22" s="1"/>
  <c r="L64" i="22"/>
  <c r="L6" i="22"/>
  <c r="R6" i="22" s="1"/>
  <c r="L32" i="22"/>
  <c r="O32" i="22" s="1"/>
  <c r="L80" i="22"/>
  <c r="L116" i="22"/>
  <c r="L148" i="22"/>
  <c r="L24" i="22"/>
  <c r="N24" i="22" s="1"/>
  <c r="L56" i="22"/>
  <c r="L88" i="22"/>
  <c r="L124" i="22"/>
  <c r="L156" i="22"/>
  <c r="L72" i="22"/>
  <c r="L104" i="22"/>
  <c r="L140" i="22"/>
  <c r="L109" i="22"/>
  <c r="L10" i="22"/>
  <c r="R10" i="22" s="1"/>
  <c r="L17" i="22"/>
  <c r="R17" i="22" s="1"/>
  <c r="L20" i="22"/>
  <c r="R20" i="22" s="1"/>
  <c r="L28" i="22"/>
  <c r="L36" i="22"/>
  <c r="L44" i="22"/>
  <c r="L52" i="22"/>
  <c r="L60" i="22"/>
  <c r="L68" i="22"/>
  <c r="L76" i="22"/>
  <c r="L84" i="22"/>
  <c r="L92" i="22"/>
  <c r="L100" i="22"/>
  <c r="L112" i="22"/>
  <c r="L120" i="22"/>
  <c r="L128" i="22"/>
  <c r="L136" i="22"/>
  <c r="L144" i="22"/>
  <c r="L152" i="22"/>
  <c r="L26" i="22"/>
  <c r="L34" i="22"/>
  <c r="L42" i="22"/>
  <c r="L50" i="22"/>
  <c r="L58" i="22"/>
  <c r="L66" i="22"/>
  <c r="L74" i="22"/>
  <c r="L82" i="22"/>
  <c r="L90" i="22"/>
  <c r="L98" i="22"/>
  <c r="L106" i="22"/>
  <c r="L118" i="22"/>
  <c r="L126" i="22"/>
  <c r="L134" i="22"/>
  <c r="L142" i="22"/>
  <c r="L150" i="22"/>
  <c r="L22" i="22"/>
  <c r="R22" i="22" s="1"/>
  <c r="L30" i="22"/>
  <c r="L38" i="22"/>
  <c r="L46" i="22"/>
  <c r="L54" i="22"/>
  <c r="L62" i="22"/>
  <c r="L70" i="22"/>
  <c r="L78" i="22"/>
  <c r="L86" i="22"/>
  <c r="L94" i="22"/>
  <c r="L102" i="22"/>
  <c r="L114" i="22"/>
  <c r="L122" i="22"/>
  <c r="L130" i="22"/>
  <c r="L138" i="22"/>
  <c r="L146" i="22"/>
  <c r="L154" i="22"/>
  <c r="L14" i="22"/>
  <c r="R14" i="22" s="1"/>
  <c r="L110" i="22"/>
  <c r="L23" i="22"/>
  <c r="R23" i="22" s="1"/>
  <c r="L27" i="22"/>
  <c r="L31" i="22"/>
  <c r="L35" i="22"/>
  <c r="L39" i="22"/>
  <c r="L43" i="22"/>
  <c r="L47" i="22"/>
  <c r="L51" i="22"/>
  <c r="L55" i="22"/>
  <c r="L59" i="22"/>
  <c r="L63" i="22"/>
  <c r="L67" i="22"/>
  <c r="L71" i="22"/>
  <c r="L75" i="22"/>
  <c r="L79" i="22"/>
  <c r="L83" i="22"/>
  <c r="L87" i="22"/>
  <c r="L91" i="22"/>
  <c r="L95" i="22"/>
  <c r="L99" i="22"/>
  <c r="L103" i="22"/>
  <c r="L107" i="22"/>
  <c r="L115" i="22"/>
  <c r="L119" i="22"/>
  <c r="L123" i="22"/>
  <c r="L127" i="22"/>
  <c r="L131" i="22"/>
  <c r="L135" i="22"/>
  <c r="L139" i="22"/>
  <c r="L143" i="22"/>
  <c r="L147" i="22"/>
  <c r="L151" i="22"/>
  <c r="L155" i="22"/>
  <c r="L8" i="22"/>
  <c r="R8" i="22" s="1"/>
  <c r="M4" i="22"/>
  <c r="O4" i="22"/>
  <c r="Q4" i="22" s="1"/>
  <c r="N4" i="22"/>
  <c r="P4" i="22"/>
  <c r="L13" i="22"/>
  <c r="R13" i="22" s="1"/>
  <c r="L19" i="22"/>
  <c r="R19" i="22" s="1"/>
  <c r="L12" i="22"/>
  <c r="R12" i="22" s="1"/>
  <c r="L7" i="22"/>
  <c r="R7" i="22" s="1"/>
  <c r="O60" i="22"/>
  <c r="L108" i="22"/>
  <c r="L21" i="22"/>
  <c r="R21" i="22" s="1"/>
  <c r="L25" i="22"/>
  <c r="L29" i="22"/>
  <c r="L33" i="22"/>
  <c r="L37" i="22"/>
  <c r="L41" i="22"/>
  <c r="L45" i="22"/>
  <c r="L49" i="22"/>
  <c r="L53" i="22"/>
  <c r="L57" i="22"/>
  <c r="L61" i="22"/>
  <c r="L65" i="22"/>
  <c r="L69" i="22"/>
  <c r="L73" i="22"/>
  <c r="L77" i="22"/>
  <c r="L81" i="22"/>
  <c r="L85" i="22"/>
  <c r="L89" i="22"/>
  <c r="L93" i="22"/>
  <c r="L97" i="22"/>
  <c r="L101" i="22"/>
  <c r="L105" i="22"/>
  <c r="L113" i="22"/>
  <c r="L117" i="22"/>
  <c r="L121" i="22"/>
  <c r="L125" i="22"/>
  <c r="L129" i="22"/>
  <c r="L133" i="22"/>
  <c r="L137" i="22"/>
  <c r="L141" i="22"/>
  <c r="L145" i="22"/>
  <c r="L149" i="22"/>
  <c r="L153" i="22"/>
  <c r="L157" i="22"/>
  <c r="L15" i="22"/>
  <c r="R15" i="22" s="1"/>
  <c r="L11" i="22"/>
  <c r="R11" i="22" s="1"/>
  <c r="L16" i="22"/>
  <c r="R16" i="22" s="1"/>
  <c r="X871" i="21" l="1"/>
  <c r="Z871" i="21" s="1"/>
  <c r="X868" i="21"/>
  <c r="Z868" i="21" s="1"/>
  <c r="X870" i="21"/>
  <c r="Z870" i="21" s="1"/>
  <c r="X872" i="21"/>
  <c r="Z872" i="21" s="1"/>
  <c r="X874" i="21"/>
  <c r="Z874" i="21" s="1"/>
  <c r="X873" i="21"/>
  <c r="Z873" i="21" s="1"/>
  <c r="X875" i="21"/>
  <c r="Z875" i="21" s="1"/>
  <c r="X876" i="21"/>
  <c r="Z876" i="21" s="1"/>
  <c r="X869" i="21"/>
  <c r="Z869" i="21" s="1"/>
  <c r="X859" i="21"/>
  <c r="Z859" i="21" s="1"/>
  <c r="X864" i="21"/>
  <c r="Z864" i="21" s="1"/>
  <c r="X866" i="21"/>
  <c r="Z866" i="21" s="1"/>
  <c r="X865" i="21"/>
  <c r="Z865" i="21" s="1"/>
  <c r="X860" i="21"/>
  <c r="Z860" i="21" s="1"/>
  <c r="X862" i="21"/>
  <c r="Z862" i="21" s="1"/>
  <c r="X861" i="21"/>
  <c r="Z861" i="21" s="1"/>
  <c r="X867" i="21"/>
  <c r="Z867" i="21" s="1"/>
  <c r="X863" i="21"/>
  <c r="Z863" i="21" s="1"/>
  <c r="X858" i="21"/>
  <c r="Z858" i="21" s="1"/>
  <c r="X857" i="21"/>
  <c r="Z857" i="21" s="1"/>
  <c r="X830" i="21"/>
  <c r="Z830" i="21" s="1"/>
  <c r="X852" i="21"/>
  <c r="Z852" i="21" s="1"/>
  <c r="X828" i="21"/>
  <c r="Z828" i="21" s="1"/>
  <c r="X847" i="21"/>
  <c r="Z847" i="21" s="1"/>
  <c r="X831" i="21"/>
  <c r="Z831" i="21" s="1"/>
  <c r="X836" i="21"/>
  <c r="Z836" i="21" s="1"/>
  <c r="X842" i="21"/>
  <c r="Z842" i="21" s="1"/>
  <c r="X826" i="21"/>
  <c r="Z826" i="21" s="1"/>
  <c r="X845" i="21"/>
  <c r="Z845" i="21" s="1"/>
  <c r="X829" i="21"/>
  <c r="Z829" i="21" s="1"/>
  <c r="X856" i="21"/>
  <c r="Z856" i="21" s="1"/>
  <c r="X851" i="21"/>
  <c r="Z851" i="21" s="1"/>
  <c r="X848" i="21"/>
  <c r="Z848" i="21" s="1"/>
  <c r="X849" i="21"/>
  <c r="Z849" i="21" s="1"/>
  <c r="X844" i="21"/>
  <c r="Z844" i="21" s="1"/>
  <c r="X824" i="21"/>
  <c r="Z824" i="21" s="1"/>
  <c r="X843" i="21"/>
  <c r="Z843" i="21" s="1"/>
  <c r="X827" i="21"/>
  <c r="Z827" i="21" s="1"/>
  <c r="X854" i="21"/>
  <c r="Z854" i="21" s="1"/>
  <c r="X838" i="21"/>
  <c r="Z838" i="21" s="1"/>
  <c r="X822" i="21"/>
  <c r="Z822" i="21" s="1"/>
  <c r="X841" i="21"/>
  <c r="Z841" i="21" s="1"/>
  <c r="X825" i="21"/>
  <c r="Z825" i="21" s="1"/>
  <c r="X832" i="21"/>
  <c r="Z832" i="21" s="1"/>
  <c r="X835" i="21"/>
  <c r="Z835" i="21" s="1"/>
  <c r="X846" i="21"/>
  <c r="Z846" i="21" s="1"/>
  <c r="X833" i="21"/>
  <c r="Z833" i="21" s="1"/>
  <c r="X840" i="21"/>
  <c r="Z840" i="21" s="1"/>
  <c r="X855" i="21"/>
  <c r="Z855" i="21" s="1"/>
  <c r="X839" i="21"/>
  <c r="Z839" i="21" s="1"/>
  <c r="X823" i="21"/>
  <c r="Z823" i="21" s="1"/>
  <c r="X850" i="21"/>
  <c r="Z850" i="21" s="1"/>
  <c r="X834" i="21"/>
  <c r="Z834" i="21" s="1"/>
  <c r="X853" i="21"/>
  <c r="Z853" i="21" s="1"/>
  <c r="X837" i="21"/>
  <c r="Z837" i="21" s="1"/>
  <c r="X821" i="21"/>
  <c r="Z821" i="21" s="1"/>
  <c r="X820" i="21"/>
  <c r="Z820" i="21" s="1"/>
  <c r="X819" i="21"/>
  <c r="Z819" i="21" s="1"/>
  <c r="X818" i="21"/>
  <c r="Z818" i="21" s="1"/>
  <c r="X802" i="21"/>
  <c r="Z802" i="21" s="1"/>
  <c r="X786" i="21"/>
  <c r="Z786" i="21" s="1"/>
  <c r="X815" i="21"/>
  <c r="Z815" i="21" s="1"/>
  <c r="X817" i="21"/>
  <c r="Z817" i="21" s="1"/>
  <c r="X801" i="21"/>
  <c r="Z801" i="21" s="1"/>
  <c r="X785" i="21"/>
  <c r="Z785" i="21" s="1"/>
  <c r="X811" i="21"/>
  <c r="Z811" i="21" s="1"/>
  <c r="X816" i="21"/>
  <c r="Z816" i="21" s="1"/>
  <c r="X800" i="21"/>
  <c r="Z800" i="21" s="1"/>
  <c r="X784" i="21"/>
  <c r="Z784" i="21" s="1"/>
  <c r="X807" i="21"/>
  <c r="Z807" i="21" s="1"/>
  <c r="X814" i="21"/>
  <c r="Z814" i="21" s="1"/>
  <c r="X798" i="21"/>
  <c r="Z798" i="21" s="1"/>
  <c r="X782" i="21"/>
  <c r="Z782" i="21" s="1"/>
  <c r="X803" i="21"/>
  <c r="Z803" i="21" s="1"/>
  <c r="X813" i="21"/>
  <c r="Z813" i="21" s="1"/>
  <c r="X797" i="21"/>
  <c r="Z797" i="21" s="1"/>
  <c r="X781" i="21"/>
  <c r="Z781" i="21" s="1"/>
  <c r="X799" i="21"/>
  <c r="Z799" i="21" s="1"/>
  <c r="X812" i="21"/>
  <c r="Z812" i="21" s="1"/>
  <c r="X796" i="21"/>
  <c r="Z796" i="21" s="1"/>
  <c r="X780" i="21"/>
  <c r="Z780" i="21" s="1"/>
  <c r="X795" i="21"/>
  <c r="Z795" i="21" s="1"/>
  <c r="X810" i="21"/>
  <c r="Z810" i="21" s="1"/>
  <c r="X794" i="21"/>
  <c r="Z794" i="21" s="1"/>
  <c r="X778" i="21"/>
  <c r="Z778" i="21" s="1"/>
  <c r="X791" i="21"/>
  <c r="Z791" i="21" s="1"/>
  <c r="X809" i="21"/>
  <c r="Z809" i="21" s="1"/>
  <c r="X793" i="21"/>
  <c r="Z793" i="21" s="1"/>
  <c r="X777" i="21"/>
  <c r="Z777" i="21" s="1"/>
  <c r="X787" i="21"/>
  <c r="Z787" i="21" s="1"/>
  <c r="X808" i="21"/>
  <c r="Z808" i="21" s="1"/>
  <c r="X792" i="21"/>
  <c r="Z792" i="21" s="1"/>
  <c r="X776" i="21"/>
  <c r="Z776" i="21" s="1"/>
  <c r="X783" i="21"/>
  <c r="Z783" i="21" s="1"/>
  <c r="X806" i="21"/>
  <c r="Z806" i="21" s="1"/>
  <c r="X790" i="21"/>
  <c r="Z790" i="21" s="1"/>
  <c r="X774" i="21"/>
  <c r="Z774" i="21" s="1"/>
  <c r="X779" i="21"/>
  <c r="Z779" i="21" s="1"/>
  <c r="X805" i="21"/>
  <c r="Z805" i="21" s="1"/>
  <c r="X789" i="21"/>
  <c r="Z789" i="21" s="1"/>
  <c r="X773" i="21"/>
  <c r="Z773" i="21" s="1"/>
  <c r="X775" i="21"/>
  <c r="Z775" i="21" s="1"/>
  <c r="X804" i="21"/>
  <c r="Z804" i="21" s="1"/>
  <c r="X788" i="21"/>
  <c r="Z788" i="21" s="1"/>
  <c r="X772" i="21"/>
  <c r="Z772" i="21" s="1"/>
  <c r="X767" i="21"/>
  <c r="Z767" i="21" s="1"/>
  <c r="X765" i="21"/>
  <c r="Z765" i="21" s="1"/>
  <c r="X770" i="21"/>
  <c r="Z770" i="21" s="1"/>
  <c r="X771" i="21"/>
  <c r="Z771" i="21" s="1"/>
  <c r="X766" i="21"/>
  <c r="Z766" i="21" s="1"/>
  <c r="X768" i="21"/>
  <c r="Z768" i="21" s="1"/>
  <c r="X769" i="21"/>
  <c r="Z769" i="21" s="1"/>
  <c r="X764" i="21"/>
  <c r="Z764" i="21" s="1"/>
  <c r="X761" i="21"/>
  <c r="Z761" i="21" s="1"/>
  <c r="X763" i="21"/>
  <c r="Z763" i="21" s="1"/>
  <c r="X759" i="21"/>
  <c r="Z759" i="21" s="1"/>
  <c r="X762" i="21"/>
  <c r="Z762" i="21" s="1"/>
  <c r="X760" i="21"/>
  <c r="Z760" i="21" s="1"/>
  <c r="X754" i="21"/>
  <c r="Z754" i="21" s="1"/>
  <c r="X752" i="21"/>
  <c r="Z752" i="21" s="1"/>
  <c r="X757" i="21"/>
  <c r="Z757" i="21" s="1"/>
  <c r="X758" i="21"/>
  <c r="Z758" i="21" s="1"/>
  <c r="X753" i="21"/>
  <c r="Z753" i="21" s="1"/>
  <c r="X755" i="21"/>
  <c r="Z755" i="21" s="1"/>
  <c r="X756" i="21"/>
  <c r="Z756" i="21" s="1"/>
  <c r="X751" i="21"/>
  <c r="Z751" i="21" s="1"/>
  <c r="X735" i="21"/>
  <c r="Z735" i="21" s="1"/>
  <c r="X744" i="21"/>
  <c r="Z744" i="21" s="1"/>
  <c r="X749" i="21"/>
  <c r="Z749" i="21" s="1"/>
  <c r="X738" i="21"/>
  <c r="Z738" i="21" s="1"/>
  <c r="X737" i="21"/>
  <c r="Z737" i="21" s="1"/>
  <c r="X748" i="21"/>
  <c r="Z748" i="21" s="1"/>
  <c r="X743" i="21"/>
  <c r="Z743" i="21" s="1"/>
  <c r="X750" i="21"/>
  <c r="Z750" i="21" s="1"/>
  <c r="X739" i="21"/>
  <c r="Z739" i="21" s="1"/>
  <c r="X736" i="21"/>
  <c r="Z736" i="21" s="1"/>
  <c r="X740" i="21"/>
  <c r="Z740" i="21" s="1"/>
  <c r="X742" i="21"/>
  <c r="Z742" i="21" s="1"/>
  <c r="X741" i="21"/>
  <c r="Z741" i="21" s="1"/>
  <c r="X747" i="21"/>
  <c r="Z747" i="21" s="1"/>
  <c r="X745" i="21"/>
  <c r="Z745" i="21" s="1"/>
  <c r="X746" i="21"/>
  <c r="Z746" i="21" s="1"/>
  <c r="X734" i="21"/>
  <c r="Z734" i="21" s="1"/>
  <c r="X728" i="21"/>
  <c r="Z728" i="21" s="1"/>
  <c r="X731" i="21"/>
  <c r="Z731" i="21" s="1"/>
  <c r="X730" i="21"/>
  <c r="Z730" i="21" s="1"/>
  <c r="X724" i="21"/>
  <c r="Z724" i="21" s="1"/>
  <c r="X727" i="21"/>
  <c r="Z727" i="21" s="1"/>
  <c r="X726" i="21"/>
  <c r="Z726" i="21" s="1"/>
  <c r="X733" i="21"/>
  <c r="Z733" i="21" s="1"/>
  <c r="X723" i="21"/>
  <c r="Z723" i="21" s="1"/>
  <c r="X732" i="21"/>
  <c r="Z732" i="21" s="1"/>
  <c r="X725" i="21"/>
  <c r="Z725" i="21" s="1"/>
  <c r="X729" i="21"/>
  <c r="Z729" i="21" s="1"/>
  <c r="X721" i="21"/>
  <c r="Z721" i="21" s="1"/>
  <c r="X722" i="21"/>
  <c r="Z722" i="21" s="1"/>
  <c r="X720" i="21"/>
  <c r="Z720" i="21" s="1"/>
  <c r="X719" i="21"/>
  <c r="Z719" i="21" s="1"/>
  <c r="X714" i="21"/>
  <c r="Z714" i="21" s="1"/>
  <c r="X709" i="21"/>
  <c r="Z709" i="21" s="1"/>
  <c r="X715" i="21"/>
  <c r="Z715" i="21" s="1"/>
  <c r="X710" i="21"/>
  <c r="Z710" i="21" s="1"/>
  <c r="X716" i="21"/>
  <c r="Z716" i="21" s="1"/>
  <c r="X711" i="21"/>
  <c r="Z711" i="21" s="1"/>
  <c r="X717" i="21"/>
  <c r="Z717" i="21" s="1"/>
  <c r="X712" i="21"/>
  <c r="Z712" i="21" s="1"/>
  <c r="X718" i="21"/>
  <c r="Z718" i="21" s="1"/>
  <c r="X713" i="21"/>
  <c r="Z713" i="21" s="1"/>
  <c r="X708" i="21"/>
  <c r="Z708" i="21" s="1"/>
  <c r="X706" i="21"/>
  <c r="Z706" i="21" s="1"/>
  <c r="X705" i="21"/>
  <c r="Z705" i="21" s="1"/>
  <c r="X702" i="21"/>
  <c r="Z702" i="21" s="1"/>
  <c r="X701" i="21"/>
  <c r="Z701" i="21" s="1"/>
  <c r="X707" i="21"/>
  <c r="Z707" i="21" s="1"/>
  <c r="X704" i="21"/>
  <c r="Z704" i="21" s="1"/>
  <c r="X703" i="21"/>
  <c r="Z703" i="21" s="1"/>
  <c r="X700" i="21"/>
  <c r="Z700" i="21" s="1"/>
  <c r="X699" i="21"/>
  <c r="Z699" i="21" s="1"/>
  <c r="X698" i="21"/>
  <c r="Z698" i="21" s="1"/>
  <c r="X695" i="21"/>
  <c r="Z695" i="21" s="1"/>
  <c r="X696" i="21"/>
  <c r="Z696" i="21" s="1"/>
  <c r="X697" i="21"/>
  <c r="Z697" i="21" s="1"/>
  <c r="X694" i="21"/>
  <c r="Z694" i="21" s="1"/>
  <c r="X676" i="21"/>
  <c r="Z676" i="21" s="1"/>
  <c r="X686" i="21"/>
  <c r="Z686" i="21" s="1"/>
  <c r="X692" i="21"/>
  <c r="Z692" i="21" s="1"/>
  <c r="X685" i="21"/>
  <c r="Z685" i="21" s="1"/>
  <c r="X679" i="21"/>
  <c r="Z679" i="21" s="1"/>
  <c r="X673" i="21"/>
  <c r="Z673" i="21" s="1"/>
  <c r="X682" i="21"/>
  <c r="Z682" i="21" s="1"/>
  <c r="X689" i="21"/>
  <c r="Z689" i="21" s="1"/>
  <c r="X683" i="21"/>
  <c r="Z683" i="21" s="1"/>
  <c r="X681" i="21"/>
  <c r="Z681" i="21" s="1"/>
  <c r="X680" i="21"/>
  <c r="Z680" i="21" s="1"/>
  <c r="X677" i="21"/>
  <c r="Z677" i="21" s="1"/>
  <c r="X675" i="21"/>
  <c r="Z675" i="21" s="1"/>
  <c r="X687" i="21"/>
  <c r="Z687" i="21" s="1"/>
  <c r="X678" i="21"/>
  <c r="Z678" i="21" s="1"/>
  <c r="X688" i="21"/>
  <c r="Z688" i="21" s="1"/>
  <c r="X684" i="21"/>
  <c r="Z684" i="21" s="1"/>
  <c r="X691" i="21"/>
  <c r="Z691" i="21" s="1"/>
  <c r="X693" i="21"/>
  <c r="Z693" i="21" s="1"/>
  <c r="X690" i="21"/>
  <c r="Z690" i="21" s="1"/>
  <c r="X674" i="21"/>
  <c r="Z674" i="21" s="1"/>
  <c r="X667" i="21"/>
  <c r="Z667" i="21" s="1"/>
  <c r="X664" i="21"/>
  <c r="Z664" i="21" s="1"/>
  <c r="X668" i="21"/>
  <c r="Z668" i="21" s="1"/>
  <c r="X670" i="21"/>
  <c r="Z670" i="21" s="1"/>
  <c r="X663" i="21"/>
  <c r="Z663" i="21" s="1"/>
  <c r="X669" i="21"/>
  <c r="Z669" i="21" s="1"/>
  <c r="X671" i="21"/>
  <c r="Z671" i="21" s="1"/>
  <c r="X666" i="21"/>
  <c r="Z666" i="21" s="1"/>
  <c r="X672" i="21"/>
  <c r="Z672" i="21" s="1"/>
  <c r="X665" i="21"/>
  <c r="Z665" i="21" s="1"/>
  <c r="X658" i="21"/>
  <c r="Z658" i="21" s="1"/>
  <c r="X626" i="21"/>
  <c r="Z626" i="21" s="1"/>
  <c r="X661" i="21"/>
  <c r="Z661" i="21" s="1"/>
  <c r="X645" i="21"/>
  <c r="Z645" i="21" s="1"/>
  <c r="X629" i="21"/>
  <c r="Z629" i="21" s="1"/>
  <c r="X613" i="21"/>
  <c r="Z613" i="21" s="1"/>
  <c r="X638" i="21"/>
  <c r="Z638" i="21" s="1"/>
  <c r="X652" i="21"/>
  <c r="Z652" i="21" s="1"/>
  <c r="X636" i="21"/>
  <c r="Z636" i="21" s="1"/>
  <c r="X620" i="21"/>
  <c r="Z620" i="21" s="1"/>
  <c r="X655" i="21"/>
  <c r="Z655" i="21" s="1"/>
  <c r="X639" i="21"/>
  <c r="Z639" i="21" s="1"/>
  <c r="X623" i="21"/>
  <c r="Z623" i="21" s="1"/>
  <c r="X650" i="21"/>
  <c r="Z650" i="21" s="1"/>
  <c r="X622" i="21"/>
  <c r="Z622" i="21" s="1"/>
  <c r="X657" i="21"/>
  <c r="Z657" i="21" s="1"/>
  <c r="X641" i="21"/>
  <c r="Z641" i="21" s="1"/>
  <c r="X625" i="21"/>
  <c r="Z625" i="21" s="1"/>
  <c r="X662" i="21"/>
  <c r="Z662" i="21" s="1"/>
  <c r="X630" i="21"/>
  <c r="Z630" i="21" s="1"/>
  <c r="X648" i="21"/>
  <c r="Z648" i="21" s="1"/>
  <c r="X632" i="21"/>
  <c r="Z632" i="21" s="1"/>
  <c r="X616" i="21"/>
  <c r="Z616" i="21" s="1"/>
  <c r="X651" i="21"/>
  <c r="Z651" i="21" s="1"/>
  <c r="X635" i="21"/>
  <c r="Z635" i="21" s="1"/>
  <c r="X619" i="21"/>
  <c r="Z619" i="21" s="1"/>
  <c r="X642" i="21"/>
  <c r="Z642" i="21" s="1"/>
  <c r="X618" i="21"/>
  <c r="Z618" i="21" s="1"/>
  <c r="X653" i="21"/>
  <c r="Z653" i="21" s="1"/>
  <c r="X637" i="21"/>
  <c r="Z637" i="21" s="1"/>
  <c r="X621" i="21"/>
  <c r="Z621" i="21" s="1"/>
  <c r="X654" i="21"/>
  <c r="Z654" i="21" s="1"/>
  <c r="X660" i="21"/>
  <c r="Z660" i="21" s="1"/>
  <c r="X644" i="21"/>
  <c r="Z644" i="21" s="1"/>
  <c r="X628" i="21"/>
  <c r="Z628" i="21" s="1"/>
  <c r="X612" i="21"/>
  <c r="Z612" i="21" s="1"/>
  <c r="X647" i="21"/>
  <c r="Z647" i="21" s="1"/>
  <c r="X631" i="21"/>
  <c r="Z631" i="21" s="1"/>
  <c r="X615" i="21"/>
  <c r="Z615" i="21" s="1"/>
  <c r="X634" i="21"/>
  <c r="Z634" i="21" s="1"/>
  <c r="X614" i="21"/>
  <c r="Z614" i="21" s="1"/>
  <c r="X649" i="21"/>
  <c r="Z649" i="21" s="1"/>
  <c r="X633" i="21"/>
  <c r="Z633" i="21" s="1"/>
  <c r="X617" i="21"/>
  <c r="Z617" i="21" s="1"/>
  <c r="X646" i="21"/>
  <c r="Z646" i="21" s="1"/>
  <c r="X656" i="21"/>
  <c r="Z656" i="21" s="1"/>
  <c r="X640" i="21"/>
  <c r="Z640" i="21" s="1"/>
  <c r="X624" i="21"/>
  <c r="Z624" i="21" s="1"/>
  <c r="X659" i="21"/>
  <c r="Z659" i="21" s="1"/>
  <c r="X643" i="21"/>
  <c r="Z643" i="21" s="1"/>
  <c r="X627" i="21"/>
  <c r="Z627" i="21" s="1"/>
  <c r="X611" i="21"/>
  <c r="Z611" i="21" s="1"/>
  <c r="X606" i="21"/>
  <c r="Z606" i="21" s="1"/>
  <c r="X608" i="21"/>
  <c r="Z608" i="21" s="1"/>
  <c r="X609" i="21"/>
  <c r="Z609" i="21" s="1"/>
  <c r="X610" i="21"/>
  <c r="Z610" i="21" s="1"/>
  <c r="X607" i="21"/>
  <c r="Z607" i="21" s="1"/>
  <c r="R129" i="22"/>
  <c r="Q129" i="22"/>
  <c r="R61" i="22"/>
  <c r="Q61" i="22"/>
  <c r="R115" i="22"/>
  <c r="Q115" i="22"/>
  <c r="R63" i="22"/>
  <c r="Q63" i="22"/>
  <c r="R130" i="22"/>
  <c r="Q130" i="22"/>
  <c r="R134" i="22"/>
  <c r="Q134" i="22"/>
  <c r="R113" i="22"/>
  <c r="Q113" i="22"/>
  <c r="R29" i="22"/>
  <c r="Q29" i="22"/>
  <c r="R131" i="22"/>
  <c r="Q131" i="22"/>
  <c r="R30" i="22"/>
  <c r="Q30" i="22"/>
  <c r="R34" i="22"/>
  <c r="Q34" i="22"/>
  <c r="R100" i="22"/>
  <c r="Q100" i="22"/>
  <c r="R36" i="22"/>
  <c r="Q36" i="22"/>
  <c r="R72" i="22"/>
  <c r="Q72" i="22"/>
  <c r="R56" i="22"/>
  <c r="Q56" i="22"/>
  <c r="R80" i="22"/>
  <c r="Q80" i="22"/>
  <c r="R96" i="22"/>
  <c r="Q96" i="22"/>
  <c r="R157" i="22"/>
  <c r="Q157" i="22"/>
  <c r="R141" i="22"/>
  <c r="Q141" i="22"/>
  <c r="R125" i="22"/>
  <c r="Q125" i="22"/>
  <c r="R105" i="22"/>
  <c r="Q105" i="22"/>
  <c r="R89" i="22"/>
  <c r="Q89" i="22"/>
  <c r="R73" i="22"/>
  <c r="Q73" i="22"/>
  <c r="R57" i="22"/>
  <c r="Q57" i="22"/>
  <c r="R41" i="22"/>
  <c r="Q41" i="22"/>
  <c r="R25" i="22"/>
  <c r="R143" i="22"/>
  <c r="Q143" i="22"/>
  <c r="R127" i="22"/>
  <c r="Q127" i="22"/>
  <c r="R107" i="22"/>
  <c r="Q107" i="22"/>
  <c r="R91" i="22"/>
  <c r="Q91" i="22"/>
  <c r="R75" i="22"/>
  <c r="Q75" i="22"/>
  <c r="R59" i="22"/>
  <c r="Q59" i="22"/>
  <c r="R43" i="22"/>
  <c r="Q43" i="22"/>
  <c r="R27" i="22"/>
  <c r="Q27" i="22"/>
  <c r="R154" i="22"/>
  <c r="Q154" i="22"/>
  <c r="R122" i="22"/>
  <c r="Q122" i="22"/>
  <c r="R86" i="22"/>
  <c r="Q86" i="22"/>
  <c r="R54" i="22"/>
  <c r="Q54" i="22"/>
  <c r="R126" i="22"/>
  <c r="Q126" i="22"/>
  <c r="R90" i="22"/>
  <c r="Q90" i="22"/>
  <c r="R58" i="22"/>
  <c r="Q58" i="22"/>
  <c r="R26" i="22"/>
  <c r="Q26" i="22"/>
  <c r="R128" i="22"/>
  <c r="Q128" i="22"/>
  <c r="R92" i="22"/>
  <c r="Q92" i="22"/>
  <c r="R60" i="22"/>
  <c r="Q60" i="22"/>
  <c r="R28" i="22"/>
  <c r="Q28" i="22"/>
  <c r="R109" i="22"/>
  <c r="Q109" i="22"/>
  <c r="R156" i="22"/>
  <c r="Q156" i="22"/>
  <c r="R24" i="22"/>
  <c r="R32" i="22"/>
  <c r="Q32" i="22"/>
  <c r="R132" i="22"/>
  <c r="Q132" i="22"/>
  <c r="R40" i="22"/>
  <c r="Q40" i="22"/>
  <c r="R145" i="22"/>
  <c r="Q145" i="22"/>
  <c r="R77" i="22"/>
  <c r="Q77" i="22"/>
  <c r="R79" i="22"/>
  <c r="Q79" i="22"/>
  <c r="R47" i="22"/>
  <c r="Q47" i="22"/>
  <c r="R94" i="22"/>
  <c r="Q94" i="22"/>
  <c r="R66" i="22"/>
  <c r="Q66" i="22"/>
  <c r="R137" i="22"/>
  <c r="Q137" i="22"/>
  <c r="R101" i="22"/>
  <c r="Q101" i="22"/>
  <c r="R69" i="22"/>
  <c r="Q69" i="22"/>
  <c r="R37" i="22"/>
  <c r="Q37" i="22"/>
  <c r="R155" i="22"/>
  <c r="Q155" i="22"/>
  <c r="R139" i="22"/>
  <c r="Q139" i="22"/>
  <c r="R123" i="22"/>
  <c r="Q123" i="22"/>
  <c r="R103" i="22"/>
  <c r="Q103" i="22"/>
  <c r="R87" i="22"/>
  <c r="Q87" i="22"/>
  <c r="R71" i="22"/>
  <c r="Q71" i="22"/>
  <c r="R55" i="22"/>
  <c r="Q55" i="22"/>
  <c r="R39" i="22"/>
  <c r="Q39" i="22"/>
  <c r="R146" i="22"/>
  <c r="Q146" i="22"/>
  <c r="R114" i="22"/>
  <c r="Q114" i="22"/>
  <c r="R78" i="22"/>
  <c r="Q78" i="22"/>
  <c r="R46" i="22"/>
  <c r="Q46" i="22"/>
  <c r="R150" i="22"/>
  <c r="Q150" i="22"/>
  <c r="R118" i="22"/>
  <c r="Q118" i="22"/>
  <c r="R82" i="22"/>
  <c r="Q82" i="22"/>
  <c r="R50" i="22"/>
  <c r="Q50" i="22"/>
  <c r="R152" i="22"/>
  <c r="Q152" i="22"/>
  <c r="R120" i="22"/>
  <c r="Q120" i="22"/>
  <c r="R84" i="22"/>
  <c r="Q84" i="22"/>
  <c r="R52" i="22"/>
  <c r="Q52" i="22"/>
  <c r="R140" i="22"/>
  <c r="Q140" i="22"/>
  <c r="R124" i="22"/>
  <c r="Q124" i="22"/>
  <c r="R148" i="22"/>
  <c r="Q148" i="22"/>
  <c r="R48" i="22"/>
  <c r="Q48" i="22"/>
  <c r="R111" i="22"/>
  <c r="Q111" i="22"/>
  <c r="R93" i="22"/>
  <c r="Q93" i="22"/>
  <c r="R45" i="22"/>
  <c r="Q45" i="22"/>
  <c r="R147" i="22"/>
  <c r="Q147" i="22"/>
  <c r="R95" i="22"/>
  <c r="Q95" i="22"/>
  <c r="R31" i="22"/>
  <c r="Q31" i="22"/>
  <c r="R62" i="22"/>
  <c r="Q62" i="22"/>
  <c r="R98" i="22"/>
  <c r="Q98" i="22"/>
  <c r="R136" i="22"/>
  <c r="Q136" i="22"/>
  <c r="R68" i="22"/>
  <c r="Q68" i="22"/>
  <c r="R153" i="22"/>
  <c r="Q153" i="22"/>
  <c r="R121" i="22"/>
  <c r="Q121" i="22"/>
  <c r="R85" i="22"/>
  <c r="Q85" i="22"/>
  <c r="R53" i="22"/>
  <c r="Q53" i="22"/>
  <c r="R149" i="22"/>
  <c r="Q149" i="22"/>
  <c r="R133" i="22"/>
  <c r="Q133" i="22"/>
  <c r="R117" i="22"/>
  <c r="Q117" i="22"/>
  <c r="R97" i="22"/>
  <c r="Q97" i="22"/>
  <c r="R81" i="22"/>
  <c r="Q81" i="22"/>
  <c r="R65" i="22"/>
  <c r="Q65" i="22"/>
  <c r="R49" i="22"/>
  <c r="Q49" i="22"/>
  <c r="R33" i="22"/>
  <c r="Q33" i="22"/>
  <c r="R108" i="22"/>
  <c r="Q108" i="22"/>
  <c r="R151" i="22"/>
  <c r="Q151" i="22"/>
  <c r="R135" i="22"/>
  <c r="Q135" i="22"/>
  <c r="R119" i="22"/>
  <c r="Q119" i="22"/>
  <c r="R99" i="22"/>
  <c r="Q99" i="22"/>
  <c r="R83" i="22"/>
  <c r="Q83" i="22"/>
  <c r="R67" i="22"/>
  <c r="Q67" i="22"/>
  <c r="R51" i="22"/>
  <c r="Q51" i="22"/>
  <c r="R35" i="22"/>
  <c r="Q35" i="22"/>
  <c r="R110" i="22"/>
  <c r="Q110" i="22"/>
  <c r="R138" i="22"/>
  <c r="Q138" i="22"/>
  <c r="R102" i="22"/>
  <c r="Q102" i="22"/>
  <c r="R70" i="22"/>
  <c r="Q70" i="22"/>
  <c r="R38" i="22"/>
  <c r="Q38" i="22"/>
  <c r="R142" i="22"/>
  <c r="Q142" i="22"/>
  <c r="R106" i="22"/>
  <c r="Q106" i="22"/>
  <c r="R74" i="22"/>
  <c r="Q74" i="22"/>
  <c r="R42" i="22"/>
  <c r="Q42" i="22"/>
  <c r="R144" i="22"/>
  <c r="Q144" i="22"/>
  <c r="R112" i="22"/>
  <c r="Q112" i="22"/>
  <c r="R76" i="22"/>
  <c r="Q76" i="22"/>
  <c r="R44" i="22"/>
  <c r="Q44" i="22"/>
  <c r="R104" i="22"/>
  <c r="Q104" i="22"/>
  <c r="R88" i="22"/>
  <c r="Q88" i="22"/>
  <c r="R116" i="22"/>
  <c r="Q116" i="22"/>
  <c r="R64" i="22"/>
  <c r="Q64" i="22"/>
  <c r="X605" i="21"/>
  <c r="Z605" i="21" s="1"/>
  <c r="X604" i="21"/>
  <c r="Z604" i="21" s="1"/>
  <c r="X603" i="21"/>
  <c r="Z603" i="21" s="1"/>
  <c r="X601" i="21"/>
  <c r="Z601" i="21" s="1"/>
  <c r="X596" i="21"/>
  <c r="Z596" i="21" s="1"/>
  <c r="X597" i="21"/>
  <c r="Z597" i="21" s="1"/>
  <c r="X598" i="21"/>
  <c r="Z598" i="21" s="1"/>
  <c r="X602" i="21"/>
  <c r="Z602" i="21" s="1"/>
  <c r="X599" i="21"/>
  <c r="Z599" i="21" s="1"/>
  <c r="X600" i="21"/>
  <c r="Z600" i="21" s="1"/>
  <c r="X595" i="21"/>
  <c r="Z595" i="21" s="1"/>
  <c r="N154" i="22"/>
  <c r="M122" i="22"/>
  <c r="M86" i="22"/>
  <c r="M54" i="22"/>
  <c r="P22" i="22"/>
  <c r="O126" i="22"/>
  <c r="N90" i="22"/>
  <c r="N58" i="22"/>
  <c r="P26" i="22"/>
  <c r="O128" i="22"/>
  <c r="O92" i="22"/>
  <c r="N60" i="22"/>
  <c r="N28" i="22"/>
  <c r="M109" i="22"/>
  <c r="O156" i="22"/>
  <c r="M24" i="22"/>
  <c r="N32" i="22"/>
  <c r="N132" i="22"/>
  <c r="O40" i="22"/>
  <c r="P146" i="22"/>
  <c r="O114" i="22"/>
  <c r="O78" i="22"/>
  <c r="N46" i="22"/>
  <c r="O150" i="22"/>
  <c r="N118" i="22"/>
  <c r="N82" i="22"/>
  <c r="N50" i="22"/>
  <c r="O152" i="22"/>
  <c r="O120" i="22"/>
  <c r="O84" i="22"/>
  <c r="O52" i="22"/>
  <c r="M20" i="22"/>
  <c r="O140" i="22"/>
  <c r="N124" i="22"/>
  <c r="O148" i="22"/>
  <c r="M6" i="22"/>
  <c r="P48" i="22"/>
  <c r="N111" i="22"/>
  <c r="P138" i="22"/>
  <c r="M102" i="22"/>
  <c r="P70" i="22"/>
  <c r="O38" i="22"/>
  <c r="O142" i="22"/>
  <c r="M106" i="22"/>
  <c r="P74" i="22"/>
  <c r="N42" i="22"/>
  <c r="N144" i="22"/>
  <c r="M112" i="22"/>
  <c r="M76" i="22"/>
  <c r="N44" i="22"/>
  <c r="N17" i="22"/>
  <c r="N104" i="22"/>
  <c r="N88" i="22"/>
  <c r="N116" i="22"/>
  <c r="M64" i="22"/>
  <c r="M18" i="22"/>
  <c r="P5" i="22"/>
  <c r="P130" i="22"/>
  <c r="N94" i="22"/>
  <c r="M62" i="22"/>
  <c r="O30" i="22"/>
  <c r="O134" i="22"/>
  <c r="N98" i="22"/>
  <c r="M66" i="22"/>
  <c r="N34" i="22"/>
  <c r="N136" i="22"/>
  <c r="N100" i="22"/>
  <c r="O68" i="22"/>
  <c r="M36" i="22"/>
  <c r="N10" i="22"/>
  <c r="N72" i="22"/>
  <c r="O56" i="22"/>
  <c r="N80" i="22"/>
  <c r="N9" i="22"/>
  <c r="O96" i="22"/>
  <c r="X588" i="21"/>
  <c r="Z588" i="21" s="1"/>
  <c r="X581" i="21"/>
  <c r="Z581" i="21" s="1"/>
  <c r="X577" i="21"/>
  <c r="Z577" i="21" s="1"/>
  <c r="X591" i="21"/>
  <c r="Z591" i="21" s="1"/>
  <c r="X592" i="21"/>
  <c r="Z592" i="21" s="1"/>
  <c r="X590" i="21"/>
  <c r="Z590" i="21" s="1"/>
  <c r="X594" i="21"/>
  <c r="Z594" i="21" s="1"/>
  <c r="X587" i="21"/>
  <c r="Z587" i="21" s="1"/>
  <c r="X584" i="21"/>
  <c r="Z584" i="21" s="1"/>
  <c r="X586" i="21"/>
  <c r="Z586" i="21" s="1"/>
  <c r="X593" i="21"/>
  <c r="Z593" i="21" s="1"/>
  <c r="X582" i="21"/>
  <c r="Z582" i="21" s="1"/>
  <c r="X583" i="21"/>
  <c r="Z583" i="21" s="1"/>
  <c r="X580" i="21"/>
  <c r="Z580" i="21" s="1"/>
  <c r="X589" i="21"/>
  <c r="Z589" i="21" s="1"/>
  <c r="X585" i="21"/>
  <c r="Z585" i="21" s="1"/>
  <c r="X578" i="21"/>
  <c r="Z578" i="21" s="1"/>
  <c r="X579" i="21"/>
  <c r="Z579" i="21" s="1"/>
  <c r="X23" i="21"/>
  <c r="Z23" i="21" s="1"/>
  <c r="X537" i="21"/>
  <c r="Z537" i="21" s="1"/>
  <c r="X61" i="21"/>
  <c r="Z61" i="21" s="1"/>
  <c r="X24" i="21"/>
  <c r="Z24" i="21" s="1"/>
  <c r="X141" i="21"/>
  <c r="Z141" i="21" s="1"/>
  <c r="X142" i="21"/>
  <c r="Z142" i="21" s="1"/>
  <c r="X351" i="21"/>
  <c r="Z351" i="21" s="1"/>
  <c r="X143" i="21"/>
  <c r="Z143" i="21" s="1"/>
  <c r="X115" i="21"/>
  <c r="Z115" i="21" s="1"/>
  <c r="X409" i="21"/>
  <c r="Z409" i="21" s="1"/>
  <c r="X183" i="21"/>
  <c r="Z183" i="21" s="1"/>
  <c r="X410" i="21"/>
  <c r="Z410" i="21" s="1"/>
  <c r="X137" i="21"/>
  <c r="Z137" i="21" s="1"/>
  <c r="X268" i="21"/>
  <c r="Z268" i="21" s="1"/>
  <c r="X184" i="21"/>
  <c r="Z184" i="21" s="1"/>
  <c r="X506" i="21"/>
  <c r="Z506" i="21" s="1"/>
  <c r="X398" i="21"/>
  <c r="Z398" i="21" s="1"/>
  <c r="X387" i="21"/>
  <c r="Z387" i="21" s="1"/>
  <c r="X436" i="21"/>
  <c r="Z436" i="21" s="1"/>
  <c r="X41" i="21"/>
  <c r="Z41" i="21" s="1"/>
  <c r="X97" i="21"/>
  <c r="Z97" i="21" s="1"/>
  <c r="X519" i="21"/>
  <c r="Z519" i="21" s="1"/>
  <c r="X549" i="21"/>
  <c r="Z549" i="21" s="1"/>
  <c r="X304" i="21"/>
  <c r="Z304" i="21" s="1"/>
  <c r="X101" i="21"/>
  <c r="Z101" i="21" s="1"/>
  <c r="P128" i="22"/>
  <c r="P109" i="22"/>
  <c r="P156" i="22"/>
  <c r="P92" i="22"/>
  <c r="P28" i="22"/>
  <c r="X222" i="21"/>
  <c r="Z222" i="21" s="1"/>
  <c r="X107" i="21"/>
  <c r="Z107" i="21" s="1"/>
  <c r="X197" i="21"/>
  <c r="Z197" i="21" s="1"/>
  <c r="X536" i="21"/>
  <c r="Z536" i="21" s="1"/>
  <c r="X314" i="21"/>
  <c r="Z314" i="21" s="1"/>
  <c r="X153" i="21"/>
  <c r="Z153" i="21" s="1"/>
  <c r="X526" i="21"/>
  <c r="Z526" i="21" s="1"/>
  <c r="X224" i="21"/>
  <c r="Z224" i="21" s="1"/>
  <c r="X5" i="21"/>
  <c r="Z5" i="21" s="1"/>
  <c r="X155" i="21"/>
  <c r="Z155" i="21" s="1"/>
  <c r="X538" i="21"/>
  <c r="Z538" i="21" s="1"/>
  <c r="X282" i="21"/>
  <c r="Z282" i="21" s="1"/>
  <c r="X185" i="21"/>
  <c r="Z185" i="21" s="1"/>
  <c r="X271" i="21"/>
  <c r="Z271" i="21" s="1"/>
  <c r="X154" i="21"/>
  <c r="Z154" i="21" s="1"/>
  <c r="X12" i="21"/>
  <c r="Z12" i="21" s="1"/>
  <c r="X428" i="21"/>
  <c r="Z428" i="21" s="1"/>
  <c r="X295" i="21"/>
  <c r="Z295" i="21" s="1"/>
  <c r="X37" i="21"/>
  <c r="Z37" i="21" s="1"/>
  <c r="X292" i="21"/>
  <c r="Z292" i="21" s="1"/>
  <c r="X371" i="21"/>
  <c r="Z371" i="21" s="1"/>
  <c r="X513" i="21"/>
  <c r="Z513" i="21" s="1"/>
  <c r="X493" i="21"/>
  <c r="Z493" i="21" s="1"/>
  <c r="X149" i="21"/>
  <c r="Z149" i="21" s="1"/>
  <c r="X308" i="21"/>
  <c r="Z308" i="21" s="1"/>
  <c r="X347" i="21"/>
  <c r="Z347" i="21" s="1"/>
  <c r="X289" i="21"/>
  <c r="Z289" i="21" s="1"/>
  <c r="X235" i="21"/>
  <c r="Z235" i="21" s="1"/>
  <c r="X31" i="21"/>
  <c r="Z31" i="21" s="1"/>
  <c r="X381" i="21"/>
  <c r="Z381" i="21" s="1"/>
  <c r="X201" i="21"/>
  <c r="Z201" i="21" s="1"/>
  <c r="X527" i="21"/>
  <c r="Z527" i="21" s="1"/>
  <c r="X323" i="21"/>
  <c r="Z323" i="21" s="1"/>
  <c r="X262" i="21"/>
  <c r="Z262" i="21" s="1"/>
  <c r="X341" i="21"/>
  <c r="Z341" i="21" s="1"/>
  <c r="X73" i="21"/>
  <c r="Z73" i="21" s="1"/>
  <c r="X148" i="21"/>
  <c r="Z148" i="21" s="1"/>
  <c r="M156" i="22"/>
  <c r="P132" i="22"/>
  <c r="P60" i="22"/>
  <c r="O24" i="22"/>
  <c r="M128" i="22"/>
  <c r="M92" i="22"/>
  <c r="M40" i="22"/>
  <c r="P32" i="22"/>
  <c r="N109" i="22"/>
  <c r="N156" i="22"/>
  <c r="M132" i="22"/>
  <c r="M60" i="22"/>
  <c r="P24" i="22"/>
  <c r="N128" i="22"/>
  <c r="N92" i="22"/>
  <c r="N40" i="22"/>
  <c r="M32" i="22"/>
  <c r="M22" i="22"/>
  <c r="M28" i="22"/>
  <c r="P126" i="22"/>
  <c r="O109" i="22"/>
  <c r="O28" i="22"/>
  <c r="M26" i="22"/>
  <c r="X270" i="21"/>
  <c r="Z270" i="21" s="1"/>
  <c r="X475" i="21"/>
  <c r="Z475" i="21" s="1"/>
  <c r="X453" i="21"/>
  <c r="Z453" i="21" s="1"/>
  <c r="X276" i="21"/>
  <c r="Z276" i="21" s="1"/>
  <c r="X310" i="21"/>
  <c r="Z310" i="21" s="1"/>
  <c r="X77" i="21"/>
  <c r="Z77" i="21" s="1"/>
  <c r="M88" i="22"/>
  <c r="O5" i="22"/>
  <c r="Q5" i="22" s="1"/>
  <c r="M5" i="22"/>
  <c r="O144" i="22"/>
  <c r="X111" i="21"/>
  <c r="Z111" i="21" s="1"/>
  <c r="X417" i="21"/>
  <c r="Z417" i="21" s="1"/>
  <c r="X81" i="21"/>
  <c r="Z81" i="21" s="1"/>
  <c r="X552" i="21"/>
  <c r="Z552" i="21" s="1"/>
  <c r="N54" i="22"/>
  <c r="O90" i="22"/>
  <c r="N86" i="22"/>
  <c r="O58" i="22"/>
  <c r="O154" i="22"/>
  <c r="N122" i="22"/>
  <c r="X249" i="21"/>
  <c r="Z249" i="21" s="1"/>
  <c r="X47" i="21"/>
  <c r="Z47" i="21" s="1"/>
  <c r="X261" i="21"/>
  <c r="Z261" i="21" s="1"/>
  <c r="X198" i="21"/>
  <c r="Z198" i="21" s="1"/>
  <c r="X266" i="21"/>
  <c r="Z266" i="21" s="1"/>
  <c r="X227" i="21"/>
  <c r="Z227" i="21" s="1"/>
  <c r="X530" i="21"/>
  <c r="Z530" i="21" s="1"/>
  <c r="X134" i="21"/>
  <c r="Z134" i="21" s="1"/>
  <c r="X210" i="21"/>
  <c r="Z210" i="21" s="1"/>
  <c r="X80" i="21"/>
  <c r="Z80" i="21" s="1"/>
  <c r="X361" i="21"/>
  <c r="Z361" i="21" s="1"/>
  <c r="X138" i="21"/>
  <c r="Z138" i="21" s="1"/>
  <c r="X550" i="21"/>
  <c r="Z550" i="21" s="1"/>
  <c r="X42" i="21"/>
  <c r="Z42" i="21" s="1"/>
  <c r="X407" i="21"/>
  <c r="Z407" i="21" s="1"/>
  <c r="X50" i="21"/>
  <c r="Z50" i="21" s="1"/>
  <c r="X490" i="21"/>
  <c r="X481" i="21"/>
  <c r="Z481" i="21" s="1"/>
  <c r="X454" i="21"/>
  <c r="Z454" i="21" s="1"/>
  <c r="X350" i="21"/>
  <c r="Z350" i="21" s="1"/>
  <c r="X112" i="21"/>
  <c r="Z112" i="21" s="1"/>
  <c r="X114" i="21"/>
  <c r="Z114" i="21" s="1"/>
  <c r="X202" i="21"/>
  <c r="Z202" i="21" s="1"/>
  <c r="X470" i="21"/>
  <c r="X518" i="21"/>
  <c r="Z518" i="21" s="1"/>
  <c r="X369" i="21"/>
  <c r="Z369" i="21" s="1"/>
  <c r="X233" i="21"/>
  <c r="Z233" i="21" s="1"/>
  <c r="X568" i="21"/>
  <c r="Z568" i="21" s="1"/>
  <c r="X192" i="21"/>
  <c r="Z192" i="21" s="1"/>
  <c r="X388" i="21"/>
  <c r="Z388" i="21" s="1"/>
  <c r="X100" i="21"/>
  <c r="Z100" i="21" s="1"/>
  <c r="X45" i="21"/>
  <c r="Z45" i="21" s="1"/>
  <c r="X514" i="21"/>
  <c r="Z514" i="21" s="1"/>
  <c r="X176" i="21"/>
  <c r="Z176" i="21" s="1"/>
  <c r="X188" i="21"/>
  <c r="Z188" i="21" s="1"/>
  <c r="X546" i="21"/>
  <c r="Z546" i="21" s="1"/>
  <c r="X297" i="21"/>
  <c r="Z297" i="21" s="1"/>
  <c r="X439" i="21"/>
  <c r="Z439" i="21" s="1"/>
  <c r="X353" i="21"/>
  <c r="Z353" i="21" s="1"/>
  <c r="X140" i="21"/>
  <c r="Z140" i="21" s="1"/>
  <c r="X258" i="21"/>
  <c r="Z258" i="21" s="1"/>
  <c r="X74" i="21"/>
  <c r="Z74" i="21" s="1"/>
  <c r="X301" i="21"/>
  <c r="Z301" i="21" s="1"/>
  <c r="X18" i="21"/>
  <c r="Z18" i="21" s="1"/>
  <c r="X16" i="21"/>
  <c r="Z16" i="21" s="1"/>
  <c r="X397" i="21"/>
  <c r="Z397" i="21" s="1"/>
  <c r="X52" i="21"/>
  <c r="Z52" i="21" s="1"/>
  <c r="X569" i="21"/>
  <c r="Z569" i="21" s="1"/>
  <c r="X240" i="21"/>
  <c r="Z240" i="21" s="1"/>
  <c r="X69" i="21"/>
  <c r="Z69" i="21" s="1"/>
  <c r="X375" i="21"/>
  <c r="Z375" i="21" s="1"/>
  <c r="X467" i="21"/>
  <c r="Z467" i="21" s="1"/>
  <c r="X200" i="21"/>
  <c r="Z200" i="21" s="1"/>
  <c r="X43" i="21"/>
  <c r="Z43" i="21" s="1"/>
  <c r="X92" i="21"/>
  <c r="Z92" i="21" s="1"/>
  <c r="X145" i="21"/>
  <c r="Z145" i="21" s="1"/>
  <c r="X20" i="21"/>
  <c r="Z20" i="21" s="1"/>
  <c r="X186" i="21"/>
  <c r="Z186" i="21" s="1"/>
  <c r="X173" i="21"/>
  <c r="Z173" i="21" s="1"/>
  <c r="X352" i="21"/>
  <c r="Z352" i="21" s="1"/>
  <c r="X128" i="21"/>
  <c r="Z128" i="21" s="1"/>
  <c r="X104" i="21"/>
  <c r="Z104" i="21" s="1"/>
  <c r="X567" i="21"/>
  <c r="Z567" i="21" s="1"/>
  <c r="X230" i="21"/>
  <c r="Z230" i="21" s="1"/>
  <c r="X416" i="21"/>
  <c r="Z416" i="21" s="1"/>
  <c r="X229" i="21"/>
  <c r="Z229" i="21" s="1"/>
  <c r="X214" i="21"/>
  <c r="Z214" i="21" s="1"/>
  <c r="X152" i="21"/>
  <c r="Z152" i="21" s="1"/>
  <c r="X66" i="21"/>
  <c r="Z66" i="21" s="1"/>
  <c r="X483" i="21"/>
  <c r="Z483" i="21" s="1"/>
  <c r="X36" i="21"/>
  <c r="Z36" i="21" s="1"/>
  <c r="X558" i="21"/>
  <c r="Z558" i="21" s="1"/>
  <c r="X473" i="21"/>
  <c r="Z473" i="21" s="1"/>
  <c r="X82" i="21"/>
  <c r="Z82" i="21" s="1"/>
  <c r="X171" i="21"/>
  <c r="Z171" i="21" s="1"/>
  <c r="X168" i="21"/>
  <c r="Z168" i="21" s="1"/>
  <c r="X162" i="21"/>
  <c r="Z162" i="21" s="1"/>
  <c r="X103" i="21"/>
  <c r="Z103" i="21" s="1"/>
  <c r="X166" i="21"/>
  <c r="Z166" i="21" s="1"/>
  <c r="X215" i="21"/>
  <c r="Z215" i="21" s="1"/>
  <c r="X223" i="21"/>
  <c r="Z223" i="21" s="1"/>
  <c r="X553" i="21"/>
  <c r="Z553" i="21" s="1"/>
  <c r="X465" i="21"/>
  <c r="Z465" i="21" s="1"/>
  <c r="X422" i="21"/>
  <c r="Z422" i="21" s="1"/>
  <c r="X277" i="21"/>
  <c r="Z277" i="21" s="1"/>
  <c r="X122" i="21"/>
  <c r="Z122" i="21" s="1"/>
  <c r="X108" i="21"/>
  <c r="Z108" i="21" s="1"/>
  <c r="X500" i="21"/>
  <c r="Z500" i="21" s="1"/>
  <c r="X256" i="21"/>
  <c r="Z256" i="21" s="1"/>
  <c r="X544" i="21"/>
  <c r="Z544" i="21" s="1"/>
  <c r="X190" i="21"/>
  <c r="Z190" i="21" s="1"/>
  <c r="X349" i="21"/>
  <c r="Z349" i="21" s="1"/>
  <c r="X447" i="21"/>
  <c r="Z447" i="21" s="1"/>
  <c r="X35" i="21"/>
  <c r="Z35" i="21" s="1"/>
  <c r="X378" i="21"/>
  <c r="Z378" i="21" s="1"/>
  <c r="X435" i="21"/>
  <c r="Z435" i="21" s="1"/>
  <c r="X321" i="21"/>
  <c r="Z321" i="21" s="1"/>
  <c r="X113" i="21"/>
  <c r="Z113" i="21" s="1"/>
  <c r="X521" i="21"/>
  <c r="Z521" i="21" s="1"/>
  <c r="X127" i="21"/>
  <c r="Z127" i="21" s="1"/>
  <c r="X539" i="21"/>
  <c r="Z539" i="21" s="1"/>
  <c r="X180" i="21"/>
  <c r="Z180" i="21" s="1"/>
  <c r="X503" i="21"/>
  <c r="Z503" i="21" s="1"/>
  <c r="X441" i="21"/>
  <c r="Z441" i="21" s="1"/>
  <c r="X370" i="21"/>
  <c r="Z370" i="21" s="1"/>
  <c r="X286" i="21"/>
  <c r="Z286" i="21" s="1"/>
  <c r="X573" i="21"/>
  <c r="Z573" i="21" s="1"/>
  <c r="X236" i="21"/>
  <c r="Z236" i="21" s="1"/>
  <c r="X60" i="21"/>
  <c r="Z60" i="21" s="1"/>
  <c r="X478" i="21"/>
  <c r="Z478" i="21" s="1"/>
  <c r="X296" i="21"/>
  <c r="Z296" i="21" s="1"/>
  <c r="X27" i="21"/>
  <c r="Z27" i="21" s="1"/>
  <c r="X312" i="21"/>
  <c r="Z312" i="21" s="1"/>
  <c r="X383" i="21"/>
  <c r="Z383" i="21" s="1"/>
  <c r="X472" i="21"/>
  <c r="Z472" i="21" s="1"/>
  <c r="X511" i="21"/>
  <c r="Z511" i="21" s="1"/>
  <c r="X243" i="21"/>
  <c r="Z243" i="21" s="1"/>
  <c r="X480" i="21"/>
  <c r="Z480" i="21" s="1"/>
  <c r="X555" i="21"/>
  <c r="Z555" i="21" s="1"/>
  <c r="X181" i="21"/>
  <c r="Z181" i="21" s="1"/>
  <c r="X548" i="21"/>
  <c r="X238" i="21"/>
  <c r="Z238" i="21" s="1"/>
  <c r="X484" i="21"/>
  <c r="Z484" i="21" s="1"/>
  <c r="X213" i="21"/>
  <c r="Z213" i="21" s="1"/>
  <c r="X179" i="21"/>
  <c r="Z179" i="21" s="1"/>
  <c r="X136" i="21"/>
  <c r="X391" i="21"/>
  <c r="Z391" i="21" s="1"/>
  <c r="X139" i="21"/>
  <c r="Z139" i="21" s="1"/>
  <c r="X554" i="21"/>
  <c r="Z554" i="21" s="1"/>
  <c r="X177" i="21"/>
  <c r="Z177" i="21" s="1"/>
  <c r="X486" i="21"/>
  <c r="Z486" i="21" s="1"/>
  <c r="X84" i="21"/>
  <c r="Z84" i="21" s="1"/>
  <c r="X160" i="21"/>
  <c r="Z160" i="21" s="1"/>
  <c r="X306" i="21"/>
  <c r="Z306" i="21" s="1"/>
  <c r="X274" i="21"/>
  <c r="Z274" i="21" s="1"/>
  <c r="X386" i="21"/>
  <c r="Z386" i="21" s="1"/>
  <c r="X543" i="21"/>
  <c r="Z543" i="21" s="1"/>
  <c r="X241" i="21"/>
  <c r="Z241" i="21" s="1"/>
  <c r="X479" i="21"/>
  <c r="Z479" i="21" s="1"/>
  <c r="X367" i="21"/>
  <c r="Z367" i="21" s="1"/>
  <c r="X419" i="21"/>
  <c r="Z419" i="21" s="1"/>
  <c r="X542" i="21"/>
  <c r="Z542" i="21" s="1"/>
  <c r="X208" i="21"/>
  <c r="Z208" i="21" s="1"/>
  <c r="X474" i="21"/>
  <c r="Z474" i="21" s="1"/>
  <c r="X255" i="21"/>
  <c r="Z255" i="21" s="1"/>
  <c r="X574" i="21"/>
  <c r="Z574" i="21" s="1"/>
  <c r="X462" i="21"/>
  <c r="Z462" i="21" s="1"/>
  <c r="X264" i="21"/>
  <c r="Z264" i="21" s="1"/>
  <c r="X540" i="21"/>
  <c r="Z540" i="21" s="1"/>
  <c r="X497" i="21"/>
  <c r="Z497" i="21" s="1"/>
  <c r="X517" i="21"/>
  <c r="Z517" i="21" s="1"/>
  <c r="X207" i="21"/>
  <c r="Z207" i="21" s="1"/>
  <c r="X163" i="21"/>
  <c r="Z163" i="21" s="1"/>
  <c r="X516" i="21"/>
  <c r="Z516" i="21" s="1"/>
  <c r="X334" i="21"/>
  <c r="Z334" i="21" s="1"/>
  <c r="X531" i="21"/>
  <c r="Z531" i="21" s="1"/>
  <c r="X512" i="21"/>
  <c r="Z512" i="21" s="1"/>
  <c r="X75" i="21"/>
  <c r="Z75" i="21" s="1"/>
  <c r="X402" i="21"/>
  <c r="Z402" i="21" s="1"/>
  <c r="X199" i="21"/>
  <c r="Z199" i="21" s="1"/>
  <c r="X373" i="21"/>
  <c r="Z373" i="21" s="1"/>
  <c r="X85" i="21"/>
  <c r="Z85" i="21" s="1"/>
  <c r="X311" i="21"/>
  <c r="Z311" i="21" s="1"/>
  <c r="X354" i="21"/>
  <c r="Z354" i="21" s="1"/>
  <c r="X158" i="21"/>
  <c r="Z158" i="21" s="1"/>
  <c r="X291" i="21"/>
  <c r="Z291" i="21" s="1"/>
  <c r="X336" i="21"/>
  <c r="Z336" i="21" s="1"/>
  <c r="X124" i="21"/>
  <c r="Z124" i="21" s="1"/>
  <c r="X339" i="21"/>
  <c r="Z339" i="21" s="1"/>
  <c r="X431" i="21"/>
  <c r="Z431" i="21" s="1"/>
  <c r="X337" i="21"/>
  <c r="Z337" i="21" s="1"/>
  <c r="X298" i="21"/>
  <c r="Z298" i="21" s="1"/>
  <c r="X392" i="21"/>
  <c r="Z392" i="21" s="1"/>
  <c r="X257" i="21"/>
  <c r="Z257" i="21" s="1"/>
  <c r="X8" i="21"/>
  <c r="Z8" i="21" s="1"/>
  <c r="X563" i="21"/>
  <c r="Z563" i="21" s="1"/>
  <c r="X390" i="21"/>
  <c r="Z390" i="21" s="1"/>
  <c r="X251" i="21"/>
  <c r="Z251" i="21" s="1"/>
  <c r="X260" i="21"/>
  <c r="Z260" i="21" s="1"/>
  <c r="X424" i="21"/>
  <c r="Z424" i="21" s="1"/>
  <c r="X307" i="21"/>
  <c r="Z307" i="21" s="1"/>
  <c r="X248" i="21"/>
  <c r="Z248" i="21" s="1"/>
  <c r="X95" i="21"/>
  <c r="Z95" i="21" s="1"/>
  <c r="X327" i="21"/>
  <c r="Z327" i="21" s="1"/>
  <c r="X491" i="21"/>
  <c r="Z491" i="21" s="1"/>
  <c r="X287" i="21"/>
  <c r="X244" i="21"/>
  <c r="Z244" i="21" s="1"/>
  <c r="X216" i="21"/>
  <c r="Z216" i="21" s="1"/>
  <c r="X413" i="21"/>
  <c r="Z413" i="21" s="1"/>
  <c r="X487" i="21"/>
  <c r="Z487" i="21" s="1"/>
  <c r="X187" i="21"/>
  <c r="Z187" i="21" s="1"/>
  <c r="X335" i="21"/>
  <c r="Z335" i="21" s="1"/>
  <c r="X174" i="21"/>
  <c r="Z174" i="21" s="1"/>
  <c r="X58" i="21"/>
  <c r="Z58" i="21" s="1"/>
  <c r="X356" i="21"/>
  <c r="Z356" i="21" s="1"/>
  <c r="X340" i="21"/>
  <c r="Z340" i="21" s="1"/>
  <c r="X319" i="21"/>
  <c r="Z319" i="21" s="1"/>
  <c r="X263" i="21"/>
  <c r="Z263" i="21" s="1"/>
  <c r="X28" i="21"/>
  <c r="Z28" i="21" s="1"/>
  <c r="X403" i="21"/>
  <c r="Z403" i="21" s="1"/>
  <c r="X21" i="21"/>
  <c r="Z21" i="21" s="1"/>
  <c r="X468" i="21"/>
  <c r="Z468" i="21" s="1"/>
  <c r="X99" i="21"/>
  <c r="Z99" i="21" s="1"/>
  <c r="X56" i="21"/>
  <c r="Z56" i="21" s="1"/>
  <c r="X221" i="21"/>
  <c r="Z221" i="21" s="1"/>
  <c r="X172" i="21"/>
  <c r="Z172" i="21" s="1"/>
  <c r="X529" i="21"/>
  <c r="Z529" i="21" s="1"/>
  <c r="X303" i="21"/>
  <c r="Z303" i="21" s="1"/>
  <c r="X317" i="21"/>
  <c r="Z317" i="21" s="1"/>
  <c r="X494" i="21"/>
  <c r="Z494" i="21" s="1"/>
  <c r="X420" i="21"/>
  <c r="Z420" i="21" s="1"/>
  <c r="X525" i="21"/>
  <c r="Z525" i="21" s="1"/>
  <c r="X267" i="21"/>
  <c r="Z267" i="21" s="1"/>
  <c r="X359" i="21"/>
  <c r="Z359" i="21" s="1"/>
  <c r="X55" i="21"/>
  <c r="Z55" i="21" s="1"/>
  <c r="X272" i="21"/>
  <c r="Z272" i="21" s="1"/>
  <c r="X54" i="21"/>
  <c r="Z54" i="21" s="1"/>
  <c r="X471" i="21"/>
  <c r="Z471" i="21" s="1"/>
  <c r="X395" i="21"/>
  <c r="Z395" i="21" s="1"/>
  <c r="X457" i="21"/>
  <c r="Z457" i="21" s="1"/>
  <c r="X26" i="21"/>
  <c r="Z26" i="21" s="1"/>
  <c r="X360" i="21"/>
  <c r="Z360" i="21" s="1"/>
  <c r="X366" i="21"/>
  <c r="Z366" i="21" s="1"/>
  <c r="X560" i="21"/>
  <c r="Z560" i="21" s="1"/>
  <c r="X218" i="21"/>
  <c r="Z218" i="21" s="1"/>
  <c r="X132" i="21"/>
  <c r="Z132" i="21" s="1"/>
  <c r="X476" i="21"/>
  <c r="Z476" i="21" s="1"/>
  <c r="X34" i="21"/>
  <c r="Z34" i="21" s="1"/>
  <c r="X302" i="21"/>
  <c r="Z302" i="21" s="1"/>
  <c r="X557" i="21"/>
  <c r="Z557" i="21" s="1"/>
  <c r="X90" i="21"/>
  <c r="Z90" i="21" s="1"/>
  <c r="X508" i="21"/>
  <c r="Z508" i="21" s="1"/>
  <c r="X156" i="21"/>
  <c r="Z156" i="21" s="1"/>
  <c r="X9" i="21"/>
  <c r="Z9" i="21" s="1"/>
  <c r="X524" i="21"/>
  <c r="Z524" i="21" s="1"/>
  <c r="X14" i="21"/>
  <c r="Z14" i="21" s="1"/>
  <c r="X278" i="21"/>
  <c r="Z278" i="21" s="1"/>
  <c r="X528" i="21"/>
  <c r="Z528" i="21" s="1"/>
  <c r="X405" i="21"/>
  <c r="Z405" i="21" s="1"/>
  <c r="X203" i="21"/>
  <c r="Z203" i="21" s="1"/>
  <c r="X32" i="21"/>
  <c r="Z32" i="21" s="1"/>
  <c r="X284" i="21"/>
  <c r="Z284" i="21" s="1"/>
  <c r="X363" i="21"/>
  <c r="Z363" i="21" s="1"/>
  <c r="X400" i="21"/>
  <c r="Z400" i="21" s="1"/>
  <c r="X29" i="21"/>
  <c r="Z29" i="21" s="1"/>
  <c r="X123" i="21"/>
  <c r="Z123" i="21" s="1"/>
  <c r="X316" i="21"/>
  <c r="Z316" i="21" s="1"/>
  <c r="X458" i="21"/>
  <c r="Z458" i="21" s="1"/>
  <c r="X25" i="21"/>
  <c r="Z25" i="21" s="1"/>
  <c r="X245" i="21"/>
  <c r="Z245" i="21" s="1"/>
  <c r="X333" i="21"/>
  <c r="Z333" i="21" s="1"/>
  <c r="X161" i="21"/>
  <c r="Z161" i="21" s="1"/>
  <c r="X570" i="21"/>
  <c r="Z570" i="21" s="1"/>
  <c r="X247" i="21"/>
  <c r="Z247" i="21" s="1"/>
  <c r="X485" i="21"/>
  <c r="Z485" i="21" s="1"/>
  <c r="X418" i="21"/>
  <c r="Z418" i="21" s="1"/>
  <c r="X533" i="21"/>
  <c r="X33" i="21"/>
  <c r="Z33" i="21" s="1"/>
  <c r="X377" i="21"/>
  <c r="Z377" i="21" s="1"/>
  <c r="X196" i="21"/>
  <c r="Z196" i="21" s="1"/>
  <c r="X502" i="21"/>
  <c r="Z502" i="21" s="1"/>
  <c r="X146" i="21"/>
  <c r="Z146" i="21" s="1"/>
  <c r="X329" i="21"/>
  <c r="Z329" i="21" s="1"/>
  <c r="X460" i="21"/>
  <c r="Z460" i="21" s="1"/>
  <c r="X253" i="21"/>
  <c r="Z253" i="21" s="1"/>
  <c r="X19" i="21"/>
  <c r="Z19" i="21" s="1"/>
  <c r="X482" i="21"/>
  <c r="Z482" i="21" s="1"/>
  <c r="X309" i="21"/>
  <c r="Z309" i="21" s="1"/>
  <c r="X332" i="21"/>
  <c r="Z332" i="21" s="1"/>
  <c r="X211" i="21"/>
  <c r="Z211" i="21" s="1"/>
  <c r="X374" i="21"/>
  <c r="Z374" i="21" s="1"/>
  <c r="X477" i="21"/>
  <c r="Z477" i="21" s="1"/>
  <c r="X452" i="21"/>
  <c r="Z452" i="21" s="1"/>
  <c r="X320" i="21"/>
  <c r="Z320" i="21" s="1"/>
  <c r="X498" i="21"/>
  <c r="Z498" i="21" s="1"/>
  <c r="X290" i="21"/>
  <c r="Z290" i="21" s="1"/>
  <c r="X259" i="21"/>
  <c r="Z259" i="21" s="1"/>
  <c r="X246" i="21"/>
  <c r="Z246" i="21" s="1"/>
  <c r="X492" i="21"/>
  <c r="Z492" i="21" s="1"/>
  <c r="X79" i="21"/>
  <c r="Z79" i="21" s="1"/>
  <c r="X217" i="21"/>
  <c r="Z217" i="21" s="1"/>
  <c r="X294" i="21"/>
  <c r="Z294" i="21" s="1"/>
  <c r="X150" i="21"/>
  <c r="Z150" i="21" s="1"/>
  <c r="X469" i="21"/>
  <c r="Z469" i="21" s="1"/>
  <c r="X71" i="21"/>
  <c r="Z71" i="21" s="1"/>
  <c r="X273" i="21"/>
  <c r="Z273" i="21" s="1"/>
  <c r="X10" i="21"/>
  <c r="Z10" i="21" s="1"/>
  <c r="X305" i="21"/>
  <c r="Z305" i="21" s="1"/>
  <c r="X495" i="21"/>
  <c r="Z495" i="21" s="1"/>
  <c r="X499" i="21"/>
  <c r="Z499" i="21" s="1"/>
  <c r="X313" i="21"/>
  <c r="Z313" i="21" s="1"/>
  <c r="X167" i="21"/>
  <c r="Z167" i="21" s="1"/>
  <c r="X421" i="21"/>
  <c r="Z421" i="21" s="1"/>
  <c r="X226" i="21"/>
  <c r="Z226" i="21" s="1"/>
  <c r="X159" i="21"/>
  <c r="Z159" i="21" s="1"/>
  <c r="X515" i="21"/>
  <c r="Z515" i="21" s="1"/>
  <c r="X415" i="21"/>
  <c r="Z415" i="21" s="1"/>
  <c r="X426" i="21"/>
  <c r="Z426" i="21" s="1"/>
  <c r="X189" i="21"/>
  <c r="Z189" i="21" s="1"/>
  <c r="X237" i="21"/>
  <c r="Z237" i="21" s="1"/>
  <c r="X357" i="21"/>
  <c r="Z357" i="21" s="1"/>
  <c r="X338" i="21"/>
  <c r="Z338" i="21" s="1"/>
  <c r="X393" i="21"/>
  <c r="Z393" i="21" s="1"/>
  <c r="X425" i="21"/>
  <c r="Z425" i="21" s="1"/>
  <c r="X53" i="21"/>
  <c r="Z53" i="21" s="1"/>
  <c r="X442" i="21"/>
  <c r="Z442" i="21" s="1"/>
  <c r="X91" i="21"/>
  <c r="Z91" i="21" s="1"/>
  <c r="X288" i="21"/>
  <c r="Z288" i="21" s="1"/>
  <c r="X532" i="21"/>
  <c r="Z532" i="21" s="1"/>
  <c r="X38" i="21"/>
  <c r="Z38" i="21" s="1"/>
  <c r="X232" i="21"/>
  <c r="Z232" i="21" s="1"/>
  <c r="X432" i="21"/>
  <c r="Z432" i="21" s="1"/>
  <c r="X572" i="21"/>
  <c r="Z572" i="21" s="1"/>
  <c r="X205" i="21"/>
  <c r="X15" i="21"/>
  <c r="Z15" i="21" s="1"/>
  <c r="X315" i="21"/>
  <c r="Z315" i="21" s="1"/>
  <c r="X566" i="21"/>
  <c r="Z566" i="21" s="1"/>
  <c r="X509" i="21"/>
  <c r="Z509" i="21" s="1"/>
  <c r="X343" i="21"/>
  <c r="Z343" i="21" s="1"/>
  <c r="X83" i="21"/>
  <c r="Z83" i="21" s="1"/>
  <c r="X193" i="21"/>
  <c r="Z193" i="21" s="1"/>
  <c r="X102" i="21"/>
  <c r="Z102" i="21" s="1"/>
  <c r="X175" i="21"/>
  <c r="Z175" i="21" s="1"/>
  <c r="X63" i="21"/>
  <c r="Z63" i="21" s="1"/>
  <c r="X322" i="21"/>
  <c r="Z322" i="21" s="1"/>
  <c r="X76" i="21"/>
  <c r="Z76" i="21" s="1"/>
  <c r="X119" i="21"/>
  <c r="Z119" i="21" s="1"/>
  <c r="X384" i="21"/>
  <c r="Z384" i="21" s="1"/>
  <c r="X522" i="21"/>
  <c r="Z522" i="21" s="1"/>
  <c r="X165" i="21"/>
  <c r="Z165" i="21" s="1"/>
  <c r="X438" i="21"/>
  <c r="Z438" i="21" s="1"/>
  <c r="X379" i="21"/>
  <c r="Z379" i="21" s="1"/>
  <c r="X96" i="21"/>
  <c r="Z96" i="21" s="1"/>
  <c r="X396" i="21"/>
  <c r="Z396" i="21" s="1"/>
  <c r="X22" i="21"/>
  <c r="Z22" i="21" s="1"/>
  <c r="X105" i="21"/>
  <c r="Z105" i="21" s="1"/>
  <c r="X547" i="21"/>
  <c r="Z547" i="21" s="1"/>
  <c r="X118" i="21"/>
  <c r="Z118" i="21" s="1"/>
  <c r="X94" i="21"/>
  <c r="Z94" i="21" s="1"/>
  <c r="X7" i="21"/>
  <c r="Z7" i="21" s="1"/>
  <c r="X362" i="21"/>
  <c r="Z362" i="21" s="1"/>
  <c r="X576" i="21"/>
  <c r="Z576" i="21" s="1"/>
  <c r="X440" i="21"/>
  <c r="Z440" i="21" s="1"/>
  <c r="X520" i="21"/>
  <c r="Z520" i="21" s="1"/>
  <c r="X448" i="21"/>
  <c r="Z448" i="21" s="1"/>
  <c r="X318" i="21"/>
  <c r="Z318" i="21" s="1"/>
  <c r="X234" i="21"/>
  <c r="Z234" i="21" s="1"/>
  <c r="X365" i="21"/>
  <c r="Z365" i="21" s="1"/>
  <c r="X135" i="21"/>
  <c r="Z135" i="21" s="1"/>
  <c r="X559" i="21"/>
  <c r="Z559" i="21" s="1"/>
  <c r="X556" i="21"/>
  <c r="Z556" i="21" s="1"/>
  <c r="X534" i="21"/>
  <c r="Z534" i="21" s="1"/>
  <c r="X505" i="21"/>
  <c r="Z505" i="21" s="1"/>
  <c r="X72" i="21"/>
  <c r="Z72" i="21" s="1"/>
  <c r="X65" i="21"/>
  <c r="Z65" i="21" s="1"/>
  <c r="X437" i="21"/>
  <c r="Z437" i="21" s="1"/>
  <c r="X13" i="21"/>
  <c r="Z13" i="21" s="1"/>
  <c r="X328" i="21"/>
  <c r="Z328" i="21" s="1"/>
  <c r="X68" i="21"/>
  <c r="Z68" i="21" s="1"/>
  <c r="X44" i="21"/>
  <c r="Z44" i="21" s="1"/>
  <c r="X331" i="21"/>
  <c r="Z331" i="21" s="1"/>
  <c r="X380" i="21"/>
  <c r="Z380" i="21" s="1"/>
  <c r="X121" i="21"/>
  <c r="Z121" i="21" s="1"/>
  <c r="X106" i="21"/>
  <c r="Z106" i="21" s="1"/>
  <c r="X449" i="21"/>
  <c r="Z449" i="21" s="1"/>
  <c r="X178" i="21"/>
  <c r="Z178" i="21" s="1"/>
  <c r="X461" i="21"/>
  <c r="Z461" i="21" s="1"/>
  <c r="X433" i="21"/>
  <c r="Z433" i="21" s="1"/>
  <c r="X117" i="21"/>
  <c r="Z117" i="21" s="1"/>
  <c r="X206" i="21"/>
  <c r="Z206" i="21" s="1"/>
  <c r="X394" i="21"/>
  <c r="Z394" i="21" s="1"/>
  <c r="X131" i="21"/>
  <c r="Z131" i="21" s="1"/>
  <c r="X126" i="21"/>
  <c r="Z126" i="21" s="1"/>
  <c r="X212" i="21"/>
  <c r="Z212" i="21" s="1"/>
  <c r="X408" i="21"/>
  <c r="Z408" i="21" s="1"/>
  <c r="X389" i="21"/>
  <c r="Z389" i="21" s="1"/>
  <c r="X326" i="21"/>
  <c r="Z326" i="21" s="1"/>
  <c r="X382" i="21"/>
  <c r="X411" i="21"/>
  <c r="Z411" i="21" s="1"/>
  <c r="X6" i="21"/>
  <c r="Z6" i="21" s="1"/>
  <c r="X463" i="21"/>
  <c r="Z463" i="21" s="1"/>
  <c r="X275" i="21"/>
  <c r="Z275" i="21" s="1"/>
  <c r="X147" i="21"/>
  <c r="Z147" i="21" s="1"/>
  <c r="X62" i="21"/>
  <c r="Z62" i="21" s="1"/>
  <c r="X541" i="21"/>
  <c r="Z541" i="21" s="1"/>
  <c r="X372" i="21"/>
  <c r="Z372" i="21" s="1"/>
  <c r="X242" i="21"/>
  <c r="Z242" i="21" s="1"/>
  <c r="X348" i="21"/>
  <c r="Z348" i="21" s="1"/>
  <c r="X110" i="21"/>
  <c r="Z110" i="21" s="1"/>
  <c r="X571" i="21"/>
  <c r="Z571" i="21" s="1"/>
  <c r="X423" i="21"/>
  <c r="Z423" i="21" s="1"/>
  <c r="X434" i="21"/>
  <c r="Z434" i="21" s="1"/>
  <c r="X385" i="21"/>
  <c r="Z385" i="21" s="1"/>
  <c r="X133" i="21"/>
  <c r="Z133" i="21" s="1"/>
  <c r="X504" i="21"/>
  <c r="Z504" i="21" s="1"/>
  <c r="X459" i="21"/>
  <c r="Z459" i="21" s="1"/>
  <c r="X46" i="21"/>
  <c r="Z46" i="21" s="1"/>
  <c r="X40" i="21"/>
  <c r="Z40" i="21" s="1"/>
  <c r="X293" i="21"/>
  <c r="Z293" i="21" s="1"/>
  <c r="X523" i="21"/>
  <c r="Z523" i="21" s="1"/>
  <c r="X364" i="21"/>
  <c r="Z364" i="21" s="1"/>
  <c r="X427" i="21"/>
  <c r="Z427" i="21" s="1"/>
  <c r="X562" i="21"/>
  <c r="Z562" i="21" s="1"/>
  <c r="X157" i="21"/>
  <c r="Z157" i="21" s="1"/>
  <c r="X30" i="21"/>
  <c r="Z30" i="21" s="1"/>
  <c r="X464" i="21"/>
  <c r="Z464" i="21" s="1"/>
  <c r="X170" i="21"/>
  <c r="Z170" i="21" s="1"/>
  <c r="X450" i="21"/>
  <c r="Z450" i="21" s="1"/>
  <c r="X129" i="21"/>
  <c r="Z129" i="21" s="1"/>
  <c r="X535" i="21"/>
  <c r="Z535" i="21" s="1"/>
  <c r="X496" i="21"/>
  <c r="Z496" i="21" s="1"/>
  <c r="X269" i="21"/>
  <c r="Z269" i="21" s="1"/>
  <c r="X429" i="21"/>
  <c r="Z429" i="21" s="1"/>
  <c r="X281" i="21"/>
  <c r="Z281" i="21" s="1"/>
  <c r="X404" i="21"/>
  <c r="Z404" i="21" s="1"/>
  <c r="X191" i="21"/>
  <c r="Z191" i="21" s="1"/>
  <c r="X545" i="21"/>
  <c r="Z545" i="21" s="1"/>
  <c r="X144" i="21"/>
  <c r="Z144" i="21" s="1"/>
  <c r="X89" i="21"/>
  <c r="Z89" i="21" s="1"/>
  <c r="X109" i="21"/>
  <c r="Z109" i="21" s="1"/>
  <c r="X225" i="21"/>
  <c r="Z225" i="21" s="1"/>
  <c r="X194" i="21"/>
  <c r="Z194" i="21" s="1"/>
  <c r="X59" i="21"/>
  <c r="Z59" i="21" s="1"/>
  <c r="X456" i="21"/>
  <c r="Z456" i="21" s="1"/>
  <c r="X561" i="21"/>
  <c r="Z561" i="21" s="1"/>
  <c r="X344" i="21"/>
  <c r="Z344" i="21" s="1"/>
  <c r="X169" i="21"/>
  <c r="Z169" i="21" s="1"/>
  <c r="X48" i="21"/>
  <c r="Z48" i="21" s="1"/>
  <c r="X401" i="21"/>
  <c r="Z401" i="21" s="1"/>
  <c r="X455" i="21"/>
  <c r="Z455" i="21" s="1"/>
  <c r="X451" i="21"/>
  <c r="Z451" i="21" s="1"/>
  <c r="X414" i="21"/>
  <c r="Z414" i="21" s="1"/>
  <c r="X11" i="21"/>
  <c r="Z11" i="21" s="1"/>
  <c r="X17" i="21"/>
  <c r="Z17" i="21" s="1"/>
  <c r="X209" i="21"/>
  <c r="Z209" i="21" s="1"/>
  <c r="X219" i="21"/>
  <c r="Z219" i="21" s="1"/>
  <c r="X412" i="21"/>
  <c r="Z412" i="21" s="1"/>
  <c r="X443" i="21"/>
  <c r="Z443" i="21" s="1"/>
  <c r="X285" i="21"/>
  <c r="Z285" i="21" s="1"/>
  <c r="X220" i="21"/>
  <c r="Z220" i="21" s="1"/>
  <c r="X182" i="21"/>
  <c r="Z182" i="21" s="1"/>
  <c r="X325" i="21"/>
  <c r="Z325" i="21" s="1"/>
  <c r="X445" i="21"/>
  <c r="Z445" i="21" s="1"/>
  <c r="X551" i="21"/>
  <c r="Z551" i="21" s="1"/>
  <c r="X280" i="21"/>
  <c r="Z280" i="21" s="1"/>
  <c r="X358" i="21"/>
  <c r="Z358" i="21" s="1"/>
  <c r="X446" i="21"/>
  <c r="Z446" i="21" s="1"/>
  <c r="X51" i="21"/>
  <c r="Z51" i="21" s="1"/>
  <c r="X501" i="21"/>
  <c r="Z501" i="21" s="1"/>
  <c r="X507" i="21"/>
  <c r="Z507" i="21" s="1"/>
  <c r="X130" i="21"/>
  <c r="Z130" i="21" s="1"/>
  <c r="X254" i="21"/>
  <c r="Z254" i="21" s="1"/>
  <c r="X489" i="21"/>
  <c r="Z489" i="21" s="1"/>
  <c r="X510" i="21"/>
  <c r="Z510" i="21" s="1"/>
  <c r="X300" i="21"/>
  <c r="Z300" i="21" s="1"/>
  <c r="X39" i="21"/>
  <c r="Z39" i="21" s="1"/>
  <c r="X116" i="21"/>
  <c r="Z116" i="21" s="1"/>
  <c r="X345" i="21"/>
  <c r="Z345" i="21" s="1"/>
  <c r="X466" i="21"/>
  <c r="Z466" i="21" s="1"/>
  <c r="X376" i="21"/>
  <c r="Z376" i="21" s="1"/>
  <c r="X151" i="21"/>
  <c r="Z151" i="21" s="1"/>
  <c r="X239" i="21"/>
  <c r="Z239" i="21" s="1"/>
  <c r="X98" i="21"/>
  <c r="Z98" i="21" s="1"/>
  <c r="X252" i="21"/>
  <c r="Z252" i="21" s="1"/>
  <c r="X565" i="21"/>
  <c r="Z565" i="21" s="1"/>
  <c r="X368" i="21"/>
  <c r="Z368" i="21" s="1"/>
  <c r="X488" i="21"/>
  <c r="Z488" i="21" s="1"/>
  <c r="X64" i="21"/>
  <c r="Z64" i="21" s="1"/>
  <c r="X120" i="21"/>
  <c r="Z120" i="21" s="1"/>
  <c r="X49" i="21"/>
  <c r="Z49" i="21" s="1"/>
  <c r="X231" i="21"/>
  <c r="Z231" i="21" s="1"/>
  <c r="X355" i="21"/>
  <c r="Z355" i="21" s="1"/>
  <c r="X575" i="21"/>
  <c r="Z575" i="21" s="1"/>
  <c r="X87" i="21"/>
  <c r="Z87" i="21" s="1"/>
  <c r="X265" i="21"/>
  <c r="Z265" i="21" s="1"/>
  <c r="X164" i="21"/>
  <c r="Z164" i="21" s="1"/>
  <c r="X67" i="21"/>
  <c r="Z67" i="21" s="1"/>
  <c r="X279" i="21"/>
  <c r="Z279" i="21" s="1"/>
  <c r="X57" i="21"/>
  <c r="Z57" i="21" s="1"/>
  <c r="X86" i="21"/>
  <c r="Z86" i="21" s="1"/>
  <c r="X430" i="21"/>
  <c r="Z430" i="21" s="1"/>
  <c r="X204" i="21"/>
  <c r="Z204" i="21" s="1"/>
  <c r="X406" i="21"/>
  <c r="Z406" i="21" s="1"/>
  <c r="X70" i="21"/>
  <c r="Z70" i="21" s="1"/>
  <c r="X125" i="21"/>
  <c r="Z125" i="21" s="1"/>
  <c r="X444" i="21"/>
  <c r="Z444" i="21" s="1"/>
  <c r="X78" i="21"/>
  <c r="Z78" i="21" s="1"/>
  <c r="X93" i="21"/>
  <c r="Z93" i="21" s="1"/>
  <c r="X399" i="21"/>
  <c r="Z399" i="21" s="1"/>
  <c r="X88" i="21"/>
  <c r="Z88" i="21" s="1"/>
  <c r="X283" i="21"/>
  <c r="Z283" i="21" s="1"/>
  <c r="X228" i="21"/>
  <c r="Z228" i="21" s="1"/>
  <c r="X250" i="21"/>
  <c r="Z250" i="21" s="1"/>
  <c r="X324" i="21"/>
  <c r="Z324" i="21" s="1"/>
  <c r="X330" i="21"/>
  <c r="Z330" i="21" s="1"/>
  <c r="X564" i="21"/>
  <c r="Z564" i="21" s="1"/>
  <c r="X195" i="21"/>
  <c r="Z195" i="21" s="1"/>
  <c r="X346" i="21"/>
  <c r="Z346" i="21" s="1"/>
  <c r="X342" i="21"/>
  <c r="Z342" i="21" s="1"/>
  <c r="X299" i="21"/>
  <c r="Z299" i="21" s="1"/>
  <c r="Z533" i="21"/>
  <c r="Z382" i="21"/>
  <c r="O98" i="22"/>
  <c r="P96" i="22"/>
  <c r="P68" i="22"/>
  <c r="N36" i="22"/>
  <c r="P30" i="22"/>
  <c r="P154" i="22"/>
  <c r="O122" i="22"/>
  <c r="O86" i="22"/>
  <c r="O54" i="22"/>
  <c r="N22" i="22"/>
  <c r="M126" i="22"/>
  <c r="P90" i="22"/>
  <c r="P58" i="22"/>
  <c r="N26" i="22"/>
  <c r="M154" i="22"/>
  <c r="P122" i="22"/>
  <c r="P86" i="22"/>
  <c r="P54" i="22"/>
  <c r="O22" i="22"/>
  <c r="N126" i="22"/>
  <c r="M90" i="22"/>
  <c r="M58" i="22"/>
  <c r="O26" i="22"/>
  <c r="O6" i="22"/>
  <c r="N114" i="22"/>
  <c r="P152" i="22"/>
  <c r="P120" i="22"/>
  <c r="P148" i="22"/>
  <c r="P46" i="22"/>
  <c r="P140" i="22"/>
  <c r="M48" i="22"/>
  <c r="N5" i="22"/>
  <c r="P84" i="22"/>
  <c r="O82" i="22"/>
  <c r="O111" i="22"/>
  <c r="O124" i="22"/>
  <c r="P52" i="22"/>
  <c r="P111" i="22"/>
  <c r="M152" i="22"/>
  <c r="M148" i="22"/>
  <c r="M140" i="22"/>
  <c r="P124" i="22"/>
  <c r="N48" i="22"/>
  <c r="P6" i="22"/>
  <c r="M120" i="22"/>
  <c r="M84" i="22"/>
  <c r="M52" i="22"/>
  <c r="P114" i="22"/>
  <c r="P150" i="22"/>
  <c r="O50" i="22"/>
  <c r="M111" i="22"/>
  <c r="N152" i="22"/>
  <c r="N148" i="22"/>
  <c r="N140" i="22"/>
  <c r="M124" i="22"/>
  <c r="O48" i="22"/>
  <c r="N6" i="22"/>
  <c r="N120" i="22"/>
  <c r="N84" i="22"/>
  <c r="N52" i="22"/>
  <c r="O146" i="22"/>
  <c r="P78" i="22"/>
  <c r="N20" i="22"/>
  <c r="O118" i="22"/>
  <c r="M146" i="22"/>
  <c r="O46" i="22"/>
  <c r="O20" i="22"/>
  <c r="Z470" i="21"/>
  <c r="Z205" i="21"/>
  <c r="Z490" i="21"/>
  <c r="Z287" i="21"/>
  <c r="Z136" i="21"/>
  <c r="Z548" i="21"/>
  <c r="O136" i="22"/>
  <c r="O94" i="22"/>
  <c r="P56" i="22"/>
  <c r="O80" i="22"/>
  <c r="O100" i="22"/>
  <c r="M130" i="22"/>
  <c r="O34" i="22"/>
  <c r="P134" i="22"/>
  <c r="N62" i="22"/>
  <c r="O72" i="22"/>
  <c r="O9" i="22"/>
  <c r="N66" i="22"/>
  <c r="O10" i="22"/>
  <c r="M96" i="22"/>
  <c r="P80" i="22"/>
  <c r="P72" i="22"/>
  <c r="O36" i="22"/>
  <c r="P136" i="22"/>
  <c r="P100" i="22"/>
  <c r="P9" i="22"/>
  <c r="N130" i="22"/>
  <c r="P94" i="22"/>
  <c r="O66" i="22"/>
  <c r="P34" i="22"/>
  <c r="P10" i="22"/>
  <c r="M68" i="22"/>
  <c r="M56" i="22"/>
  <c r="M134" i="22"/>
  <c r="P98" i="22"/>
  <c r="O62" i="22"/>
  <c r="M30" i="22"/>
  <c r="N96" i="22"/>
  <c r="M80" i="22"/>
  <c r="M72" i="22"/>
  <c r="P36" i="22"/>
  <c r="M136" i="22"/>
  <c r="M100" i="22"/>
  <c r="M9" i="22"/>
  <c r="O130" i="22"/>
  <c r="M94" i="22"/>
  <c r="P66" i="22"/>
  <c r="M34" i="22"/>
  <c r="M10" i="22"/>
  <c r="N68" i="22"/>
  <c r="N56" i="22"/>
  <c r="N134" i="22"/>
  <c r="M98" i="22"/>
  <c r="P62" i="22"/>
  <c r="N30" i="22"/>
  <c r="M138" i="22"/>
  <c r="N64" i="22"/>
  <c r="O116" i="22"/>
  <c r="O42" i="22"/>
  <c r="P104" i="22"/>
  <c r="N18" i="22"/>
  <c r="P116" i="22"/>
  <c r="M104" i="22"/>
  <c r="M144" i="22"/>
  <c r="P64" i="22"/>
  <c r="M70" i="22"/>
  <c r="O17" i="22"/>
  <c r="N106" i="22"/>
  <c r="P38" i="22"/>
  <c r="O18" i="22"/>
  <c r="M116" i="22"/>
  <c r="O88" i="22"/>
  <c r="O112" i="22"/>
  <c r="O44" i="22"/>
  <c r="P18" i="22"/>
  <c r="O104" i="22"/>
  <c r="P88" i="22"/>
  <c r="N76" i="22"/>
  <c r="N102" i="22"/>
  <c r="P142" i="22"/>
  <c r="M74" i="22"/>
  <c r="P144" i="22"/>
  <c r="P112" i="22"/>
  <c r="O76" i="22"/>
  <c r="O64" i="22"/>
  <c r="N138" i="22"/>
  <c r="O102" i="22"/>
  <c r="N70" i="22"/>
  <c r="P42" i="22"/>
  <c r="P17" i="22"/>
  <c r="P44" i="22"/>
  <c r="M142" i="22"/>
  <c r="O106" i="22"/>
  <c r="N74" i="22"/>
  <c r="M38" i="22"/>
  <c r="N112" i="22"/>
  <c r="P76" i="22"/>
  <c r="O138" i="22"/>
  <c r="P102" i="22"/>
  <c r="O70" i="22"/>
  <c r="M42" i="22"/>
  <c r="M17" i="22"/>
  <c r="M44" i="22"/>
  <c r="N142" i="22"/>
  <c r="P106" i="22"/>
  <c r="O74" i="22"/>
  <c r="N38" i="22"/>
  <c r="N146" i="22"/>
  <c r="M114" i="22"/>
  <c r="M78" i="22"/>
  <c r="M46" i="22"/>
  <c r="P20" i="22"/>
  <c r="M150" i="22"/>
  <c r="P118" i="22"/>
  <c r="P82" i="22"/>
  <c r="P50" i="22"/>
  <c r="N78" i="22"/>
  <c r="N150" i="22"/>
  <c r="M118" i="22"/>
  <c r="M82" i="22"/>
  <c r="M50" i="22"/>
  <c r="N153" i="22"/>
  <c r="M153" i="22"/>
  <c r="P153" i="22"/>
  <c r="O153" i="22"/>
  <c r="M101" i="22"/>
  <c r="P101" i="22"/>
  <c r="O101" i="22"/>
  <c r="N101" i="22"/>
  <c r="M69" i="22"/>
  <c r="P69" i="22"/>
  <c r="O69" i="22"/>
  <c r="N69" i="22"/>
  <c r="P37" i="22"/>
  <c r="M37" i="22"/>
  <c r="O37" i="22"/>
  <c r="N37" i="22"/>
  <c r="P21" i="22"/>
  <c r="M21" i="22"/>
  <c r="O21" i="22"/>
  <c r="N21" i="22"/>
  <c r="O19" i="22"/>
  <c r="N19" i="22"/>
  <c r="M19" i="22"/>
  <c r="P19" i="22"/>
  <c r="O11" i="22"/>
  <c r="N11" i="22"/>
  <c r="M11" i="22"/>
  <c r="P11" i="22"/>
  <c r="M133" i="22"/>
  <c r="P133" i="22"/>
  <c r="O133" i="22"/>
  <c r="N133" i="22"/>
  <c r="M97" i="22"/>
  <c r="P97" i="22"/>
  <c r="O97" i="22"/>
  <c r="N97" i="22"/>
  <c r="M81" i="22"/>
  <c r="P81" i="22"/>
  <c r="O81" i="22"/>
  <c r="N81" i="22"/>
  <c r="M65" i="22"/>
  <c r="P65" i="22"/>
  <c r="O65" i="22"/>
  <c r="N65" i="22"/>
  <c r="M49" i="22"/>
  <c r="P49" i="22"/>
  <c r="O49" i="22"/>
  <c r="N49" i="22"/>
  <c r="P33" i="22"/>
  <c r="M33" i="22"/>
  <c r="O33" i="22"/>
  <c r="N33" i="22"/>
  <c r="N108" i="22"/>
  <c r="M108" i="22"/>
  <c r="P108" i="22"/>
  <c r="O108" i="22"/>
  <c r="M115" i="22"/>
  <c r="P115" i="22"/>
  <c r="O115" i="22"/>
  <c r="N115" i="22"/>
  <c r="M63" i="22"/>
  <c r="P63" i="22"/>
  <c r="O63" i="22"/>
  <c r="N63" i="22"/>
  <c r="O15" i="22"/>
  <c r="N15" i="22"/>
  <c r="M15" i="22"/>
  <c r="P15" i="22"/>
  <c r="N145" i="22"/>
  <c r="M145" i="22"/>
  <c r="P145" i="22"/>
  <c r="O145" i="22"/>
  <c r="M129" i="22"/>
  <c r="P129" i="22"/>
  <c r="O129" i="22"/>
  <c r="N129" i="22"/>
  <c r="M113" i="22"/>
  <c r="P113" i="22"/>
  <c r="O113" i="22"/>
  <c r="N113" i="22"/>
  <c r="M93" i="22"/>
  <c r="P93" i="22"/>
  <c r="O93" i="22"/>
  <c r="N93" i="22"/>
  <c r="M77" i="22"/>
  <c r="P77" i="22"/>
  <c r="O77" i="22"/>
  <c r="N77" i="22"/>
  <c r="M61" i="22"/>
  <c r="P61" i="22"/>
  <c r="O61" i="22"/>
  <c r="N61" i="22"/>
  <c r="M45" i="22"/>
  <c r="P45" i="22"/>
  <c r="O45" i="22"/>
  <c r="N45" i="22"/>
  <c r="P29" i="22"/>
  <c r="M29" i="22"/>
  <c r="O29" i="22"/>
  <c r="N29" i="22"/>
  <c r="O7" i="22"/>
  <c r="N7" i="22"/>
  <c r="P7" i="22"/>
  <c r="M7" i="22"/>
  <c r="N8" i="22"/>
  <c r="M8" i="22"/>
  <c r="P8" i="22"/>
  <c r="O8" i="22"/>
  <c r="N143" i="22"/>
  <c r="M143" i="22"/>
  <c r="P143" i="22"/>
  <c r="O143" i="22"/>
  <c r="M127" i="22"/>
  <c r="P127" i="22"/>
  <c r="O127" i="22"/>
  <c r="N127" i="22"/>
  <c r="M107" i="22"/>
  <c r="O107" i="22"/>
  <c r="N107" i="22"/>
  <c r="M91" i="22"/>
  <c r="P91" i="22"/>
  <c r="O91" i="22"/>
  <c r="N91" i="22"/>
  <c r="M75" i="22"/>
  <c r="P75" i="22"/>
  <c r="O75" i="22"/>
  <c r="N75" i="22"/>
  <c r="M59" i="22"/>
  <c r="P59" i="22"/>
  <c r="O59" i="22"/>
  <c r="N59" i="22"/>
  <c r="M43" i="22"/>
  <c r="P43" i="22"/>
  <c r="O43" i="22"/>
  <c r="N43" i="22"/>
  <c r="P27" i="22"/>
  <c r="M27" i="22"/>
  <c r="O27" i="22"/>
  <c r="N27" i="22"/>
  <c r="N16" i="22"/>
  <c r="M16" i="22"/>
  <c r="P16" i="22"/>
  <c r="O16" i="22"/>
  <c r="M121" i="22"/>
  <c r="P121" i="22"/>
  <c r="O121" i="22"/>
  <c r="N121" i="22"/>
  <c r="N149" i="22"/>
  <c r="M149" i="22"/>
  <c r="P149" i="22"/>
  <c r="O149" i="22"/>
  <c r="M117" i="22"/>
  <c r="P117" i="22"/>
  <c r="O117" i="22"/>
  <c r="N117" i="22"/>
  <c r="O13" i="22"/>
  <c r="N13" i="22"/>
  <c r="M13" i="22"/>
  <c r="P13" i="22"/>
  <c r="N147" i="22"/>
  <c r="M147" i="22"/>
  <c r="P147" i="22"/>
  <c r="O147" i="22"/>
  <c r="M95" i="22"/>
  <c r="P95" i="22"/>
  <c r="O95" i="22"/>
  <c r="N95" i="22"/>
  <c r="N157" i="22"/>
  <c r="M157" i="22"/>
  <c r="P157" i="22"/>
  <c r="O157" i="22"/>
  <c r="N141" i="22"/>
  <c r="M141" i="22"/>
  <c r="P141" i="22"/>
  <c r="O141" i="22"/>
  <c r="M125" i="22"/>
  <c r="P125" i="22"/>
  <c r="O125" i="22"/>
  <c r="N125" i="22"/>
  <c r="M105" i="22"/>
  <c r="P105" i="22"/>
  <c r="O105" i="22"/>
  <c r="N105" i="22"/>
  <c r="M89" i="22"/>
  <c r="P89" i="22"/>
  <c r="O89" i="22"/>
  <c r="N89" i="22"/>
  <c r="M73" i="22"/>
  <c r="P73" i="22"/>
  <c r="O73" i="22"/>
  <c r="N73" i="22"/>
  <c r="M57" i="22"/>
  <c r="P57" i="22"/>
  <c r="O57" i="22"/>
  <c r="N57" i="22"/>
  <c r="M41" i="22"/>
  <c r="P41" i="22"/>
  <c r="O41" i="22"/>
  <c r="N41" i="22"/>
  <c r="P25" i="22"/>
  <c r="M25" i="22"/>
  <c r="O25" i="22"/>
  <c r="N25" i="22"/>
  <c r="O12" i="22"/>
  <c r="N12" i="22"/>
  <c r="M12" i="22"/>
  <c r="P12" i="22"/>
  <c r="N155" i="22"/>
  <c r="M155" i="22"/>
  <c r="P155" i="22"/>
  <c r="O155" i="22"/>
  <c r="N139" i="22"/>
  <c r="M139" i="22"/>
  <c r="P139" i="22"/>
  <c r="O139" i="22"/>
  <c r="M123" i="22"/>
  <c r="P123" i="22"/>
  <c r="O123" i="22"/>
  <c r="N123" i="22"/>
  <c r="M103" i="22"/>
  <c r="P103" i="22"/>
  <c r="O103" i="22"/>
  <c r="N103" i="22"/>
  <c r="M87" i="22"/>
  <c r="P87" i="22"/>
  <c r="O87" i="22"/>
  <c r="N87" i="22"/>
  <c r="M71" i="22"/>
  <c r="P71" i="22"/>
  <c r="O71" i="22"/>
  <c r="N71" i="22"/>
  <c r="M55" i="22"/>
  <c r="P55" i="22"/>
  <c r="O55" i="22"/>
  <c r="N55" i="22"/>
  <c r="M39" i="22"/>
  <c r="P39" i="22"/>
  <c r="O39" i="22"/>
  <c r="N39" i="22"/>
  <c r="P23" i="22"/>
  <c r="M23" i="22"/>
  <c r="O23" i="22"/>
  <c r="N23" i="22"/>
  <c r="N137" i="22"/>
  <c r="M137" i="22"/>
  <c r="P137" i="22"/>
  <c r="O137" i="22"/>
  <c r="M85" i="22"/>
  <c r="P85" i="22"/>
  <c r="O85" i="22"/>
  <c r="N85" i="22"/>
  <c r="M53" i="22"/>
  <c r="P53" i="22"/>
  <c r="O53" i="22"/>
  <c r="N53" i="22"/>
  <c r="N151" i="22"/>
  <c r="M151" i="22"/>
  <c r="P151" i="22"/>
  <c r="O151" i="22"/>
  <c r="M135" i="22"/>
  <c r="P135" i="22"/>
  <c r="O135" i="22"/>
  <c r="N135" i="22"/>
  <c r="M119" i="22"/>
  <c r="P119" i="22"/>
  <c r="O119" i="22"/>
  <c r="N119" i="22"/>
  <c r="M99" i="22"/>
  <c r="P99" i="22"/>
  <c r="O99" i="22"/>
  <c r="N99" i="22"/>
  <c r="M83" i="22"/>
  <c r="P83" i="22"/>
  <c r="O83" i="22"/>
  <c r="N83" i="22"/>
  <c r="M67" i="22"/>
  <c r="P67" i="22"/>
  <c r="O67" i="22"/>
  <c r="N67" i="22"/>
  <c r="M51" i="22"/>
  <c r="P51" i="22"/>
  <c r="O51" i="22"/>
  <c r="N51" i="22"/>
  <c r="P35" i="22"/>
  <c r="M35" i="22"/>
  <c r="O35" i="22"/>
  <c r="N35" i="22"/>
  <c r="N110" i="22"/>
  <c r="M110" i="22"/>
  <c r="P110" i="22"/>
  <c r="O110" i="22"/>
  <c r="M131" i="22"/>
  <c r="P131" i="22"/>
  <c r="O131" i="22"/>
  <c r="N131" i="22"/>
  <c r="M79" i="22"/>
  <c r="P79" i="22"/>
  <c r="O79" i="22"/>
  <c r="N79" i="22"/>
  <c r="M47" i="22"/>
  <c r="P47" i="22"/>
  <c r="O47" i="22"/>
  <c r="N47" i="22"/>
  <c r="P31" i="22"/>
  <c r="M31" i="22"/>
  <c r="O31" i="22"/>
  <c r="N31" i="22"/>
  <c r="O14" i="22"/>
  <c r="N14" i="22"/>
  <c r="M14" i="22"/>
  <c r="P14" i="22"/>
  <c r="AH15" i="21" l="1" a="1"/>
  <c r="AD5" i="21"/>
  <c r="AD6" i="21"/>
  <c r="Q6" i="22"/>
  <c r="Q7" i="22" s="1"/>
  <c r="Q8" i="22" s="1"/>
  <c r="Q9" i="22" s="1"/>
  <c r="Q10" i="22" s="1"/>
  <c r="Q11" i="22" s="1"/>
  <c r="Q12" i="22" s="1"/>
  <c r="Q13" i="22" s="1"/>
  <c r="Q14" i="22" s="1"/>
  <c r="Q15" i="22" s="1"/>
  <c r="Q16" i="22" s="1"/>
  <c r="Q17" i="22" s="1"/>
  <c r="Q18" i="22" s="1"/>
  <c r="Q19" i="22" s="1"/>
  <c r="Q20" i="22" s="1"/>
  <c r="Q21" i="22" s="1"/>
  <c r="Q22" i="22" s="1"/>
  <c r="Q23" i="22" s="1"/>
  <c r="Q24" i="22" s="1"/>
  <c r="Q25" i="22" s="1"/>
  <c r="AD10" i="21" a="1"/>
  <c r="AD10" i="21" s="1"/>
  <c r="AD11" i="21" a="1"/>
  <c r="AD11" i="21" s="1"/>
  <c r="AD13" i="21" a="1"/>
  <c r="AD13" i="21" s="1"/>
  <c r="AD12" i="21"/>
  <c r="G3" i="5" s="1"/>
  <c r="AD7" i="21"/>
  <c r="AD8" i="21"/>
  <c r="DG3" i="5"/>
  <c r="CW3" i="5"/>
  <c r="CX3" i="5"/>
  <c r="CY3" i="5"/>
  <c r="CZ3" i="5"/>
  <c r="DA3" i="5"/>
  <c r="DB3" i="5"/>
  <c r="DC3" i="5"/>
  <c r="DD3" i="5"/>
  <c r="DE3" i="5"/>
  <c r="DF3" i="5"/>
  <c r="CV3" i="5"/>
  <c r="G14" i="5" l="1"/>
  <c r="G6" i="5"/>
  <c r="G9" i="5"/>
  <c r="G12" i="5"/>
  <c r="G10" i="5"/>
  <c r="G13" i="5"/>
  <c r="AI16" i="21"/>
  <c r="AI18" i="21"/>
  <c r="AH15" i="21"/>
  <c r="AH17" i="21"/>
  <c r="AH19" i="21"/>
  <c r="AH16" i="21"/>
  <c r="AH18" i="21"/>
  <c r="AI15" i="21"/>
  <c r="AI17" i="21"/>
  <c r="AI19" i="21"/>
  <c r="G15" i="5"/>
  <c r="G19" i="5"/>
  <c r="G5" i="5"/>
  <c r="G21" i="5"/>
  <c r="G22" i="5"/>
  <c r="G20" i="5"/>
  <c r="G18" i="5"/>
  <c r="G4" i="5"/>
  <c r="G7" i="5"/>
  <c r="G8" i="5"/>
  <c r="G16" i="5"/>
  <c r="G26" i="5"/>
  <c r="G25" i="5"/>
  <c r="G24" i="5"/>
  <c r="G23" i="5"/>
  <c r="G30" i="5"/>
  <c r="G27" i="5"/>
  <c r="G28" i="5"/>
  <c r="G29" i="5"/>
  <c r="G11" i="5"/>
  <c r="G32" i="5"/>
  <c r="G33" i="5"/>
  <c r="G34" i="5"/>
  <c r="G31" i="5"/>
  <c r="G17" i="5"/>
  <c r="DJ3" i="5"/>
  <c r="CV4" i="5" l="1"/>
  <c r="DC8" i="5"/>
  <c r="DC5" i="5"/>
  <c r="DF7" i="5"/>
  <c r="CX5" i="5"/>
  <c r="DA4" i="5"/>
  <c r="CY7" i="5"/>
  <c r="DC4" i="5"/>
  <c r="DF6" i="5"/>
  <c r="CX4" i="5"/>
  <c r="DA7" i="5"/>
  <c r="DE5" i="5"/>
  <c r="CW4" i="5"/>
  <c r="DD7" i="5"/>
  <c r="CZ6" i="5"/>
  <c r="CV5" i="5"/>
  <c r="DG4" i="5"/>
  <c r="CX7" i="5"/>
  <c r="DB4" i="5"/>
  <c r="DG8" i="5"/>
  <c r="DC6" i="5"/>
  <c r="DF8" i="5"/>
  <c r="CX6" i="5"/>
  <c r="DE8" i="5"/>
  <c r="DE6" i="5"/>
  <c r="DD8" i="5"/>
  <c r="CZ7" i="5"/>
  <c r="CV6" i="5"/>
  <c r="J1" i="5" s="1"/>
  <c r="DD4" i="5"/>
  <c r="DG5" i="5"/>
  <c r="CW8" i="5"/>
  <c r="CZ8" i="5"/>
  <c r="CZ4" i="5"/>
  <c r="DB8" i="5"/>
  <c r="DC7" i="5"/>
  <c r="DF4" i="5"/>
  <c r="DE4" i="5"/>
  <c r="CZ5" i="5"/>
  <c r="DG7" i="5"/>
  <c r="DA5" i="5"/>
  <c r="DA6" i="5"/>
  <c r="CV7" i="5"/>
  <c r="CY6" i="5"/>
  <c r="CW7" i="5"/>
  <c r="DB7" i="5"/>
  <c r="CW6" i="5"/>
  <c r="DD6" i="5"/>
  <c r="DG6" i="5"/>
  <c r="CY4" i="5"/>
  <c r="DB6" i="5"/>
  <c r="DA8" i="5"/>
  <c r="CY8" i="5"/>
  <c r="CX8" i="5"/>
  <c r="DB5" i="5"/>
  <c r="CW5" i="5"/>
  <c r="DD5" i="5"/>
  <c r="DF5" i="5"/>
  <c r="CY5" i="5"/>
  <c r="DE7" i="5"/>
  <c r="CV8" i="5"/>
  <c r="Z33" i="5" l="1"/>
  <c r="B33" i="5"/>
  <c r="Z34" i="5"/>
  <c r="B34" i="5"/>
  <c r="Z5" i="5"/>
  <c r="B5" i="5"/>
  <c r="B31" i="5"/>
  <c r="Z31" i="5"/>
  <c r="B15" i="5"/>
  <c r="Z15" i="5"/>
  <c r="B27" i="5"/>
  <c r="Z27" i="5"/>
  <c r="Z28" i="5"/>
  <c r="B28" i="5"/>
  <c r="B29" i="5"/>
  <c r="Z29" i="5"/>
  <c r="B13" i="5"/>
  <c r="Z13" i="5"/>
  <c r="B17" i="5"/>
  <c r="Z17" i="5"/>
  <c r="Z8" i="5"/>
  <c r="B8" i="5"/>
  <c r="B22" i="5"/>
  <c r="Z22" i="5"/>
  <c r="B23" i="5"/>
  <c r="Z23" i="5"/>
  <c r="B32" i="5"/>
  <c r="Z32" i="5"/>
  <c r="Z25" i="5"/>
  <c r="B25" i="5"/>
  <c r="B6" i="5"/>
  <c r="Z6" i="5"/>
  <c r="B21" i="5"/>
  <c r="Z21" i="5"/>
  <c r="B19" i="5"/>
  <c r="Z19" i="5"/>
  <c r="Z26" i="5"/>
  <c r="B26" i="5"/>
  <c r="B10" i="5"/>
  <c r="Z10" i="5"/>
  <c r="B30" i="5"/>
  <c r="Z30" i="5"/>
  <c r="B12" i="5"/>
  <c r="Z12" i="5"/>
  <c r="Z14" i="5"/>
  <c r="B14" i="5"/>
  <c r="B16" i="5"/>
  <c r="Z16" i="5"/>
  <c r="B9" i="5"/>
  <c r="Z9" i="5"/>
  <c r="B18" i="5"/>
  <c r="Z18" i="5"/>
  <c r="Z24" i="5"/>
  <c r="B24" i="5"/>
  <c r="Z11" i="5"/>
  <c r="B11" i="5"/>
  <c r="B3" i="5"/>
  <c r="Z3" i="5"/>
  <c r="DM3" i="5"/>
  <c r="B7" i="5"/>
  <c r="Z7" i="5"/>
  <c r="B20" i="5"/>
  <c r="Z20" i="5"/>
  <c r="Z4" i="5"/>
  <c r="B4" i="5"/>
  <c r="A34" i="5"/>
  <c r="A33" i="5"/>
  <c r="A31" i="5"/>
  <c r="A27" i="5"/>
  <c r="A23" i="5"/>
  <c r="A19" i="5"/>
  <c r="A15" i="5"/>
  <c r="A11" i="5"/>
  <c r="A7" i="5"/>
  <c r="A30" i="5"/>
  <c r="A26" i="5"/>
  <c r="A22" i="5"/>
  <c r="A18" i="5"/>
  <c r="A14" i="5"/>
  <c r="A10" i="5"/>
  <c r="A6" i="5"/>
  <c r="A3" i="5"/>
  <c r="A29" i="5"/>
  <c r="A25" i="5"/>
  <c r="A21" i="5"/>
  <c r="A17" i="5"/>
  <c r="A13" i="5"/>
  <c r="A9" i="5"/>
  <c r="A5" i="5"/>
  <c r="A32" i="5"/>
  <c r="A28" i="5"/>
  <c r="A24" i="5"/>
  <c r="A20" i="5"/>
  <c r="A16" i="5"/>
  <c r="A12" i="5"/>
  <c r="A8" i="5"/>
  <c r="A4" i="5"/>
  <c r="X26" i="5" l="1"/>
  <c r="X27" i="5"/>
  <c r="X28" i="5"/>
  <c r="X25" i="5"/>
  <c r="AM9" i="5"/>
  <c r="BM9" i="5"/>
  <c r="BQ9" i="5"/>
  <c r="BU9" i="5"/>
  <c r="BN9" i="5"/>
  <c r="BR9" i="5"/>
  <c r="BV9" i="5"/>
  <c r="BO9" i="5"/>
  <c r="BS9" i="5"/>
  <c r="BD9" i="5"/>
  <c r="BH9" i="5"/>
  <c r="BL9" i="5"/>
  <c r="BA9" i="5"/>
  <c r="BE9" i="5"/>
  <c r="BI9" i="5"/>
  <c r="BP9" i="5"/>
  <c r="BB9" i="5"/>
  <c r="BF9" i="5"/>
  <c r="BJ9" i="5"/>
  <c r="BG9" i="5"/>
  <c r="BC9" i="5"/>
  <c r="BK9" i="5"/>
  <c r="BT9" i="5"/>
  <c r="AY15" i="5"/>
  <c r="BO15" i="5"/>
  <c r="BS15" i="5"/>
  <c r="BL15" i="5"/>
  <c r="BP15" i="5"/>
  <c r="BT15" i="5"/>
  <c r="BM15" i="5"/>
  <c r="BQ15" i="5"/>
  <c r="BU15" i="5"/>
  <c r="BV15" i="5"/>
  <c r="BB15" i="5"/>
  <c r="BF15" i="5"/>
  <c r="BJ15" i="5"/>
  <c r="BC15" i="5"/>
  <c r="BG15" i="5"/>
  <c r="BK15" i="5"/>
  <c r="BN15" i="5"/>
  <c r="BD15" i="5"/>
  <c r="BH15" i="5"/>
  <c r="BE15" i="5"/>
  <c r="BR15" i="5"/>
  <c r="BI15" i="5"/>
  <c r="BA15" i="5"/>
  <c r="AH28" i="5"/>
  <c r="BL28" i="5"/>
  <c r="BP28" i="5"/>
  <c r="BT28" i="5"/>
  <c r="BM28" i="5"/>
  <c r="BQ28" i="5"/>
  <c r="BU28" i="5"/>
  <c r="BN28" i="5"/>
  <c r="BR28" i="5"/>
  <c r="BV28" i="5"/>
  <c r="BO28" i="5"/>
  <c r="BS28" i="5"/>
  <c r="BB28" i="5"/>
  <c r="BF28" i="5"/>
  <c r="BJ28" i="5"/>
  <c r="BI28" i="5"/>
  <c r="BC28" i="5"/>
  <c r="BG28" i="5"/>
  <c r="BK28" i="5"/>
  <c r="BE28" i="5"/>
  <c r="BD28" i="5"/>
  <c r="BH28" i="5"/>
  <c r="BA28" i="5"/>
  <c r="AW13" i="5"/>
  <c r="BM13" i="5"/>
  <c r="BQ13" i="5"/>
  <c r="BU13" i="5"/>
  <c r="BN13" i="5"/>
  <c r="BR13" i="5"/>
  <c r="BV13" i="5"/>
  <c r="BO13" i="5"/>
  <c r="BS13" i="5"/>
  <c r="BL13" i="5"/>
  <c r="BD13" i="5"/>
  <c r="BH13" i="5"/>
  <c r="BP13" i="5"/>
  <c r="BA13" i="5"/>
  <c r="BE13" i="5"/>
  <c r="BI13" i="5"/>
  <c r="BT13" i="5"/>
  <c r="BB13" i="5"/>
  <c r="BF13" i="5"/>
  <c r="BJ13" i="5"/>
  <c r="BK13" i="5"/>
  <c r="BG13" i="5"/>
  <c r="BC13" i="5"/>
  <c r="AY29" i="5"/>
  <c r="BM29" i="5"/>
  <c r="BQ29" i="5"/>
  <c r="BU29" i="5"/>
  <c r="BN29" i="5"/>
  <c r="BR29" i="5"/>
  <c r="BV29" i="5"/>
  <c r="BO29" i="5"/>
  <c r="BS29" i="5"/>
  <c r="BL29" i="5"/>
  <c r="BP29" i="5"/>
  <c r="BT29" i="5"/>
  <c r="BC29" i="5"/>
  <c r="BG29" i="5"/>
  <c r="BK29" i="5"/>
  <c r="BJ29" i="5"/>
  <c r="BD29" i="5"/>
  <c r="BH29" i="5"/>
  <c r="BB29" i="5"/>
  <c r="BA29" i="5"/>
  <c r="BE29" i="5"/>
  <c r="BI29" i="5"/>
  <c r="BF29" i="5"/>
  <c r="BN14" i="5"/>
  <c r="CJ14" i="5" s="1"/>
  <c r="BR14" i="5"/>
  <c r="BV14" i="5"/>
  <c r="CR14" i="5" s="1"/>
  <c r="BO14" i="5"/>
  <c r="BS14" i="5"/>
  <c r="BL14" i="5"/>
  <c r="BP14" i="5"/>
  <c r="BT14" i="5"/>
  <c r="BQ14" i="5"/>
  <c r="CM14" i="5" s="1"/>
  <c r="BA14" i="5"/>
  <c r="BE14" i="5"/>
  <c r="CA14" i="5" s="1"/>
  <c r="BI14" i="5"/>
  <c r="BU14" i="5"/>
  <c r="BB14" i="5"/>
  <c r="BF14" i="5"/>
  <c r="BJ14" i="5"/>
  <c r="BC14" i="5"/>
  <c r="BG14" i="5"/>
  <c r="BK14" i="5"/>
  <c r="BD14" i="5"/>
  <c r="BM14" i="5"/>
  <c r="BH14" i="5"/>
  <c r="AX30" i="5"/>
  <c r="BN30" i="5"/>
  <c r="BR30" i="5"/>
  <c r="BV30" i="5"/>
  <c r="BO30" i="5"/>
  <c r="BS30" i="5"/>
  <c r="BL30" i="5"/>
  <c r="BP30" i="5"/>
  <c r="CL30" i="5" s="1"/>
  <c r="BT30" i="5"/>
  <c r="CP30" i="5" s="1"/>
  <c r="BQ30" i="5"/>
  <c r="CM30" i="5" s="1"/>
  <c r="BU30" i="5"/>
  <c r="CQ30" i="5" s="1"/>
  <c r="BD30" i="5"/>
  <c r="BH30" i="5"/>
  <c r="BG30" i="5"/>
  <c r="BM30" i="5"/>
  <c r="BA30" i="5"/>
  <c r="BE30" i="5"/>
  <c r="BI30" i="5"/>
  <c r="BK30" i="5"/>
  <c r="BB30" i="5"/>
  <c r="BF30" i="5"/>
  <c r="BJ30" i="5"/>
  <c r="BC30" i="5"/>
  <c r="AR19" i="5"/>
  <c r="BO19" i="5"/>
  <c r="BS19" i="5"/>
  <c r="BL19" i="5"/>
  <c r="BP19" i="5"/>
  <c r="BT19" i="5"/>
  <c r="BM19" i="5"/>
  <c r="BQ19" i="5"/>
  <c r="BU19" i="5"/>
  <c r="BB19" i="5"/>
  <c r="BF19" i="5"/>
  <c r="BJ19" i="5"/>
  <c r="BN19" i="5"/>
  <c r="BC19" i="5"/>
  <c r="BG19" i="5"/>
  <c r="BK19" i="5"/>
  <c r="BR19" i="5"/>
  <c r="BD19" i="5"/>
  <c r="BH19" i="5"/>
  <c r="BI19" i="5"/>
  <c r="BE19" i="5"/>
  <c r="BV19" i="5"/>
  <c r="BA19" i="5"/>
  <c r="AZ33" i="5"/>
  <c r="BM33" i="5"/>
  <c r="BN33" i="5"/>
  <c r="BR33" i="5"/>
  <c r="BV33" i="5"/>
  <c r="BO33" i="5"/>
  <c r="BS33" i="5"/>
  <c r="BP33" i="5"/>
  <c r="BQ33" i="5"/>
  <c r="BT33" i="5"/>
  <c r="BU33" i="5"/>
  <c r="BC33" i="5"/>
  <c r="BG33" i="5"/>
  <c r="BK33" i="5"/>
  <c r="BL33" i="5"/>
  <c r="BD33" i="5"/>
  <c r="BH33" i="5"/>
  <c r="BB33" i="5"/>
  <c r="BJ33" i="5"/>
  <c r="BA33" i="5"/>
  <c r="BE33" i="5"/>
  <c r="BI33" i="5"/>
  <c r="BF33" i="5"/>
  <c r="AX24" i="5"/>
  <c r="BL24" i="5"/>
  <c r="BP24" i="5"/>
  <c r="BT24" i="5"/>
  <c r="BM24" i="5"/>
  <c r="BQ24" i="5"/>
  <c r="BU24" i="5"/>
  <c r="BN24" i="5"/>
  <c r="BR24" i="5"/>
  <c r="BV24" i="5"/>
  <c r="BS24" i="5"/>
  <c r="BC24" i="5"/>
  <c r="BG24" i="5"/>
  <c r="BK24" i="5"/>
  <c r="BD24" i="5"/>
  <c r="BH24" i="5"/>
  <c r="BA24" i="5"/>
  <c r="BE24" i="5"/>
  <c r="BI24" i="5"/>
  <c r="BB24" i="5"/>
  <c r="BO24" i="5"/>
  <c r="BF24" i="5"/>
  <c r="BJ24" i="5"/>
  <c r="AY10" i="5"/>
  <c r="BN10" i="5"/>
  <c r="CJ10" i="5" s="1"/>
  <c r="BR10" i="5"/>
  <c r="CN10" i="5" s="1"/>
  <c r="BV10" i="5"/>
  <c r="BO10" i="5"/>
  <c r="CK10" i="5" s="1"/>
  <c r="BS10" i="5"/>
  <c r="CO10" i="5" s="1"/>
  <c r="BL10" i="5"/>
  <c r="CH10" i="5" s="1"/>
  <c r="BP10" i="5"/>
  <c r="BT10" i="5"/>
  <c r="BM10" i="5"/>
  <c r="CI10" i="5" s="1"/>
  <c r="BA10" i="5"/>
  <c r="BW10" i="5" s="1"/>
  <c r="BE10" i="5"/>
  <c r="BI10" i="5"/>
  <c r="BQ10" i="5"/>
  <c r="CM10" i="5" s="1"/>
  <c r="BB10" i="5"/>
  <c r="BX10" i="5" s="1"/>
  <c r="BF10" i="5"/>
  <c r="BJ10" i="5"/>
  <c r="BU10" i="5"/>
  <c r="CQ10" i="5" s="1"/>
  <c r="BC10" i="5"/>
  <c r="BY10" i="5" s="1"/>
  <c r="BG10" i="5"/>
  <c r="CC10" i="5" s="1"/>
  <c r="BK10" i="5"/>
  <c r="BD10" i="5"/>
  <c r="BH10" i="5"/>
  <c r="CD10" i="5" s="1"/>
  <c r="AX31" i="5"/>
  <c r="BO31" i="5"/>
  <c r="BS31" i="5"/>
  <c r="BL31" i="5"/>
  <c r="BP31" i="5"/>
  <c r="BT31" i="5"/>
  <c r="BM31" i="5"/>
  <c r="BQ31" i="5"/>
  <c r="BU31" i="5"/>
  <c r="BV31" i="5"/>
  <c r="BN31" i="5"/>
  <c r="BA31" i="5"/>
  <c r="BE31" i="5"/>
  <c r="BI31" i="5"/>
  <c r="BH31" i="5"/>
  <c r="BB31" i="5"/>
  <c r="BF31" i="5"/>
  <c r="BJ31" i="5"/>
  <c r="BR31" i="5"/>
  <c r="BC31" i="5"/>
  <c r="BG31" i="5"/>
  <c r="BK31" i="5"/>
  <c r="BD31" i="5"/>
  <c r="AU12" i="5"/>
  <c r="BL12" i="5"/>
  <c r="BP12" i="5"/>
  <c r="BT12" i="5"/>
  <c r="BM12" i="5"/>
  <c r="BQ12" i="5"/>
  <c r="BU12" i="5"/>
  <c r="BN12" i="5"/>
  <c r="BR12" i="5"/>
  <c r="BV12" i="5"/>
  <c r="BC12" i="5"/>
  <c r="BG12" i="5"/>
  <c r="BK12" i="5"/>
  <c r="BD12" i="5"/>
  <c r="BH12" i="5"/>
  <c r="BO12" i="5"/>
  <c r="BA12" i="5"/>
  <c r="BE12" i="5"/>
  <c r="BI12" i="5"/>
  <c r="BF12" i="5"/>
  <c r="BS12" i="5"/>
  <c r="BJ12" i="5"/>
  <c r="BB12" i="5"/>
  <c r="AS16" i="5"/>
  <c r="BL16" i="5"/>
  <c r="CH16" i="5" s="1"/>
  <c r="BP16" i="5"/>
  <c r="BT16" i="5"/>
  <c r="BM16" i="5"/>
  <c r="CI16" i="5" s="1"/>
  <c r="BQ16" i="5"/>
  <c r="BU16" i="5"/>
  <c r="BN16" i="5"/>
  <c r="BR16" i="5"/>
  <c r="CN16" i="5" s="1"/>
  <c r="BV16" i="5"/>
  <c r="BC16" i="5"/>
  <c r="BG16" i="5"/>
  <c r="BK16" i="5"/>
  <c r="BO16" i="5"/>
  <c r="CK16" i="5" s="1"/>
  <c r="BD16" i="5"/>
  <c r="BZ16" i="5" s="1"/>
  <c r="BH16" i="5"/>
  <c r="CD16" i="5" s="1"/>
  <c r="BS16" i="5"/>
  <c r="CO16" i="5" s="1"/>
  <c r="BA16" i="5"/>
  <c r="BE16" i="5"/>
  <c r="BI16" i="5"/>
  <c r="BJ16" i="5"/>
  <c r="BF16" i="5"/>
  <c r="BB16" i="5"/>
  <c r="BL32" i="5"/>
  <c r="BP32" i="5"/>
  <c r="BT32" i="5"/>
  <c r="BM32" i="5"/>
  <c r="BQ32" i="5"/>
  <c r="BU32" i="5"/>
  <c r="BN32" i="5"/>
  <c r="CJ32" i="5" s="1"/>
  <c r="BR32" i="5"/>
  <c r="CN32" i="5" s="1"/>
  <c r="BV32" i="5"/>
  <c r="CR32" i="5" s="1"/>
  <c r="BO32" i="5"/>
  <c r="CK32" i="5" s="1"/>
  <c r="BS32" i="5"/>
  <c r="BB32" i="5"/>
  <c r="BF32" i="5"/>
  <c r="BJ32" i="5"/>
  <c r="BI32" i="5"/>
  <c r="BC32" i="5"/>
  <c r="BG32" i="5"/>
  <c r="BK32" i="5"/>
  <c r="BA32" i="5"/>
  <c r="BW32" i="5" s="1"/>
  <c r="BD32" i="5"/>
  <c r="BH32" i="5"/>
  <c r="BE32" i="5"/>
  <c r="AP17" i="5"/>
  <c r="BM17" i="5"/>
  <c r="BQ17" i="5"/>
  <c r="BU17" i="5"/>
  <c r="BN17" i="5"/>
  <c r="BR17" i="5"/>
  <c r="BV17" i="5"/>
  <c r="BO17" i="5"/>
  <c r="BS17" i="5"/>
  <c r="BP17" i="5"/>
  <c r="BD17" i="5"/>
  <c r="BH17" i="5"/>
  <c r="BT17" i="5"/>
  <c r="BA17" i="5"/>
  <c r="BE17" i="5"/>
  <c r="BI17" i="5"/>
  <c r="BB17" i="5"/>
  <c r="BF17" i="5"/>
  <c r="BJ17" i="5"/>
  <c r="BL17" i="5"/>
  <c r="BC17" i="5"/>
  <c r="BK17" i="5"/>
  <c r="BG17" i="5"/>
  <c r="AY3" i="5"/>
  <c r="BN3" i="5"/>
  <c r="BR3" i="5"/>
  <c r="BV3" i="5"/>
  <c r="BO3" i="5"/>
  <c r="BS3" i="5"/>
  <c r="BL3" i="5"/>
  <c r="BP3" i="5"/>
  <c r="BT3" i="5"/>
  <c r="BU3" i="5"/>
  <c r="BB3" i="5"/>
  <c r="BF3" i="5"/>
  <c r="BJ3" i="5"/>
  <c r="BQ3" i="5"/>
  <c r="BE3" i="5"/>
  <c r="BC3" i="5"/>
  <c r="BG3" i="5"/>
  <c r="BK3" i="5"/>
  <c r="BM3" i="5"/>
  <c r="BD3" i="5"/>
  <c r="BH3" i="5"/>
  <c r="BA3" i="5"/>
  <c r="BI3" i="5"/>
  <c r="AJ18" i="5"/>
  <c r="BN18" i="5"/>
  <c r="BR18" i="5"/>
  <c r="BV18" i="5"/>
  <c r="CR18" i="5" s="1"/>
  <c r="BO18" i="5"/>
  <c r="CK18" i="5" s="1"/>
  <c r="BS18" i="5"/>
  <c r="CO18" i="5" s="1"/>
  <c r="BL18" i="5"/>
  <c r="BP18" i="5"/>
  <c r="BT18" i="5"/>
  <c r="BU18" i="5"/>
  <c r="BA18" i="5"/>
  <c r="BE18" i="5"/>
  <c r="CA18" i="5" s="1"/>
  <c r="BI18" i="5"/>
  <c r="BB18" i="5"/>
  <c r="BF18" i="5"/>
  <c r="BJ18" i="5"/>
  <c r="BM18" i="5"/>
  <c r="BC18" i="5"/>
  <c r="BG18" i="5"/>
  <c r="BK18" i="5"/>
  <c r="BD18" i="5"/>
  <c r="BQ18" i="5"/>
  <c r="BH18" i="5"/>
  <c r="CD18" i="5" s="1"/>
  <c r="AW7" i="5"/>
  <c r="BO7" i="5"/>
  <c r="BS7" i="5"/>
  <c r="BL7" i="5"/>
  <c r="BP7" i="5"/>
  <c r="BT7" i="5"/>
  <c r="BM7" i="5"/>
  <c r="BQ7" i="5"/>
  <c r="BU7" i="5"/>
  <c r="BN7" i="5"/>
  <c r="BB7" i="5"/>
  <c r="BF7" i="5"/>
  <c r="BJ7" i="5"/>
  <c r="BR7" i="5"/>
  <c r="BC7" i="5"/>
  <c r="BG7" i="5"/>
  <c r="BK7" i="5"/>
  <c r="BV7" i="5"/>
  <c r="BD7" i="5"/>
  <c r="BH7" i="5"/>
  <c r="BA7" i="5"/>
  <c r="BI7" i="5"/>
  <c r="BE7" i="5"/>
  <c r="BO23" i="5"/>
  <c r="BS23" i="5"/>
  <c r="BL23" i="5"/>
  <c r="BP23" i="5"/>
  <c r="BT23" i="5"/>
  <c r="BM23" i="5"/>
  <c r="BQ23" i="5"/>
  <c r="BU23" i="5"/>
  <c r="BN23" i="5"/>
  <c r="BB23" i="5"/>
  <c r="BF23" i="5"/>
  <c r="BJ23" i="5"/>
  <c r="BR23" i="5"/>
  <c r="BC23" i="5"/>
  <c r="BG23" i="5"/>
  <c r="BK23" i="5"/>
  <c r="BV23" i="5"/>
  <c r="CR23" i="5" s="1"/>
  <c r="BD23" i="5"/>
  <c r="BH23" i="5"/>
  <c r="BI23" i="5"/>
  <c r="BA23" i="5"/>
  <c r="BW23" i="5" s="1"/>
  <c r="BE23" i="5"/>
  <c r="CA23" i="5" s="1"/>
  <c r="BO34" i="5"/>
  <c r="BS34" i="5"/>
  <c r="BL34" i="5"/>
  <c r="BP34" i="5"/>
  <c r="BM34" i="5"/>
  <c r="BT34" i="5"/>
  <c r="BN34" i="5"/>
  <c r="BU34" i="5"/>
  <c r="BQ34" i="5"/>
  <c r="CM34" i="5" s="1"/>
  <c r="BV34" i="5"/>
  <c r="BD34" i="5"/>
  <c r="BH34" i="5"/>
  <c r="BC34" i="5"/>
  <c r="BY34" i="5" s="1"/>
  <c r="BR34" i="5"/>
  <c r="BA34" i="5"/>
  <c r="BE34" i="5"/>
  <c r="BI34" i="5"/>
  <c r="BK34" i="5"/>
  <c r="BB34" i="5"/>
  <c r="BF34" i="5"/>
  <c r="BJ34" i="5"/>
  <c r="CF34" i="5" s="1"/>
  <c r="BG34" i="5"/>
  <c r="AW8" i="5"/>
  <c r="BL8" i="5"/>
  <c r="CH8" i="5" s="1"/>
  <c r="BP8" i="5"/>
  <c r="BT8" i="5"/>
  <c r="BM8" i="5"/>
  <c r="BQ8" i="5"/>
  <c r="BU8" i="5"/>
  <c r="BN8" i="5"/>
  <c r="CJ8" i="5" s="1"/>
  <c r="BR8" i="5"/>
  <c r="CN8" i="5" s="1"/>
  <c r="BV8" i="5"/>
  <c r="CR8" i="5" s="1"/>
  <c r="BS8" i="5"/>
  <c r="BC8" i="5"/>
  <c r="BG8" i="5"/>
  <c r="BK8" i="5"/>
  <c r="BD8" i="5"/>
  <c r="BZ8" i="5" s="1"/>
  <c r="BH8" i="5"/>
  <c r="BA8" i="5"/>
  <c r="BW8" i="5" s="1"/>
  <c r="BE8" i="5"/>
  <c r="CA8" i="5" s="1"/>
  <c r="BI8" i="5"/>
  <c r="CE8" i="5" s="1"/>
  <c r="BB8" i="5"/>
  <c r="BX8" i="5" s="1"/>
  <c r="BF8" i="5"/>
  <c r="CB8" i="5" s="1"/>
  <c r="BO8" i="5"/>
  <c r="BJ8" i="5"/>
  <c r="AT25" i="5"/>
  <c r="BM25" i="5"/>
  <c r="BQ25" i="5"/>
  <c r="BU25" i="5"/>
  <c r="BN25" i="5"/>
  <c r="BR25" i="5"/>
  <c r="BV25" i="5"/>
  <c r="BO25" i="5"/>
  <c r="BS25" i="5"/>
  <c r="BD25" i="5"/>
  <c r="BL25" i="5"/>
  <c r="BA25" i="5"/>
  <c r="BE25" i="5"/>
  <c r="BP25" i="5"/>
  <c r="BB25" i="5"/>
  <c r="BF25" i="5"/>
  <c r="BG25" i="5"/>
  <c r="BK25" i="5"/>
  <c r="BH25" i="5"/>
  <c r="BC25" i="5"/>
  <c r="BJ25" i="5"/>
  <c r="BT25" i="5"/>
  <c r="BI25" i="5"/>
  <c r="AU26" i="5"/>
  <c r="BN26" i="5"/>
  <c r="BR26" i="5"/>
  <c r="BV26" i="5"/>
  <c r="BO26" i="5"/>
  <c r="BS26" i="5"/>
  <c r="BL26" i="5"/>
  <c r="BP26" i="5"/>
  <c r="BT26" i="5"/>
  <c r="BM26" i="5"/>
  <c r="BQ26" i="5"/>
  <c r="BU26" i="5"/>
  <c r="BD26" i="5"/>
  <c r="BZ26" i="5" s="1"/>
  <c r="BH26" i="5"/>
  <c r="CD26" i="5" s="1"/>
  <c r="BG26" i="5"/>
  <c r="CC26" i="5" s="1"/>
  <c r="BA26" i="5"/>
  <c r="BW26" i="5" s="1"/>
  <c r="BE26" i="5"/>
  <c r="BI26" i="5"/>
  <c r="BC26" i="5"/>
  <c r="BB26" i="5"/>
  <c r="BF26" i="5"/>
  <c r="BJ26" i="5"/>
  <c r="BK26" i="5"/>
  <c r="AE4" i="5"/>
  <c r="BL4" i="5"/>
  <c r="BP4" i="5"/>
  <c r="BT4" i="5"/>
  <c r="BM4" i="5"/>
  <c r="BQ4" i="5"/>
  <c r="CM4" i="5" s="1"/>
  <c r="BU4" i="5"/>
  <c r="CQ4" i="5" s="1"/>
  <c r="BN4" i="5"/>
  <c r="BR4" i="5"/>
  <c r="BV4" i="5"/>
  <c r="BO4" i="5"/>
  <c r="BC4" i="5"/>
  <c r="BY4" i="5" s="1"/>
  <c r="BG4" i="5"/>
  <c r="CC4" i="5" s="1"/>
  <c r="BK4" i="5"/>
  <c r="CG4" i="5" s="1"/>
  <c r="BS4" i="5"/>
  <c r="CO4" i="5" s="1"/>
  <c r="BD4" i="5"/>
  <c r="BH4" i="5"/>
  <c r="BA4" i="5"/>
  <c r="BE4" i="5"/>
  <c r="BI4" i="5"/>
  <c r="BJ4" i="5"/>
  <c r="BB4" i="5"/>
  <c r="BF4" i="5"/>
  <c r="AR20" i="5"/>
  <c r="BL20" i="5"/>
  <c r="BP20" i="5"/>
  <c r="BT20" i="5"/>
  <c r="BM20" i="5"/>
  <c r="BQ20" i="5"/>
  <c r="BU20" i="5"/>
  <c r="BN20" i="5"/>
  <c r="BR20" i="5"/>
  <c r="CN20" i="5" s="1"/>
  <c r="BV20" i="5"/>
  <c r="BO20" i="5"/>
  <c r="CK20" i="5" s="1"/>
  <c r="BC20" i="5"/>
  <c r="BG20" i="5"/>
  <c r="BK20" i="5"/>
  <c r="BS20" i="5"/>
  <c r="BD20" i="5"/>
  <c r="BH20" i="5"/>
  <c r="CD20" i="5" s="1"/>
  <c r="BA20" i="5"/>
  <c r="BE20" i="5"/>
  <c r="BI20" i="5"/>
  <c r="BB20" i="5"/>
  <c r="BX20" i="5" s="1"/>
  <c r="BJ20" i="5"/>
  <c r="CF20" i="5" s="1"/>
  <c r="BF20" i="5"/>
  <c r="AT5" i="5"/>
  <c r="BM5" i="5"/>
  <c r="BQ5" i="5"/>
  <c r="BU5" i="5"/>
  <c r="BN5" i="5"/>
  <c r="BR5" i="5"/>
  <c r="BV5" i="5"/>
  <c r="BO5" i="5"/>
  <c r="BS5" i="5"/>
  <c r="BT5" i="5"/>
  <c r="BD5" i="5"/>
  <c r="BH5" i="5"/>
  <c r="BA5" i="5"/>
  <c r="BE5" i="5"/>
  <c r="BI5" i="5"/>
  <c r="BL5" i="5"/>
  <c r="BB5" i="5"/>
  <c r="BF5" i="5"/>
  <c r="BJ5" i="5"/>
  <c r="BP5" i="5"/>
  <c r="BC5" i="5"/>
  <c r="BG5" i="5"/>
  <c r="BK5" i="5"/>
  <c r="AR21" i="5"/>
  <c r="BM21" i="5"/>
  <c r="BQ21" i="5"/>
  <c r="BU21" i="5"/>
  <c r="BN21" i="5"/>
  <c r="BR21" i="5"/>
  <c r="BV21" i="5"/>
  <c r="BO21" i="5"/>
  <c r="BS21" i="5"/>
  <c r="BT21" i="5"/>
  <c r="BD21" i="5"/>
  <c r="BH21" i="5"/>
  <c r="BA21" i="5"/>
  <c r="BE21" i="5"/>
  <c r="BI21" i="5"/>
  <c r="BL21" i="5"/>
  <c r="BB21" i="5"/>
  <c r="BF21" i="5"/>
  <c r="BJ21" i="5"/>
  <c r="BC21" i="5"/>
  <c r="BG21" i="5"/>
  <c r="BP21" i="5"/>
  <c r="BK21" i="5"/>
  <c r="AU6" i="5"/>
  <c r="BN6" i="5"/>
  <c r="BR6" i="5"/>
  <c r="BV6" i="5"/>
  <c r="BO6" i="5"/>
  <c r="CK6" i="5" s="1"/>
  <c r="BS6" i="5"/>
  <c r="CO6" i="5" s="1"/>
  <c r="BL6" i="5"/>
  <c r="CH6" i="5" s="1"/>
  <c r="BP6" i="5"/>
  <c r="CL6" i="5" s="1"/>
  <c r="BT6" i="5"/>
  <c r="CP6" i="5" s="1"/>
  <c r="BA6" i="5"/>
  <c r="BW6" i="5" s="1"/>
  <c r="BE6" i="5"/>
  <c r="BI6" i="5"/>
  <c r="BM6" i="5"/>
  <c r="BB6" i="5"/>
  <c r="BF6" i="5"/>
  <c r="BJ6" i="5"/>
  <c r="BQ6" i="5"/>
  <c r="BC6" i="5"/>
  <c r="BG6" i="5"/>
  <c r="BK6" i="5"/>
  <c r="BH6" i="5"/>
  <c r="BU6" i="5"/>
  <c r="BD6" i="5"/>
  <c r="AR22" i="5"/>
  <c r="BN22" i="5"/>
  <c r="CJ22" i="5" s="1"/>
  <c r="BR22" i="5"/>
  <c r="CN22" i="5" s="1"/>
  <c r="BV22" i="5"/>
  <c r="BO22" i="5"/>
  <c r="BS22" i="5"/>
  <c r="CO22" i="5" s="1"/>
  <c r="BL22" i="5"/>
  <c r="CH22" i="5" s="1"/>
  <c r="BP22" i="5"/>
  <c r="CL22" i="5" s="1"/>
  <c r="BT22" i="5"/>
  <c r="CP22" i="5" s="1"/>
  <c r="BA22" i="5"/>
  <c r="BW22" i="5" s="1"/>
  <c r="BE22" i="5"/>
  <c r="BI22" i="5"/>
  <c r="CE22" i="5" s="1"/>
  <c r="BM22" i="5"/>
  <c r="BB22" i="5"/>
  <c r="BF22" i="5"/>
  <c r="BJ22" i="5"/>
  <c r="BQ22" i="5"/>
  <c r="BC22" i="5"/>
  <c r="BG22" i="5"/>
  <c r="BK22" i="5"/>
  <c r="BU22" i="5"/>
  <c r="CQ22" i="5" s="1"/>
  <c r="BH22" i="5"/>
  <c r="BD22" i="5"/>
  <c r="AJ11" i="5"/>
  <c r="BO11" i="5"/>
  <c r="BS11" i="5"/>
  <c r="BL11" i="5"/>
  <c r="BP11" i="5"/>
  <c r="BT11" i="5"/>
  <c r="BM11" i="5"/>
  <c r="BQ11" i="5"/>
  <c r="BU11" i="5"/>
  <c r="BR11" i="5"/>
  <c r="BB11" i="5"/>
  <c r="BF11" i="5"/>
  <c r="BJ11" i="5"/>
  <c r="BV11" i="5"/>
  <c r="CR11" i="5" s="1"/>
  <c r="BC11" i="5"/>
  <c r="BG11" i="5"/>
  <c r="BK11" i="5"/>
  <c r="BD11" i="5"/>
  <c r="BH11" i="5"/>
  <c r="BN11" i="5"/>
  <c r="CJ11" i="5" s="1"/>
  <c r="BA11" i="5"/>
  <c r="BE11" i="5"/>
  <c r="BI11" i="5"/>
  <c r="AX27" i="5"/>
  <c r="BO27" i="5"/>
  <c r="CK27" i="5" s="1"/>
  <c r="BS27" i="5"/>
  <c r="CO27" i="5" s="1"/>
  <c r="BL27" i="5"/>
  <c r="CH27" i="5" s="1"/>
  <c r="BP27" i="5"/>
  <c r="CL27" i="5" s="1"/>
  <c r="BT27" i="5"/>
  <c r="CP27" i="5" s="1"/>
  <c r="BM27" i="5"/>
  <c r="CI27" i="5" s="1"/>
  <c r="BQ27" i="5"/>
  <c r="BU27" i="5"/>
  <c r="BR27" i="5"/>
  <c r="BV27" i="5"/>
  <c r="CR27" i="5" s="1"/>
  <c r="BA27" i="5"/>
  <c r="BE27" i="5"/>
  <c r="BI27" i="5"/>
  <c r="CE27" i="5" s="1"/>
  <c r="BH27" i="5"/>
  <c r="CD27" i="5" s="1"/>
  <c r="BB27" i="5"/>
  <c r="BF27" i="5"/>
  <c r="BJ27" i="5"/>
  <c r="BN27" i="5"/>
  <c r="CJ27" i="5" s="1"/>
  <c r="BD27" i="5"/>
  <c r="BZ27" i="5" s="1"/>
  <c r="BC27" i="5"/>
  <c r="BY27" i="5" s="1"/>
  <c r="BG27" i="5"/>
  <c r="CC27" i="5" s="1"/>
  <c r="BK27" i="5"/>
  <c r="CG27" i="5" s="1"/>
  <c r="X18" i="5"/>
  <c r="X7" i="5"/>
  <c r="X33" i="5"/>
  <c r="X32" i="5"/>
  <c r="X30" i="5"/>
  <c r="AV3" i="5"/>
  <c r="X6" i="5"/>
  <c r="X5" i="5"/>
  <c r="AZ10" i="5"/>
  <c r="AP33" i="5"/>
  <c r="AX3" i="5"/>
  <c r="AH10" i="5"/>
  <c r="AM33" i="5"/>
  <c r="X12" i="5"/>
  <c r="X19" i="5"/>
  <c r="AJ33" i="5"/>
  <c r="X9" i="5"/>
  <c r="X21" i="5"/>
  <c r="X23" i="5"/>
  <c r="X13" i="5"/>
  <c r="X15" i="5"/>
  <c r="X8" i="5"/>
  <c r="X14" i="5"/>
  <c r="X22" i="5"/>
  <c r="X17" i="5"/>
  <c r="X29" i="5"/>
  <c r="X31" i="5"/>
  <c r="X24" i="5"/>
  <c r="X16" i="5"/>
  <c r="X10" i="5"/>
  <c r="X20" i="5"/>
  <c r="X11" i="5"/>
  <c r="X34" i="5"/>
  <c r="AJ15" i="5"/>
  <c r="AH29" i="5"/>
  <c r="AV15" i="5"/>
  <c r="AI15" i="5"/>
  <c r="AN25" i="5"/>
  <c r="AM29" i="5"/>
  <c r="AS10" i="5"/>
  <c r="AL11" i="5"/>
  <c r="AK15" i="5"/>
  <c r="AI33" i="5"/>
  <c r="AI8" i="5"/>
  <c r="AZ25" i="5"/>
  <c r="AU11" i="5"/>
  <c r="AP15" i="5"/>
  <c r="AN8" i="5"/>
  <c r="AT9" i="5"/>
  <c r="AT13" i="5"/>
  <c r="AQ21" i="5"/>
  <c r="AZ31" i="5"/>
  <c r="AQ13" i="5"/>
  <c r="AL13" i="5"/>
  <c r="AI9" i="5"/>
  <c r="AV13" i="5"/>
  <c r="AN13" i="5"/>
  <c r="AG21" i="5"/>
  <c r="AZ30" i="5"/>
  <c r="AP8" i="5"/>
  <c r="AF8" i="5"/>
  <c r="AJ9" i="5"/>
  <c r="AP9" i="5"/>
  <c r="AF13" i="5"/>
  <c r="AM13" i="5"/>
  <c r="AV21" i="5"/>
  <c r="AK29" i="5"/>
  <c r="AR3" i="5"/>
  <c r="AO26" i="5"/>
  <c r="AK30" i="5"/>
  <c r="AE7" i="5"/>
  <c r="AF15" i="5"/>
  <c r="AX15" i="5"/>
  <c r="AZ15" i="5"/>
  <c r="AT33" i="5"/>
  <c r="AS33" i="5"/>
  <c r="AK9" i="5"/>
  <c r="AY21" i="5"/>
  <c r="AP30" i="5"/>
  <c r="AU8" i="5"/>
  <c r="AS9" i="5"/>
  <c r="AZ9" i="5"/>
  <c r="AG13" i="5"/>
  <c r="AE13" i="5"/>
  <c r="AZ13" i="5"/>
  <c r="AI21" i="5"/>
  <c r="AE21" i="5"/>
  <c r="AJ30" i="5"/>
  <c r="AH30" i="5"/>
  <c r="AN15" i="5"/>
  <c r="AO15" i="5"/>
  <c r="AG33" i="5"/>
  <c r="AI17" i="5"/>
  <c r="AN18" i="5"/>
  <c r="AR8" i="5"/>
  <c r="AE8" i="5"/>
  <c r="AO12" i="5"/>
  <c r="AU20" i="5"/>
  <c r="AJ24" i="5"/>
  <c r="AI28" i="5"/>
  <c r="AO28" i="5"/>
  <c r="AQ29" i="5"/>
  <c r="AL6" i="5"/>
  <c r="AR18" i="5"/>
  <c r="AM18" i="5"/>
  <c r="AW22" i="5"/>
  <c r="AL26" i="5"/>
  <c r="AF19" i="5"/>
  <c r="AL27" i="5"/>
  <c r="AS27" i="5"/>
  <c r="AJ27" i="5"/>
  <c r="AU31" i="5"/>
  <c r="AN33" i="5"/>
  <c r="AW33" i="5"/>
  <c r="AJ12" i="5"/>
  <c r="AY24" i="5"/>
  <c r="AR28" i="5"/>
  <c r="AE9" i="5"/>
  <c r="AY9" i="5"/>
  <c r="AE30" i="5"/>
  <c r="AG30" i="5"/>
  <c r="AV33" i="5"/>
  <c r="AQ8" i="5"/>
  <c r="AV8" i="5"/>
  <c r="AY12" i="5"/>
  <c r="AH24" i="5"/>
  <c r="AU24" i="5"/>
  <c r="AW28" i="5"/>
  <c r="AV9" i="5"/>
  <c r="AU9" i="5"/>
  <c r="AF9" i="5"/>
  <c r="AO13" i="5"/>
  <c r="AH13" i="5"/>
  <c r="AY13" i="5"/>
  <c r="AL21" i="5"/>
  <c r="AO25" i="5"/>
  <c r="AS29" i="5"/>
  <c r="AW29" i="5"/>
  <c r="AF18" i="5"/>
  <c r="AO18" i="5"/>
  <c r="AR26" i="5"/>
  <c r="AF30" i="5"/>
  <c r="AY30" i="5"/>
  <c r="AW30" i="5"/>
  <c r="AM15" i="5"/>
  <c r="AE15" i="5"/>
  <c r="AH15" i="5"/>
  <c r="AJ19" i="5"/>
  <c r="AZ27" i="5"/>
  <c r="AI27" i="5"/>
  <c r="AH31" i="5"/>
  <c r="AY31" i="5"/>
  <c r="AE33" i="5"/>
  <c r="AF33" i="5"/>
  <c r="AU33" i="5"/>
  <c r="AT18" i="5"/>
  <c r="AL18" i="5"/>
  <c r="AY18" i="5"/>
  <c r="AX26" i="5"/>
  <c r="AY19" i="5"/>
  <c r="AO27" i="5"/>
  <c r="AY27" i="5"/>
  <c r="AK31" i="5"/>
  <c r="AE28" i="5"/>
  <c r="AW27" i="5"/>
  <c r="AG27" i="5"/>
  <c r="AW4" i="5"/>
  <c r="AO4" i="5"/>
  <c r="AE16" i="5"/>
  <c r="AK16" i="5"/>
  <c r="AW16" i="5"/>
  <c r="AU14" i="5"/>
  <c r="AL14" i="5"/>
  <c r="AI14" i="5"/>
  <c r="AM14" i="5"/>
  <c r="AO14" i="5"/>
  <c r="AH14" i="5"/>
  <c r="AS14" i="5"/>
  <c r="AW14" i="5"/>
  <c r="X4" i="5"/>
  <c r="X3" i="5"/>
  <c r="AZ4" i="5"/>
  <c r="AY8" i="5"/>
  <c r="AL8" i="5"/>
  <c r="AK8" i="5"/>
  <c r="AH8" i="5"/>
  <c r="AM8" i="5"/>
  <c r="AZ8" i="5"/>
  <c r="AS8" i="5"/>
  <c r="AT8" i="5"/>
  <c r="AG16" i="5"/>
  <c r="AX16" i="5"/>
  <c r="AK24" i="5"/>
  <c r="AN24" i="5"/>
  <c r="AZ28" i="5"/>
  <c r="AQ28" i="5"/>
  <c r="AL28" i="5"/>
  <c r="AY28" i="5"/>
  <c r="AS28" i="5"/>
  <c r="AP28" i="5"/>
  <c r="AI5" i="5"/>
  <c r="AR5" i="5"/>
  <c r="AY17" i="5"/>
  <c r="AH25" i="5"/>
  <c r="AJ25" i="5"/>
  <c r="AO29" i="5"/>
  <c r="AP29" i="5"/>
  <c r="AN29" i="5"/>
  <c r="AE3" i="5"/>
  <c r="AS3" i="5"/>
  <c r="AR14" i="5"/>
  <c r="AP14" i="5"/>
  <c r="AZ14" i="5"/>
  <c r="AS26" i="5"/>
  <c r="AP26" i="5"/>
  <c r="AQ24" i="5"/>
  <c r="AE24" i="5"/>
  <c r="AM24" i="5"/>
  <c r="AF24" i="5"/>
  <c r="AR24" i="5"/>
  <c r="AP24" i="5"/>
  <c r="AV24" i="5"/>
  <c r="AS24" i="5"/>
  <c r="AP5" i="5"/>
  <c r="AH5" i="5"/>
  <c r="AG4" i="5"/>
  <c r="AH16" i="5"/>
  <c r="AU16" i="5"/>
  <c r="AO24" i="5"/>
  <c r="AW24" i="5"/>
  <c r="AG24" i="5"/>
  <c r="AQ5" i="5"/>
  <c r="AE17" i="5"/>
  <c r="AZ17" i="5"/>
  <c r="AF25" i="5"/>
  <c r="AV29" i="5"/>
  <c r="AG29" i="5"/>
  <c r="AF29" i="5"/>
  <c r="AL29" i="5"/>
  <c r="AJ29" i="5"/>
  <c r="AU29" i="5"/>
  <c r="AT29" i="5"/>
  <c r="AX29" i="5"/>
  <c r="AQ3" i="5"/>
  <c r="AT14" i="5"/>
  <c r="AV14" i="5"/>
  <c r="AG14" i="5"/>
  <c r="AU22" i="5"/>
  <c r="AQ22" i="5"/>
  <c r="AL22" i="5"/>
  <c r="AV22" i="5"/>
  <c r="AQ26" i="5"/>
  <c r="AE26" i="5"/>
  <c r="AM26" i="5"/>
  <c r="AF26" i="5"/>
  <c r="AY26" i="5"/>
  <c r="AI26" i="5"/>
  <c r="AH26" i="5"/>
  <c r="AG26" i="5"/>
  <c r="AN26" i="5"/>
  <c r="AT26" i="5"/>
  <c r="AZ26" i="5"/>
  <c r="AR7" i="5"/>
  <c r="AU7" i="5"/>
  <c r="AP7" i="5"/>
  <c r="AO16" i="5"/>
  <c r="AJ16" i="5"/>
  <c r="AL16" i="5"/>
  <c r="AP16" i="5"/>
  <c r="AZ16" i="5"/>
  <c r="AO5" i="5"/>
  <c r="AX5" i="5"/>
  <c r="AF5" i="5"/>
  <c r="AG25" i="5"/>
  <c r="AI25" i="5"/>
  <c r="AP25" i="5"/>
  <c r="AR25" i="5"/>
  <c r="AE25" i="5"/>
  <c r="AP3" i="5"/>
  <c r="AJ3" i="5"/>
  <c r="AZ3" i="5"/>
  <c r="AG3" i="5"/>
  <c r="AM3" i="5"/>
  <c r="AK3" i="5"/>
  <c r="AN14" i="5"/>
  <c r="AX14" i="5"/>
  <c r="AK14" i="5"/>
  <c r="AY14" i="5"/>
  <c r="AO11" i="5"/>
  <c r="AY11" i="5"/>
  <c r="AX19" i="5"/>
  <c r="AU19" i="5"/>
  <c r="AQ31" i="5"/>
  <c r="AW31" i="5"/>
  <c r="AT31" i="5"/>
  <c r="AV31" i="5"/>
  <c r="AE11" i="5"/>
  <c r="AX11" i="5"/>
  <c r="AM19" i="5"/>
  <c r="AH19" i="5"/>
  <c r="AP31" i="5"/>
  <c r="AL31" i="5"/>
  <c r="AM31" i="5"/>
  <c r="AF31" i="5"/>
  <c r="AS12" i="5"/>
  <c r="AO9" i="5"/>
  <c r="AQ9" i="5"/>
  <c r="AK13" i="5"/>
  <c r="AX13" i="5"/>
  <c r="AU13" i="5"/>
  <c r="AR13" i="5"/>
  <c r="AF21" i="5"/>
  <c r="AG18" i="5"/>
  <c r="AN30" i="5"/>
  <c r="AQ30" i="5"/>
  <c r="AV11" i="5"/>
  <c r="AG11" i="5"/>
  <c r="AT15" i="5"/>
  <c r="AQ15" i="5"/>
  <c r="AU15" i="5"/>
  <c r="AW15" i="5"/>
  <c r="AG19" i="5"/>
  <c r="AQ19" i="5"/>
  <c r="AM27" i="5"/>
  <c r="AR27" i="5"/>
  <c r="AJ31" i="5"/>
  <c r="AG31" i="5"/>
  <c r="AN31" i="5"/>
  <c r="AO31" i="5"/>
  <c r="AK33" i="5"/>
  <c r="AX33" i="5"/>
  <c r="AQ33" i="5"/>
  <c r="AR33" i="5"/>
  <c r="AL32" i="5"/>
  <c r="AT32" i="5"/>
  <c r="AU32" i="5"/>
  <c r="AN32" i="5"/>
  <c r="AP32" i="5"/>
  <c r="AQ32" i="5"/>
  <c r="AG32" i="5"/>
  <c r="AR32" i="5"/>
  <c r="AJ32" i="5"/>
  <c r="AH32" i="5"/>
  <c r="AW32" i="5"/>
  <c r="AV32" i="5"/>
  <c r="AY32" i="5"/>
  <c r="AM32" i="5"/>
  <c r="AZ32" i="5"/>
  <c r="AE32" i="5"/>
  <c r="AS32" i="5"/>
  <c r="AX32" i="5"/>
  <c r="AO32" i="5"/>
  <c r="AI32" i="5"/>
  <c r="AE20" i="5"/>
  <c r="AS20" i="5"/>
  <c r="AM20" i="5"/>
  <c r="AZ20" i="5"/>
  <c r="AT20" i="5"/>
  <c r="AL20" i="5"/>
  <c r="AW20" i="5"/>
  <c r="AQ20" i="5"/>
  <c r="AK20" i="5"/>
  <c r="AX20" i="5"/>
  <c r="AF20" i="5"/>
  <c r="AG20" i="5"/>
  <c r="AN20" i="5"/>
  <c r="AO20" i="5"/>
  <c r="AH20" i="5"/>
  <c r="AI20" i="5"/>
  <c r="AV20" i="5"/>
  <c r="AP20" i="5"/>
  <c r="AY20" i="5"/>
  <c r="AK32" i="5"/>
  <c r="AJ20" i="5"/>
  <c r="AF32" i="5"/>
  <c r="AK4" i="5"/>
  <c r="AT4" i="5"/>
  <c r="AV4" i="5"/>
  <c r="AX12" i="5"/>
  <c r="AT12" i="5"/>
  <c r="AR12" i="5"/>
  <c r="AZ12" i="5"/>
  <c r="AH4" i="5"/>
  <c r="AS4" i="5"/>
  <c r="AF4" i="5"/>
  <c r="AP4" i="5"/>
  <c r="AM4" i="5"/>
  <c r="AJ4" i="5"/>
  <c r="AR4" i="5"/>
  <c r="AX4" i="5"/>
  <c r="AU4" i="5"/>
  <c r="AY4" i="5"/>
  <c r="AW12" i="5"/>
  <c r="AH12" i="5"/>
  <c r="AI12" i="5"/>
  <c r="AP12" i="5"/>
  <c r="AE12" i="5"/>
  <c r="AN12" i="5"/>
  <c r="AM12" i="5"/>
  <c r="AL12" i="5"/>
  <c r="AQ12" i="5"/>
  <c r="AO6" i="5"/>
  <c r="AV6" i="5"/>
  <c r="AZ6" i="5"/>
  <c r="AR6" i="5"/>
  <c r="AG6" i="5"/>
  <c r="AW6" i="5"/>
  <c r="AS6" i="5"/>
  <c r="AT6" i="5"/>
  <c r="AQ6" i="5"/>
  <c r="AP6" i="5"/>
  <c r="AK6" i="5"/>
  <c r="AI6" i="5"/>
  <c r="AX6" i="5"/>
  <c r="AF6" i="5"/>
  <c r="AJ6" i="5"/>
  <c r="AH6" i="5"/>
  <c r="AM6" i="5"/>
  <c r="AN6" i="5"/>
  <c r="AY6" i="5"/>
  <c r="AQ4" i="5"/>
  <c r="AL4" i="5"/>
  <c r="AN4" i="5"/>
  <c r="AI4" i="5"/>
  <c r="AG12" i="5"/>
  <c r="AV12" i="5"/>
  <c r="AF12" i="5"/>
  <c r="AK12" i="5"/>
  <c r="AF16" i="5"/>
  <c r="AQ16" i="5"/>
  <c r="AT16" i="5"/>
  <c r="AN16" i="5"/>
  <c r="AV16" i="5"/>
  <c r="AR16" i="5"/>
  <c r="AM16" i="5"/>
  <c r="AI16" i="5"/>
  <c r="AY16" i="5"/>
  <c r="AK5" i="5"/>
  <c r="AY5" i="5"/>
  <c r="AN5" i="5"/>
  <c r="AZ5" i="5"/>
  <c r="AM5" i="5"/>
  <c r="AL5" i="5"/>
  <c r="AJ5" i="5"/>
  <c r="AS5" i="5"/>
  <c r="AV5" i="5"/>
  <c r="AE5" i="5"/>
  <c r="AU5" i="5"/>
  <c r="AG5" i="5"/>
  <c r="AW5" i="5"/>
  <c r="AE6" i="5"/>
  <c r="AT17" i="5"/>
  <c r="AF17" i="5"/>
  <c r="AR17" i="5"/>
  <c r="AH17" i="5"/>
  <c r="AX17" i="5"/>
  <c r="AG17" i="5"/>
  <c r="AN17" i="5"/>
  <c r="AL17" i="5"/>
  <c r="AJ17" i="5"/>
  <c r="AW10" i="5"/>
  <c r="AU10" i="5"/>
  <c r="AL10" i="5"/>
  <c r="AF10" i="5"/>
  <c r="AV10" i="5"/>
  <c r="AR10" i="5"/>
  <c r="AG10" i="5"/>
  <c r="AQ10" i="5"/>
  <c r="AO10" i="5"/>
  <c r="AT10" i="5"/>
  <c r="AV28" i="5"/>
  <c r="AN28" i="5"/>
  <c r="AM28" i="5"/>
  <c r="AT28" i="5"/>
  <c r="AX28" i="5"/>
  <c r="AQ17" i="5"/>
  <c r="AU17" i="5"/>
  <c r="AO17" i="5"/>
  <c r="AM17" i="5"/>
  <c r="AK21" i="5"/>
  <c r="AP21" i="5"/>
  <c r="AX21" i="5"/>
  <c r="AS21" i="5"/>
  <c r="AO21" i="5"/>
  <c r="AH21" i="5"/>
  <c r="AJ21" i="5"/>
  <c r="AW21" i="5"/>
  <c r="AT21" i="5"/>
  <c r="AP10" i="5"/>
  <c r="AK10" i="5"/>
  <c r="AJ10" i="5"/>
  <c r="AI10" i="5"/>
  <c r="AX8" i="5"/>
  <c r="AO8" i="5"/>
  <c r="AJ8" i="5"/>
  <c r="AG8" i="5"/>
  <c r="AZ24" i="5"/>
  <c r="AT24" i="5"/>
  <c r="AL24" i="5"/>
  <c r="AI24" i="5"/>
  <c r="AF28" i="5"/>
  <c r="AU28" i="5"/>
  <c r="AK28" i="5"/>
  <c r="AJ28" i="5"/>
  <c r="AG28" i="5"/>
  <c r="AX9" i="5"/>
  <c r="AW9" i="5"/>
  <c r="AL9" i="5"/>
  <c r="AR9" i="5"/>
  <c r="AN9" i="5"/>
  <c r="AH9" i="5"/>
  <c r="AG9" i="5"/>
  <c r="AK17" i="5"/>
  <c r="AV17" i="5"/>
  <c r="AS17" i="5"/>
  <c r="AW17" i="5"/>
  <c r="AZ21" i="5"/>
  <c r="AU21" i="5"/>
  <c r="AM21" i="5"/>
  <c r="AN21" i="5"/>
  <c r="AX25" i="5"/>
  <c r="AV25" i="5"/>
  <c r="AL25" i="5"/>
  <c r="AY25" i="5"/>
  <c r="AK25" i="5"/>
  <c r="AW25" i="5"/>
  <c r="AS25" i="5"/>
  <c r="AU25" i="5"/>
  <c r="AM25" i="5"/>
  <c r="AQ25" i="5"/>
  <c r="AT3" i="5"/>
  <c r="AN3" i="5"/>
  <c r="AW3" i="5"/>
  <c r="AF3" i="5"/>
  <c r="AH3" i="5"/>
  <c r="AU3" i="5"/>
  <c r="AO3" i="5"/>
  <c r="AI3" i="5"/>
  <c r="AL3" i="5"/>
  <c r="AN10" i="5"/>
  <c r="AX10" i="5"/>
  <c r="AM10" i="5"/>
  <c r="AE10" i="5"/>
  <c r="AK22" i="5"/>
  <c r="AP22" i="5"/>
  <c r="AG22" i="5"/>
  <c r="AN22" i="5"/>
  <c r="AX22" i="5"/>
  <c r="AE22" i="5"/>
  <c r="AM22" i="5"/>
  <c r="AI22" i="5"/>
  <c r="AT22" i="5"/>
  <c r="AJ22" i="5"/>
  <c r="AO22" i="5"/>
  <c r="AH22" i="5"/>
  <c r="AF22" i="5"/>
  <c r="AZ22" i="5"/>
  <c r="AY22" i="5"/>
  <c r="AS22" i="5"/>
  <c r="AF23" i="5"/>
  <c r="AT23" i="5"/>
  <c r="AS23" i="5"/>
  <c r="AG23" i="5"/>
  <c r="AO23" i="5"/>
  <c r="AP23" i="5"/>
  <c r="AL23" i="5"/>
  <c r="AY23" i="5"/>
  <c r="AX23" i="5"/>
  <c r="AP34" i="5"/>
  <c r="AO34" i="5"/>
  <c r="AJ34" i="5"/>
  <c r="AZ34" i="5"/>
  <c r="AU34" i="5"/>
  <c r="AY34" i="5"/>
  <c r="AK34" i="5"/>
  <c r="AG34" i="5"/>
  <c r="AT34" i="5"/>
  <c r="AV30" i="5"/>
  <c r="AM30" i="5"/>
  <c r="AI30" i="5"/>
  <c r="AS30" i="5"/>
  <c r="AU30" i="5"/>
  <c r="AR30" i="5"/>
  <c r="AO30" i="5"/>
  <c r="AL30" i="5"/>
  <c r="AT30" i="5"/>
  <c r="AH7" i="5"/>
  <c r="AV7" i="5"/>
  <c r="AQ7" i="5"/>
  <c r="AY7" i="5"/>
  <c r="AH11" i="5"/>
  <c r="AM11" i="5"/>
  <c r="AP11" i="5"/>
  <c r="AV19" i="5"/>
  <c r="AT19" i="5"/>
  <c r="AP19" i="5"/>
  <c r="AE23" i="5"/>
  <c r="AJ23" i="5"/>
  <c r="AN23" i="5"/>
  <c r="AH23" i="5"/>
  <c r="AQ27" i="5"/>
  <c r="AT27" i="5"/>
  <c r="AE27" i="5"/>
  <c r="AN27" i="5"/>
  <c r="AH27" i="5"/>
  <c r="AP27" i="5"/>
  <c r="AF27" i="5"/>
  <c r="AU27" i="5"/>
  <c r="AK27" i="5"/>
  <c r="AV27" i="5"/>
  <c r="AM34" i="5"/>
  <c r="AE34" i="5"/>
  <c r="AF34" i="5"/>
  <c r="AI34" i="5"/>
  <c r="AI18" i="5"/>
  <c r="AQ18" i="5"/>
  <c r="AX18" i="5"/>
  <c r="AH18" i="5"/>
  <c r="AU18" i="5"/>
  <c r="AP18" i="5"/>
  <c r="AZ18" i="5"/>
  <c r="AO7" i="5"/>
  <c r="AS7" i="5"/>
  <c r="AZ7" i="5"/>
  <c r="AK7" i="5"/>
  <c r="AF7" i="5"/>
  <c r="AG7" i="5"/>
  <c r="AN7" i="5"/>
  <c r="AL7" i="5"/>
  <c r="AT7" i="5"/>
  <c r="AV23" i="5"/>
  <c r="AI23" i="5"/>
  <c r="AM23" i="5"/>
  <c r="AU23" i="5"/>
  <c r="AQ34" i="5"/>
  <c r="AR34" i="5"/>
  <c r="AV34" i="5"/>
  <c r="AL34" i="5"/>
  <c r="AP13" i="5"/>
  <c r="AI13" i="5"/>
  <c r="AJ13" i="5"/>
  <c r="AS13" i="5"/>
  <c r="AZ29" i="5"/>
  <c r="AI29" i="5"/>
  <c r="AE29" i="5"/>
  <c r="AR29" i="5"/>
  <c r="AJ14" i="5"/>
  <c r="AF14" i="5"/>
  <c r="AE14" i="5"/>
  <c r="AQ14" i="5"/>
  <c r="AK18" i="5"/>
  <c r="AE18" i="5"/>
  <c r="AV18" i="5"/>
  <c r="AS18" i="5"/>
  <c r="AW18" i="5"/>
  <c r="AX7" i="5"/>
  <c r="AM7" i="5"/>
  <c r="AI7" i="5"/>
  <c r="AJ7" i="5"/>
  <c r="AS11" i="5"/>
  <c r="AZ11" i="5"/>
  <c r="AQ11" i="5"/>
  <c r="AT11" i="5"/>
  <c r="AF11" i="5"/>
  <c r="AN11" i="5"/>
  <c r="AI11" i="5"/>
  <c r="AK11" i="5"/>
  <c r="AR11" i="5"/>
  <c r="AW11" i="5"/>
  <c r="AS19" i="5"/>
  <c r="AI19" i="5"/>
  <c r="AE19" i="5"/>
  <c r="AZ19" i="5"/>
  <c r="AN19" i="5"/>
  <c r="AW19" i="5"/>
  <c r="AK19" i="5"/>
  <c r="AL19" i="5"/>
  <c r="AO19" i="5"/>
  <c r="AZ23" i="5"/>
  <c r="AK23" i="5"/>
  <c r="AQ23" i="5"/>
  <c r="AW23" i="5"/>
  <c r="AR23" i="5"/>
  <c r="AN34" i="5"/>
  <c r="AH34" i="5"/>
  <c r="AW34" i="5"/>
  <c r="AS34" i="5"/>
  <c r="AX34" i="5"/>
  <c r="AV26" i="5"/>
  <c r="AW26" i="5"/>
  <c r="AJ26" i="5"/>
  <c r="AK26" i="5"/>
  <c r="AL15" i="5"/>
  <c r="AR15" i="5"/>
  <c r="AG15" i="5"/>
  <c r="AS15" i="5"/>
  <c r="AI31" i="5"/>
  <c r="AS31" i="5"/>
  <c r="AE31" i="5"/>
  <c r="AR31" i="5"/>
  <c r="AL33" i="5"/>
  <c r="AY33" i="5"/>
  <c r="AO33" i="5"/>
  <c r="AH33" i="5"/>
  <c r="CB16" i="5" l="1"/>
  <c r="BW16" i="5"/>
  <c r="CR16" i="5"/>
  <c r="CM16" i="5"/>
  <c r="CA11" i="5"/>
  <c r="CP11" i="5"/>
  <c r="CI20" i="5"/>
  <c r="CJ4" i="5"/>
  <c r="BW34" i="5"/>
  <c r="CJ23" i="5"/>
  <c r="CN30" i="5"/>
  <c r="CF11" i="5"/>
  <c r="CE20" i="5"/>
  <c r="BZ20" i="5"/>
  <c r="CJ20" i="5"/>
  <c r="CI4" i="5"/>
  <c r="CC34" i="5"/>
  <c r="J27" i="5"/>
  <c r="J19" i="5"/>
  <c r="K19" i="5"/>
  <c r="J28" i="5"/>
  <c r="J30" i="5"/>
  <c r="K20" i="5"/>
  <c r="J21" i="5"/>
  <c r="J25" i="5"/>
  <c r="J20" i="5"/>
  <c r="J29" i="5"/>
  <c r="J23" i="5"/>
  <c r="J22" i="5"/>
  <c r="K22" i="5"/>
  <c r="K21" i="5"/>
  <c r="J26" i="5"/>
  <c r="J24" i="5"/>
  <c r="CC30" i="5"/>
  <c r="CE6" i="5"/>
  <c r="CE32" i="5"/>
  <c r="CP32" i="5"/>
  <c r="CD8" i="5"/>
  <c r="CC20" i="5"/>
  <c r="BX34" i="5"/>
  <c r="BZ34" i="5"/>
  <c r="CP23" i="5"/>
  <c r="CK23" i="5"/>
  <c r="CF27" i="5"/>
  <c r="BY20" i="5"/>
  <c r="CR34" i="5"/>
  <c r="CP34" i="5"/>
  <c r="CG16" i="5"/>
  <c r="J31" i="5"/>
  <c r="J34" i="5"/>
  <c r="K25" i="5"/>
  <c r="K28" i="5"/>
  <c r="K26" i="5"/>
  <c r="K29" i="5"/>
  <c r="K30" i="5"/>
  <c r="K27" i="5"/>
  <c r="K32" i="5"/>
  <c r="K33" i="5"/>
  <c r="K34" i="5"/>
  <c r="J32" i="5"/>
  <c r="K31" i="5"/>
  <c r="J33" i="5"/>
  <c r="CK11" i="5"/>
  <c r="BW11" i="5"/>
  <c r="CG11" i="5"/>
  <c r="CQ11" i="5"/>
  <c r="CL11" i="5"/>
  <c r="J18" i="5"/>
  <c r="K18" i="5"/>
  <c r="K12" i="5"/>
  <c r="K5" i="5"/>
  <c r="K14" i="5"/>
  <c r="J8" i="5"/>
  <c r="J13" i="5"/>
  <c r="K8" i="5"/>
  <c r="K17" i="5"/>
  <c r="K13" i="5"/>
  <c r="J10" i="5"/>
  <c r="J6" i="5"/>
  <c r="J5" i="5"/>
  <c r="K6" i="5"/>
  <c r="K3" i="5"/>
  <c r="J7" i="5"/>
  <c r="K9" i="5"/>
  <c r="K15" i="5"/>
  <c r="K4" i="5"/>
  <c r="J15" i="5"/>
  <c r="J9" i="5"/>
  <c r="J14" i="5"/>
  <c r="K11" i="5"/>
  <c r="K23" i="5"/>
  <c r="K10" i="5"/>
  <c r="J12" i="5"/>
  <c r="J11" i="5"/>
  <c r="K16" i="5"/>
  <c r="K7" i="5"/>
  <c r="J17" i="5"/>
  <c r="K24" i="5"/>
  <c r="J3" i="5"/>
  <c r="J16" i="5"/>
  <c r="J4" i="5"/>
  <c r="CI22" i="5"/>
  <c r="CF6" i="5"/>
  <c r="CG30" i="5"/>
  <c r="CJ34" i="5"/>
  <c r="CH34" i="5"/>
  <c r="CN23" i="5"/>
  <c r="CF23" i="5"/>
  <c r="CH30" i="5"/>
  <c r="BY30" i="5"/>
  <c r="CE23" i="5"/>
  <c r="CG20" i="5"/>
  <c r="CD34" i="5"/>
  <c r="CQ34" i="5"/>
  <c r="BY23" i="5"/>
  <c r="CI23" i="5"/>
  <c r="CO23" i="5"/>
  <c r="CK22" i="5"/>
  <c r="CI30" i="5"/>
  <c r="BZ11" i="5"/>
  <c r="CN11" i="5"/>
  <c r="CE4" i="5"/>
  <c r="BZ4" i="5"/>
  <c r="CO32" i="5"/>
  <c r="CG32" i="5"/>
  <c r="CQ23" i="5"/>
  <c r="CO30" i="5"/>
  <c r="BZ14" i="5"/>
  <c r="CF14" i="5"/>
  <c r="CQ14" i="5"/>
  <c r="CO14" i="5"/>
  <c r="CA32" i="5"/>
  <c r="CF32" i="5"/>
  <c r="CL32" i="5"/>
  <c r="CJ30" i="5"/>
  <c r="CP14" i="5"/>
  <c r="CQ32" i="5"/>
  <c r="CC8" i="5"/>
  <c r="CB18" i="5"/>
  <c r="CN18" i="5"/>
  <c r="CI14" i="5"/>
  <c r="BY14" i="5"/>
  <c r="CE14" i="5"/>
  <c r="CI11" i="5"/>
  <c r="CO11" i="5"/>
  <c r="BX16" i="5"/>
  <c r="CL10" i="5"/>
  <c r="CR10" i="5"/>
  <c r="CM26" i="5"/>
  <c r="CH26" i="5"/>
  <c r="BZ25" i="5"/>
  <c r="CM22" i="5"/>
  <c r="BY26" i="5"/>
  <c r="CN26" i="5"/>
  <c r="CI8" i="5"/>
  <c r="BW18" i="5"/>
  <c r="BZ32" i="5"/>
  <c r="BX30" i="5"/>
  <c r="BW30" i="5"/>
  <c r="CD14" i="5"/>
  <c r="BZ6" i="5"/>
  <c r="CA6" i="5"/>
  <c r="CA4" i="5"/>
  <c r="CK4" i="5"/>
  <c r="CF26" i="5"/>
  <c r="BY8" i="5"/>
  <c r="CP8" i="5"/>
  <c r="CQ18" i="5"/>
  <c r="CD22" i="5"/>
  <c r="BY22" i="5"/>
  <c r="CG8" i="5"/>
  <c r="CG18" i="5"/>
  <c r="CL18" i="5"/>
  <c r="CG21" i="5"/>
  <c r="CC5" i="5"/>
  <c r="CN5" i="5"/>
  <c r="CI5" i="5"/>
  <c r="CD7" i="5"/>
  <c r="BY17" i="5"/>
  <c r="CG6" i="5"/>
  <c r="CR6" i="5"/>
  <c r="CB5" i="5"/>
  <c r="CP4" i="5"/>
  <c r="CG26" i="5"/>
  <c r="CG25" i="5"/>
  <c r="CB7" i="5"/>
  <c r="CC18" i="5"/>
  <c r="CH18" i="5"/>
  <c r="CF22" i="5"/>
  <c r="CB6" i="5"/>
  <c r="CL4" i="5"/>
  <c r="CI26" i="5"/>
  <c r="CO26" i="5"/>
  <c r="CM18" i="5"/>
  <c r="BX18" i="5"/>
  <c r="CA27" i="5"/>
  <c r="CQ27" i="5"/>
  <c r="CB11" i="5"/>
  <c r="CA20" i="5"/>
  <c r="CL20" i="5"/>
  <c r="BX4" i="5"/>
  <c r="BW4" i="5"/>
  <c r="CF8" i="5"/>
  <c r="CQ8" i="5"/>
  <c r="CE34" i="5"/>
  <c r="CI34" i="5"/>
  <c r="CD23" i="5"/>
  <c r="CM32" i="5"/>
  <c r="CE16" i="5"/>
  <c r="CJ16" i="5"/>
  <c r="CP16" i="5"/>
  <c r="CD30" i="5"/>
  <c r="CK30" i="5"/>
  <c r="CR21" i="5"/>
  <c r="CM21" i="5"/>
  <c r="CP25" i="5"/>
  <c r="CL25" i="5"/>
  <c r="CI25" i="5"/>
  <c r="BX17" i="5"/>
  <c r="CP17" i="5"/>
  <c r="BW3" i="5"/>
  <c r="CG3" i="5"/>
  <c r="CM3" i="5"/>
  <c r="CQ3" i="5"/>
  <c r="CO3" i="5"/>
  <c r="CJ17" i="5"/>
  <c r="CO12" i="5"/>
  <c r="BW12" i="5"/>
  <c r="CN12" i="5"/>
  <c r="CI12" i="5"/>
  <c r="BX31" i="5"/>
  <c r="BW31" i="5"/>
  <c r="CM31" i="5"/>
  <c r="CB24" i="5"/>
  <c r="CA24" i="5"/>
  <c r="CR24" i="5"/>
  <c r="CM24" i="5"/>
  <c r="CA33" i="5"/>
  <c r="CD33" i="5"/>
  <c r="CC33" i="5"/>
  <c r="CM33" i="5"/>
  <c r="CR33" i="5"/>
  <c r="CE19" i="5"/>
  <c r="CG19" i="5"/>
  <c r="CF19" i="5"/>
  <c r="CM19" i="5"/>
  <c r="CH19" i="5"/>
  <c r="CP29" i="5"/>
  <c r="CK29" i="5"/>
  <c r="CQ29" i="5"/>
  <c r="CA13" i="5"/>
  <c r="BZ13" i="5"/>
  <c r="CR13" i="5"/>
  <c r="CM13" i="5"/>
  <c r="CC28" i="5"/>
  <c r="CB28" i="5"/>
  <c r="CM28" i="5"/>
  <c r="CH28" i="5"/>
  <c r="CN15" i="5"/>
  <c r="CJ15" i="5"/>
  <c r="CF15" i="5"/>
  <c r="CQ15" i="5"/>
  <c r="CL15" i="5"/>
  <c r="CL9" i="5"/>
  <c r="CK9" i="5"/>
  <c r="CQ9" i="5"/>
  <c r="CM11" i="5"/>
  <c r="BZ22" i="5"/>
  <c r="CC22" i="5"/>
  <c r="CA22" i="5"/>
  <c r="CQ6" i="5"/>
  <c r="BY6" i="5"/>
  <c r="CJ6" i="5"/>
  <c r="CO20" i="5"/>
  <c r="CB26" i="5"/>
  <c r="CP26" i="5"/>
  <c r="BY25" i="5"/>
  <c r="CL8" i="5"/>
  <c r="CK34" i="5"/>
  <c r="CC23" i="5"/>
  <c r="CH23" i="5"/>
  <c r="BZ18" i="5"/>
  <c r="CP18" i="5"/>
  <c r="CD32" i="5"/>
  <c r="CC32" i="5"/>
  <c r="CG10" i="5"/>
  <c r="CE10" i="5"/>
  <c r="CP10" i="5"/>
  <c r="CB30" i="5"/>
  <c r="CA30" i="5"/>
  <c r="BX27" i="5"/>
  <c r="CE11" i="5"/>
  <c r="BY11" i="5"/>
  <c r="BX22" i="5"/>
  <c r="CD6" i="5"/>
  <c r="CI6" i="5"/>
  <c r="CM20" i="5"/>
  <c r="CH20" i="5"/>
  <c r="CN4" i="5"/>
  <c r="CQ26" i="5"/>
  <c r="CL26" i="5"/>
  <c r="CK8" i="5"/>
  <c r="CA34" i="5"/>
  <c r="BZ23" i="5"/>
  <c r="BX23" i="5"/>
  <c r="CF18" i="5"/>
  <c r="BY32" i="5"/>
  <c r="BX32" i="5"/>
  <c r="CL16" i="5"/>
  <c r="CB10" i="5"/>
  <c r="CR30" i="5"/>
  <c r="CC14" i="5"/>
  <c r="BX14" i="5"/>
  <c r="BW14" i="5"/>
  <c r="CH14" i="5"/>
  <c r="CN14" i="5"/>
  <c r="CE21" i="5"/>
  <c r="CA5" i="5"/>
  <c r="CC7" i="5"/>
  <c r="CM7" i="5"/>
  <c r="CG12" i="5"/>
  <c r="BY31" i="5"/>
  <c r="CH31" i="5"/>
  <c r="CF29" i="5"/>
  <c r="BY13" i="5"/>
  <c r="CR28" i="5"/>
  <c r="CN27" i="5"/>
  <c r="CG22" i="5"/>
  <c r="CR22" i="5"/>
  <c r="CC6" i="5"/>
  <c r="CN6" i="5"/>
  <c r="CL21" i="5"/>
  <c r="CB21" i="5"/>
  <c r="CA21" i="5"/>
  <c r="CP21" i="5"/>
  <c r="CN21" i="5"/>
  <c r="CI21" i="5"/>
  <c r="BY5" i="5"/>
  <c r="BX5" i="5"/>
  <c r="BW5" i="5"/>
  <c r="CO5" i="5"/>
  <c r="CJ5" i="5"/>
  <c r="CP20" i="5"/>
  <c r="CB4" i="5"/>
  <c r="CE26" i="5"/>
  <c r="CJ26" i="5"/>
  <c r="CF25" i="5"/>
  <c r="CC25" i="5"/>
  <c r="CA25" i="5"/>
  <c r="CO25" i="5"/>
  <c r="CJ25" i="5"/>
  <c r="CG34" i="5"/>
  <c r="CN34" i="5"/>
  <c r="CO34" i="5"/>
  <c r="CG23" i="5"/>
  <c r="CL23" i="5"/>
  <c r="CA7" i="5"/>
  <c r="BZ7" i="5"/>
  <c r="BY7" i="5"/>
  <c r="BX7" i="5"/>
  <c r="CI7" i="5"/>
  <c r="CO7" i="5"/>
  <c r="BY18" i="5"/>
  <c r="CJ18" i="5"/>
  <c r="CD3" i="5"/>
  <c r="CC3" i="5"/>
  <c r="CF3" i="5"/>
  <c r="CP3" i="5"/>
  <c r="CK3" i="5"/>
  <c r="CH17" i="5"/>
  <c r="CE17" i="5"/>
  <c r="CD17" i="5"/>
  <c r="CK17" i="5"/>
  <c r="CQ17" i="5"/>
  <c r="CF16" i="5"/>
  <c r="CB12" i="5"/>
  <c r="CK12" i="5"/>
  <c r="CC12" i="5"/>
  <c r="CJ12" i="5"/>
  <c r="CP12" i="5"/>
  <c r="BZ31" i="5"/>
  <c r="CN31" i="5"/>
  <c r="CD31" i="5"/>
  <c r="CJ31" i="5"/>
  <c r="CI31" i="5"/>
  <c r="CO31" i="5"/>
  <c r="BZ10" i="5"/>
  <c r="CK24" i="5"/>
  <c r="BW24" i="5"/>
  <c r="CC24" i="5"/>
  <c r="CN24" i="5"/>
  <c r="CI24" i="5"/>
  <c r="BW33" i="5"/>
  <c r="BZ33" i="5"/>
  <c r="BY33" i="5"/>
  <c r="CL33" i="5"/>
  <c r="CN33" i="5"/>
  <c r="BW19" i="5"/>
  <c r="CD19" i="5"/>
  <c r="CC19" i="5"/>
  <c r="CB19" i="5"/>
  <c r="CI19" i="5"/>
  <c r="CO19" i="5"/>
  <c r="CF30" i="5"/>
  <c r="CE30" i="5"/>
  <c r="CK14" i="5"/>
  <c r="CB29" i="5"/>
  <c r="BX29" i="5"/>
  <c r="CG29" i="5"/>
  <c r="CL29" i="5"/>
  <c r="CR29" i="5"/>
  <c r="CM29" i="5"/>
  <c r="CC13" i="5"/>
  <c r="BX13" i="5"/>
  <c r="BW13" i="5"/>
  <c r="CH13" i="5"/>
  <c r="CN13" i="5"/>
  <c r="CI13" i="5"/>
  <c r="BZ28" i="5"/>
  <c r="BY28" i="5"/>
  <c r="BX28" i="5"/>
  <c r="CN28" i="5"/>
  <c r="CI28" i="5"/>
  <c r="CA15" i="5"/>
  <c r="CG15" i="5"/>
  <c r="CB15" i="5"/>
  <c r="CM15" i="5"/>
  <c r="CH15" i="5"/>
  <c r="CP9" i="5"/>
  <c r="CF9" i="5"/>
  <c r="CE9" i="5"/>
  <c r="CD9" i="5"/>
  <c r="CR9" i="5"/>
  <c r="CM9" i="5"/>
  <c r="CF21" i="5"/>
  <c r="BZ21" i="5"/>
  <c r="CP5" i="5"/>
  <c r="CN25" i="5"/>
  <c r="CH7" i="5"/>
  <c r="CJ3" i="5"/>
  <c r="CO17" i="5"/>
  <c r="CG24" i="5"/>
  <c r="CH24" i="5"/>
  <c r="BW29" i="5"/>
  <c r="CB13" i="5"/>
  <c r="CD28" i="5"/>
  <c r="CC9" i="5"/>
  <c r="CH9" i="5"/>
  <c r="CB27" i="5"/>
  <c r="CC11" i="5"/>
  <c r="CH11" i="5"/>
  <c r="CB22" i="5"/>
  <c r="BX6" i="5"/>
  <c r="CC21" i="5"/>
  <c r="BX21" i="5"/>
  <c r="BW21" i="5"/>
  <c r="CO21" i="5"/>
  <c r="CJ21" i="5"/>
  <c r="CL5" i="5"/>
  <c r="CH5" i="5"/>
  <c r="CD5" i="5"/>
  <c r="CK5" i="5"/>
  <c r="CQ5" i="5"/>
  <c r="CB20" i="5"/>
  <c r="CQ20" i="5"/>
  <c r="CR4" i="5"/>
  <c r="CH4" i="5"/>
  <c r="CA26" i="5"/>
  <c r="CK26" i="5"/>
  <c r="CB25" i="5"/>
  <c r="BW25" i="5"/>
  <c r="CK25" i="5"/>
  <c r="CQ25" i="5"/>
  <c r="CO8" i="5"/>
  <c r="CB23" i="5"/>
  <c r="CM23" i="5"/>
  <c r="CE7" i="5"/>
  <c r="CR7" i="5"/>
  <c r="CN7" i="5"/>
  <c r="CJ7" i="5"/>
  <c r="CP7" i="5"/>
  <c r="CK7" i="5"/>
  <c r="CI18" i="5"/>
  <c r="CE18" i="5"/>
  <c r="BZ3" i="5"/>
  <c r="BY3" i="5"/>
  <c r="CB3" i="5"/>
  <c r="CL3" i="5"/>
  <c r="CR3" i="5"/>
  <c r="CC17" i="5"/>
  <c r="CF17" i="5"/>
  <c r="CA17" i="5"/>
  <c r="BZ17" i="5"/>
  <c r="CR17" i="5"/>
  <c r="CM17" i="5"/>
  <c r="CB32" i="5"/>
  <c r="CH32" i="5"/>
  <c r="CC16" i="5"/>
  <c r="BX12" i="5"/>
  <c r="CE12" i="5"/>
  <c r="CD12" i="5"/>
  <c r="BY12" i="5"/>
  <c r="CQ12" i="5"/>
  <c r="CL12" i="5"/>
  <c r="CG31" i="5"/>
  <c r="CF31" i="5"/>
  <c r="CE31" i="5"/>
  <c r="CR31" i="5"/>
  <c r="CP31" i="5"/>
  <c r="CK31" i="5"/>
  <c r="CF10" i="5"/>
  <c r="BX24" i="5"/>
  <c r="CD24" i="5"/>
  <c r="BY24" i="5"/>
  <c r="CJ24" i="5"/>
  <c r="CP24" i="5"/>
  <c r="CB33" i="5"/>
  <c r="CF33" i="5"/>
  <c r="CH33" i="5"/>
  <c r="CQ33" i="5"/>
  <c r="CO33" i="5"/>
  <c r="CJ33" i="5"/>
  <c r="CR19" i="5"/>
  <c r="BZ19" i="5"/>
  <c r="BY19" i="5"/>
  <c r="BX19" i="5"/>
  <c r="CP19" i="5"/>
  <c r="CK19" i="5"/>
  <c r="CG14" i="5"/>
  <c r="CB14" i="5"/>
  <c r="CL14" i="5"/>
  <c r="CE29" i="5"/>
  <c r="CD29" i="5"/>
  <c r="CC29" i="5"/>
  <c r="CH29" i="5"/>
  <c r="CN29" i="5"/>
  <c r="CI29" i="5"/>
  <c r="CG13" i="5"/>
  <c r="CP13" i="5"/>
  <c r="CL13" i="5"/>
  <c r="CO13" i="5"/>
  <c r="CJ13" i="5"/>
  <c r="CA28" i="5"/>
  <c r="CE28" i="5"/>
  <c r="CO28" i="5"/>
  <c r="CJ28" i="5"/>
  <c r="CP28" i="5"/>
  <c r="BW15" i="5"/>
  <c r="CD15" i="5"/>
  <c r="CC15" i="5"/>
  <c r="BX15" i="5"/>
  <c r="CI15" i="5"/>
  <c r="CO15" i="5"/>
  <c r="CG9" i="5"/>
  <c r="CB9" i="5"/>
  <c r="CA9" i="5"/>
  <c r="BZ9" i="5"/>
  <c r="CN9" i="5"/>
  <c r="CI9" i="5"/>
  <c r="BW27" i="5"/>
  <c r="CM27" i="5"/>
  <c r="CD11" i="5"/>
  <c r="BX11" i="5"/>
  <c r="CM6" i="5"/>
  <c r="BY21" i="5"/>
  <c r="CH21" i="5"/>
  <c r="CD21" i="5"/>
  <c r="CK21" i="5"/>
  <c r="CQ21" i="5"/>
  <c r="CG5" i="5"/>
  <c r="CF5" i="5"/>
  <c r="CE5" i="5"/>
  <c r="BZ5" i="5"/>
  <c r="CR5" i="5"/>
  <c r="CM5" i="5"/>
  <c r="BW20" i="5"/>
  <c r="CR20" i="5"/>
  <c r="CF4" i="5"/>
  <c r="CD4" i="5"/>
  <c r="BX26" i="5"/>
  <c r="CR26" i="5"/>
  <c r="CE25" i="5"/>
  <c r="CD25" i="5"/>
  <c r="BX25" i="5"/>
  <c r="CH25" i="5"/>
  <c r="CR25" i="5"/>
  <c r="CM25" i="5"/>
  <c r="CM8" i="5"/>
  <c r="CB34" i="5"/>
  <c r="CL34" i="5"/>
  <c r="BW7" i="5"/>
  <c r="CG7" i="5"/>
  <c r="CF7" i="5"/>
  <c r="CQ7" i="5"/>
  <c r="CL7" i="5"/>
  <c r="CE3" i="5"/>
  <c r="CI3" i="5"/>
  <c r="CA3" i="5"/>
  <c r="BX3" i="5"/>
  <c r="CH3" i="5"/>
  <c r="CN3" i="5"/>
  <c r="CG17" i="5"/>
  <c r="CB17" i="5"/>
  <c r="BW17" i="5"/>
  <c r="CL17" i="5"/>
  <c r="CN17" i="5"/>
  <c r="CI17" i="5"/>
  <c r="CI32" i="5"/>
  <c r="CA16" i="5"/>
  <c r="BY16" i="5"/>
  <c r="CQ16" i="5"/>
  <c r="CF12" i="5"/>
  <c r="CA12" i="5"/>
  <c r="BZ12" i="5"/>
  <c r="CR12" i="5"/>
  <c r="CM12" i="5"/>
  <c r="CH12" i="5"/>
  <c r="CC31" i="5"/>
  <c r="CB31" i="5"/>
  <c r="CA31" i="5"/>
  <c r="CQ31" i="5"/>
  <c r="CL31" i="5"/>
  <c r="CA10" i="5"/>
  <c r="CF24" i="5"/>
  <c r="CE24" i="5"/>
  <c r="BZ24" i="5"/>
  <c r="CO24" i="5"/>
  <c r="CQ24" i="5"/>
  <c r="CL24" i="5"/>
  <c r="CE33" i="5"/>
  <c r="BX33" i="5"/>
  <c r="CG33" i="5"/>
  <c r="CP33" i="5"/>
  <c r="CK33" i="5"/>
  <c r="CI33" i="5"/>
  <c r="CA19" i="5"/>
  <c r="CN19" i="5"/>
  <c r="CJ19" i="5"/>
  <c r="CQ19" i="5"/>
  <c r="CL19" i="5"/>
  <c r="BZ30" i="5"/>
  <c r="CA29" i="5"/>
  <c r="BZ29" i="5"/>
  <c r="BY29" i="5"/>
  <c r="CO29" i="5"/>
  <c r="CJ29" i="5"/>
  <c r="CF13" i="5"/>
  <c r="CE13" i="5"/>
  <c r="CD13" i="5"/>
  <c r="CK13" i="5"/>
  <c r="CQ13" i="5"/>
  <c r="BW28" i="5"/>
  <c r="CG28" i="5"/>
  <c r="CF28" i="5"/>
  <c r="CK28" i="5"/>
  <c r="CQ28" i="5"/>
  <c r="CL28" i="5"/>
  <c r="CE15" i="5"/>
  <c r="BZ15" i="5"/>
  <c r="BY15" i="5"/>
  <c r="CR15" i="5"/>
  <c r="CP15" i="5"/>
  <c r="CK15" i="5"/>
  <c r="BY9" i="5"/>
  <c r="BX9" i="5"/>
  <c r="BW9" i="5"/>
  <c r="CO9" i="5"/>
  <c r="CJ9" i="5"/>
  <c r="L20" i="5" l="1"/>
  <c r="N20" i="5" s="1"/>
  <c r="M21" i="5"/>
  <c r="O21" i="5" s="1"/>
  <c r="L22" i="5"/>
  <c r="N22" i="5" s="1"/>
  <c r="M22" i="5"/>
  <c r="O22" i="5" s="1"/>
  <c r="L21" i="5"/>
  <c r="N21" i="5" s="1"/>
  <c r="M19" i="5"/>
  <c r="O19" i="5" s="1"/>
  <c r="L19" i="5"/>
  <c r="N19" i="5" s="1"/>
  <c r="M20" i="5"/>
  <c r="O20" i="5" s="1"/>
  <c r="M27" i="5"/>
  <c r="O27" i="5" s="1"/>
  <c r="L26" i="5"/>
  <c r="N26" i="5" s="1"/>
  <c r="L34" i="5"/>
  <c r="N34" i="5" s="1"/>
  <c r="L32" i="5"/>
  <c r="N32" i="5" s="1"/>
  <c r="M25" i="5"/>
  <c r="O25" i="5" s="1"/>
  <c r="M32" i="5"/>
  <c r="O32" i="5" s="1"/>
  <c r="L33" i="5"/>
  <c r="N33" i="5" s="1"/>
  <c r="M30" i="5"/>
  <c r="O30" i="5" s="1"/>
  <c r="L27" i="5"/>
  <c r="N27" i="5" s="1"/>
  <c r="L29" i="5"/>
  <c r="N29" i="5" s="1"/>
  <c r="L31" i="5"/>
  <c r="N31" i="5" s="1"/>
  <c r="M29" i="5"/>
  <c r="O29" i="5" s="1"/>
  <c r="M33" i="5"/>
  <c r="O33" i="5" s="1"/>
  <c r="L25" i="5"/>
  <c r="N25" i="5" s="1"/>
  <c r="M31" i="5"/>
  <c r="O31" i="5" s="1"/>
  <c r="L30" i="5"/>
  <c r="N30" i="5" s="1"/>
  <c r="L28" i="5"/>
  <c r="N28" i="5" s="1"/>
  <c r="P28" i="5" s="1"/>
  <c r="R28" i="5" s="1"/>
  <c r="M28" i="5"/>
  <c r="O28" i="5" s="1"/>
  <c r="M26" i="5"/>
  <c r="O26" i="5" s="1"/>
  <c r="M34" i="5"/>
  <c r="O34" i="5" s="1"/>
  <c r="L6" i="5"/>
  <c r="N6" i="5" s="1"/>
  <c r="M11" i="5"/>
  <c r="O11" i="5" s="1"/>
  <c r="M4" i="5"/>
  <c r="O4" i="5" s="1"/>
  <c r="L17" i="5"/>
  <c r="N17" i="5" s="1"/>
  <c r="L11" i="5"/>
  <c r="N11" i="5" s="1"/>
  <c r="M3" i="5"/>
  <c r="O3" i="5" s="1"/>
  <c r="L23" i="5"/>
  <c r="N23" i="5" s="1"/>
  <c r="M6" i="5"/>
  <c r="O6" i="5" s="1"/>
  <c r="L10" i="5"/>
  <c r="N10" i="5" s="1"/>
  <c r="M8" i="5"/>
  <c r="O8" i="5" s="1"/>
  <c r="M10" i="5"/>
  <c r="O10" i="5" s="1"/>
  <c r="M16" i="5"/>
  <c r="O16" i="5" s="1"/>
  <c r="L8" i="5"/>
  <c r="N8" i="5" s="1"/>
  <c r="L16" i="5"/>
  <c r="N16" i="5" s="1"/>
  <c r="M12" i="5"/>
  <c r="O12" i="5" s="1"/>
  <c r="L24" i="5"/>
  <c r="N24" i="5" s="1"/>
  <c r="M23" i="5"/>
  <c r="O23" i="5" s="1"/>
  <c r="L3" i="5"/>
  <c r="N3" i="5" s="1"/>
  <c r="L15" i="5"/>
  <c r="N15" i="5" s="1"/>
  <c r="M5" i="5"/>
  <c r="O5" i="5" s="1"/>
  <c r="M9" i="5"/>
  <c r="O9" i="5" s="1"/>
  <c r="M15" i="5"/>
  <c r="O15" i="5" s="1"/>
  <c r="M13" i="5"/>
  <c r="O13" i="5" s="1"/>
  <c r="L5" i="5"/>
  <c r="N5" i="5" s="1"/>
  <c r="L12" i="5"/>
  <c r="N12" i="5" s="1"/>
  <c r="M18" i="5"/>
  <c r="O18" i="5" s="1"/>
  <c r="L18" i="5"/>
  <c r="N18" i="5" s="1"/>
  <c r="L7" i="5"/>
  <c r="N7" i="5" s="1"/>
  <c r="M24" i="5"/>
  <c r="O24" i="5" s="1"/>
  <c r="M7" i="5"/>
  <c r="O7" i="5" s="1"/>
  <c r="L13" i="5"/>
  <c r="N13" i="5" s="1"/>
  <c r="M14" i="5"/>
  <c r="O14" i="5" s="1"/>
  <c r="L9" i="5"/>
  <c r="N9" i="5" s="1"/>
  <c r="M17" i="5"/>
  <c r="O17" i="5" s="1"/>
  <c r="L14" i="5"/>
  <c r="N14" i="5" s="1"/>
  <c r="L4" i="5"/>
  <c r="N4" i="5" s="1"/>
  <c r="P20" i="5" l="1"/>
  <c r="R20" i="5" s="1"/>
  <c r="P22" i="5"/>
  <c r="R22" i="5" s="1"/>
  <c r="P32" i="5"/>
  <c r="R32" i="5" s="1"/>
  <c r="P21" i="5"/>
  <c r="R21" i="5" s="1"/>
  <c r="P19" i="5"/>
  <c r="R19" i="5" s="1"/>
  <c r="P30" i="5"/>
  <c r="R30" i="5" s="1"/>
  <c r="P33" i="5"/>
  <c r="R33" i="5" s="1"/>
  <c r="P25" i="5"/>
  <c r="R25" i="5" s="1"/>
  <c r="P29" i="5"/>
  <c r="R29" i="5" s="1"/>
  <c r="P31" i="5"/>
  <c r="R31" i="5" s="1"/>
  <c r="P26" i="5"/>
  <c r="R26" i="5" s="1"/>
  <c r="P34" i="5"/>
  <c r="R34" i="5" s="1"/>
  <c r="P27" i="5"/>
  <c r="R27" i="5" s="1"/>
  <c r="S28" i="5" s="1"/>
  <c r="P6" i="5"/>
  <c r="R6" i="5" s="1"/>
  <c r="P14" i="5"/>
  <c r="R14" i="5" s="1"/>
  <c r="P5" i="5"/>
  <c r="R5" i="5" s="1"/>
  <c r="P11" i="5"/>
  <c r="R11" i="5" s="1"/>
  <c r="P15" i="5"/>
  <c r="R15" i="5" s="1"/>
  <c r="P24" i="5"/>
  <c r="R24" i="5" s="1"/>
  <c r="P17" i="5"/>
  <c r="R17" i="5" s="1"/>
  <c r="P9" i="5"/>
  <c r="R9" i="5" s="1"/>
  <c r="P7" i="5"/>
  <c r="R7" i="5" s="1"/>
  <c r="P12" i="5"/>
  <c r="R12" i="5" s="1"/>
  <c r="P4" i="5"/>
  <c r="R4" i="5" s="1"/>
  <c r="P3" i="5"/>
  <c r="R3" i="5" s="1"/>
  <c r="P23" i="5"/>
  <c r="R23" i="5" s="1"/>
  <c r="P10" i="5"/>
  <c r="R10" i="5" s="1"/>
  <c r="P18" i="5"/>
  <c r="R18" i="5" s="1"/>
  <c r="P8" i="5"/>
  <c r="R8" i="5" s="1"/>
  <c r="P16" i="5"/>
  <c r="R16" i="5" s="1"/>
  <c r="P13" i="5"/>
  <c r="R13" i="5" s="1"/>
  <c r="U21" i="5" l="1"/>
  <c r="T21" i="5" s="1"/>
  <c r="T22" i="5" s="1"/>
  <c r="S22" i="5"/>
  <c r="S21" i="5"/>
  <c r="S19" i="5"/>
  <c r="Y19" i="5" s="1"/>
  <c r="AC19" i="5" s="1"/>
  <c r="U19" i="5"/>
  <c r="T19" i="5" s="1"/>
  <c r="T20" i="5" s="1"/>
  <c r="S20" i="5"/>
  <c r="S34" i="5"/>
  <c r="Y34" i="5" s="1"/>
  <c r="AC34" i="5" s="1"/>
  <c r="U29" i="5"/>
  <c r="T29" i="5" s="1"/>
  <c r="T30" i="5" s="1"/>
  <c r="AD30" i="5" s="1"/>
  <c r="S33" i="5"/>
  <c r="Y33" i="5" s="1"/>
  <c r="AC33" i="5" s="1"/>
  <c r="S26" i="5"/>
  <c r="S11" i="5"/>
  <c r="Y11" i="5" s="1"/>
  <c r="AC11" i="5" s="1"/>
  <c r="S29" i="5"/>
  <c r="Y29" i="5" s="1"/>
  <c r="AC29" i="5" s="1"/>
  <c r="S10" i="5"/>
  <c r="Y10" i="5" s="1"/>
  <c r="AC10" i="5" s="1"/>
  <c r="S30" i="5"/>
  <c r="Y30" i="5" s="1"/>
  <c r="AC30" i="5" s="1"/>
  <c r="S16" i="5"/>
  <c r="Y16" i="5" s="1"/>
  <c r="AC16" i="5" s="1"/>
  <c r="U25" i="5"/>
  <c r="T25" i="5" s="1"/>
  <c r="T26" i="5" s="1"/>
  <c r="U33" i="5"/>
  <c r="T33" i="5" s="1"/>
  <c r="T34" i="5" s="1"/>
  <c r="U31" i="5"/>
  <c r="T31" i="5" s="1"/>
  <c r="T32" i="5" s="1"/>
  <c r="AD32" i="5" s="1"/>
  <c r="S31" i="5"/>
  <c r="Y31" i="5" s="1"/>
  <c r="AC31" i="5" s="1"/>
  <c r="AD22" i="5"/>
  <c r="S3" i="5"/>
  <c r="S6" i="5"/>
  <c r="Y6" i="5" s="1"/>
  <c r="AC6" i="5" s="1"/>
  <c r="S27" i="5"/>
  <c r="Y27" i="5" s="1"/>
  <c r="AC27" i="5" s="1"/>
  <c r="U27" i="5"/>
  <c r="T27" i="5" s="1"/>
  <c r="T28" i="5" s="1"/>
  <c r="AD28" i="5" s="1"/>
  <c r="S25" i="5"/>
  <c r="Y25" i="5" s="1"/>
  <c r="AC25" i="5" s="1"/>
  <c r="S32" i="5"/>
  <c r="Y32" i="5" s="1"/>
  <c r="AC32" i="5" s="1"/>
  <c r="U23" i="5"/>
  <c r="T23" i="5" s="1"/>
  <c r="T24" i="5" s="1"/>
  <c r="AD24" i="5" s="1"/>
  <c r="U11" i="5"/>
  <c r="T11" i="5" s="1"/>
  <c r="T12" i="5" s="1"/>
  <c r="AD12" i="5" s="1"/>
  <c r="S5" i="5"/>
  <c r="Y5" i="5" s="1"/>
  <c r="AC5" i="5" s="1"/>
  <c r="S24" i="5"/>
  <c r="Y24" i="5" s="1"/>
  <c r="AC24" i="5" s="1"/>
  <c r="Y21" i="5"/>
  <c r="AC21" i="5" s="1"/>
  <c r="S18" i="5"/>
  <c r="U5" i="5"/>
  <c r="T5" i="5" s="1"/>
  <c r="T6" i="5" s="1"/>
  <c r="AD6" i="5" s="1"/>
  <c r="Y22" i="5"/>
  <c r="AC22" i="5" s="1"/>
  <c r="U3" i="5"/>
  <c r="T3" i="5" s="1"/>
  <c r="T4" i="5" s="1"/>
  <c r="S12" i="5"/>
  <c r="Y12" i="5" s="1"/>
  <c r="AC12" i="5" s="1"/>
  <c r="S8" i="5"/>
  <c r="Y8" i="5" s="1"/>
  <c r="AC8" i="5" s="1"/>
  <c r="S23" i="5"/>
  <c r="Y23" i="5" s="1"/>
  <c r="AC23" i="5" s="1"/>
  <c r="S4" i="5"/>
  <c r="U15" i="5"/>
  <c r="T15" i="5" s="1"/>
  <c r="T16" i="5" s="1"/>
  <c r="AD16" i="5" s="1"/>
  <c r="S17" i="5"/>
  <c r="Y17" i="5" s="1"/>
  <c r="AC17" i="5" s="1"/>
  <c r="S13" i="5"/>
  <c r="Y13" i="5" s="1"/>
  <c r="AC13" i="5" s="1"/>
  <c r="U13" i="5"/>
  <c r="T13" i="5" s="1"/>
  <c r="T14" i="5" s="1"/>
  <c r="AD14" i="5" s="1"/>
  <c r="U17" i="5"/>
  <c r="T17" i="5" s="1"/>
  <c r="T18" i="5" s="1"/>
  <c r="AD18" i="5" s="1"/>
  <c r="AD20" i="5"/>
  <c r="S9" i="5"/>
  <c r="Y9" i="5" s="1"/>
  <c r="AC9" i="5" s="1"/>
  <c r="U9" i="5"/>
  <c r="T9" i="5" s="1"/>
  <c r="T10" i="5" s="1"/>
  <c r="AD10" i="5" s="1"/>
  <c r="S15" i="5"/>
  <c r="Y15" i="5" s="1"/>
  <c r="AC15" i="5" s="1"/>
  <c r="S14" i="5"/>
  <c r="Y14" i="5" s="1"/>
  <c r="AC14" i="5" s="1"/>
  <c r="U7" i="5"/>
  <c r="T7" i="5" s="1"/>
  <c r="T8" i="5" s="1"/>
  <c r="S7" i="5"/>
  <c r="V34" i="5"/>
  <c r="V33" i="5"/>
  <c r="V28" i="5"/>
  <c r="V26" i="5"/>
  <c r="V27" i="5"/>
  <c r="V25" i="5"/>
  <c r="Y28" i="5"/>
  <c r="AC28" i="5" s="1"/>
  <c r="V30" i="5"/>
  <c r="V31" i="5"/>
  <c r="V29" i="5"/>
  <c r="V32" i="5"/>
  <c r="V21" i="5"/>
  <c r="V22" i="5"/>
  <c r="V5" i="5"/>
  <c r="V18" i="5"/>
  <c r="V17" i="5"/>
  <c r="V12" i="5"/>
  <c r="V11" i="5"/>
  <c r="V6" i="5"/>
  <c r="V19" i="5"/>
  <c r="V16" i="5"/>
  <c r="V20" i="5"/>
  <c r="V15" i="5"/>
  <c r="V9" i="5"/>
  <c r="V10" i="5"/>
  <c r="V23" i="5"/>
  <c r="V14" i="5"/>
  <c r="V13" i="5"/>
  <c r="V24" i="5"/>
  <c r="W34" i="5"/>
  <c r="W26" i="5" l="1"/>
  <c r="Y26" i="5"/>
  <c r="AC26" i="5" s="1"/>
  <c r="Y20" i="5"/>
  <c r="Y18" i="5"/>
  <c r="W28" i="5"/>
  <c r="W27" i="5"/>
  <c r="W25" i="5"/>
  <c r="AD34" i="5"/>
  <c r="AD33" i="5"/>
  <c r="DQ33" i="5"/>
  <c r="DT33" i="5" s="1"/>
  <c r="W33" i="5"/>
  <c r="V3" i="5"/>
  <c r="DS32" i="5"/>
  <c r="DS23" i="5"/>
  <c r="DQ5" i="5"/>
  <c r="DT5" i="5" s="1"/>
  <c r="DS16" i="5"/>
  <c r="DQ22" i="5"/>
  <c r="DT22" i="5" s="1"/>
  <c r="DQ6" i="5"/>
  <c r="DT6" i="5" s="1"/>
  <c r="DQ9" i="5"/>
  <c r="DT9" i="5" s="1"/>
  <c r="DR21" i="5"/>
  <c r="DR14" i="5"/>
  <c r="DR11" i="5"/>
  <c r="DQ15" i="5"/>
  <c r="DT15" i="5" s="1"/>
  <c r="DR10" i="5"/>
  <c r="DS34" i="5"/>
  <c r="DQ19" i="5"/>
  <c r="DT19" i="5" s="1"/>
  <c r="DS17" i="5"/>
  <c r="DR29" i="5"/>
  <c r="DQ28" i="5"/>
  <c r="DT28" i="5" s="1"/>
  <c r="DR27" i="5"/>
  <c r="DR8" i="5"/>
  <c r="DQ13" i="5"/>
  <c r="DT13" i="5" s="1"/>
  <c r="DR12" i="5"/>
  <c r="DS30" i="5"/>
  <c r="W31" i="5"/>
  <c r="W24" i="5"/>
  <c r="AD29" i="5"/>
  <c r="DV29" i="5" s="1"/>
  <c r="DX29" i="5" s="1"/>
  <c r="DQ31" i="5"/>
  <c r="DT31" i="5" s="1"/>
  <c r="W32" i="5"/>
  <c r="AD31" i="5"/>
  <c r="DV31" i="5" s="1"/>
  <c r="DX31" i="5" s="1"/>
  <c r="W30" i="5"/>
  <c r="W29" i="5"/>
  <c r="AD21" i="5"/>
  <c r="DV21" i="5" s="1"/>
  <c r="DX21" i="5" s="1"/>
  <c r="Y7" i="5"/>
  <c r="AC7" i="5" s="1"/>
  <c r="AD19" i="5"/>
  <c r="DW19" i="5" s="1"/>
  <c r="V7" i="5"/>
  <c r="Y4" i="5"/>
  <c r="AC4" i="5" s="1"/>
  <c r="Y3" i="5"/>
  <c r="AC3" i="5" s="1"/>
  <c r="V4" i="5"/>
  <c r="V8" i="5"/>
  <c r="W21" i="5"/>
  <c r="W22" i="5"/>
  <c r="W20" i="5"/>
  <c r="W19" i="5"/>
  <c r="DQ27" i="5"/>
  <c r="DT27" i="5" s="1"/>
  <c r="DR22" i="5"/>
  <c r="AD17" i="5"/>
  <c r="DV17" i="5" s="1"/>
  <c r="DX17" i="5" s="1"/>
  <c r="W18" i="5"/>
  <c r="DR9" i="5"/>
  <c r="AD11" i="5"/>
  <c r="DV11" i="5" s="1"/>
  <c r="DX11" i="5" s="1"/>
  <c r="W12" i="5"/>
  <c r="DS6" i="5"/>
  <c r="W17" i="5"/>
  <c r="AD5" i="5"/>
  <c r="DW5" i="5" s="1"/>
  <c r="W11" i="5"/>
  <c r="W10" i="5"/>
  <c r="W9" i="5"/>
  <c r="W15" i="5"/>
  <c r="W16" i="5"/>
  <c r="W6" i="5"/>
  <c r="W5" i="5"/>
  <c r="DR5" i="5"/>
  <c r="AD15" i="5"/>
  <c r="DW15" i="5" s="1"/>
  <c r="DQ34" i="5"/>
  <c r="DT34" i="5" s="1"/>
  <c r="DR19" i="5"/>
  <c r="AD27" i="5"/>
  <c r="DW27" i="5" s="1"/>
  <c r="AD9" i="5"/>
  <c r="DV9" i="5" s="1"/>
  <c r="DX9" i="5" s="1"/>
  <c r="W14" i="5"/>
  <c r="W13" i="5"/>
  <c r="W23" i="5"/>
  <c r="AD13" i="5"/>
  <c r="DW13" i="5" s="1"/>
  <c r="AD23" i="5"/>
  <c r="DV23" i="5" s="1"/>
  <c r="DX23" i="5" s="1"/>
  <c r="DR13" i="5"/>
  <c r="DS24" i="5"/>
  <c r="DW24" i="5"/>
  <c r="DV24" i="5"/>
  <c r="DX24" i="5" s="1"/>
  <c r="DW28" i="5"/>
  <c r="DV28" i="5"/>
  <c r="DX28" i="5" s="1"/>
  <c r="DV6" i="5"/>
  <c r="DX6" i="5" s="1"/>
  <c r="DW6" i="5"/>
  <c r="DW22" i="5"/>
  <c r="DV22" i="5"/>
  <c r="DX22" i="5" s="1"/>
  <c r="DW10" i="5"/>
  <c r="DV10" i="5"/>
  <c r="DX10" i="5" s="1"/>
  <c r="DV14" i="5"/>
  <c r="DX14" i="5" s="1"/>
  <c r="DW14" i="5"/>
  <c r="DW12" i="5"/>
  <c r="DV12" i="5"/>
  <c r="DX12" i="5" s="1"/>
  <c r="DW20" i="5"/>
  <c r="DV20" i="5"/>
  <c r="DX20" i="5" s="1"/>
  <c r="DW30" i="5"/>
  <c r="DV30" i="5"/>
  <c r="DX30" i="5" s="1"/>
  <c r="DW16" i="5"/>
  <c r="DV16" i="5"/>
  <c r="DX16" i="5" s="1"/>
  <c r="DV18" i="5"/>
  <c r="DX18" i="5" s="1"/>
  <c r="DW18" i="5"/>
  <c r="DW32" i="5"/>
  <c r="DV32" i="5"/>
  <c r="DX32" i="5" s="1"/>
  <c r="DS13" i="5"/>
  <c r="DS19" i="5"/>
  <c r="DS9" i="5"/>
  <c r="DS5" i="5"/>
  <c r="DW34" i="5" l="1"/>
  <c r="DV34" i="5"/>
  <c r="DX34" i="5" s="1"/>
  <c r="AC18" i="5"/>
  <c r="DR18" i="5" s="1"/>
  <c r="AC20" i="5"/>
  <c r="DS20" i="5" s="1"/>
  <c r="AD4" i="5"/>
  <c r="AD8" i="5"/>
  <c r="DR33" i="5"/>
  <c r="DS33" i="5"/>
  <c r="DV33" i="5"/>
  <c r="DX33" i="5" s="1"/>
  <c r="DW33" i="5"/>
  <c r="DS10" i="5"/>
  <c r="DS14" i="5"/>
  <c r="DQ32" i="5"/>
  <c r="DT32" i="5" s="1"/>
  <c r="DQ14" i="5"/>
  <c r="DT14" i="5" s="1"/>
  <c r="DR32" i="5"/>
  <c r="DQ17" i="5"/>
  <c r="DT17" i="5" s="1"/>
  <c r="DQ29" i="5"/>
  <c r="DT29" i="5" s="1"/>
  <c r="DQ10" i="5"/>
  <c r="DT10" i="5" s="1"/>
  <c r="DR30" i="5"/>
  <c r="DS8" i="5"/>
  <c r="DS29" i="5"/>
  <c r="DS22" i="5"/>
  <c r="DQ30" i="5"/>
  <c r="DT30" i="5" s="1"/>
  <c r="DS27" i="5"/>
  <c r="DR16" i="5"/>
  <c r="DR23" i="5"/>
  <c r="DR6" i="5"/>
  <c r="DS12" i="5"/>
  <c r="DR15" i="5"/>
  <c r="DS4" i="5"/>
  <c r="DQ12" i="5"/>
  <c r="DT12" i="5" s="1"/>
  <c r="DQ8" i="5"/>
  <c r="DT8" i="5" s="1"/>
  <c r="DR17" i="5"/>
  <c r="DR34" i="5"/>
  <c r="DS15" i="5"/>
  <c r="DQ11" i="5"/>
  <c r="DT11" i="5" s="1"/>
  <c r="DQ21" i="5"/>
  <c r="DT21" i="5" s="1"/>
  <c r="DQ16" i="5"/>
  <c r="DT16" i="5" s="1"/>
  <c r="DQ23" i="5"/>
  <c r="DT23" i="5" s="1"/>
  <c r="DS21" i="5"/>
  <c r="DS11" i="5"/>
  <c r="DR7" i="5"/>
  <c r="DQ3" i="5"/>
  <c r="DR28" i="5"/>
  <c r="DS28" i="5"/>
  <c r="DW31" i="5"/>
  <c r="DW29" i="5"/>
  <c r="DR31" i="5"/>
  <c r="DS31" i="5"/>
  <c r="DW21" i="5"/>
  <c r="DV19" i="5"/>
  <c r="DX19" i="5" s="1"/>
  <c r="AD26" i="5"/>
  <c r="AD25" i="5"/>
  <c r="DQ25" i="5"/>
  <c r="DT25" i="5" s="1"/>
  <c r="W7" i="5"/>
  <c r="W8" i="5"/>
  <c r="W3" i="5"/>
  <c r="W4" i="5"/>
  <c r="DW17" i="5"/>
  <c r="DV5" i="5"/>
  <c r="DX5" i="5" s="1"/>
  <c r="DV13" i="5"/>
  <c r="DX13" i="5" s="1"/>
  <c r="DW11" i="5"/>
  <c r="DW9" i="5"/>
  <c r="DV15" i="5"/>
  <c r="DX15" i="5" s="1"/>
  <c r="DV27" i="5"/>
  <c r="DX27" i="5" s="1"/>
  <c r="DW23" i="5"/>
  <c r="DR24" i="5"/>
  <c r="DQ24" i="5"/>
  <c r="DT24" i="5" s="1"/>
  <c r="AD7" i="5" l="1"/>
  <c r="DV7" i="5" s="1"/>
  <c r="DX7" i="5" s="1"/>
  <c r="DQ20" i="5"/>
  <c r="DT20" i="5" s="1"/>
  <c r="DR20" i="5"/>
  <c r="DS18" i="5"/>
  <c r="DQ18" i="5"/>
  <c r="DT18" i="5" s="1"/>
  <c r="AD3" i="5"/>
  <c r="DV3" i="5" s="1"/>
  <c r="DX3" i="5" s="1"/>
  <c r="DW8" i="5"/>
  <c r="DV8" i="5"/>
  <c r="DX8" i="5" s="1"/>
  <c r="DR3" i="5"/>
  <c r="DR4" i="5"/>
  <c r="DQ4" i="5"/>
  <c r="DT4" i="5" s="1"/>
  <c r="DS7" i="5"/>
  <c r="DQ7" i="5"/>
  <c r="DT7" i="5" s="1"/>
  <c r="DT3" i="5"/>
  <c r="DP3" i="5"/>
  <c r="DS3" i="5"/>
  <c r="DR25" i="5"/>
  <c r="DS25" i="5"/>
  <c r="DS26" i="5"/>
  <c r="DR26" i="5"/>
  <c r="DQ26" i="5"/>
  <c r="DT26" i="5" s="1"/>
  <c r="DW25" i="5"/>
  <c r="DV25" i="5"/>
  <c r="DX25" i="5" s="1"/>
  <c r="DV26" i="5"/>
  <c r="DX26" i="5" s="1"/>
  <c r="DW26" i="5"/>
  <c r="DW4" i="5"/>
  <c r="DV4" i="5"/>
  <c r="DX4" i="5" s="1"/>
  <c r="DW7" i="5" l="1"/>
  <c r="DW3" i="5"/>
  <c r="DP4" i="5"/>
  <c r="DP5" i="5" s="1"/>
  <c r="DP6" i="5" s="1"/>
  <c r="DP7" i="5" s="1"/>
  <c r="DP8" i="5" s="1"/>
  <c r="DP9" i="5" l="1"/>
  <c r="DP10" i="5" l="1"/>
  <c r="DP11" i="5" l="1"/>
  <c r="DP12" i="5" l="1"/>
  <c r="DP13" i="5" l="1"/>
  <c r="DP14" i="5" l="1"/>
  <c r="DP15" i="5" l="1"/>
  <c r="DP16" i="5" l="1"/>
  <c r="DP17" i="5" l="1"/>
  <c r="DP18" i="5" l="1"/>
  <c r="DP19" i="5" l="1"/>
  <c r="DP20" i="5" l="1"/>
  <c r="DP21" i="5" l="1"/>
  <c r="DP22" i="5" s="1"/>
  <c r="DP23" i="5" s="1"/>
  <c r="DP24" i="5" s="1"/>
  <c r="DP25" i="5" s="1"/>
  <c r="DP26" i="5" s="1"/>
  <c r="DP27" i="5" s="1"/>
  <c r="DP28" i="5" s="1"/>
  <c r="DP29" i="5" s="1"/>
  <c r="DP30" i="5" s="1"/>
  <c r="DP31" i="5" s="1"/>
  <c r="DP32" i="5" s="1"/>
  <c r="DP33" i="5" s="1"/>
  <c r="DP34" i="5" s="1"/>
  <c r="EC3" i="5" l="1"/>
  <c r="EC5" i="5"/>
  <c r="EC4" i="5"/>
  <c r="EC6" i="5"/>
  <c r="EC28" i="5"/>
  <c r="EC30" i="5"/>
  <c r="EC62" i="5"/>
  <c r="EC35" i="5"/>
  <c r="EC55" i="5"/>
  <c r="EC61" i="5"/>
  <c r="EC37" i="5"/>
  <c r="EC47" i="5"/>
  <c r="EC57" i="5"/>
  <c r="EC60" i="5"/>
  <c r="EC45" i="5"/>
  <c r="EC51" i="5"/>
  <c r="EC49" i="5"/>
  <c r="EC43" i="5"/>
  <c r="EC54" i="5"/>
  <c r="EC34" i="5"/>
  <c r="EC44" i="5"/>
  <c r="EC39" i="5"/>
  <c r="EC32" i="5"/>
  <c r="EC36" i="5"/>
  <c r="EC59" i="5"/>
  <c r="EC53" i="5"/>
  <c r="EC56" i="5"/>
  <c r="EC38" i="5"/>
  <c r="EC58" i="5"/>
  <c r="EC42" i="5"/>
  <c r="EC31" i="5"/>
  <c r="EC41" i="5"/>
  <c r="EC40" i="5"/>
  <c r="EC48" i="5"/>
  <c r="EC52" i="5"/>
  <c r="EC46" i="5"/>
  <c r="EC50" i="5"/>
  <c r="EC33" i="5"/>
  <c r="EC29" i="5"/>
  <c r="EC27" i="5"/>
  <c r="EC23" i="5"/>
  <c r="EC24" i="5"/>
  <c r="EC26" i="5"/>
  <c r="EC22" i="5"/>
  <c r="EC25" i="5"/>
  <c r="EC20" i="5"/>
  <c r="EC18" i="5"/>
  <c r="EC15" i="5"/>
  <c r="EC16" i="5"/>
  <c r="EC19" i="5"/>
  <c r="EC21" i="5"/>
  <c r="EC17" i="5"/>
  <c r="EC12" i="5"/>
  <c r="EC11" i="5"/>
  <c r="EC10" i="5"/>
  <c r="EC9" i="5"/>
  <c r="EC14" i="5"/>
  <c r="EC13" i="5"/>
  <c r="DU2" i="5"/>
  <c r="DU3" i="5" s="1"/>
  <c r="DU4" i="5" s="1"/>
  <c r="DU5" i="5" s="1"/>
  <c r="DU6" i="5" s="1"/>
  <c r="DU7" i="5" s="1"/>
  <c r="DU8" i="5" s="1"/>
  <c r="DU9" i="5" s="1"/>
  <c r="DU10" i="5" s="1"/>
  <c r="DU11" i="5" s="1"/>
  <c r="DU12" i="5" s="1"/>
  <c r="DU13" i="5" s="1"/>
  <c r="DU14" i="5" s="1"/>
  <c r="DU15" i="5" s="1"/>
  <c r="DU16" i="5" s="1"/>
  <c r="DU17" i="5" s="1"/>
  <c r="DU18" i="5" s="1"/>
  <c r="DU19" i="5" s="1"/>
  <c r="DU20" i="5" s="1"/>
  <c r="DU21" i="5" s="1"/>
  <c r="DU22" i="5" s="1"/>
  <c r="DU23" i="5" s="1"/>
  <c r="DU24" i="5" s="1"/>
  <c r="DU25" i="5" s="1"/>
  <c r="DU26" i="5" s="1"/>
  <c r="DU27" i="5" s="1"/>
  <c r="DU28" i="5" s="1"/>
  <c r="DU29" i="5" s="1"/>
  <c r="DU30" i="5" s="1"/>
  <c r="DU31" i="5" s="1"/>
  <c r="DU32" i="5" s="1"/>
  <c r="DU33" i="5" s="1"/>
  <c r="DU34" i="5" s="1"/>
  <c r="EC7" i="5"/>
  <c r="EC8" i="5"/>
  <c r="EA8" i="5" l="1"/>
  <c r="EF8" i="5" s="1"/>
  <c r="DZ8" i="5"/>
  <c r="EA7" i="5"/>
  <c r="EF7" i="5" s="1"/>
  <c r="EA6" i="5"/>
  <c r="EF6" i="5" s="1"/>
  <c r="ED6" i="5"/>
  <c r="EA3" i="5"/>
  <c r="EF3" i="5" s="1"/>
  <c r="DZ7" i="5"/>
  <c r="EA5" i="5"/>
  <c r="EF5" i="5" s="1"/>
  <c r="ED8" i="5"/>
  <c r="ED7" i="5"/>
  <c r="DZ3" i="5"/>
  <c r="DZ4" i="5"/>
  <c r="ED4" i="5"/>
  <c r="DZ6" i="5"/>
  <c r="DZ5" i="5"/>
  <c r="EA4" i="5"/>
  <c r="EF4" i="5" s="1"/>
  <c r="ED5" i="5"/>
  <c r="ED3" i="5"/>
  <c r="ED27" i="5"/>
  <c r="ED50" i="5"/>
  <c r="EE50" i="5" s="1"/>
  <c r="ED42" i="5"/>
  <c r="EE42" i="5" s="1"/>
  <c r="ED36" i="5"/>
  <c r="EE36" i="5" s="1"/>
  <c r="ED49" i="5"/>
  <c r="EE49" i="5" s="1"/>
  <c r="ED13" i="5"/>
  <c r="ED23" i="5"/>
  <c r="ED62" i="5"/>
  <c r="EE62" i="5" s="1"/>
  <c r="ED54" i="5"/>
  <c r="EE54" i="5" s="1"/>
  <c r="ED21" i="5"/>
  <c r="ED61" i="5"/>
  <c r="EE61" i="5" s="1"/>
  <c r="ED41" i="5"/>
  <c r="EE41" i="5" s="1"/>
  <c r="ED56" i="5"/>
  <c r="EE56" i="5" s="1"/>
  <c r="ED59" i="5"/>
  <c r="EE59" i="5" s="1"/>
  <c r="ED45" i="5"/>
  <c r="EE45" i="5" s="1"/>
  <c r="ED25" i="5"/>
  <c r="ED40" i="5"/>
  <c r="EE40" i="5" s="1"/>
  <c r="ED32" i="5"/>
  <c r="EE32" i="5" s="1"/>
  <c r="ED30" i="5"/>
  <c r="ED22" i="5"/>
  <c r="ED57" i="5"/>
  <c r="EE57" i="5" s="1"/>
  <c r="ED33" i="5"/>
  <c r="EE33" i="5" s="1"/>
  <c r="ED52" i="5"/>
  <c r="EE52" i="5" s="1"/>
  <c r="ED39" i="5"/>
  <c r="EE39" i="5" s="1"/>
  <c r="ED37" i="5"/>
  <c r="EE37" i="5" s="1"/>
  <c r="ED17" i="5"/>
  <c r="ED20" i="5"/>
  <c r="ED18" i="5"/>
  <c r="ED11" i="5"/>
  <c r="ED34" i="5"/>
  <c r="EE34" i="5" s="1"/>
  <c r="ED26" i="5"/>
  <c r="ED60" i="5"/>
  <c r="EE60" i="5" s="1"/>
  <c r="ED24" i="5"/>
  <c r="ED16" i="5"/>
  <c r="ED31" i="5"/>
  <c r="EE31" i="5" s="1"/>
  <c r="ED28" i="5"/>
  <c r="ED55" i="5"/>
  <c r="EE55" i="5" s="1"/>
  <c r="ED10" i="5"/>
  <c r="ED12" i="5"/>
  <c r="ED35" i="5"/>
  <c r="EE35" i="5" s="1"/>
  <c r="ED46" i="5"/>
  <c r="EE46" i="5" s="1"/>
  <c r="ED48" i="5"/>
  <c r="EE48" i="5" s="1"/>
  <c r="ED29" i="5"/>
  <c r="ED53" i="5"/>
  <c r="EE53" i="5" s="1"/>
  <c r="ED38" i="5"/>
  <c r="EE38" i="5" s="1"/>
  <c r="ED19" i="5"/>
  <c r="ED15" i="5"/>
  <c r="ED14" i="5"/>
  <c r="ED44" i="5"/>
  <c r="EE44" i="5" s="1"/>
  <c r="ED9" i="5"/>
  <c r="ED47" i="5"/>
  <c r="EE47" i="5" s="1"/>
  <c r="ED43" i="5"/>
  <c r="EE43" i="5" s="1"/>
  <c r="ED58" i="5"/>
  <c r="EE58" i="5" s="1"/>
  <c r="ED51" i="5"/>
  <c r="EE51" i="5" s="1"/>
  <c r="EA48" i="5"/>
  <c r="EF48" i="5" s="1"/>
  <c r="EA53" i="5"/>
  <c r="EF53" i="5" s="1"/>
  <c r="EA55" i="5"/>
  <c r="EF55" i="5" s="1"/>
  <c r="EA47" i="5"/>
  <c r="EF47" i="5" s="1"/>
  <c r="EA40" i="5"/>
  <c r="EF40" i="5" s="1"/>
  <c r="EA51" i="5"/>
  <c r="EF51" i="5" s="1"/>
  <c r="EA38" i="5"/>
  <c r="EF38" i="5" s="1"/>
  <c r="EA37" i="5"/>
  <c r="EF37" i="5" s="1"/>
  <c r="EA62" i="5"/>
  <c r="EF62" i="5" s="1"/>
  <c r="EA23" i="5"/>
  <c r="EF23" i="5" s="1"/>
  <c r="EA35" i="5"/>
  <c r="EF35" i="5" s="1"/>
  <c r="EA56" i="5"/>
  <c r="EF56" i="5" s="1"/>
  <c r="EA36" i="5"/>
  <c r="EF36" i="5" s="1"/>
  <c r="EA33" i="5"/>
  <c r="EF33" i="5" s="1"/>
  <c r="EA34" i="5"/>
  <c r="EF34" i="5" s="1"/>
  <c r="EA58" i="5"/>
  <c r="EF58" i="5" s="1"/>
  <c r="EA22" i="5"/>
  <c r="EF22" i="5" s="1"/>
  <c r="EA41" i="5"/>
  <c r="EF41" i="5" s="1"/>
  <c r="EA44" i="5"/>
  <c r="EF44" i="5" s="1"/>
  <c r="EA28" i="5"/>
  <c r="EF28" i="5" s="1"/>
  <c r="EA59" i="5"/>
  <c r="EF59" i="5" s="1"/>
  <c r="EA26" i="5"/>
  <c r="EF26" i="5" s="1"/>
  <c r="EA30" i="5"/>
  <c r="EF30" i="5" s="1"/>
  <c r="EA31" i="5"/>
  <c r="EF31" i="5" s="1"/>
  <c r="EA54" i="5"/>
  <c r="EF54" i="5" s="1"/>
  <c r="EA32" i="5"/>
  <c r="EF32" i="5" s="1"/>
  <c r="EA60" i="5"/>
  <c r="EF60" i="5" s="1"/>
  <c r="EA29" i="5"/>
  <c r="EF29" i="5" s="1"/>
  <c r="EA43" i="5"/>
  <c r="EF43" i="5" s="1"/>
  <c r="EA61" i="5"/>
  <c r="EF61" i="5" s="1"/>
  <c r="EA25" i="5"/>
  <c r="EF25" i="5" s="1"/>
  <c r="EA57" i="5"/>
  <c r="EF57" i="5" s="1"/>
  <c r="EA42" i="5"/>
  <c r="EF42" i="5" s="1"/>
  <c r="EA52" i="5"/>
  <c r="EF52" i="5" s="1"/>
  <c r="EA50" i="5"/>
  <c r="EF50" i="5" s="1"/>
  <c r="EA24" i="5"/>
  <c r="EF24" i="5" s="1"/>
  <c r="EA46" i="5"/>
  <c r="EF46" i="5" s="1"/>
  <c r="EA27" i="5"/>
  <c r="EF27" i="5" s="1"/>
  <c r="EA45" i="5"/>
  <c r="EF45" i="5" s="1"/>
  <c r="EA49" i="5"/>
  <c r="EF49" i="5" s="1"/>
  <c r="EA39" i="5"/>
  <c r="EF39" i="5" s="1"/>
  <c r="EA17" i="5"/>
  <c r="EF17" i="5" s="1"/>
  <c r="EA11" i="5"/>
  <c r="EF11" i="5" s="1"/>
  <c r="EA15" i="5"/>
  <c r="EF15" i="5" s="1"/>
  <c r="EA12" i="5"/>
  <c r="EF12" i="5" s="1"/>
  <c r="EA16" i="5"/>
  <c r="EF16" i="5" s="1"/>
  <c r="EA9" i="5"/>
  <c r="EF9" i="5" s="1"/>
  <c r="EA14" i="5"/>
  <c r="EF14" i="5" s="1"/>
  <c r="EA19" i="5"/>
  <c r="EF19" i="5" s="1"/>
  <c r="EA13" i="5"/>
  <c r="EF13" i="5" s="1"/>
  <c r="EA21" i="5"/>
  <c r="EF21" i="5" s="1"/>
  <c r="EA18" i="5"/>
  <c r="EF18" i="5" s="1"/>
  <c r="EA20" i="5"/>
  <c r="EF20" i="5" s="1"/>
  <c r="EA10" i="5"/>
  <c r="EF10" i="5" s="1"/>
  <c r="DZ62" i="5"/>
  <c r="DZ60" i="5"/>
  <c r="DZ61" i="5"/>
  <c r="DZ59" i="5"/>
  <c r="DZ58" i="5"/>
  <c r="DZ51" i="5"/>
  <c r="DZ54" i="5"/>
  <c r="DZ57" i="5"/>
  <c r="DZ56" i="5"/>
  <c r="DZ53" i="5"/>
  <c r="DZ55" i="5"/>
  <c r="DZ52" i="5"/>
  <c r="DZ36" i="5"/>
  <c r="DZ39" i="5"/>
  <c r="DZ41" i="5"/>
  <c r="DZ9" i="5"/>
  <c r="DZ38" i="5"/>
  <c r="DZ40" i="5"/>
  <c r="DZ45" i="5"/>
  <c r="DZ48" i="5"/>
  <c r="DZ50" i="5"/>
  <c r="DZ44" i="5"/>
  <c r="DZ37" i="5"/>
  <c r="DZ47" i="5"/>
  <c r="DZ46" i="5"/>
  <c r="DZ43" i="5"/>
  <c r="DZ49" i="5"/>
  <c r="DZ42" i="5"/>
  <c r="DZ35" i="5"/>
  <c r="DZ34" i="5"/>
  <c r="DZ10" i="5"/>
  <c r="DZ12" i="5"/>
  <c r="DZ31" i="5"/>
  <c r="DZ33" i="5"/>
  <c r="DZ32" i="5"/>
  <c r="DZ29" i="5"/>
  <c r="DZ25" i="5"/>
  <c r="DZ26" i="5"/>
  <c r="DZ27" i="5"/>
  <c r="DZ28" i="5"/>
  <c r="DZ30" i="5"/>
  <c r="DZ13" i="5"/>
  <c r="DZ22" i="5"/>
  <c r="DZ15" i="5"/>
  <c r="DZ23" i="5"/>
  <c r="DZ19" i="5"/>
  <c r="DZ17" i="5"/>
  <c r="DZ24" i="5"/>
  <c r="DZ20" i="5"/>
  <c r="DZ18" i="5"/>
  <c r="DZ21" i="5"/>
  <c r="DZ14" i="5"/>
  <c r="DZ16" i="5"/>
  <c r="DZ11" i="5"/>
  <c r="EE30" i="5" l="1"/>
  <c r="EE29" i="5"/>
  <c r="EE28" i="5"/>
  <c r="EE27" i="5"/>
  <c r="EE2" i="5"/>
  <c r="EB51" i="5" s="1"/>
  <c r="EE1" i="5"/>
  <c r="EE24" i="5"/>
  <c r="EE22" i="5"/>
  <c r="EE23" i="5"/>
  <c r="EE25" i="5"/>
  <c r="EE26" i="5"/>
  <c r="EE21" i="5"/>
  <c r="EE20" i="5"/>
  <c r="EE19" i="5"/>
  <c r="EE9" i="5"/>
  <c r="EE17" i="5"/>
  <c r="EE13" i="5"/>
  <c r="EE11" i="5"/>
  <c r="EE10" i="5"/>
  <c r="EE14" i="5"/>
  <c r="EE18" i="5"/>
  <c r="EE7" i="5"/>
  <c r="EE16" i="5"/>
  <c r="EE15" i="5"/>
  <c r="EE12" i="5"/>
  <c r="EE5" i="5"/>
  <c r="EE4" i="5"/>
  <c r="EE8" i="5"/>
  <c r="EE6" i="5"/>
  <c r="EE3" i="5"/>
  <c r="EB3" i="5" l="1"/>
  <c r="EB5" i="5"/>
  <c r="EB6" i="5"/>
  <c r="EB7" i="5"/>
  <c r="EB11" i="5"/>
  <c r="EB12" i="5"/>
  <c r="EB18" i="5"/>
  <c r="EB13" i="5"/>
  <c r="EB20" i="5"/>
  <c r="EB23" i="5"/>
  <c r="EB19" i="5"/>
  <c r="EB25" i="5"/>
  <c r="EB8" i="5"/>
  <c r="EB4" i="5"/>
  <c r="EB16" i="5"/>
  <c r="EB10" i="5"/>
  <c r="EB9" i="5"/>
  <c r="EB15" i="5"/>
  <c r="EB14" i="5"/>
  <c r="EB17" i="5"/>
  <c r="EB21" i="5"/>
  <c r="EB22" i="5"/>
  <c r="EB42" i="5"/>
  <c r="EB52" i="5"/>
  <c r="EB36" i="5"/>
  <c r="EB60" i="5"/>
  <c r="EB43" i="5"/>
  <c r="EB56" i="5"/>
  <c r="EB55" i="5"/>
  <c r="EB58" i="5"/>
  <c r="EB33" i="5"/>
  <c r="EB26" i="5"/>
  <c r="EB24" i="5"/>
  <c r="EB61" i="5"/>
  <c r="EB31" i="5"/>
  <c r="EB62" i="5"/>
  <c r="EB28" i="5"/>
  <c r="EB27" i="5"/>
  <c r="EB40" i="5"/>
  <c r="EB46" i="5"/>
  <c r="EB50" i="5"/>
  <c r="EB34" i="5"/>
  <c r="EB45" i="5"/>
  <c r="EB29" i="5"/>
  <c r="EB41" i="5"/>
  <c r="EB35" i="5"/>
  <c r="EB49" i="5"/>
  <c r="EB57" i="5"/>
  <c r="EB38" i="5"/>
  <c r="EB59" i="5"/>
  <c r="EB48" i="5"/>
  <c r="EB30" i="5"/>
  <c r="EB47" i="5"/>
  <c r="EB39" i="5"/>
  <c r="EB53" i="5"/>
  <c r="EB54" i="5"/>
  <c r="EB37" i="5"/>
  <c r="EB44" i="5"/>
  <c r="EB32" i="5"/>
  <c r="V9" i="27"/>
  <c r="T14" i="27"/>
  <c r="U4" i="27" l="1"/>
  <c r="Q5" i="27"/>
  <c r="U9" i="27"/>
  <c r="T15" i="27"/>
  <c r="T16" i="27" s="1"/>
  <c r="V8" i="27"/>
  <c r="V4" i="27"/>
  <c r="U8" i="27"/>
  <c r="P5" i="27"/>
</calcChain>
</file>

<file path=xl/connections.xml><?xml version="1.0" encoding="utf-8"?>
<connections xmlns="http://schemas.openxmlformats.org/spreadsheetml/2006/main">
  <connection id="1" name="Connection" type="4" refreshedVersion="6" background="1" saveData="1">
    <webPr sourceData="1" parsePre="1" consecutive="1" xl2000="1" url="https://projects.fivethirtyeight.com/2019-mlb-predictions/games"/>
  </connection>
  <connection id="2" name="Connection1" type="4" refreshedVersion="6" background="1" saveData="1">
    <webPr sourceData="1" parsePre="1" consecutive="1" xl2000="1" url="https://www.baseball-reference.com/leagues/MLB/2019-advanced-batting.shtml"/>
  </connection>
  <connection id="3" name="Connection2" type="4" refreshedVersion="6" background="1" saveData="1">
    <webPr sourceData="1" parsePre="1" consecutive="1" xl2000="1" url="https://www.baseball-reference.com/leagues/MLB/2019-standard-pitching.shtml"/>
  </connection>
  <connection id="4" name="Connection3" type="4" refreshedVersion="6" background="1" saveData="1">
    <webPr sourceData="1" parsePre="1" consecutive="1" xl2000="1" url="https://www.baseball-reference.com/leagues/MLB/2019-ratio-batting.shtml"/>
  </connection>
  <connection id="5" name="Connection4" type="4" refreshedVersion="6" background="1" saveData="1">
    <webPr sourceData="1" parsePre="1" consecutive="1" xl2000="1" url="https://www.baseball-reference.com/leagues/MLB/2019-ratio-pitching.shtml"/>
  </connection>
  <connection id="6" name="Connection5" type="4" refreshedVersion="6" background="1" saveData="1">
    <webPr sourceData="1" parsePre="1" consecutive="1" xl2000="1" url="https://www.baseball-reference.com/leagues/MLB/2019-schedule.shtml"/>
  </connection>
</connections>
</file>

<file path=xl/sharedStrings.xml><?xml version="1.0" encoding="utf-8"?>
<sst xmlns="http://schemas.openxmlformats.org/spreadsheetml/2006/main" count="13138" uniqueCount="4921">
  <si>
    <t>R</t>
  </si>
  <si>
    <t>SEA</t>
  </si>
  <si>
    <t>DET</t>
  </si>
  <si>
    <t>CLE</t>
  </si>
  <si>
    <t>ARI</t>
  </si>
  <si>
    <t>MIA</t>
  </si>
  <si>
    <t>MIL</t>
  </si>
  <si>
    <t>LAA</t>
  </si>
  <si>
    <t>BAL</t>
  </si>
  <si>
    <t>BOS</t>
  </si>
  <si>
    <t>ATL</t>
  </si>
  <si>
    <t>COL</t>
  </si>
  <si>
    <t>CIN</t>
  </si>
  <si>
    <t>MIN</t>
  </si>
  <si>
    <t>PIT</t>
  </si>
  <si>
    <t>PHI</t>
  </si>
  <si>
    <t>HOU</t>
  </si>
  <si>
    <t>OAK</t>
  </si>
  <si>
    <t>TOR</t>
  </si>
  <si>
    <t>TEX</t>
  </si>
  <si>
    <t>G</t>
  </si>
  <si>
    <t>GS</t>
  </si>
  <si>
    <t>WSN</t>
  </si>
  <si>
    <t>TBR</t>
  </si>
  <si>
    <t>STL</t>
  </si>
  <si>
    <t>SFG</t>
  </si>
  <si>
    <t>SDP</t>
  </si>
  <si>
    <t>NYM</t>
  </si>
  <si>
    <t>NYY</t>
  </si>
  <si>
    <t>LAD</t>
  </si>
  <si>
    <t>KCR</t>
  </si>
  <si>
    <t>CHC</t>
  </si>
  <si>
    <t>CHW</t>
  </si>
  <si>
    <t>Team</t>
  </si>
  <si>
    <t>Pitcher</t>
  </si>
  <si>
    <t>Pitching</t>
  </si>
  <si>
    <t>Sports Reference</t>
  </si>
  <si>
    <t>Baseball</t>
  </si>
  <si>
    <t>Football (college)</t>
  </si>
  <si>
    <t>Basketball (college)</t>
  </si>
  <si>
    <t>Hockey</t>
  </si>
  <si>
    <t>Soccer</t>
  </si>
  <si>
    <t>Blog</t>
  </si>
  <si>
    <t>Stathead</t>
  </si>
  <si>
    <t>Widgets</t>
  </si>
  <si>
    <t>Questions or Comments?</t>
  </si>
  <si>
    <t>Welcome  · Your Account</t>
  </si>
  <si>
    <t>Logout</t>
  </si>
  <si>
    <t>Login</t>
  </si>
  <si>
    <t>Create Account</t>
  </si>
  <si>
    <t>Surf AD-FREE</t>
  </si>
  <si>
    <t>Baseball-Reference.com Logo &amp; Link to home page</t>
  </si>
  <si>
    <t>MENU</t>
  </si>
  <si>
    <t>Players</t>
  </si>
  <si>
    <t>Teams</t>
  </si>
  <si>
    <t>Seasons</t>
  </si>
  <si>
    <t>Leaders</t>
  </si>
  <si>
    <t>MLB Scores</t>
  </si>
  <si>
    <t>MLB Playoffs</t>
  </si>
  <si>
    <t>Play Index</t>
  </si>
  <si>
    <t>Full Site Menu Below</t>
  </si>
  <si>
    <t>You are here:</t>
  </si>
  <si>
    <t>2019  Logo</t>
  </si>
  <si>
    <t>via Sports Logos.net</t>
  </si>
  <si>
    <t>About logos</t>
  </si>
  <si>
    <t>Previous Season</t>
  </si>
  <si>
    <t>Other Leagues: NL, AL</t>
  </si>
  <si>
    <t>More league info</t>
  </si>
  <si>
    <t>Support us without the ads? Go Ad-Free.</t>
  </si>
  <si>
    <t>2019 MLB Season</t>
  </si>
  <si>
    <t>More 2019 MLB Pages</t>
  </si>
  <si>
    <t>Minor Leagues</t>
  </si>
  <si>
    <t>MLB Standings</t>
  </si>
  <si>
    <t>MLB Schedule</t>
  </si>
  <si>
    <t>Fielding</t>
  </si>
  <si>
    <t>Batting</t>
  </si>
  <si>
    <t>Managers</t>
  </si>
  <si>
    <t>Standard Fielding</t>
  </si>
  <si>
    <t>Appearances</t>
  </si>
  <si>
    <t>Catcher</t>
  </si>
  <si>
    <t>First Base</t>
  </si>
  <si>
    <t>Second Base</t>
  </si>
  <si>
    <t>Third Base</t>
  </si>
  <si>
    <t>Shortstop</t>
  </si>
  <si>
    <t>Left Field</t>
  </si>
  <si>
    <t>Center Field</t>
  </si>
  <si>
    <t>Right Field</t>
  </si>
  <si>
    <t>Outfield</t>
  </si>
  <si>
    <t>Standard Batting</t>
  </si>
  <si>
    <t>Player Value</t>
  </si>
  <si>
    <t>Advanced Batting</t>
  </si>
  <si>
    <t>Win Probability</t>
  </si>
  <si>
    <t>Spring Training</t>
  </si>
  <si>
    <t>Batting Ratios</t>
  </si>
  <si>
    <t>Baserunning/Misc</t>
  </si>
  <si>
    <t>PH/HR/Situ Hitting</t>
  </si>
  <si>
    <t>Pitches Batting</t>
  </si>
  <si>
    <t>Cumulative Batting</t>
  </si>
  <si>
    <t>Neutralized Batting</t>
  </si>
  <si>
    <t>Team Positional Comparisons</t>
  </si>
  <si>
    <t>League Splits</t>
  </si>
  <si>
    <t>Minors Batting</t>
  </si>
  <si>
    <t>Yesterday's Results</t>
  </si>
  <si>
    <t>Standard Pitching</t>
  </si>
  <si>
    <t>Batting Against</t>
  </si>
  <si>
    <t>Starting Pitching</t>
  </si>
  <si>
    <t>Relief Pitching</t>
  </si>
  <si>
    <t>Pitching Ratios</t>
  </si>
  <si>
    <t>Pitching Pitches</t>
  </si>
  <si>
    <t>Baserunning/Situ</t>
  </si>
  <si>
    <t>Cumulative Pitching</t>
  </si>
  <si>
    <t>Neutralized Pitching</t>
  </si>
  <si>
    <t>Minors Pitching</t>
  </si>
  <si>
    <t>Leaders &amp; Awards</t>
  </si>
  <si>
    <t>Awards, All-Stars, &amp; More</t>
  </si>
  <si>
    <t>Other</t>
  </si>
  <si>
    <t>Attendance &amp; Misc.</t>
  </si>
  <si>
    <t>New Debuts</t>
  </si>
  <si>
    <t>Rookie Players</t>
  </si>
  <si>
    <t>Retirements</t>
  </si>
  <si>
    <t>Born this Year</t>
  </si>
  <si>
    <t>Died this Year</t>
  </si>
  <si>
    <t>Uniform Numbers</t>
  </si>
  <si>
    <t>Transactions</t>
  </si>
  <si>
    <t>Amateur Draft</t>
  </si>
  <si>
    <t>Free Agents</t>
  </si>
  <si>
    <t>Last N Days Leaders</t>
  </si>
  <si>
    <t>Opening Day Lineups</t>
  </si>
  <si>
    <t>Team Starting Lineups</t>
  </si>
  <si>
    <t>Team Pitching Staffs</t>
  </si>
  <si>
    <t>Marcel Projections</t>
  </si>
  <si>
    <t>Tm</t>
  </si>
  <si>
    <t>IP</t>
  </si>
  <si>
    <t>Full Site Menu</t>
  </si>
  <si>
    <t>Return to Top</t>
  </si>
  <si>
    <t>MLB Players</t>
  </si>
  <si>
    <t>Current Greats: Clayton Kershaw, Bryce Harper, Mike Trout, Jacob deGrom, Miguel Cabrera, Zack Greinke, Jose Altuve, ...</t>
  </si>
  <si>
    <t>All-Time Greats: Stan Musial, Barry Bonds, Babe Ruth, Derek Jeter, Ken Griffey Jr, Jackie Robinson, Hank Aaron, ...</t>
  </si>
  <si>
    <t>MLB Teams</t>
  </si>
  <si>
    <t>NL East: Atlanta Braves, Miami Marlins, New York Mets, Philadelphia Phillies, Washington Nationals</t>
  </si>
  <si>
    <t>NL Central: Chicago Cubs, Cincinnati Reds, Milwaukee Brewers, Pittsburgh Pirates, St. Louis Cardinals</t>
  </si>
  <si>
    <t>NL West: Arizona Diamondbacks, Colorado Rockies, Los Angeles Dodgers , San Diego Padres, San Francisco Giants</t>
  </si>
  <si>
    <t>AL East: Baltimore Orioles, Boston Red Sox, New York Yankees, Tampa Bay Rays, Toronto Blue Jays</t>
  </si>
  <si>
    <t>AL Central: Chicago White Sox, Cleveland Indians, Detroit Tigers, Kansas City Royals, Minnesota Twins</t>
  </si>
  <si>
    <t>AL West: Houston Astros, Los Angeles Angels, Oakland Athletics, Seattle Mariners, Texas Rangers</t>
  </si>
  <si>
    <t>2019, 2018, 2019 MLB Pitching, 2019 MLB Batting, 2019 MLB Standings, 2019 MLB Attendance, 2019 MLB Rookies, ...</t>
  </si>
  <si>
    <t>MLB Leaders</t>
  </si>
  <si>
    <t>2019 MLB Batting, 2019 MLB Pitching, Career WAR Leaders, Single-Season Home Run Leaders, Active Strikeout Leaders, Upcoming Player Milestones, ...</t>
  </si>
  <si>
    <t>Yesterday's MLB Games, Scores from any date in MLB history, MLB Probable Pitchers, ...</t>
  </si>
  <si>
    <t>AL Standings, NL Standings, Standings for any date in history, ...</t>
  </si>
  <si>
    <t>2018 World Series: Red Sox vs Dodgers, 2017 World Series: Astros vs Dodgers, World Series Batting Leaders, World Series Pitching Leaders, ...</t>
  </si>
  <si>
    <t>Player Finders: Season &amp; Career Finder, Game Finder, Streak Finder, Event Finder, Player Comparison Finder, Neutralized Stats, ...</t>
  </si>
  <si>
    <t>Team Finders: Season Finder, Split Finder, Game Finder, Streak Finder, Event Finder, ...</t>
  </si>
  <si>
    <t>Other Finders: Draft Finder, Game Score &amp; Result Searches, Team Trade Histories, ...</t>
  </si>
  <si>
    <t>Active: Terry Francona, Clint Hurdle, A.J. Hinch, ...</t>
  </si>
  <si>
    <t>Retired: John McGraw, Bobby Cox, Earl Weaver, ...</t>
  </si>
  <si>
    <t>MLB Awards</t>
  </si>
  <si>
    <t>Baseball Hall of Fame, MLB MVP's, MLB Cy Young Award, MLB Rookie of the Year, Rawlings Gold Gloves, 2019 HOF results, 2020 Hall of Fame ballot, ...</t>
  </si>
  <si>
    <t>MLB All-Star Games</t>
  </si>
  <si>
    <t>Frivolities and More</t>
  </si>
  <si>
    <t>Oracle of Baseball, Uniform Number Tracker, Cups of Coffee, Pronunciation Guide, Birthplaces, Players by School Attended, ....</t>
  </si>
  <si>
    <t>MLB Draft</t>
  </si>
  <si>
    <t>Minor League Stats, Negro League Stats, Nippon Pro Baseball Stats, Cuban National Series Stats, Korean Baseball Stats, 2019 Minor Leagues, 2019 Affiliates, ...</t>
  </si>
  <si>
    <t>Baseball-Reference Bullpen</t>
  </si>
  <si>
    <t>85,000+ pages of baseball information, How to Contribute, ...</t>
  </si>
  <si>
    <t>About Baseball Reference</t>
  </si>
  <si>
    <t>Batting Glossary, Pitching Glossary, Wins Above Replacement Explainer, WAR data archive, BR Data Coverage, ...</t>
  </si>
  <si>
    <t>We're Social...for Statheads</t>
  </si>
  <si>
    <t>Every Sports Reference Social Media Account</t>
  </si>
  <si>
    <t>Question, Comment, Feedback, or Correction?</t>
  </si>
  <si>
    <t>Are you a Stathead, too? Subscribe to our Newsletter</t>
  </si>
  <si>
    <t>FAQs, Tip &amp; Tricks</t>
  </si>
  <si>
    <t>Learn about the Wins Above Replacement Formula</t>
  </si>
  <si>
    <t>Tips and Tricks from our Blog.</t>
  </si>
  <si>
    <t>Do you have a blog? Join our linker program.</t>
  </si>
  <si>
    <t>Watch our How-To Videos to Become a Stathead</t>
  </si>
  <si>
    <t>Go ad-free to support Sports Reference and get our fastest browsing experience</t>
  </si>
  <si>
    <t>Subscribe to the Play Index and get access to more data than you can imagine</t>
  </si>
  <si>
    <t>All logos are the trademark &amp; property of their owners and not Sports Reference LLC. We present them here for purely educational purposes. Our reasoning for presenting offensive logos.</t>
  </si>
  <si>
    <t>Logos were compiled by the amazing SportsLogos.net.</t>
  </si>
  <si>
    <t>Primary Data Provided By Gracenote Sports</t>
  </si>
  <si>
    <t>Copyright © 2000-2019 Sports Reference LLC. All rights reserved.</t>
  </si>
  <si>
    <t>Much of the play-by-play, game results, and transaction information both shown and used to create certain data sets was obtained free of charge from and is copyrighted by RetroSheet.</t>
  </si>
  <si>
    <t>Win Expectancy, Run Expectancy, and Leverage Index calculations provided by Tom Tango of InsideTheBook.com, and co-author of The Book: Playing the Percentages in Baseball.</t>
  </si>
  <si>
    <t>Total Zone Rating and initial framework for Wins above Replacement calculations provided by Sean Smith.</t>
  </si>
  <si>
    <t>Full-year historical Major League statistics provided by Pete Palmer and Gary Gillette of Hidden Game Sports.</t>
  </si>
  <si>
    <t>BaseballInfoSolutions.com logo</t>
  </si>
  <si>
    <t>Some defensive statistics Copyright © Baseball Info Solutions, 2010-2019.</t>
  </si>
  <si>
    <t>Some high school data is courtesy David McWater.</t>
  </si>
  <si>
    <t>Many historical player head shots courtesy of David Davis. Many thanks to him. All images are property the copyright holder and are displayed here for informational purposes only.</t>
  </si>
  <si>
    <t>About • Privacy Statement • Conditions &amp; Terms of Service • Advertise With Us • Use of Data</t>
  </si>
  <si>
    <t>2019 MLB Advanced Batting</t>
  </si>
  <si>
    <t>Team Advanced Batting</t>
  </si>
  <si>
    <t>Team Advanced Batting Table</t>
  </si>
  <si>
    <t>R/G</t>
  </si>
  <si>
    <t>Outs</t>
  </si>
  <si>
    <t>RC</t>
  </si>
  <si>
    <t>RC/G</t>
  </si>
  <si>
    <t>AIR</t>
  </si>
  <si>
    <t>BAbip</t>
  </si>
  <si>
    <t>BA</t>
  </si>
  <si>
    <t>lgBA</t>
  </si>
  <si>
    <t>OBP</t>
  </si>
  <si>
    <t>lgOBP</t>
  </si>
  <si>
    <t>SLG</t>
  </si>
  <si>
    <t>lgSLG</t>
  </si>
  <si>
    <t>OPS</t>
  </si>
  <si>
    <t>lgOPS</t>
  </si>
  <si>
    <t>OPS+</t>
  </si>
  <si>
    <t>OWn%</t>
  </si>
  <si>
    <t>BtRuns</t>
  </si>
  <si>
    <t>BtWins</t>
  </si>
  <si>
    <t>TotA</t>
  </si>
  <si>
    <t>SecA</t>
  </si>
  <si>
    <t>ISO</t>
  </si>
  <si>
    <t>PwrSpd</t>
  </si>
  <si>
    <t>LgAvg</t>
  </si>
  <si>
    <t>Player Advanced Batting</t>
  </si>
  <si>
    <t>TB</t>
  </si>
  <si>
    <t>SF</t>
  </si>
  <si>
    <t>CG</t>
  </si>
  <si>
    <t>SHO</t>
  </si>
  <si>
    <t>IP/GS</t>
  </si>
  <si>
    <t>Abbreviation</t>
  </si>
  <si>
    <t>Diamondbacks</t>
  </si>
  <si>
    <t>Braves</t>
  </si>
  <si>
    <t>Cubs</t>
  </si>
  <si>
    <t>White Sox</t>
  </si>
  <si>
    <t>Reds</t>
  </si>
  <si>
    <t>Indians</t>
  </si>
  <si>
    <t>Rockies</t>
  </si>
  <si>
    <t>Tigers</t>
  </si>
  <si>
    <t>Astros</t>
  </si>
  <si>
    <t>Royals</t>
  </si>
  <si>
    <t>Angels</t>
  </si>
  <si>
    <t>Dodgers</t>
  </si>
  <si>
    <t>Marlins</t>
  </si>
  <si>
    <t>Brewers</t>
  </si>
  <si>
    <t>Twins</t>
  </si>
  <si>
    <t>Mets</t>
  </si>
  <si>
    <t>Yankees</t>
  </si>
  <si>
    <t>Athletics</t>
  </si>
  <si>
    <t>Phillies</t>
  </si>
  <si>
    <t>Pirates</t>
  </si>
  <si>
    <t>Padres</t>
  </si>
  <si>
    <t>Mariners</t>
  </si>
  <si>
    <t>Giants</t>
  </si>
  <si>
    <t>Cardinals</t>
  </si>
  <si>
    <t>Rays</t>
  </si>
  <si>
    <t>Rangers</t>
  </si>
  <si>
    <t>Blue Jays</t>
  </si>
  <si>
    <t>Nationals</t>
  </si>
  <si>
    <t>H</t>
  </si>
  <si>
    <t>HR</t>
  </si>
  <si>
    <t>BB</t>
  </si>
  <si>
    <t>SO</t>
  </si>
  <si>
    <t>HBP</t>
  </si>
  <si>
    <t>IBB</t>
  </si>
  <si>
    <t>LOB</t>
  </si>
  <si>
    <t>Team Standard Pitching</t>
  </si>
  <si>
    <t>Orioles</t>
  </si>
  <si>
    <t>Red Sox</t>
  </si>
  <si>
    <t>W</t>
  </si>
  <si>
    <t>L</t>
  </si>
  <si>
    <t>W-L%</t>
  </si>
  <si>
    <t>CC Sabathia</t>
  </si>
  <si>
    <t>Own%</t>
  </si>
  <si>
    <t>Int</t>
  </si>
  <si>
    <t>Regression</t>
  </si>
  <si>
    <t>Std. Dev. Runs</t>
  </si>
  <si>
    <t>Chris Sale</t>
  </si>
  <si>
    <t>Pablo Lopez</t>
  </si>
  <si>
    <t>Carlos Carrasco</t>
  </si>
  <si>
    <t>Ivan Nova</t>
  </si>
  <si>
    <t>Andrew Cashner</t>
  </si>
  <si>
    <t>Luke Weaver</t>
  </si>
  <si>
    <t>Trevor Williams</t>
  </si>
  <si>
    <t>Kevin Gausman</t>
  </si>
  <si>
    <t>Sonny Gray</t>
  </si>
  <si>
    <t>Jeff Samardzija</t>
  </si>
  <si>
    <t>Homer Bailey</t>
  </si>
  <si>
    <t>Ryne Stanek</t>
  </si>
  <si>
    <t>Spencer Turnbull</t>
  </si>
  <si>
    <t>Hector Velazquez</t>
  </si>
  <si>
    <t>Zach Eflin</t>
  </si>
  <si>
    <t>Zack Wheeler</t>
  </si>
  <si>
    <t>Zach Davies</t>
  </si>
  <si>
    <t>Kenta Maeda</t>
  </si>
  <si>
    <t>Jose Quintana</t>
  </si>
  <si>
    <t>Michael Pineda</t>
  </si>
  <si>
    <t>Wade Miley</t>
  </si>
  <si>
    <t>Chad Bettis</t>
  </si>
  <si>
    <t>Patrick Corbin</t>
  </si>
  <si>
    <t>Domingo German</t>
  </si>
  <si>
    <t>Chris Stratton</t>
  </si>
  <si>
    <t>Lance Lynn</t>
  </si>
  <si>
    <t>Frankie Montas</t>
  </si>
  <si>
    <t>Erik Swanson</t>
  </si>
  <si>
    <t>Nick Margevicius</t>
  </si>
  <si>
    <t>Matthew Boyd</t>
  </si>
  <si>
    <t>2019 MLB Standard Pitching</t>
  </si>
  <si>
    <t>Team Standard Pitching Table</t>
  </si>
  <si>
    <t>#P</t>
  </si>
  <si>
    <t>PAge</t>
  </si>
  <si>
    <t>RA/G</t>
  </si>
  <si>
    <t>ERA</t>
  </si>
  <si>
    <t>GF</t>
  </si>
  <si>
    <t>tSho</t>
  </si>
  <si>
    <t>cSho</t>
  </si>
  <si>
    <t>SV</t>
  </si>
  <si>
    <t>ER</t>
  </si>
  <si>
    <t>BK</t>
  </si>
  <si>
    <t>WP</t>
  </si>
  <si>
    <t>BF</t>
  </si>
  <si>
    <t>ERA+</t>
  </si>
  <si>
    <t>FIP</t>
  </si>
  <si>
    <t>WHIP</t>
  </si>
  <si>
    <t>H9</t>
  </si>
  <si>
    <t>HR9</t>
  </si>
  <si>
    <t>BB9</t>
  </si>
  <si>
    <t>SO9</t>
  </si>
  <si>
    <t>SO/W</t>
  </si>
  <si>
    <t>Player Standard Pitching</t>
  </si>
  <si>
    <t>Batting Regression</t>
  </si>
  <si>
    <t>Regression Predicted Runs For</t>
  </si>
  <si>
    <t>Regression Predited Runs Against</t>
  </si>
  <si>
    <t>Player</t>
  </si>
  <si>
    <t>K</t>
  </si>
  <si>
    <t>BS</t>
  </si>
  <si>
    <t>HLD</t>
  </si>
  <si>
    <t>Marco Gonzales</t>
  </si>
  <si>
    <t>Brad Keller</t>
  </si>
  <si>
    <t>KC</t>
  </si>
  <si>
    <t>Jake Arrieta</t>
  </si>
  <si>
    <t>Mike Minor</t>
  </si>
  <si>
    <t>Jose Berrios</t>
  </si>
  <si>
    <t>Trevor Bauer</t>
  </si>
  <si>
    <t>Yusei Kikuchi</t>
  </si>
  <si>
    <t>Jon Gray</t>
  </si>
  <si>
    <t>Max Scherzer</t>
  </si>
  <si>
    <t>WAS</t>
  </si>
  <si>
    <t>Madison Bumgarner</t>
  </si>
  <si>
    <t>German Marquez</t>
  </si>
  <si>
    <t>Luis Castillo</t>
  </si>
  <si>
    <t>Stephen Strasburg</t>
  </si>
  <si>
    <t>Marcus Stroman</t>
  </si>
  <si>
    <t>Jorge Lopez</t>
  </si>
  <si>
    <t>Justin Verlander</t>
  </si>
  <si>
    <t>Zack Greinke</t>
  </si>
  <si>
    <t>Mike Leake</t>
  </si>
  <si>
    <t>Gerrit Cole</t>
  </si>
  <si>
    <t>Masahiro Tanaka</t>
  </si>
  <si>
    <t>Tyler Glasnow</t>
  </si>
  <si>
    <t>Ross Stripling</t>
  </si>
  <si>
    <t>Trevor Richards</t>
  </si>
  <si>
    <t>James Paxton</t>
  </si>
  <si>
    <t>Miles Mikolas</t>
  </si>
  <si>
    <t>Noah Syndergaard</t>
  </si>
  <si>
    <t>Matt Shoemaker</t>
  </si>
  <si>
    <t>Joe Musgrove</t>
  </si>
  <si>
    <t>Carlos Rodon</t>
  </si>
  <si>
    <t>CWS</t>
  </si>
  <si>
    <t>Dereck Rodriguez</t>
  </si>
  <si>
    <t>Kyle Freeland</t>
  </si>
  <si>
    <t>Jakob Junis</t>
  </si>
  <si>
    <t>Robbie Ray</t>
  </si>
  <si>
    <t>Jordan Zimmermann</t>
  </si>
  <si>
    <t>Derek Holland</t>
  </si>
  <si>
    <t>Zack Godley</t>
  </si>
  <si>
    <t>Eric Lauer</t>
  </si>
  <si>
    <t>SD</t>
  </si>
  <si>
    <t>Joey Lucchesi</t>
  </si>
  <si>
    <t>Jose Urena</t>
  </si>
  <si>
    <t>Brett Anderson</t>
  </si>
  <si>
    <t>Charlie Morton</t>
  </si>
  <si>
    <t>Trevor Cahill</t>
  </si>
  <si>
    <t>Collin McHugh</t>
  </si>
  <si>
    <t>Brandon Woodruff</t>
  </si>
  <si>
    <t>Max Fried</t>
  </si>
  <si>
    <t>David Hess</t>
  </si>
  <si>
    <t>Corey Kluber</t>
  </si>
  <si>
    <t>Cole Hamels</t>
  </si>
  <si>
    <t>Jameson Taillon</t>
  </si>
  <si>
    <t>Aaron Sanchez</t>
  </si>
  <si>
    <t>J.A. Happ</t>
  </si>
  <si>
    <t>Julio Teheran</t>
  </si>
  <si>
    <t>Yonny Chirinos</t>
  </si>
  <si>
    <t>Reynaldo Lopez</t>
  </si>
  <si>
    <t>Blake Snell</t>
  </si>
  <si>
    <t>Aaron Nola</t>
  </si>
  <si>
    <t>Mike Fiers</t>
  </si>
  <si>
    <t>Matt Harvey</t>
  </si>
  <si>
    <t>Jhoulys Chacin</t>
  </si>
  <si>
    <t>Jack Flaherty</t>
  </si>
  <si>
    <t>Tyson Ross</t>
  </si>
  <si>
    <t>David Price</t>
  </si>
  <si>
    <t>Marco Estrada</t>
  </si>
  <si>
    <t>Dylan Bundy</t>
  </si>
  <si>
    <t>Shane Bieber</t>
  </si>
  <si>
    <t>Sandy Alcantara</t>
  </si>
  <si>
    <t>Caleb Smith</t>
  </si>
  <si>
    <t>Tyler Mahle</t>
  </si>
  <si>
    <t>Chris Archer</t>
  </si>
  <si>
    <t>Yu Darvish</t>
  </si>
  <si>
    <t>Jake Odorizzi</t>
  </si>
  <si>
    <t>Merrill Kelly</t>
  </si>
  <si>
    <t>Steven Matz</t>
  </si>
  <si>
    <t>Jacob deGrom</t>
  </si>
  <si>
    <t>Anibal Sanchez</t>
  </si>
  <si>
    <t>Aaron Brooks</t>
  </si>
  <si>
    <t>Michael Wacha</t>
  </si>
  <si>
    <t>Nathan Eovaldi</t>
  </si>
  <si>
    <t>Brad Peacock</t>
  </si>
  <si>
    <t>Kyle Gibson</t>
  </si>
  <si>
    <t>Matt Strahm</t>
  </si>
  <si>
    <t>Hyun-Jin Ryu</t>
  </si>
  <si>
    <t>Martin Perez</t>
  </si>
  <si>
    <t>Kyle Hendricks</t>
  </si>
  <si>
    <t>Eduardo Rodriguez</t>
  </si>
  <si>
    <t>Tanner Roark</t>
  </si>
  <si>
    <t>Chris Paddack</t>
  </si>
  <si>
    <t>Julio Urias</t>
  </si>
  <si>
    <t>Anthony DeSclafani</t>
  </si>
  <si>
    <t>Adam Wainwright</t>
  </si>
  <si>
    <t>Jeremy Hellickson</t>
  </si>
  <si>
    <t>Drew Pomeranz</t>
  </si>
  <si>
    <t>Lucas Giolito</t>
  </si>
  <si>
    <t>Nick Pivetta</t>
  </si>
  <si>
    <t>Dakota Hudson</t>
  </si>
  <si>
    <t>Walker Buehler</t>
  </si>
  <si>
    <t>Trent Thornton</t>
  </si>
  <si>
    <t>Felix Hernandez</t>
  </si>
  <si>
    <t>Adrian Sampson</t>
  </si>
  <si>
    <t>Freddy Peralta</t>
  </si>
  <si>
    <t>Corbin Burnes</t>
  </si>
  <si>
    <t>Vince Velasquez</t>
  </si>
  <si>
    <t>Felix Pena</t>
  </si>
  <si>
    <t>Rick Porcello</t>
  </si>
  <si>
    <t>Jordan Lyles</t>
  </si>
  <si>
    <t>Wade LeBlanc</t>
  </si>
  <si>
    <t>John Means</t>
  </si>
  <si>
    <t>J.B. Wendelken</t>
  </si>
  <si>
    <t>Shelby Miller</t>
  </si>
  <si>
    <t>Tyler Skaggs</t>
  </si>
  <si>
    <t>Chase Anderson</t>
  </si>
  <si>
    <t>Drew Smyly</t>
  </si>
  <si>
    <t>Sam Gaviglio</t>
  </si>
  <si>
    <t>John Gant</t>
  </si>
  <si>
    <t>Dan Straily</t>
  </si>
  <si>
    <t>Matt Koch</t>
  </si>
  <si>
    <t>Manny Banuelos</t>
  </si>
  <si>
    <t>Jalen Beeks</t>
  </si>
  <si>
    <t>Kyle Wright</t>
  </si>
  <si>
    <t>Robert Gsellman</t>
  </si>
  <si>
    <t>Brandon Brennan</t>
  </si>
  <si>
    <t>Jon Lester</t>
  </si>
  <si>
    <t>Pedro Baez</t>
  </si>
  <si>
    <t>Matt Andriese</t>
  </si>
  <si>
    <t>Seth Lugo</t>
  </si>
  <si>
    <t>Roenis Elias</t>
  </si>
  <si>
    <t>Jimmy Yacabonis</t>
  </si>
  <si>
    <t>Mike Wright Jr.</t>
  </si>
  <si>
    <t>John Brebbia</t>
  </si>
  <si>
    <t>Daniel Norris</t>
  </si>
  <si>
    <t>Nick Vincent</t>
  </si>
  <si>
    <t>Liam Hendriks</t>
  </si>
  <si>
    <t>Junior Guerra</t>
  </si>
  <si>
    <t>Craig Stammen</t>
  </si>
  <si>
    <t>Clayton Kershaw</t>
  </si>
  <si>
    <t>Adam Ottavino</t>
  </si>
  <si>
    <t>Jonathan Holder</t>
  </si>
  <si>
    <t>Diego Castillo</t>
  </si>
  <si>
    <t>Josh James</t>
  </si>
  <si>
    <t>Jaime Barria</t>
  </si>
  <si>
    <t>Lou Trivino</t>
  </si>
  <si>
    <t>Tyler Kinley</t>
  </si>
  <si>
    <t>Thomas Pannone</t>
  </si>
  <si>
    <t>Ryan Burr</t>
  </si>
  <si>
    <t>Antonio Senzatela</t>
  </si>
  <si>
    <t>Blake Treinen</t>
  </si>
  <si>
    <t>Yusmeiro Petit</t>
  </si>
  <si>
    <t>Ryan Yarbrough</t>
  </si>
  <si>
    <t>Sean Newcomb</t>
  </si>
  <si>
    <t>Heath Fillmyer</t>
  </si>
  <si>
    <t>Josh Hader</t>
  </si>
  <si>
    <t>Mike Clevinger</t>
  </si>
  <si>
    <t>Blaine Hardy</t>
  </si>
  <si>
    <t>Tyler Anderson</t>
  </si>
  <si>
    <t>Kirby Yates</t>
  </si>
  <si>
    <t>Bryan Shaw</t>
  </si>
  <si>
    <t>Tyler Chatwood</t>
  </si>
  <si>
    <t>Shane Greene</t>
  </si>
  <si>
    <t>Taylor Rogers</t>
  </si>
  <si>
    <t>Scott Oberg</t>
  </si>
  <si>
    <t>Alex Claudio</t>
  </si>
  <si>
    <t>Kenley Jansen</t>
  </si>
  <si>
    <t>Miguel Castro</t>
  </si>
  <si>
    <t>Robert Stephenson</t>
  </si>
  <si>
    <t>Joe Biagini</t>
  </si>
  <si>
    <t>Jose Alvarado</t>
  </si>
  <si>
    <t>Sam Dyson</t>
  </si>
  <si>
    <t>Joakim Soria</t>
  </si>
  <si>
    <t>Juan Nicasio</t>
  </si>
  <si>
    <t>Ryan Brasier</t>
  </si>
  <si>
    <t>Jesse Biddle</t>
  </si>
  <si>
    <t>Hansel Robles</t>
  </si>
  <si>
    <t>Ken Giles</t>
  </si>
  <si>
    <t>Adam Warren</t>
  </si>
  <si>
    <t>Cam Bedrosian</t>
  </si>
  <si>
    <t>Ian Kennedy</t>
  </si>
  <si>
    <t>Trevor Gott</t>
  </si>
  <si>
    <t>Dominic Leone</t>
  </si>
  <si>
    <t>Caleb Ferguson</t>
  </si>
  <si>
    <t>Carlos Estevez</t>
  </si>
  <si>
    <t>Clay Buchholz</t>
  </si>
  <si>
    <t>Marcus Walden</t>
  </si>
  <si>
    <t>Heath Hembree</t>
  </si>
  <si>
    <t>Jeurys Familia</t>
  </si>
  <si>
    <t>Felipe Vazquez</t>
  </si>
  <si>
    <t>Dylan Floro</t>
  </si>
  <si>
    <t>Luis Cessa</t>
  </si>
  <si>
    <t>Luke Jackson</t>
  </si>
  <si>
    <t>Austin Brice</t>
  </si>
  <si>
    <t>Michael Lorenzen</t>
  </si>
  <si>
    <t>Brandon Workman</t>
  </si>
  <si>
    <t>Luis Garcia</t>
  </si>
  <si>
    <t>Jason Vargas</t>
  </si>
  <si>
    <t>Noe Ramirez</t>
  </si>
  <si>
    <t>Kyle Dowdy</t>
  </si>
  <si>
    <t>Scott Barlow</t>
  </si>
  <si>
    <t>Javy Guerra</t>
  </si>
  <si>
    <t>Fernando Rodney</t>
  </si>
  <si>
    <t>Wily Peralta</t>
  </si>
  <si>
    <t>Mark Melancon</t>
  </si>
  <si>
    <t>Wilmer Font</t>
  </si>
  <si>
    <t>Sean Doolittle</t>
  </si>
  <si>
    <t>Matt Moore</t>
  </si>
  <si>
    <t>Shawn Kelley</t>
  </si>
  <si>
    <t>Jerad Eickhoff</t>
  </si>
  <si>
    <t>Reyes Moronta</t>
  </si>
  <si>
    <t>Adalberto Mejia</t>
  </si>
  <si>
    <t>Richard Rodriguez</t>
  </si>
  <si>
    <t>Mychal Givens</t>
  </si>
  <si>
    <t>Joe Kelly</t>
  </si>
  <si>
    <t>Alex Wilson</t>
  </si>
  <si>
    <t>Yimi Garcia</t>
  </si>
  <si>
    <t>Hector Neris</t>
  </si>
  <si>
    <t>Tayron Guerrero</t>
  </si>
  <si>
    <t>Nick Anderson</t>
  </si>
  <si>
    <t>Adam Kolarek</t>
  </si>
  <si>
    <t>Cory Gearrin</t>
  </si>
  <si>
    <t>Kelvin Herrera</t>
  </si>
  <si>
    <t>Daniel Hudson</t>
  </si>
  <si>
    <t>Brad Hand</t>
  </si>
  <si>
    <t>Jesse Chavez</t>
  </si>
  <si>
    <t>Raisel Iglesias</t>
  </si>
  <si>
    <t>Yoan Lopez</t>
  </si>
  <si>
    <t>Ryne Harper</t>
  </si>
  <si>
    <t>Ty Buttrey</t>
  </si>
  <si>
    <t>Brandon Kintzler</t>
  </si>
  <si>
    <t>Zack Britton</t>
  </si>
  <si>
    <t>Brad Boxberger</t>
  </si>
  <si>
    <t>Trevor May</t>
  </si>
  <si>
    <t>Wander Suero</t>
  </si>
  <si>
    <t>Roberto Osuna</t>
  </si>
  <si>
    <t>Matt Barnes</t>
  </si>
  <si>
    <t>Scott Alexander</t>
  </si>
  <si>
    <t>Aroldis Chapman</t>
  </si>
  <si>
    <t>Matt Grace</t>
  </si>
  <si>
    <t>Alex Colome</t>
  </si>
  <si>
    <t>Jacob Barnes</t>
  </si>
  <si>
    <t>Adam Morgan</t>
  </si>
  <si>
    <t>Archie Bradley</t>
  </si>
  <si>
    <t>Jake Diekman</t>
  </si>
  <si>
    <t>Jose Alvarez</t>
  </si>
  <si>
    <t>Neil Ramirez</t>
  </si>
  <si>
    <t>Yoshihisa Hirano</t>
  </si>
  <si>
    <t>Jared Hughes</t>
  </si>
  <si>
    <t>David Hernandez</t>
  </si>
  <si>
    <t>Pat Neshek</t>
  </si>
  <si>
    <t>Trey Wingenter</t>
  </si>
  <si>
    <t>Paul Fry</t>
  </si>
  <si>
    <t>Jordan Hicks</t>
  </si>
  <si>
    <t>Chad Sobotka</t>
  </si>
  <si>
    <t>Jeffrey Springs</t>
  </si>
  <si>
    <t>Elvis Luciano</t>
  </si>
  <si>
    <t>Chris Devenski</t>
  </si>
  <si>
    <t>Nick Burdi</t>
  </si>
  <si>
    <t>Amir Garrett</t>
  </si>
  <si>
    <t>Drew Steckenrider</t>
  </si>
  <si>
    <t>Edwin Diaz</t>
  </si>
  <si>
    <t>Ervin Santana</t>
  </si>
  <si>
    <t>Matt Albers</t>
  </si>
  <si>
    <t>Josh Tomlin</t>
  </si>
  <si>
    <t>Dan Otero</t>
  </si>
  <si>
    <t>Nate Jones</t>
  </si>
  <si>
    <t>Ryan Pressly</t>
  </si>
  <si>
    <t>D.J. Johnson</t>
  </si>
  <si>
    <t>Luke Bard</t>
  </si>
  <si>
    <t>Robbie Erlin</t>
  </si>
  <si>
    <t>Tyler Thornburg</t>
  </si>
  <si>
    <t>Tommy Kahnle</t>
  </si>
  <si>
    <t>Steve Cishek</t>
  </si>
  <si>
    <t>Jeanmar Gomez</t>
  </si>
  <si>
    <t>Justin Wilson</t>
  </si>
  <si>
    <t>Alex Cobb</t>
  </si>
  <si>
    <t>Wade Davis</t>
  </si>
  <si>
    <t>Kyle Barraclough</t>
  </si>
  <si>
    <t>Shane Carle</t>
  </si>
  <si>
    <t>Adam Cimber</t>
  </si>
  <si>
    <t>Evan Phillips</t>
  </si>
  <si>
    <t>Mike Mayers</t>
  </si>
  <si>
    <t>Tim Mayza</t>
  </si>
  <si>
    <t>Jace Fry</t>
  </si>
  <si>
    <t>Matt Wisler</t>
  </si>
  <si>
    <t>Brad Brach</t>
  </si>
  <si>
    <t>Luis Avilan</t>
  </si>
  <si>
    <t>Jose Leclerc</t>
  </si>
  <si>
    <t>Adam Conley</t>
  </si>
  <si>
    <t>Connor Sadzeck</t>
  </si>
  <si>
    <t>Wandy Peralta</t>
  </si>
  <si>
    <t>Andrew Chafin</t>
  </si>
  <si>
    <t>Chris Martin</t>
  </si>
  <si>
    <t>Will Smith</t>
  </si>
  <si>
    <t>Hector Rondon</t>
  </si>
  <si>
    <t>Wei-Yin Chen</t>
  </si>
  <si>
    <t>Edinson Volquez</t>
  </si>
  <si>
    <t>Andrew Miller</t>
  </si>
  <si>
    <t>Ryan Buchter</t>
  </si>
  <si>
    <t>Trevor Hildenberger</t>
  </si>
  <si>
    <t>Joe Jimenez</t>
  </si>
  <si>
    <t>Keone Kela</t>
  </si>
  <si>
    <t>Victor Alcantara</t>
  </si>
  <si>
    <t>Colten Brewer</t>
  </si>
  <si>
    <t>Wes Parsons</t>
  </si>
  <si>
    <t>Harrison Musgrave</t>
  </si>
  <si>
    <t>Seranthony Dominguez</t>
  </si>
  <si>
    <t>Touki Toussaint</t>
  </si>
  <si>
    <t>Blake Parker</t>
  </si>
  <si>
    <t>Anthony Swarzak</t>
  </si>
  <si>
    <t>Francisco Liriano</t>
  </si>
  <si>
    <t>Cody Allen</t>
  </si>
  <si>
    <t>Chad Green</t>
  </si>
  <si>
    <t>Randy Rosario</t>
  </si>
  <si>
    <t>Zac Rosscup</t>
  </si>
  <si>
    <t>Sergio Romo</t>
  </si>
  <si>
    <t>Tony Watson</t>
  </si>
  <si>
    <t>Greg Holland</t>
  </si>
  <si>
    <t>Matt Festa</t>
  </si>
  <si>
    <t>Phil Maton</t>
  </si>
  <si>
    <t>Reed Garrett</t>
  </si>
  <si>
    <t>Tyler Olson</t>
  </si>
  <si>
    <t>Jonathan Loaisiga</t>
  </si>
  <si>
    <t>Nick Wittgren</t>
  </si>
  <si>
    <t>Glenn Sparkman</t>
  </si>
  <si>
    <t>Giovanny Gallegos</t>
  </si>
  <si>
    <t>A.J. Minter</t>
  </si>
  <si>
    <t>David Robertson</t>
  </si>
  <si>
    <t>Will Harris</t>
  </si>
  <si>
    <t>Chaz Roe</t>
  </si>
  <si>
    <t>Pedro Strop</t>
  </si>
  <si>
    <t>Buck Farmer</t>
  </si>
  <si>
    <t>Nick Kingham</t>
  </si>
  <si>
    <t>Zach Duke</t>
  </si>
  <si>
    <t>Justin Miller</t>
  </si>
  <si>
    <t>Chasen Bradford</t>
  </si>
  <si>
    <t>Tanner Scott</t>
  </si>
  <si>
    <t>Travis Bergen</t>
  </si>
  <si>
    <t>Hunter Wood</t>
  </si>
  <si>
    <t>Mike Dunn</t>
  </si>
  <si>
    <t>Robert Stock</t>
  </si>
  <si>
    <t>Brian Johnson</t>
  </si>
  <si>
    <t>Oliver Perez</t>
  </si>
  <si>
    <t>Allen Webster</t>
  </si>
  <si>
    <t>Jefry Rodriguez</t>
  </si>
  <si>
    <t>Aaron Wilkerson</t>
  </si>
  <si>
    <t>Justin Anderson</t>
  </si>
  <si>
    <t>Kyle Bird</t>
  </si>
  <si>
    <t>Pedro Avila</t>
  </si>
  <si>
    <t>Framber Valdez</t>
  </si>
  <si>
    <t>Brad Wieck</t>
  </si>
  <si>
    <t>Drew Gagnon</t>
  </si>
  <si>
    <t>Nate Karns</t>
  </si>
  <si>
    <t>Jon Edwards</t>
  </si>
  <si>
    <t>Tony Sipp</t>
  </si>
  <si>
    <t>Taylor Cole</t>
  </si>
  <si>
    <t>Edubray Ramos</t>
  </si>
  <si>
    <t>Cody Anderson</t>
  </si>
  <si>
    <t>Jake Newberry</t>
  </si>
  <si>
    <t>Carson Fulmer</t>
  </si>
  <si>
    <t>Paul Sewald</t>
  </si>
  <si>
    <t>Emilio Pagan</t>
  </si>
  <si>
    <t>Dennis Santana</t>
  </si>
  <si>
    <t>Tyler Webb</t>
  </si>
  <si>
    <t>Chris Bassitt</t>
  </si>
  <si>
    <t>Mike Soroka</t>
  </si>
  <si>
    <t>Joe Harvey</t>
  </si>
  <si>
    <t>Victor Arano</t>
  </si>
  <si>
    <t>Jake Jewell</t>
  </si>
  <si>
    <t>Jose Ruiz</t>
  </si>
  <si>
    <t>Steven Brault</t>
  </si>
  <si>
    <t>Kyle Ryan</t>
  </si>
  <si>
    <t>Josh Lucas</t>
  </si>
  <si>
    <t>Richard Bleier</t>
  </si>
  <si>
    <t>Taylor Williams</t>
  </si>
  <si>
    <t>Daniel Stumpf</t>
  </si>
  <si>
    <t>Chris Flexen</t>
  </si>
  <si>
    <t>Yency Almonte</t>
  </si>
  <si>
    <t>Joe Ross</t>
  </si>
  <si>
    <t>Ryan Helsley</t>
  </si>
  <si>
    <t>Jon Duplantier</t>
  </si>
  <si>
    <t>Tyler Duffey</t>
  </si>
  <si>
    <t>Tim Peterson</t>
  </si>
  <si>
    <t>Jake Petricka</t>
  </si>
  <si>
    <t>Arodys Vizcaino</t>
  </si>
  <si>
    <t>Brock Stewart</t>
  </si>
  <si>
    <t>Kyle Crick</t>
  </si>
  <si>
    <t>Adrian Houser</t>
  </si>
  <si>
    <t>R.J. Alaniz</t>
  </si>
  <si>
    <t>Corey Oswalt</t>
  </si>
  <si>
    <t>Kevin McCarthy</t>
  </si>
  <si>
    <t>Shawn Armstrong</t>
  </si>
  <si>
    <t>Josh Rogers</t>
  </si>
  <si>
    <t>Bryse Wilson</t>
  </si>
  <si>
    <t>Richard Lovelady</t>
  </si>
  <si>
    <t>Aaron Loup</t>
  </si>
  <si>
    <t>Tim Collins</t>
  </si>
  <si>
    <t>Erasmo Ramirez</t>
  </si>
  <si>
    <t>Taylor Clarke</t>
  </si>
  <si>
    <t>Alex Reyes</t>
  </si>
  <si>
    <t>Dillon Peters</t>
  </si>
  <si>
    <t>Stephen Tarpley</t>
  </si>
  <si>
    <t>Jaime Schultz</t>
  </si>
  <si>
    <t>Caleb Frare</t>
  </si>
  <si>
    <t>Reymin Guduan</t>
  </si>
  <si>
    <t>Drew VerHagen</t>
  </si>
  <si>
    <t>Jarlin Garcia</t>
  </si>
  <si>
    <t>Josh Osich</t>
  </si>
  <si>
    <t>Mike Montgomery</t>
  </si>
  <si>
    <t>Jonny Venters</t>
  </si>
  <si>
    <t>Jeremy Jeffress</t>
  </si>
  <si>
    <t>Jake McGee</t>
  </si>
  <si>
    <t>Hunter Strickland</t>
  </si>
  <si>
    <t>Dan Winkler</t>
  </si>
  <si>
    <t>Donnie Hart</t>
  </si>
  <si>
    <t>John Curtiss</t>
  </si>
  <si>
    <t>Brett Martin</t>
  </si>
  <si>
    <t>Austin Davis</t>
  </si>
  <si>
    <t>Tim Hill</t>
  </si>
  <si>
    <t>Sean Reid-Foley</t>
  </si>
  <si>
    <t>Jake Faria</t>
  </si>
  <si>
    <t>Fernando Romero</t>
  </si>
  <si>
    <t>Kyle Zimmer</t>
  </si>
  <si>
    <t>Drew Anderson</t>
  </si>
  <si>
    <t>Ryan Dull</t>
  </si>
  <si>
    <t>Casey Sadler</t>
  </si>
  <si>
    <t>Luis Perdomo</t>
  </si>
  <si>
    <t>Trevor Rosenthal</t>
  </si>
  <si>
    <t>Branden Kline</t>
  </si>
  <si>
    <t>Ryan Tepera</t>
  </si>
  <si>
    <t>JT Chargois</t>
  </si>
  <si>
    <t>Carl Edwards Jr.</t>
  </si>
  <si>
    <t>Jacob Webb</t>
  </si>
  <si>
    <t>Jacob Rhame</t>
  </si>
  <si>
    <t>Nick Rumbelow</t>
  </si>
  <si>
    <t>Dylan Covey</t>
  </si>
  <si>
    <t>Gabriel Ynoa</t>
  </si>
  <si>
    <t>Austin Adams</t>
  </si>
  <si>
    <t>Chris Ellis</t>
  </si>
  <si>
    <t>Chase De Jong</t>
  </si>
  <si>
    <t>Gerardo Reyes</t>
  </si>
  <si>
    <t>Pedro Araujo</t>
  </si>
  <si>
    <t>Austen Williams</t>
  </si>
  <si>
    <t>Dan Altavilla</t>
  </si>
  <si>
    <t>ER/IP</t>
  </si>
  <si>
    <t>ER/IP From Average</t>
  </si>
  <si>
    <t>Pitcher Run Adj.</t>
  </si>
  <si>
    <t>Ave. Regression Runs</t>
  </si>
  <si>
    <t xml:space="preserve">W/ Pitcher Adj. </t>
  </si>
  <si>
    <t>Runs from WHIP</t>
  </si>
  <si>
    <t>Calculated Odds</t>
  </si>
  <si>
    <t>Vegas</t>
  </si>
  <si>
    <t>Bet</t>
  </si>
  <si>
    <t>Data From:</t>
  </si>
  <si>
    <t>https://www.rotowire.com/baseball/stats.php</t>
  </si>
  <si>
    <t>Sport</t>
  </si>
  <si>
    <t>Date</t>
  </si>
  <si>
    <t>Game</t>
  </si>
  <si>
    <t>Risk</t>
  </si>
  <si>
    <t>Odds</t>
  </si>
  <si>
    <t>Result</t>
  </si>
  <si>
    <t>Net</t>
  </si>
  <si>
    <t>Bet Type</t>
  </si>
  <si>
    <t>Record</t>
  </si>
  <si>
    <t>Cash Flow</t>
  </si>
  <si>
    <t>Type</t>
  </si>
  <si>
    <t>U</t>
  </si>
  <si>
    <t>Under</t>
  </si>
  <si>
    <t>O</t>
  </si>
  <si>
    <t>Over</t>
  </si>
  <si>
    <t>F</t>
  </si>
  <si>
    <t>D</t>
  </si>
  <si>
    <t>MLB</t>
  </si>
  <si>
    <t>MF</t>
  </si>
  <si>
    <t>Favorite ML</t>
  </si>
  <si>
    <t>MD</t>
  </si>
  <si>
    <t>Dog ML</t>
  </si>
  <si>
    <t>P</t>
  </si>
  <si>
    <t>Parlay</t>
  </si>
  <si>
    <t>Brewers Moneyline</t>
  </si>
  <si>
    <t>Giants Moneyline</t>
  </si>
  <si>
    <t>Tigers @ Red Sox</t>
  </si>
  <si>
    <t>Tigers Moneyline</t>
  </si>
  <si>
    <t>+210</t>
  </si>
  <si>
    <t>Braves @ Reds</t>
  </si>
  <si>
    <t>Braves Moneyline</t>
  </si>
  <si>
    <t>Giants @ Blue Jays</t>
  </si>
  <si>
    <t>+120</t>
  </si>
  <si>
    <t>Royals @ Rays</t>
  </si>
  <si>
    <t>Rays Moneyline</t>
  </si>
  <si>
    <t>+185</t>
  </si>
  <si>
    <t>Phillies @ Mets</t>
  </si>
  <si>
    <t>Phillies Moneyline</t>
  </si>
  <si>
    <t>+135</t>
  </si>
  <si>
    <t>Brewers @ Cardinals</t>
  </si>
  <si>
    <t>+130</t>
  </si>
  <si>
    <t>Dodgers @ Cubs</t>
  </si>
  <si>
    <t>Dodgers Moneyline</t>
  </si>
  <si>
    <t>+115</t>
  </si>
  <si>
    <t>Nationals @ Rockies</t>
  </si>
  <si>
    <t>Nationals Moneyline</t>
  </si>
  <si>
    <t>Yankees @ Angels</t>
  </si>
  <si>
    <t>Yankees Moneyline</t>
  </si>
  <si>
    <t>Rangers @ Athletics</t>
  </si>
  <si>
    <t>Athletics Moneyline</t>
  </si>
  <si>
    <t>Mariners @ Padres</t>
  </si>
  <si>
    <t>Mariners Moneyline</t>
  </si>
  <si>
    <t>O/U %</t>
  </si>
  <si>
    <t>O/U Bet</t>
  </si>
  <si>
    <t>Over 8.0</t>
  </si>
  <si>
    <t>Marlins @ Indians</t>
  </si>
  <si>
    <t>Over 7.5</t>
  </si>
  <si>
    <t>Under 9.0</t>
  </si>
  <si>
    <t>White Sox @ Orioles</t>
  </si>
  <si>
    <t>Over 10.0</t>
  </si>
  <si>
    <t>Over 8.5</t>
  </si>
  <si>
    <t>Push</t>
  </si>
  <si>
    <t>Seunghwan Oh</t>
  </si>
  <si>
    <t>Jeff Hoffman</t>
  </si>
  <si>
    <t>Daniel Ponce de Leon</t>
  </si>
  <si>
    <t>Travis Lakins</t>
  </si>
  <si>
    <t>Wei-Chieh Huang</t>
  </si>
  <si>
    <t>Darwinzon Hernandez</t>
  </si>
  <si>
    <t>Sam Freeman</t>
  </si>
  <si>
    <t>Austin Pruitt</t>
  </si>
  <si>
    <t>Bobby Poyner</t>
  </si>
  <si>
    <t>Zac Reininger</t>
  </si>
  <si>
    <t>ER Adj.</t>
  </si>
  <si>
    <t>WHIP Ajd. From Average</t>
  </si>
  <si>
    <t>Average Innings Pitched</t>
  </si>
  <si>
    <t>Max</t>
  </si>
  <si>
    <t>Min</t>
  </si>
  <si>
    <t>Ave</t>
  </si>
  <si>
    <t>Std Dev</t>
  </si>
  <si>
    <t>Std Dev (&gt;0 GS)</t>
  </si>
  <si>
    <t>Ave (&gt;0 GS)</t>
  </si>
  <si>
    <t>Pitcher Not Found</t>
  </si>
  <si>
    <t>Cubs Moneyline</t>
  </si>
  <si>
    <t>+125</t>
  </si>
  <si>
    <t>Indians Moneyline</t>
  </si>
  <si>
    <t>Rangers Moneyline</t>
  </si>
  <si>
    <t>+165</t>
  </si>
  <si>
    <t>+180</t>
  </si>
  <si>
    <t>Blue Jays Moneyline</t>
  </si>
  <si>
    <t>Orioles Moneyline</t>
  </si>
  <si>
    <t>Diamondbacks @ Pirates</t>
  </si>
  <si>
    <t>Pirates Moneyline</t>
  </si>
  <si>
    <t>Under 8.5</t>
  </si>
  <si>
    <t>Over 7.0</t>
  </si>
  <si>
    <t>Under 10.5</t>
  </si>
  <si>
    <t>Under 9.5</t>
  </si>
  <si>
    <t>Over 9.0</t>
  </si>
  <si>
    <t>Winnings</t>
  </si>
  <si>
    <t>Percentage Gain</t>
  </si>
  <si>
    <t>Win Percentage</t>
  </si>
  <si>
    <t>Taylor Hearn</t>
  </si>
  <si>
    <t>+110</t>
  </si>
  <si>
    <t>Marlins @ Phillies</t>
  </si>
  <si>
    <t>Marlins Moneyline</t>
  </si>
  <si>
    <t>+200</t>
  </si>
  <si>
    <t>+220</t>
  </si>
  <si>
    <t>Rangers @ Mariners</t>
  </si>
  <si>
    <t>Danny Duffy</t>
  </si>
  <si>
    <t>Lines</t>
  </si>
  <si>
    <t>Total</t>
  </si>
  <si>
    <t>Rockies @ Braves</t>
  </si>
  <si>
    <t>Indians @ Astros</t>
  </si>
  <si>
    <t>Astros Moneyline</t>
  </si>
  <si>
    <t>Reds @ Cardinals</t>
  </si>
  <si>
    <t>Cardinals Moneyline</t>
  </si>
  <si>
    <t>Yankees @ Giants</t>
  </si>
  <si>
    <t>Padres @ Nationals</t>
  </si>
  <si>
    <t>Over 7</t>
  </si>
  <si>
    <t>Brewers @ Mets</t>
  </si>
  <si>
    <t>Orioles @ Twins</t>
  </si>
  <si>
    <t>Over 9</t>
  </si>
  <si>
    <t>Kohl Stewart</t>
  </si>
  <si>
    <t>Matt Ramsey</t>
  </si>
  <si>
    <t>Jose Quijada</t>
  </si>
  <si>
    <t>Jose Fernandez</t>
  </si>
  <si>
    <t>Daniel Zamora</t>
  </si>
  <si>
    <t xml:space="preserve">+3 Std dev </t>
  </si>
  <si>
    <t>Max IP</t>
  </si>
  <si>
    <t>Rich Hill</t>
  </si>
  <si>
    <t>Mike Foltynewicz</t>
  </si>
  <si>
    <t>Gio Gonzalez</t>
  </si>
  <si>
    <t>Erick Fedde</t>
  </si>
  <si>
    <t>Justus Sheffield</t>
  </si>
  <si>
    <t>Ariel Jurado</t>
  </si>
  <si>
    <t>Dillon Maples</t>
  </si>
  <si>
    <t>Tyler Clippard</t>
  </si>
  <si>
    <t>Ben Lively</t>
  </si>
  <si>
    <t>Enyel De Los Santos</t>
  </si>
  <si>
    <t>Matt Magill</t>
  </si>
  <si>
    <t>Jerry Blevins</t>
  </si>
  <si>
    <t>Athletics @ Red Sox</t>
  </si>
  <si>
    <t>Cardinals @ Nationals</t>
  </si>
  <si>
    <t>Reds @ Mets</t>
  </si>
  <si>
    <t>Rockies @ Brewers</t>
  </si>
  <si>
    <t>Orioles @ White Sox</t>
  </si>
  <si>
    <t>Rays @ Royals</t>
  </si>
  <si>
    <t>Over 8</t>
  </si>
  <si>
    <t>Padres @ Braves</t>
  </si>
  <si>
    <t>Under 9</t>
  </si>
  <si>
    <t>+140</t>
  </si>
  <si>
    <t>Dodgers @ Giants</t>
  </si>
  <si>
    <t>FiveThirtyEight</t>
  </si>
  <si>
    <t>2019 MLB Predictions</t>
  </si>
  <si>
    <t>Updated after every game.</t>
  </si>
  <si>
    <t>StandingsGamesPitchers</t>
  </si>
  <si>
    <t>Upcoming games</t>
  </si>
  <si>
    <t>Starting pitcher</t>
  </si>
  <si>
    <t>Team rating</t>
  </si>
  <si>
    <t>Starting pitcher adj.</t>
  </si>
  <si>
    <t>Travel, rest &amp; home field adj.</t>
  </si>
  <si>
    <t>Pregame team rating</t>
  </si>
  <si>
    <t>Win prob.Chance of winning</t>
  </si>
  <si>
    <t>Score</t>
  </si>
  <si>
    <t>OAKOAKAthletics</t>
  </si>
  <si>
    <t>–2</t>
  </si>
  <si>
    <t>BOSBOSRed Sox</t>
  </si>
  <si>
    <t>Rodriguez, Eduardo</t>
  </si>
  <si>
    <t>Rodriguez</t>
  </si>
  <si>
    <t>–3</t>
  </si>
  <si>
    <t>STLSTLCardinals</t>
  </si>
  <si>
    <t>WSHWSHNationals</t>
  </si>
  <si>
    <t>Corbin, Patrick</t>
  </si>
  <si>
    <t>Corbin</t>
  </si>
  <si>
    <t>CINCINReds</t>
  </si>
  <si>
    <t>Roark, Tanner</t>
  </si>
  <si>
    <t>Roark</t>
  </si>
  <si>
    <t>–6</t>
  </si>
  <si>
    <t>NYMNYMMets</t>
  </si>
  <si>
    <t>SDSDPadres</t>
  </si>
  <si>
    <t>–1</t>
  </si>
  <si>
    <t>ATLATLBraves</t>
  </si>
  <si>
    <t>Soroka, Mike</t>
  </si>
  <si>
    <t>Soroka</t>
  </si>
  <si>
    <t>COLCOLRockies</t>
  </si>
  <si>
    <t>MILMILBrewers</t>
  </si>
  <si>
    <t>Davies, Zach</t>
  </si>
  <si>
    <t>Davies</t>
  </si>
  <si>
    <t>HOUHOUAstros</t>
  </si>
  <si>
    <t>Verlander, Justin</t>
  </si>
  <si>
    <t>Verlander</t>
  </si>
  <si>
    <t>MINMINTwins</t>
  </si>
  <si>
    <t>Odorizzi, Jake</t>
  </si>
  <si>
    <t>Odorizzi</t>
  </si>
  <si>
    <t>BALBALOrioles</t>
  </si>
  <si>
    <t>Means, John</t>
  </si>
  <si>
    <t>Means</t>
  </si>
  <si>
    <t>CHWCHWWhite Sox</t>
  </si>
  <si>
    <t>TBTBRays</t>
  </si>
  <si>
    <t>–17</t>
  </si>
  <si>
    <t>KCKCRoyals</t>
  </si>
  <si>
    <t>Keller</t>
  </si>
  <si>
    <t>LADLADDodgers</t>
  </si>
  <si>
    <t>–16</t>
  </si>
  <si>
    <t>SFSFGiants</t>
  </si>
  <si>
    <t>Samardzija, Jeff</t>
  </si>
  <si>
    <t>Samardzija</t>
  </si>
  <si>
    <t>DETDETTigers</t>
  </si>
  <si>
    <t>PHIPHIPhillies</t>
  </si>
  <si>
    <t>Wainwright, Adam</t>
  </si>
  <si>
    <t>Wainwright</t>
  </si>
  <si>
    <t>–11</t>
  </si>
  <si>
    <t>Sanchez</t>
  </si>
  <si>
    <t>Porcello, Rick</t>
  </si>
  <si>
    <t>Porcello</t>
  </si>
  <si>
    <t>CLECLEIndians</t>
  </si>
  <si>
    <t>MIAMIAMarlins</t>
  </si>
  <si>
    <t>Alcantara, Sandy</t>
  </si>
  <si>
    <t>Alcantara</t>
  </si>
  <si>
    <t>–8</t>
  </si>
  <si>
    <t>Castillo, Luis</t>
  </si>
  <si>
    <t>Castillo</t>
  </si>
  <si>
    <t>Teheran, Julio</t>
  </si>
  <si>
    <t>Teheran</t>
  </si>
  <si>
    <t>Cole, Gerrit</t>
  </si>
  <si>
    <t>Cole</t>
  </si>
  <si>
    <t>–7</t>
  </si>
  <si>
    <t>PITPITPirates</t>
  </si>
  <si>
    <t>Lyles, Jordan</t>
  </si>
  <si>
    <t>Lyles</t>
  </si>
  <si>
    <t>TEXTEXRangers</t>
  </si>
  <si>
    <t>–9</t>
  </si>
  <si>
    <t>Nova, Ivan</t>
  </si>
  <si>
    <t>Nova</t>
  </si>
  <si>
    <t>NYYNYYYankees</t>
  </si>
  <si>
    <t>ARIARIDiamondbacks</t>
  </si>
  <si>
    <t>Kelly, Merrill</t>
  </si>
  <si>
    <t>Kelly</t>
  </si>
  <si>
    <t>Buehler, Walker</t>
  </si>
  <si>
    <t>Buehler</t>
  </si>
  <si>
    <t>TORTORBlue Jays</t>
  </si>
  <si>
    <t>LAALAAAngels</t>
  </si>
  <si>
    <t>CHCCHCCubs</t>
  </si>
  <si>
    <t>SEASEAMariners</t>
  </si>
  <si>
    <t>Fiers, Mike</t>
  </si>
  <si>
    <t>Fiers</t>
  </si>
  <si>
    <t>Greinke, Zack</t>
  </si>
  <si>
    <t>Greinke</t>
  </si>
  <si>
    <t>Lester, Jon</t>
  </si>
  <si>
    <t>Lester</t>
  </si>
  <si>
    <t>Gonzales, Marco</t>
  </si>
  <si>
    <t>Gonzales</t>
  </si>
  <si>
    <t>DeSclafani, Anthony</t>
  </si>
  <si>
    <t>DeSclafani</t>
  </si>
  <si>
    <t>–4</t>
  </si>
  <si>
    <t>deGrom, Jacob</t>
  </si>
  <si>
    <t>deGrom</t>
  </si>
  <si>
    <t>Nola, Aaron</t>
  </si>
  <si>
    <t>Nola</t>
  </si>
  <si>
    <t>Mikolas, Miles</t>
  </si>
  <si>
    <t>Mikolas</t>
  </si>
  <si>
    <t>–13</t>
  </si>
  <si>
    <t>Anderson</t>
  </si>
  <si>
    <t>Perez, Martin</t>
  </si>
  <si>
    <t>Perez</t>
  </si>
  <si>
    <t>Pitcher TBD</t>
  </si>
  <si>
    <t>—</t>
  </si>
  <si>
    <t>Ryu, Hyun-Jin</t>
  </si>
  <si>
    <t>Ryu</t>
  </si>
  <si>
    <t>Bumgarner, Madison</t>
  </si>
  <si>
    <t>Bumgarner</t>
  </si>
  <si>
    <t>Stroman, Marcus</t>
  </si>
  <si>
    <t>Stroman</t>
  </si>
  <si>
    <t>Syndergaard, Noah</t>
  </si>
  <si>
    <t>Syndergaard</t>
  </si>
  <si>
    <t>–12</t>
  </si>
  <si>
    <t>Berrios, Jose</t>
  </si>
  <si>
    <t>Berrios</t>
  </si>
  <si>
    <t>Gray</t>
  </si>
  <si>
    <t>–5</t>
  </si>
  <si>
    <t>Morton, Charlie</t>
  </si>
  <si>
    <t>Morton</t>
  </si>
  <si>
    <t>Lopez</t>
  </si>
  <si>
    <t>Hudson, Dakota</t>
  </si>
  <si>
    <t>Hudson</t>
  </si>
  <si>
    <t>Strasburg, Stephen</t>
  </si>
  <si>
    <t>Strasburg</t>
  </si>
  <si>
    <t>Flaherty, Jack</t>
  </si>
  <si>
    <t>Flaherty</t>
  </si>
  <si>
    <t>Anderson, Brett</t>
  </si>
  <si>
    <t>Musgrove, Joe</t>
  </si>
  <si>
    <t>Musgrove</t>
  </si>
  <si>
    <t>Gray, Sonny</t>
  </si>
  <si>
    <t>Kikuchi, Yusei</t>
  </si>
  <si>
    <t>Kikuchi</t>
  </si>
  <si>
    <t>Bieber, Shane</t>
  </si>
  <si>
    <t>Bieber</t>
  </si>
  <si>
    <t>Bailey, Homer</t>
  </si>
  <si>
    <t>Bailey</t>
  </si>
  <si>
    <t>–18</t>
  </si>
  <si>
    <t>Norris, Daniel</t>
  </si>
  <si>
    <t>Norris</t>
  </si>
  <si>
    <t>–10</t>
  </si>
  <si>
    <t>Minor, Mike</t>
  </si>
  <si>
    <t>Minor</t>
  </si>
  <si>
    <t>Lopez, Reynaldo</t>
  </si>
  <si>
    <t>Matz, Steven</t>
  </si>
  <si>
    <t>Matz</t>
  </si>
  <si>
    <t>Gonzalez</t>
  </si>
  <si>
    <t>Ray, Robbie</t>
  </si>
  <si>
    <t>Ray</t>
  </si>
  <si>
    <t>Kershaw, Clayton</t>
  </si>
  <si>
    <t>Kershaw</t>
  </si>
  <si>
    <t>Lucchesi, Joey</t>
  </si>
  <si>
    <t>Lucchesi</t>
  </si>
  <si>
    <t>Darvish, Yu</t>
  </si>
  <si>
    <t>Darvish</t>
  </si>
  <si>
    <t>Leake, Mike</t>
  </si>
  <si>
    <t>Leake</t>
  </si>
  <si>
    <t>Boyd, Matthew</t>
  </si>
  <si>
    <t>Boyd</t>
  </si>
  <si>
    <t>Bundy, Dylan</t>
  </si>
  <si>
    <t>Bundy</t>
  </si>
  <si>
    <t>Miley, Wade</t>
  </si>
  <si>
    <t>Miley</t>
  </si>
  <si>
    <t>–14</t>
  </si>
  <si>
    <t>Lynn, Lance</t>
  </si>
  <si>
    <t>Lynn</t>
  </si>
  <si>
    <t>Quintana, Jose</t>
  </si>
  <si>
    <t>Quintana</t>
  </si>
  <si>
    <t>Show more gamesShow fewer games</t>
  </si>
  <si>
    <t>Completed games</t>
  </si>
  <si>
    <t>How this works: Elo ratings are a measure of team strength based on head-to-head results, margin of victory and quality of opponent. We’re using an Elo-based system that also accounts for starting pitchers, travel distance and rest, with an average team rating of about 1500. This forecast is based on 100,000 simulations of the season and updates after each game. Read more »</t>
  </si>
  <si>
    <t>Download data. For historical team ratings, see the Complete History Of MLB.</t>
  </si>
  <si>
    <t>Design and development by Jay Boice and Gus Wezerek. Statistical model by Jay Boice and Nate Silver.</t>
  </si>
  <si>
    <t>Related Stories</t>
  </si>
  <si>
    <t>Comments</t>
  </si>
  <si>
    <t>Get more FiveThirtyEight</t>
  </si>
  <si>
    <t>Newsletter</t>
  </si>
  <si>
    <t>Videos</t>
  </si>
  <si>
    <t>Podcasts</t>
  </si>
  <si>
    <t>Twitter</t>
  </si>
  <si>
    <t>Facebook</t>
  </si>
  <si>
    <t>Data</t>
  </si>
  <si>
    <t>RSS</t>
  </si>
  <si>
    <t>Contact</t>
  </si>
  <si>
    <t>Jobs</t>
  </si>
  <si>
    <t>Masthead</t>
  </si>
  <si>
    <t>About Nielsen Measurement</t>
  </si>
  <si>
    <t>Terms of Use</t>
  </si>
  <si>
    <t>Privacy Policy</t>
  </si>
  <si>
    <t>Your California Privacy Rights</t>
  </si>
  <si>
    <t>Children's Online Privacy Policy</t>
  </si>
  <si>
    <t>Interest-Based Ads</t>
  </si>
  <si>
    <t>© 2018 ABC News Internet Ventures. All rights reserved.</t>
  </si>
  <si>
    <t>KCK</t>
  </si>
  <si>
    <t>SDS</t>
  </si>
  <si>
    <t>SFS</t>
  </si>
  <si>
    <t>TBT</t>
  </si>
  <si>
    <t>WSH</t>
  </si>
  <si>
    <t>538 Odds</t>
  </si>
  <si>
    <t>538 Win Chance %</t>
  </si>
  <si>
    <t>Griffin Canning</t>
  </si>
  <si>
    <t>Yefry Ramirez</t>
  </si>
  <si>
    <t>Aaron Bummer</t>
  </si>
  <si>
    <t>Jay Jackson</t>
  </si>
  <si>
    <t>Tigers @ Phillies</t>
  </si>
  <si>
    <t>Indians @ Marlins</t>
  </si>
  <si>
    <t>Padres Moneyline</t>
  </si>
  <si>
    <t>Rockies Moneyline</t>
  </si>
  <si>
    <t>Pirates @ Rangers</t>
  </si>
  <si>
    <t>Yankees @ Diamondbacks</t>
  </si>
  <si>
    <t>Over 9.5</t>
  </si>
  <si>
    <t>Astros @ Twins</t>
  </si>
  <si>
    <t>Under 11</t>
  </si>
  <si>
    <t>Cubs @ Mariners</t>
  </si>
  <si>
    <t>Cal Quantrill</t>
  </si>
  <si>
    <t>Ty Blach</t>
  </si>
  <si>
    <t>Matt Wotherspoon</t>
  </si>
  <si>
    <t>Michael Feliz</t>
  </si>
  <si>
    <t>Grant Dayton</t>
  </si>
  <si>
    <t>Dan Jennings</t>
  </si>
  <si>
    <t>Reds Moneyline</t>
  </si>
  <si>
    <t>Over 6.5</t>
  </si>
  <si>
    <t>Blue Jays @ Angels</t>
  </si>
  <si>
    <t>Thyago Vieira</t>
  </si>
  <si>
    <t>Evan Marshall</t>
  </si>
  <si>
    <t>Ryan O'Rourke</t>
  </si>
  <si>
    <t>Download pitching stats as Excel. Copy and paste values into A5.</t>
  </si>
  <si>
    <t>–19</t>
  </si>
  <si>
    <t>No Action</t>
  </si>
  <si>
    <t>White Sox @ Indians</t>
  </si>
  <si>
    <t>Rangers @ Pirates</t>
  </si>
  <si>
    <t>Twins @ Blue Jays</t>
  </si>
  <si>
    <t>Twins Moneyline</t>
  </si>
  <si>
    <t>Diamondbacks @ Rays</t>
  </si>
  <si>
    <t>Diamondbacks Moneyline</t>
  </si>
  <si>
    <t>Nationals @ Brewers</t>
  </si>
  <si>
    <t>Marlins @ Cubs</t>
  </si>
  <si>
    <t>Reds @ Athletics</t>
  </si>
  <si>
    <t>Mets @ Padres</t>
  </si>
  <si>
    <t>Phillies @ Cardinals</t>
  </si>
  <si>
    <t>Giants @ Rockies</t>
  </si>
  <si>
    <t>+117</t>
  </si>
  <si>
    <t>Josh A. Smith</t>
  </si>
  <si>
    <t>Ryan Weber</t>
  </si>
  <si>
    <t>Pat Venditte</t>
  </si>
  <si>
    <t>Derek Law</t>
  </si>
  <si>
    <t>Juan Minaya</t>
  </si>
  <si>
    <t>Cody Reed</t>
  </si>
  <si>
    <t>Tyler Beede</t>
  </si>
  <si>
    <t>Mike Morin</t>
  </si>
  <si>
    <t>Tyler Lyons</t>
  </si>
  <si>
    <t>Jake Barrett</t>
  </si>
  <si>
    <t>Tyler Bashlor</t>
  </si>
  <si>
    <t>T.J. McFarland</t>
  </si>
  <si>
    <t>Luke Gregerson</t>
  </si>
  <si>
    <t>Dovydas Neverauskas</t>
  </si>
  <si>
    <t>Royals @ Astros</t>
  </si>
  <si>
    <t>Burch Smith</t>
  </si>
  <si>
    <t>Eduardo Jimenez</t>
  </si>
  <si>
    <t>Williams Jerez</t>
  </si>
  <si>
    <t>+136</t>
  </si>
  <si>
    <t>Braves @ Dodgers</t>
  </si>
  <si>
    <t>Red Sox @ Orioles</t>
  </si>
  <si>
    <t>Under 10</t>
  </si>
  <si>
    <t>Red Sox Moneyline</t>
  </si>
  <si>
    <t>Favorite Spread</t>
  </si>
  <si>
    <t>Underdog Spread</t>
  </si>
  <si>
    <t>Ryan Carpenter</t>
  </si>
  <si>
    <t>Pirates @ Cardinals</t>
  </si>
  <si>
    <t>Braves @ Diamondbacks</t>
  </si>
  <si>
    <t>Mariners @ Yankees</t>
  </si>
  <si>
    <t>Nationals @ Dodgers</t>
  </si>
  <si>
    <t>Clay Holmes</t>
  </si>
  <si>
    <t>Montana DuRapau</t>
  </si>
  <si>
    <t>Max (&gt;0 GS)</t>
  </si>
  <si>
    <t>Min (&gt;0 GS)</t>
  </si>
  <si>
    <t>Mariners @ Red Sox</t>
  </si>
  <si>
    <t>Tigers @ Twins</t>
  </si>
  <si>
    <t>Phillies @ Royals</t>
  </si>
  <si>
    <t>Indians @ Athletics</t>
  </si>
  <si>
    <t>Reds @ Giants</t>
  </si>
  <si>
    <t>Brewers @ Cubs</t>
  </si>
  <si>
    <t>Rangers @ Astros</t>
  </si>
  <si>
    <t>Padres @ Rockies</t>
  </si>
  <si>
    <t>Calc. Run Diff.</t>
  </si>
  <si>
    <t>Cole Irvin</t>
  </si>
  <si>
    <t>Corbin Martin</t>
  </si>
  <si>
    <t>Daniel Mengden</t>
  </si>
  <si>
    <t>Gregory Soto</t>
  </si>
  <si>
    <t>Nick Ramirez</t>
  </si>
  <si>
    <t>Nestor Cortes</t>
  </si>
  <si>
    <t>A.J. Cole</t>
  </si>
  <si>
    <t>Parker Markel</t>
  </si>
  <si>
    <t>Brewers @ Phillies</t>
  </si>
  <si>
    <t>Astros @ Tigers</t>
  </si>
  <si>
    <t>Angels @ Twins</t>
  </si>
  <si>
    <t>Indians @ White Sox</t>
  </si>
  <si>
    <t>Pirates @ Diamondbacks</t>
  </si>
  <si>
    <t>Athletics @ Mariners</t>
  </si>
  <si>
    <t>Jimmie Sherfy</t>
  </si>
  <si>
    <t>Cubs @ Reds</t>
  </si>
  <si>
    <t>Mets @ Nationals</t>
  </si>
  <si>
    <t>Rockies @ Red Sox</t>
  </si>
  <si>
    <t>Rays @ Marlins</t>
  </si>
  <si>
    <t>Cardinals @ Braves</t>
  </si>
  <si>
    <t>Playoff Odds</t>
  </si>
  <si>
    <t>+133</t>
  </si>
  <si>
    <t>Rangers @ Royals</t>
  </si>
  <si>
    <t>Anderson, Chase</t>
  </si>
  <si>
    <t>Athletics @ Tigers</t>
  </si>
  <si>
    <t>Twins @ Mariners</t>
  </si>
  <si>
    <t>Pirates @ Padres</t>
  </si>
  <si>
    <t>O/U Conf.</t>
  </si>
  <si>
    <t>Edgar Garcia</t>
  </si>
  <si>
    <t>Shaun Anderson</t>
  </si>
  <si>
    <t>Edwin Jackson</t>
  </si>
  <si>
    <t>Xavier Cedeno</t>
  </si>
  <si>
    <t>Rockies @ Phillies</t>
  </si>
  <si>
    <t>Cubs @ Nationals</t>
  </si>
  <si>
    <t>Astros @ Red Sox</t>
  </si>
  <si>
    <t>Dodgers @ Reds</t>
  </si>
  <si>
    <t>Orioles @ Indians</t>
  </si>
  <si>
    <t>+138</t>
  </si>
  <si>
    <t>Suarez</t>
  </si>
  <si>
    <t>Tommy Milone</t>
  </si>
  <si>
    <t>Andrew Suarez</t>
  </si>
  <si>
    <t>Adam Plutko</t>
  </si>
  <si>
    <t>Ryan Feierabend</t>
  </si>
  <si>
    <t>Ryan Garton</t>
  </si>
  <si>
    <t>Kyle McGowin</t>
  </si>
  <si>
    <t>Chance Adams</t>
  </si>
  <si>
    <t>Carlos Martinez</t>
  </si>
  <si>
    <t>Geoff Hartlieb</t>
  </si>
  <si>
    <t>David McKay</t>
  </si>
  <si>
    <t>Tanner Rainey</t>
  </si>
  <si>
    <t>Sandy Baez</t>
  </si>
  <si>
    <t>Athletics @ Indians</t>
  </si>
  <si>
    <t>+108</t>
  </si>
  <si>
    <t>Rockies @ Pirates</t>
  </si>
  <si>
    <t>Yankees @ Orioles</t>
  </si>
  <si>
    <t>Marlins @ Tigers</t>
  </si>
  <si>
    <t>Under 7.5</t>
  </si>
  <si>
    <t>Nationals @ Mets</t>
  </si>
  <si>
    <t>Dodgers @ Rays</t>
  </si>
  <si>
    <t>+127</t>
  </si>
  <si>
    <t>Reds @ Brewers</t>
  </si>
  <si>
    <t>Braves @ Giants</t>
  </si>
  <si>
    <t>Twins @ Angels</t>
  </si>
  <si>
    <t>Diamondbacks @ Padres</t>
  </si>
  <si>
    <t>Vargas, Jason</t>
  </si>
  <si>
    <t>Vargas</t>
  </si>
  <si>
    <t>David Hale</t>
  </si>
  <si>
    <t>Brady Rodgers</t>
  </si>
  <si>
    <t>Jimmy Cordero</t>
  </si>
  <si>
    <t>Jairo Diaz</t>
  </si>
  <si>
    <t>Anthony Bass</t>
  </si>
  <si>
    <t>Clayton Richard</t>
  </si>
  <si>
    <t>Red Sox @ Blue Jays</t>
  </si>
  <si>
    <t>Phillies @ Cubs</t>
  </si>
  <si>
    <t>Rays @ Indians</t>
  </si>
  <si>
    <t>+105</t>
  </si>
  <si>
    <t>This Week in Sports Reference</t>
  </si>
  <si>
    <t>Find out when we add a feature or make a change</t>
  </si>
  <si>
    <t>Do you have a sports website? Or write about sports? We have tools and resources that can help you use sports data. Find out more.</t>
  </si>
  <si>
    <t>Plesac, Zach</t>
  </si>
  <si>
    <t>Plesac</t>
  </si>
  <si>
    <t>Paxton, James</t>
  </si>
  <si>
    <t>Paxton</t>
  </si>
  <si>
    <t>–25</t>
  </si>
  <si>
    <t>Andrew Heaney</t>
  </si>
  <si>
    <t>Mitch Keller</t>
  </si>
  <si>
    <t>Jacob Waguespack</t>
  </si>
  <si>
    <t>Hector Santiago</t>
  </si>
  <si>
    <t>Alex McRae</t>
  </si>
  <si>
    <t>Rookie Davis</t>
  </si>
  <si>
    <t>Josh D. Smith</t>
  </si>
  <si>
    <t>Matt Bowman</t>
  </si>
  <si>
    <t>Oliver Drake</t>
  </si>
  <si>
    <t>Zack Littell</t>
  </si>
  <si>
    <t>Rowan Wick</t>
  </si>
  <si>
    <t>Sam Coonrod</t>
  </si>
  <si>
    <t>James Norwood</t>
  </si>
  <si>
    <t>JD Hammer</t>
  </si>
  <si>
    <t>James Bourque</t>
  </si>
  <si>
    <t>Brian Flynn</t>
  </si>
  <si>
    <t>Lucas Sims</t>
  </si>
  <si>
    <t>Zach Plesac</t>
  </si>
  <si>
    <t>Devin Smeltzer</t>
  </si>
  <si>
    <t>Nick Tropeano</t>
  </si>
  <si>
    <t>Padres @ Yankees</t>
  </si>
  <si>
    <t>Pirates @ Reds</t>
  </si>
  <si>
    <t>Tigers @ Orioles</t>
  </si>
  <si>
    <t>Cardinals @ Phillies</t>
  </si>
  <si>
    <t>Giants @ Marlins</t>
  </si>
  <si>
    <t>Blue Jays @ Rays</t>
  </si>
  <si>
    <t>Diamondbacks @ Rockies</t>
  </si>
  <si>
    <t>+118</t>
  </si>
  <si>
    <t>Under 11.5</t>
  </si>
  <si>
    <t>Bet Unit</t>
  </si>
  <si>
    <t>Win Unit</t>
  </si>
  <si>
    <t>Max Unit</t>
  </si>
  <si>
    <t>Sanchez, Anibal</t>
  </si>
  <si>
    <t>Sparkman, Glenn</t>
  </si>
  <si>
    <t>Sparkman</t>
  </si>
  <si>
    <t>–21</t>
  </si>
  <si>
    <t>Genesis Cabrera</t>
  </si>
  <si>
    <t>Angels @ Athletics</t>
  </si>
  <si>
    <t>Indians @ Red Sox</t>
  </si>
  <si>
    <t>Mets @ Dodgers</t>
  </si>
  <si>
    <t>Elieser Hernandez</t>
  </si>
  <si>
    <t>Wei-Chung Wang</t>
  </si>
  <si>
    <t>Justin Shafer</t>
  </si>
  <si>
    <t>Stefan Crichton</t>
  </si>
  <si>
    <t>Beede, Tyler</t>
  </si>
  <si>
    <t>Beede</t>
  </si>
  <si>
    <t>Josh Taylor</t>
  </si>
  <si>
    <t>Yacksel Rios</t>
  </si>
  <si>
    <t>Red Sox @ Yankees</t>
  </si>
  <si>
    <t>Brewers @ Pirates</t>
  </si>
  <si>
    <t>Tigers @ Braves</t>
  </si>
  <si>
    <t>Astros @ Athletics</t>
  </si>
  <si>
    <t>Phillies @ Dodgers</t>
  </si>
  <si>
    <t>Marlins @ Padres</t>
  </si>
  <si>
    <t>Suarez, Jose</t>
  </si>
  <si>
    <t>Jose Suarez</t>
  </si>
  <si>
    <t>Jeff Brigham</t>
  </si>
  <si>
    <t>Jesus Tinoco</t>
  </si>
  <si>
    <t>Chris Rusin</t>
  </si>
  <si>
    <t>2019 Draft, 2018 Draft, 2017 Draft, MLB Number One Picks, ...</t>
  </si>
  <si>
    <t>Minor, Foreign, College, &amp; Negro Leagues</t>
  </si>
  <si>
    <t>Young, Alex</t>
  </si>
  <si>
    <t>Young</t>
  </si>
  <si>
    <t>Clevinger, Mike</t>
  </si>
  <si>
    <t>Clevinger</t>
  </si>
  <si>
    <t>Velasquez, Vince</t>
  </si>
  <si>
    <t>Velasquez</t>
  </si>
  <si>
    <t>Zimmermann, Jordan</t>
  </si>
  <si>
    <t>Zimmermann</t>
  </si>
  <si>
    <t>Williams, Trevor</t>
  </si>
  <si>
    <t>Williams</t>
  </si>
  <si>
    <t>Keuchel, Dallas</t>
  </si>
  <si>
    <t>Keuchel</t>
  </si>
  <si>
    <t>Plutko, Adam</t>
  </si>
  <si>
    <t>Plutko</t>
  </si>
  <si>
    <t>Agrazal, Dario</t>
  </si>
  <si>
    <t>Agrazal</t>
  </si>
  <si>
    <t>Peter Lambert</t>
  </si>
  <si>
    <t>Jordan Yamamoto</t>
  </si>
  <si>
    <t>Tanner Anderson</t>
  </si>
  <si>
    <t>Jimmy Nelson</t>
  </si>
  <si>
    <t>Odrisamer Despaigne</t>
  </si>
  <si>
    <t>Logan Allen</t>
  </si>
  <si>
    <t>Mike Shawaryn</t>
  </si>
  <si>
    <t>Nick Goody</t>
  </si>
  <si>
    <t>Dallas Keuchel</t>
  </si>
  <si>
    <t>Zac Gallen</t>
  </si>
  <si>
    <t>Dario Agrazal</t>
  </si>
  <si>
    <t>Colin Poche</t>
  </si>
  <si>
    <t>Adbert Alzolay</t>
  </si>
  <si>
    <t>Cionel Perez</t>
  </si>
  <si>
    <t>Walker Lockett</t>
  </si>
  <si>
    <t>Peter Fairbanks</t>
  </si>
  <si>
    <t>Tayler Scott</t>
  </si>
  <si>
    <t>Gerson Bautista</t>
  </si>
  <si>
    <t>Miguel Diaz</t>
  </si>
  <si>
    <t>Austin Voth</t>
  </si>
  <si>
    <t>Joe Palumbo</t>
  </si>
  <si>
    <t>Ranger Suarez</t>
  </si>
  <si>
    <t>Carlos Torres</t>
  </si>
  <si>
    <t>Aaron Civale</t>
  </si>
  <si>
    <t>Jordan Romano</t>
  </si>
  <si>
    <t>Rogelio Armenteros</t>
  </si>
  <si>
    <t>Brooks Pounders</t>
  </si>
  <si>
    <t>David Phelps</t>
  </si>
  <si>
    <t>Chi Chi Gonzalez</t>
  </si>
  <si>
    <t>Andrew Kittredge</t>
  </si>
  <si>
    <t>Andrew Moore</t>
  </si>
  <si>
    <t>Tony Gonsolin</t>
  </si>
  <si>
    <t>Sean Poppen</t>
  </si>
  <si>
    <t>Stephen Nogosek</t>
  </si>
  <si>
    <t>Ryan Eades</t>
  </si>
  <si>
    <t>Luis Ortiz</t>
  </si>
  <si>
    <t>Paul Blackburn</t>
  </si>
  <si>
    <t>Sean Gilmartin</t>
  </si>
  <si>
    <t>Brian Schlitter</t>
  </si>
  <si>
    <t>Phillips Valdez</t>
  </si>
  <si>
    <t>Matt Carasiti</t>
  </si>
  <si>
    <t>Huascar Ynoa</t>
  </si>
  <si>
    <t>Phillip Diehl</t>
  </si>
  <si>
    <t>Tony Barnette</t>
  </si>
  <si>
    <t>Fernando Salas</t>
  </si>
  <si>
    <t>Steven Wright</t>
  </si>
  <si>
    <t>Jose Cisnero</t>
  </si>
  <si>
    <t>Josh Sborz</t>
  </si>
  <si>
    <t>Locke St. John</t>
  </si>
  <si>
    <t>David Carpenter</t>
  </si>
  <si>
    <t>Alex Young</t>
  </si>
  <si>
    <t>Dodgers @ Rockies</t>
  </si>
  <si>
    <t>Diamondbacks @ Giants</t>
  </si>
  <si>
    <t>Athletics @ Angels</t>
  </si>
  <si>
    <t>+141</t>
  </si>
  <si>
    <t>Nationals @ Tigers</t>
  </si>
  <si>
    <t>Braves @ Mets</t>
  </si>
  <si>
    <t>+116</t>
  </si>
  <si>
    <t>Rangers @ Rays</t>
  </si>
  <si>
    <t>Hendricks, Kyle</t>
  </si>
  <si>
    <t>Hendricks</t>
  </si>
  <si>
    <t>Cease, Dylan</t>
  </si>
  <si>
    <t>Cease</t>
  </si>
  <si>
    <t>Cy Sneed</t>
  </si>
  <si>
    <t>Brendan McKay</t>
  </si>
  <si>
    <t>Lewis Thorpe</t>
  </si>
  <si>
    <t>Ross Detwiler</t>
  </si>
  <si>
    <t>Chris Mazza</t>
  </si>
  <si>
    <t>Tommy Hunter</t>
  </si>
  <si>
    <t>Craig Kimbrel</t>
  </si>
  <si>
    <t>Giants @ Padres</t>
  </si>
  <si>
    <t>Padres -1.5</t>
  </si>
  <si>
    <t>2020 All-Star Game, 2019 All-Star Game, All-Time All-Star Batters, All-Time All-Star Pitchers, ...</t>
  </si>
  <si>
    <t>Wojciechowski, Asher</t>
  </si>
  <si>
    <t>Wojciechowski</t>
  </si>
  <si>
    <t>Waguespack, Jacob</t>
  </si>
  <si>
    <t>Waguespack</t>
  </si>
  <si>
    <t>Lamet, Dinelson</t>
  </si>
  <si>
    <t>Lamet</t>
  </si>
  <si>
    <t>Smith, Caleb</t>
  </si>
  <si>
    <t>Smith</t>
  </si>
  <si>
    <t>–23</t>
  </si>
  <si>
    <t>Tom Eshelman</t>
  </si>
  <si>
    <t>Asher Wojciechowski</t>
  </si>
  <si>
    <t>Dinelson Lamet</t>
  </si>
  <si>
    <t>Jose Urquidy</t>
  </si>
  <si>
    <t>Dylan Cease</t>
  </si>
  <si>
    <t>Tyler Alexander</t>
  </si>
  <si>
    <t>Luis Escobar</t>
  </si>
  <si>
    <t>Andres Munoz</t>
  </si>
  <si>
    <t>Ian Gibaut</t>
  </si>
  <si>
    <t>Ray Black</t>
  </si>
  <si>
    <t>Joe Smith</t>
  </si>
  <si>
    <t>Pedro Payano</t>
  </si>
  <si>
    <t>Trevor Kelley</t>
  </si>
  <si>
    <t>Deolis Guerra</t>
  </si>
  <si>
    <t>Jimmy Herget</t>
  </si>
  <si>
    <t>Alec Mills</t>
  </si>
  <si>
    <t>Calculated Win %</t>
  </si>
  <si>
    <t>Rays @ Yankees</t>
  </si>
  <si>
    <t>+142</t>
  </si>
  <si>
    <t>Tigers @ Indians</t>
  </si>
  <si>
    <t>Padres @ Marlins</t>
  </si>
  <si>
    <t>Diamondbacks @ Rangers</t>
  </si>
  <si>
    <t>+155</t>
  </si>
  <si>
    <t>Astros @ Angels</t>
  </si>
  <si>
    <t>Nationals @ Orioles</t>
  </si>
  <si>
    <t>Dodgers @ Phillies</t>
  </si>
  <si>
    <t>Blue Jays @ Red Sox</t>
  </si>
  <si>
    <t>Under 8</t>
  </si>
  <si>
    <t>Reds @ Cubs</t>
  </si>
  <si>
    <t>Mets @ Twins</t>
  </si>
  <si>
    <t>White Sox @ Royals</t>
  </si>
  <si>
    <t>Under 14.5</t>
  </si>
  <si>
    <t>Honeymoon Calcuations</t>
  </si>
  <si>
    <t>Montgomery, Mike</t>
  </si>
  <si>
    <t>Montgomery</t>
  </si>
  <si>
    <t>Sam Tuivailala</t>
  </si>
  <si>
    <t>Taylor Guerrieri</t>
  </si>
  <si>
    <t>2019 MLB Batting Ratios</t>
  </si>
  <si>
    <t>Team Batting Ratios*</t>
  </si>
  <si>
    <t>Team Batting Ratios* Table</t>
  </si>
  <si>
    <t>HR%</t>
  </si>
  <si>
    <t>SO%</t>
  </si>
  <si>
    <t>BB%</t>
  </si>
  <si>
    <t>XBH%</t>
  </si>
  <si>
    <t>X/H%</t>
  </si>
  <si>
    <t>AB/SO</t>
  </si>
  <si>
    <t>AB/HR</t>
  </si>
  <si>
    <t>AB/RBI</t>
  </si>
  <si>
    <t>GB/FB</t>
  </si>
  <si>
    <t>GO/AO</t>
  </si>
  <si>
    <t>IP%</t>
  </si>
  <si>
    <t>LD%</t>
  </si>
  <si>
    <t>HR/FB</t>
  </si>
  <si>
    <t>IF/FB</t>
  </si>
  <si>
    <t>* - Disclaimer &amp; Completeness Note</t>
  </si>
  <si>
    <t xml:space="preserve">* Many detailed statistics are based on play-by-play accounts accumulated by Retrosheet. These totals may be incomplete (3.6% of all plays from 1925 to 1973 are missing or have incomplete accounts, click link for year and team summary of data completeness) for some players prior to 1974 and even complete seasons may not match the official totals due to errors in both the official totals and the play-by-play accounts. Pre-1954 seasons have a substantial numbers of games missing play-by-play accounts and should be viewed as essentially incomplete. </t>
  </si>
  <si>
    <t>Player Batting Ratios</t>
  </si>
  <si>
    <t>int</t>
  </si>
  <si>
    <t>2019 MLB Pitching Ratios</t>
  </si>
  <si>
    <t>Team Pitching Ratios*</t>
  </si>
  <si>
    <t>Team Pitching Ratios* Table</t>
  </si>
  <si>
    <t>Ptn%</t>
  </si>
  <si>
    <t>SO-BB%</t>
  </si>
  <si>
    <t>Opp</t>
  </si>
  <si>
    <t>DP</t>
  </si>
  <si>
    <t>%</t>
  </si>
  <si>
    <t>PAu</t>
  </si>
  <si>
    <t>Player Pitching Ratios</t>
  </si>
  <si>
    <t>BattingRatio Regression</t>
  </si>
  <si>
    <t>PitchingRatio Regression</t>
  </si>
  <si>
    <t>BattingRatio Ave for Regression</t>
  </si>
  <si>
    <t>PitchingRatio Ave for Regression</t>
  </si>
  <si>
    <t>Ratio Regression Runs For</t>
  </si>
  <si>
    <t>Ratio Regression Runs Against</t>
  </si>
  <si>
    <t>Ave. Reg. Runs For</t>
  </si>
  <si>
    <t>Ave. Reg. Runs Against</t>
  </si>
  <si>
    <t>Braves @ Brewers</t>
  </si>
  <si>
    <t>+100</t>
  </si>
  <si>
    <t>Under 13</t>
  </si>
  <si>
    <t>Lauer, Eric</t>
  </si>
  <si>
    <t>Lauer</t>
  </si>
  <si>
    <t>Gonzalez, Gio</t>
  </si>
  <si>
    <t>Chasen Shreve</t>
  </si>
  <si>
    <t>2019 MLB Schedule</t>
  </si>
  <si>
    <t>all times Eastern</t>
  </si>
  <si>
    <t>Go to Today's Games</t>
  </si>
  <si>
    <t>Wednesday, March 20, 2019</t>
  </si>
  <si>
    <t>Seattle Mariners (9) @ Oakland Athletics (7)     Boxscore</t>
  </si>
  <si>
    <t xml:space="preserve">   » 2019-03-20 Standings &amp; Scores</t>
  </si>
  <si>
    <t>Thursday, March 21, 2019</t>
  </si>
  <si>
    <t>Seattle Mariners (5) @ Oakland Athletics (4)     Boxscore</t>
  </si>
  <si>
    <t xml:space="preserve">   » 2019-03-21 Standings &amp; Scores</t>
  </si>
  <si>
    <t>Friday, March 22, 2019</t>
  </si>
  <si>
    <t>1:05 pm (Spring) Pittsburgh Pirates @ Tampa Bay Rays</t>
  </si>
  <si>
    <t>1:10 pm (Spring) St. Louis Cardinals @ New York Mets</t>
  </si>
  <si>
    <t>4:05 pm (Spring) Texas Rangers @ Chicago Cubs</t>
  </si>
  <si>
    <t>4:05 pm (Spring) Arizona D'Backs @ Los Angeles Dodgers</t>
  </si>
  <si>
    <t>4:05 pm (Spring) Cincinnati Reds @ Milwaukee Brewers</t>
  </si>
  <si>
    <t>4:10 pm (Spring) Chicago White Sox @ Los Angeles Angels</t>
  </si>
  <si>
    <t>6:05 pm (Spring) Detroit Tigers @ Atlanta Braves</t>
  </si>
  <si>
    <t>6:05 pm (Spring) New York Mets @ Houston Astros</t>
  </si>
  <si>
    <t>6:05 pm (Spring) Boston Red Sox @ Minnesota Twins</t>
  </si>
  <si>
    <t>6:07 pm (Spring) Baltimore Orioles @ Toronto Blue Jays</t>
  </si>
  <si>
    <t>6:35 pm (Spring) Philadelphia Phillies @ New York Yankees</t>
  </si>
  <si>
    <t>7:05 pm (Spring) Washington Nationals @ Miami Marlins</t>
  </si>
  <si>
    <t>9:05 pm (Spring) San Francisco Giants @ Kansas City Royals</t>
  </si>
  <si>
    <t>9:05 pm (Spring) Chicago Cubs @ Cleveland Indians</t>
  </si>
  <si>
    <t>9:40 pm (Spring) San Diego Padres @ Colorado Rockies</t>
  </si>
  <si>
    <t>9:40 pm (Spring) Los Angeles Angels @ Seattle Mariners</t>
  </si>
  <si>
    <t>10:05 pm (Spring) Colorado Rockies @ San Francisco Giants</t>
  </si>
  <si>
    <t xml:space="preserve">   » 2019-03-22 Standings &amp; Scores</t>
  </si>
  <si>
    <t>Saturday, March 23, 2019</t>
  </si>
  <si>
    <t>1:05 pm (Spring) New York Mets @ Atlanta Braves</t>
  </si>
  <si>
    <t>1:05 pm (Spring) Philadelphia Phillies @ Pittsburgh Pirates</t>
  </si>
  <si>
    <t>1:05 pm (Spring) Toronto Blue Jays @ New York Yankees</t>
  </si>
  <si>
    <t>1:05 pm (Spring) St. Louis Cardinals @ Washington Nationals</t>
  </si>
  <si>
    <t>1:05 pm (Spring) Tampa Bay Rays @ Detroit Tigers</t>
  </si>
  <si>
    <t>1:05 pm (Spring) Pittsburgh Pirates @ Boston Red Sox</t>
  </si>
  <si>
    <t>3:05 pm (Spring) Chicago White Sox @ Los Angeles Dodgers</t>
  </si>
  <si>
    <t>3:05 pm (Spring) Milwaukee Brewers @ Texas Rangers</t>
  </si>
  <si>
    <t>4:05 pm (Spring) Cincinnati Reds @ Cleveland Indians</t>
  </si>
  <si>
    <t>4:05 pm (Spring) Kansas City Royals @ Milwaukee Brewers</t>
  </si>
  <si>
    <t>4:05 pm (Spring) Arizona D'Backs @ San Francisco Giants</t>
  </si>
  <si>
    <t>4:10 pm (Spring) Los Angeles Angels @ San Diego Padres</t>
  </si>
  <si>
    <t>6:05 pm (Spring) Minnesota Twins @ Baltimore Orioles</t>
  </si>
  <si>
    <t>7:05 pm (Spring) Houston Astros @ Miami Marlins</t>
  </si>
  <si>
    <t>9:40 pm (Spring) Chicago Cubs @ Colorado Rockies</t>
  </si>
  <si>
    <t xml:space="preserve">   » 2019-03-23 Standings &amp; Scores</t>
  </si>
  <si>
    <t>Sunday, March 24, 2019</t>
  </si>
  <si>
    <t>12:10 pm (Spring) Washington Nationals @ New York Mets</t>
  </si>
  <si>
    <t>1:05 pm (Spring) Washington Nationals @ Houston Astros</t>
  </si>
  <si>
    <t>1:05 pm (Spring) Miami Marlins @ St. Louis Cardinals</t>
  </si>
  <si>
    <t>1:05 pm (Spring) Baltimore Orioles @ Philadelphia Phillies</t>
  </si>
  <si>
    <t>1:05 pm (Spring) Pittsburgh Pirates @ Baltimore Orioles</t>
  </si>
  <si>
    <t>1:05 pm (Spring) New York Yankees @ Minnesota Twins</t>
  </si>
  <si>
    <t>1:05 pm (Spring) Toronto Blue Jays @ Detroit Tigers</t>
  </si>
  <si>
    <t>3:05 pm (Spring) Kansas City Royals @ Texas Rangers</t>
  </si>
  <si>
    <t>3:05 pm (Spring) Colorado Rockies @ Cincinnati Reds</t>
  </si>
  <si>
    <t>3:05 pm (Spring) Cleveland Indians @ Chicago White Sox</t>
  </si>
  <si>
    <t>3:10 pm (Spring) Chicago Cubs @ San Diego Padres</t>
  </si>
  <si>
    <t>3:10 pm (Spring) Milwaukee Brewers @ Arizona D'Backs</t>
  </si>
  <si>
    <t>4:05 pm (Spring) San Francisco Giants @ Oakland Athletics</t>
  </si>
  <si>
    <t>4:05 pm (Spring) Tampa Bay Rays @ Atlanta Braves</t>
  </si>
  <si>
    <t>8:07 pm (Spring) Los Angeles Dodgers @ Los Angeles Angels</t>
  </si>
  <si>
    <t xml:space="preserve">   » 2019-03-24 Standings &amp; Scores</t>
  </si>
  <si>
    <t>Monday, March 25, 2019</t>
  </si>
  <si>
    <t>1:05 pm (Spring) Tampa Bay Rays @ Philadelphia Phillies</t>
  </si>
  <si>
    <t>1:05 pm (Spring) New York Mets @ Baltimore Orioles</t>
  </si>
  <si>
    <t>5:05 pm (Spring) New York Yankees @ Washington Nationals</t>
  </si>
  <si>
    <t>7:05 pm (Spring) Milwaukee Brewers @ Toronto Blue Jays</t>
  </si>
  <si>
    <t>7:20 pm (Spring) Cincinnati Reds @ Atlanta Braves</t>
  </si>
  <si>
    <t>8:05 pm (Spring) Cleveland Indians @ Texas Rangers</t>
  </si>
  <si>
    <t>8:10 pm (Spring) Pittsburgh Pirates @ Houston Astros</t>
  </si>
  <si>
    <t>9:05 pm (Spring) Boston Red Sox @ Chicago Cubs</t>
  </si>
  <si>
    <t>9:40 pm (Spring) Chicago White Sox @ Arizona D'Backs</t>
  </si>
  <si>
    <t>9:45 pm (Spring) Oakland Athletics @ San Francisco Giants</t>
  </si>
  <si>
    <t>10:07 pm (Spring) Los Angeles Dodgers @ Los Angeles Angels</t>
  </si>
  <si>
    <t>10:10 pm (Spring) San Diego Padres @ Seattle Mariners</t>
  </si>
  <si>
    <t xml:space="preserve">   » 2019-03-25 Standings &amp; Scores</t>
  </si>
  <si>
    <t>Tuesday, March 26, 2019</t>
  </si>
  <si>
    <t>12:35 pm (Spring) Detroit Tigers @ Tampa Bay Rays</t>
  </si>
  <si>
    <t>1:10 pm (Spring) Cincinnati Reds @ Atlanta Braves</t>
  </si>
  <si>
    <t>2:05 pm (Spring) Colorado Rockies @ Minnesota Twins</t>
  </si>
  <si>
    <t>2:05 pm (Spring) Cleveland Indians @ Texas Rangers</t>
  </si>
  <si>
    <t>2:10 pm (Spring) Pittsburgh Pirates @ Houston Astros</t>
  </si>
  <si>
    <t>3:05 pm (Spring) Boston Red Sox @ Chicago Cubs</t>
  </si>
  <si>
    <t>3:40 pm (Spring) Chicago White Sox @ Arizona D'Backs</t>
  </si>
  <si>
    <t>4:10 pm (Spring) San Diego Padres @ Seattle Mariners</t>
  </si>
  <si>
    <t>10:10 pm (Spring) Los Angeles Angels @ Los Angeles Dodgers</t>
  </si>
  <si>
    <t xml:space="preserve">   » 2019-03-26 Standings &amp; Scores</t>
  </si>
  <si>
    <t>Thursday, March 28, 2019</t>
  </si>
  <si>
    <t>Pittsburgh Pirates (3) @ Cincinnati Reds (5)     Boxscore</t>
  </si>
  <si>
    <t>Chicago White Sox (3) @ Kansas City Royals (5)     Boxscore</t>
  </si>
  <si>
    <t>Arizona D'Backs (5) @ Los Angeles Dodgers (12)     Boxscore</t>
  </si>
  <si>
    <t>Colorado Rockies (6) @ Miami Marlins (3)     Boxscore</t>
  </si>
  <si>
    <t>St. Louis Cardinals (4) @ Milwaukee Brewers (5)     Boxscore</t>
  </si>
  <si>
    <t>Cleveland Indians (0) @ Minnesota Twins (2)     Boxscore</t>
  </si>
  <si>
    <t>Baltimore Orioles (2) @ New York Yankees (7)     Boxscore</t>
  </si>
  <si>
    <t>Los Angeles Angels (0) @ Oakland Athletics (4)     Boxscore</t>
  </si>
  <si>
    <t>Atlanta Braves (4) @ Philadelphia Phillies (10)     Boxscore</t>
  </si>
  <si>
    <t>San Francisco Giants (0) @ San Diego Padres (2)     Boxscore</t>
  </si>
  <si>
    <t>Boston Red Sox (4) @ Seattle Mariners (12)     Boxscore</t>
  </si>
  <si>
    <t>Houston Astros (5) @ Tampa Bay Rays (1)     Boxscore</t>
  </si>
  <si>
    <t>Chicago Cubs (12) @ Texas Rangers (4)     Boxscore</t>
  </si>
  <si>
    <t>Detroit Tigers (2) @ Toronto Blue Jays (0)     Boxscore</t>
  </si>
  <si>
    <t>New York Mets (2) @ Washington Nationals (0)     Boxscore</t>
  </si>
  <si>
    <t xml:space="preserve">   » 2019-03-28 Standings &amp; Scores</t>
  </si>
  <si>
    <t>Friday, March 29, 2019</t>
  </si>
  <si>
    <t>Arizona D'Backs (5) @ Los Angeles Dodgers (4)     Boxscore</t>
  </si>
  <si>
    <t>Colorado Rockies (6) @ Miami Marlins (1)     Boxscore</t>
  </si>
  <si>
    <t>St. Louis Cardinals (9) @ Milwaukee Brewers (5)     Boxscore</t>
  </si>
  <si>
    <t>Los Angeles Angels (6) @ Oakland Athletics (2)     Boxscore</t>
  </si>
  <si>
    <t>San Francisco Giants (1) @ San Diego Padres (4)     Boxscore</t>
  </si>
  <si>
    <t>Boston Red Sox (7) @ Seattle Mariners (6)     Boxscore</t>
  </si>
  <si>
    <t>Houston Astros (2) @ Tampa Bay Rays (4)     Boxscore</t>
  </si>
  <si>
    <t>Detroit Tigers (0) @ Toronto Blue Jays (6)     Boxscore</t>
  </si>
  <si>
    <t xml:space="preserve">   » 2019-03-29 Standings &amp; Scores</t>
  </si>
  <si>
    <t>Saturday, March 30, 2019</t>
  </si>
  <si>
    <t>Chicago White Sox (6) @ Kansas City Royals (8)     Boxscore</t>
  </si>
  <si>
    <t>Arizona D'Backs (5) @ Los Angeles Dodgers (18)     Boxscore</t>
  </si>
  <si>
    <t>Colorado Rockies (3) @ Miami Marlins (7)     Boxscore</t>
  </si>
  <si>
    <t>St. Louis Cardinals (2) @ Milwaukee Brewers (4)     Boxscore</t>
  </si>
  <si>
    <t>Cleveland Indians (2) @ Minnesota Twins (1)     Boxscore</t>
  </si>
  <si>
    <t>Baltimore Orioles (5) @ New York Yankees (3)     Boxscore</t>
  </si>
  <si>
    <t>Los Angeles Angels (2) @ Oakland Athletics (4)     Boxscore</t>
  </si>
  <si>
    <t>Atlanta Braves (6) @ Philadelphia Phillies (8)     Boxscore</t>
  </si>
  <si>
    <t>San Francisco Giants (3) @ San Diego Padres (2)     Boxscore</t>
  </si>
  <si>
    <t>Boston Red Sox (5) @ Seattle Mariners (6)     Boxscore</t>
  </si>
  <si>
    <t>Houston Astros (1) @ Tampa Bay Rays (3)     Boxscore</t>
  </si>
  <si>
    <t>Chicago Cubs (6) @ Texas Rangers (8)     Boxscore</t>
  </si>
  <si>
    <t>Detroit Tigers (0) @ Toronto Blue Jays (3)     Boxscore</t>
  </si>
  <si>
    <t>New York Mets (11) @ Washington Nationals (8)     Boxscore</t>
  </si>
  <si>
    <t xml:space="preserve">   » 2019-03-30 Standings &amp; Scores</t>
  </si>
  <si>
    <t>Sunday, March 31, 2019</t>
  </si>
  <si>
    <t>Pittsburgh Pirates (5) @ Cincinnati Reds (0)     Boxscore</t>
  </si>
  <si>
    <t>Chicago White Sox (6) @ Kansas City Royals (3)     Boxscore</t>
  </si>
  <si>
    <t>Arizona D'Backs (7) @ Los Angeles Dodgers (8)     Boxscore</t>
  </si>
  <si>
    <t>Colorado Rockies (0) @ Miami Marlins (3)     Boxscore</t>
  </si>
  <si>
    <t>Cleveland Indians (3) @ Minnesota Twins (9)     Boxscore</t>
  </si>
  <si>
    <t>Baltimore Orioles (7) @ New York Yankees (5)     Boxscore</t>
  </si>
  <si>
    <t>Los Angeles Angels (1) @ Oakland Athletics (2)     Boxscore</t>
  </si>
  <si>
    <t>Atlanta Braves (1) @ Philadelphia Phillies (5)     Boxscore</t>
  </si>
  <si>
    <t>San Francisco Giants (1) @ San Diego Padres (3)     Boxscore</t>
  </si>
  <si>
    <t>Boston Red Sox (8) @ Seattle Mariners (10)     Boxscore</t>
  </si>
  <si>
    <t>Chicago Cubs (10) @ Texas Rangers (11)     Boxscore</t>
  </si>
  <si>
    <t>Detroit Tigers (4) @ Toronto Blue Jays (3)     Boxscore</t>
  </si>
  <si>
    <t>New York Mets (5) @ Washington Nationals (6)     Boxscore</t>
  </si>
  <si>
    <t xml:space="preserve">   » 2019-03-31 Standings &amp; Scores</t>
  </si>
  <si>
    <t>Monday, April 1, 2019</t>
  </si>
  <si>
    <t>Chicago Cubs (0) @ Atlanta Braves (8)     Boxscore</t>
  </si>
  <si>
    <t>Milwaukee Brewers (4) @ Cincinnati Reds (3)     Boxscore</t>
  </si>
  <si>
    <t>Chicago White Sox (3) @ Cleveland Indians (5)     Boxscore</t>
  </si>
  <si>
    <t>San Francisco Giants (4) @ Los Angeles Dodgers (2)     Boxscore</t>
  </si>
  <si>
    <t>New York Mets (7) @ Miami Marlins (3)     Boxscore</t>
  </si>
  <si>
    <t>Detroit Tigers (1) @ New York Yankees (3)     Boxscore</t>
  </si>
  <si>
    <t>Boston Red Sox (0) @ Oakland Athletics (7)     Boxscore</t>
  </si>
  <si>
    <t>St. Louis Cardinals (6) @ Pittsburgh Pirates (5)     Boxscore</t>
  </si>
  <si>
    <t>Arizona D'Backs (10) @ San Diego Padres (3)     Boxscore</t>
  </si>
  <si>
    <t>Los Angeles Angels (3) @ Seattle Mariners (6)     Boxscore</t>
  </si>
  <si>
    <t>Colorado Rockies (1) @ Tampa Bay Rays (7)     Boxscore</t>
  </si>
  <si>
    <t>Houston Astros (2) @ Texas Rangers (1)     Boxscore</t>
  </si>
  <si>
    <t>Baltimore Orioles (6) @ Toronto Blue Jays (5)     Boxscore</t>
  </si>
  <si>
    <t xml:space="preserve">   » 2019-04-01 Standings &amp; Scores</t>
  </si>
  <si>
    <t>Tuesday, April 2, 2019</t>
  </si>
  <si>
    <t>Minnesota Twins (5) @ Kansas City Royals (4)     Boxscore</t>
  </si>
  <si>
    <t>San Francisco Giants (5) @ Los Angeles Dodgers (6)     Boxscore</t>
  </si>
  <si>
    <t>New York Mets (6) @ Miami Marlins (5)     Boxscore</t>
  </si>
  <si>
    <t>Detroit Tigers (3) @ New York Yankees (1)     Boxscore</t>
  </si>
  <si>
    <t>Boston Red Sox (0) @ Oakland Athletics (1)     Boxscore</t>
  </si>
  <si>
    <t>Arizona D'Backs (8) @ San Diego Padres (5)     Boxscore</t>
  </si>
  <si>
    <t>Los Angeles Angels (1) @ Seattle Mariners (2)     Boxscore</t>
  </si>
  <si>
    <t>Colorado Rockies (0) @ Tampa Bay Rays (4)     Boxscore</t>
  </si>
  <si>
    <t>Houston Astros (4) @ Texas Rangers (6)     Boxscore</t>
  </si>
  <si>
    <t>Baltimore Orioles (2) @ Toronto Blue Jays (1)     Boxscore</t>
  </si>
  <si>
    <t>Philadelphia Phillies (8) @ Washington Nationals (2)     Boxscore</t>
  </si>
  <si>
    <t xml:space="preserve">   » 2019-04-02 Standings &amp; Scores</t>
  </si>
  <si>
    <t>Wednesday, April 3, 2019</t>
  </si>
  <si>
    <t>Chicago Cubs (4) @ Atlanta Braves (6)     Boxscore</t>
  </si>
  <si>
    <t>Milwaukee Brewers (1) @ Cincinnati Reds (0)     Boxscore</t>
  </si>
  <si>
    <t>Chicago White Sox (8) @ Cleveland Indians (3)     Boxscore</t>
  </si>
  <si>
    <t>Minnesota Twins (7) @ Kansas City Royals (6)     Boxscore</t>
  </si>
  <si>
    <t>San Francisco Giants (3) @ Los Angeles Dodgers (5)     Boxscore</t>
  </si>
  <si>
    <t>New York Mets (6) @ Miami Marlins (4)     Boxscore</t>
  </si>
  <si>
    <t>Detroit Tigers (2) @ New York Yankees (1)     Boxscore</t>
  </si>
  <si>
    <t>Boston Red Sox (6) @ Oakland Athletics (3)     Boxscore</t>
  </si>
  <si>
    <t>St. Louis Cardinals (5) @ Pittsburgh Pirates (4)     Boxscore</t>
  </si>
  <si>
    <t>Arizona D'Backs (1) @ San Diego Padres (4)     Boxscore</t>
  </si>
  <si>
    <t>Colorado Rockies (1) @ Tampa Bay Rays (0)     Boxscore</t>
  </si>
  <si>
    <t>Houston Astros (0) @ Texas Rangers (4)     Boxscore</t>
  </si>
  <si>
    <t>Baltimore Orioles (3) @ Toronto Blue Jays (5)     Boxscore</t>
  </si>
  <si>
    <t>Philadelphia Phillies (8) @ Washington Nationals (9)     Boxscore</t>
  </si>
  <si>
    <t xml:space="preserve">   » 2019-04-03 Standings &amp; Scores</t>
  </si>
  <si>
    <t>Thursday, April 4, 2019</t>
  </si>
  <si>
    <t>Texas Rangers (11) @ Los Angeles Angels (4)     Boxscore</t>
  </si>
  <si>
    <t>Chicago Cubs (4) @ Atlanta Braves (9)     Boxscore</t>
  </si>
  <si>
    <t>New York Yankees (8) @ Baltimore Orioles (4)     Boxscore</t>
  </si>
  <si>
    <t>Toronto Blue Jays (1) @ Cleveland Indians (4)     Boxscore</t>
  </si>
  <si>
    <t>Kansas City Royals (4) @ Detroit Tigers (5)     Boxscore</t>
  </si>
  <si>
    <t>Washington Nationals (4) @ New York Mets (0)     Boxscore</t>
  </si>
  <si>
    <t>Boston Red Sox (3) @ Oakland Athletics (7)     Boxscore</t>
  </si>
  <si>
    <t>Cincinnati Reds (0) @ Pittsburgh Pirates (2)     Boxscore</t>
  </si>
  <si>
    <t xml:space="preserve">   » 2019-04-04 Standings &amp; Scores</t>
  </si>
  <si>
    <t>Friday, April 5, 2019</t>
  </si>
  <si>
    <t>Texas Rangers (1) @ Los Angeles Angels (3)     Boxscore</t>
  </si>
  <si>
    <t>Boston Red Sox (8) @ Arizona D'Backs (15)     Boxscore</t>
  </si>
  <si>
    <t>Miami Marlins (0) @ Atlanta Braves (4)     Boxscore</t>
  </si>
  <si>
    <t>Seattle Mariners (8) @ Chicago White Sox (10)     Boxscore</t>
  </si>
  <si>
    <t>Toronto Blue Jays (2) @ Cleveland Indians (3)     Boxscore</t>
  </si>
  <si>
    <t>Los Angeles Dodgers (10) @ Colorado Rockies (6)     Boxscore</t>
  </si>
  <si>
    <t>Oakland Athletics (2) @ Houston Astros (3)     Boxscore</t>
  </si>
  <si>
    <t>Chicago Cubs (10) @ Milwaukee Brewers (13)     Boxscore</t>
  </si>
  <si>
    <t>Minnesota Twins (4) @ Philadelphia Phillies (10)     Boxscore</t>
  </si>
  <si>
    <t>Tampa Bay Rays (5) @ San Francisco Giants (2)     Boxscore</t>
  </si>
  <si>
    <t>San Diego Padres (5) @ St. Louis Cardinals (3)     Boxscore</t>
  </si>
  <si>
    <t xml:space="preserve">   » 2019-04-05 Standings &amp; Scores</t>
  </si>
  <si>
    <t>Saturday, April 6, 2019</t>
  </si>
  <si>
    <t>Texas Rangers (1) @ Los Angeles Angels (5)     Boxscore</t>
  </si>
  <si>
    <t>Boston Red Sox (4) @ Arizona D'Backs (5)     Boxscore</t>
  </si>
  <si>
    <t>Miami Marlins (4) @ Atlanta Braves (2)     Boxscore</t>
  </si>
  <si>
    <t>New York Yankees (6) @ Baltimore Orioles (4)     Boxscore</t>
  </si>
  <si>
    <t>Seattle Mariners (9) @ Chicago White Sox (2)     Boxscore</t>
  </si>
  <si>
    <t>Toronto Blue Jays (2) @ Cleveland Indians (7)     Boxscore</t>
  </si>
  <si>
    <t>Los Angeles Dodgers (7) @ Colorado Rockies (2)     Boxscore</t>
  </si>
  <si>
    <t>Kansas City Royals (4) @ Detroit Tigers (7)     Boxscore</t>
  </si>
  <si>
    <t>Oakland Athletics (0) @ Houston Astros (6)     Boxscore</t>
  </si>
  <si>
    <t>Chicago Cubs (14) @ Milwaukee Brewers (8)     Boxscore</t>
  </si>
  <si>
    <t>Washington Nationals (5) @ New York Mets (6)     Boxscore</t>
  </si>
  <si>
    <t>Minnesota Twins (6) @ Philadelphia Phillies (2)     Boxscore</t>
  </si>
  <si>
    <t>Cincinnati Reds (5) @ Pittsburgh Pirates (6)     Boxscore</t>
  </si>
  <si>
    <t>Tampa Bay Rays (4) @ San Francisco Giants (6)     Boxscore</t>
  </si>
  <si>
    <t>San Diego Padres (6) @ St. Louis Cardinals (4)     Boxscore</t>
  </si>
  <si>
    <t xml:space="preserve">   » 2019-04-06 Standings &amp; Scores</t>
  </si>
  <si>
    <t>Sunday, April 7, 2019</t>
  </si>
  <si>
    <t>Texas Rangers (2) @ Los Angeles Angels (7)     Boxscore</t>
  </si>
  <si>
    <t>Boston Red Sox (1) @ Arizona D'Backs (0)     Boxscore</t>
  </si>
  <si>
    <t>Miami Marlins (3) @ Atlanta Braves (4)     Boxscore</t>
  </si>
  <si>
    <t>New York Yankees (15) @ Baltimore Orioles (3)     Boxscore</t>
  </si>
  <si>
    <t>Seattle Mariners (12) @ Chicago White Sox (5)     Boxscore</t>
  </si>
  <si>
    <t>Toronto Blue Jays (1) @ Cleveland Indians (3)     Boxscore</t>
  </si>
  <si>
    <t>Los Angeles Dodgers (12) @ Colorado Rockies (6)     Boxscore</t>
  </si>
  <si>
    <t>Kansas City Royals (1) @ Detroit Tigers (3)     Boxscore</t>
  </si>
  <si>
    <t>Oakland Athletics (8) @ Houston Astros (9)     Boxscore</t>
  </si>
  <si>
    <t>Chicago Cubs (2) @ Milwaukee Brewers (4)     Boxscore</t>
  </si>
  <si>
    <t>Washington Nationals (12) @ New York Mets (9)     Boxscore</t>
  </si>
  <si>
    <t>Minnesota Twins (1) @ Philadelphia Phillies (2)     Boxscore</t>
  </si>
  <si>
    <t>Cincinnati Reds (5) @ Pittsburgh Pirates (7)     Boxscore</t>
  </si>
  <si>
    <t>Tampa Bay Rays (3) @ San Francisco Giants (0)     Boxscore</t>
  </si>
  <si>
    <t>San Diego Padres (1) @ St. Louis Cardinals (4)     Boxscore</t>
  </si>
  <si>
    <t xml:space="preserve">   » 2019-04-07 Standings &amp; Scores</t>
  </si>
  <si>
    <t>Monday, April 8, 2019</t>
  </si>
  <si>
    <t>Milwaukee Brewers (2) @ Los Angeles Angels (5)     Boxscore</t>
  </si>
  <si>
    <t>Oakland Athletics (4) @ Baltimore Orioles (12)     Boxscore</t>
  </si>
  <si>
    <t>Tampa Bay Rays (5) @ Chicago White Sox (1)     Boxscore</t>
  </si>
  <si>
    <t>Pittsburgh Pirates (0) @ Chicago Cubs (10)     Boxscore</t>
  </si>
  <si>
    <t>Atlanta Braves (8) @ Colorado Rockies (6)     Boxscore</t>
  </si>
  <si>
    <t>New York Yankees (3) @ Houston Astros (4)     Boxscore</t>
  </si>
  <si>
    <t>Seattle Mariners (13) @ Kansas City Royals (5)     Boxscore</t>
  </si>
  <si>
    <t>Washington Nationals (3) @ Philadelphia Phillies (4)     Boxscore</t>
  </si>
  <si>
    <t>San Diego Padres (6) @ San Francisco Giants (5)     Boxscore</t>
  </si>
  <si>
    <t>Los Angeles Dodgers (3) @ St. Louis Cardinals (4)     Boxscore</t>
  </si>
  <si>
    <t xml:space="preserve">   » 2019-04-08 Standings &amp; Scores</t>
  </si>
  <si>
    <t>Tuesday, April 9, 2019</t>
  </si>
  <si>
    <t>Milwaukee Brewers (8) @ Los Angeles Angels (11)     Boxscore</t>
  </si>
  <si>
    <t>Texas Rangers (4) @ Arizona D'Backs (5)     Boxscore</t>
  </si>
  <si>
    <t>Oakland Athletics (13) @ Baltimore Orioles (2)     Boxscore</t>
  </si>
  <si>
    <t>Toronto Blue Jays (7) @ Boston Red Sox (5)     Boxscore</t>
  </si>
  <si>
    <t>Tampa Bay Rays (10) @ Chicago White Sox (5)     Boxscore</t>
  </si>
  <si>
    <t>Miami Marlins (0) @ Cincinnati Reds (14)     Boxscore</t>
  </si>
  <si>
    <t>Atlanta Braves (7) @ Colorado Rockies (1)     Boxscore</t>
  </si>
  <si>
    <t>Cleveland Indians (8) @ Detroit Tigers (2)     Boxscore</t>
  </si>
  <si>
    <t>New York Yankees (3) @ Houston Astros (6)     Boxscore</t>
  </si>
  <si>
    <t>Seattle Mariners (6) @ Kansas City Royals (3)     Boxscore</t>
  </si>
  <si>
    <t>Minnesota Twins (14) @ New York Mets (8)     Boxscore</t>
  </si>
  <si>
    <t>Washington Nationals (10) @ Philadelphia Phillies (6)     Boxscore</t>
  </si>
  <si>
    <t>San Diego Padres (2) @ San Francisco Giants (7)     Boxscore</t>
  </si>
  <si>
    <t>Los Angeles Dodgers (0) @ St. Louis Cardinals (4)     Boxscore</t>
  </si>
  <si>
    <t xml:space="preserve">   » 2019-04-09 Standings &amp; Scores</t>
  </si>
  <si>
    <t>Wednesday, April 10, 2019</t>
  </si>
  <si>
    <t>Milwaukee Brewers (2) @ Los Angeles Angels (4)     Boxscore</t>
  </si>
  <si>
    <t>Texas Rangers (5) @ Arizona D'Backs (2)     Boxscore</t>
  </si>
  <si>
    <t>Oakland Athletics (10) @ Baltimore Orioles (3)     Boxscore</t>
  </si>
  <si>
    <t>Tampa Bay Rays (9) @ Chicago White Sox (1)     Boxscore</t>
  </si>
  <si>
    <t>Pittsburgh Pirates (5) @ Chicago Cubs (2)     Boxscore</t>
  </si>
  <si>
    <t>Miami Marlins (1) @ Cincinnati Reds (2)     Boxscore</t>
  </si>
  <si>
    <t>Cleveland Indians (1) @ Detroit Tigers (4)     Boxscore</t>
  </si>
  <si>
    <t>New York Yankees (6) @ Houston Astros (8)     Boxscore</t>
  </si>
  <si>
    <t>Seattle Mariners (6) @ Kansas City Royals (5)     Boxscore</t>
  </si>
  <si>
    <t>Minnesota Twins (6) @ New York Mets (9)     Boxscore</t>
  </si>
  <si>
    <t>Washington Nationals (15) @ Philadelphia Phillies (1)     Boxscore</t>
  </si>
  <si>
    <t>San Diego Padres (3) @ San Francisco Giants (1)     Boxscore</t>
  </si>
  <si>
    <t>Los Angeles Dodgers (2) @ St. Louis Cardinals (7)     Boxscore</t>
  </si>
  <si>
    <t xml:space="preserve">   » 2019-04-10 Standings &amp; Scores</t>
  </si>
  <si>
    <t>Thursday, April 11, 2019</t>
  </si>
  <si>
    <t>San Diego Padres (7) @ Arizona D'Backs (6)     Boxscore</t>
  </si>
  <si>
    <t>New York Mets (6) @ Atlanta Braves (3)     Boxscore</t>
  </si>
  <si>
    <t>Oakland Athletics (8) @ Baltimore Orioles (5)     Boxscore</t>
  </si>
  <si>
    <t>Toronto Blue Jays (6) @ Boston Red Sox (7)     Boxscore</t>
  </si>
  <si>
    <t>Pittsburgh Pirates (0) @ Chicago Cubs (2)     Boxscore</t>
  </si>
  <si>
    <t>Miami Marlins (0) @ Cincinnati Reds (5)     Boxscore</t>
  </si>
  <si>
    <t>Cleveland Indians (4) @ Detroit Tigers (0)     Boxscore</t>
  </si>
  <si>
    <t>Seattle Mariners (7) @ Kansas City Royals (6)     Boxscore</t>
  </si>
  <si>
    <t>Colorado Rockies (0) @ San Francisco Giants (1)     Boxscore</t>
  </si>
  <si>
    <t>Los Angeles Dodgers (7) @ St. Louis Cardinals (11)     Boxscore</t>
  </si>
  <si>
    <t xml:space="preserve">   » 2019-04-11 Standings &amp; Scores</t>
  </si>
  <si>
    <t>Friday, April 12, 2019</t>
  </si>
  <si>
    <t>San Diego Padres (2) @ Arizona D'Backs (1)     Boxscore</t>
  </si>
  <si>
    <t>New York Mets (6) @ Atlanta Braves (2)     Boxscore</t>
  </si>
  <si>
    <t>Baltimore Orioles (4) @ Boston Red Sox (6)     Boxscore</t>
  </si>
  <si>
    <t>Los Angeles Angels (1) @ Chicago Cubs (5)     Boxscore</t>
  </si>
  <si>
    <t>Cleveland Indians (1) @ Kansas City Royals (8)     Boxscore</t>
  </si>
  <si>
    <t>Milwaukee Brewers (8) @ Los Angeles Dodgers (5)     Boxscore</t>
  </si>
  <si>
    <t>Philadelphia Phillies (9) @ Miami Marlins (1)     Boxscore</t>
  </si>
  <si>
    <t>Chicago White Sox (9) @ New York Yankees (6)     Boxscore</t>
  </si>
  <si>
    <t>Houston Astros (10) @ Seattle Mariners (6)     Boxscore</t>
  </si>
  <si>
    <t>Colorado Rockies (2) @ San Francisco Giants (3)     Boxscore</t>
  </si>
  <si>
    <t>Oakland Athletics (8) @ Texas Rangers (6)     Boxscore</t>
  </si>
  <si>
    <t>Tampa Bay Rays (11) @ Toronto Blue Jays (7)     Boxscore</t>
  </si>
  <si>
    <t>Pittsburgh Pirates (6) @ Washington Nationals (3)     Boxscore</t>
  </si>
  <si>
    <t xml:space="preserve">   » 2019-04-12 Standings &amp; Scores</t>
  </si>
  <si>
    <t>Saturday, April 13, 2019</t>
  </si>
  <si>
    <t>San Diego Padres (5) @ Arizona D'Backs (4)     Boxscore</t>
  </si>
  <si>
    <t>New York Mets (7) @ Atlanta Braves (11)     Boxscore</t>
  </si>
  <si>
    <t>Baltimore Orioles (9) @ Boston Red Sox (5)     Boxscore</t>
  </si>
  <si>
    <t>Los Angeles Angels (6) @ Chicago Cubs (5)     Boxscore</t>
  </si>
  <si>
    <t>St. Louis Cardinals (2) @ Cincinnati Reds (5)     Boxscore</t>
  </si>
  <si>
    <t>Cleveland Indians (0) @ Kansas City Royals (3)     Boxscore</t>
  </si>
  <si>
    <t>Milwaukee Brewers (4) @ Los Angeles Dodgers (1)     Boxscore</t>
  </si>
  <si>
    <t>Philadelphia Phillies (3) @ Miami Marlins (10)     Boxscore</t>
  </si>
  <si>
    <t>Detroit Tigers (3) @ Minnesota Twins (4)     Boxscore</t>
  </si>
  <si>
    <t>Chicago White Sox (0) @ New York Yankees (4)     Boxscore</t>
  </si>
  <si>
    <t>Houston Astros (3) @ Seattle Mariners (1)     Boxscore</t>
  </si>
  <si>
    <t>Colorado Rockies (2) @ San Francisco Giants (5)     Boxscore</t>
  </si>
  <si>
    <t>Tampa Bay Rays (1) @ Toronto Blue Jays (3)     Boxscore</t>
  </si>
  <si>
    <t>Pittsburgh Pirates (2) @ Washington Nationals (3)     Boxscore</t>
  </si>
  <si>
    <t xml:space="preserve">   » 2019-04-13 Standings &amp; Scores</t>
  </si>
  <si>
    <t>Sunday, April 14, 2019</t>
  </si>
  <si>
    <t>San Diego Padres (4) @ Arizona D'Backs (8)     Boxscore</t>
  </si>
  <si>
    <t>New York Mets (3) @ Atlanta Braves (7)     Boxscore</t>
  </si>
  <si>
    <t>Baltimore Orioles (0) @ Boston Red Sox (4)     Boxscore</t>
  </si>
  <si>
    <t>St. Louis Cardinals (9) @ Cincinnati Reds (5)     Boxscore</t>
  </si>
  <si>
    <t>Cleveland Indians (8) @ Kansas City Royals (9)     Boxscore</t>
  </si>
  <si>
    <t>Milwaukee Brewers (1) @ Los Angeles Dodgers (7)     Boxscore</t>
  </si>
  <si>
    <t>Philadelphia Phillies (3) @ Miami Marlins (1)     Boxscore</t>
  </si>
  <si>
    <t>Detroit Tigers (4) @ Minnesota Twins (6)     Boxscore</t>
  </si>
  <si>
    <t>Chicago White Sox (5) @ New York Yankees (2)     Boxscore</t>
  </si>
  <si>
    <t>Houston Astros (3) @ Seattle Mariners (2)     Boxscore</t>
  </si>
  <si>
    <t>Colorado Rockies (4) @ San Francisco Giants (0)     Boxscore</t>
  </si>
  <si>
    <t>Oakland Athletics (7) @ Texas Rangers (8)     Boxscore</t>
  </si>
  <si>
    <t>Tampa Bay Rays (8) @ Toronto Blue Jays (4)     Boxscore</t>
  </si>
  <si>
    <t>Pittsburgh Pirates (4) @ Washington Nationals (3)     Boxscore</t>
  </si>
  <si>
    <t xml:space="preserve">   » 2019-04-14 Standings &amp; Scores</t>
  </si>
  <si>
    <t>Monday, April 15, 2019</t>
  </si>
  <si>
    <t>Baltimore Orioles (8) @ Boston Red Sox (1)     Boxscore</t>
  </si>
  <si>
    <t>Kansas City Royals (4) @ Chicago White Sox (5)     Boxscore</t>
  </si>
  <si>
    <t>Cincinnati Reds (3) @ Los Angeles Dodgers (4)     Boxscore</t>
  </si>
  <si>
    <t>Chicago Cubs (7) @ Miami Marlins (2)     Boxscore</t>
  </si>
  <si>
    <t>St. Louis Cardinals (7) @ Milwaukee Brewers (10)     Boxscore</t>
  </si>
  <si>
    <t>Toronto Blue Jays (5) @ Minnesota Twins (3)     Boxscore</t>
  </si>
  <si>
    <t>New York Mets (7) @ Philadelphia Phillies (6)     Boxscore</t>
  </si>
  <si>
    <t>Colorado Rockies (5) @ San Diego Padres (2)     Boxscore</t>
  </si>
  <si>
    <t>Cleveland Indians (6) @ Seattle Mariners (4)     Boxscore</t>
  </si>
  <si>
    <t>Los Angeles Angels (7) @ Texas Rangers (12)     Boxscore</t>
  </si>
  <si>
    <t xml:space="preserve">   » 2019-04-15 Standings &amp; Scores</t>
  </si>
  <si>
    <t>Tuesday, April 16, 2019</t>
  </si>
  <si>
    <t>Arizona D'Backs (9) @ Atlanta Braves (6)     Boxscore</t>
  </si>
  <si>
    <t>Kansas City Royals (1) @ Chicago White Sox (5)     Boxscore</t>
  </si>
  <si>
    <t>Pittsburgh Pirates (5) @ Detroit Tigers (3)     Boxscore</t>
  </si>
  <si>
    <t>Cincinnati Reds (1) @ Los Angeles Dodgers (6)     Boxscore</t>
  </si>
  <si>
    <t>Chicago Cubs (4) @ Miami Marlins (0)     Boxscore</t>
  </si>
  <si>
    <t>St. Louis Cardinals (4) @ Milwaukee Brewers (8)     Boxscore</t>
  </si>
  <si>
    <t>Toronto Blue Jays (6) @ Minnesota Twins (5)     Boxscore</t>
  </si>
  <si>
    <t>Boston Red Sox (0) @ New York Yankees (8)     Boxscore</t>
  </si>
  <si>
    <t>Houston Astros (9) @ Oakland Athletics (1)     Boxscore</t>
  </si>
  <si>
    <t>New York Mets (3) @ Philadelphia Phillies (14)     Boxscore</t>
  </si>
  <si>
    <t>Colorado Rockies (8) @ San Diego Padres (2)     Boxscore</t>
  </si>
  <si>
    <t>Cleveland Indians (4) @ Seattle Mariners (2)     Boxscore</t>
  </si>
  <si>
    <t>Baltimore Orioles (2) @ Tampa Bay Rays (4)     Boxscore</t>
  </si>
  <si>
    <t>Los Angeles Angels (0) @ Texas Rangers (5)     Boxscore</t>
  </si>
  <si>
    <t>San Francisco Giants (7) @ Washington Nationals (3)     Boxscore</t>
  </si>
  <si>
    <t xml:space="preserve">   » 2019-04-16 Standings &amp; Scores</t>
  </si>
  <si>
    <t>Wednesday, April 17, 2019</t>
  </si>
  <si>
    <t>Arizona D'Backs (3) @ Atlanta Braves (2)     Boxscore</t>
  </si>
  <si>
    <t>Kansas City Royals (4) @ Chicago White Sox (3)     Boxscore</t>
  </si>
  <si>
    <t>Pittsburgh Pirates (3) @ Detroit Tigers (2)     Boxscore</t>
  </si>
  <si>
    <t>Cincinnati Reds (2) @ Los Angeles Dodgers (3)     Boxscore</t>
  </si>
  <si>
    <t>Chicago Cubs (6) @ Miami Marlins (0)     Boxscore</t>
  </si>
  <si>
    <t>St. Louis Cardinals (6) @ Milwaukee Brewers (3)     Boxscore</t>
  </si>
  <si>
    <t>Toronto Blue Jays (1) @ Minnesota Twins (4)     Boxscore</t>
  </si>
  <si>
    <t>Boston Red Sox (3) @ New York Yankees (5)     Boxscore</t>
  </si>
  <si>
    <t>Houston Astros (1) @ Oakland Athletics (2)     Boxscore</t>
  </si>
  <si>
    <t>New York Mets (2) @ Philadelphia Phillies (3)     Boxscore</t>
  </si>
  <si>
    <t>Cleveland Indians (1) @ Seattle Mariners (0)     Boxscore</t>
  </si>
  <si>
    <t>Baltimore Orioles (1) @ Tampa Bay Rays (8)     Boxscore</t>
  </si>
  <si>
    <t>Los Angeles Angels (4) @ Texas Rangers (5)     Boxscore</t>
  </si>
  <si>
    <t>San Francisco Giants (6) @ Washington Nationals (9)     Boxscore</t>
  </si>
  <si>
    <t xml:space="preserve">   » 2019-04-17 Standings &amp; Scores</t>
  </si>
  <si>
    <t>Thursday, April 18, 2019</t>
  </si>
  <si>
    <t>Seattle Mariners (11) @ Los Angeles Angels (10)     Boxscore</t>
  </si>
  <si>
    <t>Arizona D'Backs (4) @ Atlanta Braves (1)     Boxscore</t>
  </si>
  <si>
    <t>Philadelphia Phillies (2) @ Colorado Rockies (6)     Boxscore</t>
  </si>
  <si>
    <t>Chicago White Sox (7) @ Detroit Tigers (9)     Boxscore</t>
  </si>
  <si>
    <t>Los Angeles Dodgers (3) @ Milwaukee Brewers (1)     Boxscore</t>
  </si>
  <si>
    <t>Toronto Blue Jays (7) @ Minnesota Twins (4)     Boxscore</t>
  </si>
  <si>
    <t>Kansas City Royals (6) @ New York Yankees (1)     Boxscore</t>
  </si>
  <si>
    <t>Cincinnati Reds (4) @ San Diego Padres (1)     Boxscore</t>
  </si>
  <si>
    <t>Baltimore Orioles (6) @ Tampa Bay Rays (5)     Boxscore</t>
  </si>
  <si>
    <t>San Francisco Giants (2) @ Washington Nationals (4)     Boxscore</t>
  </si>
  <si>
    <t xml:space="preserve">   » 2019-04-18 Standings &amp; Scores</t>
  </si>
  <si>
    <t>Friday, April 19, 2019</t>
  </si>
  <si>
    <t>Seattle Mariners (5) @ Los Angeles Angels (3)     Boxscore</t>
  </si>
  <si>
    <t>Arizona D'Backs (1) @ Chicago Cubs (5)     Boxscore</t>
  </si>
  <si>
    <t>Philadelphia Phillies (3) @ Colorado Rockies (4)     Boxscore</t>
  </si>
  <si>
    <t>Chicago White Sox (7) @ Detroit Tigers (3)     Boxscore</t>
  </si>
  <si>
    <t>Washington Nationals (2) @ Miami Marlins (3)     Boxscore</t>
  </si>
  <si>
    <t>Los Angeles Dodgers (5) @ Milwaukee Brewers (3)     Boxscore</t>
  </si>
  <si>
    <t>Kansas City Royals (2) @ New York Yankees (6)     Boxscore</t>
  </si>
  <si>
    <t>Toronto Blue Jays (5) @ Oakland Athletics (1)     Boxscore</t>
  </si>
  <si>
    <t>San Francisco Giants (1) @ Pittsburgh Pirates (4)     Boxscore</t>
  </si>
  <si>
    <t>Cincinnati Reds (3) @ San Diego Padres (2)     Boxscore</t>
  </si>
  <si>
    <t>New York Mets (5) @ St. Louis Cardinals (4)     Boxscore</t>
  </si>
  <si>
    <t>Boston Red Sox (6) @ Tampa Bay Rays (4)     Boxscore</t>
  </si>
  <si>
    <t>Houston Astros (7) @ Texas Rangers (2)     Boxscore</t>
  </si>
  <si>
    <t xml:space="preserve">   » 2019-04-19 Standings &amp; Scores</t>
  </si>
  <si>
    <t>Saturday, April 20, 2019</t>
  </si>
  <si>
    <t>Seattle Mariners (6) @ Los Angeles Angels (5)     Boxscore</t>
  </si>
  <si>
    <t>Minnesota Twins (6) @ Baltimore Orioles (5)     Boxscore</t>
  </si>
  <si>
    <t>Minnesota Twins (16) @ Baltimore Orioles (7)     Boxscore</t>
  </si>
  <si>
    <t>Arizona D'Backs (6) @ Chicago Cubs (0)     Boxscore</t>
  </si>
  <si>
    <t>Atlanta Braves (4) @ Cleveland Indians (8)     Boxscore</t>
  </si>
  <si>
    <t>Atlanta Braves (8) @ Cleveland Indians (7)     Boxscore</t>
  </si>
  <si>
    <t>Philadelphia Phillies (8) @ Colorado Rockies (5)     Boxscore</t>
  </si>
  <si>
    <t>Washington Nationals (3) @ Miami Marlins (9)     Boxscore</t>
  </si>
  <si>
    <t>Los Angeles Dodgers (0) @ Milwaukee Brewers (5)     Boxscore</t>
  </si>
  <si>
    <t>Kansas City Royals (2) @ New York Yankees (9)     Boxscore</t>
  </si>
  <si>
    <t>Toronto Blue Jays (10) @ Oakland Athletics (1)     Boxscore</t>
  </si>
  <si>
    <t>San Francisco Giants (1) @ Pittsburgh Pirates (3)     Boxscore</t>
  </si>
  <si>
    <t>Cincinnati Reds (4) @ San Diego Padres (2)     Boxscore</t>
  </si>
  <si>
    <t>New York Mets (2) @ St. Louis Cardinals (10)     Boxscore</t>
  </si>
  <si>
    <t>Boston Red Sox (6) @ Tampa Bay Rays (5)     Boxscore</t>
  </si>
  <si>
    <t>Houston Astros (4) @ Texas Rangers (9)     Boxscore</t>
  </si>
  <si>
    <t xml:space="preserve">   » 2019-04-20 Standings &amp; Scores</t>
  </si>
  <si>
    <t>Sunday, April 21, 2019</t>
  </si>
  <si>
    <t>Seattle Mariners (6) @ Los Angeles Angels (8)     Boxscore</t>
  </si>
  <si>
    <t>Minnesota Twins (4) @ Baltimore Orioles (3)     Boxscore</t>
  </si>
  <si>
    <t>Arizona D'Backs (1) @ Chicago Cubs (2)     Boxscore</t>
  </si>
  <si>
    <t>Atlanta Braves (11) @ Cleveland Indians (5)     Boxscore</t>
  </si>
  <si>
    <t>Philadelphia Phillies (1) @ Colorado Rockies (4)     Boxscore</t>
  </si>
  <si>
    <t>Chicago White Sox (3) @ Detroit Tigers (4)     Boxscore</t>
  </si>
  <si>
    <t>Washington Nationals (5) @ Miami Marlins (0)     Boxscore</t>
  </si>
  <si>
    <t>Los Angeles Dodgers (6) @ Milwaukee Brewers (5)     Boxscore</t>
  </si>
  <si>
    <t>Kansas City Royals (6) @ New York Yankees (7)     Boxscore</t>
  </si>
  <si>
    <t>Toronto Blue Jays (5) @ Oakland Athletics (4)     Boxscore</t>
  </si>
  <si>
    <t>San Francisco Giants (3) @ Pittsburgh Pirates (2)     Boxscore</t>
  </si>
  <si>
    <t>Cincinnati Reds (3) @ San Diego Padres (4)     Boxscore</t>
  </si>
  <si>
    <t>New York Mets (4) @ St. Louis Cardinals (6)     Boxscore</t>
  </si>
  <si>
    <t>Boston Red Sox (4) @ Tampa Bay Rays (3)     Boxscore</t>
  </si>
  <si>
    <t>Houston Astros (10) @ Texas Rangers (11)     Boxscore</t>
  </si>
  <si>
    <t xml:space="preserve">   » 2019-04-21 Standings &amp; Scores</t>
  </si>
  <si>
    <t>Monday, April 22, 2019</t>
  </si>
  <si>
    <t>New York Yankees (4) @ Los Angeles Angels (3)     Boxscore</t>
  </si>
  <si>
    <t>Chicago White Sox (12) @ Baltimore Orioles (2)     Boxscore</t>
  </si>
  <si>
    <t>Washington Nationals (5) @ Colorado Rockies (7)     Boxscore</t>
  </si>
  <si>
    <t>Minnesota Twins (9) @ Houston Astros (5)     Boxscore</t>
  </si>
  <si>
    <t>Philadelphia Phillies (1) @ New York Mets (5)     Boxscore</t>
  </si>
  <si>
    <t>Texas Rangers (1) @ Oakland Athletics (6)     Boxscore</t>
  </si>
  <si>
    <t>Arizona D'Backs (12) @ Pittsburgh Pirates (4)     Boxscore</t>
  </si>
  <si>
    <t>Milwaukee Brewers (5) @ St. Louis Cardinals (13)     Boxscore</t>
  </si>
  <si>
    <t>Kansas City Royals (3) @ Tampa Bay Rays (6)     Boxscore</t>
  </si>
  <si>
    <t xml:space="preserve">   » 2019-04-22 Standings &amp; Scores</t>
  </si>
  <si>
    <t>Tuesday, April 23, 2019</t>
  </si>
  <si>
    <t>New York Yankees (7) @ Los Angeles Angels (5)     Boxscore</t>
  </si>
  <si>
    <t>Chicago White Sox (1) @ Baltimore Orioles (9)     Boxscore</t>
  </si>
  <si>
    <t>Detroit Tigers (7) @ Boston Red Sox (4)     Boxscore</t>
  </si>
  <si>
    <t>Detroit Tigers (4) @ Boston Red Sox (2)     Boxscore</t>
  </si>
  <si>
    <t>Los Angeles Dodgers (2) @ Chicago Cubs (7)     Boxscore</t>
  </si>
  <si>
    <t>Atlanta Braves (6) @ Cincinnati Reds (7)     Boxscore</t>
  </si>
  <si>
    <t>Miami Marlins (3) @ Cleveland Indians (1)     Boxscore</t>
  </si>
  <si>
    <t>Washington Nationals (6) @ Colorado Rockies (3)     Boxscore</t>
  </si>
  <si>
    <t>Minnesota Twins (4) @ Houston Astros (10)     Boxscore</t>
  </si>
  <si>
    <t>Philadelphia Phillies (0) @ New York Mets (9)     Boxscore</t>
  </si>
  <si>
    <t>Texas Rangers (5) @ Oakland Athletics (11)     Boxscore</t>
  </si>
  <si>
    <t>Arizona D'Backs (2) @ Pittsburgh Pirates (1)     Boxscore</t>
  </si>
  <si>
    <t>Seattle Mariners (3) @ San Diego Padres (6)     Boxscore</t>
  </si>
  <si>
    <t>Milwaukee Brewers (3) @ St. Louis Cardinals (4)     Boxscore</t>
  </si>
  <si>
    <t>Kansas City Royals (2) @ Tampa Bay Rays (5)     Boxscore</t>
  </si>
  <si>
    <t>San Francisco Giants (7) @ Toronto Blue Jays (6)     Boxscore</t>
  </si>
  <si>
    <t xml:space="preserve">   » 2019-04-23 Standings &amp; Scores</t>
  </si>
  <si>
    <t>Wednesday, April 24, 2019</t>
  </si>
  <si>
    <t>New York Yankees (6) @ Los Angeles Angels (5)     Boxscore</t>
  </si>
  <si>
    <t>Chicago White Sox (3) @ Baltimore Orioles (4)     Boxscore</t>
  </si>
  <si>
    <t>Detroit Tigers (4) @ Boston Red Sox (11)     Boxscore</t>
  </si>
  <si>
    <t>Los Angeles Dodgers (6) @ Chicago Cubs (7)     Boxscore</t>
  </si>
  <si>
    <t>Atlanta Braves (3) @ Cincinnati Reds (1)     Boxscore</t>
  </si>
  <si>
    <t>Miami Marlins (2) @ Cleveland Indians (6)     Boxscore</t>
  </si>
  <si>
    <t>Washington Nationals (5) @ Colorado Rockies (9)     Boxscore</t>
  </si>
  <si>
    <t>Minnesota Twins (1) @ Houston Astros (7)     Boxscore</t>
  </si>
  <si>
    <t>Philadelphia Phillies (6) @ New York Mets (0)     Boxscore</t>
  </si>
  <si>
    <t>Texas Rangers (5) @ Oakland Athletics (6)     Boxscore</t>
  </si>
  <si>
    <t>Arizona D'Backs (11) @ Pittsburgh Pirates (2)     Boxscore</t>
  </si>
  <si>
    <t>Seattle Mariners (0) @ San Diego Padres (1)     Boxscore</t>
  </si>
  <si>
    <t>Milwaukee Brewers (2) @ St. Louis Cardinals (5)     Boxscore</t>
  </si>
  <si>
    <t>Kansas City Royals (10) @ Tampa Bay Rays (2)     Boxscore</t>
  </si>
  <si>
    <t>San Francisco Giants (4) @ Toronto Blue Jays (0)     Boxscore</t>
  </si>
  <si>
    <t xml:space="preserve">   » 2019-04-24 Standings &amp; Scores</t>
  </si>
  <si>
    <t>Thursday, April 25, 2019</t>
  </si>
  <si>
    <t>New York Yankees (5) @ Los Angeles Angels (11)     Boxscore</t>
  </si>
  <si>
    <t>Detroit Tigers (3) @ Boston Red Sox (7)     Boxscore</t>
  </si>
  <si>
    <t>Los Angeles Dodgers (2) @ Chicago Cubs (1)     Boxscore</t>
  </si>
  <si>
    <t>Atlanta Braves (2) @ Cincinnati Reds (4)     Boxscore</t>
  </si>
  <si>
    <t>Cleveland Indians (2) @ Houston Astros (1)     Boxscore</t>
  </si>
  <si>
    <t>Miami Marlins (3) @ Philadelphia Phillies (1)     Boxscore</t>
  </si>
  <si>
    <t>Arizona D'Backs (5) @ Pittsburgh Pirates (0)     Boxscore</t>
  </si>
  <si>
    <t>Texas Rangers (2) @ Seattle Mariners (14)     Boxscore</t>
  </si>
  <si>
    <t xml:space="preserve">   » 2019-04-25 Standings &amp; Scores</t>
  </si>
  <si>
    <t>Friday, April 26, 2019</t>
  </si>
  <si>
    <t>Chicago Cubs (3) @ Arizona D'Backs (8)     Boxscore</t>
  </si>
  <si>
    <t>Colorado Rockies (8) @ Atlanta Braves (4)     Boxscore</t>
  </si>
  <si>
    <t>Detroit Tigers (11) @ Chicago White Sox (12)     Boxscore</t>
  </si>
  <si>
    <t>Cleveland Indians (6) @ Houston Astros (3)     Boxscore</t>
  </si>
  <si>
    <t>Los Angeles Angels (5) @ Kansas City Royals (1)     Boxscore</t>
  </si>
  <si>
    <t>Pittsburgh Pirates (2) @ Los Angeles Dodgers (6)     Boxscore</t>
  </si>
  <si>
    <t>Baltimore Orioles (1) @ Minnesota Twins (6)     Boxscore</t>
  </si>
  <si>
    <t>Milwaukee Brewers (10) @ New York Mets (2)     Boxscore</t>
  </si>
  <si>
    <t>Miami Marlins (0) @ Philadelphia Phillies (4)     Boxscore</t>
  </si>
  <si>
    <t>Texas Rangers (4) @ Seattle Mariners (5)     Boxscore</t>
  </si>
  <si>
    <t>New York Yankees (7) @ San Francisco Giants (3)     Boxscore</t>
  </si>
  <si>
    <t>Cincinnati Reds (12) @ St. Louis Cardinals (1)     Boxscore</t>
  </si>
  <si>
    <t>Oakland Athletics (2) @ Toronto Blue Jays (4)     Boxscore</t>
  </si>
  <si>
    <t>San Diego Padres (4) @ Washington Nationals (3)     Boxscore</t>
  </si>
  <si>
    <t xml:space="preserve">   » 2019-04-26 Standings &amp; Scores</t>
  </si>
  <si>
    <t>Saturday, April 27, 2019</t>
  </si>
  <si>
    <t>Chicago Cubs (9) @ Arizona D'Backs (1)     Boxscore</t>
  </si>
  <si>
    <t>Colorado Rockies (9) @ Atlanta Braves (5)     Boxscore</t>
  </si>
  <si>
    <t>Tampa Bay Rays (2) @ Boston Red Sox (1)     Boxscore</t>
  </si>
  <si>
    <t>Cleveland Indians (3) @ Houston Astros (4)     Boxscore</t>
  </si>
  <si>
    <t>Los Angeles Angels (4) @ Kansas City Royals (9)     Boxscore</t>
  </si>
  <si>
    <t>Pittsburgh Pirates (1) @ Los Angeles Dodgers (3)     Boxscore</t>
  </si>
  <si>
    <t>Baltimore Orioles (2) @ Minnesota Twins (9)     Boxscore</t>
  </si>
  <si>
    <t>Milwaukee Brewers (8) @ New York Mets (6)     Boxscore</t>
  </si>
  <si>
    <t>Miami Marlins (9) @ Philadelphia Phillies (12)     Boxscore</t>
  </si>
  <si>
    <t>Texas Rangers (15) @ Seattle Mariners (1)     Boxscore</t>
  </si>
  <si>
    <t>New York Yankees (6) @ San Francisco Giants (4)     Boxscore</t>
  </si>
  <si>
    <t>Cincinnati Reds (3) @ St. Louis Cardinals (6)     Boxscore</t>
  </si>
  <si>
    <t>Oakland Athletics (1) @ Toronto Blue Jays (7)     Boxscore</t>
  </si>
  <si>
    <t>San Diego Padres (8) @ Washington Nationals (3)     Boxscore</t>
  </si>
  <si>
    <t xml:space="preserve">   » 2019-04-27 Standings &amp; Scores</t>
  </si>
  <si>
    <t>Sunday, April 28, 2019</t>
  </si>
  <si>
    <t>Chicago Cubs (6) @ Arizona D'Backs (5)     Boxscore</t>
  </si>
  <si>
    <t>Colorado Rockies (7) @ Atlanta Braves (8)     Boxscore</t>
  </si>
  <si>
    <t>Tampa Bay Rays (5) @ Boston Red Sox (2)     Boxscore</t>
  </si>
  <si>
    <t>Detroit Tigers (1) @ Chicago White Sox (4)     Boxscore</t>
  </si>
  <si>
    <t>Cleveland Indians (1) @ Houston Astros (4)     Boxscore</t>
  </si>
  <si>
    <t>Los Angeles Angels (7) @ Kansas City Royals (3)     Boxscore</t>
  </si>
  <si>
    <t>Pittsburgh Pirates (6) @ Los Angeles Dodgers (7)     Boxscore</t>
  </si>
  <si>
    <t>Baltimore Orioles (1) @ Minnesota Twins (4)     Boxscore</t>
  </si>
  <si>
    <t>Milwaukee Brewers (2) @ New York Mets (5)     Boxscore</t>
  </si>
  <si>
    <t>Miami Marlins (1) @ Philadelphia Phillies (5)     Boxscore</t>
  </si>
  <si>
    <t>Texas Rangers (14) @ Seattle Mariners (1)     Boxscore</t>
  </si>
  <si>
    <t>New York Yankees (11) @ San Francisco Giants (5)     Boxscore</t>
  </si>
  <si>
    <t>Cincinnati Reds (2) @ St. Louis Cardinals (5)     Boxscore</t>
  </si>
  <si>
    <t>Oakland Athletics (4) @ Toronto Blue Jays (5)     Boxscore</t>
  </si>
  <si>
    <t>San Diego Padres (6) @ Washington Nationals (7)     Boxscore</t>
  </si>
  <si>
    <t xml:space="preserve">   » 2019-04-28 Standings &amp; Scores</t>
  </si>
  <si>
    <t>Monday, April 29, 2019</t>
  </si>
  <si>
    <t>San Diego Padres (1) @ Atlanta Braves (3)     Boxscore</t>
  </si>
  <si>
    <t>Oakland Athletics (4) @ Boston Red Sox (9)     Boxscore</t>
  </si>
  <si>
    <t>Baltimore Orioles (3) @ Chicago White Sox (5)     Boxscore</t>
  </si>
  <si>
    <t>Tampa Bay Rays (8) @ Kansas City Royals (5)     Boxscore</t>
  </si>
  <si>
    <t>Colorado Rockies (1) @ Milwaukee Brewers (5)     Boxscore</t>
  </si>
  <si>
    <t>Houston Astros (0) @ Minnesota Twins (1)     Boxscore</t>
  </si>
  <si>
    <t>Cincinnati Reds (5) @ New York Mets (4)     Boxscore</t>
  </si>
  <si>
    <t>Los Angeles Dodgers (2) @ San Francisco Giants (3)     Boxscore</t>
  </si>
  <si>
    <t>St. Louis Cardinals (6) @ Washington Nationals (3)     Boxscore</t>
  </si>
  <si>
    <t xml:space="preserve">   » 2019-04-29 Standings &amp; Scores</t>
  </si>
  <si>
    <t>Tuesday, April 30, 2019</t>
  </si>
  <si>
    <t>Toronto Blue Jays (3) @ Los Angeles Angels (4)     Boxscore</t>
  </si>
  <si>
    <t>New York Yankees (1) @ Arizona D'Backs (3)     Boxscore</t>
  </si>
  <si>
    <t>San Diego Padres (4) @ Atlanta Braves (3)     Boxscore</t>
  </si>
  <si>
    <t>Oakland Athletics (1) @ Boston Red Sox (5)     Boxscore</t>
  </si>
  <si>
    <t>Cleveland Indians (7) @ Miami Marlins (4)     Boxscore</t>
  </si>
  <si>
    <t>Colorado Rockies (3) @ Milwaukee Brewers (4)     Boxscore</t>
  </si>
  <si>
    <t>Houston Astros (11) @ Minnesota Twins (0)     Boxscore</t>
  </si>
  <si>
    <t>Cincinnati Reds (3) @ New York Mets (4)     Boxscore</t>
  </si>
  <si>
    <t>Detroit Tigers (3) @ Philadelphia Phillies (1)     Boxscore</t>
  </si>
  <si>
    <t>Chicago Cubs (6) @ Seattle Mariners (5)     Boxscore</t>
  </si>
  <si>
    <t>Los Angeles Dodgers (10) @ San Francisco Giants (3)     Boxscore</t>
  </si>
  <si>
    <t>Pittsburgh Pirates (6) @ Texas Rangers (4)     Boxscore</t>
  </si>
  <si>
    <t>St. Louis Cardinals (3) @ Washington Nationals (2)     Boxscore</t>
  </si>
  <si>
    <t xml:space="preserve">   » 2019-04-30 Standings &amp; Scores</t>
  </si>
  <si>
    <t>Wednesday, May 1, 2019</t>
  </si>
  <si>
    <t>Toronto Blue Jays (3) @ Los Angeles Angels (6)     Boxscore</t>
  </si>
  <si>
    <t>New York Yankees (2) @ Arizona D'Backs (3)     Boxscore</t>
  </si>
  <si>
    <t>San Diego Padres (1) @ Atlanta Braves (5)     Boxscore</t>
  </si>
  <si>
    <t>Oakland Athletics (3) @ Boston Red Sox (7)     Boxscore</t>
  </si>
  <si>
    <t>Baltimore Orioles (5) @ Chicago White Sox (4)     Boxscore</t>
  </si>
  <si>
    <t>Baltimore Orioles (6) @ Chicago White Sox (7)     Boxscore</t>
  </si>
  <si>
    <t>Tampa Bay Rays (2) @ Kansas City Royals (3)     Boxscore</t>
  </si>
  <si>
    <t>Tampa Bay Rays (2) @ Kansas City Royals (8)     Boxscore</t>
  </si>
  <si>
    <t>Cleveland Indians (2) @ Miami Marlins (4)     Boxscore</t>
  </si>
  <si>
    <t>Colorado Rockies (11) @ Milwaukee Brewers (4)     Boxscore</t>
  </si>
  <si>
    <t>Houston Astros (2) @ Minnesota Twins (6)     Boxscore</t>
  </si>
  <si>
    <t>Cincinnati Reds (1) @ New York Mets (0)     Boxscore</t>
  </si>
  <si>
    <t>Detroit Tigers (3) @ Philadelphia Phillies (7)     Boxscore</t>
  </si>
  <si>
    <t>Chicago Cubs (11) @ Seattle Mariners (0)     Boxscore</t>
  </si>
  <si>
    <t>Los Angeles Dodgers (1) @ San Francisco Giants (2)     Boxscore</t>
  </si>
  <si>
    <t>Pittsburgh Pirates (7) @ Texas Rangers (5)     Boxscore</t>
  </si>
  <si>
    <t>St. Louis Cardinals (5) @ Washington Nationals (1)     Boxscore</t>
  </si>
  <si>
    <t xml:space="preserve">   » 2019-05-01 Standings &amp; Scores</t>
  </si>
  <si>
    <t>Thursday, May 2, 2019</t>
  </si>
  <si>
    <t>Toronto Blue Jays (2) @ Los Angeles Angels (6)     Boxscore</t>
  </si>
  <si>
    <t>San Diego Padres (11) @ Atlanta Braves (2)     Boxscore</t>
  </si>
  <si>
    <t>Boston Red Sox (4) @ Chicago White Sox (6)     Boxscore</t>
  </si>
  <si>
    <t>Tampa Bay Rays (3) @ Kansas City Royals (1)     Boxscore</t>
  </si>
  <si>
    <t>Colorado Rockies (11) @ Milwaukee Brewers (6)     Boxscore</t>
  </si>
  <si>
    <t>Houston Astros (2) @ Minnesota Twins (8)     Boxscore</t>
  </si>
  <si>
    <t>Cincinnati Reds (0) @ New York Mets (1)     Boxscore</t>
  </si>
  <si>
    <t>St. Louis Cardinals (1) @ Washington Nationals (2)     Boxscore</t>
  </si>
  <si>
    <t xml:space="preserve">   » 2019-05-02 Standings &amp; Scores</t>
  </si>
  <si>
    <t>Friday, May 3, 2019</t>
  </si>
  <si>
    <t>Tampa Bay Rays (7) @ Baltimore Orioles (0)     Boxscore</t>
  </si>
  <si>
    <t>Boston Red Sox (6) @ Chicago White Sox (1)     Boxscore</t>
  </si>
  <si>
    <t>St. Louis Cardinals (0) @ Chicago Cubs (4)     Boxscore</t>
  </si>
  <si>
    <t>San Francisco Giants (12) @ Cincinnati Reds (11)     Boxscore</t>
  </si>
  <si>
    <t>Seattle Mariners (1) @ Cleveland Indians (2)     Boxscore</t>
  </si>
  <si>
    <t>Arizona D'Backs (10) @ Colorado Rockies (9)     Boxscore</t>
  </si>
  <si>
    <t>Kansas City Royals (3) @ Detroit Tigers (4)     Boxscore</t>
  </si>
  <si>
    <t>Atlanta Braves (7) @ Miami Marlins (2)     Boxscore</t>
  </si>
  <si>
    <t>New York Mets (1) @ Milwaukee Brewers (3)     Boxscore</t>
  </si>
  <si>
    <t>Minnesota Twins (3) @ New York Yankees (6)     Boxscore</t>
  </si>
  <si>
    <t>Washington Nationals (2) @ Philadelphia Phillies (4)     Boxscore</t>
  </si>
  <si>
    <t>Oakland Athletics (14) @ Pittsburgh Pirates (1)     Boxscore</t>
  </si>
  <si>
    <t>Los Angeles Dodgers (4) @ San Diego Padres (3)     Boxscore</t>
  </si>
  <si>
    <t>Toronto Blue Jays (1) @ Texas Rangers (0)     Boxscore</t>
  </si>
  <si>
    <t xml:space="preserve">   » 2019-05-03 Standings &amp; Scores</t>
  </si>
  <si>
    <t>Saturday, May 4, 2019</t>
  </si>
  <si>
    <t>Houston Astros (14) @ Los Angeles Angels (2)     Boxscore</t>
  </si>
  <si>
    <t>Tampa Bay Rays (0) @ Baltimore Orioles (3)     Boxscore</t>
  </si>
  <si>
    <t>Boston Red Sox (15) @ Chicago White Sox (2)     Boxscore</t>
  </si>
  <si>
    <t>St. Louis Cardinals (5) @ Chicago Cubs (6)     Boxscore</t>
  </si>
  <si>
    <t>San Francisco Giants (2) @ Cincinnati Reds (9)     Boxscore</t>
  </si>
  <si>
    <t>Seattle Mariners (4) @ Cleveland Indians (5)     Boxscore</t>
  </si>
  <si>
    <t>Arizona D'Backs (9) @ Colorado Rockies (2)     Boxscore</t>
  </si>
  <si>
    <t>Kansas City Royals (15) @ Detroit Tigers (3)     Boxscore</t>
  </si>
  <si>
    <t>Atlanta Braves (9) @ Miami Marlins (2)     Boxscore</t>
  </si>
  <si>
    <t>New York Mets (3) @ Milwaukee Brewers (4)     Boxscore</t>
  </si>
  <si>
    <t>Minnesota Twins (7) @ New York Yankees (3)     Boxscore</t>
  </si>
  <si>
    <t>Washington Nationals (10) @ Philadelphia Phillies (8)     Boxscore</t>
  </si>
  <si>
    <t>Oakland Athletics (4) @ Pittsburgh Pirates (6)     Boxscore</t>
  </si>
  <si>
    <t>Los Angeles Dodgers (7) @ San Diego Padres (6)     Boxscore</t>
  </si>
  <si>
    <t>Toronto Blue Jays (5) @ Texas Rangers (8)     Boxscore</t>
  </si>
  <si>
    <t xml:space="preserve">   » 2019-05-04 Standings &amp; Scores</t>
  </si>
  <si>
    <t>Sunday, May 5, 2019</t>
  </si>
  <si>
    <t>Houston Astros (10) @ Los Angeles Angels (4)     Boxscore</t>
  </si>
  <si>
    <t>Boston Red Sox (9) @ Chicago White Sox (2)     Boxscore</t>
  </si>
  <si>
    <t>St. Louis Cardinals (5) @ Chicago Cubs (13)     Boxscore</t>
  </si>
  <si>
    <t>San Francisco Giants (6) @ Cincinnati Reds (5)     Boxscore</t>
  </si>
  <si>
    <t>Seattle Mariners (10) @ Cleveland Indians (0)     Boxscore</t>
  </si>
  <si>
    <t>Arizona D'Backs (7) @ Colorado Rockies (8)     Boxscore</t>
  </si>
  <si>
    <t>Kansas City Royals (2) @ Detroit Tigers (5)     Boxscore</t>
  </si>
  <si>
    <t>Atlanta Braves (3) @ Miami Marlins (1)     Boxscore</t>
  </si>
  <si>
    <t>New York Mets (2) @ Milwaukee Brewers (3)     Boxscore</t>
  </si>
  <si>
    <t>Minnesota Twins (1) @ New York Yankees (4)     Boxscore</t>
  </si>
  <si>
    <t>Washington Nationals (1) @ Philadelphia Phillies (7)     Boxscore</t>
  </si>
  <si>
    <t>Oakland Athletics (3) @ Pittsburgh Pirates (5)     Boxscore</t>
  </si>
  <si>
    <t>Los Angeles Dodgers (5) @ San Diego Padres (8)     Boxscore</t>
  </si>
  <si>
    <t>Toronto Blue Jays (2) @ Texas Rangers (10)     Boxscore</t>
  </si>
  <si>
    <t xml:space="preserve">   » 2019-05-05 Standings &amp; Scores</t>
  </si>
  <si>
    <t>Monday, May 6, 2019</t>
  </si>
  <si>
    <t>Boston Red Sox (1) @ Baltimore Orioles (4)     Boxscore</t>
  </si>
  <si>
    <t>Miami Marlins (6) @ Chicago Cubs (5)     Boxscore</t>
  </si>
  <si>
    <t>San Francisco Giants (4) @ Cincinnati Reds (12)     Boxscore</t>
  </si>
  <si>
    <t>Chicago White Sox (9) @ Cleveland Indians (1)     Boxscore</t>
  </si>
  <si>
    <t>Kansas City Royals (4) @ Houston Astros (6)     Boxscore</t>
  </si>
  <si>
    <t>Atlanta Braves (3) @ Los Angeles Dodgers (5)     Boxscore</t>
  </si>
  <si>
    <t>Washington Nationals (3) @ Milwaukee Brewers (5)     Boxscore</t>
  </si>
  <si>
    <t>Seattle Mariners (3) @ New York Yankees (7)     Boxscore</t>
  </si>
  <si>
    <t>New York Mets (0) @ San Diego Padres (4)     Boxscore</t>
  </si>
  <si>
    <t>Philadelphia Phillies (0) @ St. Louis Cardinals (6)     Boxscore</t>
  </si>
  <si>
    <t>Arizona D'Backs (1) @ Tampa Bay Rays (12)     Boxscore</t>
  </si>
  <si>
    <t>Minnesota Twins (8) @ Toronto Blue Jays (0)     Boxscore</t>
  </si>
  <si>
    <t xml:space="preserve">   » 2019-05-06 Standings &amp; Scores</t>
  </si>
  <si>
    <t>Tuesday, May 7, 2019</t>
  </si>
  <si>
    <t>Boston Red Sox (8) @ Baltimore Orioles (5)     Boxscore</t>
  </si>
  <si>
    <t>Miami Marlins (2) @ Chicago Cubs (5)     Boxscore</t>
  </si>
  <si>
    <t>Chicago White Sox (2) @ Cleveland Indians (0)     Boxscore</t>
  </si>
  <si>
    <t>San Francisco Giants (14) @ Colorado Rockies (4)     Boxscore</t>
  </si>
  <si>
    <t>Los Angeles Angels (5) @ Detroit Tigers (2)     Boxscore</t>
  </si>
  <si>
    <t>Kansas City Royals (12) @ Houston Astros (2)     Boxscore</t>
  </si>
  <si>
    <t>Atlanta Braves (0) @ Los Angeles Dodgers (9)     Boxscore</t>
  </si>
  <si>
    <t>Washington Nationals (0) @ Milwaukee Brewers (6)     Boxscore</t>
  </si>
  <si>
    <t>Seattle Mariners (4) @ New York Yankees (5)     Boxscore</t>
  </si>
  <si>
    <t>Cincinnati Reds (0) @ Oakland Athletics (2)     Boxscore</t>
  </si>
  <si>
    <t>Texas Rangers (4) @ Pittsburgh Pirates (5)     Boxscore</t>
  </si>
  <si>
    <t>New York Mets (7) @ San Diego Padres (6)     Boxscore</t>
  </si>
  <si>
    <t>Philadelphia Phillies (11) @ St. Louis Cardinals (1)     Boxscore</t>
  </si>
  <si>
    <t>Arizona D'Backs (3) @ Tampa Bay Rays (6)     Boxscore</t>
  </si>
  <si>
    <t>Minnesota Twins (3) @ Toronto Blue Jays (0)     Boxscore</t>
  </si>
  <si>
    <t xml:space="preserve">   » 2019-05-07 Standings &amp; Scores</t>
  </si>
  <si>
    <t>Wednesday, May 8, 2019</t>
  </si>
  <si>
    <t>Boston Red Sox (2) @ Baltimore Orioles (1)     Boxscore</t>
  </si>
  <si>
    <t>Miami Marlins (2) @ Chicago Cubs (3)     Boxscore</t>
  </si>
  <si>
    <t>Los Angeles Angels (3) @ Detroit Tigers (10)     Boxscore</t>
  </si>
  <si>
    <t>Kansas City Royals (0) @ Houston Astros (9)     Boxscore</t>
  </si>
  <si>
    <t>Atlanta Braves (4) @ Los Angeles Dodgers (9)     Boxscore</t>
  </si>
  <si>
    <t>Washington Nationals (3) @ Milwaukee Brewers (7)     Boxscore</t>
  </si>
  <si>
    <t>Seattle Mariners (10) @ New York Yankees (1)     Boxscore</t>
  </si>
  <si>
    <t>Cincinnati Reds (4) @ Oakland Athletics (5)     Boxscore</t>
  </si>
  <si>
    <t>Texas Rangers (9) @ Pittsburgh Pirates (6)     Boxscore</t>
  </si>
  <si>
    <t>New York Mets (2) @ San Diego Padres (3)     Boxscore</t>
  </si>
  <si>
    <t>Philadelphia Phillies (5) @ St. Louis Cardinals (0)     Boxscore</t>
  </si>
  <si>
    <t>Arizona D'Backs (3) @ Tampa Bay Rays (2)     Boxscore</t>
  </si>
  <si>
    <t>Minnesota Twins (9) @ Toronto Blue Jays (1)     Boxscore</t>
  </si>
  <si>
    <t xml:space="preserve">   » 2019-05-08 Standings &amp; Scores</t>
  </si>
  <si>
    <t>Thursday, May 9, 2019</t>
  </si>
  <si>
    <t>Atlanta Braves (2) @ Arizona D'Backs (3)     Boxscore</t>
  </si>
  <si>
    <t>Miami Marlins (1) @ Chicago Cubs (4)     Boxscore</t>
  </si>
  <si>
    <t>Chicago White Sox (0) @ Cleveland Indians (5)     Boxscore</t>
  </si>
  <si>
    <t>San Francisco Giants (11) @ Colorado Rockies (12)     Boxscore</t>
  </si>
  <si>
    <t>Los Angeles Angels (13) @ Detroit Tigers (0)     Boxscore</t>
  </si>
  <si>
    <t>Texas Rangers (2) @ Houston Astros (4)     Boxscore</t>
  </si>
  <si>
    <t>Washington Nationals (6) @ Los Angeles Dodgers (0)     Boxscore</t>
  </si>
  <si>
    <t>Seattle Mariners (1) @ New York Yankees (3)     Boxscore</t>
  </si>
  <si>
    <t>Cincinnati Reds (3) @ Oakland Athletics (0)     Boxscore</t>
  </si>
  <si>
    <t>Pittsburgh Pirates (4) @ St. Louis Cardinals (17)     Boxscore</t>
  </si>
  <si>
    <t xml:space="preserve">   » 2019-05-09 Standings &amp; Scores</t>
  </si>
  <si>
    <t>Friday, May 10, 2019</t>
  </si>
  <si>
    <t>Atlanta Braves (2) @ Arizona D'Backs (1)     Boxscore</t>
  </si>
  <si>
    <t>Los Angeles Angels (8) @ Baltimore Orioles (3)     Boxscore</t>
  </si>
  <si>
    <t>Seattle Mariners (1) @ Boston Red Sox (14)     Boxscore</t>
  </si>
  <si>
    <t>Milwaukee Brewers (7) @ Chicago Cubs (0)     Boxscore</t>
  </si>
  <si>
    <t>San Diego Padres (2) @ Colorado Rockies (12)     Boxscore</t>
  </si>
  <si>
    <t>Texas Rangers (0) @ Houston Astros (3)     Boxscore</t>
  </si>
  <si>
    <t>Philadelphia Phillies (1) @ Kansas City Royals (5)     Boxscore</t>
  </si>
  <si>
    <t>Washington Nationals (0) @ Los Angeles Dodgers (5)     Boxscore</t>
  </si>
  <si>
    <t>Detroit Tigers (0) @ Minnesota Twins (6)     Boxscore</t>
  </si>
  <si>
    <t>Miami Marlins (2) @ New York Mets (11)     Boxscore</t>
  </si>
  <si>
    <t>Cleveland Indians (3) @ Oakland Athletics (4)     Boxscore</t>
  </si>
  <si>
    <t>Cincinnati Reds (7) @ San Francisco Giants (0)     Boxscore</t>
  </si>
  <si>
    <t>Pittsburgh Pirates (2) @ St. Louis Cardinals (1)     Boxscore</t>
  </si>
  <si>
    <t>New York Yankees (4) @ Tampa Bay Rays (3)     Boxscore</t>
  </si>
  <si>
    <t>Chicago White Sox (3) @ Toronto Blue Jays (4)     Boxscore</t>
  </si>
  <si>
    <t xml:space="preserve">   » 2019-05-10 Standings &amp; Scores</t>
  </si>
  <si>
    <t>Saturday, May 11, 2019</t>
  </si>
  <si>
    <t>Atlanta Braves (6) @ Arizona D'Backs (4)     Boxscore</t>
  </si>
  <si>
    <t>Los Angeles Angels (7) @ Baltimore Orioles (2)     Boxscore</t>
  </si>
  <si>
    <t>Seattle Mariners (5) @ Boston Red Sox (9)     Boxscore</t>
  </si>
  <si>
    <t>Milwaukee Brewers (1) @ Chicago Cubs (2)     Boxscore</t>
  </si>
  <si>
    <t>San Diego Padres (4) @ Colorado Rockies (3)     Boxscore</t>
  </si>
  <si>
    <t>Texas Rangers (4) @ Houston Astros (11)     Boxscore</t>
  </si>
  <si>
    <t>Philadelphia Phillies (7) @ Kansas City Royals (0)     Boxscore</t>
  </si>
  <si>
    <t>Washington Nationals (5) @ Los Angeles Dodgers (2)     Boxscore</t>
  </si>
  <si>
    <t>Detroit Tigers (5) @ Minnesota Twins (3)     Boxscore</t>
  </si>
  <si>
    <t>Detroit Tigers (3) @ Minnesota Twins (8)     Boxscore</t>
  </si>
  <si>
    <t>Miami Marlins (1) @ New York Mets (4)     Boxscore</t>
  </si>
  <si>
    <t>Cleveland Indians (2) @ Oakland Athletics (3)     Boxscore</t>
  </si>
  <si>
    <t>Cincinnati Reds (5) @ San Francisco Giants (4)     Boxscore</t>
  </si>
  <si>
    <t>New York Yankees (2) @ Tampa Bay Rays (7)     Boxscore</t>
  </si>
  <si>
    <t>Chicago White Sox (7) @ Toronto Blue Jays (2)     Boxscore</t>
  </si>
  <si>
    <t xml:space="preserve">   » 2019-05-11 Standings &amp; Scores</t>
  </si>
  <si>
    <t>Sunday, May 12, 2019</t>
  </si>
  <si>
    <t>Atlanta Braves (5) @ Arizona D'Backs (3)     Boxscore</t>
  </si>
  <si>
    <t>Los Angeles Angels (1) @ Baltimore Orioles (5)     Boxscore</t>
  </si>
  <si>
    <t>Seattle Mariners (2) @ Boston Red Sox (11)     Boxscore</t>
  </si>
  <si>
    <t>Milwaukee Brewers (1) @ Chicago Cubs (4)     Boxscore</t>
  </si>
  <si>
    <t>San Diego Padres (7) @ Colorado Rockies (10)     Boxscore</t>
  </si>
  <si>
    <t>Texas Rangers (5) @ Houston Astros (15)     Boxscore</t>
  </si>
  <si>
    <t>Philadelphia Phillies (6) @ Kansas City Royals (1)     Boxscore</t>
  </si>
  <si>
    <t>Washington Nationals (0) @ Los Angeles Dodgers (6)     Boxscore</t>
  </si>
  <si>
    <t>Cleveland Indians (5) @ Oakland Athletics (3)     Boxscore</t>
  </si>
  <si>
    <t>Cincinnati Reds (5) @ San Francisco Giants (6)     Boxscore</t>
  </si>
  <si>
    <t>Pittsburgh Pirates (10) @ St. Louis Cardinals (6)     Boxscore</t>
  </si>
  <si>
    <t>New York Yankees (7) @ Tampa Bay Rays (1)     Boxscore</t>
  </si>
  <si>
    <t>Chicago White Sox (5) @ Toronto Blue Jays (1)     Boxscore</t>
  </si>
  <si>
    <t xml:space="preserve">   » 2019-05-12 Standings &amp; Scores</t>
  </si>
  <si>
    <t>Monday, May 13, 2019</t>
  </si>
  <si>
    <t>Pittsburgh Pirates (3) @ Arizona D'Backs (9)     Boxscore</t>
  </si>
  <si>
    <t>Cleveland Indians (2) @ Chicago White Sox (5)     Boxscore</t>
  </si>
  <si>
    <t>Houston Astros (8) @ Detroit Tigers (1)     Boxscore</t>
  </si>
  <si>
    <t>Los Angeles Angels (5) @ Minnesota Twins (4)     Boxscore</t>
  </si>
  <si>
    <t>Milwaukee Brewers (4) @ Philadelphia Phillies (7)     Boxscore</t>
  </si>
  <si>
    <t>Oakland Athletics (5) @ Seattle Mariners (6)     Boxscore</t>
  </si>
  <si>
    <t xml:space="preserve">   » 2019-05-13 Standings &amp; Scores</t>
  </si>
  <si>
    <t>Tuesday, May 14, 2019</t>
  </si>
  <si>
    <t>Pittsburgh Pirates (6) @ Arizona D'Backs (2)     Boxscore</t>
  </si>
  <si>
    <t>St. Louis Cardinals (14) @ Atlanta Braves (3)     Boxscore</t>
  </si>
  <si>
    <t>Colorado Rockies (5) @ Boston Red Sox (4)     Boxscore</t>
  </si>
  <si>
    <t>Cleveland Indians (9) @ Chicago White Sox (0)     Boxscore</t>
  </si>
  <si>
    <t>Chicago Cubs (3) @ Cincinnati Reds (1)     Boxscore</t>
  </si>
  <si>
    <t>Houston Astros (11) @ Detroit Tigers (4)     Boxscore</t>
  </si>
  <si>
    <t>Texas Rangers (5) @ Kansas City Royals (11)     Boxscore</t>
  </si>
  <si>
    <t>San Diego Padres (3) @ Los Angeles Dodgers (6)     Boxscore</t>
  </si>
  <si>
    <t>Tampa Bay Rays (4) @ Miami Marlins (0)     Boxscore</t>
  </si>
  <si>
    <t>Los Angeles Angels (3) @ Minnesota Twins (4)     Boxscore</t>
  </si>
  <si>
    <t>Milwaukee Brewers (6) @ Philadelphia Phillies (1)     Boxscore</t>
  </si>
  <si>
    <t>Oakland Athletics (3) @ Seattle Mariners (4)     Boxscore</t>
  </si>
  <si>
    <t>Toronto Blue Jays (7) @ San Francisco Giants (3)     Boxscore</t>
  </si>
  <si>
    <t>New York Mets (6) @ Washington Nationals (2)     Boxscore</t>
  </si>
  <si>
    <t xml:space="preserve">   » 2019-05-14 Standings &amp; Scores</t>
  </si>
  <si>
    <t>Wednesday, May 15, 2019</t>
  </si>
  <si>
    <t>Pittsburgh Pirates (1) @ Arizona D'Backs (11)     Boxscore</t>
  </si>
  <si>
    <t>St. Louis Cardinals (0) @ Atlanta Braves (4)     Boxscore</t>
  </si>
  <si>
    <t>Colorado Rockies (5) @ Boston Red Sox (6)     Boxscore</t>
  </si>
  <si>
    <t>Chicago Cubs (5) @ Cincinnati Reds (6)     Boxscore</t>
  </si>
  <si>
    <t>Houston Astros (5) @ Detroit Tigers (1)     Boxscore</t>
  </si>
  <si>
    <t>Texas Rangers (6) @ Kansas City Royals (1)     Boxscore</t>
  </si>
  <si>
    <t>San Diego Padres (0) @ Los Angeles Dodgers (2)     Boxscore</t>
  </si>
  <si>
    <t>Tampa Bay Rays (1) @ Miami Marlins (0)     Boxscore</t>
  </si>
  <si>
    <t>Los Angeles Angels (7) @ Minnesota Twins (8)     Boxscore</t>
  </si>
  <si>
    <t>Baltimore Orioles (3) @ New York Yankees (5)     Boxscore</t>
  </si>
  <si>
    <t>Baltimore Orioles (1) @ New York Yankees (3)     Boxscore</t>
  </si>
  <si>
    <t>Milwaukee Brewers (5) @ Philadelphia Phillies (2)     Boxscore</t>
  </si>
  <si>
    <t>Toronto Blue Jays (3) @ San Francisco Giants (4)     Boxscore</t>
  </si>
  <si>
    <t>New York Mets (1) @ Washington Nationals (5)     Boxscore</t>
  </si>
  <si>
    <t xml:space="preserve">   » 2019-05-15 Standings &amp; Scores</t>
  </si>
  <si>
    <t>Thursday, May 16, 2019</t>
  </si>
  <si>
    <t>St. Louis Cardinals (2) @ Atlanta Braves (10)     Boxscore</t>
  </si>
  <si>
    <t>Toronto Blue Jays (2) @ Chicago White Sox (4)     Boxscore</t>
  </si>
  <si>
    <t>Chicago Cubs (2) @ Cincinnati Reds (4)     Boxscore</t>
  </si>
  <si>
    <t>Baltimore Orioles (7) @ Cleveland Indians (14)     Boxscore</t>
  </si>
  <si>
    <t>Oakland Athletics (17) @ Detroit Tigers (3)     Boxscore</t>
  </si>
  <si>
    <t>Texas Rangers (16) @ Kansas City Royals (1)     Boxscore</t>
  </si>
  <si>
    <t>Milwaukee Brewers (11) @ Philadelphia Phillies (3)     Boxscore</t>
  </si>
  <si>
    <t>Pittsburgh Pirates (3) @ San Diego Padres (4)     Boxscore</t>
  </si>
  <si>
    <t>Minnesota Twins (11) @ Seattle Mariners (6)     Boxscore</t>
  </si>
  <si>
    <t>New York Mets (6) @ Washington Nationals (7)     Boxscore</t>
  </si>
  <si>
    <t xml:space="preserve">   » 2019-05-16 Standings &amp; Scores</t>
  </si>
  <si>
    <t>Friday, May 17, 2019</t>
  </si>
  <si>
    <t>Kansas City Royals (2) @ Los Angeles Angels (5)     Boxscore</t>
  </si>
  <si>
    <t>San Francisco Giants (0) @ Arizona D'Backs (7)     Boxscore</t>
  </si>
  <si>
    <t>Milwaukee Brewers (8) @ Atlanta Braves (12)     Boxscore</t>
  </si>
  <si>
    <t>Houston Astros (3) @ Boston Red Sox (1)     Boxscore</t>
  </si>
  <si>
    <t>Toronto Blue Jays (10) @ Chicago White Sox (2)     Boxscore</t>
  </si>
  <si>
    <t>Los Angeles Dodgers (6) @ Cincinnati Reds (0)     Boxscore</t>
  </si>
  <si>
    <t>Baltimore Orioles (5) @ Cleveland Indians (1)     Boxscore</t>
  </si>
  <si>
    <t>Oakland Athletics (7) @ Detroit Tigers (2)     Boxscore</t>
  </si>
  <si>
    <t>New York Mets (6) @ Miami Marlins (8)     Boxscore</t>
  </si>
  <si>
    <t>Tampa Bay Rays (3) @ New York Yankees (4)     Boxscore</t>
  </si>
  <si>
    <t>Colorado Rockies (4) @ Philadelphia Phillies (5)     Boxscore</t>
  </si>
  <si>
    <t>Pittsburgh Pirates (5) @ San Diego Padres (3)     Boxscore</t>
  </si>
  <si>
    <t>Minnesota Twins (7) @ Seattle Mariners (1)     Boxscore</t>
  </si>
  <si>
    <t>St. Louis Cardinals (3) @ Texas Rangers (7)     Boxscore</t>
  </si>
  <si>
    <t>Chicago Cubs (14) @ Washington Nationals (6)     Boxscore</t>
  </si>
  <si>
    <t xml:space="preserve">   » 2019-05-17 Standings &amp; Scores</t>
  </si>
  <si>
    <t>Saturday, May 18, 2019</t>
  </si>
  <si>
    <t>Kansas City Royals (3) @ Los Angeles Angels (6)     Boxscore</t>
  </si>
  <si>
    <t>San Francisco Giants (8) @ Arizona D'Backs (5)     Boxscore</t>
  </si>
  <si>
    <t>Milwaukee Brewers (3) @ Atlanta Braves (4)     Boxscore</t>
  </si>
  <si>
    <t>Houston Astros (7) @ Boston Red Sox (3)     Boxscore</t>
  </si>
  <si>
    <t>Toronto Blue Jays (1) @ Chicago White Sox (4)     Boxscore</t>
  </si>
  <si>
    <t>Los Angeles Dodgers (0) @ Cincinnati Reds (4)     Boxscore</t>
  </si>
  <si>
    <t>Baltimore Orioles (1) @ Cleveland Indians (4)     Boxscore</t>
  </si>
  <si>
    <t>Oakland Athletics (4) @ Detroit Tigers (1)     Boxscore</t>
  </si>
  <si>
    <t>New York Mets (0) @ Miami Marlins (2)     Boxscore</t>
  </si>
  <si>
    <t>Tampa Bay Rays (2) @ New York Yankees (1)     Boxscore</t>
  </si>
  <si>
    <t>Colorado Rockies (1) @ Philadelphia Phillies (2)     Boxscore</t>
  </si>
  <si>
    <t>Pittsburgh Pirates (7) @ San Diego Padres (2)     Boxscore</t>
  </si>
  <si>
    <t>Minnesota Twins (18) @ Seattle Mariners (4)     Boxscore</t>
  </si>
  <si>
    <t>St. Louis Cardinals (8) @ Texas Rangers (2)     Boxscore</t>
  </si>
  <si>
    <t>Chicago Cubs (2) @ Washington Nationals (5)     Boxscore</t>
  </si>
  <si>
    <t xml:space="preserve">   » 2019-05-18 Standings &amp; Scores</t>
  </si>
  <si>
    <t>Sunday, May 19, 2019</t>
  </si>
  <si>
    <t>Kansas City Royals (5) @ Los Angeles Angels (1)     Boxscore</t>
  </si>
  <si>
    <t>San Francisco Giants (3) @ Arizona D'Backs (2)     Boxscore</t>
  </si>
  <si>
    <t>Milwaukee Brewers (3) @ Atlanta Braves (2)     Boxscore</t>
  </si>
  <si>
    <t>Houston Astros (3) @ Boston Red Sox (4)     Boxscore</t>
  </si>
  <si>
    <t>Toronto Blue Jays (5) @ Chicago White Sox (2)     Boxscore</t>
  </si>
  <si>
    <t>Los Angeles Dodgers (8) @ Cincinnati Reds (3)     Boxscore</t>
  </si>
  <si>
    <t>Baltimore Orioles (0) @ Cleveland Indians (10)     Boxscore</t>
  </si>
  <si>
    <t>New York Mets (0) @ Miami Marlins (3)     Boxscore</t>
  </si>
  <si>
    <t>Tampa Bay Rays (5) @ New York Yankees (13)     Boxscore</t>
  </si>
  <si>
    <t>Colorado Rockies (5) @ Philadelphia Phillies (7)     Boxscore</t>
  </si>
  <si>
    <t>Pittsburgh Pirates (6) @ San Diego Padres (4)     Boxscore</t>
  </si>
  <si>
    <t>Minnesota Twins (4) @ Seattle Mariners (7)     Boxscore</t>
  </si>
  <si>
    <t>St. Louis Cardinals (4) @ Texas Rangers (5)     Boxscore</t>
  </si>
  <si>
    <t>Chicago Cubs (6) @ Washington Nationals (5)     Boxscore</t>
  </si>
  <si>
    <t xml:space="preserve">   » 2019-05-19 Standings &amp; Scores</t>
  </si>
  <si>
    <t>Monday, May 20, 2019</t>
  </si>
  <si>
    <t>Minnesota Twins (3) @ Los Angeles Angels (1)     Boxscore</t>
  </si>
  <si>
    <t>New York Yankees (10) @ Baltimore Orioles (7)     Boxscore</t>
  </si>
  <si>
    <t>Philadelphia Phillies (5) @ Chicago Cubs (4)     Boxscore</t>
  </si>
  <si>
    <t>Oakland Athletics (6) @ Cleveland Indians (4)     Boxscore</t>
  </si>
  <si>
    <t>Chicago White Sox (0) @ Houston Astros (3)     Boxscore</t>
  </si>
  <si>
    <t>Washington Nationals (3) @ New York Mets (5)     Boxscore</t>
  </si>
  <si>
    <t>Arizona D'Backs (1) @ San Diego Padres (2)     Boxscore</t>
  </si>
  <si>
    <t>Atlanta Braves (4) @ San Francisco Giants (1)     Boxscore</t>
  </si>
  <si>
    <t>Seattle Mariners (9) @ Texas Rangers (10)     Boxscore</t>
  </si>
  <si>
    <t>Boston Red Sox (12) @ Toronto Blue Jays (2)     Boxscore</t>
  </si>
  <si>
    <t xml:space="preserve">   » 2019-05-20 Standings &amp; Scores</t>
  </si>
  <si>
    <t>Tuesday, May 21, 2019</t>
  </si>
  <si>
    <t>Minnesota Twins (8) @ Los Angeles Angels (3)     Boxscore</t>
  </si>
  <si>
    <t>New York Yankees (11) @ Baltimore Orioles (4)     Boxscore</t>
  </si>
  <si>
    <t>Philadelphia Phillies (2) @ Chicago Cubs (3)     Boxscore</t>
  </si>
  <si>
    <t>Oakland Athletics (5) @ Cleveland Indians (3)     Boxscore</t>
  </si>
  <si>
    <t>Miami Marlins (5) @ Detroit Tigers (4)     Boxscore</t>
  </si>
  <si>
    <t>Chicago White Sox (1) @ Houston Astros (5)     Boxscore</t>
  </si>
  <si>
    <t>Cincinnati Reds (3) @ Milwaukee Brewers (0)     Boxscore</t>
  </si>
  <si>
    <t>Colorado Rockies (5) @ Pittsburgh Pirates (0)     Boxscore</t>
  </si>
  <si>
    <t>Arizona D'Backs (2) @ San Diego Padres (3)     Boxscore</t>
  </si>
  <si>
    <t>Atlanta Braves (3) @ San Francisco Giants (4)     Boxscore</t>
  </si>
  <si>
    <t>Los Angeles Dodgers (7) @ Tampa Bay Rays (3)     Boxscore</t>
  </si>
  <si>
    <t>Seattle Mariners (3) @ Texas Rangers (5)     Boxscore</t>
  </si>
  <si>
    <t>Boston Red Sox (3) @ Toronto Blue Jays (10)     Boxscore</t>
  </si>
  <si>
    <t xml:space="preserve">   » 2019-05-21 Standings &amp; Scores</t>
  </si>
  <si>
    <t>Wednesday, May 22, 2019</t>
  </si>
  <si>
    <t>New York Yankees (7) @ Baltimore Orioles (5)     Boxscore</t>
  </si>
  <si>
    <t>Philadelphia Phillies (4) @ Chicago Cubs (8)     Boxscore</t>
  </si>
  <si>
    <t>Oakland Athletics (7) @ Cleveland Indians (2)     Boxscore</t>
  </si>
  <si>
    <t>Miami Marlins (6) @ Detroit Tigers (3)     Boxscore</t>
  </si>
  <si>
    <t>Chicago White Sox (9) @ Houston Astros (4)     Boxscore</t>
  </si>
  <si>
    <t>Cincinnati Reds (9) @ Milwaukee Brewers (11)     Boxscore</t>
  </si>
  <si>
    <t>Washington Nationals (1) @ New York Mets (6)     Boxscore</t>
  </si>
  <si>
    <t>Colorado Rockies (9) @ Pittsburgh Pirates (3)     Boxscore</t>
  </si>
  <si>
    <t>Arizona D'Backs (2) @ San Diego Padres (5)     Boxscore</t>
  </si>
  <si>
    <t>Atlanta Braves (9) @ San Francisco Giants (2)     Boxscore</t>
  </si>
  <si>
    <t>Kansas City Royals (8) @ St. Louis Cardinals (2)     Boxscore</t>
  </si>
  <si>
    <t>Kansas City Royals (3) @ St. Louis Cardinals (10)     Boxscore</t>
  </si>
  <si>
    <t>Los Angeles Dodgers (1) @ Tampa Bay Rays (8)     Boxscore</t>
  </si>
  <si>
    <t>Seattle Mariners (1) @ Texas Rangers (2)     Boxscore</t>
  </si>
  <si>
    <t>Boston Red Sox (6) @ Toronto Blue Jays (5)     Boxscore</t>
  </si>
  <si>
    <t xml:space="preserve">   » 2019-05-22 Standings &amp; Scores</t>
  </si>
  <si>
    <t>Thursday, May 23, 2019</t>
  </si>
  <si>
    <t>Minnesota Twins (16) @ Los Angeles Angels (7)     Boxscore</t>
  </si>
  <si>
    <t>New York Yankees (6) @ Baltimore Orioles (5)     Boxscore</t>
  </si>
  <si>
    <t>Philadelphia Phillies (9) @ Chicago Cubs (7)     Boxscore</t>
  </si>
  <si>
    <t>Tampa Bay Rays (7) @ Cleveland Indians (2)     Boxscore</t>
  </si>
  <si>
    <t>Miami Marlins (5) @ Detroit Tigers (2)     Boxscore</t>
  </si>
  <si>
    <t>Chicago White Sox (4) @ Houston Astros (0)     Boxscore</t>
  </si>
  <si>
    <t>Washington Nationals (4) @ New York Mets (6)     Boxscore</t>
  </si>
  <si>
    <t>Colorado Rockies (6) @ Pittsburgh Pirates (14)     Boxscore</t>
  </si>
  <si>
    <t>Atlanta Braves (5) @ San Francisco Giants (4)     Boxscore</t>
  </si>
  <si>
    <t>Boston Red Sox (8) @ Toronto Blue Jays (2)     Boxscore</t>
  </si>
  <si>
    <t xml:space="preserve">   » 2019-05-23 Standings &amp; Scores</t>
  </si>
  <si>
    <t>Friday, May 24, 2019</t>
  </si>
  <si>
    <t>Texas Rangers (4) @ Los Angeles Angels (3)     Boxscore</t>
  </si>
  <si>
    <t>Cincinnati Reds (6) @ Chicago Cubs (5)     Boxscore</t>
  </si>
  <si>
    <t>Tampa Bay Rays (1) @ Cleveland Indians (3)     Boxscore</t>
  </si>
  <si>
    <t>Baltimore Orioles (6) @ Colorado Rockies (8)     Boxscore</t>
  </si>
  <si>
    <t>Boston Red Sox (3) @ Houston Astros (4)     Boxscore</t>
  </si>
  <si>
    <t>Philadelphia Phillies (6) @ Milwaukee Brewers (4)     Boxscore</t>
  </si>
  <si>
    <t>Chicago White Sox (4) @ Minnesota Twins (11)     Boxscore</t>
  </si>
  <si>
    <t>Detroit Tigers (9) @ New York Mets (8)     Boxscore</t>
  </si>
  <si>
    <t>Seattle Mariners (2) @ Oakland Athletics (6)     Boxscore</t>
  </si>
  <si>
    <t>Los Angeles Dodgers (10) @ Pittsburgh Pirates (2)     Boxscore</t>
  </si>
  <si>
    <t>Arizona D'Backs (18) @ San Francisco Giants (2)     Boxscore</t>
  </si>
  <si>
    <t>Atlanta Braves (5) @ St. Louis Cardinals (2)     Boxscore</t>
  </si>
  <si>
    <t>San Diego Padres (6) @ Toronto Blue Jays (3)     Boxscore</t>
  </si>
  <si>
    <t>Miami Marlins (10) @ Washington Nationals (12)     Boxscore</t>
  </si>
  <si>
    <t xml:space="preserve">   » 2019-05-24 Standings &amp; Scores</t>
  </si>
  <si>
    <t>Saturday, May 25, 2019</t>
  </si>
  <si>
    <t>Texas Rangers (2) @ Los Angeles Angels (3)     Boxscore</t>
  </si>
  <si>
    <t>Cincinnati Reds (6) @ Chicago Cubs (8)     Boxscore</t>
  </si>
  <si>
    <t>Tampa Bay Rays (6) @ Cleveland Indians (2)     Boxscore</t>
  </si>
  <si>
    <t>Baltimore Orioles (9) @ Colorado Rockies (6)     Boxscore</t>
  </si>
  <si>
    <t>New York Yankees (7) @ Kansas City Royals (3)     Boxscore</t>
  </si>
  <si>
    <t>New York Yankees (6) @ Kansas City Royals (5)     Boxscore</t>
  </si>
  <si>
    <t>Philadelphia Phillies (7) @ Milwaukee Brewers (2)     Boxscore</t>
  </si>
  <si>
    <t>Chicago White Sox (1) @ Minnesota Twins (8)     Boxscore</t>
  </si>
  <si>
    <t>Detroit Tigers (4) @ New York Mets (5)     Boxscore</t>
  </si>
  <si>
    <t>Seattle Mariners (5) @ Oakland Athletics (6)     Boxscore</t>
  </si>
  <si>
    <t>Los Angeles Dodgers (7) @ Pittsburgh Pirates (2)     Boxscore</t>
  </si>
  <si>
    <t>Arizona D'Backs (10) @ San Francisco Giants (4)     Boxscore</t>
  </si>
  <si>
    <t>Atlanta Braves (3) @ St. Louis Cardinals (6)     Boxscore</t>
  </si>
  <si>
    <t>San Diego Padres (19) @ Toronto Blue Jays (4)     Boxscore</t>
  </si>
  <si>
    <t>Miami Marlins (0) @ Washington Nationals (5)     Boxscore</t>
  </si>
  <si>
    <t xml:space="preserve">   » 2019-05-25 Standings &amp; Scores</t>
  </si>
  <si>
    <t>Sunday, May 26, 2019</t>
  </si>
  <si>
    <t>Texas Rangers (6) @ Los Angeles Angels (7)     Boxscore</t>
  </si>
  <si>
    <t>Cincinnati Reds (10) @ Chicago Cubs (2)     Boxscore</t>
  </si>
  <si>
    <t>Tampa Bay Rays (6) @ Cleveland Indians (3)     Boxscore</t>
  </si>
  <si>
    <t>Baltimore Orioles (7) @ Colorado Rockies (8)     Boxscore</t>
  </si>
  <si>
    <t>Boston Red Sox (4) @ Houston Astros (1)     Boxscore</t>
  </si>
  <si>
    <t>New York Yankees (7) @ Kansas City Royals (8)     Boxscore</t>
  </si>
  <si>
    <t>Philadelphia Phillies (1) @ Milwaukee Brewers (9)     Boxscore</t>
  </si>
  <si>
    <t>Chicago White Sox (0) @ Minnesota Twins (7)     Boxscore</t>
  </si>
  <si>
    <t>Detroit Tigers (3) @ New York Mets (4)     Boxscore</t>
  </si>
  <si>
    <t>Seattle Mariners (1) @ Oakland Athletics (7)     Boxscore</t>
  </si>
  <si>
    <t>Los Angeles Dodgers (11) @ Pittsburgh Pirates (7)     Boxscore</t>
  </si>
  <si>
    <t>Arizona D'Backs (6) @ San Francisco Giants (2)     Boxscore</t>
  </si>
  <si>
    <t>Atlanta Braves (4) @ St. Louis Cardinals (3)     Boxscore</t>
  </si>
  <si>
    <t>San Diego Padres (1) @ Toronto Blue Jays (10)     Boxscore</t>
  </si>
  <si>
    <t>Miami Marlins (6) @ Washington Nationals (9)     Boxscore</t>
  </si>
  <si>
    <t xml:space="preserve">   » 2019-05-26 Standings &amp; Scores</t>
  </si>
  <si>
    <t>Monday, May 27, 2019</t>
  </si>
  <si>
    <t>Detroit Tigers (3) @ Baltimore Orioles (5)     Boxscore</t>
  </si>
  <si>
    <t>Cleveland Indians (5) @ Boston Red Sox (12)     Boxscore</t>
  </si>
  <si>
    <t>Kansas City Royals (1) @ Chicago White Sox (2)     Boxscore</t>
  </si>
  <si>
    <t>Pittsburgh Pirates (8) @ Cincinnati Reds (5)     Boxscore</t>
  </si>
  <si>
    <t>Pittsburgh Pirates (1) @ Cincinnati Reds (8)     Boxscore</t>
  </si>
  <si>
    <t>Arizona D'Backs (3) @ Colorado Rockies (4)     Boxscore</t>
  </si>
  <si>
    <t>Chicago Cubs (5) @ Houston Astros (6)     Boxscore</t>
  </si>
  <si>
    <t>New York Mets (5) @ Los Angeles Dodgers (9)     Boxscore</t>
  </si>
  <si>
    <t>Milwaukee Brewers (5) @ Minnesota Twins (4)     Boxscore</t>
  </si>
  <si>
    <t>San Diego Padres (2) @ New York Yankees (5)     Boxscore</t>
  </si>
  <si>
    <t>Los Angeles Angels (5) @ Oakland Athletics (8)     Boxscore</t>
  </si>
  <si>
    <t>Texas Rangers (2) @ Seattle Mariners (6)     Boxscore</t>
  </si>
  <si>
    <t>Toronto Blue Jays (3) @ Tampa Bay Rays (8)     Boxscore</t>
  </si>
  <si>
    <t>Miami Marlins (3) @ Washington Nationals (2)     Boxscore</t>
  </si>
  <si>
    <t xml:space="preserve">   » 2019-05-27 Standings &amp; Scores</t>
  </si>
  <si>
    <t>Tuesday, May 28, 2019</t>
  </si>
  <si>
    <t>Washington Nationals (5) @ Atlanta Braves (4)     Boxscore</t>
  </si>
  <si>
    <t>Detroit Tigers (3) @ Baltimore Orioles (0)     Boxscore</t>
  </si>
  <si>
    <t>Cleveland Indians (7) @ Boston Red Sox (5)     Boxscore</t>
  </si>
  <si>
    <t>Kansas City Royals (3) @ Chicago White Sox (4)     Boxscore</t>
  </si>
  <si>
    <t>Pittsburgh Pirates (6) @ Cincinnati Reds (11)     Boxscore</t>
  </si>
  <si>
    <t>Arizona D'Backs (2) @ Colorado Rockies (6)     Boxscore</t>
  </si>
  <si>
    <t>Chicago Cubs (6) @ Houston Astros (9)     Boxscore</t>
  </si>
  <si>
    <t>New York Mets (7) @ Los Angeles Dodgers (3)     Boxscore</t>
  </si>
  <si>
    <t>San Francisco Giants (3) @ Miami Marlins (11)     Boxscore</t>
  </si>
  <si>
    <t>Milwaukee Brewers (3) @ Minnesota Twins (5)     Boxscore</t>
  </si>
  <si>
    <t>San Diego Padres (5) @ New York Yankees (4)     Boxscore</t>
  </si>
  <si>
    <t>Los Angeles Angels (6) @ Oakland Athletics (4)     Boxscore</t>
  </si>
  <si>
    <t>St. Louis Cardinals (3) @ Philadelphia Phillies (4)     Boxscore</t>
  </si>
  <si>
    <t>Texas Rangers (11) @ Seattle Mariners (4)     Boxscore</t>
  </si>
  <si>
    <t>Toronto Blue Jays (1) @ Tampa Bay Rays (3)     Boxscore</t>
  </si>
  <si>
    <t xml:space="preserve">   » 2019-05-28 Standings &amp; Scores</t>
  </si>
  <si>
    <t>Wednesday, May 29, 2019</t>
  </si>
  <si>
    <t>Washington Nationals (14) @ Atlanta Braves (4)     Boxscore</t>
  </si>
  <si>
    <t>Detroit Tigers (4) @ Baltimore Orioles (2)     Boxscore</t>
  </si>
  <si>
    <t>Cleveland Indians (14) @ Boston Red Sox (9)     Boxscore</t>
  </si>
  <si>
    <t>Kansas City Royals (7) @ Chicago White Sox (8)     Boxscore</t>
  </si>
  <si>
    <t>Pittsburgh Pirates (7) @ Cincinnati Reds (2)     Boxscore</t>
  </si>
  <si>
    <t>Arizona D'Backs (4) @ Colorado Rockies (5)     Boxscore</t>
  </si>
  <si>
    <t>Chicago Cubs (2) @ Houston Astros (1)     Boxscore</t>
  </si>
  <si>
    <t>New York Mets (8) @ Los Angeles Dodgers (9)     Boxscore</t>
  </si>
  <si>
    <t>San Francisco Giants (2) @ Miami Marlins (4)     Boxscore</t>
  </si>
  <si>
    <t>San Diego Padres (0) @ New York Yankees (7)     Boxscore</t>
  </si>
  <si>
    <t>Los Angeles Angels (12) @ Oakland Athletics (7)     Boxscore</t>
  </si>
  <si>
    <t>St. Louis Cardinals (4) @ Philadelphia Phillies (11)     Boxscore</t>
  </si>
  <si>
    <t>Texas Rangers (8) @ Seattle Mariners (7)     Boxscore</t>
  </si>
  <si>
    <t>Toronto Blue Jays (3) @ Tampa Bay Rays (4)     Boxscore</t>
  </si>
  <si>
    <t xml:space="preserve">   » 2019-05-29 Standings &amp; Scores</t>
  </si>
  <si>
    <t>Thursday, May 30, 2019</t>
  </si>
  <si>
    <t>Cleveland Indians (4) @ Chicago White Sox (10)     Boxscore</t>
  </si>
  <si>
    <t>Arizona D'Backs (10) @ Colorado Rockies (11)     Boxscore</t>
  </si>
  <si>
    <t>New York Mets (0) @ Los Angeles Dodgers (2)     Boxscore</t>
  </si>
  <si>
    <t>San Francisco Giants (3) @ Miami Marlins (1)     Boxscore</t>
  </si>
  <si>
    <t>St. Louis Cardinals (5) @ Philadelphia Phillies (3)     Boxscore</t>
  </si>
  <si>
    <t>Milwaukee Brewers (11) @ Pittsburgh Pirates (5)     Boxscore</t>
  </si>
  <si>
    <t>Los Angeles Angels (9) @ Seattle Mariners (3)     Boxscore</t>
  </si>
  <si>
    <t>Minnesota Twins (3) @ Tampa Bay Rays (14)     Boxscore</t>
  </si>
  <si>
    <t>Kansas City Royals (4) @ Texas Rangers (2)     Boxscore</t>
  </si>
  <si>
    <t xml:space="preserve">   » 2019-05-30 Standings &amp; Scores</t>
  </si>
  <si>
    <t>Friday, May 31, 2019</t>
  </si>
  <si>
    <t>New York Mets (5) @ Arizona D'Backs (4)     Boxscore</t>
  </si>
  <si>
    <t>Detroit Tigers (8) @ Atlanta Braves (2)     Boxscore</t>
  </si>
  <si>
    <t>San Francisco Giants (6) @ Baltimore Orioles (9)     Boxscore</t>
  </si>
  <si>
    <t>Cleveland Indians (1) @ Chicago White Sox (6)     Boxscore</t>
  </si>
  <si>
    <t>Washington Nationals (3) @ Cincinnati Reds (9)     Boxscore</t>
  </si>
  <si>
    <t>Toronto Blue Jays (6) @ Colorado Rockies (13)     Boxscore</t>
  </si>
  <si>
    <t>Philadelphia Phillies (3) @ Los Angeles Dodgers (6)     Boxscore</t>
  </si>
  <si>
    <t>Boston Red Sox (1) @ New York Yankees (4)     Boxscore</t>
  </si>
  <si>
    <t>Houston Astros (3) @ Oakland Athletics (2)     Boxscore</t>
  </si>
  <si>
    <t>Milwaukee Brewers (4) @ Pittsburgh Pirates (9)     Boxscore</t>
  </si>
  <si>
    <t>Miami Marlins (2) @ San Diego Padres (5)     Boxscore</t>
  </si>
  <si>
    <t>Los Angeles Angels (3) @ Seattle Mariners (4)     Boxscore</t>
  </si>
  <si>
    <t>Chicago Cubs (1) @ St. Louis Cardinals (2)     Boxscore</t>
  </si>
  <si>
    <t>Minnesota Twins (5) @ Tampa Bay Rays (3)     Boxscore</t>
  </si>
  <si>
    <t>Kansas City Royals (2) @ Texas Rangers (6)     Boxscore</t>
  </si>
  <si>
    <t xml:space="preserve">   » 2019-05-31 Standings &amp; Scores</t>
  </si>
  <si>
    <t>Saturday, June 1, 2019</t>
  </si>
  <si>
    <t>New York Mets (5) @ Arizona D'Backs (6)     Boxscore</t>
  </si>
  <si>
    <t>Detroit Tigers (5) @ Atlanta Braves (10)     Boxscore</t>
  </si>
  <si>
    <t>San Francisco Giants (8) @ Baltimore Orioles (2)     Boxscore</t>
  </si>
  <si>
    <t>Cleveland Indians (5) @ Chicago White Sox (2)     Boxscore</t>
  </si>
  <si>
    <t>Washington Nationals (5) @ Cincinnati Reds (2)     Boxscore</t>
  </si>
  <si>
    <t>Toronto Blue Jays (2) @ Colorado Rockies (4)     Boxscore</t>
  </si>
  <si>
    <t>Philadelphia Phillies (3) @ Los Angeles Dodgers (4)     Boxscore</t>
  </si>
  <si>
    <t>Houston Astros (5) @ Oakland Athletics (1)     Boxscore</t>
  </si>
  <si>
    <t>Milwaukee Brewers (12) @ Pittsburgh Pirates (10)     Boxscore</t>
  </si>
  <si>
    <t>Miami Marlins (9) @ San Diego Padres (3)     Boxscore</t>
  </si>
  <si>
    <t>Los Angeles Angels (6) @ Seattle Mariners (3)     Boxscore</t>
  </si>
  <si>
    <t>Chicago Cubs (4) @ St. Louis Cardinals (7)     Boxscore</t>
  </si>
  <si>
    <t>Minnesota Twins (6) @ Tampa Bay Rays (2)     Boxscore</t>
  </si>
  <si>
    <t xml:space="preserve">   » 2019-06-01 Standings &amp; Scores</t>
  </si>
  <si>
    <t>Sunday, June 2, 2019</t>
  </si>
  <si>
    <t>New York Mets (1) @ Arizona D'Backs (7)     Boxscore</t>
  </si>
  <si>
    <t>Detroit Tigers (4) @ Atlanta Braves (7)     Boxscore</t>
  </si>
  <si>
    <t>San Francisco Giants (8) @ Baltimore Orioles (1)     Boxscore</t>
  </si>
  <si>
    <t>Cleveland Indians (0) @ Chicago White Sox (2)     Boxscore</t>
  </si>
  <si>
    <t>Washington Nationals (4) @ Cincinnati Reds (1)     Boxscore</t>
  </si>
  <si>
    <t>Toronto Blue Jays (1) @ Colorado Rockies (5)     Boxscore</t>
  </si>
  <si>
    <t>Philadelphia Phillies (0) @ Los Angeles Dodgers (8)     Boxscore</t>
  </si>
  <si>
    <t>Boston Red Sox (8) @ New York Yankees (5)     Boxscore</t>
  </si>
  <si>
    <t>Houston Astros (6) @ Oakland Athletics (4)     Boxscore</t>
  </si>
  <si>
    <t>Milwaukee Brewers (4) @ Pittsburgh Pirates (2)     Boxscore</t>
  </si>
  <si>
    <t>Los Angeles Angels (13) @ Seattle Mariners (3)     Boxscore</t>
  </si>
  <si>
    <t>Minnesota Twins (9) @ Tampa Bay Rays (7)     Boxscore</t>
  </si>
  <si>
    <t>Kansas City Royals (1) @ Texas Rangers (5)     Boxscore</t>
  </si>
  <si>
    <t xml:space="preserve">   » 2019-06-02 Standings &amp; Scores</t>
  </si>
  <si>
    <t>Monday, June 3, 2019</t>
  </si>
  <si>
    <t>Los Angeles Dodgers (3) @ Arizona D'Backs (1)     Boxscore</t>
  </si>
  <si>
    <t>Los Angeles Angels (1) @ Chicago Cubs (8)     Boxscore</t>
  </si>
  <si>
    <t>Philadelphia Phillies (2) @ San Diego Padres (8)     Boxscore</t>
  </si>
  <si>
    <t>Houston Astros (4) @ Seattle Mariners (2)     Boxscore</t>
  </si>
  <si>
    <t xml:space="preserve">   » 2019-06-03 Standings &amp; Scores</t>
  </si>
  <si>
    <t>Tuesday, June 4, 2019</t>
  </si>
  <si>
    <t>Oakland Athletics (4) @ Los Angeles Angels (2)     Boxscore</t>
  </si>
  <si>
    <t>Los Angeles Dodgers (9) @ Arizona D'Backs (0)     Boxscore</t>
  </si>
  <si>
    <t>Colorado Rockies (3) @ Chicago Cubs (6)     Boxscore</t>
  </si>
  <si>
    <t>Minnesota Twins (2) @ Cleveland Indians (5)     Boxscore</t>
  </si>
  <si>
    <t>Tampa Bay Rays (6) @ Detroit Tigers (9)     Boxscore</t>
  </si>
  <si>
    <t>Boston Red Sox (8) @ Kansas City Royals (3)     Boxscore</t>
  </si>
  <si>
    <t>Miami Marlins (16) @ Milwaukee Brewers (0)     Boxscore</t>
  </si>
  <si>
    <t>San Francisco Giants (9) @ New York Mets (3)     Boxscore</t>
  </si>
  <si>
    <t>Atlanta Braves (12) @ Pittsburgh Pirates (5)     Boxscore</t>
  </si>
  <si>
    <t>Philadelphia Phillies (9) @ San Diego Padres (6)     Boxscore</t>
  </si>
  <si>
    <t>Houston Astros (11) @ Seattle Mariners (5)     Boxscore</t>
  </si>
  <si>
    <t>Cincinnati Reds (4) @ St. Louis Cardinals (1)     Boxscore</t>
  </si>
  <si>
    <t>Baltimore Orioles (12) @ Texas Rangers (11)     Boxscore</t>
  </si>
  <si>
    <t>New York Yankees (3) @ Toronto Blue Jays (4)     Boxscore</t>
  </si>
  <si>
    <t>Chicago White Sox (5) @ Washington Nationals (9)     Boxscore</t>
  </si>
  <si>
    <t xml:space="preserve">   » 2019-06-04 Standings &amp; Scores</t>
  </si>
  <si>
    <t>Wednesday, June 5, 2019</t>
  </si>
  <si>
    <t>Oakland Athletics (9) @ Los Angeles Angels (10)     Boxscore</t>
  </si>
  <si>
    <t>Los Angeles Dodgers (2) @ Arizona D'Backs (3)     Boxscore</t>
  </si>
  <si>
    <t>Colorado Rockies (8) @ Chicago Cubs (9)     Boxscore</t>
  </si>
  <si>
    <t>Minnesota Twins (7) @ Cleveland Indians (9)     Boxscore</t>
  </si>
  <si>
    <t>Tampa Bay Rays (4) @ Detroit Tigers (0)     Boxscore</t>
  </si>
  <si>
    <t>Boston Red Sox (8) @ Kansas City Royals (0)     Boxscore</t>
  </si>
  <si>
    <t>Miami Marlins (8) @ Milwaukee Brewers (3)     Boxscore</t>
  </si>
  <si>
    <t>San Francisco Giants (0) @ New York Mets (7)     Boxscore</t>
  </si>
  <si>
    <t>Atlanta Braves (4) @ Pittsburgh Pirates (7)     Boxscore</t>
  </si>
  <si>
    <t>Philadelphia Phillies (7) @ San Diego Padres (5)     Boxscore</t>
  </si>
  <si>
    <t>Houston Astros (1) @ Seattle Mariners (14)     Boxscore</t>
  </si>
  <si>
    <t>Baltimore Orioles (1) @ Texas Rangers (2)     Boxscore</t>
  </si>
  <si>
    <t>New York Yankees (7) @ Toronto Blue Jays (11)     Boxscore</t>
  </si>
  <si>
    <t>Chicago White Sox (4) @ Washington Nationals (6)     Boxscore</t>
  </si>
  <si>
    <t xml:space="preserve">   » 2019-06-05 Standings &amp; Scores</t>
  </si>
  <si>
    <t>Thursday, June 6, 2019</t>
  </si>
  <si>
    <t>Oakland Athletics (7) @ Los Angeles Angels (4)     Boxscore</t>
  </si>
  <si>
    <t>Colorado Rockies (3) @ Chicago Cubs (1)     Boxscore</t>
  </si>
  <si>
    <t>Minnesota Twins (5) @ Cleveland Indians (4)     Boxscore</t>
  </si>
  <si>
    <t>Tampa Bay Rays (6) @ Detroit Tigers (1)     Boxscore</t>
  </si>
  <si>
    <t>Boston Red Sox (7) @ Kansas City Royals (5)     Boxscore</t>
  </si>
  <si>
    <t>Miami Marlins (1) @ Milwaukee Brewers (5)     Boxscore</t>
  </si>
  <si>
    <t>San Francisco Giants (3) @ New York Mets (7)     Boxscore</t>
  </si>
  <si>
    <t>Atlanta Braves (1) @ Pittsburgh Pirates (6)     Boxscore</t>
  </si>
  <si>
    <t>Washington Nationals (4) @ San Diego Padres (5)     Boxscore</t>
  </si>
  <si>
    <t>Houston Astros (8) @ Seattle Mariners (7)     Boxscore</t>
  </si>
  <si>
    <t>Cincinnati Reds (1) @ St. Louis Cardinals (3)     Boxscore</t>
  </si>
  <si>
    <t>Baltimore Orioles (3) @ Texas Rangers (4)     Boxscore</t>
  </si>
  <si>
    <t>New York Yankees (6) @ Toronto Blue Jays (2)     Boxscore</t>
  </si>
  <si>
    <t xml:space="preserve">   » 2019-06-06 Standings &amp; Scores</t>
  </si>
  <si>
    <t>Friday, June 7, 2019</t>
  </si>
  <si>
    <t>Seattle Mariners (6) @ Los Angeles Angels (2)     Boxscore</t>
  </si>
  <si>
    <t>Tampa Bay Rays (5) @ Boston Red Sox (1)     Boxscore</t>
  </si>
  <si>
    <t>St. Louis Cardinals (1) @ Chicago Cubs (3)     Boxscore</t>
  </si>
  <si>
    <t>New York Yankees (2) @ Cleveland Indians (5)     Boxscore</t>
  </si>
  <si>
    <t>Minnesota Twins (6) @ Detroit Tigers (3)     Boxscore</t>
  </si>
  <si>
    <t>Baltimore Orioles (3) @ Houston Astros (4)     Boxscore</t>
  </si>
  <si>
    <t>Chicago White Sox (4) @ Kansas City Royals (6)     Boxscore</t>
  </si>
  <si>
    <t>Atlanta Braves (7) @ Miami Marlins (1)     Boxscore</t>
  </si>
  <si>
    <t>Pittsburgh Pirates (4) @ Milwaukee Brewers (10)     Boxscore</t>
  </si>
  <si>
    <t>Colorado Rockies (5) @ New York Mets (1)     Boxscore</t>
  </si>
  <si>
    <t>Cincinnati Reds (2) @ Philadelphia Phillies (4)     Boxscore</t>
  </si>
  <si>
    <t>Oakland Athletics (5) @ Texas Rangers (3)     Boxscore</t>
  </si>
  <si>
    <t>Arizona D'Backs (8) @ Toronto Blue Jays (2)     Boxscore</t>
  </si>
  <si>
    <t xml:space="preserve">   » 2019-06-07 Standings &amp; Scores</t>
  </si>
  <si>
    <t>Saturday, June 8, 2019</t>
  </si>
  <si>
    <t>Seattle Mariners (3) @ Los Angeles Angels (12)     Boxscore</t>
  </si>
  <si>
    <t>Tampa Bay Rays (9) @ Boston Red Sox (2)     Boxscore</t>
  </si>
  <si>
    <t>Tampa Bay Rays (1) @ Boston Red Sox (5)     Boxscore</t>
  </si>
  <si>
    <t>St. Louis Cardinals (4) @ Chicago Cubs (9)     Boxscore</t>
  </si>
  <si>
    <t>New York Yankees (4) @ Cleveland Indians (8)     Boxscore</t>
  </si>
  <si>
    <t>Minnesota Twins (3) @ Detroit Tigers (9)     Boxscore</t>
  </si>
  <si>
    <t>Baltimore Orioles (4) @ Houston Astros (1)     Boxscore</t>
  </si>
  <si>
    <t>Chicago White Sox (2) @ Kansas City Royals (0)     Boxscore</t>
  </si>
  <si>
    <t>Atlanta Braves (1) @ Miami Marlins (0)     Boxscore</t>
  </si>
  <si>
    <t>Pittsburgh Pirates (3) @ Milwaukee Brewers (5)     Boxscore</t>
  </si>
  <si>
    <t>Colorado Rockies (3) @ New York Mets (5)     Boxscore</t>
  </si>
  <si>
    <t>Cincinnati Reds (1) @ Philadelphia Phillies (4)     Boxscore</t>
  </si>
  <si>
    <t>Washington Nationals (4) @ San Diego Padres (1)     Boxscore</t>
  </si>
  <si>
    <t>Los Angeles Dodgers (7) @ San Francisco Giants (2)     Boxscore</t>
  </si>
  <si>
    <t>Oakland Athletics (5) @ Texas Rangers (10)     Boxscore</t>
  </si>
  <si>
    <t>Oakland Athletics (1) @ Texas Rangers (3)     Boxscore</t>
  </si>
  <si>
    <t>Arizona D'Backs (6) @ Toronto Blue Jays (0)     Boxscore</t>
  </si>
  <si>
    <t xml:space="preserve">   » 2019-06-08 Standings &amp; Scores</t>
  </si>
  <si>
    <t>Sunday, June 9, 2019</t>
  </si>
  <si>
    <t>Seattle Mariners (9) @ Los Angeles Angels (3)     Boxscore</t>
  </si>
  <si>
    <t>Tampa Bay Rays (6) @ Boston Red Sox (1)     Boxscore</t>
  </si>
  <si>
    <t>St. Louis Cardinals (1) @ Chicago Cubs (5)     Boxscore</t>
  </si>
  <si>
    <t>New York Yankees (7) @ Cleveland Indians (6)     Boxscore</t>
  </si>
  <si>
    <t>Minnesota Twins (12) @ Detroit Tigers (2)     Boxscore</t>
  </si>
  <si>
    <t>Baltimore Orioles (0) @ Houston Astros (4)     Boxscore</t>
  </si>
  <si>
    <t>Chicago White Sox (5) @ Kansas City Royals (2)     Boxscore</t>
  </si>
  <si>
    <t>Atlanta Braves (7) @ Miami Marlins (6)     Boxscore</t>
  </si>
  <si>
    <t>Pittsburgh Pirates (2) @ Milwaukee Brewers (5)     Boxscore</t>
  </si>
  <si>
    <t>Colorado Rockies (1) @ New York Mets (6)     Boxscore</t>
  </si>
  <si>
    <t>Cincinnati Reds (4) @ Philadelphia Phillies (3)     Boxscore</t>
  </si>
  <si>
    <t>Washington Nationals (5) @ San Diego Padres (2)     Boxscore</t>
  </si>
  <si>
    <t>Los Angeles Dodgers (1) @ San Francisco Giants (0)     Boxscore</t>
  </si>
  <si>
    <t>Oakland Athletics (9) @ Texas Rangers (8)     Boxscore</t>
  </si>
  <si>
    <t xml:space="preserve">   » 2019-06-09 Standings &amp; Scores</t>
  </si>
  <si>
    <t>Monday, June 10, 2019</t>
  </si>
  <si>
    <t>Los Angeles Dodgers (3) @ Los Angeles Angels (5)     Boxscore</t>
  </si>
  <si>
    <t>Pittsburgh Pirates (7) @ Atlanta Braves (13)     Boxscore</t>
  </si>
  <si>
    <t>Texas Rangers (4) @ Boston Red Sox (3)     Boxscore</t>
  </si>
  <si>
    <t>Washington Nationals (12) @ Chicago White Sox (1)     Boxscore</t>
  </si>
  <si>
    <t>Chicago Cubs (5) @ Colorado Rockies (6)     Boxscore</t>
  </si>
  <si>
    <t>St. Louis Cardinals (4) @ Miami Marlins (1)     Boxscore</t>
  </si>
  <si>
    <t>Arizona D'Backs (13) @ Philadelphia Phillies (8)     Boxscore</t>
  </si>
  <si>
    <t>Oakland Athletics (2) @ Tampa Bay Rays (6)     Boxscore</t>
  </si>
  <si>
    <t xml:space="preserve">   » 2019-06-10 Standings &amp; Scores</t>
  </si>
  <si>
    <t>Tuesday, June 11, 2019</t>
  </si>
  <si>
    <t>Pittsburgh Pirates (5) @ Atlanta Braves (7)     Boxscore</t>
  </si>
  <si>
    <t>Toronto Blue Jays (2) @ Baltimore Orioles (4)     Boxscore</t>
  </si>
  <si>
    <t>Texas Rangers (9) @ Boston Red Sox (5)     Boxscore</t>
  </si>
  <si>
    <t>Washington Nationals (5) @ Chicago White Sox (7)     Boxscore</t>
  </si>
  <si>
    <t>Cincinnati Reds (1) @ Cleveland Indians (2)     Boxscore</t>
  </si>
  <si>
    <t>Chicago Cubs (3) @ Colorado Rockies (10)     Boxscore</t>
  </si>
  <si>
    <t>Milwaukee Brewers (8) @ Houston Astros (10)     Boxscore</t>
  </si>
  <si>
    <t>Detroit Tigers (2) @ Kansas City Royals (3)     Boxscore</t>
  </si>
  <si>
    <t>St. Louis Cardinals (7) @ Miami Marlins (1)     Boxscore</t>
  </si>
  <si>
    <t>Seattle Mariners (5) @ Minnesota Twins (6)     Boxscore</t>
  </si>
  <si>
    <t>New York Mets (5) @ New York Yankees (12)     Boxscore</t>
  </si>
  <si>
    <t>New York Mets (10) @ New York Yankees (4)     Boxscore</t>
  </si>
  <si>
    <t>Arizona D'Backs (4) @ Philadelphia Phillies (7)     Boxscore</t>
  </si>
  <si>
    <t>San Diego Padres (5) @ San Francisco Giants (6)     Boxscore</t>
  </si>
  <si>
    <t>Oakland Athletics (4) @ Tampa Bay Rays (3)     Boxscore</t>
  </si>
  <si>
    <t xml:space="preserve">   » 2019-06-11 Standings &amp; Scores</t>
  </si>
  <si>
    <t>Wednesday, June 12, 2019</t>
  </si>
  <si>
    <t>Pittsburgh Pirates (7) @ Atlanta Braves (8)     Boxscore</t>
  </si>
  <si>
    <t>Toronto Blue Jays (8) @ Baltimore Orioles (6)     Boxscore</t>
  </si>
  <si>
    <t>Texas Rangers (3) @ Boston Red Sox (4)     Boxscore</t>
  </si>
  <si>
    <t>Cincinnati Reds (7) @ Cleveland Indians (2)     Boxscore</t>
  </si>
  <si>
    <t>Chicago Cubs (10) @ Colorado Rockies (1)     Boxscore</t>
  </si>
  <si>
    <t>Milwaukee Brewers (6) @ Houston Astros (3)     Boxscore</t>
  </si>
  <si>
    <t>Detroit Tigers (3) @ Kansas City Royals (2)     Boxscore</t>
  </si>
  <si>
    <t>St. Louis Cardinals (0) @ Miami Marlins (9)     Boxscore</t>
  </si>
  <si>
    <t>Seattle Mariners (9) @ Minnesota Twins (6)     Boxscore</t>
  </si>
  <si>
    <t>Arizona D'Backs (2) @ Philadelphia Phillies (0)     Boxscore</t>
  </si>
  <si>
    <t>San Diego Padres (2) @ San Francisco Giants (4)     Boxscore</t>
  </si>
  <si>
    <t>Oakland Athletics (6) @ Tampa Bay Rays (2)     Boxscore</t>
  </si>
  <si>
    <t xml:space="preserve">   » 2019-06-12 Standings &amp; Scores</t>
  </si>
  <si>
    <t>Thursday, June 13, 2019</t>
  </si>
  <si>
    <t>Pittsburgh Pirates (5) @ Atlanta Braves (6)     Boxscore</t>
  </si>
  <si>
    <t>Toronto Blue Jays (12) @ Baltimore Orioles (3)     Boxscore</t>
  </si>
  <si>
    <t>Texas Rangers (6) @ Boston Red Sox (7)     Boxscore</t>
  </si>
  <si>
    <t>New York Yankees (4) @ Chicago White Sox (5)     Boxscore</t>
  </si>
  <si>
    <t>San Diego Padres (6) @ Colorado Rockies (9)     Boxscore</t>
  </si>
  <si>
    <t>Detroit Tigers (3) @ Kansas City Royals (7)     Boxscore</t>
  </si>
  <si>
    <t>Chicago Cubs (3) @ Los Angeles Dodgers (7)     Boxscore</t>
  </si>
  <si>
    <t>Seattle Mariners (5) @ Minnesota Twins (10)     Boxscore</t>
  </si>
  <si>
    <t>St. Louis Cardinals (5) @ New York Mets (4)     Boxscore</t>
  </si>
  <si>
    <t>Los Angeles Angels (5) @ Tampa Bay Rays (3)     Boxscore</t>
  </si>
  <si>
    <t>Arizona D'Backs (5) @ Washington Nationals (0)     Boxscore</t>
  </si>
  <si>
    <t xml:space="preserve">   » 2019-06-13 Standings &amp; Scores</t>
  </si>
  <si>
    <t>Friday, June 14, 2019</t>
  </si>
  <si>
    <t>Philadelphia Phillies (8) @ Atlanta Braves (9)     Boxscore</t>
  </si>
  <si>
    <t>Boston Red Sox (13) @ Baltimore Orioles (2)     Boxscore</t>
  </si>
  <si>
    <t>New York Yankees (2) @ Chicago White Sox (10)     Boxscore</t>
  </si>
  <si>
    <t>Texas Rangers (7) @ Cincinnati Reds (1)     Boxscore</t>
  </si>
  <si>
    <t>San Diego Padres (16) @ Colorado Rockies (12)     Boxscore</t>
  </si>
  <si>
    <t>Cleveland Indians (13) @ Detroit Tigers (4)     Boxscore</t>
  </si>
  <si>
    <t>Toronto Blue Jays (2) @ Houston Astros (15)     Boxscore</t>
  </si>
  <si>
    <t>Chicago Cubs (3) @ Los Angeles Dodgers (5)     Boxscore</t>
  </si>
  <si>
    <t>Pittsburgh Pirates (11) @ Miami Marlins (0)     Boxscore</t>
  </si>
  <si>
    <t>Kansas City Royals (0) @ Minnesota Twins (2)     Boxscore</t>
  </si>
  <si>
    <t>St. Louis Cardinals (9) @ New York Mets (5)     Boxscore</t>
  </si>
  <si>
    <t>Seattle Mariners (9) @ Oakland Athletics (2)     Boxscore</t>
  </si>
  <si>
    <t>Milwaukee Brewers (3) @ San Francisco Giants (5)     Boxscore</t>
  </si>
  <si>
    <t>Los Angeles Angels (4) @ Tampa Bay Rays (9)     Boxscore</t>
  </si>
  <si>
    <t>Arizona D'Backs (3) @ Washington Nationals (7)     Boxscore</t>
  </si>
  <si>
    <t xml:space="preserve">   » 2019-06-14 Standings &amp; Scores</t>
  </si>
  <si>
    <t>Saturday, June 15, 2019</t>
  </si>
  <si>
    <t>Philadelphia Phillies (6) @ Atlanta Braves (5)     Boxscore</t>
  </si>
  <si>
    <t>Boston Red Sox (7) @ Baltimore Orioles (2)     Boxscore</t>
  </si>
  <si>
    <t>New York Yankees (8) @ Chicago White Sox (4)     Boxscore</t>
  </si>
  <si>
    <t>Texas Rangers (4) @ Cincinnati Reds (3)     Boxscore</t>
  </si>
  <si>
    <t>San Diego Padres (8) @ Colorado Rockies (14)     Boxscore</t>
  </si>
  <si>
    <t>Cleveland Indians (4) @ Detroit Tigers (2)     Boxscore</t>
  </si>
  <si>
    <t>Toronto Blue Jays (2) @ Houston Astros (7)     Boxscore</t>
  </si>
  <si>
    <t>Chicago Cubs (2) @ Los Angeles Dodgers (1)     Boxscore</t>
  </si>
  <si>
    <t>Pittsburgh Pirates (3) @ Miami Marlins (4)     Boxscore</t>
  </si>
  <si>
    <t>Kansas City Royals (4) @ Minnesota Twins (5)     Boxscore</t>
  </si>
  <si>
    <t>St. Louis Cardinals (7) @ New York Mets (8)     Boxscore</t>
  </si>
  <si>
    <t>Seattle Mariners (2) @ Oakland Athletics (11)     Boxscore</t>
  </si>
  <si>
    <t>Milwaukee Brewers (7) @ San Francisco Giants (8)     Boxscore</t>
  </si>
  <si>
    <t>Arizona D'Backs (10) @ Washington Nationals (3)     Boxscore</t>
  </si>
  <si>
    <t xml:space="preserve">   » 2019-06-15 Standings &amp; Scores</t>
  </si>
  <si>
    <t>Sunday, June 16, 2019</t>
  </si>
  <si>
    <t>Philadelphia Phillies (1) @ Atlanta Braves (15)     Boxscore</t>
  </si>
  <si>
    <t>Boston Red Sox (8) @ Baltimore Orioles (6)     Boxscore</t>
  </si>
  <si>
    <t>New York Yankees (10) @ Chicago White Sox (3)     Boxscore</t>
  </si>
  <si>
    <t>Texas Rangers (3) @ Cincinnati Reds (11)     Boxscore</t>
  </si>
  <si>
    <t>San Diego Padres (14) @ Colorado Rockies (13)     Boxscore</t>
  </si>
  <si>
    <t>Cleveland Indians (8) @ Detroit Tigers (0)     Boxscore</t>
  </si>
  <si>
    <t>Toronto Blue Jays (12) @ Houston Astros (0)     Boxscore</t>
  </si>
  <si>
    <t>Chicago Cubs (2) @ Los Angeles Dodgers (3)     Boxscore</t>
  </si>
  <si>
    <t>Pittsburgh Pirates (5) @ Miami Marlins (4)     Boxscore</t>
  </si>
  <si>
    <t>Kansas City Royals (8) @ Minnesota Twins (6)     Boxscore</t>
  </si>
  <si>
    <t>St. Louis Cardinals (4) @ New York Mets (3)     Boxscore</t>
  </si>
  <si>
    <t>Seattle Mariners (6) @ Oakland Athletics (3)     Boxscore</t>
  </si>
  <si>
    <t>Milwaukee Brewers (5) @ San Francisco Giants (3)     Boxscore</t>
  </si>
  <si>
    <t>Los Angeles Angels (5) @ Tampa Bay Rays (6)     Boxscore</t>
  </si>
  <si>
    <t>Arizona D'Backs (5) @ Washington Nationals (15)     Boxscore</t>
  </si>
  <si>
    <t xml:space="preserve">   » 2019-06-16 Standings &amp; Scores</t>
  </si>
  <si>
    <t>Monday, June 17, 2019</t>
  </si>
  <si>
    <t>New York Mets (3) @ Atlanta Braves (12)     Boxscore</t>
  </si>
  <si>
    <t>Houston Astros (2) @ Cincinnati Reds (3)     Boxscore</t>
  </si>
  <si>
    <t>San Francisco Giants (3) @ Los Angeles Dodgers (2)     Boxscore</t>
  </si>
  <si>
    <t>Boston Red Sox (2) @ Minnesota Twins (0)     Boxscore</t>
  </si>
  <si>
    <t>Tampa Bay Rays (0) @ New York Yankees (3)     Boxscore</t>
  </si>
  <si>
    <t>Baltimore Orioles (2) @ Oakland Athletics (3)     Boxscore</t>
  </si>
  <si>
    <t>Milwaukee Brewers (0) @ San Diego Padres (2)     Boxscore</t>
  </si>
  <si>
    <t>Kansas City Royals (6) @ Seattle Mariners (4)     Boxscore</t>
  </si>
  <si>
    <t>Miami Marlins (0) @ St. Louis Cardinals (5)     Boxscore</t>
  </si>
  <si>
    <t>Cleveland Indians (2) @ Texas Rangers (7)     Boxscore</t>
  </si>
  <si>
    <t>Los Angeles Angels (10) @ Toronto Blue Jays (5)     Boxscore</t>
  </si>
  <si>
    <t xml:space="preserve">   » 2019-06-17 Standings &amp; Scores</t>
  </si>
  <si>
    <t>Tuesday, June 18, 2019</t>
  </si>
  <si>
    <t>Colorado Rockies (8) @ Arizona D'Backs (1)     Boxscore</t>
  </si>
  <si>
    <t>New York Mets (10) @ Atlanta Braves (2)     Boxscore</t>
  </si>
  <si>
    <t>Chicago White Sox (3) @ Chicago Cubs (1)     Boxscore</t>
  </si>
  <si>
    <t>Houston Astros (3) @ Cincinnati Reds (4)     Boxscore</t>
  </si>
  <si>
    <t>San Francisco Giants (0) @ Los Angeles Dodgers (9)     Boxscore</t>
  </si>
  <si>
    <t>Boston Red Sox (3) @ Minnesota Twins (4)     Boxscore</t>
  </si>
  <si>
    <t>Tampa Bay Rays (3) @ New York Yankees (6)     Boxscore</t>
  </si>
  <si>
    <t>Baltimore Orioles (2) @ Oakland Athletics (16)     Boxscore</t>
  </si>
  <si>
    <t>Detroit Tigers (5) @ Pittsburgh Pirates (4)     Boxscore</t>
  </si>
  <si>
    <t>Milwaukee Brewers (1) @ San Diego Padres (4)     Boxscore</t>
  </si>
  <si>
    <t>Kansas City Royals (9) @ Seattle Mariners (0)     Boxscore</t>
  </si>
  <si>
    <t>Miami Marlins (6) @ St. Louis Cardinals (0)     Boxscore</t>
  </si>
  <si>
    <t>Cleveland Indians (10) @ Texas Rangers (3)     Boxscore</t>
  </si>
  <si>
    <t>Los Angeles Angels (3) @ Toronto Blue Jays (1)     Boxscore</t>
  </si>
  <si>
    <t xml:space="preserve">   » 2019-06-18 Standings &amp; Scores</t>
  </si>
  <si>
    <t>Wednesday, June 19, 2019</t>
  </si>
  <si>
    <t>Colorado Rockies (6) @ Arizona D'Backs (4)     Boxscore</t>
  </si>
  <si>
    <t>New York Mets (2) @ Atlanta Braves (7)     Boxscore</t>
  </si>
  <si>
    <t>Chicago White Sox (3) @ Chicago Cubs (7)     Boxscore</t>
  </si>
  <si>
    <t>San Francisco Giants (2) @ Los Angeles Dodgers (9)     Boxscore</t>
  </si>
  <si>
    <t>Boston Red Sox (9) @ Minnesota Twins (4)     Boxscore</t>
  </si>
  <si>
    <t>Tampa Bay Rays (1) @ New York Yankees (12)     Boxscore</t>
  </si>
  <si>
    <t>Baltimore Orioles (3) @ Oakland Athletics (8)     Boxscore</t>
  </si>
  <si>
    <t>Detroit Tigers (7) @ Pittsburgh Pirates (8)     Boxscore</t>
  </si>
  <si>
    <t>Milwaukee Brewers (7) @ San Diego Padres (8)     Boxscore</t>
  </si>
  <si>
    <t>Kansas City Royals (2) @ Seattle Mariners (8)     Boxscore</t>
  </si>
  <si>
    <t>Miami Marlins (1) @ St. Louis Cardinals (2)     Boxscore</t>
  </si>
  <si>
    <t>Cleveland Indians (10) @ Texas Rangers (4)     Boxscore</t>
  </si>
  <si>
    <t>Los Angeles Angels (11) @ Toronto Blue Jays (6)     Boxscore</t>
  </si>
  <si>
    <t>Philadelphia Phillies (2) @ Washington Nationals (6)     Boxscore</t>
  </si>
  <si>
    <t>Philadelphia Phillies (0) @ Washington Nationals (2)     Boxscore</t>
  </si>
  <si>
    <t xml:space="preserve">   » 2019-06-19 Standings &amp; Scores</t>
  </si>
  <si>
    <t>Thursday, June 20, 2019</t>
  </si>
  <si>
    <t>New York Mets (4) @ Chicago Cubs (7)     Boxscore</t>
  </si>
  <si>
    <t>Minnesota Twins (1) @ Kansas City Royals (4)     Boxscore</t>
  </si>
  <si>
    <t>San Francisco Giants (8) @ Los Angeles Dodgers (9)     Boxscore</t>
  </si>
  <si>
    <t>Cincinnati Reds (7) @ Milwaukee Brewers (1)     Boxscore</t>
  </si>
  <si>
    <t>Houston Astros (6) @ New York Yankees (10)     Boxscore</t>
  </si>
  <si>
    <t>Tampa Bay Rays (4) @ Oakland Athletics (5)     Boxscore</t>
  </si>
  <si>
    <t>Baltimore Orioles (2) @ Seattle Mariners (5)     Boxscore</t>
  </si>
  <si>
    <t>Miami Marlins (7) @ St. Louis Cardinals (6)     Boxscore</t>
  </si>
  <si>
    <t>Cleveland Indians (2) @ Texas Rangers (4)     Boxscore</t>
  </si>
  <si>
    <t>Los Angeles Angels (5) @ Toronto Blue Jays (7)     Boxscore</t>
  </si>
  <si>
    <t>Philadelphia Phillies (4) @ Washington Nationals (7)     Boxscore</t>
  </si>
  <si>
    <t xml:space="preserve">   » 2019-06-20 Standings &amp; Scores</t>
  </si>
  <si>
    <t>Friday, June 21, 2019</t>
  </si>
  <si>
    <t>San Francisco Giants (11) @ Arizona D'Backs (5)     Boxscore</t>
  </si>
  <si>
    <t>Toronto Blue Jays (5) @ Boston Red Sox (7)     Boxscore</t>
  </si>
  <si>
    <t>New York Mets (5) @ Chicago Cubs (4)     Boxscore</t>
  </si>
  <si>
    <t>Detroit Tigers (6) @ Cleveland Indians (7)     Boxscore</t>
  </si>
  <si>
    <t>Minnesota Twins (8) @ Kansas City Royals (7)     Boxscore</t>
  </si>
  <si>
    <t>Colorado Rockies (2) @ Los Angeles Dodgers (4)     Boxscore</t>
  </si>
  <si>
    <t>Cincinnati Reds (11) @ Milwaukee Brewers (7)     Boxscore</t>
  </si>
  <si>
    <t>Houston Astros (1) @ New York Yankees (4)     Boxscore</t>
  </si>
  <si>
    <t>Tampa Bay Rays (5) @ Oakland Athletics (3)     Boxscore</t>
  </si>
  <si>
    <t>Miami Marlins (2) @ Philadelphia Phillies (1)     Boxscore</t>
  </si>
  <si>
    <t>San Diego Padres (1) @ Pittsburgh Pirates (2)     Boxscore</t>
  </si>
  <si>
    <t>Baltimore Orioles (9) @ Seattle Mariners (10)     Boxscore</t>
  </si>
  <si>
    <t>Los Angeles Angels (1) @ St. Louis Cardinals (5)     Boxscore</t>
  </si>
  <si>
    <t>Chicago White Sox (5) @ Texas Rangers (4)     Boxscore</t>
  </si>
  <si>
    <t>Atlanta Braves (3) @ Washington Nationals (4)     Boxscore</t>
  </si>
  <si>
    <t xml:space="preserve">   » 2019-06-21 Standings &amp; Scores</t>
  </si>
  <si>
    <t>Saturday, June 22, 2019</t>
  </si>
  <si>
    <t>San Francisco Giants (7) @ Arizona D'Backs (4)     Boxscore</t>
  </si>
  <si>
    <t>Toronto Blue Jays (8) @ Boston Red Sox (7)     Boxscore</t>
  </si>
  <si>
    <t>New York Mets (10) @ Chicago Cubs (2)     Boxscore</t>
  </si>
  <si>
    <t>Detroit Tigers (0) @ Cleveland Indians (2)     Boxscore</t>
  </si>
  <si>
    <t>Minnesota Twins (5) @ Kansas City Royals (3)     Boxscore</t>
  </si>
  <si>
    <t>Colorado Rockies (4) @ Los Angeles Dodgers (5)     Boxscore</t>
  </si>
  <si>
    <t>Cincinnati Reds (5) @ Milwaukee Brewers (6)     Boxscore</t>
  </si>
  <si>
    <t>Houston Astros (5) @ New York Yankees (7)     Boxscore</t>
  </si>
  <si>
    <t>Tampa Bay Rays (2) @ Oakland Athletics (4)     Boxscore</t>
  </si>
  <si>
    <t>Miami Marlins (5) @ Philadelphia Phillies (3)     Boxscore</t>
  </si>
  <si>
    <t>San Diego Padres (3) @ Pittsburgh Pirates (6)     Boxscore</t>
  </si>
  <si>
    <t>Baltimore Orioles (8) @ Seattle Mariners (4)     Boxscore</t>
  </si>
  <si>
    <t>Los Angeles Angels (2) @ St. Louis Cardinals (4)     Boxscore</t>
  </si>
  <si>
    <t>Chicago White Sox (5) @ Texas Rangers (6)     Boxscore</t>
  </si>
  <si>
    <t>Atlanta Braves (13) @ Washington Nationals (9)     Boxscore</t>
  </si>
  <si>
    <t xml:space="preserve">   » 2019-06-22 Standings &amp; Scores</t>
  </si>
  <si>
    <t>Sunday, June 23, 2019</t>
  </si>
  <si>
    <t>San Francisco Giants (2) @ Arizona D'Backs (3)     Boxscore</t>
  </si>
  <si>
    <t>Toronto Blue Jays (6) @ Boston Red Sox (1)     Boxscore</t>
  </si>
  <si>
    <t>New York Mets (3) @ Chicago Cubs (5)     Boxscore</t>
  </si>
  <si>
    <t>Detroit Tigers (3) @ Cleveland Indians (8)     Boxscore</t>
  </si>
  <si>
    <t>Minnesota Twins (1) @ Kansas City Royals (6)     Boxscore</t>
  </si>
  <si>
    <t>Colorado Rockies (3) @ Los Angeles Dodgers (6)     Boxscore</t>
  </si>
  <si>
    <t>Cincinnati Reds (5) @ Milwaukee Brewers (7)     Boxscore</t>
  </si>
  <si>
    <t>Houston Astros (9) @ New York Yankees (4)     Boxscore</t>
  </si>
  <si>
    <t>Tampa Bay Rays (8) @ Oakland Athletics (2)     Boxscore</t>
  </si>
  <si>
    <t>Miami Marlins (6) @ Philadelphia Phillies (4)     Boxscore</t>
  </si>
  <si>
    <t>San Diego Padres (10) @ Pittsburgh Pirates (11)     Boxscore</t>
  </si>
  <si>
    <t>Baltimore Orioles (3) @ Seattle Mariners (13)     Boxscore</t>
  </si>
  <si>
    <t>Los Angeles Angels (6) @ St. Louis Cardinals (4)     Boxscore</t>
  </si>
  <si>
    <t>Chicago White Sox (4) @ Texas Rangers (7)     Boxscore</t>
  </si>
  <si>
    <t>Atlanta Braves (4) @ Washington Nationals (3)     Boxscore</t>
  </si>
  <si>
    <t xml:space="preserve">   » 2019-06-23 Standings &amp; Scores</t>
  </si>
  <si>
    <t>Monday, June 24, 2019</t>
  </si>
  <si>
    <t>Los Angeles Dodgers (5) @ Arizona D'Backs (8)     Boxscore</t>
  </si>
  <si>
    <t>Chicago White Sox (5) @ Boston Red Sox (6)     Boxscore</t>
  </si>
  <si>
    <t>Atlanta Braves (3) @ Chicago Cubs (8)     Boxscore</t>
  </si>
  <si>
    <t>Kansas City Royals (2) @ Cleveland Indians (3)     Boxscore</t>
  </si>
  <si>
    <t>Toronto Blue Jays (8) @ New York Yankees (10)     Boxscore</t>
  </si>
  <si>
    <t>New York Mets (7) @ Philadelphia Phillies (13)     Boxscore</t>
  </si>
  <si>
    <t>Colorado Rockies (2) @ San Francisco Giants (0)     Boxscore</t>
  </si>
  <si>
    <t xml:space="preserve">   » 2019-06-24 Standings &amp; Scores</t>
  </si>
  <si>
    <t>Tuesday, June 25, 2019</t>
  </si>
  <si>
    <t>Cincinnati Reds (1) @ Los Angeles Angels (5)     Boxscore</t>
  </si>
  <si>
    <t>Los Angeles Dodgers (3) @ Arizona D'Backs (2)     Boxscore</t>
  </si>
  <si>
    <t>San Diego Padres (8) @ Baltimore Orioles (3)     Boxscore</t>
  </si>
  <si>
    <t>Chicago White Sox (3) @ Boston Red Sox (6)     Boxscore</t>
  </si>
  <si>
    <t>Atlanta Braves (3) @ Chicago Cubs (2)     Boxscore</t>
  </si>
  <si>
    <t>Kansas City Royals (8) @ Cleveland Indians (6)     Boxscore</t>
  </si>
  <si>
    <t>Texas Rangers (5) @ Detroit Tigers (3)     Boxscore</t>
  </si>
  <si>
    <t>Pittsburgh Pirates (1) @ Houston Astros (5)     Boxscore</t>
  </si>
  <si>
    <t>Washington Nationals (6) @ Miami Marlins (1)     Boxscore</t>
  </si>
  <si>
    <t>Seattle Mariners (8) @ Milwaukee Brewers (3)     Boxscore</t>
  </si>
  <si>
    <t>Tampa Bay Rays (4) @ Minnesota Twins (9)     Boxscore</t>
  </si>
  <si>
    <t>Toronto Blue Jays (3) @ New York Yankees (4)     Boxscore</t>
  </si>
  <si>
    <t>New York Mets (5) @ Philadelphia Phillies (7)     Boxscore</t>
  </si>
  <si>
    <t>Colorado Rockies (2) @ San Francisco Giants (4)     Boxscore</t>
  </si>
  <si>
    <t>Oakland Athletics (7) @ St. Louis Cardinals (3)     Boxscore</t>
  </si>
  <si>
    <t xml:space="preserve">   » 2019-06-25 Standings &amp; Scores</t>
  </si>
  <si>
    <t>Wednesday, June 26, 2019</t>
  </si>
  <si>
    <t>Los Angeles Dodgers (2) @ Arizona D'Backs (8)     Boxscore</t>
  </si>
  <si>
    <t>San Diego Padres (10) @ Baltimore Orioles (5)     Boxscore</t>
  </si>
  <si>
    <t>Chicago White Sox (8) @ Boston Red Sox (7)     Boxscore</t>
  </si>
  <si>
    <t>Atlanta Braves (5) @ Chicago Cubs (3)     Boxscore</t>
  </si>
  <si>
    <t>Kansas City Royals (3) @ Cleveland Indians (5)     Boxscore</t>
  </si>
  <si>
    <t>Texas Rangers (4) @ Detroit Tigers (1)     Boxscore</t>
  </si>
  <si>
    <t>Pittsburgh Pirates (14) @ Houston Astros (2)     Boxscore</t>
  </si>
  <si>
    <t>Washington Nationals (7) @ Miami Marlins (5)     Boxscore</t>
  </si>
  <si>
    <t>Seattle Mariners (4) @ Milwaukee Brewers (2)     Boxscore</t>
  </si>
  <si>
    <t>Tampa Bay Rays (4) @ Minnesota Twins (6)     Boxscore</t>
  </si>
  <si>
    <t>Toronto Blue Jays (7) @ New York Yankees (8)     Boxscore</t>
  </si>
  <si>
    <t>New York Mets (4) @ Philadelphia Phillies (5)     Boxscore</t>
  </si>
  <si>
    <t>Colorado Rockies (6) @ San Francisco Giants (3)     Boxscore</t>
  </si>
  <si>
    <t>Oakland Athletics (2) @ St. Louis Cardinals (0)     Boxscore</t>
  </si>
  <si>
    <t xml:space="preserve">   » 2019-06-26 Standings &amp; Scores</t>
  </si>
  <si>
    <t>Thursday, June 27, 2019</t>
  </si>
  <si>
    <t>Oakland Athletics (3) @ Los Angeles Angels (8)     Boxscore</t>
  </si>
  <si>
    <t>Atlanta Braves (7) @ Chicago Cubs (9)     Boxscore</t>
  </si>
  <si>
    <t>Los Angeles Dodgers (12) @ Colorado Rockies (8)     Boxscore</t>
  </si>
  <si>
    <t>Texas Rangers (3) @ Detroit Tigers (1)     Boxscore</t>
  </si>
  <si>
    <t>Pittsburgh Pirates (10) @ Houston Astros (0)     Boxscore</t>
  </si>
  <si>
    <t>Washington Nationals (8) @ Miami Marlins (5)     Boxscore</t>
  </si>
  <si>
    <t>Seattle Mariners (2) @ Milwaukee Brewers (4)     Boxscore</t>
  </si>
  <si>
    <t>Tampa Bay Rays (5) @ Minnesota Twins (2)     Boxscore</t>
  </si>
  <si>
    <t>New York Mets (3) @ Philadelphia Phillies (6)     Boxscore</t>
  </si>
  <si>
    <t>Arizona D'Backs (5) @ San Francisco Giants (1)     Boxscore</t>
  </si>
  <si>
    <t xml:space="preserve">   » 2019-06-27 Standings &amp; Scores</t>
  </si>
  <si>
    <t>Friday, June 28, 2019</t>
  </si>
  <si>
    <t>Oakland Athletics (7) @ Los Angeles Angels (2)     Boxscore</t>
  </si>
  <si>
    <t>Cleveland Indians (0) @ Baltimore Orioles (13)     Boxscore</t>
  </si>
  <si>
    <t>Minnesota Twins (4) @ Chicago White Sox (6)     Boxscore</t>
  </si>
  <si>
    <t>Chicago Cubs (3) @ Cincinnati Reds (6)     Boxscore</t>
  </si>
  <si>
    <t>Los Angeles Dodgers (9) @ Colorado Rockies (13)     Boxscore</t>
  </si>
  <si>
    <t>Washington Nationals (3) @ Detroit Tigers (1)     Boxscore</t>
  </si>
  <si>
    <t>Seattle Mariners (1) @ Houston Astros (2)     Boxscore</t>
  </si>
  <si>
    <t>Philadelphia Phillies (2) @ Miami Marlins (6)     Boxscore</t>
  </si>
  <si>
    <t>Pittsburgh Pirates (3) @ Milwaukee Brewers (2)     Boxscore</t>
  </si>
  <si>
    <t>Atlanta Braves (6) @ New York Mets (2)     Boxscore</t>
  </si>
  <si>
    <t>St. Louis Cardinals (1) @ San Diego Padres (3)     Boxscore</t>
  </si>
  <si>
    <t>Arizona D'Backs (3) @ San Francisco Giants (6)     Boxscore</t>
  </si>
  <si>
    <t>Texas Rangers (5) @ Tampa Bay Rays (0)     Boxscore</t>
  </si>
  <si>
    <t>Kansas City Royals (2) @ Toronto Blue Jays (6)     Boxscore</t>
  </si>
  <si>
    <t xml:space="preserve">   » 2019-06-28 Standings &amp; Scores</t>
  </si>
  <si>
    <t>Saturday, June 29, 2019</t>
  </si>
  <si>
    <t>Oakland Athletics (4) @ Los Angeles Angels (0)     Boxscore</t>
  </si>
  <si>
    <t>New York Yankees (17) @ Boston Red Sox (13)     Boxscore</t>
  </si>
  <si>
    <t>Minnesota Twins (10) @ Chicago White Sox (3)     Boxscore</t>
  </si>
  <si>
    <t>Chicago Cubs (6) @ Cincinnati Reds (0)     Boxscore</t>
  </si>
  <si>
    <t>Los Angeles Dodgers (3) @ Colorado Rockies (5)     Boxscore</t>
  </si>
  <si>
    <t>Washington Nationals (5) @ Detroit Tigers (7)     Boxscore</t>
  </si>
  <si>
    <t>Seattle Mariners (5) @ Houston Astros (6)     Boxscore</t>
  </si>
  <si>
    <t>Philadelphia Phillies (6) @ Miami Marlins (9)     Boxscore</t>
  </si>
  <si>
    <t>Pittsburgh Pirates (1) @ Milwaukee Brewers (3)     Boxscore</t>
  </si>
  <si>
    <t>Atlanta Braves (5) @ New York Mets (4)     Boxscore</t>
  </si>
  <si>
    <t>St. Louis Cardinals (2) @ San Diego Padres (12)     Boxscore</t>
  </si>
  <si>
    <t>Arizona D'Backs (4) @ San Francisco Giants (3)     Boxscore</t>
  </si>
  <si>
    <t>Texas Rangers (2) @ Tampa Bay Rays (5)     Boxscore</t>
  </si>
  <si>
    <t>Kansas City Royals (5) @ Toronto Blue Jays (7)     Boxscore</t>
  </si>
  <si>
    <t xml:space="preserve">   » 2019-06-29 Standings &amp; Scores</t>
  </si>
  <si>
    <t>Sunday, June 30, 2019</t>
  </si>
  <si>
    <t>Oakland Athletics (12) @ Los Angeles Angels (3)     Boxscore</t>
  </si>
  <si>
    <t>Cleveland Indians (2) @ Baltimore Orioles (0)     Boxscore</t>
  </si>
  <si>
    <t>New York Yankees (12) @ Boston Red Sox (8)     Boxscore</t>
  </si>
  <si>
    <t>Minnesota Twins (3) @ Chicago White Sox (4)     Boxscore</t>
  </si>
  <si>
    <t>Chicago Cubs (6) @ Cincinnati Reds (8)     Boxscore</t>
  </si>
  <si>
    <t>Los Angeles Dodgers (10) @ Colorado Rockies (5)     Boxscore</t>
  </si>
  <si>
    <t>Washington Nationals (2) @ Detroit Tigers (1)     Boxscore</t>
  </si>
  <si>
    <t>Seattle Mariners (1) @ Houston Astros (6)     Boxscore</t>
  </si>
  <si>
    <t>Philadelphia Phillies (13) @ Miami Marlins (6)     Boxscore</t>
  </si>
  <si>
    <t>Pittsburgh Pirates (1) @ Milwaukee Brewers (2)     Boxscore</t>
  </si>
  <si>
    <t>Atlanta Braves (5) @ New York Mets (8)     Boxscore</t>
  </si>
  <si>
    <t>St. Louis Cardinals (5) @ San Diego Padres (3)     Boxscore</t>
  </si>
  <si>
    <t>Arizona D'Backs (4) @ San Francisco Giants (10)     Boxscore</t>
  </si>
  <si>
    <t>Texas Rangers (2) @ Tampa Bay Rays (6)     Boxscore</t>
  </si>
  <si>
    <t>Kansas City Royals (7) @ Toronto Blue Jays (6)     Boxscore</t>
  </si>
  <si>
    <t xml:space="preserve">   » 2019-06-30 Standings &amp; Scores</t>
  </si>
  <si>
    <t>Monday, July 1, 2019</t>
  </si>
  <si>
    <t>Milwaukee Brewers (8) @ Cincinnati Reds (6)     Boxscore</t>
  </si>
  <si>
    <t>Chicago Cubs (5) @ Pittsburgh Pirates (18)     Boxscore</t>
  </si>
  <si>
    <t>San Francisco Giants (13) @ San Diego Padres (2)     Boxscore</t>
  </si>
  <si>
    <t>Baltimore Orioles (3) @ Tampa Bay Rays (6)     Boxscore</t>
  </si>
  <si>
    <t>Kansas City Royals (4) @ Toronto Blue Jays (11)     Boxscore</t>
  </si>
  <si>
    <t xml:space="preserve">   » 2019-07-01 Standings &amp; Scores</t>
  </si>
  <si>
    <t>Tuesday, July 2, 2019</t>
  </si>
  <si>
    <t>Philadelphia Phillies (2) @ Atlanta Braves (0)     Boxscore</t>
  </si>
  <si>
    <t>Milwaukee Brewers (4) @ Cincinnati Reds (5)     Boxscore</t>
  </si>
  <si>
    <t>Houston Astros (9) @ Colorado Rockies (8)     Boxscore</t>
  </si>
  <si>
    <t>Cleveland Indians (9) @ Kansas City Royals (5)     Boxscore</t>
  </si>
  <si>
    <t>Arizona D'Backs (4) @ Los Angeles Dodgers (5)     Boxscore</t>
  </si>
  <si>
    <t>New York Yankees (2) @ New York Mets (4)     Boxscore</t>
  </si>
  <si>
    <t>Minnesota Twins (6) @ Oakland Athletics (8)     Boxscore</t>
  </si>
  <si>
    <t>Chicago Cubs (1) @ Pittsburgh Pirates (5)     Boxscore</t>
  </si>
  <si>
    <t>San Francisco Giants (10) @ San Diego Padres (4)     Boxscore</t>
  </si>
  <si>
    <t>St. Louis Cardinals (4) @ Seattle Mariners (5)     Boxscore</t>
  </si>
  <si>
    <t>Los Angeles Angels (9) @ Texas Rangers (4)     Boxscore</t>
  </si>
  <si>
    <t>Boston Red Sox (10) @ Toronto Blue Jays (6)     Boxscore</t>
  </si>
  <si>
    <t>Miami Marlins (2) @ Washington Nationals (3)     Boxscore</t>
  </si>
  <si>
    <t xml:space="preserve">   » 2019-07-02 Standings &amp; Scores</t>
  </si>
  <si>
    <t>Wednesday, July 3, 2019</t>
  </si>
  <si>
    <t>Philadelphia Phillies (2) @ Atlanta Braves (9)     Boxscore</t>
  </si>
  <si>
    <t>Detroit Tigers (5) @ Chicago White Sox (7)     Boxscore</t>
  </si>
  <si>
    <t>Detroit Tigers (6) @ Chicago White Sox (9)     Boxscore</t>
  </si>
  <si>
    <t>Milwaukee Brewers (0) @ Cincinnati Reds (3)     Boxscore</t>
  </si>
  <si>
    <t>Houston Astros (4) @ Colorado Rockies (2)     Boxscore</t>
  </si>
  <si>
    <t>Cleveland Indians (4) @ Kansas City Royals (0)     Boxscore</t>
  </si>
  <si>
    <t>New York Yankees (5) @ New York Mets (1)     Boxscore</t>
  </si>
  <si>
    <t>Minnesota Twins (4) @ Oakland Athletics (3)     Boxscore</t>
  </si>
  <si>
    <t>Chicago Cubs (5) @ Pittsburgh Pirates (6)     Boxscore</t>
  </si>
  <si>
    <t>San Francisco Giants (7) @ San Diego Padres (5)     Boxscore</t>
  </si>
  <si>
    <t>St. Louis Cardinals (5) @ Seattle Mariners (2)     Boxscore</t>
  </si>
  <si>
    <t>Baltimore Orioles (9) @ Tampa Bay Rays (6)     Boxscore</t>
  </si>
  <si>
    <t>Los Angeles Angels (6) @ Texas Rangers (2)     Boxscore</t>
  </si>
  <si>
    <t>Boston Red Sox (3) @ Toronto Blue Jays (6)     Boxscore</t>
  </si>
  <si>
    <t>Miami Marlins (1) @ Washington Nationals (3)     Boxscore</t>
  </si>
  <si>
    <t xml:space="preserve">   » 2019-07-03 Standings &amp; Scores</t>
  </si>
  <si>
    <t>Thursday, July 4, 2019</t>
  </si>
  <si>
    <t>Philadelphia Phillies (6) @ Atlanta Braves (12)     Boxscore</t>
  </si>
  <si>
    <t>Detroit Tigers (11) @ Chicago White Sox (5)     Boxscore</t>
  </si>
  <si>
    <t>Milwaukee Brewers (0) @ Cincinnati Reds (1)     Boxscore</t>
  </si>
  <si>
    <t>Cleveland Indians (8) @ Kansas City Royals (4)     Boxscore</t>
  </si>
  <si>
    <t>San Diego Padres (1) @ Los Angeles Dodgers (5)     Boxscore</t>
  </si>
  <si>
    <t>Minnesota Twins (2) @ Oakland Athletics (7)     Boxscore</t>
  </si>
  <si>
    <t>Chicago Cubs (11) @ Pittsburgh Pirates (3)     Boxscore</t>
  </si>
  <si>
    <t>St. Louis Cardinals (5) @ Seattle Mariners (4)     Boxscore</t>
  </si>
  <si>
    <t>New York Yankees (8) @ Tampa Bay Rays (4)     Boxscore</t>
  </si>
  <si>
    <t>Los Angeles Angels (3) @ Texas Rangers (9)     Boxscore</t>
  </si>
  <si>
    <t>Boston Red Sox (8) @ Toronto Blue Jays (7)     Boxscore</t>
  </si>
  <si>
    <t>Miami Marlins (2) @ Washington Nationals (5)     Boxscore</t>
  </si>
  <si>
    <t xml:space="preserve">   » 2019-07-04 Standings &amp; Scores</t>
  </si>
  <si>
    <t>Friday, July 5, 2019</t>
  </si>
  <si>
    <t>Colorado Rockies (0) @ Arizona D'Backs (8)     Boxscore</t>
  </si>
  <si>
    <t>Miami Marlins (0) @ Atlanta Braves (1)     Boxscore</t>
  </si>
  <si>
    <t>Boston Red Sox (9) @ Detroit Tigers (6)     Boxscore</t>
  </si>
  <si>
    <t>Los Angeles Angels (5) @ Houston Astros (4)     Boxscore</t>
  </si>
  <si>
    <t>San Diego Padres (3) @ Los Angeles Dodgers (2)     Boxscore</t>
  </si>
  <si>
    <t>Texas Rangers (6) @ Minnesota Twins (15)     Boxscore</t>
  </si>
  <si>
    <t>Philadelphia Phillies (7) @ New York Mets (2)     Boxscore</t>
  </si>
  <si>
    <t>Milwaukee Brewers (7) @ Pittsburgh Pirates (6)     Boxscore</t>
  </si>
  <si>
    <t>Oakland Athletics (5) @ Seattle Mariners (2)     Boxscore</t>
  </si>
  <si>
    <t>St. Louis Cardinals (9) @ San Francisco Giants (4)     Boxscore</t>
  </si>
  <si>
    <t>Baltimore Orioles (4) @ Toronto Blue Jays (1)     Boxscore</t>
  </si>
  <si>
    <t>Kansas City Royals (7) @ Washington Nationals (4)     Boxscore</t>
  </si>
  <si>
    <t xml:space="preserve">   » 2019-07-05 Standings &amp; Scores</t>
  </si>
  <si>
    <t>Saturday, July 6, 2019</t>
  </si>
  <si>
    <t>Colorado Rockies (2) @ Arizona D'Backs (4)     Boxscore</t>
  </si>
  <si>
    <t>Miami Marlins (5) @ Atlanta Braves (4)     Boxscore</t>
  </si>
  <si>
    <t>Chicago Cubs (6) @ Chicago White Sox (3)     Boxscore</t>
  </si>
  <si>
    <t>Cleveland Indians (7) @ Cincinnati Reds (2)     Boxscore</t>
  </si>
  <si>
    <t>Boston Red Sox (10) @ Detroit Tigers (6)     Boxscore</t>
  </si>
  <si>
    <t>Los Angeles Angels (0) @ Houston Astros (4)     Boxscore</t>
  </si>
  <si>
    <t>San Diego Padres (3) @ Los Angeles Dodgers (1)     Boxscore</t>
  </si>
  <si>
    <t>Texas Rangers (4) @ Minnesota Twins (7)     Boxscore</t>
  </si>
  <si>
    <t>Philadelphia Phillies (5) @ New York Mets (6)     Boxscore</t>
  </si>
  <si>
    <t>Milwaukee Brewers (2) @ Pittsburgh Pirates (12)     Boxscore</t>
  </si>
  <si>
    <t>Oakland Athletics (3) @ Seattle Mariners (6)     Boxscore</t>
  </si>
  <si>
    <t>St. Louis Cardinals (4) @ San Francisco Giants (8)     Boxscore</t>
  </si>
  <si>
    <t>New York Yankees (3) @ Tampa Bay Rays (4)     Boxscore</t>
  </si>
  <si>
    <t>Baltimore Orioles (8) @ Toronto Blue Jays (1)     Boxscore</t>
  </si>
  <si>
    <t>Kansas City Royals (0) @ Washington Nationals (6)     Boxscore</t>
  </si>
  <si>
    <t xml:space="preserve">   » 2019-07-06 Standings &amp; Scores</t>
  </si>
  <si>
    <t>Sunday, July 7, 2019</t>
  </si>
  <si>
    <t>Colorado Rockies (3) @ Arizona D'Backs (5)     Boxscore</t>
  </si>
  <si>
    <t>Chicago Cubs (1) @ Chicago White Sox (3)     Boxscore</t>
  </si>
  <si>
    <t>Cleveland Indians (11) @ Cincinnati Reds (1)     Boxscore</t>
  </si>
  <si>
    <t>Boston Red Sox (6) @ Detroit Tigers (3)     Boxscore</t>
  </si>
  <si>
    <t>Los Angeles Angels (10) @ Houston Astros (11)     Boxscore</t>
  </si>
  <si>
    <t>San Diego Padres (5) @ Los Angeles Dodgers (3)     Boxscore</t>
  </si>
  <si>
    <t>Texas Rangers (4) @ Minnesota Twins (1)     Boxscore</t>
  </si>
  <si>
    <t>Philadelphia Phillies (8) @ New York Mets (3)     Boxscore</t>
  </si>
  <si>
    <t>Milwaukee Brewers (5) @ Pittsburgh Pirates (6)     Boxscore</t>
  </si>
  <si>
    <t>Oakland Athletics (7) @ Seattle Mariners (4)     Boxscore</t>
  </si>
  <si>
    <t>St. Louis Cardinals (0) @ San Francisco Giants (1)     Boxscore</t>
  </si>
  <si>
    <t>New York Yankees (1) @ Tampa Bay Rays (2)     Boxscore</t>
  </si>
  <si>
    <t>Baltimore Orioles (1) @ Toronto Blue Jays (6)     Boxscore</t>
  </si>
  <si>
    <t>Kansas City Royals (2) @ Washington Nationals (5)     Boxscore</t>
  </si>
  <si>
    <t xml:space="preserve">   » 2019-07-07 Standings &amp; Scores</t>
  </si>
  <si>
    <t>Thursday, July 11, 2019</t>
  </si>
  <si>
    <t>Houston Astros (0) @ Texas Rangers (5)     Boxscore</t>
  </si>
  <si>
    <t xml:space="preserve">   » 2019-07-11 Standings &amp; Scores</t>
  </si>
  <si>
    <t>Friday, July 12, 2019</t>
  </si>
  <si>
    <t>Seattle Mariners (0) @ Los Angeles Angels (13)     Boxscore</t>
  </si>
  <si>
    <t>Tampa Bay Rays (16) @ Baltimore Orioles (4)     Boxscore</t>
  </si>
  <si>
    <t>Los Angeles Dodgers (1) @ Boston Red Sox (8)     Boxscore</t>
  </si>
  <si>
    <t>Pittsburgh Pirates (3) @ Chicago Cubs (4)     Boxscore</t>
  </si>
  <si>
    <t>Minnesota Twins (5) @ Cleveland Indians (3)     Boxscore</t>
  </si>
  <si>
    <t>Cincinnati Reds (2) @ Colorado Rockies (3)     Boxscore</t>
  </si>
  <si>
    <t>Detroit Tigers (5) @ Kansas City Royals (8)     Boxscore</t>
  </si>
  <si>
    <t>New York Mets (4) @ Miami Marlins (8)     Boxscore</t>
  </si>
  <si>
    <t>San Francisco Giants (10) @ Milwaukee Brewers (7)     Boxscore</t>
  </si>
  <si>
    <t>Toronto Blue Jays (0) @ New York Yankees (4)     Boxscore</t>
  </si>
  <si>
    <t>Chicago White Sox (1) @ Oakland Athletics (5)     Boxscore</t>
  </si>
  <si>
    <t>Washington Nationals (4) @ Philadelphia Phillies (0)     Boxscore</t>
  </si>
  <si>
    <t>Atlanta Braves (5) @ San Diego Padres (3)     Boxscore</t>
  </si>
  <si>
    <t>Arizona D'Backs (4) @ St. Louis Cardinals (2)     Boxscore</t>
  </si>
  <si>
    <t>Houston Astros (8) @ Texas Rangers (9)     Boxscore</t>
  </si>
  <si>
    <t xml:space="preserve">   » 2019-07-12 Standings &amp; Scores</t>
  </si>
  <si>
    <t>Saturday, July 13, 2019</t>
  </si>
  <si>
    <t>Seattle Mariners (2) @ Los Angeles Angels (9)     Boxscore</t>
  </si>
  <si>
    <t>Tampa Bay Rays (1) @ Baltimore Orioles (2)     Boxscore</t>
  </si>
  <si>
    <t>Tampa Bay Rays (12) @ Baltimore Orioles (4)     Boxscore</t>
  </si>
  <si>
    <t>Los Angeles Dodgers (11) @ Boston Red Sox (2)     Boxscore</t>
  </si>
  <si>
    <t>Pittsburgh Pirates (4) @ Chicago Cubs (10)     Boxscore</t>
  </si>
  <si>
    <t>Minnesota Twins (6) @ Cleveland Indians (2)     Boxscore</t>
  </si>
  <si>
    <t>Cincinnati Reds (17) @ Colorado Rockies (9)     Boxscore</t>
  </si>
  <si>
    <t>Detroit Tigers (1) @ Kansas City Royals (4)     Boxscore</t>
  </si>
  <si>
    <t>New York Mets (4) @ Miami Marlins (2)     Boxscore</t>
  </si>
  <si>
    <t>San Francisco Giants (4) @ Milwaukee Brewers (5)     Boxscore</t>
  </si>
  <si>
    <t>Toronto Blue Jays (2) @ New York Yankees (1)     Boxscore</t>
  </si>
  <si>
    <t>Chicago White Sox (2) @ Oakland Athletics (13)     Boxscore</t>
  </si>
  <si>
    <t>Washington Nationals (4) @ Philadelphia Phillies (3)     Boxscore</t>
  </si>
  <si>
    <t>Atlanta Braves (7) @ San Diego Padres (5)     Boxscore</t>
  </si>
  <si>
    <t>Arizona D'Backs (2) @ St. Louis Cardinals (4)     Boxscore</t>
  </si>
  <si>
    <t>Houston Astros (7) @ Texas Rangers (6)     Boxscore</t>
  </si>
  <si>
    <t xml:space="preserve">   » 2019-07-13 Standings &amp; Scores</t>
  </si>
  <si>
    <t>Sunday, July 14, 2019</t>
  </si>
  <si>
    <t>Seattle Mariners (3) @ Los Angeles Angels (6)     Boxscore</t>
  </si>
  <si>
    <t>Tampa Bay Rays (4) @ Baltimore Orioles (1)     Boxscore</t>
  </si>
  <si>
    <t>Los Angeles Dodgers (7) @ Boston Red Sox (4)     Boxscore</t>
  </si>
  <si>
    <t>Pittsburgh Pirates (3) @ Chicago Cubs (8)     Boxscore</t>
  </si>
  <si>
    <t>Minnesota Twins (3) @ Cleveland Indians (4)     Boxscore</t>
  </si>
  <si>
    <t>Cincinnati Reds (9) @ Colorado Rockies (10)     Boxscore</t>
  </si>
  <si>
    <t>Detroit Tigers (12) @ Kansas City Royals (8)     Boxscore</t>
  </si>
  <si>
    <t>New York Mets (6) @ Miami Marlins (2)     Boxscore</t>
  </si>
  <si>
    <t>San Francisco Giants (8) @ Milwaukee Brewers (3)     Boxscore</t>
  </si>
  <si>
    <t>Toronto Blue Jays (2) @ New York Yankees (4)     Boxscore</t>
  </si>
  <si>
    <t>Chicago White Sox (2) @ Oakland Athletics (3)     Boxscore</t>
  </si>
  <si>
    <t>Atlanta Braves (4) @ San Diego Padres (1)     Boxscore</t>
  </si>
  <si>
    <t>Arizona D'Backs (2) @ St. Louis Cardinals (5)     Boxscore</t>
  </si>
  <si>
    <t>Houston Astros (12) @ Texas Rangers (4)     Boxscore</t>
  </si>
  <si>
    <t xml:space="preserve">   » 2019-07-14 Standings &amp; Scores</t>
  </si>
  <si>
    <t>Monday, July 15, 2019</t>
  </si>
  <si>
    <t>Houston Astros (6) @ Los Angeles Angels (9)     Boxscore</t>
  </si>
  <si>
    <t>Toronto Blue Jays (8) @ Boston Red Sox (10)     Boxscore</t>
  </si>
  <si>
    <t>Cincinnati Reds (6) @ Chicago Cubs (3)     Boxscore</t>
  </si>
  <si>
    <t>Detroit Tigers (6) @ Cleveland Indians (8)     Boxscore</t>
  </si>
  <si>
    <t>San Francisco Giants (19) @ Colorado Rockies (2)     Boxscore</t>
  </si>
  <si>
    <t>San Francisco Giants (2) @ Colorado Rockies (1)     Boxscore</t>
  </si>
  <si>
    <t>Chicago White Sox (2) @ Kansas City Royals (5)     Boxscore</t>
  </si>
  <si>
    <t>Atlanta Braves (4) @ Milwaukee Brewers (2)     Boxscore</t>
  </si>
  <si>
    <t>Tampa Bay Rays (5) @ New York Yankees (4)     Boxscore</t>
  </si>
  <si>
    <t>Los Angeles Dodgers (16) @ Philadelphia Phillies (2)     Boxscore</t>
  </si>
  <si>
    <t>Pittsburgh Pirates (0) @ St. Louis Cardinals (7)     Boxscore</t>
  </si>
  <si>
    <t xml:space="preserve">   » 2019-07-15 Standings &amp; Scores</t>
  </si>
  <si>
    <t>Tuesday, July 16, 2019</t>
  </si>
  <si>
    <t>Houston Astros (2) @ Los Angeles Angels (7)     Boxscore</t>
  </si>
  <si>
    <t>Washington Nationals (8) @ Baltimore Orioles (1)     Boxscore</t>
  </si>
  <si>
    <t>Toronto Blue Jays (10) @ Boston Red Sox (4)     Boxscore</t>
  </si>
  <si>
    <t>Cincinnati Reds (3) @ Chicago Cubs (4)     Boxscore</t>
  </si>
  <si>
    <t>Detroit Tigers (0) @ Cleveland Indians (8)     Boxscore</t>
  </si>
  <si>
    <t>San Francisco Giants (8) @ Colorado Rockies (4)     Boxscore</t>
  </si>
  <si>
    <t>Chicago White Sox (0) @ Kansas City Royals (11)     Boxscore</t>
  </si>
  <si>
    <t>San Diego Padres (7) @ Miami Marlins (12)     Boxscore</t>
  </si>
  <si>
    <t>Atlanta Braves (1) @ Milwaukee Brewers (13)     Boxscore</t>
  </si>
  <si>
    <t>New York Mets (3) @ Minnesota Twins (2)     Boxscore</t>
  </si>
  <si>
    <t>Tampa Bay Rays (3) @ New York Yankees (8)     Boxscore</t>
  </si>
  <si>
    <t>Seattle Mariners (2) @ Oakland Athletics (9)     Boxscore</t>
  </si>
  <si>
    <t>Los Angeles Dodgers (8) @ Philadelphia Phillies (9)     Boxscore</t>
  </si>
  <si>
    <t>Pittsburgh Pirates (3) @ St. Louis Cardinals (1)     Boxscore</t>
  </si>
  <si>
    <t>Arizona D'Backs (9) @ Texas Rangers (2)     Boxscore</t>
  </si>
  <si>
    <t xml:space="preserve">   » 2019-07-16 Standings &amp; Scores</t>
  </si>
  <si>
    <t>Wednesday, July 17, 2019</t>
  </si>
  <si>
    <t>Houston Astros (11) @ Los Angeles Angels (2)     Boxscore</t>
  </si>
  <si>
    <t>Washington Nationals (2) @ Baltimore Orioles (9)     Boxscore</t>
  </si>
  <si>
    <t>Toronto Blue Jays (4) @ Boston Red Sox (5)     Boxscore</t>
  </si>
  <si>
    <t>Cincinnati Reds (2) @ Chicago Cubs (5)     Boxscore</t>
  </si>
  <si>
    <t>Detroit Tigers (2) @ Cleveland Indians (7)     Boxscore</t>
  </si>
  <si>
    <t>San Francisco Giants (11) @ Colorado Rockies (8)     Boxscore</t>
  </si>
  <si>
    <t>Chicago White Sox (5) @ Kansas City Royals (7)     Boxscore</t>
  </si>
  <si>
    <t>San Diego Padres (3) @ Miami Marlins (2)     Boxscore</t>
  </si>
  <si>
    <t>Atlanta Braves (4) @ Milwaukee Brewers (5)     Boxscore</t>
  </si>
  <si>
    <t>New York Mets (14) @ Minnesota Twins (4)     Boxscore</t>
  </si>
  <si>
    <t>Seattle Mariners (2) @ Oakland Athletics (10)     Boxscore</t>
  </si>
  <si>
    <t>Los Angeles Dodgers (7) @ Philadelphia Phillies (2)     Boxscore</t>
  </si>
  <si>
    <t>Pittsburgh Pirates (5) @ St. Louis Cardinals (6)     Boxscore</t>
  </si>
  <si>
    <t>Arizona D'Backs (19) @ Texas Rangers (4)     Boxscore</t>
  </si>
  <si>
    <t xml:space="preserve">   » 2019-07-17 Standings &amp; Scores</t>
  </si>
  <si>
    <t>Today's Games</t>
  </si>
  <si>
    <t>Friday, July 19, 2019</t>
  </si>
  <si>
    <t>Saturday, July 20, 2019</t>
  </si>
  <si>
    <t>Sunday, July 21, 2019</t>
  </si>
  <si>
    <t>Monday, July 22, 2019</t>
  </si>
  <si>
    <t>Tuesday, July 23, 2019</t>
  </si>
  <si>
    <t>Wednesday, July 24, 2019</t>
  </si>
  <si>
    <t>Thursday, July 25, 2019</t>
  </si>
  <si>
    <t>Saturday, July 27, 2019</t>
  </si>
  <si>
    <t>Sunday, July 28, 2019</t>
  </si>
  <si>
    <t>Monday, July 29, 2019</t>
  </si>
  <si>
    <t>Tuesday, July 30, 2019</t>
  </si>
  <si>
    <t>Thursday, August 1, 2019</t>
  </si>
  <si>
    <t>Saturday, August 3, 2019</t>
  </si>
  <si>
    <t>Sunday, August 4, 2019</t>
  </si>
  <si>
    <t>Tuesday, August 6, 2019</t>
  </si>
  <si>
    <t>Friday, August 9, 2019</t>
  </si>
  <si>
    <t>Saturday, August 10, 2019</t>
  </si>
  <si>
    <t>Sunday, August 11, 2019</t>
  </si>
  <si>
    <t>Monday, August 12, 2019</t>
  </si>
  <si>
    <t>Tuesday, August 13, 2019</t>
  </si>
  <si>
    <t>Wednesday, August 14, 2019</t>
  </si>
  <si>
    <t>Thursday, August 15, 2019</t>
  </si>
  <si>
    <t>Friday, August 16, 2019</t>
  </si>
  <si>
    <t>Saturday, August 17, 2019</t>
  </si>
  <si>
    <t>Sunday, August 18, 2019</t>
  </si>
  <si>
    <t>Monday, August 19, 2019</t>
  </si>
  <si>
    <t>Tuesday, August 20, 2019</t>
  </si>
  <si>
    <t>Wednesday, August 21, 2019</t>
  </si>
  <si>
    <t>Thursday, August 22, 2019</t>
  </si>
  <si>
    <t>Friday, August 23, 2019</t>
  </si>
  <si>
    <t>Saturday, August 24, 2019</t>
  </si>
  <si>
    <t>Sunday, August 25, 2019</t>
  </si>
  <si>
    <t>Thursday, August 29, 2019</t>
  </si>
  <si>
    <t>Friday, August 30, 2019</t>
  </si>
  <si>
    <t>Saturday, August 31, 2019</t>
  </si>
  <si>
    <t>Sunday, September 1, 2019</t>
  </si>
  <si>
    <t>Monday, September 2, 2019</t>
  </si>
  <si>
    <t>Tuesday, September 3, 2019</t>
  </si>
  <si>
    <t>Wednesday, September 4, 2019</t>
  </si>
  <si>
    <t>Thursday, September 5, 2019</t>
  </si>
  <si>
    <t>Friday, September 6, 2019</t>
  </si>
  <si>
    <t>Saturday, September 7, 2019</t>
  </si>
  <si>
    <t>Sunday, September 8, 2019</t>
  </si>
  <si>
    <t>Monday, September 9, 2019</t>
  </si>
  <si>
    <t>Wednesday, September 11, 2019</t>
  </si>
  <si>
    <t>Thursday, September 12, 2019</t>
  </si>
  <si>
    <t>Saturday, September 14, 2019</t>
  </si>
  <si>
    <t>Sunday, September 15, 2019</t>
  </si>
  <si>
    <t>Tuesday, September 17, 2019</t>
  </si>
  <si>
    <t>Wednesday, September 18, 2019</t>
  </si>
  <si>
    <t>Thursday, September 19, 2019</t>
  </si>
  <si>
    <t>Friday, September 20, 2019</t>
  </si>
  <si>
    <t>Saturday, September 21, 2019</t>
  </si>
  <si>
    <t>Sunday, September 22, 2019</t>
  </si>
  <si>
    <t>Monday, September 23, 2019</t>
  </si>
  <si>
    <t>Tuesday, September 24, 2019</t>
  </si>
  <si>
    <t>Wednesday, September 25, 2019</t>
  </si>
  <si>
    <t>Thursday, September 26, 2019</t>
  </si>
  <si>
    <t>Friday, September 27, 2019</t>
  </si>
  <si>
    <t>Saturday, September 28, 2019</t>
  </si>
  <si>
    <t>Sunday, September 29, 2019</t>
  </si>
  <si>
    <t>Cincinnati Reds</t>
  </si>
  <si>
    <t>Home</t>
  </si>
  <si>
    <t>Away</t>
  </si>
  <si>
    <t>Monday</t>
  </si>
  <si>
    <t>Tuesday</t>
  </si>
  <si>
    <t>Wednesday</t>
  </si>
  <si>
    <t>Thursday</t>
  </si>
  <si>
    <t>Friday</t>
  </si>
  <si>
    <t>Saturday</t>
  </si>
  <si>
    <t>Sunday</t>
  </si>
  <si>
    <t>stop</t>
  </si>
  <si>
    <t>Pittsburgh Pirates</t>
  </si>
  <si>
    <t>Chicago White Sox</t>
  </si>
  <si>
    <t>Arizona D'Backs</t>
  </si>
  <si>
    <t>Colorado Rockies</t>
  </si>
  <si>
    <t>St. Louis Cardinals</t>
  </si>
  <si>
    <t>Cleveland Indians</t>
  </si>
  <si>
    <t>Baltimore Orioles</t>
  </si>
  <si>
    <t>Los Angeles Angels</t>
  </si>
  <si>
    <t>Atlanta Braves</t>
  </si>
  <si>
    <t>San Francisco Giants</t>
  </si>
  <si>
    <t>Boston Red Sox</t>
  </si>
  <si>
    <t>Houston Astros</t>
  </si>
  <si>
    <t>Chicago Cubs</t>
  </si>
  <si>
    <t>Detroit Tigers</t>
  </si>
  <si>
    <t>New York Mets</t>
  </si>
  <si>
    <t>Milwaukee Brewers</t>
  </si>
  <si>
    <t>Minnesota Twins</t>
  </si>
  <si>
    <t>Philadelphia Phillies</t>
  </si>
  <si>
    <t>Texas Rangers</t>
  </si>
  <si>
    <t>New York Yankees</t>
  </si>
  <si>
    <t>Toronto Blue Jays</t>
  </si>
  <si>
    <t>Kansas City Royals</t>
  </si>
  <si>
    <t>Washington Nationals</t>
  </si>
  <si>
    <t>Miami Marlins</t>
  </si>
  <si>
    <t>Seattle Mariners</t>
  </si>
  <si>
    <t>Los Angeles Dodgers</t>
  </si>
  <si>
    <t>Oakland Athletics</t>
  </si>
  <si>
    <t>Tampa Bay Rays</t>
  </si>
  <si>
    <t>San Diego Padres</t>
  </si>
  <si>
    <t>teams</t>
  </si>
  <si>
    <t>Home Ave</t>
  </si>
  <si>
    <t>Away Ave</t>
  </si>
  <si>
    <t>Home Std.</t>
  </si>
  <si>
    <t>Away Std Dev</t>
  </si>
  <si>
    <t>Average Runs For</t>
  </si>
  <si>
    <t>A</t>
  </si>
  <si>
    <t>Games</t>
  </si>
  <si>
    <t>Matchups</t>
  </si>
  <si>
    <t>Std. Dev</t>
  </si>
  <si>
    <t>Ave.</t>
  </si>
  <si>
    <t>Head/Head Runs</t>
  </si>
  <si>
    <t>Nationals @ Braves</t>
  </si>
  <si>
    <t>Athletics @ Twins</t>
  </si>
  <si>
    <t>Cardinals @ Reds</t>
  </si>
  <si>
    <t>Brewers @ Diamondbacks</t>
  </si>
  <si>
    <t>Mets @ Giants</t>
  </si>
  <si>
    <t>Barria, Jaime</t>
  </si>
  <si>
    <t>Barria</t>
  </si>
  <si>
    <t>+255</t>
  </si>
  <si>
    <t>Thursday, July 18, 2019</t>
  </si>
  <si>
    <t>Houston Astros (6) @ Los Angeles Angels (2)     Boxscore</t>
  </si>
  <si>
    <t>Milwaukee Brewers (5) @ Arizona D'Backs (1)     Boxscore</t>
  </si>
  <si>
    <t>Washington Nationals (13) @ Atlanta Braves (4)     Boxscore</t>
  </si>
  <si>
    <t>Toronto Blue Jays (0) @ Boston Red Sox (5)     Boxscore</t>
  </si>
  <si>
    <t>St. Louis Cardinals (7) @ Cincinnati Reds (4)     Boxscore</t>
  </si>
  <si>
    <t>Detroit Tigers (3) @ Cleveland Indians (6)     Boxscore</t>
  </si>
  <si>
    <t>Chicago White Sox (5) @ Kansas City Royals (6)     Boxscore</t>
  </si>
  <si>
    <t>San Diego Padres (3) @ Miami Marlins (4)     Boxscore</t>
  </si>
  <si>
    <t>Oakland Athletics (3) @ Minnesota Twins (6)     Boxscore</t>
  </si>
  <si>
    <t>Tampa Bay Rays (2) @ New York Yankees (6)     Boxscore</t>
  </si>
  <si>
    <t>Tampa Bay Rays (1) @ New York Yankees (5)     Boxscore</t>
  </si>
  <si>
    <t>Los Angeles Dodgers (6) @ Philadelphia Phillies (7)     Boxscore</t>
  </si>
  <si>
    <t>New York Mets (2) @ San Francisco Giants (3)     Boxscore</t>
  </si>
  <si>
    <t xml:space="preserve">   » 2019-07-18 Standings &amp; Scores</t>
  </si>
  <si>
    <t>Milwaukee Brewers (7) @ Arizona D'Backs (10)     Boxscore</t>
  </si>
  <si>
    <t>Washington Nationals (3) @ Atlanta Braves (4)     Boxscore</t>
  </si>
  <si>
    <t>Boston Red Sox (2) @ Baltimore Orioles (11)     Boxscore</t>
  </si>
  <si>
    <t>San Diego Padres (5) @ Chicago Cubs (6)     Boxscore</t>
  </si>
  <si>
    <t>St. Louis Cardinals (12) @ Cincinnati Reds (11)     Boxscore</t>
  </si>
  <si>
    <t>Kansas City Royals (5) @ Cleveland Indians (10)     Boxscore</t>
  </si>
  <si>
    <t>Toronto Blue Jays (12) @ Detroit Tigers (1)     Boxscore</t>
  </si>
  <si>
    <t>Texas Rangers (3) @ Houston Astros (4)     Boxscore</t>
  </si>
  <si>
    <t>Miami Marlins (1) @ Los Angeles Dodgers (2)     Boxscore</t>
  </si>
  <si>
    <t>Oakland Athletics (5) @ Minnesota Twins (3)     Boxscore</t>
  </si>
  <si>
    <t>Colorado Rockies (2) @ New York Yankees (8)     Boxscore</t>
  </si>
  <si>
    <t>Philadelphia Phillies (6) @ Pittsburgh Pirates (1)     Boxscore</t>
  </si>
  <si>
    <t>Los Angeles Angels (0) @ Seattle Mariners (10)     Boxscore</t>
  </si>
  <si>
    <t>New York Mets (0) @ San Francisco Giants (1)     Boxscore</t>
  </si>
  <si>
    <t>Chicago White Sox (9) @ Tampa Bay Rays (2)     Boxscore</t>
  </si>
  <si>
    <t xml:space="preserve">   » 2019-07-19 Standings &amp; Scores</t>
  </si>
  <si>
    <t>Milwaukee Brewers (8) @ Arizona D'Backs (3)     Boxscore</t>
  </si>
  <si>
    <t>Washington Nationals (5) @ Atlanta Braves (3)     Boxscore</t>
  </si>
  <si>
    <t>Boston Red Sox (17) @ Baltimore Orioles (6)     Boxscore</t>
  </si>
  <si>
    <t>St. Louis Cardinals (2) @ Cincinnati Reds (3)     Boxscore</t>
  </si>
  <si>
    <t>Kansas City Royals (1) @ Cleveland Indians (0)     Boxscore</t>
  </si>
  <si>
    <t>Toronto Blue Jays (7) @ Detroit Tigers (5)     Boxscore</t>
  </si>
  <si>
    <t>Texas Rangers (1) @ Houston Astros (6)     Boxscore</t>
  </si>
  <si>
    <t>Miami Marlins (6) @ Los Angeles Dodgers (10)     Boxscore</t>
  </si>
  <si>
    <t>Oakland Athletics (5) @ Minnesota Twins (4)     Boxscore</t>
  </si>
  <si>
    <t>Colorado Rockies (5) @ New York Yankees (11)     Boxscore</t>
  </si>
  <si>
    <t>Philadelphia Phillies (1) @ Pittsburgh Pirates (5)     Boxscore</t>
  </si>
  <si>
    <t>Los Angeles Angels (6) @ Seattle Mariners (2)     Boxscore</t>
  </si>
  <si>
    <t>New York Mets (11) @ San Francisco Giants (4)     Boxscore</t>
  </si>
  <si>
    <t>Chicago White Sox (2) @ Tampa Bay Rays (1)     Boxscore</t>
  </si>
  <si>
    <t xml:space="preserve">   » 2019-07-20 Standings &amp; Scores</t>
  </si>
  <si>
    <t>Milwaukee Brewers (7) @ Arizona D'Backs (4)     Boxscore</t>
  </si>
  <si>
    <t>Washington Nationals (1) @ Atlanta Braves (7)     Boxscore</t>
  </si>
  <si>
    <t>Boston Red Sox (0) @ Baltimore Orioles (5)     Boxscore</t>
  </si>
  <si>
    <t>San Diego Padres (5) @ Chicago Cubs (1)     Boxscore</t>
  </si>
  <si>
    <t>St. Louis Cardinals (3) @ Cincinnati Reds (1)     Boxscore</t>
  </si>
  <si>
    <t>Kansas City Royals (4) @ Cleveland Indians (5)     Boxscore</t>
  </si>
  <si>
    <t>Toronto Blue Jays (3) @ Detroit Tigers (4)     Boxscore</t>
  </si>
  <si>
    <t>Texas Rangers (3) @ Houston Astros (5)     Boxscore</t>
  </si>
  <si>
    <t>Miami Marlins (0) @ Los Angeles Dodgers (9)     Boxscore</t>
  </si>
  <si>
    <t>Oakland Athletics (6) @ Minnesota Twins (7)     Boxscore</t>
  </si>
  <si>
    <t>Colorado Rockies (8) @ New York Yankees (4)     Boxscore</t>
  </si>
  <si>
    <t>Philadelphia Phillies (2) @ Pittsburgh Pirates (1)     Boxscore</t>
  </si>
  <si>
    <t>Chicago White Sox (2) @ Tampa Bay Rays (4)     Boxscore</t>
  </si>
  <si>
    <t xml:space="preserve">   » 2019-07-21 Standings &amp; Scores</t>
  </si>
  <si>
    <t>Smyly, Drew</t>
  </si>
  <si>
    <t>Smyly</t>
  </si>
  <si>
    <t>Peters, Dillon</t>
  </si>
  <si>
    <t>Peters</t>
  </si>
  <si>
    <t>Conner Menez</t>
  </si>
  <si>
    <t>Adrian Morejon</t>
  </si>
  <si>
    <t>Rockies @ Nationals</t>
  </si>
  <si>
    <t>Away games</t>
  </si>
  <si>
    <t>Home Wins</t>
  </si>
  <si>
    <t>Home Losses</t>
  </si>
  <si>
    <t>H/R Win %</t>
  </si>
  <si>
    <t>W%</t>
  </si>
  <si>
    <t>Baltimore Orioles (3) @ Arizona D'Backs (6)     Boxscore</t>
  </si>
  <si>
    <t>Miami Marlins (1) @ Chicago White Sox (9)     Boxscore</t>
  </si>
  <si>
    <t>Oakland Athletics (1) @ Houston Astros (11)     Boxscore</t>
  </si>
  <si>
    <t>Cincinnati Reds (6) @ Milwaukee Brewers (5)     Boxscore</t>
  </si>
  <si>
    <t>New York Yankees (6) @ Minnesota Twins (8)     Boxscore</t>
  </si>
  <si>
    <t>Texas Rangers (3) @ Seattle Mariners (7)     Boxscore</t>
  </si>
  <si>
    <t>Chicago Cubs (4) @ San Francisco Giants (5)     Boxscore</t>
  </si>
  <si>
    <t>Boston Red Sox (9) @ Tampa Bay Rays (4)     Boxscore</t>
  </si>
  <si>
    <t>Cleveland Indians (7) @ Toronto Blue Jays (3)     Boxscore</t>
  </si>
  <si>
    <t xml:space="preserve">   » 2019-07-22 Standings &amp; Scores</t>
  </si>
  <si>
    <t>Baltimore Orioles (7) @ Arizona D'Backs (2)     Boxscore</t>
  </si>
  <si>
    <t>Kansas City Royals (5) @ Atlanta Braves (4)     Boxscore</t>
  </si>
  <si>
    <t>Miami Marlins (5) @ Chicago White Sox (1)     Boxscore</t>
  </si>
  <si>
    <t>Philadelphia Phillies (3) @ Detroit Tigers (2)     Boxscore</t>
  </si>
  <si>
    <t>Oakland Athletics (4) @ Houston Astros (3)     Boxscore</t>
  </si>
  <si>
    <t>Los Angeles Angels (5) @ Los Angeles Dodgers (4)     Boxscore</t>
  </si>
  <si>
    <t>Cincinnati Reds (14) @ Milwaukee Brewers (6)     Boxscore</t>
  </si>
  <si>
    <t>New York Yankees (14) @ Minnesota Twins (12)     Boxscore</t>
  </si>
  <si>
    <t>San Diego Padres (2) @ New York Mets (5)     Boxscore</t>
  </si>
  <si>
    <t>St. Louis Cardinals (4) @ Pittsburgh Pirates (3)     Boxscore</t>
  </si>
  <si>
    <t>Texas Rangers (7) @ Seattle Mariners (2)     Boxscore</t>
  </si>
  <si>
    <t>Boston Red Sox (5) @ Tampa Bay Rays (4)     Boxscore</t>
  </si>
  <si>
    <t>Cleveland Indians (1) @ Toronto Blue Jays (2)     Boxscore</t>
  </si>
  <si>
    <t>Colorado Rockies (1) @ Washington Nationals (11)     Boxscore</t>
  </si>
  <si>
    <t xml:space="preserve">   » 2019-07-23 Standings &amp; Scores</t>
  </si>
  <si>
    <t>Baltimore Orioles (2) @ Arizona D'Backs (5)     Boxscore</t>
  </si>
  <si>
    <t>Kansas City Royals (2) @ Atlanta Braves (0)     Boxscore</t>
  </si>
  <si>
    <t>Miami Marlins (2) @ Chicago White Sox (0)     Boxscore</t>
  </si>
  <si>
    <t>Philadelphia Phillies (4) @ Detroit Tigers (0)     Boxscore</t>
  </si>
  <si>
    <t>Oakland Athletics (2) @ Houston Astros (4)     Boxscore</t>
  </si>
  <si>
    <t>Los Angeles Angels (3) @ Los Angeles Dodgers (2)     Boxscore</t>
  </si>
  <si>
    <t>Cincinnati Reds (4) @ Milwaukee Brewers (5)     Boxscore</t>
  </si>
  <si>
    <t>New York Yankees (10) @ Minnesota Twins (7)     Boxscore</t>
  </si>
  <si>
    <t>San Diego Padres (7) @ New York Mets (2)     Boxscore</t>
  </si>
  <si>
    <t>St. Louis Cardinals (14) @ Pittsburgh Pirates (8)     Boxscore</t>
  </si>
  <si>
    <t>Texas Rangers (3) @ Seattle Mariners (5)     Boxscore</t>
  </si>
  <si>
    <t>Chicago Cubs (4) @ San Francisco Giants (1)     Boxscore</t>
  </si>
  <si>
    <t>Boston Red Sox (2) @ Tampa Bay Rays (3)     Boxscore</t>
  </si>
  <si>
    <t>Cleveland Indians (4) @ Toronto Blue Jays (0)     Boxscore</t>
  </si>
  <si>
    <t>Colorado Rockies (2) @ Washington Nationals (3)     Boxscore</t>
  </si>
  <si>
    <t>Colorado Rockies (0) @ Washington Nationals (2)     Boxscore</t>
  </si>
  <si>
    <t xml:space="preserve">   » 2019-07-24 Standings &amp; Scores</t>
  </si>
  <si>
    <t>Wheeler, Zack</t>
  </si>
  <si>
    <t>Wheeler</t>
  </si>
  <si>
    <t>Padres @ Mets</t>
  </si>
  <si>
    <t>+175</t>
  </si>
  <si>
    <t>Yankees @ Red Sox</t>
  </si>
  <si>
    <t>Twins @ White Sox</t>
  </si>
  <si>
    <t>Orioles @ Angels</t>
  </si>
  <si>
    <t>Angels Moneyline</t>
  </si>
  <si>
    <t>Indians @ Royals</t>
  </si>
  <si>
    <t>Over 10</t>
  </si>
  <si>
    <t>New York Yankees (3) @ Boston Red Sox (19)     Boxscore</t>
  </si>
  <si>
    <t>Cleveland Indians (5) @ Kansas City Royals (4)     Boxscore</t>
  </si>
  <si>
    <t>San Diego Padres (0) @ New York Mets (4)     Boxscore</t>
  </si>
  <si>
    <t>Texas Rangers (11) @ Oakland Athletics (3)     Boxscore</t>
  </si>
  <si>
    <t>St. Louis Cardinals (6) @ Pittsburgh Pirates (3)     Boxscore</t>
  </si>
  <si>
    <t>Detroit Tigers (2) @ Seattle Mariners (10)     Boxscore</t>
  </si>
  <si>
    <t>Colorado Rockies (8) @ Washington Nationals (7)     Boxscore</t>
  </si>
  <si>
    <t xml:space="preserve">   » 2019-07-25 Standings &amp; Scores</t>
  </si>
  <si>
    <t>Est. Runs</t>
  </si>
  <si>
    <t>Rays @ Blue Jays</t>
  </si>
  <si>
    <t>Pirates @ Mets</t>
  </si>
  <si>
    <t>+150</t>
  </si>
  <si>
    <t>+124</t>
  </si>
  <si>
    <t>Tigers @ Mariners</t>
  </si>
  <si>
    <t>Rockies @ Reds</t>
  </si>
  <si>
    <t>Row Labels</t>
  </si>
  <si>
    <t>Grand Total</t>
  </si>
  <si>
    <t>Column Labels</t>
  </si>
  <si>
    <t>Sum of Net</t>
  </si>
  <si>
    <t>Net Cash</t>
  </si>
  <si>
    <t>Percent Gain</t>
  </si>
  <si>
    <t>Baltimore Orioles (10) @ Los Angeles Angels (8)     Boxscore</t>
  </si>
  <si>
    <t>Friday, July 26, 2019</t>
  </si>
  <si>
    <t>Baltimore Orioles (9) @ Los Angeles Angels (3)     Boxscore</t>
  </si>
  <si>
    <t>New York Yankees (5) @ Boston Red Sox (10)     Boxscore</t>
  </si>
  <si>
    <t>Minnesota Twins (6) @ Chicago White Sox (2)     Boxscore</t>
  </si>
  <si>
    <t>Colorado Rockies (12) @ Cincinnati Reds (2)     Boxscore</t>
  </si>
  <si>
    <t>Cleveland Indians (8) @ Kansas City Royals (3)     Boxscore</t>
  </si>
  <si>
    <t>Arizona D'Backs (2) @ Miami Marlins (3)     Boxscore</t>
  </si>
  <si>
    <t>Chicago Cubs (2) @ Milwaukee Brewers (3)     Boxscore</t>
  </si>
  <si>
    <t>Pittsburgh Pirates (3) @ New York Mets (6)     Boxscore</t>
  </si>
  <si>
    <t>Texas Rangers (5) @ Oakland Athletics (2)     Boxscore</t>
  </si>
  <si>
    <t>Atlanta Braves (9) @ Philadelphia Phillies (2)     Boxscore</t>
  </si>
  <si>
    <t>San Francisco Giants (2) @ San Diego Padres (1)     Boxscore</t>
  </si>
  <si>
    <t>Detroit Tigers (2) @ Seattle Mariners (3)     Boxscore</t>
  </si>
  <si>
    <t>Houston Astros (3) @ St. Louis Cardinals (5)     Boxscore</t>
  </si>
  <si>
    <t>Tampa Bay Rays (3) @ Toronto Blue Jays (1)     Boxscore</t>
  </si>
  <si>
    <t>Los Angeles Dodgers (4) @ Washington Nationals (2)     Boxscore</t>
  </si>
  <si>
    <t xml:space="preserve">   » 2019-07-26 Standings &amp; Scores</t>
  </si>
  <si>
    <t>Baltimore Orioles (8) @ Los Angeles Angels (7)     Boxscore</t>
  </si>
  <si>
    <t>New York Yankees (5) @ Boston Red Sox (9)     Boxscore</t>
  </si>
  <si>
    <t>Minnesota Twins (1) @ Chicago White Sox (5)     Boxscore</t>
  </si>
  <si>
    <t>Colorado Rockies (1) @ Cincinnati Reds (3)     Boxscore</t>
  </si>
  <si>
    <t>Cleveland Indians (9) @ Kansas City Royals (1)     Boxscore</t>
  </si>
  <si>
    <t>Arizona D'Backs (9) @ Miami Marlins (2)     Boxscore</t>
  </si>
  <si>
    <t>Chicago Cubs (3) @ Milwaukee Brewers (5)     Boxscore</t>
  </si>
  <si>
    <t>Pittsburgh Pirates (0) @ New York Mets (3)     Boxscore</t>
  </si>
  <si>
    <t>Texas Rangers (4) @ Oakland Athletics (5)     Boxscore</t>
  </si>
  <si>
    <t>Atlanta Braves (15) @ Philadelphia Phillies (7)     Boxscore</t>
  </si>
  <si>
    <t>San Francisco Giants (1) @ San Diego Padres (5)     Boxscore</t>
  </si>
  <si>
    <t>Detroit Tigers (1) @ Seattle Mariners (8)     Boxscore</t>
  </si>
  <si>
    <t>Houston Astros (8) @ St. Louis Cardinals (2)     Boxscore</t>
  </si>
  <si>
    <t>Tampa Bay Rays (9) @ Toronto Blue Jays (10)     Boxscore</t>
  </si>
  <si>
    <t>Los Angeles Dodgers (9) @ Washington Nationals (3)     Boxscore</t>
  </si>
  <si>
    <t xml:space="preserve">   » 2019-07-27 Standings &amp; Scores</t>
  </si>
  <si>
    <t>Baltimore Orioles (4) @ Los Angeles Angels (5)     Boxscore</t>
  </si>
  <si>
    <t>New York Yankees (9) @ Boston Red Sox (6)     Boxscore</t>
  </si>
  <si>
    <t>Minnesota Twins (11) @ Chicago White Sox (1)     Boxscore</t>
  </si>
  <si>
    <t>Colorado Rockies (2) @ Cincinnati Reds (3)     Boxscore</t>
  </si>
  <si>
    <t>Cleveland Indians (6) @ Kansas City Royals (9)     Boxscore</t>
  </si>
  <si>
    <t>Arizona D'Backs (1) @ Miami Marlins (5)     Boxscore</t>
  </si>
  <si>
    <t>Chicago Cubs (11) @ Milwaukee Brewers (4)     Boxscore</t>
  </si>
  <si>
    <t>Pittsburgh Pirates (7) @ New York Mets (8)     Boxscore</t>
  </si>
  <si>
    <t>Atlanta Braves (4) @ Philadelphia Phillies (9)     Boxscore</t>
  </si>
  <si>
    <t>San Francisco Giants (7) @ San Diego Padres (6)     Boxscore</t>
  </si>
  <si>
    <t>Houston Astros (6) @ St. Louis Cardinals (2)     Boxscore</t>
  </si>
  <si>
    <t>Tampa Bay Rays (10) @ Toronto Blue Jays (9)     Boxscore</t>
  </si>
  <si>
    <t>Los Angeles Dodgers (4) @ Washington Nationals (11)     Boxscore</t>
  </si>
  <si>
    <t xml:space="preserve">   » 2019-07-28 Standings &amp; Scores</t>
  </si>
  <si>
    <t>Hernandez</t>
  </si>
  <si>
    <t>–22</t>
  </si>
  <si>
    <t>–29</t>
  </si>
  <si>
    <t>Ryan Borucki</t>
  </si>
  <si>
    <t>Alex Wood</t>
  </si>
  <si>
    <t>Michael Blazek</t>
  </si>
  <si>
    <t>Rafael Montero</t>
  </si>
  <si>
    <t>Michel Baez</t>
  </si>
  <si>
    <t>Cody Stashak</t>
  </si>
  <si>
    <t>Josh Staumont</t>
  </si>
  <si>
    <t>Sal Romano</t>
  </si>
  <si>
    <t>Sam Howard</t>
  </si>
  <si>
    <t>Jeremy Walker</t>
  </si>
  <si>
    <t>Braves @ Nationals</t>
  </si>
  <si>
    <t>Tigers @ Angels</t>
  </si>
  <si>
    <t>Blue Jays @ Royals</t>
  </si>
  <si>
    <t>Over 10.5</t>
  </si>
  <si>
    <t>Detroit Tigers (7) @ Los Angeles Angels (2)     Boxscore</t>
  </si>
  <si>
    <t>Los Angeles Dodgers (1) @ Colorado Rockies (9)     Boxscore</t>
  </si>
  <si>
    <t>Toronto Blue Jays (7) @ Kansas City Royals (3)     Boxscore</t>
  </si>
  <si>
    <t>Arizona D'Backs (6) @ Miami Marlins (11)     Boxscore</t>
  </si>
  <si>
    <t>Baltimore Orioles (1) @ San Diego Padres (8)     Boxscore</t>
  </si>
  <si>
    <t>Atlanta Braves (3) @ Washington Nationals (6)     Boxscore</t>
  </si>
  <si>
    <t xml:space="preserve">   » 2019-07-29 Standings &amp; Scores</t>
  </si>
  <si>
    <t>Houser, Adrian</t>
  </si>
  <si>
    <t>Houser</t>
  </si>
  <si>
    <t>Orioles @ Padres</t>
  </si>
  <si>
    <t>Diamondbacks @ Yankees</t>
  </si>
  <si>
    <t>Rays @ Red Sox</t>
  </si>
  <si>
    <t>+121</t>
  </si>
  <si>
    <t>+102</t>
  </si>
  <si>
    <t>Under 14</t>
  </si>
  <si>
    <t>Dillon Tate</t>
  </si>
  <si>
    <t>Detroit Tigers (1) @ Los Angeles Angels (6)     Boxscore</t>
  </si>
  <si>
    <t>Tampa Bay Rays (6) @ Boston Red Sox (5)     Boxscore</t>
  </si>
  <si>
    <t>New York Mets (5) @ Chicago White Sox (2)     Boxscore</t>
  </si>
  <si>
    <t>Pittsburgh Pirates (11) @ Cincinnati Reds (4)     Boxscore</t>
  </si>
  <si>
    <t>Houston Astros (2) @ Cleveland Indians (0)     Boxscore</t>
  </si>
  <si>
    <t>Los Angeles Dodgers (9) @ Colorado Rockies (4)     Boxscore</t>
  </si>
  <si>
    <t>Toronto Blue Jays (9) @ Kansas City Royals (2)     Boxscore</t>
  </si>
  <si>
    <t>Minnesota Twins (2) @ Miami Marlins (1)     Boxscore</t>
  </si>
  <si>
    <t>Arizona D'Backs (4) @ New York Yankees (2)     Boxscore</t>
  </si>
  <si>
    <t>Milwaukee Brewers (2) @ Oakland Athletics (3)     Boxscore</t>
  </si>
  <si>
    <t>San Francisco Giants (2) @ Philadelphia Phillies (4)     Boxscore</t>
  </si>
  <si>
    <t>Baltimore Orioles (8) @ San Diego Padres (5)     Boxscore</t>
  </si>
  <si>
    <t>Seattle Mariners (8) @ Texas Rangers (5)     Boxscore</t>
  </si>
  <si>
    <t>Atlanta Braves (11) @ Washington Nationals (8)     Boxscore</t>
  </si>
  <si>
    <t xml:space="preserve">   » 2019-07-30 Standings &amp; Scores</t>
  </si>
  <si>
    <t>+188</t>
  </si>
  <si>
    <t>+114</t>
  </si>
  <si>
    <t>+128</t>
  </si>
  <si>
    <t>Astros @ Indians</t>
  </si>
  <si>
    <t>Giants @ Phillies</t>
  </si>
  <si>
    <t>Sim W%</t>
  </si>
  <si>
    <t>Wednesday, July 31, 2019</t>
  </si>
  <si>
    <t>Detroit Tigers (9) @ Los Angeles Angels (1)     Boxscore</t>
  </si>
  <si>
    <t>Tampa Bay Rays (8) @ Boston Red Sox (5)     Boxscore</t>
  </si>
  <si>
    <t>New York Mets (4) @ Chicago White Sox (2)     Boxscore</t>
  </si>
  <si>
    <t>Pittsburgh Pirates (1) @ Cincinnati Reds (4)     Boxscore</t>
  </si>
  <si>
    <t>Houston Astros (4) @ Cleveland Indians (10)     Boxscore</t>
  </si>
  <si>
    <t>Los Angeles Dodgers (5) @ Colorado Rockies (1)     Boxscore</t>
  </si>
  <si>
    <t>Toronto Blue Jays (4) @ Kansas City Royals (1)     Boxscore</t>
  </si>
  <si>
    <t>Minnesota Twins (7) @ Miami Marlins (4)     Boxscore</t>
  </si>
  <si>
    <t>Arizona D'Backs (5) @ New York Yankees (7)     Boxscore</t>
  </si>
  <si>
    <t>Milwaukee Brewers (4) @ Oakland Athletics (2)     Boxscore</t>
  </si>
  <si>
    <t>San Francisco Giants (5) @ Philadelphia Phillies (1)     Boxscore</t>
  </si>
  <si>
    <t>Chicago Cubs (2) @ St. Louis Cardinals (0)     Boxscore</t>
  </si>
  <si>
    <t>Seattle Mariners (7) @ Texas Rangers (9)     Boxscore</t>
  </si>
  <si>
    <t>Atlanta Braves (5) @ Washington Nationals (4)     Boxscore</t>
  </si>
  <si>
    <t xml:space="preserve">   » 2019-07-31 Standings &amp; Scores</t>
  </si>
  <si>
    <t>Rodriguez, Dereck</t>
  </si>
  <si>
    <t>Thornton, Trent</t>
  </si>
  <si>
    <t>Thornton</t>
  </si>
  <si>
    <t>–15</t>
  </si>
  <si>
    <t>Danny Salazar</t>
  </si>
  <si>
    <t>Unit Budget</t>
  </si>
  <si>
    <t>ML Budget</t>
  </si>
  <si>
    <t>OU Budget</t>
  </si>
  <si>
    <t>Twins @ Marlins</t>
  </si>
  <si>
    <t>Mets @ White Sox</t>
  </si>
  <si>
    <t>Mets Moneyline</t>
  </si>
  <si>
    <t>Padres @ Dodgers</t>
  </si>
  <si>
    <t>Blue Jays @ Orioles</t>
  </si>
  <si>
    <t>Cincinnati Reds (1) @ Atlanta Braves (4)     Boxscore</t>
  </si>
  <si>
    <t>Toronto Blue Jays (11) @ Baltimore Orioles (2)     Boxscore</t>
  </si>
  <si>
    <t>Tampa Bay Rays (9) @ Boston Red Sox (4)     Boxscore</t>
  </si>
  <si>
    <t>New York Mets (4) @ Chicago White Sox (0)     Boxscore</t>
  </si>
  <si>
    <t>Houston Astros (7) @ Cleveland Indians (1)     Boxscore</t>
  </si>
  <si>
    <t>San Diego Padres (2) @ Los Angeles Dodgers (8)     Boxscore</t>
  </si>
  <si>
    <t>Minnesota Twins (4) @ Miami Marlins (5)     Boxscore</t>
  </si>
  <si>
    <t>Milwaukee Brewers (3) @ Oakland Athletics (5)     Boxscore</t>
  </si>
  <si>
    <t>San Francisco Giants (2) @ Philadelphia Phillies (10)     Boxscore</t>
  </si>
  <si>
    <t>Chicago Cubs (0) @ St. Louis Cardinals (8)     Boxscore</t>
  </si>
  <si>
    <t xml:space="preserve">   » 2019-08-01 Standings &amp; Scores</t>
  </si>
  <si>
    <t>Hamels, Cole</t>
  </si>
  <si>
    <t>Hamels</t>
  </si>
  <si>
    <t>Wacha, Michael</t>
  </si>
  <si>
    <t>Wacha</t>
  </si>
  <si>
    <t>Dustin May</t>
  </si>
  <si>
    <t>Jandel Gustave</t>
  </si>
  <si>
    <t>Jason Adam</t>
  </si>
  <si>
    <t>JC Ramirez</t>
  </si>
  <si>
    <t>Buddy Boshers</t>
  </si>
  <si>
    <t>Sam Selman</t>
  </si>
  <si>
    <t>Bryan Abreu</t>
  </si>
  <si>
    <t>Reds @ Braves</t>
  </si>
  <si>
    <t>+148</t>
  </si>
  <si>
    <t>Tigers @ Rangers</t>
  </si>
  <si>
    <t>Mariners @ Astros</t>
  </si>
  <si>
    <t>Royals @ Twins</t>
  </si>
  <si>
    <t>Friday, August 2, 2019</t>
  </si>
  <si>
    <t>Washington Nationals (3) @ Arizona D'Backs (0)     Boxscore</t>
  </si>
  <si>
    <t>Cincinnati Reds (5) @ Atlanta Braves (2)     Boxscore</t>
  </si>
  <si>
    <t>Toronto Blue Jays (5) @ Baltimore Orioles (2)     Boxscore</t>
  </si>
  <si>
    <t>Milwaukee Brewers (2) @ Chicago Cubs (6)     Boxscore</t>
  </si>
  <si>
    <t>Los Angeles Angels (3) @ Cleveland Indians (7)     Boxscore</t>
  </si>
  <si>
    <t>San Francisco Giants (4) @ Colorado Rockies (5)     Boxscore</t>
  </si>
  <si>
    <t>Seattle Mariners (2) @ Houston Astros (10)     Boxscore</t>
  </si>
  <si>
    <t>San Diego Padres (5) @ Los Angeles Dodgers (2)     Boxscore</t>
  </si>
  <si>
    <t>Kansas City Royals (9) @ Minnesota Twins (11)     Boxscore</t>
  </si>
  <si>
    <t>Boston Red Sox (2) @ New York Yankees (4)     Boxscore</t>
  </si>
  <si>
    <t>Chicago White Sox (4) @ Philadelphia Phillies (3)     Boxscore</t>
  </si>
  <si>
    <t>New York Mets (4) @ Pittsburgh Pirates (8)     Boxscore</t>
  </si>
  <si>
    <t>Detroit Tigers (4) @ Texas Rangers (5)     Boxscore</t>
  </si>
  <si>
    <t xml:space="preserve">   » 2019-08-02 Standings &amp; Scores</t>
  </si>
  <si>
    <t>Civale, Aaron</t>
  </si>
  <si>
    <t>Civale</t>
  </si>
  <si>
    <t>White Sox @ Phillies</t>
  </si>
  <si>
    <t>Cardinals @ Athletics</t>
  </si>
  <si>
    <t>Mets @ Pirates</t>
  </si>
  <si>
    <t>Washington Nationals (7) @ Arizona D'Backs (18)     Boxscore</t>
  </si>
  <si>
    <t>Cincinnati Reds (4) @ Atlanta Braves (5)     Boxscore</t>
  </si>
  <si>
    <t>Toronto Blue Jays (4) @ Baltimore Orioles (6)     Boxscore</t>
  </si>
  <si>
    <t>Los Angeles Angels (2) @ Cleveland Indians (7)     Boxscore</t>
  </si>
  <si>
    <t>San Francisco Giants (6) @ Colorado Rockies (5)     Boxscore</t>
  </si>
  <si>
    <t>Seattle Mariners (0) @ Houston Astros (9)     Boxscore</t>
  </si>
  <si>
    <t>San Diego Padres (1) @ Los Angeles Dodgers (4)     Boxscore</t>
  </si>
  <si>
    <t>Kansas City Royals (3) @ Minnesota Twins (11)     Boxscore</t>
  </si>
  <si>
    <t>Boston Red Sox (2) @ New York Yankees (9)     Boxscore</t>
  </si>
  <si>
    <t>Boston Red Sox (4) @ New York Yankees (6)     Boxscore</t>
  </si>
  <si>
    <t>St. Louis Cardinals (3) @ Oakland Athletics (8)     Boxscore</t>
  </si>
  <si>
    <t>Chicago White Sox (2) @ Philadelphia Phillies (3)     Boxscore</t>
  </si>
  <si>
    <t>New York Mets (7) @ Pittsburgh Pirates (5)     Boxscore</t>
  </si>
  <si>
    <t>Miami Marlins (6) @ Tampa Bay Rays (8)     Boxscore</t>
  </si>
  <si>
    <t xml:space="preserve">   » 2019-08-03 Standings &amp; Scores</t>
  </si>
  <si>
    <t>Brault, Steven</t>
  </si>
  <si>
    <t>Brault</t>
  </si>
  <si>
    <t>Zac Grotz</t>
  </si>
  <si>
    <t>Reggie McClain</t>
  </si>
  <si>
    <t>Nationals @ Diamondbacks</t>
  </si>
  <si>
    <t>Under 13.5</t>
  </si>
  <si>
    <t>Washington Nationals (5) @ Arizona D'Backs (7)     Boxscore</t>
  </si>
  <si>
    <t>Cincinnati Reds (6) @ Atlanta Braves (4)     Boxscore</t>
  </si>
  <si>
    <t>Toronto Blue Jays (5) @ Baltimore Orioles (6)     Boxscore</t>
  </si>
  <si>
    <t>Milwaukee Brewers (2) @ Chicago Cubs (7)     Boxscore</t>
  </si>
  <si>
    <t>Los Angeles Angels (2) @ Cleveland Indians (6)     Boxscore</t>
  </si>
  <si>
    <t>San Francisco Giants (2) @ Colorado Rockies (6)     Boxscore</t>
  </si>
  <si>
    <t>Seattle Mariners (1) @ Houston Astros (3)     Boxscore</t>
  </si>
  <si>
    <t>San Diego Padres (10) @ Los Angeles Dodgers (11)     Boxscore</t>
  </si>
  <si>
    <t>Kansas City Royals (0) @ Minnesota Twins (3)     Boxscore</t>
  </si>
  <si>
    <t>Boston Red Sox (4) @ New York Yankees (7)     Boxscore</t>
  </si>
  <si>
    <t>St. Louis Cardinals (2) @ Oakland Athletics (4)     Boxscore</t>
  </si>
  <si>
    <t>Chicago White Sox (10) @ Philadelphia Phillies (5)     Boxscore</t>
  </si>
  <si>
    <t>New York Mets (13) @ Pittsburgh Pirates (2)     Boxscore</t>
  </si>
  <si>
    <t>Miami Marlins (2) @ Tampa Bay Rays (7)     Boxscore</t>
  </si>
  <si>
    <t>Detroit Tigers (4) @ Texas Rangers (9)     Boxscore</t>
  </si>
  <si>
    <t xml:space="preserve">   » 2019-08-04 Standings &amp; Scores</t>
  </si>
  <si>
    <t>Turnbull, Spencer</t>
  </si>
  <si>
    <t>Turnbull</t>
  </si>
  <si>
    <t>Patrick Sandoval</t>
  </si>
  <si>
    <t>Robert Dugger</t>
  </si>
  <si>
    <t>Emmanuel Clase</t>
  </si>
  <si>
    <t>Kyle Keller</t>
  </si>
  <si>
    <t>Yennsy Diaz</t>
  </si>
  <si>
    <t>Marlins @ Mets</t>
  </si>
  <si>
    <t>+123</t>
  </si>
  <si>
    <t>Royals @ Red Sox</t>
  </si>
  <si>
    <t>Athletics @ Cubs</t>
  </si>
  <si>
    <t>Cardinals @ Dodgers</t>
  </si>
  <si>
    <t>Rangers @ Indians</t>
  </si>
  <si>
    <t>Monday, August 5, 2019</t>
  </si>
  <si>
    <t>Philadelphia Phillies (7) @ Arizona D'Backs (3)     Boxscore</t>
  </si>
  <si>
    <t>New York Yankees (9) @ Baltimore Orioles (6)     Boxscore</t>
  </si>
  <si>
    <t>Kansas City Royals (5) @ Boston Red Sox (7)     Boxscore</t>
  </si>
  <si>
    <t>Oakland Athletics (5) @ Chicago Cubs (6)     Boxscore</t>
  </si>
  <si>
    <t>Los Angeles Angels (4) @ Cincinnati Reds (7)     Boxscore</t>
  </si>
  <si>
    <t>Texas Rangers (1) @ Cleveland Indians (0)     Boxscore</t>
  </si>
  <si>
    <t>Chicago White Sox (7) @ Detroit Tigers (4)     Boxscore</t>
  </si>
  <si>
    <t>St. Louis Cardinals (0) @ Los Angeles Dodgers (8)     Boxscore</t>
  </si>
  <si>
    <t>Atlanta Braves (3) @ Minnesota Twins (5)     Boxscore</t>
  </si>
  <si>
    <t>Miami Marlins (2) @ New York Mets (6)     Boxscore</t>
  </si>
  <si>
    <t>Miami Marlins (4) @ New York Mets (5)     Boxscore</t>
  </si>
  <si>
    <t>Milwaukee Brewers (9) @ Pittsburgh Pirates (7)     Boxscore</t>
  </si>
  <si>
    <t>Washington Nationals (4) @ San Francisco Giants (0)     Boxscore</t>
  </si>
  <si>
    <t>Toronto Blue Jays (2) @ Tampa Bay Rays (0)     Boxscore</t>
  </si>
  <si>
    <t xml:space="preserve">   » 2019-08-05 Standings &amp; Scores</t>
  </si>
  <si>
    <t>Foltynewicz, Mike</t>
  </si>
  <si>
    <t>Foltynewicz</t>
  </si>
  <si>
    <t>Kevin Ginkel</t>
  </si>
  <si>
    <t>Robby Scott</t>
  </si>
  <si>
    <t>Pitchers</t>
  </si>
  <si>
    <t>Angels @ Reds</t>
  </si>
  <si>
    <t>White Sox @ Tigers</t>
  </si>
  <si>
    <t>White Sox Moneyline</t>
  </si>
  <si>
    <t>Rockies @ Astros</t>
  </si>
  <si>
    <t>Braves @ Twins</t>
  </si>
  <si>
    <t>Philadelphia Phillies (4) @ Arizona D'Backs (8)     Boxscore</t>
  </si>
  <si>
    <t>New York Yankees (9) @ Baltimore Orioles (4)     Boxscore</t>
  </si>
  <si>
    <t>Kansas City Royals (6) @ Boston Red Sox (2)     Boxscore</t>
  </si>
  <si>
    <t>Oakland Athletics (11) @ Chicago Cubs (4)     Boxscore</t>
  </si>
  <si>
    <t>Los Angeles Angels (4) @ Cincinnati Reds (8)     Boxscore</t>
  </si>
  <si>
    <t>Chicago White Sox (5) @ Detroit Tigers (3)     Boxscore</t>
  </si>
  <si>
    <t>Chicago White Sox (6) @ Detroit Tigers (10)     Boxscore</t>
  </si>
  <si>
    <t>Colorado Rockies (6) @ Houston Astros (11)     Boxscore</t>
  </si>
  <si>
    <t>St. Louis Cardinals (1) @ Los Angeles Dodgers (3)     Boxscore</t>
  </si>
  <si>
    <t>Atlanta Braves (12) @ Minnesota Twins (7)     Boxscore</t>
  </si>
  <si>
    <t>Miami Marlins (0) @ New York Mets (5)     Boxscore</t>
  </si>
  <si>
    <t>Milwaukee Brewers (4) @ Pittsburgh Pirates (3)     Boxscore</t>
  </si>
  <si>
    <t>San Diego Padres (9) @ Seattle Mariners (4)     Boxscore</t>
  </si>
  <si>
    <t>Washington Nationals (5) @ San Francisco Giants (3)     Boxscore</t>
  </si>
  <si>
    <t>Toronto Blue Jays (6) @ Tampa Bay Rays (7)     Boxscore</t>
  </si>
  <si>
    <t xml:space="preserve">   » 2019-08-06 Standings &amp; Scores</t>
  </si>
  <si>
    <t>Heaney, Andrew</t>
  </si>
  <si>
    <t>Heaney</t>
  </si>
  <si>
    <t>Hector Noesi</t>
  </si>
  <si>
    <t>Duane Underwood</t>
  </si>
  <si>
    <t>Matt Hall</t>
  </si>
  <si>
    <t>Nationals @ Giants</t>
  </si>
  <si>
    <t>Padres @ Mariners</t>
  </si>
  <si>
    <t>Wednesday, August 7, 2019</t>
  </si>
  <si>
    <t>Philadelphia Phillies (1) @ Arizona D'Backs (6)     Boxscore</t>
  </si>
  <si>
    <t>New York Yankees (14) @ Baltimore Orioles (2)     Boxscore</t>
  </si>
  <si>
    <t>Oakland Athletics (1) @ Chicago Cubs (10)     Boxscore</t>
  </si>
  <si>
    <t>Texas Rangers (0) @ Cleveland Indians (2)     Boxscore</t>
  </si>
  <si>
    <t>Texas Rangers (1) @ Cleveland Indians (5)     Boxscore</t>
  </si>
  <si>
    <t>Chicago White Sox (8) @ Detroit Tigers (1)     Boxscore</t>
  </si>
  <si>
    <t>Colorado Rockies (3) @ Houston Astros (14)     Boxscore</t>
  </si>
  <si>
    <t>St. Louis Cardinals (1) @ Los Angeles Dodgers (2)     Boxscore</t>
  </si>
  <si>
    <t>Atlanta Braves (11) @ Minnesota Twins (7)     Boxscore</t>
  </si>
  <si>
    <t>Miami Marlins (2) @ New York Mets (7)     Boxscore</t>
  </si>
  <si>
    <t>Milwaukee Brewers (8) @ Pittsburgh Pirates (3)     Boxscore</t>
  </si>
  <si>
    <t>San Diego Padres (2) @ Seattle Mariners (3)     Boxscore</t>
  </si>
  <si>
    <t>Washington Nationals (4) @ San Francisco Giants (1)     Boxscore</t>
  </si>
  <si>
    <t>Toronto Blue Jays (4) @ Tampa Bay Rays (3)     Boxscore</t>
  </si>
  <si>
    <t xml:space="preserve">   » 2019-08-07 Standings &amp; Scores</t>
  </si>
  <si>
    <t>Allard, Kolby</t>
  </si>
  <si>
    <t>Allard</t>
  </si>
  <si>
    <t>Sandoval, Patrick</t>
  </si>
  <si>
    <t>Sandoval</t>
  </si>
  <si>
    <t>Yankees @ Blue Jays</t>
  </si>
  <si>
    <t>Angels @ Red Sox</t>
  </si>
  <si>
    <t>Braves @ Marlins</t>
  </si>
  <si>
    <t>Rockies @ Padres</t>
  </si>
  <si>
    <t>Phillies @ Giants</t>
  </si>
  <si>
    <t>Kansas City Royals (4) @ Boston Red Sox (5)     Boxscore</t>
  </si>
  <si>
    <t>Thursday, August 8, 2019</t>
  </si>
  <si>
    <t>Los Angeles Angels (0) @ Boston Red Sox (3)     Boxscore</t>
  </si>
  <si>
    <t>Chicago Cubs (12) @ Cincinnati Reds (5)     Boxscore</t>
  </si>
  <si>
    <t>Kansas City Royals (8) @ Detroit Tigers (10)     Boxscore</t>
  </si>
  <si>
    <t>Atlanta Braves (2) @ Miami Marlins (9)     Boxscore</t>
  </si>
  <si>
    <t>Cleveland Indians (7) @ Minnesota Twins (5)     Boxscore</t>
  </si>
  <si>
    <t>Colorado Rockies (3) @ San Diego Padres (9)     Boxscore</t>
  </si>
  <si>
    <t>Philadelphia Phillies (0) @ San Francisco Giants (5)     Boxscore</t>
  </si>
  <si>
    <t>New York Yankees (12) @ Toronto Blue Jays (6)     Boxscore</t>
  </si>
  <si>
    <t xml:space="preserve">   » 2019-08-08 Standings &amp; Scores</t>
  </si>
  <si>
    <t>Houston Astros (3) @ Baltimore Orioles (2)     Boxscore</t>
  </si>
  <si>
    <t>Los Angeles Angels (4) @ Boston Red Sox (16)     Boxscore</t>
  </si>
  <si>
    <t>Oakland Athletics (7) @ Chicago White Sox (0)     Boxscore</t>
  </si>
  <si>
    <t>Chicago Cubs (2) @ Cincinnati Reds (5)     Boxscore</t>
  </si>
  <si>
    <t>Arizona D'Backs (3) @ Los Angeles Dodgers (2)     Boxscore</t>
  </si>
  <si>
    <t>Atlanta Braves (8) @ Miami Marlins (4)     Boxscore</t>
  </si>
  <si>
    <t>Texas Rangers (5) @ Milwaukee Brewers (6)     Boxscore</t>
  </si>
  <si>
    <t>Cleveland Indians (6) @ Minnesota Twins (2)     Boxscore</t>
  </si>
  <si>
    <t>Washington Nationals (6) @ New York Mets (7)     Boxscore</t>
  </si>
  <si>
    <t>Colorado Rockies (1) @ San Diego Padres (7)     Boxscore</t>
  </si>
  <si>
    <t>Tampa Bay Rays (5) @ Seattle Mariners (3)     Boxscore</t>
  </si>
  <si>
    <t>Philadelphia Phillies (9) @ San Francisco Giants (6)     Boxscore</t>
  </si>
  <si>
    <t>Pittsburgh Pirates (2) @ St. Louis Cardinals (6)     Boxscore</t>
  </si>
  <si>
    <t>New York Yankees (2) @ Toronto Blue Jays (8)     Boxscore</t>
  </si>
  <si>
    <t xml:space="preserve">   » 2019-08-09 Standings &amp; Scores</t>
  </si>
  <si>
    <t>Houston Astros (23) @ Baltimore Orioles (2)     Boxscore</t>
  </si>
  <si>
    <t>Los Angeles Angels (12) @ Boston Red Sox (4)     Boxscore</t>
  </si>
  <si>
    <t>Oakland Athletics (2) @ Chicago White Sox (3)     Boxscore</t>
  </si>
  <si>
    <t>Chicago Cubs (1) @ Cincinnati Reds (10)     Boxscore</t>
  </si>
  <si>
    <t>Kansas City Royals (7) @ Detroit Tigers (0)     Boxscore</t>
  </si>
  <si>
    <t>Arizona D'Backs (0) @ Los Angeles Dodgers (4)     Boxscore</t>
  </si>
  <si>
    <t>Atlanta Braves (6) @ Miami Marlins (7)     Boxscore</t>
  </si>
  <si>
    <t>Texas Rangers (2) @ Milwaukee Brewers (3)     Boxscore</t>
  </si>
  <si>
    <t>Cleveland Indians (1) @ Minnesota Twins (4)     Boxscore</t>
  </si>
  <si>
    <t>Washington Nationals (3) @ New York Mets (4)     Boxscore</t>
  </si>
  <si>
    <t>Colorado Rockies (5) @ San Diego Padres (8)     Boxscore</t>
  </si>
  <si>
    <t>Tampa Bay Rays (5) @ Seattle Mariners (4)     Boxscore</t>
  </si>
  <si>
    <t>Philadelphia Phillies (1) @ San Francisco Giants (3)     Boxscore</t>
  </si>
  <si>
    <t>Pittsburgh Pirates (1) @ St. Louis Cardinals (3)     Boxscore</t>
  </si>
  <si>
    <t>New York Yankees (4) @ Toronto Blue Jays (5)     Boxscore</t>
  </si>
  <si>
    <t xml:space="preserve">   » 2019-08-10 Standings &amp; Scores</t>
  </si>
  <si>
    <t>Houston Astros (7) @ Baltimore Orioles (8)     Boxscore</t>
  </si>
  <si>
    <t>Los Angeles Angels (5) @ Boston Red Sox (4)     Boxscore</t>
  </si>
  <si>
    <t>Oakland Athletics (2) @ Chicago White Sox (0)     Boxscore</t>
  </si>
  <si>
    <t>Chicago Cubs (6) @ Cincinnati Reds (3)     Boxscore</t>
  </si>
  <si>
    <t>Kansas City Royals (10) @ Detroit Tigers (2)     Boxscore</t>
  </si>
  <si>
    <t>Arizona D'Backs (3) @ Los Angeles Dodgers (9)     Boxscore</t>
  </si>
  <si>
    <t>Atlanta Braves (5) @ Miami Marlins (4)     Boxscore</t>
  </si>
  <si>
    <t>Texas Rangers (1) @ Milwaukee Brewers (0)     Boxscore</t>
  </si>
  <si>
    <t>Cleveland Indians (7) @ Minnesota Twins (3)     Boxscore</t>
  </si>
  <si>
    <t>Washington Nationals (7) @ New York Mets (4)     Boxscore</t>
  </si>
  <si>
    <t>Colorado Rockies (8) @ San Diego Padres (3)     Boxscore</t>
  </si>
  <si>
    <t>Tampa Bay Rays (1) @ Seattle Mariners (0)     Boxscore</t>
  </si>
  <si>
    <t>Philadelphia Phillies (6) @ San Francisco Giants (9)     Boxscore</t>
  </si>
  <si>
    <t>Pittsburgh Pirates (9) @ St. Louis Cardinals (11)     Boxscore</t>
  </si>
  <si>
    <t>New York Yankees (1) @ Toronto Blue Jays (0)     Boxscore</t>
  </si>
  <si>
    <t xml:space="preserve">   » 2019-08-11 Standings &amp; Scores</t>
  </si>
  <si>
    <t>Pittsburgh Pirates (10) @ Los Angeles Angels (2)     Boxscore</t>
  </si>
  <si>
    <t>Boston Red Sox (5) @ Cleveland Indians (6)     Boxscore</t>
  </si>
  <si>
    <t>Arizona D'Backs (8) @ Colorado Rockies (6)     Boxscore</t>
  </si>
  <si>
    <t>Baltimore Orioles (5) @ New York Yankees (8)     Boxscore</t>
  </si>
  <si>
    <t>Baltimore Orioles (8) @ New York Yankees (11)     Boxscore</t>
  </si>
  <si>
    <t>Tampa Bay Rays (10) @ San Diego Padres (4)     Boxscore</t>
  </si>
  <si>
    <t>Texas Rangers (4) @ Toronto Blue Jays (19)     Boxscore</t>
  </si>
  <si>
    <t>Cincinnati Reds (6) @ Washington Nationals (7)     Boxscore</t>
  </si>
  <si>
    <t xml:space="preserve">   » 2019-08-12 Standings &amp; Scores</t>
  </si>
  <si>
    <t>Pittsburgh Pirates (10) @ Los Angeles Angels (7)     Boxscore</t>
  </si>
  <si>
    <t>New York Mets (3) @ Atlanta Braves (5)     Boxscore</t>
  </si>
  <si>
    <t>Houston Astros (6) @ Chicago White Sox (2)     Boxscore</t>
  </si>
  <si>
    <t>Houston Astros (1) @ Chicago White Sox (4)     Boxscore</t>
  </si>
  <si>
    <t>Boston Red Sox (7) @ Cleveland Indians (6)     Boxscore</t>
  </si>
  <si>
    <t>Arizona D'Backs (9) @ Colorado Rockies (3)     Boxscore</t>
  </si>
  <si>
    <t>Seattle Mariners (11) @ Detroit Tigers (6)     Boxscore</t>
  </si>
  <si>
    <t>St. Louis Cardinals (2) @ Kansas City Royals (0)     Boxscore</t>
  </si>
  <si>
    <t>Los Angeles Dodgers (15) @ Miami Marlins (1)     Boxscore</t>
  </si>
  <si>
    <t>Minnesota Twins (7) @ Milwaukee Brewers (5)     Boxscore</t>
  </si>
  <si>
    <t>Baltimore Orioles (3) @ New York Yankees (8)     Boxscore</t>
  </si>
  <si>
    <t>Chicago Cubs (2) @ Philadelphia Phillies (4)     Boxscore</t>
  </si>
  <si>
    <t>Tampa Bay Rays (7) @ San Diego Padres (5)     Boxscore</t>
  </si>
  <si>
    <t>Oakland Athletics (2) @ San Francisco Giants (3)     Boxscore</t>
  </si>
  <si>
    <t>Texas Rangers (0) @ Toronto Blue Jays (3)     Boxscore</t>
  </si>
  <si>
    <t>Cincinnati Reds (1) @ Washington Nationals (3)     Boxscore</t>
  </si>
  <si>
    <t xml:space="preserve">   » 2019-08-13 Standings &amp; Scores</t>
  </si>
  <si>
    <t>Pittsburgh Pirates (4) @ Los Angeles Angels (7)     Boxscore</t>
  </si>
  <si>
    <t>New York Mets (4) @ Atlanta Braves (6)     Boxscore</t>
  </si>
  <si>
    <t>Houston Astros (9) @ Chicago White Sox (13)     Boxscore</t>
  </si>
  <si>
    <t>Boston Red Sox (5) @ Cleveland Indians (1)     Boxscore</t>
  </si>
  <si>
    <t>Arizona D'Backs (6) @ Colorado Rockies (7)     Boxscore</t>
  </si>
  <si>
    <t>Seattle Mariners (2) @ Detroit Tigers (3)     Boxscore</t>
  </si>
  <si>
    <t>St. Louis Cardinals (6) @ Kansas City Royals (0)     Boxscore</t>
  </si>
  <si>
    <t>Los Angeles Dodgers (9) @ Miami Marlins (1)     Boxscore</t>
  </si>
  <si>
    <t>Minnesota Twins (5) @ Milwaukee Brewers (6)     Boxscore</t>
  </si>
  <si>
    <t>Baltimore Orioles (5) @ New York Yankees (6)     Boxscore</t>
  </si>
  <si>
    <t>Chicago Cubs (1) @ Philadelphia Phillies (11)     Boxscore</t>
  </si>
  <si>
    <t>Tampa Bay Rays (2) @ San Diego Padres (7)     Boxscore</t>
  </si>
  <si>
    <t>Oakland Athletics (9) @ San Francisco Giants (5)     Boxscore</t>
  </si>
  <si>
    <t>Texas Rangers (7) @ Toronto Blue Jays (3)     Boxscore</t>
  </si>
  <si>
    <t>Cincinnati Reds (7) @ Washington Nationals (17)     Boxscore</t>
  </si>
  <si>
    <t xml:space="preserve">   » 2019-08-14 Standings &amp; Scores</t>
  </si>
  <si>
    <t>Chicago White Sox (7) @ Los Angeles Angels (8)     Boxscore</t>
  </si>
  <si>
    <t>San Francisco Giants (7) @ Arizona D'Backs (0)     Boxscore</t>
  </si>
  <si>
    <t>New York Mets (10) @ Atlanta Braves (8)     Boxscore</t>
  </si>
  <si>
    <t>St. Louis Cardinals (1) @ Cincinnati Reds (2)     Boxscore</t>
  </si>
  <si>
    <t>Seattle Mariners (7) @ Detroit Tigers (2)     Boxscore</t>
  </si>
  <si>
    <t>Los Angeles Dodgers (7) @ Miami Marlins (13)     Boxscore</t>
  </si>
  <si>
    <t>Cleveland Indians (19) @ New York Yankees (5)     Boxscore</t>
  </si>
  <si>
    <t>Houston Astros (6) @ Oakland Athletics (7)     Boxscore</t>
  </si>
  <si>
    <t>Chicago Cubs (5) @ Philadelphia Phillies (7)     Boxscore</t>
  </si>
  <si>
    <t>Minnesota Twins (13) @ Texas Rangers (6)     Boxscore</t>
  </si>
  <si>
    <t xml:space="preserve">   » 2019-08-15 Standings &amp; Scores</t>
  </si>
  <si>
    <t>Chicago White Sox (7) @ Los Angeles Angels (2)     Boxscore</t>
  </si>
  <si>
    <t>San Francisco Giants (10) @ Arizona D'Backs (9)     Boxscore</t>
  </si>
  <si>
    <t>Los Angeles Dodgers (8) @ Atlanta Braves (3)     Boxscore</t>
  </si>
  <si>
    <t>Baltimore Orioles (1) @ Boston Red Sox (9)     Boxscore</t>
  </si>
  <si>
    <t>St. Louis Cardinals (13) @ Cincinnati Reds (4)     Boxscore</t>
  </si>
  <si>
    <t>Miami Marlins (0) @ Colorado Rockies (3)     Boxscore</t>
  </si>
  <si>
    <t>New York Mets (1) @ Kansas City Royals (4)     Boxscore</t>
  </si>
  <si>
    <t>Cleveland Indians (2) @ New York Yankees (3)     Boxscore</t>
  </si>
  <si>
    <t>Houston Astros (2) @ Oakland Athletics (3)     Boxscore</t>
  </si>
  <si>
    <t>San Diego Padres (4) @ Philadelphia Phillies (8)     Boxscore</t>
  </si>
  <si>
    <t>Chicago Cubs (2) @ Pittsburgh Pirates (3)     Boxscore</t>
  </si>
  <si>
    <t>Detroit Tigers (2) @ Tampa Bay Rays (0)     Boxscore</t>
  </si>
  <si>
    <t>Minnesota Twins (4) @ Texas Rangers (3)     Boxscore</t>
  </si>
  <si>
    <t>Seattle Mariners (3) @ Toronto Blue Jays (7)     Boxscore</t>
  </si>
  <si>
    <t>Milwaukee Brewers (1) @ Washington Nationals (2)     Boxscore</t>
  </si>
  <si>
    <t xml:space="preserve">   » 2019-08-16 Standings &amp; Scores</t>
  </si>
  <si>
    <t>Chicago White Sox (5) @ Los Angeles Angels (6)     Boxscore</t>
  </si>
  <si>
    <t>San Francisco Giants (11) @ Arizona D'Backs (6)     Boxscore</t>
  </si>
  <si>
    <t>Los Angeles Dodgers (3) @ Atlanta Braves (4)     Boxscore</t>
  </si>
  <si>
    <t>St. Louis Cardinals (1) @ Cincinnati Reds (6)     Boxscore</t>
  </si>
  <si>
    <t>Miami Marlins (4) @ Colorado Rockies (11)     Boxscore</t>
  </si>
  <si>
    <t>New York Mets (4) @ Kansas City Royals (1)     Boxscore</t>
  </si>
  <si>
    <t>Cleveland Indians (5) @ New York Yankees (6)     Boxscore</t>
  </si>
  <si>
    <t>Houston Astros (4) @ Oakland Athletics (8)     Boxscore</t>
  </si>
  <si>
    <t>San Diego Padres (5) @ Philadelphia Phillies (3)     Boxscore</t>
  </si>
  <si>
    <t>Chicago Cubs (2) @ Pittsburgh Pirates (0)     Boxscore</t>
  </si>
  <si>
    <t>Detroit Tigers (0) @ Tampa Bay Rays (1)     Boxscore</t>
  </si>
  <si>
    <t>Minnesota Twins (12) @ Texas Rangers (7)     Boxscore</t>
  </si>
  <si>
    <t>Seattle Mariners (4) @ Toronto Blue Jays (3)     Boxscore</t>
  </si>
  <si>
    <t>Milwaukee Brewers (15) @ Washington Nationals (14)     Boxscore</t>
  </si>
  <si>
    <t xml:space="preserve">   » 2019-08-17 Standings &amp; Scores</t>
  </si>
  <si>
    <t>Chicago White Sox (2) @ Los Angeles Angels (9)     Boxscore</t>
  </si>
  <si>
    <t>San Francisco Giants (1) @ Arizona D'Backs (6)     Boxscore</t>
  </si>
  <si>
    <t>Los Angeles Dodgers (3) @ Atlanta Braves (5)     Boxscore</t>
  </si>
  <si>
    <t>Baltimore Orioles (7) @ Boston Red Sox (13)     Boxscore</t>
  </si>
  <si>
    <t>St. Louis Cardinals (5) @ Cincinnati Reds (4)     Boxscore</t>
  </si>
  <si>
    <t>Miami Marlins (6) @ Colorado Rockies (7)     Boxscore</t>
  </si>
  <si>
    <t>New York Mets (11) @ Kansas City Royals (5)     Boxscore</t>
  </si>
  <si>
    <t>Cleveland Indians (8) @ New York Yankees (4)     Boxscore</t>
  </si>
  <si>
    <t>Houston Astros (4) @ Oakland Athletics (1)     Boxscore</t>
  </si>
  <si>
    <t>San Diego Padres (3) @ Philadelphia Phillies (2)     Boxscore</t>
  </si>
  <si>
    <t>Chicago Cubs (7) @ Pittsburgh Pirates (1)     Boxscore</t>
  </si>
  <si>
    <t>Detroit Tigers (4) @ Tampa Bay Rays (5)     Boxscore</t>
  </si>
  <si>
    <t>Minnesota Twins (6) @ Texas Rangers (3)     Boxscore</t>
  </si>
  <si>
    <t>Seattle Mariners (7) @ Toronto Blue Jays (0)     Boxscore</t>
  </si>
  <si>
    <t>Milwaukee Brewers (8) @ Washington Nationals (16)     Boxscore</t>
  </si>
  <si>
    <t xml:space="preserve">   » 2019-08-18 Standings &amp; Scores</t>
  </si>
  <si>
    <t>Kansas City Royals (5) @ Baltimore Orioles (4)     Boxscore</t>
  </si>
  <si>
    <t>San Diego Padres (3) @ Cincinnati Reds (2)     Boxscore</t>
  </si>
  <si>
    <t>Detroit Tigers (4) @ Houston Astros (5)     Boxscore</t>
  </si>
  <si>
    <t>Chicago White Sox (6) @ Minnesota Twins (4)     Boxscore</t>
  </si>
  <si>
    <t>Washington Nationals (13) @ Pittsburgh Pirates (0)     Boxscore</t>
  </si>
  <si>
    <t>Milwaukee Brewers (0) @ St. Louis Cardinals (3)     Boxscore</t>
  </si>
  <si>
    <t>Seattle Mariners (9) @ Tampa Bay Rays (3)     Boxscore</t>
  </si>
  <si>
    <t>Los Angeles Angels (7) @ Texas Rangers (8)     Boxscore</t>
  </si>
  <si>
    <t xml:space="preserve">   » 2019-08-19 Standings &amp; Scores</t>
  </si>
  <si>
    <t>Colorado Rockies (7) @ Arizona D'Backs (8)     Boxscore</t>
  </si>
  <si>
    <t>Miami Marlins (1) @ Atlanta Braves (5)     Boxscore</t>
  </si>
  <si>
    <t>Kansas City Royals (1) @ Baltimore Orioles (4)     Boxscore</t>
  </si>
  <si>
    <t>Philadelphia Phillies (3) @ Boston Red Sox (2)     Boxscore</t>
  </si>
  <si>
    <t>San Francisco Giants (3) @ Chicago Cubs (5)     Boxscore</t>
  </si>
  <si>
    <t>San Diego Padres (2) @ Cincinnati Reds (3)     Boxscore</t>
  </si>
  <si>
    <t>Detroit Tigers (3) @ Houston Astros (6)     Boxscore</t>
  </si>
  <si>
    <t>Toronto Blue Jays (3) @ Los Angeles Dodgers (16)     Boxscore</t>
  </si>
  <si>
    <t>Chicago White Sox (4) @ Minnesota Twins (14)     Boxscore</t>
  </si>
  <si>
    <t>Cleveland Indians (2) @ New York Mets (9)     Boxscore</t>
  </si>
  <si>
    <t>New York Yankees (2) @ Oakland Athletics (6)     Boxscore</t>
  </si>
  <si>
    <t>Washington Nationals (1) @ Pittsburgh Pirates (4)     Boxscore</t>
  </si>
  <si>
    <t>Milwaukee Brewers (4) @ St. Louis Cardinals (9)     Boxscore</t>
  </si>
  <si>
    <t>Seattle Mariners (7) @ Tampa Bay Rays (4)     Boxscore</t>
  </si>
  <si>
    <t>Los Angeles Angels (5) @ Texas Rangers (1)     Boxscore</t>
  </si>
  <si>
    <t>Los Angeles Angels (2) @ Texas Rangers (3)     Boxscore</t>
  </si>
  <si>
    <t xml:space="preserve">   » 2019-08-20 Standings &amp; Scores</t>
  </si>
  <si>
    <t>Colorado Rockies (7) @ Arizona D'Backs (2)     Boxscore</t>
  </si>
  <si>
    <t>Miami Marlins (0) @ Atlanta Braves (5)     Boxscore</t>
  </si>
  <si>
    <t>Kansas City Royals (1) @ Baltimore Orioles (8)     Boxscore</t>
  </si>
  <si>
    <t>Philadelphia Phillies (5) @ Boston Red Sox (2)     Boxscore</t>
  </si>
  <si>
    <t>San Francisco Giants (11) @ Chicago Cubs (12)     Boxscore</t>
  </si>
  <si>
    <t>San Diego Padres (2) @ Cincinnati Reds (4)     Boxscore</t>
  </si>
  <si>
    <t>Detroit Tigers (2) @ Houston Astros (1)     Boxscore</t>
  </si>
  <si>
    <t>Toronto Blue Jays (1) @ Los Angeles Dodgers (2)     Boxscore</t>
  </si>
  <si>
    <t>Chicago White Sox (4) @ Minnesota Twins (0)     Boxscore</t>
  </si>
  <si>
    <t>Cleveland Indians (3) @ New York Mets (4)     Boxscore</t>
  </si>
  <si>
    <t>New York Yankees (4) @ Oakland Athletics (6)     Boxscore</t>
  </si>
  <si>
    <t>Washington Nationals (11) @ Pittsburgh Pirates (1)     Boxscore</t>
  </si>
  <si>
    <t>Milwaukee Brewers (5) @ St. Louis Cardinals (3)     Boxscore</t>
  </si>
  <si>
    <t>Seattle Mariners (6) @ Tampa Bay Rays (7)     Boxscore</t>
  </si>
  <si>
    <t xml:space="preserve">   » 2019-08-21 Standings &amp; Scores</t>
  </si>
  <si>
    <t>Miami Marlins (2) @ Atlanta Braves (3)     Boxscore</t>
  </si>
  <si>
    <t>Tampa Bay Rays (5) @ Baltimore Orioles (2)     Boxscore</t>
  </si>
  <si>
    <t>Texas Rangers (1) @ Chicago White Sox (6)     Boxscore</t>
  </si>
  <si>
    <t>San Francisco Giants (0) @ Chicago Cubs (1)     Boxscore</t>
  </si>
  <si>
    <t>Toronto Blue Jays (2) @ Los Angeles Dodgers (3)     Boxscore</t>
  </si>
  <si>
    <t>Cleveland Indians (0) @ New York Mets (2)     Boxscore</t>
  </si>
  <si>
    <t>New York Yankees (3) @ Oakland Athletics (5)     Boxscore</t>
  </si>
  <si>
    <t>Washington Nationals (7) @ Pittsburgh Pirates (1)     Boxscore</t>
  </si>
  <si>
    <t>Colorado Rockies (5) @ St. Louis Cardinals (6)     Boxscore</t>
  </si>
  <si>
    <t xml:space="preserve">   » 2019-08-22 Standings &amp; Scores</t>
  </si>
  <si>
    <t>Tampa Bay Rays (7) @ Baltimore Orioles (1)     Boxscore</t>
  </si>
  <si>
    <t>Texas Rangers (3) @ Chicago White Sox (8)     Boxscore</t>
  </si>
  <si>
    <t>Washington Nationals (9) @ Chicago Cubs (3)     Boxscore</t>
  </si>
  <si>
    <t>Kansas City Royals (1) @ Cleveland Indians (4)     Boxscore</t>
  </si>
  <si>
    <t>Los Angeles Angels (4) @ Houston Astros (5)     Boxscore</t>
  </si>
  <si>
    <t>New York Yankees (10) @ Los Angeles Dodgers (2)     Boxscore</t>
  </si>
  <si>
    <t>Philadelphia Phillies (11) @ Miami Marlins (19)     Boxscore</t>
  </si>
  <si>
    <t>Arizona D'Backs (1) @ Milwaukee Brewers (6)     Boxscore</t>
  </si>
  <si>
    <t>Detroit Tigers (9) @ Minnesota Twins (6)     Boxscore</t>
  </si>
  <si>
    <t>Atlanta Braves (2) @ New York Mets (1)     Boxscore</t>
  </si>
  <si>
    <t>Cincinnati Reds (2) @ Pittsburgh Pirates (3)     Boxscore</t>
  </si>
  <si>
    <t>Boston Red Sox (11) @ San Diego Padres (0)     Boxscore</t>
  </si>
  <si>
    <t>Toronto Blue Jays (4) @ Seattle Mariners (7)     Boxscore</t>
  </si>
  <si>
    <t>Colorado Rockies (3) @ St. Louis Cardinals (8)     Boxscore</t>
  </si>
  <si>
    <t xml:space="preserve">   » 2019-08-23 Standings &amp; Scores</t>
  </si>
  <si>
    <t>Tampa Bay Rays (1) @ Baltimore Orioles (7)     Boxscore</t>
  </si>
  <si>
    <t>Texas Rangers (4) @ Chicago White Sox (0)     Boxscore</t>
  </si>
  <si>
    <t>Washington Nationals (7) @ Chicago Cubs (2)     Boxscore</t>
  </si>
  <si>
    <t>Kansas City Royals (2) @ Cleveland Indians (4)     Boxscore</t>
  </si>
  <si>
    <t>Los Angeles Angels (2) @ Houston Astros (5)     Boxscore</t>
  </si>
  <si>
    <t>New York Yankees (1) @ Los Angeles Dodgers (2)     Boxscore</t>
  </si>
  <si>
    <t>Philadelphia Phillies (9) @ Miami Marlins (3)     Boxscore</t>
  </si>
  <si>
    <t>Arizona D'Backs (0) @ Milwaukee Brewers (4)     Boxscore</t>
  </si>
  <si>
    <t>Detroit Tigers (5) @ Minnesota Twins (8)     Boxscore</t>
  </si>
  <si>
    <t>Atlanta Braves (9) @ New York Mets (5)     Boxscore</t>
  </si>
  <si>
    <t>San Francisco Giants (10) @ Oakland Athletics (5)     Boxscore</t>
  </si>
  <si>
    <t>Cincinnati Reds (0) @ Pittsburgh Pirates (14)     Boxscore</t>
  </si>
  <si>
    <t>Boston Red Sox (5) @ San Diego Padres (4)     Boxscore</t>
  </si>
  <si>
    <t>Toronto Blue Jays (7) @ Seattle Mariners (5)     Boxscore</t>
  </si>
  <si>
    <t>Colorado Rockies (0) @ St. Louis Cardinals (6)     Boxscore</t>
  </si>
  <si>
    <t xml:space="preserve">   » 2019-08-24 Standings &amp; Scores</t>
  </si>
  <si>
    <t>Tampa Bay Rays (3) @ Baltimore Orioles (8)     Boxscore</t>
  </si>
  <si>
    <t>Texas Rangers (0) @ Chicago White Sox (2)     Boxscore</t>
  </si>
  <si>
    <t>Washington Nationals (7) @ Chicago Cubs (5)     Boxscore</t>
  </si>
  <si>
    <t>Kansas City Royals (9) @ Cleveland Indians (8)     Boxscore</t>
  </si>
  <si>
    <t>Los Angeles Angels (2) @ Houston Astros (11)     Boxscore</t>
  </si>
  <si>
    <t>New York Yankees (5) @ Los Angeles Dodgers (1)     Boxscore</t>
  </si>
  <si>
    <t>Philadelphia Phillies (2) @ Miami Marlins (3)     Boxscore</t>
  </si>
  <si>
    <t>Arizona D'Backs (5) @ Milwaukee Brewers (2)     Boxscore</t>
  </si>
  <si>
    <t>Detroit Tigers (4) @ Minnesota Twins (7)     Boxscore</t>
  </si>
  <si>
    <t>San Francisco Giants (5) @ Oakland Athletics (4)     Boxscore</t>
  </si>
  <si>
    <t>Cincinnati Reds (8) @ Pittsburgh Pirates (9)     Boxscore</t>
  </si>
  <si>
    <t>Boston Red Sox (1) @ San Diego Padres (3)     Boxscore</t>
  </si>
  <si>
    <t>Toronto Blue Jays (1) @ Seattle Mariners (3)     Boxscore</t>
  </si>
  <si>
    <t>Colorado Rockies (4) @ St. Louis Cardinals (11)     Boxscore</t>
  </si>
  <si>
    <t xml:space="preserve">   » 2019-08-25 Standings &amp; Scores</t>
  </si>
  <si>
    <t>Melville, Tim</t>
  </si>
  <si>
    <t>Melville</t>
  </si>
  <si>
    <t>Lopez, Pablo</t>
  </si>
  <si>
    <t>Sheffield, Justus</t>
  </si>
  <si>
    <t>Sheffield</t>
  </si>
  <si>
    <t>Keller, Mitch</t>
  </si>
  <si>
    <t>Scherzer, Max</t>
  </si>
  <si>
    <t>Scherzer</t>
  </si>
  <si>
    <t>Yarbrough, Ryan</t>
  </si>
  <si>
    <t>Yarbrough</t>
  </si>
  <si>
    <t>Hernandez, Felix</t>
  </si>
  <si>
    <t>Gonzalez, Chi Chi</t>
  </si>
  <si>
    <t>Senzatela, Antonio</t>
  </si>
  <si>
    <t>Senzatela</t>
  </si>
  <si>
    <t>Eovaldi, Nathan</t>
  </si>
  <si>
    <t>Eovaldi</t>
  </si>
  <si>
    <t>Eflin, Zach</t>
  </si>
  <si>
    <t>Eflin</t>
  </si>
  <si>
    <t>Webb, Logan</t>
  </si>
  <si>
    <t>Webb</t>
  </si>
  <si>
    <t>Buchholz, Clay</t>
  </si>
  <si>
    <t>Buchholz</t>
  </si>
  <si>
    <t>–27</t>
  </si>
  <si>
    <t>Kolby Allard</t>
  </si>
  <si>
    <t>Brock Burke</t>
  </si>
  <si>
    <t>Logan Webb</t>
  </si>
  <si>
    <t>Devin Williams</t>
  </si>
  <si>
    <t>Tim Melville</t>
  </si>
  <si>
    <t>Eric Skoglund</t>
  </si>
  <si>
    <t>Junior Fernandez</t>
  </si>
  <si>
    <t>Randy Dobnak</t>
  </si>
  <si>
    <t>Joel Payamps</t>
  </si>
  <si>
    <t>Chandler Shepherd</t>
  </si>
  <si>
    <t>Fernando Abad</t>
  </si>
  <si>
    <t>Miguel Del Pozo</t>
  </si>
  <si>
    <t>Joel Kuhnel</t>
  </si>
  <si>
    <t>Taylor Guilbeau</t>
  </si>
  <si>
    <t>Aaron Slegers</t>
  </si>
  <si>
    <t>Eric Yardley</t>
  </si>
  <si>
    <t>Hunter Harvey</t>
  </si>
  <si>
    <t>Joe Mantiply</t>
  </si>
  <si>
    <t>Brady Lail</t>
  </si>
  <si>
    <t>Jonathan Hernandez</t>
  </si>
  <si>
    <t>Adonis Rosa</t>
  </si>
  <si>
    <t>Luke Farrell</t>
  </si>
  <si>
    <t>Jose De Leon</t>
  </si>
  <si>
    <t>Hoby Milner</t>
  </si>
  <si>
    <t>John Schreiber</t>
  </si>
  <si>
    <t>Jose Castillo</t>
  </si>
  <si>
    <t>A.J. Puk</t>
  </si>
  <si>
    <t>Braves @ Rockies</t>
  </si>
  <si>
    <t>Reds @ Marlins</t>
  </si>
  <si>
    <t>Dodgers @ Padres</t>
  </si>
  <si>
    <t>Monday, August 26, 2019</t>
  </si>
  <si>
    <t>Atlanta Braves (1) @ Colorado Rockies (3)     Boxscore</t>
  </si>
  <si>
    <t>Oakland Athletics (19) @ Kansas City Royals (4)     Boxscore</t>
  </si>
  <si>
    <t>Cincinnati Reds (6) @ Miami Marlins (3)     Boxscore</t>
  </si>
  <si>
    <t>St. Louis Cardinals (12) @ Milwaukee Brewers (2)     Boxscore</t>
  </si>
  <si>
    <t>Pittsburgh Pirates (5) @ Philadelphia Phillies (6)     Boxscore</t>
  </si>
  <si>
    <t>Los Angeles Dodgers (3) @ San Diego Padres (4)     Boxscore</t>
  </si>
  <si>
    <t>New York Yankees (5) @ Seattle Mariners (4)     Boxscore</t>
  </si>
  <si>
    <t>Arizona D'Backs (6) @ San Francisco Giants (4)     Boxscore</t>
  </si>
  <si>
    <t xml:space="preserve">   » 2019-08-26 Standings &amp; Scores</t>
  </si>
  <si>
    <t>Duffy, Danny</t>
  </si>
  <si>
    <t>Duffy</t>
  </si>
  <si>
    <t>Pirates @ Phillies</t>
  </si>
  <si>
    <t>Orioles @ Nationals</t>
  </si>
  <si>
    <t>Indians @ Tigers</t>
  </si>
  <si>
    <t>Cardinals @ Brewers</t>
  </si>
  <si>
    <t>Rays @ Astros</t>
  </si>
  <si>
    <t>Athletics @ Royals</t>
  </si>
  <si>
    <t>Rangers @ Angels</t>
  </si>
  <si>
    <t>Yankees @ Mariners</t>
  </si>
  <si>
    <t>Tuesday, August 27, 2019</t>
  </si>
  <si>
    <t>Texas Rangers (2) @ Los Angeles Angels (5)     Boxscore</t>
  </si>
  <si>
    <t>Minnesota Twins (3) @ Chicago White Sox (1)     Boxscore</t>
  </si>
  <si>
    <t>Boston Red Sox (10) @ Colorado Rockies (6)     Boxscore</t>
  </si>
  <si>
    <t>Cleveland Indians (10) @ Detroit Tigers (1)     Boxscore</t>
  </si>
  <si>
    <t>Tampa Bay Rays (1) @ Houston Astros (15)     Boxscore</t>
  </si>
  <si>
    <t>Oakland Athletics (2) @ Kansas City Royals (1)     Boxscore</t>
  </si>
  <si>
    <t>Cincinnati Reds (8) @ Miami Marlins (5)     Boxscore</t>
  </si>
  <si>
    <t>Chicago Cubs (5) @ New York Mets (2)     Boxscore</t>
  </si>
  <si>
    <t>Pittsburgh Pirates (5) @ Philadelphia Phillies (4)     Boxscore</t>
  </si>
  <si>
    <t>Los Angeles Dodgers (9) @ San Diego Padres (0)     Boxscore</t>
  </si>
  <si>
    <t>New York Yankees (7) @ Seattle Mariners (0)     Boxscore</t>
  </si>
  <si>
    <t>Arizona D'Backs (3) @ San Francisco Giants (2)     Boxscore</t>
  </si>
  <si>
    <t>Atlanta Braves (1) @ Toronto Blue Jays (3)     Boxscore</t>
  </si>
  <si>
    <t>Baltimore Orioles (2) @ Washington Nationals (0)     Boxscore</t>
  </si>
  <si>
    <t xml:space="preserve">   » 2019-08-27 Standings &amp; Scores</t>
  </si>
  <si>
    <t>Rico Garcia</t>
  </si>
  <si>
    <t>Cubs @ Mets</t>
  </si>
  <si>
    <t>Red Sox @ Rockies</t>
  </si>
  <si>
    <t>Dugger, Robert</t>
  </si>
  <si>
    <t>Dugger</t>
  </si>
  <si>
    <t>Dodgers @ Diamondbacks</t>
  </si>
  <si>
    <t>Pirates @ Rockies</t>
  </si>
  <si>
    <t>Oakland Athletics (7) @ Detroit Tigers (3)     Boxscore</t>
  </si>
  <si>
    <t>Wednesday, August 28, 2019</t>
  </si>
  <si>
    <t>Texas Rangers (3) @ Los Angeles Angels (0)     Boxscore</t>
  </si>
  <si>
    <t>Minnesota Twins (8) @ Chicago White Sox (2)     Boxscore</t>
  </si>
  <si>
    <t>Boston Red Sox (7) @ Colorado Rockies (4)     Boxscore</t>
  </si>
  <si>
    <t>Tampa Bay Rays (6) @ Houston Astros (8)     Boxscore</t>
  </si>
  <si>
    <t>Oakland Athletics (4) @ Kansas City Royals (6)     Boxscore</t>
  </si>
  <si>
    <t>Cincinnati Reds (5) @ Miami Marlins (0)     Boxscore</t>
  </si>
  <si>
    <t>St. Louis Cardinals (1) @ Milwaukee Brewers (4)     Boxscore</t>
  </si>
  <si>
    <t>Chicago Cubs (10) @ New York Mets (7)     Boxscore</t>
  </si>
  <si>
    <t>Pittsburgh Pirates (3) @ Philadelphia Phillies (12)     Boxscore</t>
  </si>
  <si>
    <t>Los Angeles Dodgers (6) @ San Diego Padres (4)     Boxscore</t>
  </si>
  <si>
    <t>New York Yankees (7) @ Seattle Mariners (3)     Boxscore</t>
  </si>
  <si>
    <t>Atlanta Braves (9) @ Toronto Blue Jays (4)     Boxscore</t>
  </si>
  <si>
    <t>Baltimore Orioles (4) @ Washington Nationals (8)     Boxscore</t>
  </si>
  <si>
    <t xml:space="preserve">   » 2019-08-28 Standings &amp; Scores</t>
  </si>
  <si>
    <t>Los Angeles Dodgers (5) @ Arizona D'Backs (11)     Boxscore</t>
  </si>
  <si>
    <t>Minnesota Twins (10) @ Chicago White Sox (5)     Boxscore</t>
  </si>
  <si>
    <t>Pittsburgh Pirates (11) @ Colorado Rockies (8)     Boxscore</t>
  </si>
  <si>
    <t>Cleveland Indians (2) @ Detroit Tigers (0)     Boxscore</t>
  </si>
  <si>
    <t>Tampa Bay Rays (9) @ Houston Astros (8)     Boxscore</t>
  </si>
  <si>
    <t>Oakland Athletics (9) @ Kansas City Royals (8)     Boxscore</t>
  </si>
  <si>
    <t>Cincinnati Reds (3) @ Miami Marlins (4)     Boxscore</t>
  </si>
  <si>
    <t>Chicago Cubs (4) @ New York Mets (1)     Boxscore</t>
  </si>
  <si>
    <t>San Diego Padres (5) @ San Francisco Giants (3)     Boxscore</t>
  </si>
  <si>
    <t>Seattle Mariners (5) @ Texas Rangers (3)     Boxscore</t>
  </si>
  <si>
    <t xml:space="preserve">   » 2019-08-29 Standings &amp; Scores</t>
  </si>
  <si>
    <t>Boston Red Sox (7) @ Los Angeles Angels (6)     Boxscore</t>
  </si>
  <si>
    <t>Los Angeles Dodgers (4) @ Arizona D'Backs (5)     Boxscore</t>
  </si>
  <si>
    <t>Chicago White Sox (7) @ Atlanta Braves (10)     Boxscore</t>
  </si>
  <si>
    <t>Milwaukee Brewers (1) @ Chicago Cubs (7)     Boxscore</t>
  </si>
  <si>
    <t>Pittsburgh Pirates (9) @ Colorado Rockies (4)     Boxscore</t>
  </si>
  <si>
    <t>Minnesota Twins (13) @ Detroit Tigers (5)     Boxscore</t>
  </si>
  <si>
    <t>Baltimore Orioles (14) @ Kansas City Royals (2)     Boxscore</t>
  </si>
  <si>
    <t>Oakland Athletics (8) @ New York Yankees (2)     Boxscore</t>
  </si>
  <si>
    <t>New York Mets (11) @ Philadelphia Phillies (5)     Boxscore</t>
  </si>
  <si>
    <t>San Diego Padres (3) @ San Francisco Giants (8)     Boxscore</t>
  </si>
  <si>
    <t>Cleveland Indians (0) @ Tampa Bay Rays (4)     Boxscore</t>
  </si>
  <si>
    <t>Seattle Mariners (3) @ Texas Rangers (6)     Boxscore</t>
  </si>
  <si>
    <t>Houston Astros (7) @ Toronto Blue Jays (4)     Boxscore</t>
  </si>
  <si>
    <t>Miami Marlins (6) @ Washington Nationals (7)     Boxscore</t>
  </si>
  <si>
    <t xml:space="preserve">   » 2019-08-30 Standings &amp; Scores</t>
  </si>
  <si>
    <t>Boston Red Sox (4) @ Los Angeles Angels (10)     Boxscore</t>
  </si>
  <si>
    <t>Los Angeles Dodgers (5) @ Arizona D'Backs (6)     Boxscore</t>
  </si>
  <si>
    <t>Chicago White Sox (5) @ Atlanta Braves (11)     Boxscore</t>
  </si>
  <si>
    <t>Milwaukee Brewers (2) @ Chicago Cubs (0)     Boxscore</t>
  </si>
  <si>
    <t>Pittsburgh Pirates (11) @ Colorado Rockies (4)     Boxscore</t>
  </si>
  <si>
    <t>Minnesota Twins (7) @ Detroit Tigers (10)     Boxscore</t>
  </si>
  <si>
    <t>Baltimore Orioles (5) @ Kansas City Royals (7)     Boxscore</t>
  </si>
  <si>
    <t>Oakland Athletics (3) @ New York Yankees (4)     Boxscore</t>
  </si>
  <si>
    <t>New York Mets (6) @ Philadelphia Phillies (3)     Boxscore</t>
  </si>
  <si>
    <t>San Diego Padres (4) @ San Francisco Giants (1)     Boxscore</t>
  </si>
  <si>
    <t>Cincinnati Reds (6) @ St. Louis Cardinals (10)     Boxscore</t>
  </si>
  <si>
    <t>Cincinnati Reds (2) @ St. Louis Cardinals (3)     Boxscore</t>
  </si>
  <si>
    <t>Cleveland Indians (6) @ Tampa Bay Rays (9)     Boxscore</t>
  </si>
  <si>
    <t>Seattle Mariners (2) @ Texas Rangers (3)     Boxscore</t>
  </si>
  <si>
    <t>Houston Astros (4) @ Toronto Blue Jays (6)     Boxscore</t>
  </si>
  <si>
    <t>Miami Marlins (0) @ Washington Nationals (7)     Boxscore</t>
  </si>
  <si>
    <t xml:space="preserve">   » 2019-08-31 Standings &amp; Scores</t>
  </si>
  <si>
    <t>Boston Red Sox (4) @ Los Angeles Angels (3)     Boxscore</t>
  </si>
  <si>
    <t>Los Angeles Dodgers (4) @ Arizona D'Backs (3)     Boxscore</t>
  </si>
  <si>
    <t>Chicago White Sox (3) @ Atlanta Braves (5)     Boxscore</t>
  </si>
  <si>
    <t>Milwaukee Brewers (4) @ Chicago Cubs (0)     Boxscore</t>
  </si>
  <si>
    <t>Pittsburgh Pirates (6) @ Colorado Rockies (2)     Boxscore</t>
  </si>
  <si>
    <t>Minnesota Twins (8) @ Detroit Tigers (3)     Boxscore</t>
  </si>
  <si>
    <t>Baltimore Orioles (4) @ Kansas City Royals (6)     Boxscore</t>
  </si>
  <si>
    <t>Oakland Athletics (4) @ New York Yankees (5)     Boxscore</t>
  </si>
  <si>
    <t>New York Mets (2) @ Philadelphia Phillies (5)     Boxscore</t>
  </si>
  <si>
    <t>San Diego Padres (8) @ San Francisco Giants (4)     Boxscore</t>
  </si>
  <si>
    <t>Cincinnati Reds (3) @ St. Louis Cardinals (4)     Boxscore</t>
  </si>
  <si>
    <t>Cincinnati Reds (5) @ St. Louis Cardinals (3)     Boxscore</t>
  </si>
  <si>
    <t>Cleveland Indians (2) @ Tampa Bay Rays (8)     Boxscore</t>
  </si>
  <si>
    <t>Seattle Mariners (11) @ Texas Rangers (3)     Boxscore</t>
  </si>
  <si>
    <t>Houston Astros (2) @ Toronto Blue Jays (0)     Boxscore</t>
  </si>
  <si>
    <t>Miami Marlins (3) @ Washington Nationals (9)     Boxscore</t>
  </si>
  <si>
    <t xml:space="preserve">   » 2019-09-01 Standings &amp; Scores</t>
  </si>
  <si>
    <t>San Diego Padres (7) @ Arizona D'Backs (14)     Boxscore</t>
  </si>
  <si>
    <t>Toronto Blue Jays (3) @ Atlanta Braves (6)     Boxscore</t>
  </si>
  <si>
    <t>Seattle Mariners (1) @ Chicago Cubs (5)     Boxscore</t>
  </si>
  <si>
    <t>Philadelphia Phillies (7) @ Cincinnati Reds (1)     Boxscore</t>
  </si>
  <si>
    <t>Chicago White Sox (3) @ Cleveland Indians (11)     Boxscore</t>
  </si>
  <si>
    <t>Minnesota Twins (4) @ Detroit Tigers (3)     Boxscore</t>
  </si>
  <si>
    <t>Colorado Rockies (9) @ Los Angeles Dodgers (16)     Boxscore</t>
  </si>
  <si>
    <t>Houston Astros (3) @ Milwaukee Brewers (2)     Boxscore</t>
  </si>
  <si>
    <t>Texas Rangers (7) @ New York Yankees (0)     Boxscore</t>
  </si>
  <si>
    <t>San Francisco Giants (1) @ St. Louis Cardinals (3)     Boxscore</t>
  </si>
  <si>
    <t>Baltimore Orioles (4) @ Tampa Bay Rays (5)     Boxscore</t>
  </si>
  <si>
    <t>New York Mets (7) @ Washington Nationals (3)     Boxscore</t>
  </si>
  <si>
    <t xml:space="preserve">   » 2019-09-02 Standings &amp; Scores</t>
  </si>
  <si>
    <t>San Diego Padres (1) @ Arizona D'Backs (2)     Boxscore</t>
  </si>
  <si>
    <t>Toronto Blue Jays (2) @ Atlanta Braves (7)     Boxscore</t>
  </si>
  <si>
    <t>Minnesota Twins (6) @ Boston Red Sox (5)     Boxscore</t>
  </si>
  <si>
    <t>Seattle Mariners (1) @ Chicago Cubs (6)     Boxscore</t>
  </si>
  <si>
    <t>Philadelphia Phillies (6) @ Cincinnati Reds (2)     Boxscore</t>
  </si>
  <si>
    <t>Chicago White Sox (6) @ Cleveland Indians (5)     Boxscore</t>
  </si>
  <si>
    <t>Detroit Tigers (5) @ Kansas City Royals (6)     Boxscore</t>
  </si>
  <si>
    <t>Colorado Rockies (3) @ Los Angeles Dodgers (5)     Boxscore</t>
  </si>
  <si>
    <t>Houston Astros (2) @ Milwaukee Brewers (4)     Boxscore</t>
  </si>
  <si>
    <t>Texas Rangers (1) @ New York Yankees (10)     Boxscore</t>
  </si>
  <si>
    <t>Los Angeles Angels (5) @ Oakland Athletics (7)     Boxscore</t>
  </si>
  <si>
    <t>Miami Marlins (5) @ Pittsburgh Pirates (4)     Boxscore</t>
  </si>
  <si>
    <t>San Francisco Giants (0) @ St. Louis Cardinals (1)     Boxscore</t>
  </si>
  <si>
    <t>Baltimore Orioles (4) @ Tampa Bay Rays (2)     Boxscore</t>
  </si>
  <si>
    <t>Baltimore Orioles (0) @ Tampa Bay Rays (2)     Boxscore</t>
  </si>
  <si>
    <t>New York Mets (10) @ Washington Nationals (11)     Boxscore</t>
  </si>
  <si>
    <t xml:space="preserve">   » 2019-09-03 Standings &amp; Scores</t>
  </si>
  <si>
    <t>San Diego Padres (1) @ Arizona D'Backs (4)     Boxscore</t>
  </si>
  <si>
    <t>Minnesota Twins (2) @ Boston Red Sox (6)     Boxscore</t>
  </si>
  <si>
    <t>Philadelphia Phillies (5) @ Cincinnati Reds (8)     Boxscore</t>
  </si>
  <si>
    <t>Chicago White Sox (6) @ Cleveland Indians (8)     Boxscore</t>
  </si>
  <si>
    <t>Detroit Tigers (4) @ Kansas City Royals (5)     Boxscore</t>
  </si>
  <si>
    <t>Colorado Rockies (3) @ Los Angeles Dodgers (7)     Boxscore</t>
  </si>
  <si>
    <t>Texas Rangers (1) @ New York Yankees (4)     Boxscore</t>
  </si>
  <si>
    <t>Miami Marlins (5) @ Pittsburgh Pirates (6)     Boxscore</t>
  </si>
  <si>
    <t>San Francisco Giants (9) @ St. Louis Cardinals (8)     Boxscore</t>
  </si>
  <si>
    <t>New York Mets (8) @ Washington Nationals (4)     Boxscore</t>
  </si>
  <si>
    <t xml:space="preserve">   » 2019-09-04 Standings &amp; Scores</t>
  </si>
  <si>
    <t>Washington Nationals (2) @ Atlanta Braves (4)     Boxscore</t>
  </si>
  <si>
    <t>Texas Rangers (3) @ Baltimore Orioles (1)     Boxscore</t>
  </si>
  <si>
    <t>Minnesota Twins (2) @ Boston Red Sox (1)     Boxscore</t>
  </si>
  <si>
    <t>Philadelphia Phillies (3) @ Cincinnati Reds (4)     Boxscore</t>
  </si>
  <si>
    <t>Chicago White Sox (7) @ Cleveland Indians (1)     Boxscore</t>
  </si>
  <si>
    <t>Seattle Mariners (9) @ Houston Astros (11)     Boxscore</t>
  </si>
  <si>
    <t>Detroit Tigers (6) @ Kansas City Royals (4)     Boxscore</t>
  </si>
  <si>
    <t>Chicago Cubs (10) @ Milwaukee Brewers (5)     Boxscore</t>
  </si>
  <si>
    <t>Los Angeles Angels (6) @ Oakland Athletics (10)     Boxscore</t>
  </si>
  <si>
    <t>Miami Marlins (10) @ Pittsburgh Pirates (7)     Boxscore</t>
  </si>
  <si>
    <t>San Francisco Giants (0) @ St. Louis Cardinals (10)     Boxscore</t>
  </si>
  <si>
    <t>Toronto Blue Jays (4) @ Tampa Bay Rays (6)     Boxscore</t>
  </si>
  <si>
    <t xml:space="preserve">   » 2019-09-05 Standings &amp; Scores</t>
  </si>
  <si>
    <t>Texas Rangers (7) @ Baltimore Orioles (6)     Boxscore</t>
  </si>
  <si>
    <t>New York Yankees (1) @ Boston Red Sox (6)     Boxscore</t>
  </si>
  <si>
    <t>Los Angeles Angels (5) @ Chicago White Sox (4)     Boxscore</t>
  </si>
  <si>
    <t>Arizona D'Backs (7) @ Cincinnati Reds (5)     Boxscore</t>
  </si>
  <si>
    <t>Seattle Mariners (4) @ Houston Astros (7)     Boxscore</t>
  </si>
  <si>
    <t>San Francisco Giants (5) @ Los Angeles Dodgers (4)     Boxscore</t>
  </si>
  <si>
    <t>Kansas City Royals (3) @ Miami Marlins (0)     Boxscore</t>
  </si>
  <si>
    <t>Chicago Cubs (1) @ Milwaukee Brewers (7)     Boxscore</t>
  </si>
  <si>
    <t>Philadelphia Phillies (4) @ New York Mets (5)     Boxscore</t>
  </si>
  <si>
    <t>Detroit Tigers (5) @ Oakland Athletics (4)     Boxscore</t>
  </si>
  <si>
    <t>St. Louis Cardinals (4) @ Pittsburgh Pirates (9)     Boxscore</t>
  </si>
  <si>
    <t>Colorado Rockies (3) @ San Diego Padres (2)     Boxscore</t>
  </si>
  <si>
    <t>Toronto Blue Jays (0) @ Tampa Bay Rays (5)     Boxscore</t>
  </si>
  <si>
    <t xml:space="preserve">   » 2019-09-06 Standings &amp; Scores</t>
  </si>
  <si>
    <t>Washington Nationals (4) @ Atlanta Braves (5)     Boxscore</t>
  </si>
  <si>
    <t>Texas Rangers (9) @ Baltimore Orioles (4)     Boxscore</t>
  </si>
  <si>
    <t>New York Yankees (5) @ Boston Red Sox (1)     Boxscore</t>
  </si>
  <si>
    <t>Los Angeles Angels (8) @ Chicago White Sox (7)     Boxscore</t>
  </si>
  <si>
    <t>Arizona D'Backs (2) @ Cincinnati Reds (0)     Boxscore</t>
  </si>
  <si>
    <t>San Francisco Giants (1) @ Los Angeles Dodgers (0)     Boxscore</t>
  </si>
  <si>
    <t>Kansas City Royals (7) @ Miami Marlins (2)     Boxscore</t>
  </si>
  <si>
    <t>Cleveland Indians (3) @ Minnesota Twins (5)     Boxscore</t>
  </si>
  <si>
    <t>Philadelphia Phillies (5) @ New York Mets (0)     Boxscore</t>
  </si>
  <si>
    <t>Detroit Tigers (2) @ Oakland Athletics (10)     Boxscore</t>
  </si>
  <si>
    <t>St. Louis Cardinals (10) @ Pittsburgh Pirates (1)     Boxscore</t>
  </si>
  <si>
    <t>Colorado Rockies (0) @ San Diego Padres (3)     Boxscore</t>
  </si>
  <si>
    <t>Toronto Blue Jays (3) @ Tampa Bay Rays (5)     Boxscore</t>
  </si>
  <si>
    <t xml:space="preserve">   » 2019-09-07 Standings &amp; Scores</t>
  </si>
  <si>
    <t>Washington Nationals (9) @ Atlanta Braves (4)     Boxscore</t>
  </si>
  <si>
    <t>Texas Rangers (10) @ Baltimore Orioles (4)     Boxscore</t>
  </si>
  <si>
    <t>New York Yankees (10) @ Boston Red Sox (5)     Boxscore</t>
  </si>
  <si>
    <t>Los Angeles Angels (1) @ Chicago White Sox (5)     Boxscore</t>
  </si>
  <si>
    <t>Arizona D'Backs (3) @ Cincinnati Reds (4)     Boxscore</t>
  </si>
  <si>
    <t>Seattle Mariners (1) @ Houston Astros (21)     Boxscore</t>
  </si>
  <si>
    <t>San Francisco Giants (0) @ Los Angeles Dodgers (5)     Boxscore</t>
  </si>
  <si>
    <t>Kansas City Royals (0) @ Miami Marlins (9)     Boxscore</t>
  </si>
  <si>
    <t>Chicago Cubs (5) @ Milwaukee Brewers (8)     Boxscore</t>
  </si>
  <si>
    <t>Cleveland Indians (5) @ Minnesota Twins (2)     Boxscore</t>
  </si>
  <si>
    <t>Philadelphia Phillies (10) @ New York Mets (7)     Boxscore</t>
  </si>
  <si>
    <t>Detroit Tigers (1) @ Oakland Athletics (3)     Boxscore</t>
  </si>
  <si>
    <t>St. Louis Cardinals (2) @ Pittsburgh Pirates (0)     Boxscore</t>
  </si>
  <si>
    <t>Colorado Rockies (1) @ San Diego Padres (2)     Boxscore</t>
  </si>
  <si>
    <t xml:space="preserve">   » 2019-09-08 Standings &amp; Scores</t>
  </si>
  <si>
    <t>Zeuch, T.J.</t>
  </si>
  <si>
    <t>Zeuch</t>
  </si>
  <si>
    <t>–24</t>
  </si>
  <si>
    <t>Cueto, Johnny</t>
  </si>
  <si>
    <t>Cueto</t>
  </si>
  <si>
    <t>Bolanos, Ronald</t>
  </si>
  <si>
    <t>Bolanos</t>
  </si>
  <si>
    <t>Stripling, Ross</t>
  </si>
  <si>
    <t>Stripling</t>
  </si>
  <si>
    <t>Lopez, Jorge</t>
  </si>
  <si>
    <t>Hill, Rich</t>
  </si>
  <si>
    <t>Hill</t>
  </si>
  <si>
    <t>Mahle, Tyler</t>
  </si>
  <si>
    <t>Mahle</t>
  </si>
  <si>
    <t>Hoffman, Jeff</t>
  </si>
  <si>
    <t>Hoffman</t>
  </si>
  <si>
    <t>Manaea, Sean</t>
  </si>
  <si>
    <t>Manaea</t>
  </si>
  <si>
    <t>Glasnow, Tyler</t>
  </si>
  <si>
    <t>Glasnow</t>
  </si>
  <si>
    <t>Dobnak, Randy</t>
  </si>
  <si>
    <t>Dobnak</t>
  </si>
  <si>
    <t>Marvel, James</t>
  </si>
  <si>
    <t>Marvel</t>
  </si>
  <si>
    <t>Voth, Austin</t>
  </si>
  <si>
    <t>Voth</t>
  </si>
  <si>
    <t>Chacin, Jhoulys</t>
  </si>
  <si>
    <t>Chacin</t>
  </si>
  <si>
    <t>Ynoa, Gabriel</t>
  </si>
  <si>
    <t>Ynoa</t>
  </si>
  <si>
    <t>Sean Manaea</t>
  </si>
  <si>
    <t>Jose Rodriguez</t>
  </si>
  <si>
    <t>Tyler Rogers</t>
  </si>
  <si>
    <t>Brent Suter</t>
  </si>
  <si>
    <t>Ronald Bolanos</t>
  </si>
  <si>
    <t>Anthony Kay</t>
  </si>
  <si>
    <t>James Marvel</t>
  </si>
  <si>
    <t>T.J. Zeuch</t>
  </si>
  <si>
    <t>Keynan Middleton</t>
  </si>
  <si>
    <t>David Bednar</t>
  </si>
  <si>
    <t>Ricardo Pinto</t>
  </si>
  <si>
    <t>Yohander Mendez</t>
  </si>
  <si>
    <t>James Hoyt</t>
  </si>
  <si>
    <t>Bryan Garcia</t>
  </si>
  <si>
    <t>Jesse Hahn</t>
  </si>
  <si>
    <t>Gabe Speier</t>
  </si>
  <si>
    <t>Brusdar Graterol</t>
  </si>
  <si>
    <t>Cole Sulser</t>
  </si>
  <si>
    <t>Brian Moran</t>
  </si>
  <si>
    <t>James Pazos</t>
  </si>
  <si>
    <t>Danny Hultzen</t>
  </si>
  <si>
    <t>Aaron Barrett</t>
  </si>
  <si>
    <t>Anthony Banda</t>
  </si>
  <si>
    <t>Brewers @ Marlins</t>
  </si>
  <si>
    <t>Diamondbacks @ Mets</t>
  </si>
  <si>
    <t>+205</t>
  </si>
  <si>
    <t>Indians @ Angels</t>
  </si>
  <si>
    <t>Braves @ Phillies</t>
  </si>
  <si>
    <t>Cleveland Indians (6) @ Los Angeles Angels (2)     Boxscore</t>
  </si>
  <si>
    <t>New York Yankees (5) @ Boston Red Sox (0)     Boxscore</t>
  </si>
  <si>
    <t>Oakland Athletics (0) @ Houston Astros (15)     Boxscore</t>
  </si>
  <si>
    <t>Milwaukee Brewers (8) @ Miami Marlins (3)     Boxscore</t>
  </si>
  <si>
    <t>Arizona D'Backs (1) @ New York Mets (3)     Boxscore</t>
  </si>
  <si>
    <t>Atlanta Braves (7) @ Philadelphia Phillies (2)     Boxscore</t>
  </si>
  <si>
    <t>Chicago Cubs (10) @ San Diego Padres (2)     Boxscore</t>
  </si>
  <si>
    <t>Pittsburgh Pirates (6) @ San Francisco Giants (4)     Boxscore</t>
  </si>
  <si>
    <t xml:space="preserve">   » 2019-09-09 Standings &amp; Scores</t>
  </si>
  <si>
    <t>Dodgers @ Orioles</t>
  </si>
  <si>
    <t>Cardinals @ Rockies</t>
  </si>
  <si>
    <t>Pirates @ Giants</t>
  </si>
  <si>
    <t>Tuesday, September 10, 2019</t>
  </si>
  <si>
    <t>Cleveland Indians (8) @ Los Angeles Angels (0)     Boxscore</t>
  </si>
  <si>
    <t>Los Angeles Dodgers (7) @ Baltimore Orioles (3)     Boxscore</t>
  </si>
  <si>
    <t>Kansas City Royals (3) @ Chicago White Sox (7)     Boxscore</t>
  </si>
  <si>
    <t>St. Louis Cardinals (1) @ Colorado Rockies (2)     Boxscore</t>
  </si>
  <si>
    <t>New York Yankees (11) @ Detroit Tigers (12)     Boxscore</t>
  </si>
  <si>
    <t>Oakland Athletics (21) @ Houston Astros (7)     Boxscore</t>
  </si>
  <si>
    <t>Milwaukee Brewers (4) @ Miami Marlins (3)     Boxscore</t>
  </si>
  <si>
    <t>Washington Nationals (0) @ Minnesota Twins (5)     Boxscore</t>
  </si>
  <si>
    <t>Arizona D'Backs (2) @ New York Mets (3)     Boxscore</t>
  </si>
  <si>
    <t>Atlanta Braves (5) @ Philadelphia Phillies (6)     Boxscore</t>
  </si>
  <si>
    <t>Chicago Cubs (8) @ San Diego Padres (9)     Boxscore</t>
  </si>
  <si>
    <t>Cincinnati Reds (3) @ Seattle Mariners (4)     Boxscore</t>
  </si>
  <si>
    <t>Pittsburgh Pirates (4) @ San Francisco Giants (5)     Boxscore</t>
  </si>
  <si>
    <t>Tampa Bay Rays (5) @ Texas Rangers (3)     Boxscore</t>
  </si>
  <si>
    <t>Boston Red Sox (3) @ Toronto Blue Jays (4)     Boxscore</t>
  </si>
  <si>
    <t xml:space="preserve">   » 2019-09-10 Standings &amp; Scores</t>
  </si>
  <si>
    <t>Urquidy, Jose</t>
  </si>
  <si>
    <t>Urquidy</t>
  </si>
  <si>
    <t>Yankees @ Tigers</t>
  </si>
  <si>
    <t>Nationals @ Twins</t>
  </si>
  <si>
    <t>Rays @ Rangers</t>
  </si>
  <si>
    <t>Cleveland Indians (4) @ Los Angeles Angels (3)     Boxscore</t>
  </si>
  <si>
    <t>Los Angeles Dodgers (3) @ Baltimore Orioles (7)     Boxscore</t>
  </si>
  <si>
    <t>Kansas City Royals (8) @ Chicago White Sox (6)     Boxscore</t>
  </si>
  <si>
    <t>Oakland Athletics (5) @ Houston Astros (3)     Boxscore</t>
  </si>
  <si>
    <t>Milwaukee Brewers (7) @ Miami Marlins (5)     Boxscore</t>
  </si>
  <si>
    <t>Washington Nationals (6) @ Minnesota Twins (2)     Boxscore</t>
  </si>
  <si>
    <t>Arizona D'Backs (0) @ New York Mets (9)     Boxscore</t>
  </si>
  <si>
    <t>Atlanta Braves (3) @ Philadelphia Phillies (1)     Boxscore</t>
  </si>
  <si>
    <t>Chicago Cubs (0) @ San Diego Padres (4)     Boxscore</t>
  </si>
  <si>
    <t>Cincinnati Reds (3) @ Seattle Mariners (5)     Boxscore</t>
  </si>
  <si>
    <t>Pittsburgh Pirates (6) @ San Francisco Giants (3)     Boxscore</t>
  </si>
  <si>
    <t>Tampa Bay Rays (9) @ Texas Rangers (10)     Boxscore</t>
  </si>
  <si>
    <t>Boston Red Sox (0) @ Toronto Blue Jays (8)     Boxscore</t>
  </si>
  <si>
    <t xml:space="preserve">   » 2019-09-11 Standings &amp; Scores</t>
  </si>
  <si>
    <t>Dunn, Justin</t>
  </si>
  <si>
    <t>Dunn</t>
  </si>
  <si>
    <t>Los Angeles Dodgers (4) @ Baltimore Orioles (2)     Boxscore</t>
  </si>
  <si>
    <t>Kansas City Royals (6) @ Chicago White Sox (3)     Boxscore</t>
  </si>
  <si>
    <t>St. Louis Cardinals (10) @ Colorado Rockies (3)     Boxscore</t>
  </si>
  <si>
    <t>New York Yankees (10) @ Detroit Tigers (4)     Boxscore</t>
  </si>
  <si>
    <t>New York Yankees (6) @ Detroit Tigers (4)     Boxscore</t>
  </si>
  <si>
    <t>Oakland Athletics (3) @ Houston Astros (2)     Boxscore</t>
  </si>
  <si>
    <t>Milwaukee Brewers (3) @ Miami Marlins (2)     Boxscore</t>
  </si>
  <si>
    <t>Washington Nationals (12) @ Minnesota Twins (6)     Boxscore</t>
  </si>
  <si>
    <t>Arizona D'Backs (1) @ New York Mets (11)     Boxscore</t>
  </si>
  <si>
    <t>Atlanta Braves (5) @ Philadelphia Phillies (9)     Boxscore</t>
  </si>
  <si>
    <t>Chicago Cubs (4) @ San Diego Padres (1)     Boxscore</t>
  </si>
  <si>
    <t>Cincinnati Reds (11) @ Seattle Mariners (5)     Boxscore</t>
  </si>
  <si>
    <t>Pittsburgh Pirates (4) @ San Francisco Giants (2)     Boxscore</t>
  </si>
  <si>
    <t>Tampa Bay Rays (4) @ Texas Rangers (6)     Boxscore</t>
  </si>
  <si>
    <t>Boston Red Sox (7) @ Toronto Blue Jays (4)     Boxscore</t>
  </si>
  <si>
    <t xml:space="preserve">   » 2019-09-12 Standings &amp; Scores</t>
  </si>
  <si>
    <t>Alexander, Tyler</t>
  </si>
  <si>
    <t>Alexander</t>
  </si>
  <si>
    <t>Severino, Luis</t>
  </si>
  <si>
    <t>Severino</t>
  </si>
  <si>
    <t>Friday, September 13, 2019</t>
  </si>
  <si>
    <t>Tampa Bay Rays (11) @ Los Angeles Angels (4)     Boxscore</t>
  </si>
  <si>
    <t>Cincinnati Reds (4) @ Arizona D'Backs (3)     Boxscore</t>
  </si>
  <si>
    <t>Pittsburgh Pirates (8) @ Chicago Cubs (17)     Boxscore</t>
  </si>
  <si>
    <t>San Diego Padres (8) @ Colorado Rockies (10)     Boxscore</t>
  </si>
  <si>
    <t>Baltimore Orioles (6) @ Detroit Tigers (2)     Boxscore</t>
  </si>
  <si>
    <t>Houston Astros (4) @ Kansas City Royals (1)     Boxscore</t>
  </si>
  <si>
    <t>Los Angeles Dodgers (9) @ New York Mets (2)     Boxscore</t>
  </si>
  <si>
    <t>Chicago White Sox (9) @ Seattle Mariners (7)     Boxscore</t>
  </si>
  <si>
    <t>Miami Marlins (0) @ San Francisco Giants (1)     Boxscore</t>
  </si>
  <si>
    <t>Milwaukee Brewers (0) @ St. Louis Cardinals (10)     Boxscore</t>
  </si>
  <si>
    <t>Oakland Athletics (14) @ Texas Rangers (9)     Boxscore</t>
  </si>
  <si>
    <t>New York Yankees (5) @ Toronto Blue Jays (6)     Boxscore</t>
  </si>
  <si>
    <t>Atlanta Braves (5) @ Washington Nationals (0)     Boxscore</t>
  </si>
  <si>
    <t xml:space="preserve">   » 2019-09-13 Standings &amp; Scores</t>
  </si>
  <si>
    <t>Tampa Bay Rays (3) @ Los Angeles Angels (1)     Boxscore</t>
  </si>
  <si>
    <t>Cincinnati Reds (0) @ Arizona D'Backs (1)     Boxscore</t>
  </si>
  <si>
    <t>Pittsburgh Pirates (1) @ Chicago Cubs (14)     Boxscore</t>
  </si>
  <si>
    <t>Minnesota Twins (2) @ Cleveland Indians (0)     Boxscore</t>
  </si>
  <si>
    <t>Minnesota Twins (9) @ Cleveland Indians (5)     Boxscore</t>
  </si>
  <si>
    <t>San Diego Padres (10) @ Colorado Rockies (11)     Boxscore</t>
  </si>
  <si>
    <t>Baltimore Orioles (4) @ Detroit Tigers (8)     Boxscore</t>
  </si>
  <si>
    <t>Houston Astros (6) @ Kansas City Royals (1)     Boxscore</t>
  </si>
  <si>
    <t>Los Angeles Dodgers (0) @ New York Mets (3)     Boxscore</t>
  </si>
  <si>
    <t>Boston Red Sox (2) @ Philadelphia Phillies (1)     Boxscore</t>
  </si>
  <si>
    <t>Chicago White Sox (1) @ Seattle Mariners (2)     Boxscore</t>
  </si>
  <si>
    <t>Miami Marlins (4) @ San Francisco Giants (2)     Boxscore</t>
  </si>
  <si>
    <t>Milwaukee Brewers (5) @ St. Louis Cardinals (2)     Boxscore</t>
  </si>
  <si>
    <t>New York Yankees (13) @ Toronto Blue Jays (3)     Boxscore</t>
  </si>
  <si>
    <t>Atlanta Braves (10) @ Washington Nationals (1)     Boxscore</t>
  </si>
  <si>
    <t xml:space="preserve">   » 2019-09-14 Standings &amp; Scores</t>
  </si>
  <si>
    <t>Tampa Bay Rays (4) @ Los Angeles Angels (6)     Boxscore</t>
  </si>
  <si>
    <t>Cincinnati Reds (3) @ Arizona D'Backs (1)     Boxscore</t>
  </si>
  <si>
    <t>Pittsburgh Pirates (6) @ Chicago Cubs (16)     Boxscore</t>
  </si>
  <si>
    <t>Minnesota Twins (5) @ Cleveland Indians (7)     Boxscore</t>
  </si>
  <si>
    <t>San Diego Padres (5) @ Colorado Rockies (10)     Boxscore</t>
  </si>
  <si>
    <t>Baltimore Orioles (8) @ Detroit Tigers (2)     Boxscore</t>
  </si>
  <si>
    <t>Houston Astros (12) @ Kansas City Royals (3)     Boxscore</t>
  </si>
  <si>
    <t>Los Angeles Dodgers (3) @ New York Mets (2)     Boxscore</t>
  </si>
  <si>
    <t>Boston Red Sox (6) @ Philadelphia Phillies (3)     Boxscore</t>
  </si>
  <si>
    <t>Chicago White Sox (10) @ Seattle Mariners (11)     Boxscore</t>
  </si>
  <si>
    <t>Miami Marlins (1) @ San Francisco Giants (2)     Boxscore</t>
  </si>
  <si>
    <t>Milwaukee Brewers (7) @ St. Louis Cardinals (6)     Boxscore</t>
  </si>
  <si>
    <t>Oakland Athletics (6) @ Texas Rangers (1)     Boxscore</t>
  </si>
  <si>
    <t>New York Yankees (4) @ Toronto Blue Jays (6)     Boxscore</t>
  </si>
  <si>
    <t>Atlanta Braves (0) @ Washington Nationals (7)     Boxscore</t>
  </si>
  <si>
    <t xml:space="preserve">   » 2019-09-15 Standings &amp; Scores</t>
  </si>
  <si>
    <t>Richards, Garrett</t>
  </si>
  <si>
    <t>Richards</t>
  </si>
  <si>
    <t>Snell, Blake</t>
  </si>
  <si>
    <t>Snell</t>
  </si>
  <si>
    <t>–26</t>
  </si>
  <si>
    <t>Smeltzer, Devin</t>
  </si>
  <si>
    <t>Smeltzer</t>
  </si>
  <si>
    <t>9/22Sunday, Sept. 222:10 p.m.</t>
  </si>
  <si>
    <t>9/22Sunday, Sept. 222:20 p.m.</t>
  </si>
  <si>
    <t>9/22Sunday, Sept. 224:07 p.m.</t>
  </si>
  <si>
    <t>9/22Sunday, Sept. 224:10 p.m.</t>
  </si>
  <si>
    <t>9/22Sunday, Sept. 226:30 p.m.</t>
  </si>
  <si>
    <t>9/23Monday, Sept. 237:05 p.m.</t>
  </si>
  <si>
    <t>9/23Monday, Sept. 237:07 p.m.</t>
  </si>
  <si>
    <t>9/23Monday, Sept. 237:10 p.m.</t>
  </si>
  <si>
    <t>9/23Monday, Sept. 239:40 p.m.</t>
  </si>
  <si>
    <t>9/24Tuesday, Sept. 241:05 p.m.</t>
  </si>
  <si>
    <t>9/24Tuesday, Sept. 246:40 p.m.</t>
  </si>
  <si>
    <t>–31</t>
  </si>
  <si>
    <t>Green, Chad</t>
  </si>
  <si>
    <t>Green</t>
  </si>
  <si>
    <t>Garrett Richards</t>
  </si>
  <si>
    <t>Johnny Cueto</t>
  </si>
  <si>
    <t>Jesus Luzardo</t>
  </si>
  <si>
    <t>Ben Heller</t>
  </si>
  <si>
    <t>Jordan Montgomery</t>
  </si>
  <si>
    <t>James Karinchak</t>
  </si>
  <si>
    <t>Darren O'Day</t>
  </si>
  <si>
    <t>Justin Dunn</t>
  </si>
  <si>
    <t>Dellin Betances</t>
  </si>
  <si>
    <t>Art Warren</t>
  </si>
  <si>
    <t>White Sox @ Twins</t>
  </si>
  <si>
    <t>Nationals @ Cardinals</t>
  </si>
  <si>
    <t>+163</t>
  </si>
  <si>
    <t>Mets @ Rockies</t>
  </si>
  <si>
    <t>Royals @ Athletics</t>
  </si>
  <si>
    <t>BR Home Page &gt; Leagues &gt; 2019 MLB &gt; 2019 MLB Schedule</t>
  </si>
  <si>
    <t>Are You a Stathead?</t>
  </si>
  <si>
    <t>Every day, we'll send you an email to your inbox with scores, today's schedule, top performers, new debuts and interesting tidbits. View a sample email. It's also available for football, basketball and hockey.</t>
  </si>
  <si>
    <t>Subscribe to our Stathead Newsletter</t>
  </si>
  <si>
    <t>Monday, September 16, 2019</t>
  </si>
  <si>
    <t>Miami Marlins (5) @ Arizona D'Backs (7)     Boxscore</t>
  </si>
  <si>
    <t>Cincinnati Reds (2) @ Chicago Cubs (8)     Boxscore</t>
  </si>
  <si>
    <t>New York Mets (4) @ Colorado Rockies (9)     Boxscore</t>
  </si>
  <si>
    <t>Baltimore Orioles (2) @ Detroit Tigers (5)     Boxscore</t>
  </si>
  <si>
    <t>San Diego Padres (1) @ Milwaukee Brewers (5)     Boxscore</t>
  </si>
  <si>
    <t>Chicago White Sox (3) @ Minnesota Twins (5)     Boxscore</t>
  </si>
  <si>
    <t>Kansas City Royals (6) @ Oakland Athletics (5)     Boxscore</t>
  </si>
  <si>
    <t>Washington Nationals (2) @ St. Louis Cardinals (4)     Boxscore</t>
  </si>
  <si>
    <t xml:space="preserve">   » 2019-09-16 Standings &amp; Scores</t>
  </si>
  <si>
    <t>Miami Marlins (12) @ Arizona D'Backs (6)     Boxscore</t>
  </si>
  <si>
    <t>Philadelphia Phillies (5) @ Atlanta Braves (4)     Boxscore</t>
  </si>
  <si>
    <t>Toronto Blue Jays (8) @ Baltimore Orioles (5)     Boxscore</t>
  </si>
  <si>
    <t>San Francisco Giants (7) @ Boston Red Sox (6)     Boxscore</t>
  </si>
  <si>
    <t>Cincinnati Reds (4) @ Chicago Cubs (2)     Boxscore</t>
  </si>
  <si>
    <t>New York Mets (6) @ Colorado Rockies (1)     Boxscore</t>
  </si>
  <si>
    <t>Texas Rangers (1) @ Houston Astros (4)     Boxscore</t>
  </si>
  <si>
    <t>Tampa Bay Rays (5) @ Los Angeles Dodgers (7)     Boxscore</t>
  </si>
  <si>
    <t>San Diego Padres (1) @ Milwaukee Brewers (3)     Boxscore</t>
  </si>
  <si>
    <t>Chicago White Sox (8) @ Minnesota Twins (9)     Boxscore</t>
  </si>
  <si>
    <t>Los Angeles Angels (0) @ New York Yankees (8)     Boxscore</t>
  </si>
  <si>
    <t>Kansas City Royals (1) @ Oakland Athletics (2)     Boxscore</t>
  </si>
  <si>
    <t>Seattle Mariners (6) @ Pittsburgh Pirates (0)     Boxscore</t>
  </si>
  <si>
    <t>Washington Nationals (6) @ St. Louis Cardinals (2)     Boxscore</t>
  </si>
  <si>
    <t xml:space="preserve">   » 2019-09-17 Standings &amp; Scores</t>
  </si>
  <si>
    <t>Miami Marlins (4) @ Arizona D'Backs (5)     Boxscore</t>
  </si>
  <si>
    <t>Philadelphia Phillies (4) @ Atlanta Braves (1)     Boxscore</t>
  </si>
  <si>
    <t>Toronto Blue Jays (11) @ Baltimore Orioles (10)     Boxscore</t>
  </si>
  <si>
    <t>San Francisco Giants (11) @ Boston Red Sox (3)     Boxscore</t>
  </si>
  <si>
    <t>Cincinnati Reds (3) @ Chicago Cubs (2)     Boxscore</t>
  </si>
  <si>
    <t>Detroit Tigers (1) @ Cleveland Indians (2)     Boxscore</t>
  </si>
  <si>
    <t>New York Mets (7) @ Colorado Rockies (4)     Boxscore</t>
  </si>
  <si>
    <t>Texas Rangers (2) @ Houston Astros (3)     Boxscore</t>
  </si>
  <si>
    <t>Tampa Bay Rays (8) @ Los Angeles Dodgers (7)     Boxscore</t>
  </si>
  <si>
    <t>San Diego Padres (2) @ Milwaukee Brewers (1)     Boxscore</t>
  </si>
  <si>
    <t>Chicago White Sox (3) @ Minnesota Twins (1)     Boxscore</t>
  </si>
  <si>
    <t>Los Angeles Angels (3) @ New York Yankees (2)     Boxscore</t>
  </si>
  <si>
    <t>Kansas City Royals (0) @ Oakland Athletics (1)     Boxscore</t>
  </si>
  <si>
    <t>Seattle Mariners (4) @ Pittsburgh Pirates (1)     Boxscore</t>
  </si>
  <si>
    <t>Washington Nationals (1) @ St. Louis Cardinals (5)     Boxscore</t>
  </si>
  <si>
    <t xml:space="preserve">   » 2019-09-18 Standings &amp; Scores</t>
  </si>
  <si>
    <t>Philadelphia Phillies (4) @ Atlanta Braves (5)     Boxscore</t>
  </si>
  <si>
    <t>Toronto Blue Jays (8) @ Baltimore Orioles (4)     Boxscore</t>
  </si>
  <si>
    <t>San Francisco Giants (4) @ Boston Red Sox (5)     Boxscore</t>
  </si>
  <si>
    <t>St. Louis Cardinals (5) @ Chicago Cubs (4)     Boxscore</t>
  </si>
  <si>
    <t>Detroit Tigers (0) @ Cleveland Indians (7)     Boxscore</t>
  </si>
  <si>
    <t>Kansas City Royals (5) @ Minnesota Twins (8)     Boxscore</t>
  </si>
  <si>
    <t>Los Angeles Angels (1) @ New York Yankees (9)     Boxscore</t>
  </si>
  <si>
    <t>Seattle Mariners (6) @ Pittsburgh Pirates (5)     Boxscore</t>
  </si>
  <si>
    <t xml:space="preserve">   » 2019-09-19 Standings &amp; Scores</t>
  </si>
  <si>
    <t>San Francisco Giants (0) @ Atlanta Braves (6)     Boxscore</t>
  </si>
  <si>
    <t>Seattle Mariners (3) @ Baltimore Orioles (5)     Boxscore</t>
  </si>
  <si>
    <t>St. Louis Cardinals (2) @ Chicago Cubs (1)     Boxscore</t>
  </si>
  <si>
    <t>New York Mets (8) @ Cincinnati Reds (1)     Boxscore</t>
  </si>
  <si>
    <t>Philadelphia Phillies (2) @ Cleveland Indians (5)     Boxscore</t>
  </si>
  <si>
    <t>Chicago White Sox (10) @ Detroit Tigers (1)     Boxscore</t>
  </si>
  <si>
    <t>Los Angeles Angels (4) @ Houston Astros (6)     Boxscore</t>
  </si>
  <si>
    <t>Colorado Rockies (5) @ Los Angeles Dodgers (12)     Boxscore</t>
  </si>
  <si>
    <t>Washington Nationals (6) @ Miami Marlins (4)     Boxscore</t>
  </si>
  <si>
    <t>Pittsburgh Pirates (1) @ Milwaukee Brewers (10)     Boxscore</t>
  </si>
  <si>
    <t>Kansas City Royals (3) @ Minnesota Twins (4)     Boxscore</t>
  </si>
  <si>
    <t>Toronto Blue Jays (4) @ New York Yankees (3)     Boxscore</t>
  </si>
  <si>
    <t>Texas Rangers (0) @ Oakland Athletics (8)     Boxscore</t>
  </si>
  <si>
    <t>Arizona D'Backs (9) @ San Diego Padres (0)     Boxscore</t>
  </si>
  <si>
    <t>Boston Red Sox (4) @ Tampa Bay Rays (5)     Boxscore</t>
  </si>
  <si>
    <t xml:space="preserve">   » 2019-09-20 Standings &amp; Scores</t>
  </si>
  <si>
    <t>San Francisco Giants (1) @ Atlanta Braves (8)     Boxscore</t>
  </si>
  <si>
    <t>Seattle Mariners (7) @ Baltimore Orioles (6)     Boxscore</t>
  </si>
  <si>
    <t>St. Louis Cardinals (9) @ Chicago Cubs (8)     Boxscore</t>
  </si>
  <si>
    <t>New York Mets (2) @ Cincinnati Reds (3)     Boxscore</t>
  </si>
  <si>
    <t>Philadelphia Phillies (9) @ Cleveland Indians (4)     Boxscore</t>
  </si>
  <si>
    <t>Los Angeles Angels (8) @ Houston Astros (4)     Boxscore</t>
  </si>
  <si>
    <t>Colorado Rockies (4) @ Los Angeles Dodgers (2)     Boxscore</t>
  </si>
  <si>
    <t>Washington Nationals (10) @ Miami Marlins (4)     Boxscore</t>
  </si>
  <si>
    <t>Kansas City Royals (12) @ Minnesota Twins (5)     Boxscore</t>
  </si>
  <si>
    <t>Toronto Blue Jays (2) @ New York Yankees (7)     Boxscore</t>
  </si>
  <si>
    <t>Texas Rangers (3) @ Oakland Athletics (12)     Boxscore</t>
  </si>
  <si>
    <t>Arizona D'Backs (4) @ San Diego Padres (2)     Boxscore</t>
  </si>
  <si>
    <t xml:space="preserve">   » 2019-09-21 Standings &amp; Scores</t>
  </si>
  <si>
    <t>San Francisco Giants (4) @ Atlanta Braves (1)     Boxscore</t>
  </si>
  <si>
    <t>Seattle Mariners (1) @ Baltimore Orioles (2)     Boxscore</t>
  </si>
  <si>
    <t>St. Louis Cardinals (3) @ Chicago Cubs (2)     Boxscore</t>
  </si>
  <si>
    <t>New York Mets (6) @ Cincinnati Reds (3)     Boxscore</t>
  </si>
  <si>
    <t>Philadelphia Phillies (1) @ Cleveland Indians (10)     Boxscore</t>
  </si>
  <si>
    <t>Chicago White Sox (3) @ Detroit Tigers (6)     Boxscore</t>
  </si>
  <si>
    <t>Los Angeles Angels (5) @ Houston Astros (13)     Boxscore</t>
  </si>
  <si>
    <t>Colorado Rockies (4) @ Los Angeles Dodgers (7)     Boxscore</t>
  </si>
  <si>
    <t>Washington Nationals (3) @ Miami Marlins (5)     Boxscore</t>
  </si>
  <si>
    <t>Pittsburgh Pirates (3) @ Milwaukee Brewers (4)     Boxscore</t>
  </si>
  <si>
    <t>Kansas City Royals (8) @ Minnesota Twins (12)     Boxscore</t>
  </si>
  <si>
    <t>Toronto Blue Jays (3) @ New York Yankees (8)     Boxscore</t>
  </si>
  <si>
    <t>Texas Rangers (8) @ Oakland Athletics (3)     Boxscore</t>
  </si>
  <si>
    <t>Arizona D'Backs (4) @ San Diego Padres (6)     Boxscore</t>
  </si>
  <si>
    <t>Boston Red Sox (7) @ Tampa Bay Rays (4)     Boxscore</t>
  </si>
  <si>
    <t xml:space="preserve">   » 2019-09-22 Standings &amp; Scores</t>
  </si>
  <si>
    <t>St. Louis Cardinals (9) @ Arizona D'Backs (7)     Boxscore</t>
  </si>
  <si>
    <t>Miami Marlins (8) @ New York Mets (4)     Boxscore</t>
  </si>
  <si>
    <t>Boston Red Sox (4) @ Tampa Bay Rays (7)     Boxscore</t>
  </si>
  <si>
    <t>Baltimore Orioles (10) @ Toronto Blue Jays (11)     Boxscore</t>
  </si>
  <si>
    <t>Philadelphia Phillies (2) @ Washington Nationals (7)     Boxscore</t>
  </si>
  <si>
    <t xml:space="preserve">   » 2019-09-23 Standings &amp; Scores</t>
  </si>
  <si>
    <t>Oakland Athletics (2) @ Los Angeles Angels (3)     Boxscore</t>
  </si>
  <si>
    <t>St. Louis Cardinals (2) @ Arizona D'Backs (3)     Boxscore</t>
  </si>
  <si>
    <t>Cleveland Indians (11) @ Chicago White Sox (0)     Boxscore</t>
  </si>
  <si>
    <t>Milwaukee Brewers (4) @ Cincinnati Reds (2)     Boxscore</t>
  </si>
  <si>
    <t>Minnesota Twins (4) @ Detroit Tigers (2)     Boxscore</t>
  </si>
  <si>
    <t>Atlanta Braves (6) @ Kansas City Royals (9)     Boxscore</t>
  </si>
  <si>
    <t>Chicago Cubs (2) @ Pittsburgh Pirates (9)     Boxscore</t>
  </si>
  <si>
    <t>Los Angeles Dodgers (6) @ San Diego Padres (3)     Boxscore</t>
  </si>
  <si>
    <t>Houston Astros (3) @ Seattle Mariners (0)     Boxscore</t>
  </si>
  <si>
    <t>Colorado Rockies (8) @ San Francisco Giants (5)     Boxscore</t>
  </si>
  <si>
    <t>Boston Red Sox (12) @ Texas Rangers (10)     Boxscore</t>
  </si>
  <si>
    <t>Baltimore Orioles (11) @ Toronto Blue Jays (4)     Boxscore</t>
  </si>
  <si>
    <t>Philadelphia Phillies (1) @ Washington Nationals (4)     Boxscore</t>
  </si>
  <si>
    <t>Philadelphia Phillies (5) @ Washington Nationals (6)     Boxscore</t>
  </si>
  <si>
    <t xml:space="preserve">   » 2019-09-24 Standings &amp; Scores</t>
  </si>
  <si>
    <t>Oakland Athletics (3) @ Los Angeles Angels (2)     Boxscore</t>
  </si>
  <si>
    <t>St. Louis Cardinals (7) @ Arizona D'Backs (9)     Boxscore</t>
  </si>
  <si>
    <t>Cleveland Indians (3) @ Chicago White Sox (8)     Boxscore</t>
  </si>
  <si>
    <t>Milwaukee Brewers (9) @ Cincinnati Reds (2)     Boxscore</t>
  </si>
  <si>
    <t>Minnesota Twins (5) @ Detroit Tigers (1)     Boxscore</t>
  </si>
  <si>
    <t>Atlanta Braves (10) @ Kansas City Royals (2)     Boxscore</t>
  </si>
  <si>
    <t>Miami Marlins (3) @ New York Mets (10)     Boxscore</t>
  </si>
  <si>
    <t>Chicago Cubs (2) @ Pittsburgh Pirates (4)     Boxscore</t>
  </si>
  <si>
    <t>Colorado Rockies (1) @ San Francisco Giants (2)     Boxscore</t>
  </si>
  <si>
    <t>New York Yankees (0) @ Tampa Bay Rays (4)     Boxscore</t>
  </si>
  <si>
    <t>Boston Red Sox (10) @ Texas Rangers (3)     Boxscore</t>
  </si>
  <si>
    <t>Baltimore Orioles (2) @ Toronto Blue Jays (3)     Boxscore</t>
  </si>
  <si>
    <t>Philadelphia Phillies (2) @ Washington Nationals (5)     Boxscore</t>
  </si>
  <si>
    <t xml:space="preserve">   » 2019-09-25 Standings &amp; Scores</t>
  </si>
  <si>
    <t>Houston Astros (3) @ Los Angeles Angels (4)     Boxscore</t>
  </si>
  <si>
    <t>Cleveland Indians (0) @ Chicago White Sox (8)     Boxscore</t>
  </si>
  <si>
    <t>Milwaukee Brewers (5) @ Cincinnati Reds (3)     Boxscore</t>
  </si>
  <si>
    <t>Minnesota Twins (10) @ Detroit Tigers (4)     Boxscore</t>
  </si>
  <si>
    <t>Miami Marlins (4) @ New York Mets (2)     Boxscore</t>
  </si>
  <si>
    <t>Chicago Cubs (5) @ Pittsburgh Pirates (9)     Boxscore</t>
  </si>
  <si>
    <t>Los Angeles Dodgers (1) @ San Diego Padres (0)     Boxscore</t>
  </si>
  <si>
    <t>Oakland Athletics (3) @ Seattle Mariners (1)     Boxscore</t>
  </si>
  <si>
    <t>Colorado Rockies (3) @ San Francisco Giants (8)     Boxscore</t>
  </si>
  <si>
    <t>Boston Red Sox (5) @ Texas Rangers (7)     Boxscore</t>
  </si>
  <si>
    <t>Philadelphia Phillies (3) @ Washington Nationals (6)     Boxscore</t>
  </si>
  <si>
    <t xml:space="preserve">   » 2019-09-26 Standings &amp; Scores</t>
  </si>
  <si>
    <t>Houston Astros (4) @ Los Angeles Angels (0)     Boxscore</t>
  </si>
  <si>
    <t>San Diego Padres (3) @ Arizona D'Backs (6)     Boxscore</t>
  </si>
  <si>
    <t>Baltimore Orioles (4) @ Boston Red Sox (1)     Boxscore</t>
  </si>
  <si>
    <t>Milwaukee Brewers (7) @ Colorado Rockies (11)     Boxscore</t>
  </si>
  <si>
    <t>Minnesota Twins (6) @ Kansas City Royals (2)     Boxscore</t>
  </si>
  <si>
    <t>Atlanta Braves (2) @ New York Mets (4)     Boxscore</t>
  </si>
  <si>
    <t>Miami Marlins (4) @ Philadelphia Phillies (5)     Boxscore</t>
  </si>
  <si>
    <t>Los Angeles Dodgers (9) @ San Francisco Giants (2)     Boxscore</t>
  </si>
  <si>
    <t>Chicago Cubs (8) @ St. Louis Cardinals (2)     Boxscore</t>
  </si>
  <si>
    <t>New York Yankees (14) @ Texas Rangers (7)     Boxscore</t>
  </si>
  <si>
    <t>Tampa Bay Rays (6) @ Toronto Blue Jays (2)     Boxscore</t>
  </si>
  <si>
    <t>Cleveland Indians (2) @ Washington Nationals (8)     Boxscore</t>
  </si>
  <si>
    <t xml:space="preserve">   » 2019-09-27 Standings &amp; Scores</t>
  </si>
  <si>
    <t>Houston Astros (6) @ Los Angeles Angels (3)     Boxscore</t>
  </si>
  <si>
    <t>San Diego Padres (5) @ Arizona D'Backs (6)     Boxscore</t>
  </si>
  <si>
    <t>Baltimore Orioles (9) @ Boston Red Sox (4)     Boxscore</t>
  </si>
  <si>
    <t>Detroit Tigers (1) @ Chicago White Sox (7)     Boxscore</t>
  </si>
  <si>
    <t>Detroit Tigers (4) @ Chicago White Sox (3)     Boxscore</t>
  </si>
  <si>
    <t>Milwaukee Brewers (2) @ Colorado Rockies (3)     Boxscore</t>
  </si>
  <si>
    <t>Minnesota Twins (4) @ Kansas City Royals (3)     Boxscore</t>
  </si>
  <si>
    <t>Atlanta Braves (0) @ New York Mets (3)     Boxscore</t>
  </si>
  <si>
    <t>Miami Marlins (3) @ Philadelphia Phillies (9)     Boxscore</t>
  </si>
  <si>
    <t>Cincinnati Reds (4) @ Pittsburgh Pirates (2)     Boxscore</t>
  </si>
  <si>
    <t>Oakland Athletics (1) @ Seattle Mariners (0)     Boxscore</t>
  </si>
  <si>
    <t>Los Angeles Dodgers (2) @ San Francisco Giants (0)     Boxscore</t>
  </si>
  <si>
    <t>Chicago Cubs (8) @ St. Louis Cardinals (6)     Boxscore</t>
  </si>
  <si>
    <t>New York Yankees (4) @ Texas Rangers (9)     Boxscore</t>
  </si>
  <si>
    <t>Tampa Bay Rays (1) @ Toronto Blue Jays (4)     Boxscore</t>
  </si>
  <si>
    <t>Cleveland Indians (7) @ Washington Nationals (10)     Boxscore</t>
  </si>
  <si>
    <t xml:space="preserve">   » 2019-09-28 Standings &amp; Scores</t>
  </si>
  <si>
    <t>Houston Astros (8) @ Los Angeles Angels (5)     Boxscore</t>
  </si>
  <si>
    <t>San Diego Padres (0) @ Arizona D'Backs (1)     Boxscore</t>
  </si>
  <si>
    <t>Baltimore Orioles (4) @ Boston Red Sox (5)     Boxscore</t>
  </si>
  <si>
    <t>Detroit Tigers (3) @ Chicago White Sox (5)     Boxscore</t>
  </si>
  <si>
    <t>Milwaukee Brewers (3) @ Colorado Rockies (4)     Boxscore</t>
  </si>
  <si>
    <t>Minnesota Twins (4) @ Kansas City Royals (5)     Boxscore</t>
  </si>
  <si>
    <t>Atlanta Braves (6) @ New York Mets (7)     Boxscore</t>
  </si>
  <si>
    <t>Miami Marlins (4) @ Philadelphia Phillies (3)     Boxscore</t>
  </si>
  <si>
    <t>Cincinnati Reds (3) @ Pittsburgh Pirates (1)     Boxscore</t>
  </si>
  <si>
    <t>Oakland Athletics (1) @ Seattle Mariners (3)     Boxscore</t>
  </si>
  <si>
    <t>Los Angeles Dodgers (9) @ San Francisco Giants (0)     Boxscore</t>
  </si>
  <si>
    <t>Chicago Cubs (0) @ St. Louis Cardinals (9)     Boxscore</t>
  </si>
  <si>
    <t>New York Yankees (1) @ Texas Rangers (6)     Boxscore</t>
  </si>
  <si>
    <t>Tampa Bay Rays (3) @ Toronto Blue Jays (8)     Boxscore</t>
  </si>
  <si>
    <t xml:space="preserve">   » 2019-09-29 Standings &amp; Scores</t>
  </si>
  <si>
    <t>No games scheduled.</t>
  </si>
  <si>
    <t>Tuesday, October 1, 2019</t>
  </si>
  <si>
    <t>8:08 pm (WC) Milwaukee Brewers @ Washington Nationals     Preview</t>
  </si>
  <si>
    <t>Wednesday, October 2, 2019</t>
  </si>
  <si>
    <t>8:09 pm (WC) Tampa Bay Rays @ Oakland Athletics     Preview</t>
  </si>
  <si>
    <t>Thursday, October 3, 2019</t>
  </si>
  <si>
    <t>TBD (LDS) St. Louis Cardinals @ Atlanta Braves     Preview</t>
  </si>
  <si>
    <t>Friday, October 4, 2019</t>
  </si>
  <si>
    <t>TBD (LDS) Minnesota Twins @ New York Yankees     Preview</t>
  </si>
  <si>
    <t>Saturday, October 5, 2019</t>
  </si>
  <si>
    <t>Sunday, October 6, 2019</t>
  </si>
  <si>
    <t>TBD (LDS) Atlanta Braves @ St. Louis Cardinals     Preview</t>
  </si>
  <si>
    <t>Monday, October 7, 2019</t>
  </si>
  <si>
    <t>TBD (LDS) New York Yankees @ Minnesota Twins     Preview</t>
  </si>
  <si>
    <t>Tuesday, October 8, 2019</t>
  </si>
  <si>
    <t>Wednesday, October 9, 2019</t>
  </si>
  <si>
    <t>Thursday, October 10, 2019</t>
  </si>
  <si>
    <t>You are here: BR Home Page &gt; Leagues &gt; 2019 MLB &gt; 2019 MLB Schedule</t>
  </si>
  <si>
    <t>Site Last Updated: Monday, September 30, 9:19AM</t>
  </si>
  <si>
    <t>BR Home Page &gt; Leagues &gt; MLB History &gt; 2019 MLB &gt; Advanced Batting</t>
  </si>
  <si>
    <t>Want to know when we do something new? Around once a week we'll give you a quick update on all the things we've been up to. View a sample email.</t>
  </si>
  <si>
    <t>Become a Sports Reference Power User</t>
  </si>
  <si>
    <t>You are here: BR Home Page &gt; Leagues &gt; MLB History &gt; 2019 MLB &gt; Advanced Batting</t>
  </si>
  <si>
    <t>BR Home Page &gt; Leagues &gt; MLB History &gt; 2019 MLB &gt; Standard Pitching</t>
  </si>
  <si>
    <t>You are here: BR Home Page &gt; Leagues &gt; MLB History &gt; 2019 MLB &gt; Standard Pitching</t>
  </si>
  <si>
    <t>Updated Sep. 30, 2019 at 9:22 AM</t>
  </si>
  <si>
    <t>10/1Tuesday, Oct. 18:08 p.m. Eastern</t>
  </si>
  <si>
    <t>Woodruff, Brandon</t>
  </si>
  <si>
    <t>Woodruff</t>
  </si>
  <si>
    <t>10/2Wednesday, Oct. 28 p.m.</t>
  </si>
  <si>
    <t>10/3Thursday, Oct. 3</t>
  </si>
  <si>
    <t>10/6Sunday, Oct. 6</t>
  </si>
  <si>
    <t>10/7Monday, Oct. 7</t>
  </si>
  <si>
    <t>10/8Tuesday, Oct. 8</t>
  </si>
  <si>
    <t>10/9Wednesday, Oct. 9</t>
  </si>
  <si>
    <t>10/10Thursday, Oct. 10</t>
  </si>
  <si>
    <t>9/29Sunday, Sept. 293:15 p.m. Eastern</t>
  </si>
  <si>
    <t>Holland, Derek</t>
  </si>
  <si>
    <t>Holland</t>
  </si>
  <si>
    <t>9/29Sunday, Sept. 293:15 p.m.</t>
  </si>
  <si>
    <t>9/29Sunday, Sept. 293:10 p.m.</t>
  </si>
  <si>
    <t>Detwiler, Ross</t>
  </si>
  <si>
    <t>Detwiler</t>
  </si>
  <si>
    <t>Baez, Michel</t>
  </si>
  <si>
    <t>Baez</t>
  </si>
  <si>
    <t>Walker, Taijuan</t>
  </si>
  <si>
    <t>Walker</t>
  </si>
  <si>
    <t>9/29Sunday, Sept. 293:07 p.m.</t>
  </si>
  <si>
    <t>9/29Sunday, Sept. 293:05 p.m.</t>
  </si>
  <si>
    <t>Ross, Joe</t>
  </si>
  <si>
    <t>Ross</t>
  </si>
  <si>
    <t>Parker, Blake</t>
  </si>
  <si>
    <t>Parker</t>
  </si>
  <si>
    <t>Shepherd, Chandler</t>
  </si>
  <si>
    <t>Shepherd</t>
  </si>
  <si>
    <t>9/28Saturday, Sept. 289:10 p.m.</t>
  </si>
  <si>
    <t>9/28Saturday, Sept. 289:07 p.m.</t>
  </si>
  <si>
    <t>9/28Saturday, Sept. 288:10 p.m.</t>
  </si>
  <si>
    <t>9/28Saturday, Sept. 288:05 p.m.</t>
  </si>
  <si>
    <t>Farrell, Luke</t>
  </si>
  <si>
    <t>Farrell</t>
  </si>
  <si>
    <t>9/28Saturday, Sept. 287:15 p.m.</t>
  </si>
  <si>
    <t>9/28Saturday, Sept. 287:05 p.m.</t>
  </si>
  <si>
    <t>Sims, Lucas</t>
  </si>
  <si>
    <t>Sims</t>
  </si>
  <si>
    <t>9/28Saturday, Sept. 287 p.m.</t>
  </si>
  <si>
    <t>9/28Saturday, Sept. 286:05 p.m.</t>
  </si>
  <si>
    <t>9/28Saturday, Sept. 284:05 p.m.</t>
  </si>
  <si>
    <t>9/28Saturday, Sept. 283:40 p.m.</t>
  </si>
  <si>
    <t>9/28Saturday, Sept. 283:07 p.m.</t>
  </si>
  <si>
    <t>9/28Saturday, Sept. 282:15 p.m.</t>
  </si>
  <si>
    <t>Stashak, Cody</t>
  </si>
  <si>
    <t>Stashak</t>
  </si>
  <si>
    <t>9/28Saturday, Sept. 281:05 p.m.</t>
  </si>
  <si>
    <t>9/27Friday, Sept. 2710:15 p.m.</t>
  </si>
  <si>
    <t>9/27Friday, Sept. 2710:10 p.m.</t>
  </si>
  <si>
    <t>9/27Friday, Sept. 2710:07 p.m.</t>
  </si>
  <si>
    <t>9/27Friday, Sept. 279:40 p.m.</t>
  </si>
  <si>
    <t>Clarke, Taylor</t>
  </si>
  <si>
    <t>Clarke</t>
  </si>
  <si>
    <t>9/27Friday, Sept. 278:15 p.m.</t>
  </si>
  <si>
    <t>Skoglund, Eric</t>
  </si>
  <si>
    <t>Skoglund</t>
  </si>
  <si>
    <t>9/27Friday, Sept. 278:10 p.m.</t>
  </si>
  <si>
    <t>9/27Friday, Sept. 278:05 p.m.</t>
  </si>
  <si>
    <t>Palumbo, Joe</t>
  </si>
  <si>
    <t>Palumbo</t>
  </si>
  <si>
    <t>9/27Friday, Sept. 278 p.m.</t>
  </si>
  <si>
    <t>Mills, Alec</t>
  </si>
  <si>
    <t>Mills</t>
  </si>
  <si>
    <t>9/27Friday, Sept. 277:10 p.m.</t>
  </si>
  <si>
    <t>9/27Friday, Sept. 277:07 p.m.</t>
  </si>
  <si>
    <t>9/27Friday, Sept. 277:05 p.m.</t>
  </si>
  <si>
    <t>9/26Thursday, Sept. 2610:10 p.m.</t>
  </si>
  <si>
    <t>9/26Thursday, Sept. 2610:07 p.m.</t>
  </si>
  <si>
    <t>–38</t>
  </si>
  <si>
    <t>9/26Thursday, Sept. 268:10 p.m.</t>
  </si>
  <si>
    <t>9/26Thursday, Sept. 267:10 p.m.</t>
  </si>
  <si>
    <t>Yamamoto, Jordan</t>
  </si>
  <si>
    <t>Yamamoto</t>
  </si>
  <si>
    <t>9/26Thursday, Sept. 267:05 p.m.</t>
  </si>
  <si>
    <t>9/26Thursday, Sept. 264:05 p.m.</t>
  </si>
  <si>
    <t>9/26Thursday, Sept. 263:45 p.m.</t>
  </si>
  <si>
    <t>Freeland, Kyle</t>
  </si>
  <si>
    <t>Freeland</t>
  </si>
  <si>
    <t>9/26Thursday, Sept. 263:40 p.m.</t>
  </si>
  <si>
    <t>9/26Thursday, Sept. 262:05 p.m.</t>
  </si>
  <si>
    <t>Lakins, Travis</t>
  </si>
  <si>
    <t>Lakins</t>
  </si>
  <si>
    <t>9/26Thursday, Sept. 261:10 p.m.</t>
  </si>
  <si>
    <t>9/26Thursday, Sept. 2612:35 p.m.</t>
  </si>
  <si>
    <t>9/25Wednesday, Sept. 2510:10 p.m.</t>
  </si>
  <si>
    <t>9/25Wednesday, Sept. 2510 p.m.</t>
  </si>
  <si>
    <t>Montas, Frankie</t>
  </si>
  <si>
    <t>Montas</t>
  </si>
  <si>
    <t>9/25Wednesday, Sept. 259:45 p.m.</t>
  </si>
  <si>
    <t>9/25Wednesday, Sept. 258:15 p.m.</t>
  </si>
  <si>
    <t>Tomlin, Josh</t>
  </si>
  <si>
    <t>Tomlin</t>
  </si>
  <si>
    <t>9/25Wednesday, Sept. 258:10 p.m.</t>
  </si>
  <si>
    <t>9/25Wednesday, Sept. 258:05 p.m.</t>
  </si>
  <si>
    <t>9/25Wednesday, Sept. 257:10 p.m.</t>
  </si>
  <si>
    <t>9/25Wednesday, Sept. 257:07 p.m.</t>
  </si>
  <si>
    <t>9/25Wednesday, Sept. 257:05 p.m.</t>
  </si>
  <si>
    <t>9/25Wednesday, Sept. 257 p.m.</t>
  </si>
  <si>
    <t>Loaisiga, Jonathan</t>
  </si>
  <si>
    <t>Loaisiga</t>
  </si>
  <si>
    <t>9/25Wednesday, Sept. 256:40 p.m.</t>
  </si>
  <si>
    <t>9/25Wednesday, Sept. 253:40 p.m.</t>
  </si>
  <si>
    <t>9/24Tuesday, Sept. 2410:10 p.m.</t>
  </si>
  <si>
    <t>9/24Tuesday, Sept. 2410:07 p.m.</t>
  </si>
  <si>
    <t>9/24Tuesday, Sept. 249:45 p.m.</t>
  </si>
  <si>
    <t>9/24Tuesday, Sept. 249:40 p.m.</t>
  </si>
  <si>
    <t>9/24Tuesday, Sept. 248:15 p.m.</t>
  </si>
  <si>
    <t>9/24Tuesday, Sept. 248:05 p.m.</t>
  </si>
  <si>
    <t>Volquez, Edinson</t>
  </si>
  <si>
    <t>Volquez</t>
  </si>
  <si>
    <t>9/24Tuesday, Sept. 248 p.m.</t>
  </si>
  <si>
    <t>Fulmer, Carson</t>
  </si>
  <si>
    <t>Fulmer</t>
  </si>
  <si>
    <t>9/24Tuesday, Sept. 247:10 p.m.</t>
  </si>
  <si>
    <t>Montgomery, Jordan</t>
  </si>
  <si>
    <t>Chirinos, Yonny</t>
  </si>
  <si>
    <t>Chirinos</t>
  </si>
  <si>
    <t>9/24Tuesday, Sept. 247:07 p.m.</t>
  </si>
  <si>
    <t>Pannone, Thomas</t>
  </si>
  <si>
    <t>Pannone</t>
  </si>
  <si>
    <t>9/24Tuesday, Sept. 247:05 p.m.</t>
  </si>
  <si>
    <t>Rodriguez, Jose</t>
  </si>
  <si>
    <t>BR Home Page &gt; Leagues &gt; MLB History &gt; 2019 MLB &gt; Batting Ratios</t>
  </si>
  <si>
    <t>You are here: BR Home Page &gt; Leagues &gt; MLB History &gt; 2019 MLB &gt; Batting Ratios</t>
  </si>
  <si>
    <t>BR Home Page &gt; Leagues &gt; MLB History &gt; 2019 MLB &gt; Pitching Ratios</t>
  </si>
  <si>
    <t>You are here: BR Home Page &gt; Leagues &gt; MLB History &gt; 2019 MLB &gt; Pitching Ratios</t>
  </si>
  <si>
    <t>Luis Severino</t>
  </si>
  <si>
    <t>Enderson Franco</t>
  </si>
  <si>
    <t>Keury Mella</t>
  </si>
  <si>
    <t>Michael King</t>
  </si>
  <si>
    <t>Jorge Alcala</t>
  </si>
  <si>
    <t>Taijuan Walker</t>
  </si>
  <si>
    <t>10/4Friday, Oct. 44:37 p.m.</t>
  </si>
  <si>
    <t>10/4Friday, Oct. 47:07 p.m.</t>
  </si>
  <si>
    <t>10/5Saturday, Oct. 55:07 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</si>
</sst>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_(&quot;$&quot;* \(#,##0.00\);_(&quot;$&quot;* &quot;-&quot;??_);_(@_)"/>
    <numFmt numFmtId="164" formatCode="&quot;$&quot;#,##0.00"/>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1"/>
      <name val="Calibri"/>
      <family val="2"/>
      <scheme val="minor"/>
    </font>
    <font>
      <b/>
      <i/>
      <sz val="11"/>
      <color theme="1"/>
      <name val="Calibri"/>
      <family val="2"/>
      <scheme val="minor"/>
    </font>
    <font>
      <sz val="11"/>
      <color theme="1"/>
      <name val="Calibri"/>
      <family val="2"/>
      <scheme val="minor"/>
    </font>
    <font>
      <i/>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1"/>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8" fillId="0" borderId="0" applyNumberFormat="0" applyFill="0" applyBorder="0" applyAlignment="0" applyProtection="0"/>
  </cellStyleXfs>
  <cellXfs count="104">
    <xf numFmtId="0" fontId="0" fillId="0" borderId="0" xfId="0"/>
    <xf numFmtId="0" fontId="0" fillId="0" borderId="0" xfId="0" applyAlignment="1">
      <alignment horizontal="right"/>
    </xf>
    <xf numFmtId="0" fontId="0" fillId="33" borderId="10" xfId="0" applyFill="1" applyBorder="1"/>
    <xf numFmtId="0" fontId="0" fillId="33" borderId="11" xfId="0" applyFill="1" applyBorder="1" applyAlignment="1">
      <alignment horizontal="right"/>
    </xf>
    <xf numFmtId="0" fontId="0" fillId="33" borderId="12" xfId="0" applyFill="1" applyBorder="1"/>
    <xf numFmtId="0" fontId="0" fillId="33" borderId="13" xfId="0" applyFill="1" applyBorder="1" applyAlignment="1">
      <alignment horizontal="right"/>
    </xf>
    <xf numFmtId="0" fontId="0" fillId="0" borderId="0" xfId="0" applyAlignment="1">
      <alignment horizontal="center"/>
    </xf>
    <xf numFmtId="2" fontId="0" fillId="0" borderId="0" xfId="0" applyNumberFormat="1"/>
    <xf numFmtId="0" fontId="0" fillId="34" borderId="0" xfId="0" applyFill="1"/>
    <xf numFmtId="2" fontId="0" fillId="34" borderId="0" xfId="0" applyNumberFormat="1" applyFill="1"/>
    <xf numFmtId="0" fontId="0" fillId="33" borderId="14" xfId="0" applyFill="1" applyBorder="1" applyAlignment="1">
      <alignment horizontal="right"/>
    </xf>
    <xf numFmtId="0" fontId="0" fillId="0" borderId="0" xfId="0" applyAlignment="1">
      <alignment vertical="center"/>
    </xf>
    <xf numFmtId="0" fontId="18" fillId="0" borderId="0" xfId="44"/>
    <xf numFmtId="0" fontId="19" fillId="0" borderId="0" xfId="0" applyFont="1"/>
    <xf numFmtId="0" fontId="0" fillId="0" borderId="0" xfId="0" applyAlignment="1">
      <alignment horizontal="left"/>
    </xf>
    <xf numFmtId="0" fontId="0" fillId="0" borderId="18" xfId="0" applyBorder="1" applyAlignment="1">
      <alignment horizontal="center"/>
    </xf>
    <xf numFmtId="0" fontId="0" fillId="0" borderId="21" xfId="0" applyBorder="1" applyAlignment="1">
      <alignment horizontal="center"/>
    </xf>
    <xf numFmtId="16" fontId="0" fillId="0" borderId="0" xfId="0" applyNumberFormat="1" applyAlignment="1">
      <alignment horizontal="center" vertical="center"/>
    </xf>
    <xf numFmtId="16" fontId="0" fillId="0" borderId="0" xfId="0" applyNumberFormat="1" applyAlignment="1">
      <alignment horizontal="left" vertical="center"/>
    </xf>
    <xf numFmtId="164" fontId="0" fillId="0" borderId="0" xfId="42" applyNumberFormat="1" applyFont="1" applyAlignment="1">
      <alignment vertical="center"/>
    </xf>
    <xf numFmtId="0" fontId="1" fillId="0" borderId="0" xfId="42" applyNumberFormat="1" applyFont="1" applyAlignment="1">
      <alignment vertical="center"/>
    </xf>
    <xf numFmtId="0" fontId="0" fillId="0" borderId="0" xfId="0" applyAlignment="1">
      <alignment horizontal="center" vertical="center"/>
    </xf>
    <xf numFmtId="44" fontId="0" fillId="0" borderId="0" xfId="42" applyFont="1" applyAlignment="1">
      <alignment vertical="center"/>
    </xf>
    <xf numFmtId="44" fontId="0" fillId="0" borderId="0" xfId="0" applyNumberFormat="1" applyAlignment="1">
      <alignment horizontal="center" vertical="center"/>
    </xf>
    <xf numFmtId="14" fontId="0" fillId="0" borderId="0" xfId="0" applyNumberFormat="1" applyAlignment="1">
      <alignment horizontal="center"/>
    </xf>
    <xf numFmtId="9" fontId="0" fillId="0" borderId="0" xfId="43" applyFont="1" applyAlignment="1">
      <alignment horizontal="left"/>
    </xf>
    <xf numFmtId="164" fontId="0" fillId="0" borderId="0" xfId="0" applyNumberFormat="1" applyFill="1" applyAlignment="1">
      <alignment horizontal="right"/>
    </xf>
    <xf numFmtId="9" fontId="0" fillId="0" borderId="0" xfId="43" applyFont="1" applyFill="1"/>
    <xf numFmtId="0" fontId="17" fillId="0" borderId="0" xfId="0" applyFont="1"/>
    <xf numFmtId="0" fontId="20" fillId="0" borderId="21" xfId="0" applyFont="1" applyBorder="1"/>
    <xf numFmtId="164" fontId="0" fillId="33" borderId="18" xfId="0" applyNumberFormat="1" applyFill="1" applyBorder="1" applyAlignment="1">
      <alignment horizontal="right"/>
    </xf>
    <xf numFmtId="0" fontId="0" fillId="33" borderId="20" xfId="0" applyNumberFormat="1" applyFill="1" applyBorder="1" applyAlignment="1">
      <alignment horizontal="left"/>
    </xf>
    <xf numFmtId="9" fontId="0" fillId="0" borderId="0" xfId="43" applyFont="1"/>
    <xf numFmtId="17" fontId="0" fillId="0" borderId="0" xfId="0" applyNumberFormat="1"/>
    <xf numFmtId="44" fontId="0" fillId="0" borderId="0" xfId="42" applyFont="1"/>
    <xf numFmtId="44" fontId="0" fillId="0" borderId="0" xfId="42" applyFont="1" applyAlignment="1">
      <alignment horizontal="center" vertical="center"/>
    </xf>
    <xf numFmtId="0" fontId="0" fillId="0" borderId="0" xfId="42" applyNumberFormat="1" applyFont="1" applyAlignment="1">
      <alignment vertical="center"/>
    </xf>
    <xf numFmtId="0" fontId="0" fillId="0" borderId="0" xfId="42" applyNumberFormat="1" applyFont="1" applyAlignment="1">
      <alignment horizontal="center" vertical="center"/>
    </xf>
    <xf numFmtId="164" fontId="0" fillId="0" borderId="0" xfId="0" applyNumberFormat="1" applyFill="1" applyAlignment="1">
      <alignment horizontal="center"/>
    </xf>
    <xf numFmtId="44" fontId="0" fillId="0" borderId="0" xfId="42" applyNumberFormat="1" applyFont="1" applyAlignment="1">
      <alignment horizontal="center" vertical="center"/>
    </xf>
    <xf numFmtId="16" fontId="0" fillId="0" borderId="0" xfId="0" applyNumberFormat="1" applyAlignment="1">
      <alignment horizontal="left" vertical="center" wrapText="1"/>
    </xf>
    <xf numFmtId="0" fontId="0" fillId="0" borderId="0" xfId="0" applyAlignment="1">
      <alignment vertical="center" wrapText="1"/>
    </xf>
    <xf numFmtId="16" fontId="19" fillId="0" borderId="0" xfId="0" applyNumberFormat="1" applyFont="1" applyAlignment="1">
      <alignment horizontal="left" vertical="center"/>
    </xf>
    <xf numFmtId="0" fontId="19" fillId="0" borderId="0" xfId="0" applyFont="1" applyAlignment="1">
      <alignment vertical="center"/>
    </xf>
    <xf numFmtId="16" fontId="0" fillId="0" borderId="0" xfId="0" applyNumberFormat="1" applyAlignment="1">
      <alignment vertical="center"/>
    </xf>
    <xf numFmtId="44" fontId="0" fillId="0" borderId="0" xfId="42" applyNumberFormat="1" applyFont="1" applyAlignment="1">
      <alignment vertical="center"/>
    </xf>
    <xf numFmtId="0" fontId="1" fillId="0" borderId="0" xfId="42" applyNumberFormat="1" applyFont="1" applyAlignment="1">
      <alignment horizontal="center" vertical="center"/>
    </xf>
    <xf numFmtId="0" fontId="21" fillId="0" borderId="0" xfId="42" applyNumberFormat="1" applyFont="1" applyAlignment="1">
      <alignment horizontal="center" vertical="center"/>
    </xf>
    <xf numFmtId="0" fontId="0" fillId="33" borderId="0" xfId="0" applyFill="1" applyBorder="1"/>
    <xf numFmtId="0" fontId="0" fillId="33" borderId="0" xfId="0" applyFill="1"/>
    <xf numFmtId="0" fontId="0" fillId="33" borderId="15" xfId="0" applyFill="1" applyBorder="1"/>
    <xf numFmtId="0" fontId="0" fillId="33" borderId="17" xfId="0" applyFill="1" applyBorder="1"/>
    <xf numFmtId="0" fontId="0" fillId="33" borderId="16" xfId="0" applyFill="1" applyBorder="1"/>
    <xf numFmtId="0" fontId="22" fillId="0" borderId="0" xfId="0" applyFont="1"/>
    <xf numFmtId="0" fontId="0" fillId="35" borderId="0" xfId="0" applyFill="1"/>
    <xf numFmtId="164" fontId="0" fillId="0" borderId="21" xfId="0" applyNumberFormat="1" applyBorder="1"/>
    <xf numFmtId="164" fontId="0" fillId="0" borderId="21" xfId="42" applyNumberFormat="1" applyFont="1" applyBorder="1"/>
    <xf numFmtId="10" fontId="0" fillId="0" borderId="21" xfId="42" applyNumberFormat="1" applyFont="1" applyBorder="1"/>
    <xf numFmtId="44" fontId="0" fillId="0" borderId="21" xfId="42" applyFont="1" applyBorder="1" applyAlignment="1">
      <alignment horizontal="right"/>
    </xf>
    <xf numFmtId="9" fontId="0" fillId="0" borderId="21" xfId="43" applyFont="1" applyBorder="1"/>
    <xf numFmtId="0" fontId="0" fillId="0" borderId="0" xfId="0" applyNumberFormat="1"/>
    <xf numFmtId="0" fontId="0" fillId="0" borderId="0" xfId="0" quotePrefix="1"/>
    <xf numFmtId="9" fontId="0" fillId="0" borderId="0" xfId="0" applyNumberFormat="1"/>
    <xf numFmtId="14" fontId="0" fillId="0" borderId="0" xfId="0" applyNumberFormat="1"/>
    <xf numFmtId="0" fontId="0" fillId="33" borderId="11" xfId="0" applyFill="1" applyBorder="1"/>
    <xf numFmtId="0" fontId="0" fillId="33" borderId="13" xfId="0" applyFill="1" applyBorder="1"/>
    <xf numFmtId="0" fontId="0" fillId="33" borderId="14" xfId="0" applyFill="1" applyBorder="1"/>
    <xf numFmtId="0" fontId="0" fillId="33" borderId="15" xfId="0" applyFill="1" applyBorder="1" applyAlignment="1">
      <alignment horizontal="right"/>
    </xf>
    <xf numFmtId="0" fontId="0" fillId="33" borderId="17" xfId="0" applyFill="1" applyBorder="1" applyAlignment="1">
      <alignment horizontal="right"/>
    </xf>
    <xf numFmtId="0" fontId="0" fillId="0" borderId="0" xfId="0" applyAlignment="1">
      <alignment horizontal="center"/>
    </xf>
    <xf numFmtId="0" fontId="0" fillId="0" borderId="0" xfId="0" applyAlignment="1">
      <alignment horizontal="center"/>
    </xf>
    <xf numFmtId="0" fontId="23" fillId="0" borderId="0" xfId="42" applyNumberFormat="1" applyFont="1" applyAlignment="1">
      <alignment horizontal="center" vertical="center"/>
    </xf>
    <xf numFmtId="164" fontId="0" fillId="0" borderId="0" xfId="0" applyNumberFormat="1"/>
    <xf numFmtId="10" fontId="0" fillId="0" borderId="0" xfId="43" applyNumberFormat="1" applyFont="1"/>
    <xf numFmtId="0" fontId="0" fillId="0" borderId="0" xfId="0" applyAlignment="1">
      <alignment horizontal="center"/>
    </xf>
    <xf numFmtId="16" fontId="0" fillId="0" borderId="0" xfId="0" applyNumberFormat="1"/>
    <xf numFmtId="10" fontId="0" fillId="0" borderId="0" xfId="0" applyNumberFormat="1"/>
    <xf numFmtId="0" fontId="0" fillId="36" borderId="0" xfId="0" applyFill="1"/>
    <xf numFmtId="2" fontId="0" fillId="36" borderId="0" xfId="0" applyNumberFormat="1" applyFill="1"/>
    <xf numFmtId="0" fontId="0" fillId="37" borderId="0" xfId="0" applyFill="1"/>
    <xf numFmtId="0" fontId="0" fillId="38" borderId="0" xfId="0" applyFill="1"/>
    <xf numFmtId="2" fontId="0" fillId="38" borderId="0" xfId="0" applyNumberFormat="1" applyFill="1"/>
    <xf numFmtId="0" fontId="0" fillId="39" borderId="0" xfId="0" applyFill="1"/>
    <xf numFmtId="0" fontId="0" fillId="40" borderId="0" xfId="0" applyFill="1"/>
    <xf numFmtId="164" fontId="0" fillId="0" borderId="0" xfId="42" applyNumberFormat="1" applyFont="1"/>
    <xf numFmtId="0" fontId="0" fillId="0" borderId="0" xfId="0" applyAlignment="1">
      <alignment horizontal="center"/>
    </xf>
    <xf numFmtId="0" fontId="0" fillId="41" borderId="0" xfId="0" applyFill="1"/>
    <xf numFmtId="0" fontId="0" fillId="0" borderId="0" xfId="0" pivotButton="1"/>
    <xf numFmtId="16" fontId="0" fillId="0" borderId="0" xfId="0" applyNumberFormat="1" applyAlignment="1">
      <alignment horizontal="left"/>
    </xf>
    <xf numFmtId="9" fontId="0" fillId="0" borderId="0" xfId="43" applyFont="1" applyAlignment="1">
      <alignment vertical="center"/>
    </xf>
    <xf numFmtId="9" fontId="0" fillId="0" borderId="0" xfId="43" applyNumberFormat="1" applyFont="1"/>
    <xf numFmtId="0" fontId="24" fillId="0" borderId="0" xfId="42" applyNumberFormat="1" applyFont="1" applyAlignment="1">
      <alignment horizontal="center" vertical="center"/>
    </xf>
    <xf numFmtId="0" fontId="25" fillId="0" borderId="0" xfId="42" applyNumberFormat="1" applyFont="1" applyAlignment="1">
      <alignment horizontal="center" vertical="center"/>
    </xf>
    <xf numFmtId="0" fontId="0" fillId="0" borderId="19" xfId="0" applyBorder="1" applyAlignment="1">
      <alignment horizontal="center"/>
    </xf>
    <xf numFmtId="0" fontId="0" fillId="0" borderId="20" xfId="0" applyBorder="1" applyAlignment="1">
      <alignment horizontal="center"/>
    </xf>
    <xf numFmtId="0" fontId="0" fillId="33" borderId="15" xfId="0" applyFill="1" applyBorder="1" applyAlignment="1">
      <alignment horizontal="center" vertical="center"/>
    </xf>
    <xf numFmtId="0" fontId="0" fillId="33" borderId="17" xfId="0" applyFill="1" applyBorder="1" applyAlignment="1">
      <alignment horizontal="center" vertical="center"/>
    </xf>
    <xf numFmtId="0" fontId="0" fillId="0" borderId="0" xfId="0" applyAlignment="1">
      <alignment horizontal="center"/>
    </xf>
    <xf numFmtId="0" fontId="0" fillId="37" borderId="0" xfId="0" applyFill="1" applyAlignment="1">
      <alignment horizontal="center"/>
    </xf>
    <xf numFmtId="0" fontId="0" fillId="38" borderId="0" xfId="0" applyFill="1" applyAlignment="1">
      <alignment horizontal="center"/>
    </xf>
    <xf numFmtId="0" fontId="0" fillId="39" borderId="0" xfId="0" applyFill="1" applyAlignment="1">
      <alignment horizontal="center"/>
    </xf>
    <xf numFmtId="0" fontId="0" fillId="40" borderId="0" xfId="0" applyFill="1" applyAlignment="1">
      <alignment horizontal="center"/>
    </xf>
    <xf numFmtId="0" fontId="0" fillId="34" borderId="0" xfId="0" applyFill="1" applyAlignment="1">
      <alignment horizontal="center"/>
    </xf>
    <xf numFmtId="0" fontId="0" fillId="36" borderId="0" xfId="0" applyFill="1" applyAlignment="1">
      <alignment horizontal="center"/>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39">
    <dxf>
      <numFmt numFmtId="13" formatCode="0%"/>
    </dxf>
    <dxf>
      <numFmt numFmtId="0" formatCode="General"/>
    </dxf>
    <dxf>
      <numFmt numFmtId="0" formatCode="General"/>
    </dxf>
    <dxf>
      <numFmt numFmtId="0" formatCode="General"/>
    </dxf>
    <dxf>
      <numFmt numFmtId="0" formatCode="General"/>
    </dxf>
    <dxf>
      <numFmt numFmtId="0" formatCode="General"/>
    </dxf>
    <dxf>
      <fill>
        <patternFill>
          <bgColor theme="5" tint="0.59996337778862885"/>
        </patternFill>
      </fill>
    </dxf>
    <dxf>
      <fill>
        <patternFill>
          <bgColor theme="5" tint="0.59996337778862885"/>
        </patternFill>
      </fill>
    </dxf>
    <dxf>
      <numFmt numFmtId="34" formatCode="_(&quot;$&quot;* #,##0.00_);_(&quot;$&quot;* \(#,##0.00\);_(&quot;$&quot;* &quot;-&quot;??_);_(@_)"/>
      <alignment horizontal="center" vertical="center" textRotation="0" wrapText="0" indent="0" justifyLastLine="0" shrinkToFit="0" readingOrder="0"/>
    </dxf>
    <dxf>
      <numFmt numFmtId="34" formatCode="_(&quot;$&quot;* #,##0.00_);_(&quot;$&quot;* \(#,##0.00\);_(&quot;$&quot;* &quot;-&quot;??_);_(@_)"/>
      <alignment vertical="center" textRotation="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center" vertical="center" textRotation="0" wrapText="0" indent="0" justifyLastLine="0" shrinkToFit="0" readingOrder="0"/>
    </dxf>
    <dxf>
      <numFmt numFmtId="164" formatCode="&quot;$&quot;#,##0.00"/>
      <alignment vertical="center" textRotation="0" indent="0" justifyLastLine="0" shrinkToFit="0" readingOrder="0"/>
    </dxf>
    <dxf>
      <alignment vertical="center" textRotation="0" indent="0" justifyLastLine="0" shrinkToFit="0" readingOrder="0"/>
    </dxf>
    <dxf>
      <numFmt numFmtId="21" formatCode="d\-mmm"/>
      <alignment horizontal="left" vertical="center" textRotation="0" indent="0" justifyLastLine="0" shrinkToFit="0" readingOrder="0"/>
    </dxf>
    <dxf>
      <numFmt numFmtId="21" formatCode="d\-mmm"/>
      <alignment horizontal="center" vertical="center" textRotation="0" wrapText="0" indent="0" justifyLastLine="0" shrinkToFit="0" readingOrder="0"/>
    </dxf>
    <dxf>
      <numFmt numFmtId="21" formatCode="d\-mmm"/>
      <alignment horizontal="center" vertical="center" textRotation="0" wrapText="0" indent="0" justifyLastLine="0" shrinkToFit="0" readingOrder="0"/>
    </dxf>
    <dxf>
      <alignment vertical="center" textRotation="0" indent="0" justifyLastLine="0" shrinkToFit="0" readingOrder="0"/>
    </dxf>
    <dxf>
      <alignment horizontal="center" vertical="bottom" textRotation="0" wrapText="0" indent="0" justifyLastLine="0" shrinkToFit="0" readingOrder="0"/>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font>
        <color theme="0"/>
      </font>
    </dxf>
    <dxf>
      <border>
        <top style="thin">
          <color auto="1"/>
        </top>
        <bottom style="thin">
          <color auto="1"/>
        </bottom>
        <vertical/>
        <horizontal/>
      </border>
    </dxf>
    <dxf>
      <font>
        <color theme="0"/>
      </font>
    </dxf>
    <dxf>
      <fill>
        <patternFill>
          <bgColor theme="0"/>
        </patternFill>
      </fill>
    </dxf>
    <dxf>
      <font>
        <color theme="0"/>
      </font>
    </dxf>
    <dxf>
      <fill>
        <patternFill>
          <bgColor theme="0"/>
        </patternFill>
      </fill>
    </dxf>
    <dxf>
      <border>
        <top style="thin">
          <color auto="1"/>
        </top>
        <bottom style="thin">
          <color auto="1"/>
        </bottom>
        <vertical/>
        <horizontal/>
      </border>
    </dxf>
    <dxf>
      <font>
        <color theme="0"/>
      </font>
    </dxf>
    <dxf>
      <fill>
        <patternFill>
          <bgColor theme="0"/>
        </patternFill>
      </fill>
    </dxf>
    <dxf>
      <border>
        <top style="thin">
          <color auto="1"/>
        </top>
        <bottom style="thin">
          <color auto="1"/>
        </bottom>
        <vertical/>
        <horizontal/>
      </border>
    </dxf>
    <dxf>
      <font>
        <color theme="0"/>
      </font>
    </dxf>
    <dxf>
      <border>
        <top style="thin">
          <color auto="1"/>
        </top>
        <vertical/>
        <horizontal/>
      </border>
    </dxf>
    <dxf>
      <numFmt numFmtId="34" formatCode="_(&quot;$&quot;* #,##0.00_);_(&quot;$&quot;* \(#,##0.00\);_(&quot;$&quot;* &quot;-&quot;??_);_(@_)"/>
      <alignment horizontal="center" vertical="center" textRotation="0" wrapText="0" indent="0" justifyLastLine="0" shrinkToFit="0" readingOrder="0"/>
    </dxf>
    <dxf>
      <numFmt numFmtId="34" formatCode="_(&quot;$&quot;* #,##0.00_);_(&quot;$&quot;* \(#,##0.00\);_(&quot;$&quot;* &quot;-&quot;??_);_(@_)"/>
      <alignment vertical="center" textRotation="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center" vertical="center" textRotation="0" wrapText="0" indent="0" justifyLastLine="0" shrinkToFit="0" readingOrder="0"/>
    </dxf>
    <dxf>
      <numFmt numFmtId="164" formatCode="&quot;$&quot;#,##0.00"/>
      <alignment vertical="center" textRotation="0" indent="0" justifyLastLine="0" shrinkToFit="0" readingOrder="0"/>
    </dxf>
    <dxf>
      <alignment vertical="center" textRotation="0" indent="0" justifyLastLine="0" shrinkToFit="0" readingOrder="0"/>
    </dxf>
    <dxf>
      <numFmt numFmtId="21" formatCode="d\-mmm"/>
      <alignment horizontal="left" vertical="center" textRotation="0" indent="0" justifyLastLine="0" shrinkToFit="0" readingOrder="0"/>
    </dxf>
    <dxf>
      <numFmt numFmtId="21" formatCode="d\-mmm"/>
      <alignment horizontal="center" vertical="center" textRotation="0" wrapText="0" indent="0" justifyLastLine="0" shrinkToFit="0" readingOrder="0"/>
    </dxf>
    <dxf>
      <numFmt numFmtId="21" formatCode="d\-mmm"/>
      <alignment horizontal="center" vertical="center" textRotation="0" wrapText="0" indent="0" justifyLastLine="0" shrinkToFit="0" readingOrder="0"/>
    </dxf>
    <dxf>
      <alignment vertical="center" textRotation="0" indent="0" justifyLastLine="0" shrinkToFit="0" readingOrder="0"/>
    </dxf>
    <dxf>
      <alignment horizontal="center" vertical="bottom" textRotation="0" wrapText="0" indent="0" justifyLastLine="0" shrinkToFit="0" readingOrder="0"/>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font>
        <color theme="0"/>
      </font>
    </dxf>
    <dxf>
      <border>
        <top style="thin">
          <color auto="1"/>
        </top>
        <bottom style="thin">
          <color auto="1"/>
        </bottom>
        <vertical/>
        <horizontal/>
      </border>
    </dxf>
    <dxf>
      <font>
        <color theme="0"/>
      </font>
    </dxf>
    <dxf>
      <fill>
        <patternFill>
          <bgColor theme="0"/>
        </patternFill>
      </fill>
    </dxf>
    <dxf>
      <font>
        <color theme="0"/>
      </font>
    </dxf>
    <dxf>
      <fill>
        <patternFill>
          <bgColor theme="0"/>
        </patternFill>
      </fill>
    </dxf>
    <dxf>
      <border>
        <top style="thin">
          <color auto="1"/>
        </top>
        <bottom style="thin">
          <color auto="1"/>
        </bottom>
        <vertical/>
        <horizontal/>
      </border>
    </dxf>
    <dxf>
      <font>
        <color theme="0"/>
      </font>
    </dxf>
    <dxf>
      <fill>
        <patternFill>
          <bgColor theme="0"/>
        </patternFill>
      </fill>
    </dxf>
    <dxf>
      <border>
        <top style="thin">
          <color auto="1"/>
        </top>
        <bottom style="thin">
          <color auto="1"/>
        </bottom>
        <vertical/>
        <horizontal/>
      </border>
    </dxf>
    <dxf>
      <font>
        <color theme="0"/>
      </font>
    </dxf>
    <dxf>
      <border>
        <top style="thin">
          <color auto="1"/>
        </top>
        <vertical/>
        <horizontal/>
      </border>
    </dxf>
    <dxf>
      <numFmt numFmtId="34" formatCode="_(&quot;$&quot;* #,##0.00_);_(&quot;$&quot;* \(#,##0.00\);_(&quot;$&quot;* &quot;-&quot;??_);_(@_)"/>
      <alignment horizontal="center" vertical="center" textRotation="0" wrapText="0" indent="0" justifyLastLine="0" shrinkToFit="0" readingOrder="0"/>
    </dxf>
    <dxf>
      <numFmt numFmtId="34" formatCode="_(&quot;$&quot;* #,##0.00_);_(&quot;$&quot;* \(#,##0.00\);_(&quot;$&quot;* &quot;-&quot;??_);_(@_)"/>
      <alignment vertical="center" textRotation="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center" vertical="center" textRotation="0" wrapText="0" indent="0" justifyLastLine="0" shrinkToFit="0" readingOrder="0"/>
    </dxf>
    <dxf>
      <numFmt numFmtId="164" formatCode="&quot;$&quot;#,##0.00"/>
      <alignment vertical="center" textRotation="0" indent="0" justifyLastLine="0" shrinkToFit="0" readingOrder="0"/>
    </dxf>
    <dxf>
      <alignment vertical="center" textRotation="0" indent="0" justifyLastLine="0" shrinkToFit="0" readingOrder="0"/>
    </dxf>
    <dxf>
      <numFmt numFmtId="21" formatCode="d\-mmm"/>
      <alignment horizontal="left" vertical="center" textRotation="0" indent="0" justifyLastLine="0" shrinkToFit="0" readingOrder="0"/>
    </dxf>
    <dxf>
      <numFmt numFmtId="21" formatCode="d\-mmm"/>
      <alignment horizontal="center" vertical="center" textRotation="0" wrapText="0" indent="0" justifyLastLine="0" shrinkToFit="0" readingOrder="0"/>
    </dxf>
    <dxf>
      <numFmt numFmtId="21" formatCode="d\-mmm"/>
      <alignment horizontal="center" vertical="center" textRotation="0" wrapText="0" indent="0" justifyLastLine="0" shrinkToFit="0" readingOrder="0"/>
    </dxf>
    <dxf>
      <alignment vertical="center" textRotation="0" indent="0" justifyLastLine="0" shrinkToFit="0" readingOrder="0"/>
    </dxf>
    <dxf>
      <alignment horizontal="center" vertical="bottom" textRotation="0" wrapText="0" indent="0" justifyLastLine="0" shrinkToFit="0" readingOrder="0"/>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font>
        <color theme="0"/>
      </font>
    </dxf>
    <dxf>
      <border>
        <top style="thin">
          <color auto="1"/>
        </top>
        <bottom style="thin">
          <color auto="1"/>
        </bottom>
        <vertical/>
        <horizontal/>
      </border>
    </dxf>
    <dxf>
      <font>
        <color theme="0"/>
      </font>
    </dxf>
    <dxf>
      <fill>
        <patternFill>
          <bgColor theme="0"/>
        </patternFill>
      </fill>
    </dxf>
    <dxf>
      <font>
        <color theme="0"/>
      </font>
    </dxf>
    <dxf>
      <fill>
        <patternFill>
          <bgColor theme="0"/>
        </patternFill>
      </fill>
    </dxf>
    <dxf>
      <border>
        <top style="thin">
          <color auto="1"/>
        </top>
        <bottom style="thin">
          <color auto="1"/>
        </bottom>
        <vertical/>
        <horizontal/>
      </border>
    </dxf>
    <dxf>
      <font>
        <color theme="0"/>
      </font>
    </dxf>
    <dxf>
      <fill>
        <patternFill>
          <bgColor theme="0"/>
        </patternFill>
      </fill>
    </dxf>
    <dxf>
      <border>
        <top style="thin">
          <color auto="1"/>
        </top>
        <bottom style="thin">
          <color auto="1"/>
        </bottom>
        <vertical/>
        <horizontal/>
      </border>
    </dxf>
    <dxf>
      <font>
        <color theme="0"/>
      </font>
    </dxf>
    <dxf>
      <border>
        <top style="thin">
          <color auto="1"/>
        </top>
        <vertical/>
        <horizontal/>
      </border>
    </dxf>
    <dxf>
      <numFmt numFmtId="34" formatCode="_(&quot;$&quot;* #,##0.00_);_(&quot;$&quot;* \(#,##0.00\);_(&quot;$&quot;* &quot;-&quot;??_);_(@_)"/>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3" formatCode="0%"/>
      <alignment horizontal="general" vertical="center" textRotation="0" wrapText="0" indent="0" justifyLastLine="0" shrinkToFit="0" readingOrder="0"/>
    </dxf>
    <dxf>
      <numFmt numFmtId="34" formatCode="_(&quot;$&quot;* #,##0.00_);_(&quot;$&quot;* \(#,##0.00\);_(&quot;$&quot;* &quot;-&quot;??_);_(@_)"/>
      <alignment vertical="center" textRotation="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center" vertical="center" textRotation="0" wrapText="0" indent="0" justifyLastLine="0" shrinkToFit="0" readingOrder="0"/>
    </dxf>
    <dxf>
      <numFmt numFmtId="164" formatCode="&quot;$&quot;#,##0.00"/>
      <alignment vertical="center" textRotation="0" indent="0" justifyLastLine="0" shrinkToFit="0" readingOrder="0"/>
    </dxf>
    <dxf>
      <alignment vertical="center" textRotation="0" indent="0" justifyLastLine="0" shrinkToFit="0" readingOrder="0"/>
    </dxf>
    <dxf>
      <numFmt numFmtId="21" formatCode="d\-mmm"/>
      <alignment horizontal="left" vertical="center" textRotation="0" indent="0" justifyLastLine="0" shrinkToFit="0" readingOrder="0"/>
    </dxf>
    <dxf>
      <numFmt numFmtId="21" formatCode="d\-mmm"/>
      <alignment horizontal="center" vertical="center" textRotation="0" wrapText="0" indent="0" justifyLastLine="0" shrinkToFit="0" readingOrder="0"/>
    </dxf>
    <dxf>
      <numFmt numFmtId="21" formatCode="d\-mmm"/>
      <alignment horizontal="center" vertical="center" textRotation="0" wrapText="0" indent="0" justifyLastLine="0" shrinkToFit="0" readingOrder="0"/>
    </dxf>
    <dxf>
      <alignment vertical="center" textRotation="0" indent="0" justifyLastLine="0" shrinkToFit="0" readingOrder="0"/>
    </dxf>
    <dxf>
      <alignment horizontal="center" vertical="bottom" textRotation="0" wrapText="0" indent="0" justifyLastLine="0" shrinkToFit="0" readingOrder="0"/>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font>
        <color theme="0"/>
      </font>
    </dxf>
    <dxf>
      <border>
        <top style="thin">
          <color auto="1"/>
        </top>
        <bottom style="thin">
          <color auto="1"/>
        </bottom>
        <vertical/>
        <horizontal/>
      </border>
    </dxf>
    <dxf>
      <font>
        <color theme="0"/>
      </font>
    </dxf>
    <dxf>
      <fill>
        <patternFill>
          <bgColor theme="0"/>
        </patternFill>
      </fill>
    </dxf>
    <dxf>
      <font>
        <color theme="0"/>
      </font>
    </dxf>
    <dxf>
      <fill>
        <patternFill>
          <bgColor theme="0"/>
        </patternFill>
      </fill>
    </dxf>
    <dxf>
      <border>
        <top style="thin">
          <color auto="1"/>
        </top>
        <bottom style="thin">
          <color auto="1"/>
        </bottom>
        <vertical/>
        <horizontal/>
      </border>
    </dxf>
    <dxf>
      <font>
        <color theme="0"/>
      </font>
    </dxf>
    <dxf>
      <fill>
        <patternFill>
          <bgColor theme="0"/>
        </patternFill>
      </fill>
    </dxf>
    <dxf>
      <border>
        <top style="thin">
          <color auto="1"/>
        </top>
        <bottom style="thin">
          <color auto="1"/>
        </bottom>
        <vertical/>
        <horizontal/>
      </border>
    </dxf>
    <dxf>
      <font>
        <color theme="0"/>
      </font>
    </dxf>
    <dxf>
      <border>
        <top style="thin">
          <color auto="1"/>
        </top>
        <vertical/>
        <horizontal/>
      </border>
    </dxf>
    <dxf>
      <numFmt numFmtId="164" formatCode="&quot;$&quot;#,##0.0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[Baseball Simulator.xlsx]Summary!PivotTable2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CashFlow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s>
    <c:plotArea>
      <c:layout/>
      <c:lineChart>
        <c:grouping val="standard"/>
        <c:varyColors val="0"/>
        <c:ser>
          <c:idx val="0"/>
          <c:order val="0"/>
          <c:tx>
            <c:strRef>
              <c:f>Summary!$I$1</c:f>
              <c:strCache>
                <c:ptCount val="1"/>
                <c:pt idx="0">
                  <c:v>Net Cash</c:v>
                </c:pt>
              </c:strCache>
            </c:strRef>
          </c:tx>
          <c:spPr>
            <a:ln w="28575" cap="rnd">
              <a:solidFill>
                <a:schemeClr val="accent1"/>
              </a:solidFill>
              <a:round/>
            </a:ln>
            <a:effectLst/>
          </c:spPr>
          <c:marker>
            <c:symbol val="none"/>
          </c:marker>
          <c:cat>
            <c:strRef>
              <c:f>Summary!$H$2:$H$25</c:f>
              <c:strCache>
                <c:ptCount val="24"/>
                <c:pt idx="0">
                  <c:v>16-Jul</c:v>
                </c:pt>
                <c:pt idx="1">
                  <c:v>17-Jul</c:v>
                </c:pt>
                <c:pt idx="2">
                  <c:v>18-Jul</c:v>
                </c:pt>
                <c:pt idx="3">
                  <c:v>25-Jul</c:v>
                </c:pt>
                <c:pt idx="4">
                  <c:v>26-Jul</c:v>
                </c:pt>
                <c:pt idx="5">
                  <c:v>29-Jul</c:v>
                </c:pt>
                <c:pt idx="6">
                  <c:v>30-Jul</c:v>
                </c:pt>
                <c:pt idx="7">
                  <c:v>31-Jul</c:v>
                </c:pt>
                <c:pt idx="8">
                  <c:v>1-Aug</c:v>
                </c:pt>
                <c:pt idx="9">
                  <c:v>2-Aug</c:v>
                </c:pt>
                <c:pt idx="10">
                  <c:v>3-Aug</c:v>
                </c:pt>
                <c:pt idx="11">
                  <c:v>4-Aug</c:v>
                </c:pt>
                <c:pt idx="12">
                  <c:v>5-Aug</c:v>
                </c:pt>
                <c:pt idx="13">
                  <c:v>6-Aug</c:v>
                </c:pt>
                <c:pt idx="14">
                  <c:v>7-Aug</c:v>
                </c:pt>
                <c:pt idx="15">
                  <c:v>8-Aug</c:v>
                </c:pt>
                <c:pt idx="16">
                  <c:v>26-Aug</c:v>
                </c:pt>
                <c:pt idx="17">
                  <c:v>27-Aug</c:v>
                </c:pt>
                <c:pt idx="18">
                  <c:v>28-Aug</c:v>
                </c:pt>
                <c:pt idx="19">
                  <c:v>29-Aug</c:v>
                </c:pt>
                <c:pt idx="20">
                  <c:v>9-Sep</c:v>
                </c:pt>
                <c:pt idx="21">
                  <c:v>10-Sep</c:v>
                </c:pt>
                <c:pt idx="22">
                  <c:v>11-Sep</c:v>
                </c:pt>
                <c:pt idx="23">
                  <c:v>16-Sep</c:v>
                </c:pt>
              </c:strCache>
            </c:strRef>
          </c:cat>
          <c:val>
            <c:numRef>
              <c:f>Summary!$I$2:$I$25</c:f>
              <c:numCache>
                <c:formatCode>General</c:formatCode>
                <c:ptCount val="24"/>
                <c:pt idx="0">
                  <c:v>11.86</c:v>
                </c:pt>
                <c:pt idx="1">
                  <c:v>25.47</c:v>
                </c:pt>
                <c:pt idx="2">
                  <c:v>-26.629999999999995</c:v>
                </c:pt>
                <c:pt idx="3">
                  <c:v>9.39</c:v>
                </c:pt>
                <c:pt idx="4">
                  <c:v>32.840000000000003</c:v>
                </c:pt>
                <c:pt idx="5">
                  <c:v>27.370000000000012</c:v>
                </c:pt>
                <c:pt idx="6">
                  <c:v>70.400000000000006</c:v>
                </c:pt>
                <c:pt idx="7">
                  <c:v>24.500000000000014</c:v>
                </c:pt>
                <c:pt idx="8">
                  <c:v>-31.84999999999998</c:v>
                </c:pt>
                <c:pt idx="9">
                  <c:v>16.880000000000024</c:v>
                </c:pt>
                <c:pt idx="10">
                  <c:v>101.74000000000002</c:v>
                </c:pt>
                <c:pt idx="11">
                  <c:v>142.46000000000004</c:v>
                </c:pt>
                <c:pt idx="12">
                  <c:v>112.93000000000004</c:v>
                </c:pt>
                <c:pt idx="13">
                  <c:v>59.030000000000058</c:v>
                </c:pt>
                <c:pt idx="14">
                  <c:v>-11.419999999999959</c:v>
                </c:pt>
                <c:pt idx="15">
                  <c:v>-59.189999999999948</c:v>
                </c:pt>
                <c:pt idx="16">
                  <c:v>-22.689999999999948</c:v>
                </c:pt>
                <c:pt idx="17">
                  <c:v>30.460000000000043</c:v>
                </c:pt>
                <c:pt idx="18">
                  <c:v>108.37000000000003</c:v>
                </c:pt>
                <c:pt idx="19">
                  <c:v>17.94000000000004</c:v>
                </c:pt>
                <c:pt idx="20">
                  <c:v>13.090000000000042</c:v>
                </c:pt>
                <c:pt idx="21">
                  <c:v>17.150000000000041</c:v>
                </c:pt>
                <c:pt idx="22">
                  <c:v>-39.929999999999957</c:v>
                </c:pt>
                <c:pt idx="23">
                  <c:v>-39.929999999999957</c:v>
                </c:pt>
              </c:numCache>
            </c:numRef>
          </c:val>
          <c:smooth val="0"/>
          <c:extLst>
            <c:ext xmlns:c16="http://schemas.microsoft.com/office/drawing/2014/chart" uri="{C3380CC4-5D6E-409C-BE32-E72D297353CC}">
              <c16:uniqueId val="{00000000-2561-4FA4-AA74-011AC9C3EDBE}"/>
            </c:ext>
          </c:extLst>
        </c:ser>
        <c:dLbls>
          <c:showLegendKey val="0"/>
          <c:showVal val="0"/>
          <c:showCatName val="0"/>
          <c:showSerName val="0"/>
          <c:showPercent val="0"/>
          <c:showBubbleSize val="0"/>
        </c:dLbls>
        <c:marker val="1"/>
        <c:smooth val="0"/>
        <c:axId val="1120850424"/>
        <c:axId val="1120841568"/>
      </c:lineChart>
      <c:lineChart>
        <c:grouping val="standard"/>
        <c:varyColors val="0"/>
        <c:ser>
          <c:idx val="1"/>
          <c:order val="1"/>
          <c:tx>
            <c:strRef>
              <c:f>Summary!$J$1</c:f>
              <c:strCache>
                <c:ptCount val="1"/>
                <c:pt idx="0">
                  <c:v>Percent Gain</c:v>
                </c:pt>
              </c:strCache>
            </c:strRef>
          </c:tx>
          <c:spPr>
            <a:ln w="28575" cap="rnd">
              <a:solidFill>
                <a:schemeClr val="accent2"/>
              </a:solidFill>
              <a:round/>
            </a:ln>
            <a:effectLst/>
          </c:spPr>
          <c:marker>
            <c:symbol val="none"/>
          </c:marker>
          <c:cat>
            <c:strRef>
              <c:f>Summary!$H$2:$H$25</c:f>
              <c:strCache>
                <c:ptCount val="24"/>
                <c:pt idx="0">
                  <c:v>16-Jul</c:v>
                </c:pt>
                <c:pt idx="1">
                  <c:v>17-Jul</c:v>
                </c:pt>
                <c:pt idx="2">
                  <c:v>18-Jul</c:v>
                </c:pt>
                <c:pt idx="3">
                  <c:v>25-Jul</c:v>
                </c:pt>
                <c:pt idx="4">
                  <c:v>26-Jul</c:v>
                </c:pt>
                <c:pt idx="5">
                  <c:v>29-Jul</c:v>
                </c:pt>
                <c:pt idx="6">
                  <c:v>30-Jul</c:v>
                </c:pt>
                <c:pt idx="7">
                  <c:v>31-Jul</c:v>
                </c:pt>
                <c:pt idx="8">
                  <c:v>1-Aug</c:v>
                </c:pt>
                <c:pt idx="9">
                  <c:v>2-Aug</c:v>
                </c:pt>
                <c:pt idx="10">
                  <c:v>3-Aug</c:v>
                </c:pt>
                <c:pt idx="11">
                  <c:v>4-Aug</c:v>
                </c:pt>
                <c:pt idx="12">
                  <c:v>5-Aug</c:v>
                </c:pt>
                <c:pt idx="13">
                  <c:v>6-Aug</c:v>
                </c:pt>
                <c:pt idx="14">
                  <c:v>7-Aug</c:v>
                </c:pt>
                <c:pt idx="15">
                  <c:v>8-Aug</c:v>
                </c:pt>
                <c:pt idx="16">
                  <c:v>26-Aug</c:v>
                </c:pt>
                <c:pt idx="17">
                  <c:v>27-Aug</c:v>
                </c:pt>
                <c:pt idx="18">
                  <c:v>28-Aug</c:v>
                </c:pt>
                <c:pt idx="19">
                  <c:v>29-Aug</c:v>
                </c:pt>
                <c:pt idx="20">
                  <c:v>9-Sep</c:v>
                </c:pt>
                <c:pt idx="21">
                  <c:v>10-Sep</c:v>
                </c:pt>
                <c:pt idx="22">
                  <c:v>11-Sep</c:v>
                </c:pt>
                <c:pt idx="23">
                  <c:v>16-Sep</c:v>
                </c:pt>
              </c:strCache>
            </c:strRef>
          </c:cat>
          <c:val>
            <c:numRef>
              <c:f>Summary!$J$2:$J$25</c:f>
              <c:numCache>
                <c:formatCode>0%</c:formatCode>
                <c:ptCount val="24"/>
                <c:pt idx="0">
                  <c:v>0.11860000000000001</c:v>
                </c:pt>
                <c:pt idx="1">
                  <c:v>0.12735000000000002</c:v>
                </c:pt>
                <c:pt idx="2">
                  <c:v>-8.8766666666666674E-2</c:v>
                </c:pt>
                <c:pt idx="3">
                  <c:v>2.3475586889672263E-2</c:v>
                </c:pt>
                <c:pt idx="4">
                  <c:v>6.5680000000000016E-2</c:v>
                </c:pt>
                <c:pt idx="5">
                  <c:v>4.5615906401559991E-2</c:v>
                </c:pt>
                <c:pt idx="6">
                  <c:v>0.10242234669382413</c:v>
                </c:pt>
                <c:pt idx="7">
                  <c:v>2.761030033245061E-2</c:v>
                </c:pt>
                <c:pt idx="8">
                  <c:v>-3.161761056236654E-2</c:v>
                </c:pt>
                <c:pt idx="9">
                  <c:v>1.4973167161928464E-2</c:v>
                </c:pt>
                <c:pt idx="10">
                  <c:v>8.1564917625365801E-2</c:v>
                </c:pt>
                <c:pt idx="11">
                  <c:v>0.10573347682487848</c:v>
                </c:pt>
                <c:pt idx="12">
                  <c:v>7.4919560818655279E-2</c:v>
                </c:pt>
                <c:pt idx="13">
                  <c:v>3.378239172236977E-2</c:v>
                </c:pt>
                <c:pt idx="14">
                  <c:v>-5.8047037415432596E-3</c:v>
                </c:pt>
                <c:pt idx="15">
                  <c:v>-2.782308672210286E-2</c:v>
                </c:pt>
                <c:pt idx="16">
                  <c:v>-1.0279201040151833E-2</c:v>
                </c:pt>
                <c:pt idx="17">
                  <c:v>1.2446013475690255E-2</c:v>
                </c:pt>
                <c:pt idx="18">
                  <c:v>3.9444852914413034E-2</c:v>
                </c:pt>
                <c:pt idx="19">
                  <c:v>6.1283677840519215E-3</c:v>
                </c:pt>
                <c:pt idx="20">
                  <c:v>4.3526403468811849E-3</c:v>
                </c:pt>
                <c:pt idx="21">
                  <c:v>5.4489939219094239E-3</c:v>
                </c:pt>
                <c:pt idx="22">
                  <c:v>-1.2073073387838021E-2</c:v>
                </c:pt>
                <c:pt idx="23">
                  <c:v>-1.1718749999999988E-2</c:v>
                </c:pt>
              </c:numCache>
            </c:numRef>
          </c:val>
          <c:smooth val="0"/>
          <c:extLst>
            <c:ext xmlns:c16="http://schemas.microsoft.com/office/drawing/2014/chart" uri="{C3380CC4-5D6E-409C-BE32-E72D297353CC}">
              <c16:uniqueId val="{00000002-2561-4FA4-AA74-011AC9C3EDBE}"/>
            </c:ext>
          </c:extLst>
        </c:ser>
        <c:dLbls>
          <c:showLegendKey val="0"/>
          <c:showVal val="0"/>
          <c:showCatName val="0"/>
          <c:showSerName val="0"/>
          <c:showPercent val="0"/>
          <c:showBubbleSize val="0"/>
        </c:dLbls>
        <c:marker val="1"/>
        <c:smooth val="0"/>
        <c:axId val="1119122336"/>
        <c:axId val="1119126928"/>
      </c:lineChart>
      <c:catAx>
        <c:axId val="1120850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841568"/>
        <c:crosses val="autoZero"/>
        <c:auto val="1"/>
        <c:lblAlgn val="ctr"/>
        <c:lblOffset val="100"/>
        <c:noMultiLvlLbl val="0"/>
      </c:catAx>
      <c:valAx>
        <c:axId val="1120841568"/>
        <c:scaling>
          <c:orientation val="minMax"/>
          <c:min val="-14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850424"/>
        <c:crosses val="autoZero"/>
        <c:crossBetween val="between"/>
      </c:valAx>
      <c:valAx>
        <c:axId val="1119126928"/>
        <c:scaling>
          <c:orientation val="minMax"/>
          <c:max val="1"/>
          <c:min val="-1"/>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122336"/>
        <c:crosses val="max"/>
        <c:crossBetween val="between"/>
      </c:valAx>
      <c:catAx>
        <c:axId val="1119122336"/>
        <c:scaling>
          <c:orientation val="minMax"/>
        </c:scaling>
        <c:delete val="1"/>
        <c:axPos val="b"/>
        <c:numFmt formatCode="General" sourceLinked="1"/>
        <c:majorTickMark val="out"/>
        <c:minorTickMark val="none"/>
        <c:tickLblPos val="nextTo"/>
        <c:crossAx val="1119126928"/>
        <c:crossesAt val="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80960</xdr:colOff>
      <xdr:row>0</xdr:row>
      <xdr:rowOff>180974</xdr:rowOff>
    </xdr:from>
    <xdr:to>
      <xdr:col>21</xdr:col>
      <xdr:colOff>19049</xdr:colOff>
      <xdr:row>28</xdr:row>
      <xdr:rowOff>114300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en Riordan" refreshedDate="43739.496030092596" createdVersion="6" refreshedVersion="6" minRefreshableVersion="3" recordCount="211">
  <cacheSource type="worksheet">
    <worksheetSource name="Reinvest"/>
  </cacheSource>
  <cacheFields count="10">
    <cacheField name="Date" numFmtId="16">
      <sharedItems containsSemiMixedTypes="0" containsNonDate="0" containsDate="1" containsString="0" minDate="2019-07-16T00:00:00" maxDate="2019-09-17T00:00:00" count="25">
        <d v="2019-07-16T00:00:00"/>
        <d v="2019-07-17T00:00:00"/>
        <d v="2019-07-18T00:00:00"/>
        <d v="2019-07-25T00:00:00"/>
        <d v="2019-07-26T00:00:00"/>
        <d v="2019-07-29T00:00:00"/>
        <d v="2019-07-30T00:00:00"/>
        <d v="2019-07-31T00:00:00"/>
        <d v="2019-08-01T00:00:00"/>
        <d v="2019-08-02T00:00:00"/>
        <d v="2019-08-03T00:00:00"/>
        <d v="2019-08-04T00:00:00"/>
        <d v="2019-08-05T00:00:00"/>
        <d v="2019-08-06T00:00:00"/>
        <d v="2019-08-07T00:00:00"/>
        <d v="2019-08-08T00:00:00"/>
        <d v="2019-08-26T00:00:00"/>
        <d v="2019-08-27T00:00:00"/>
        <d v="2019-08-28T00:00:00"/>
        <d v="2019-08-29T00:00:00"/>
        <d v="2019-09-09T00:00:00"/>
        <d v="2019-09-10T00:00:00"/>
        <d v="2019-09-11T00:00:00"/>
        <d v="2019-09-16T00:00:00"/>
        <d v="2019-07-22T00:00:00" u="1"/>
      </sharedItems>
    </cacheField>
    <cacheField name="Sport" numFmtId="16">
      <sharedItems/>
    </cacheField>
    <cacheField name="Game" numFmtId="16">
      <sharedItems/>
    </cacheField>
    <cacheField name="Bet" numFmtId="0">
      <sharedItems/>
    </cacheField>
    <cacheField name="Risk" numFmtId="164">
      <sharedItems containsSemiMixedTypes="0" containsString="0" containsNumber="1" minValue="3.28" maxValue="32.9"/>
    </cacheField>
    <cacheField name="Odds" numFmtId="0">
      <sharedItems containsMixedTypes="1" containsNumber="1" containsInteger="1" minValue="-360" maxValue="102"/>
    </cacheField>
    <cacheField name="Result" numFmtId="0">
      <sharedItems containsBlank="1"/>
    </cacheField>
    <cacheField name="Net" numFmtId="44">
      <sharedItems containsMixedTypes="1" containsNumber="1" minValue="-32.9" maxValue="25.92"/>
    </cacheField>
    <cacheField name="%" numFmtId="9">
      <sharedItems containsMixedTypes="1" containsNumber="1" minValue="-8.8766666666666674E-2" maxValue="0.12735000000000002"/>
    </cacheField>
    <cacheField name="Bet Type" numFmtId="44">
      <sharedItems containsBlank="1" count="5">
        <s v="MD"/>
        <s v="MF"/>
        <s v="U"/>
        <s v="O"/>
        <m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11">
  <r>
    <x v="0"/>
    <s v="MLB"/>
    <s v="Rays @ Yankees"/>
    <s v="Rays Moneyline"/>
    <n v="3.37"/>
    <s v="+142"/>
    <s v="L"/>
    <n v="-3.37"/>
    <s v=""/>
    <x v="0"/>
  </r>
  <r>
    <x v="0"/>
    <s v="MLB"/>
    <s v="Tigers @ Indians"/>
    <s v="Indians Moneyline"/>
    <n v="5.45"/>
    <n v="-250"/>
    <s v="W"/>
    <n v="2.1800000000000002"/>
    <s v=""/>
    <x v="1"/>
  </r>
  <r>
    <x v="0"/>
    <s v="MLB"/>
    <s v="Padres @ Marlins"/>
    <s v="Marlins Moneyline"/>
    <n v="4.2300000000000004"/>
    <n v="-105"/>
    <s v="W"/>
    <n v="4.03"/>
    <s v=""/>
    <x v="1"/>
  </r>
  <r>
    <x v="0"/>
    <s v="MLB"/>
    <s v="Diamondbacks @ Rangers"/>
    <s v="Diamondbacks Moneyline"/>
    <n v="4.63"/>
    <s v="+140"/>
    <s v="W"/>
    <n v="6.48"/>
    <s v=""/>
    <x v="0"/>
  </r>
  <r>
    <x v="0"/>
    <s v="MLB"/>
    <s v="Pirates @ Cardinals"/>
    <s v="Pirates Moneyline"/>
    <n v="3.28"/>
    <s v="+155"/>
    <s v="W"/>
    <n v="5.08"/>
    <s v=""/>
    <x v="0"/>
  </r>
  <r>
    <x v="0"/>
    <s v="MLB"/>
    <s v="Astros @ Angels"/>
    <s v="Astros Moneyline"/>
    <n v="4.3600000000000003"/>
    <n v="-120"/>
    <s v="L"/>
    <n v="-4.3600000000000003"/>
    <s v=""/>
    <x v="1"/>
  </r>
  <r>
    <x v="0"/>
    <s v="MLB"/>
    <s v="Nationals @ Orioles"/>
    <s v="Under 11.5"/>
    <n v="6.02"/>
    <n v="-115"/>
    <s v="W"/>
    <n v="5.23"/>
    <s v=""/>
    <x v="2"/>
  </r>
  <r>
    <x v="0"/>
    <s v="MLB"/>
    <s v="Rays @ Yankees"/>
    <s v="Under 10"/>
    <n v="6.22"/>
    <n v="-115"/>
    <s v="L"/>
    <n v="-6.22"/>
    <s v=""/>
    <x v="2"/>
  </r>
  <r>
    <x v="0"/>
    <s v="MLB"/>
    <s v="Dodgers @ Phillies"/>
    <s v="Under 9.5"/>
    <n v="5.33"/>
    <n v="-115"/>
    <s v="L"/>
    <n v="-5.33"/>
    <s v=""/>
    <x v="2"/>
  </r>
  <r>
    <x v="0"/>
    <s v="MLB"/>
    <s v="Blue Jays @ Red Sox"/>
    <s v="Under 11.5"/>
    <n v="6.34"/>
    <n v="-115"/>
    <s v="L"/>
    <n v="-6.34"/>
    <s v=""/>
    <x v="2"/>
  </r>
  <r>
    <x v="0"/>
    <s v="MLB"/>
    <s v="Tigers @ Indians"/>
    <s v="Under 10.5"/>
    <n v="5.55"/>
    <n v="-105"/>
    <s v="W"/>
    <n v="5.29"/>
    <s v=""/>
    <x v="2"/>
  </r>
  <r>
    <x v="0"/>
    <s v="MLB"/>
    <s v="Padres @ Marlins"/>
    <s v="Under 8"/>
    <n v="5.27"/>
    <n v="-110"/>
    <s v="L"/>
    <n v="-5.27"/>
    <s v=""/>
    <x v="2"/>
  </r>
  <r>
    <x v="0"/>
    <s v="MLB"/>
    <s v="Reds @ Cubs"/>
    <s v="Under 10.5"/>
    <n v="5.93"/>
    <n v="-110"/>
    <s v="W"/>
    <n v="5.39"/>
    <s v=""/>
    <x v="2"/>
  </r>
  <r>
    <x v="0"/>
    <s v="MLB"/>
    <s v="Diamondbacks @ Rangers"/>
    <s v="Under 10"/>
    <n v="6.4"/>
    <n v="-105"/>
    <s v="L"/>
    <n v="-6.4"/>
    <s v=""/>
    <x v="2"/>
  </r>
  <r>
    <x v="0"/>
    <s v="MLB"/>
    <s v="Mets @ Twins"/>
    <s v="Under 10.5"/>
    <n v="5.52"/>
    <n v="-115"/>
    <s v="W"/>
    <n v="4.8"/>
    <s v=""/>
    <x v="2"/>
  </r>
  <r>
    <x v="0"/>
    <s v="MLB"/>
    <s v="White Sox @ Royals"/>
    <s v="Under 10.5"/>
    <n v="4.96"/>
    <n v="-105"/>
    <s v="L"/>
    <n v="-4.96"/>
    <s v=""/>
    <x v="2"/>
  </r>
  <r>
    <x v="0"/>
    <s v="MLB"/>
    <s v="Pirates @ Cardinals"/>
    <s v="Under 9"/>
    <n v="4.99"/>
    <n v="-115"/>
    <s v="W"/>
    <n v="4.34"/>
    <s v=""/>
    <x v="2"/>
  </r>
  <r>
    <x v="0"/>
    <s v="MLB"/>
    <s v="Giants @ Rockies"/>
    <s v="Under 14.5"/>
    <n v="6.54"/>
    <n v="-110"/>
    <s v="W"/>
    <n v="5.95"/>
    <s v=""/>
    <x v="2"/>
  </r>
  <r>
    <x v="0"/>
    <s v="MLB"/>
    <s v="Astros @ Angels"/>
    <s v="Under 10"/>
    <n v="5.61"/>
    <n v="-105"/>
    <s v="W"/>
    <n v="5.34"/>
    <n v="0.11860000000000001"/>
    <x v="2"/>
  </r>
  <r>
    <x v="1"/>
    <s v="MLB"/>
    <s v="Pirates @ Cardinals"/>
    <s v="Cardinals Moneyline"/>
    <n v="9.1"/>
    <n v="-140"/>
    <s v="W"/>
    <n v="6.5"/>
    <s v=""/>
    <x v="1"/>
  </r>
  <r>
    <x v="1"/>
    <s v="MLB"/>
    <s v="Braves @ Brewers"/>
    <s v="Braves Moneyline"/>
    <n v="6.91"/>
    <s v="+100"/>
    <s v="L"/>
    <n v="-6.91"/>
    <s v=""/>
    <x v="0"/>
  </r>
  <r>
    <x v="1"/>
    <s v="MLB"/>
    <s v="Dodgers @ Phillies"/>
    <s v="Dodgers Moneyline"/>
    <n v="9.44"/>
    <n v="-147"/>
    <s v="W"/>
    <n v="6.42"/>
    <s v=""/>
    <x v="1"/>
  </r>
  <r>
    <x v="1"/>
    <s v="MLB"/>
    <s v="Blue Jays @ Red Sox"/>
    <s v="Red Sox Moneyline"/>
    <n v="9.33"/>
    <n v="-250"/>
    <s v="W"/>
    <n v="3.73"/>
    <s v=""/>
    <x v="1"/>
  </r>
  <r>
    <x v="1"/>
    <s v="MLB"/>
    <s v="Padres @ Marlins"/>
    <s v="Padres Moneyline"/>
    <n v="7.92"/>
    <n v="-150"/>
    <s v="W"/>
    <n v="5.28"/>
    <s v=""/>
    <x v="1"/>
  </r>
  <r>
    <x v="1"/>
    <s v="MLB"/>
    <s v="Diamondbacks @ Rangers"/>
    <s v="Diamondbacks Moneyline"/>
    <n v="7.31"/>
    <n v="-120"/>
    <s v="W"/>
    <n v="6.09"/>
    <s v=""/>
    <x v="1"/>
  </r>
  <r>
    <x v="1"/>
    <s v="MLB"/>
    <s v="Mets @ Twins"/>
    <s v="Under 10.5"/>
    <n v="5.09"/>
    <n v="-105"/>
    <s v="L"/>
    <n v="-5.09"/>
    <s v=""/>
    <x v="2"/>
  </r>
  <r>
    <x v="1"/>
    <s v="MLB"/>
    <s v="Pirates @ Cardinals"/>
    <s v="Under 8.5"/>
    <n v="4.41"/>
    <n v="100"/>
    <s v="L"/>
    <n v="-4.41"/>
    <s v=""/>
    <x v="2"/>
  </r>
  <r>
    <x v="1"/>
    <s v="MLB"/>
    <s v="Braves @ Brewers"/>
    <s v="Under 10"/>
    <n v="4.9000000000000004"/>
    <n v="-105"/>
    <s v="W"/>
    <n v="4.67"/>
    <s v=""/>
    <x v="2"/>
  </r>
  <r>
    <x v="1"/>
    <s v="MLB"/>
    <s v="Giants @ Rockies"/>
    <s v="Under 13"/>
    <n v="6"/>
    <n v="-105"/>
    <s v="L"/>
    <n v="-6"/>
    <s v=""/>
    <x v="2"/>
  </r>
  <r>
    <x v="1"/>
    <s v="MLB"/>
    <s v="Dodgers @ Phillies"/>
    <s v="Under 10.5"/>
    <n v="5.13"/>
    <n v="-105"/>
    <s v="W"/>
    <n v="4.8899999999999997"/>
    <s v=""/>
    <x v="2"/>
  </r>
  <r>
    <x v="1"/>
    <s v="MLB"/>
    <s v="Blue Jays @ Red Sox"/>
    <s v="Under 11"/>
    <n v="4.93"/>
    <n v="-105"/>
    <s v="W"/>
    <n v="4.7"/>
    <s v=""/>
    <x v="2"/>
  </r>
  <r>
    <x v="1"/>
    <s v="MLB"/>
    <s v="Tigers @ Indians"/>
    <s v="Under 9"/>
    <n v="4.95"/>
    <n v="-115"/>
    <s v="Push"/>
    <n v="0"/>
    <s v=""/>
    <x v="2"/>
  </r>
  <r>
    <x v="1"/>
    <s v="MLB"/>
    <s v="Padres @ Marlins"/>
    <s v="Under 8"/>
    <n v="4.62"/>
    <n v="-125"/>
    <s v="W"/>
    <n v="3.7"/>
    <s v=""/>
    <x v="2"/>
  </r>
  <r>
    <x v="1"/>
    <s v="MLB"/>
    <s v="Diamondbacks @ Rangers"/>
    <s v="Under 10.5"/>
    <n v="5.18"/>
    <n v="-115"/>
    <s v="L"/>
    <n v="-5.18"/>
    <s v=""/>
    <x v="2"/>
  </r>
  <r>
    <x v="1"/>
    <s v="MLB"/>
    <s v="White Sox @ Royals"/>
    <s v="Under 10.5"/>
    <n v="4.78"/>
    <n v="-110"/>
    <s v="L"/>
    <n v="-4.78"/>
    <n v="0.12735000000000002"/>
    <x v="2"/>
  </r>
  <r>
    <x v="2"/>
    <s v="MLB"/>
    <s v="Dodgers @ Phillies"/>
    <s v="Dodgers Moneyline"/>
    <n v="17.899999999999999"/>
    <n v="-115"/>
    <s v="L"/>
    <n v="-17.899999999999999"/>
    <s v=""/>
    <x v="1"/>
  </r>
  <r>
    <x v="2"/>
    <s v="MLB"/>
    <s v="Nationals @ Braves"/>
    <s v="Braves Moneyline"/>
    <n v="16"/>
    <s v="+117"/>
    <s v="L"/>
    <n v="-16"/>
    <s v=""/>
    <x v="0"/>
  </r>
  <r>
    <x v="2"/>
    <s v="MLB"/>
    <s v="Athletics @ Twins"/>
    <s v="Athletics Moneyline"/>
    <n v="16.100000000000001"/>
    <s v="+110"/>
    <s v="L"/>
    <n v="-16.100000000000001"/>
    <s v=""/>
    <x v="0"/>
  </r>
  <r>
    <x v="2"/>
    <s v="MLB"/>
    <s v="Cardinals @ Reds"/>
    <s v="Under 10"/>
    <n v="13.27"/>
    <n v="-105"/>
    <s v="L"/>
    <n v="-13.27"/>
    <s v=""/>
    <x v="2"/>
  </r>
  <r>
    <x v="2"/>
    <s v="MLB"/>
    <s v="Athletics @ Twins"/>
    <s v="Under 10.5"/>
    <n v="13.31"/>
    <n v="-110"/>
    <s v="W"/>
    <n v="12.1"/>
    <s v=""/>
    <x v="2"/>
  </r>
  <r>
    <x v="2"/>
    <s v="MLB"/>
    <s v="Brewers @ Diamondbacks"/>
    <s v="Under 9"/>
    <n v="11.52"/>
    <n v="-105"/>
    <s v="W"/>
    <n v="10.97"/>
    <s v=""/>
    <x v="2"/>
  </r>
  <r>
    <x v="2"/>
    <s v="MLB"/>
    <s v="Mets @ Giants"/>
    <s v="Over 7"/>
    <n v="11.9"/>
    <n v="-110"/>
    <s v="L"/>
    <n v="-11.9"/>
    <n v="-8.8766666666666674E-2"/>
    <x v="3"/>
  </r>
  <r>
    <x v="3"/>
    <s v="MLB"/>
    <s v="Padres @ Mets"/>
    <s v="Padres Moneyline"/>
    <n v="8.16"/>
    <s v="+175"/>
    <s v="L"/>
    <n v="-8.16"/>
    <s v=""/>
    <x v="0"/>
  </r>
  <r>
    <x v="3"/>
    <s v="MLB"/>
    <s v="Rockies @ Nationals"/>
    <s v="Rockies Moneyline"/>
    <n v="6.32"/>
    <s v="+255"/>
    <s v="W"/>
    <n v="16.12"/>
    <s v=""/>
    <x v="0"/>
  </r>
  <r>
    <x v="3"/>
    <s v="MLB"/>
    <s v="Yankees @ Red Sox"/>
    <s v="Yankees Moneyline"/>
    <n v="10.77"/>
    <n v="-120"/>
    <s v="L"/>
    <n v="-10.77"/>
    <s v=""/>
    <x v="1"/>
  </r>
  <r>
    <x v="3"/>
    <s v="MLB"/>
    <s v="Twins @ White Sox"/>
    <s v="Twins Moneyline"/>
    <n v="11.32"/>
    <n v="-145"/>
    <s v="W"/>
    <n v="7.81"/>
    <s v=""/>
    <x v="1"/>
  </r>
  <r>
    <x v="3"/>
    <s v="MLB"/>
    <s v="Orioles @ Angels"/>
    <s v="Angels Moneyline"/>
    <n v="13.42"/>
    <n v="-220"/>
    <s v="L"/>
    <n v="-13.42"/>
    <s v=""/>
    <x v="1"/>
  </r>
  <r>
    <x v="3"/>
    <s v="MLB"/>
    <s v="Indians @ Royals"/>
    <s v="Under 10"/>
    <n v="24.32"/>
    <n v="-110"/>
    <s v="W"/>
    <n v="22.11"/>
    <s v=""/>
    <x v="2"/>
  </r>
  <r>
    <x v="3"/>
    <s v="MLB"/>
    <s v="Orioles @ Angels"/>
    <s v="Over 10"/>
    <n v="25.68"/>
    <n v="-115"/>
    <s v="W"/>
    <n v="22.33"/>
    <n v="2.3475586889672263E-2"/>
    <x v="3"/>
  </r>
  <r>
    <x v="4"/>
    <s v="MLB"/>
    <s v="Rays @ Blue Jays"/>
    <s v="Rays Moneyline"/>
    <n v="10.66"/>
    <n v="-139"/>
    <s v="W"/>
    <n v="7.67"/>
    <s v=""/>
    <x v="1"/>
  </r>
  <r>
    <x v="4"/>
    <s v="MLB"/>
    <s v="Pirates @ Mets"/>
    <s v="Pirates Moneyline"/>
    <n v="8.6199999999999992"/>
    <s v="+150"/>
    <s v="L"/>
    <n v="-8.6199999999999992"/>
    <s v=""/>
    <x v="0"/>
  </r>
  <r>
    <x v="4"/>
    <s v="MLB"/>
    <s v="Twins @ White Sox"/>
    <s v="Twins Moneyline"/>
    <n v="11.35"/>
    <n v="-160"/>
    <s v="W"/>
    <n v="7.09"/>
    <s v=""/>
    <x v="1"/>
  </r>
  <r>
    <x v="4"/>
    <s v="MLB"/>
    <s v="Giants @ Padres"/>
    <s v="Giants Moneyline"/>
    <n v="8.49"/>
    <s v="+124"/>
    <s v="W"/>
    <n v="10.53"/>
    <s v=""/>
    <x v="0"/>
  </r>
  <r>
    <x v="4"/>
    <s v="MLB"/>
    <s v="Tigers @ Mariners"/>
    <s v="Mariners Moneyline"/>
    <n v="10.89"/>
    <n v="-132"/>
    <s v="W"/>
    <n v="8.25"/>
    <s v=""/>
    <x v="1"/>
  </r>
  <r>
    <x v="4"/>
    <s v="MLB"/>
    <s v="Rockies @ Reds"/>
    <s v="Over 8.5"/>
    <n v="25.42"/>
    <n v="-110"/>
    <s v="W"/>
    <n v="23.11"/>
    <s v=""/>
    <x v="3"/>
  </r>
  <r>
    <x v="4"/>
    <s v="MLB"/>
    <s v="Rangers @ Athletics"/>
    <s v="Over 8.5"/>
    <n v="24.58"/>
    <n v="-105"/>
    <s v="L"/>
    <n v="-24.58"/>
    <n v="6.5680000000000016E-2"/>
    <x v="3"/>
  </r>
  <r>
    <x v="5"/>
    <s v="MLB"/>
    <s v="Braves @ Nationals"/>
    <s v="Braves Moneyline"/>
    <n v="12.49"/>
    <s v="+130"/>
    <s v="L"/>
    <n v="-12.49"/>
    <s v=""/>
    <x v="0"/>
  </r>
  <r>
    <x v="5"/>
    <s v="MLB"/>
    <s v="Pirates @ Reds"/>
    <s v="Pirates Moneyline"/>
    <n v="11.7"/>
    <s v="+175"/>
    <s v="L"/>
    <n v="-11.7"/>
    <s v=""/>
    <x v="0"/>
  </r>
  <r>
    <x v="5"/>
    <s v="MLB"/>
    <s v="Dodgers @ Rockies"/>
    <s v="Dodgers Moneyline"/>
    <n v="16.29"/>
    <n v="-130"/>
    <s v="L"/>
    <n v="-16.29"/>
    <s v=""/>
    <x v="1"/>
  </r>
  <r>
    <x v="5"/>
    <s v="MLB"/>
    <s v="Tigers @ Angels"/>
    <s v="Tigers Moneyline"/>
    <n v="9.5299999999999994"/>
    <s v="+210"/>
    <s v="W"/>
    <n v="20.010000000000002"/>
    <s v=""/>
    <x v="0"/>
  </r>
  <r>
    <x v="5"/>
    <s v="MLB"/>
    <s v="Blue Jays @ Royals"/>
    <s v="Over 9.5"/>
    <n v="17.48"/>
    <n v="-110"/>
    <s v="W"/>
    <n v="15.89"/>
    <s v=""/>
    <x v="3"/>
  </r>
  <r>
    <x v="5"/>
    <s v="MLB"/>
    <s v="Dodgers @ Rockies"/>
    <s v="Under 13"/>
    <n v="16.57"/>
    <n v="-110"/>
    <s v="W"/>
    <n v="15.06"/>
    <s v=""/>
    <x v="2"/>
  </r>
  <r>
    <x v="5"/>
    <s v="MLB"/>
    <s v="Tigers @ Angels"/>
    <s v="Over 10.5"/>
    <n v="15.95"/>
    <n v="100"/>
    <s v="L"/>
    <n v="-15.95"/>
    <n v="4.5615906401559991E-2"/>
    <x v="3"/>
  </r>
  <r>
    <x v="6"/>
    <s v="MLB"/>
    <s v="Orioles @ Padres"/>
    <s v="Padres Moneyline"/>
    <n v="9.68"/>
    <n v="-230"/>
    <s v="L"/>
    <n v="-9.68"/>
    <s v=""/>
    <x v="1"/>
  </r>
  <r>
    <x v="6"/>
    <s v="MLB"/>
    <s v="Diamondbacks @ Yankees"/>
    <s v="Diamondbacks Moneyline"/>
    <n v="4.9800000000000004"/>
    <s v="+185"/>
    <s v="W"/>
    <n v="9.2100000000000009"/>
    <s v=""/>
    <x v="0"/>
  </r>
  <r>
    <x v="6"/>
    <s v="MLB"/>
    <s v="Rays @ Red Sox"/>
    <s v="Rays Moneyline"/>
    <n v="5.96"/>
    <s v="+121"/>
    <s v="W"/>
    <n v="7.21"/>
    <s v=""/>
    <x v="0"/>
  </r>
  <r>
    <x v="6"/>
    <s v="MLB"/>
    <s v="Pirates @ Reds"/>
    <s v="Pirates Moneyline"/>
    <n v="5.73"/>
    <s v="+118"/>
    <s v="W"/>
    <n v="6.76"/>
    <s v=""/>
    <x v="0"/>
  </r>
  <r>
    <x v="6"/>
    <s v="MLB"/>
    <s v="Blue Jays @ Royals"/>
    <s v="Blue Jays Moneyline"/>
    <n v="6.5"/>
    <s v="+102"/>
    <s v="W"/>
    <n v="6.63"/>
    <s v=""/>
    <x v="0"/>
  </r>
  <r>
    <x v="6"/>
    <s v="MLB"/>
    <s v="Dodgers @ Rockies"/>
    <s v="Dodgers Moneyline"/>
    <n v="7.69"/>
    <n v="-150"/>
    <s v="W"/>
    <n v="5.13"/>
    <s v=""/>
    <x v="1"/>
  </r>
  <r>
    <x v="6"/>
    <s v="MLB"/>
    <s v="Tigers @ Angels"/>
    <s v="Angels Moneyline"/>
    <n v="9.4700000000000006"/>
    <n v="-260"/>
    <s v="W"/>
    <n v="3.64"/>
    <s v=""/>
    <x v="1"/>
  </r>
  <r>
    <x v="6"/>
    <s v="MLB"/>
    <s v="Orioles @ Padres"/>
    <s v="Over 9"/>
    <n v="10.66"/>
    <n v="-110"/>
    <s v="W"/>
    <n v="9.69"/>
    <s v=""/>
    <x v="3"/>
  </r>
  <r>
    <x v="6"/>
    <s v="MLB"/>
    <s v="Diamondbacks @ Yankees"/>
    <s v="Under 11.5"/>
    <n v="8.2200000000000006"/>
    <n v="-115"/>
    <s v="W"/>
    <n v="7.15"/>
    <s v=""/>
    <x v="2"/>
  </r>
  <r>
    <x v="6"/>
    <s v="MLB"/>
    <s v="Dodgers @ Rockies"/>
    <s v="Under 14"/>
    <n v="8.42"/>
    <n v="-115"/>
    <s v="W"/>
    <n v="7.32"/>
    <s v=""/>
    <x v="2"/>
  </r>
  <r>
    <x v="6"/>
    <s v="MLB"/>
    <s v="Tigers @ Angels"/>
    <s v="Over 9.5"/>
    <n v="10.029999999999999"/>
    <n v="-120"/>
    <s v="L"/>
    <n v="-10.029999999999999"/>
    <n v="0.10242234669382413"/>
    <x v="3"/>
  </r>
  <r>
    <x v="7"/>
    <s v="MLB"/>
    <s v="Braves @ Nationals"/>
    <s v="Nationals Moneyline"/>
    <n v="12.65"/>
    <s v="+118"/>
    <s v="L"/>
    <n v="-12.65"/>
    <s v=""/>
    <x v="0"/>
  </r>
  <r>
    <x v="7"/>
    <s v="MLB"/>
    <s v="Pirates @ Reds"/>
    <s v="Pirates Moneyline"/>
    <n v="12.15"/>
    <s v="+188"/>
    <s v="L"/>
    <n v="-12.15"/>
    <s v=""/>
    <x v="0"/>
  </r>
  <r>
    <x v="7"/>
    <s v="MLB"/>
    <s v="Diamondbacks @ Yankees"/>
    <s v="Diamondbacks Moneyline"/>
    <n v="19.72"/>
    <s v="+118"/>
    <s v="L"/>
    <n v="-19.72"/>
    <s v=""/>
    <x v="0"/>
  </r>
  <r>
    <x v="7"/>
    <s v="MLB"/>
    <s v="Blue Jays @ Royals"/>
    <s v="Blue Jays Moneyline"/>
    <n v="13.43"/>
    <s v="+114"/>
    <s v="W"/>
    <n v="15.31"/>
    <s v=""/>
    <x v="0"/>
  </r>
  <r>
    <x v="7"/>
    <s v="MLB"/>
    <s v="Dodgers @ Rockies"/>
    <s v="Dodgers Moneyline"/>
    <n v="16.809999999999999"/>
    <n v="-134"/>
    <s v="W"/>
    <n v="12.54"/>
    <s v=""/>
    <x v="1"/>
  </r>
  <r>
    <x v="7"/>
    <s v="MLB"/>
    <s v="Rays @ Red Sox"/>
    <s v="Rays Moneyline"/>
    <n v="12.97"/>
    <s v="+128"/>
    <s v="W"/>
    <n v="16.600000000000001"/>
    <s v=""/>
    <x v="0"/>
  </r>
  <r>
    <x v="7"/>
    <s v="MLB"/>
    <s v="Astros @ Indians"/>
    <s v="Indians Moneyline"/>
    <n v="12.27"/>
    <s v="+128"/>
    <s v="W"/>
    <n v="15.71"/>
    <s v=""/>
    <x v="0"/>
  </r>
  <r>
    <x v="7"/>
    <s v="MLB"/>
    <s v="Diamondbacks @ Yankees"/>
    <s v="Under 9"/>
    <n v="32.9"/>
    <n v="-105"/>
    <s v="L"/>
    <n v="-32.9"/>
    <s v=""/>
    <x v="2"/>
  </r>
  <r>
    <x v="7"/>
    <s v="MLB"/>
    <s v="Blue Jays @ Royals"/>
    <s v="Over 9.5"/>
    <n v="21.58"/>
    <n v="-112"/>
    <s v="L"/>
    <n v="-21.58"/>
    <s v=""/>
    <x v="3"/>
  </r>
  <r>
    <x v="7"/>
    <s v="MLB"/>
    <s v="Giants @ Phillies"/>
    <s v="Under 9.5"/>
    <n v="20.57"/>
    <n v="-115"/>
    <s v="W"/>
    <n v="17.89"/>
    <s v=""/>
    <x v="2"/>
  </r>
  <r>
    <x v="7"/>
    <s v="MLB"/>
    <s v="Astros @ Indians"/>
    <s v="Under 10"/>
    <n v="24.95"/>
    <n v="-117"/>
    <s v="L"/>
    <n v="-24.95"/>
    <n v="2.761030033245061E-2"/>
    <x v="2"/>
  </r>
  <r>
    <x v="8"/>
    <s v="MLB"/>
    <s v="Twins @ Marlins"/>
    <s v="Twins Moneyline"/>
    <n v="20.5"/>
    <n v="-180"/>
    <s v="L"/>
    <n v="-20.5"/>
    <s v=""/>
    <x v="1"/>
  </r>
  <r>
    <x v="8"/>
    <s v="MLB"/>
    <s v="Giants @ Phillies"/>
    <s v="Giants Moneyline"/>
    <n v="16.440000000000001"/>
    <s v="+133"/>
    <s v="L"/>
    <n v="-16.440000000000001"/>
    <s v=""/>
    <x v="0"/>
  </r>
  <r>
    <x v="8"/>
    <s v="MLB"/>
    <s v="Mets @ White Sox"/>
    <s v="Mets Moneyline"/>
    <n v="21.21"/>
    <n v="-195"/>
    <s v="W"/>
    <n v="10.88"/>
    <s v=""/>
    <x v="1"/>
  </r>
  <r>
    <x v="8"/>
    <s v="MLB"/>
    <s v="Padres @ Dodgers"/>
    <s v="Dodgers Moneyline"/>
    <n v="21.85"/>
    <n v="-225"/>
    <s v="W"/>
    <n v="9.7100000000000009"/>
    <s v=""/>
    <x v="1"/>
  </r>
  <r>
    <x v="8"/>
    <s v="MLB"/>
    <s v="Blue Jays @ Orioles"/>
    <s v="Under 10.5"/>
    <n v="19.97"/>
    <n v="-109"/>
    <s v="L"/>
    <n v="-19.97"/>
    <s v=""/>
    <x v="2"/>
  </r>
  <r>
    <x v="8"/>
    <s v="MLB"/>
    <s v="Rays @ Red Sox"/>
    <s v="Under 10.5"/>
    <n v="20.03"/>
    <n v="102"/>
    <s v="L"/>
    <n v="-20.03"/>
    <n v="-3.161761056236654E-2"/>
    <x v="2"/>
  </r>
  <r>
    <x v="9"/>
    <s v="MLB"/>
    <s v="Reds @ Braves"/>
    <s v="Reds Moneyline"/>
    <n v="15.8"/>
    <s v="+148"/>
    <s v="W"/>
    <n v="23.38"/>
    <s v=""/>
    <x v="0"/>
  </r>
  <r>
    <x v="9"/>
    <s v="MLB"/>
    <s v="Tigers @ Rangers"/>
    <s v="Rangers Moneyline"/>
    <n v="21.16"/>
    <n v="-250"/>
    <s v="W"/>
    <n v="8.4600000000000009"/>
    <s v=""/>
    <x v="1"/>
  </r>
  <r>
    <x v="9"/>
    <s v="MLB"/>
    <s v="Mariners @ Astros"/>
    <s v="Astros Moneyline"/>
    <n v="21.74"/>
    <n v="-286"/>
    <s v="W"/>
    <n v="7.6"/>
    <s v=""/>
    <x v="1"/>
  </r>
  <r>
    <x v="9"/>
    <s v="MLB"/>
    <s v="Royals @ Twins"/>
    <s v="Twins Moneyline"/>
    <n v="21.3"/>
    <n v="-235"/>
    <s v="W"/>
    <n v="9.06"/>
    <s v=""/>
    <x v="1"/>
  </r>
  <r>
    <x v="9"/>
    <s v="MLB"/>
    <s v="Red Sox @ Yankees"/>
    <s v="Over 10.5"/>
    <n v="19.3"/>
    <n v="-106"/>
    <s v="L"/>
    <n v="-19.3"/>
    <s v=""/>
    <x v="3"/>
  </r>
  <r>
    <x v="9"/>
    <s v="MLB"/>
    <s v="Tigers @ Rangers"/>
    <s v="Under 10"/>
    <n v="20.7"/>
    <n v="-106"/>
    <s v="W"/>
    <n v="19.53"/>
    <n v="1.4973167161928464E-2"/>
    <x v="2"/>
  </r>
  <r>
    <x v="10"/>
    <s v="MLB"/>
    <s v="White Sox @ Phillies"/>
    <s v="Phillies Moneyline"/>
    <n v="20"/>
    <n v="-265"/>
    <s v="W"/>
    <n v="7.55"/>
    <s v=""/>
    <x v="1"/>
  </r>
  <r>
    <x v="10"/>
    <s v="MLB"/>
    <s v="Royals @ Twins"/>
    <s v="Twins Moneyline"/>
    <n v="20"/>
    <n v="-225"/>
    <s v="W"/>
    <n v="8.89"/>
    <s v=""/>
    <x v="1"/>
  </r>
  <r>
    <x v="10"/>
    <s v="MLB"/>
    <s v="Tigers @ Rangers"/>
    <s v="Rangers Moneyline"/>
    <n v="20"/>
    <n v="-107"/>
    <s v="W"/>
    <n v="18.690000000000001"/>
    <s v=""/>
    <x v="1"/>
  </r>
  <r>
    <x v="10"/>
    <s v="MLB"/>
    <s v="Tigers @ Rangers"/>
    <s v="Under 9.5"/>
    <n v="20"/>
    <n v="-110"/>
    <s v="W"/>
    <n v="18.18"/>
    <s v=""/>
    <x v="2"/>
  </r>
  <r>
    <x v="10"/>
    <s v="MLB"/>
    <s v="Cardinals @ Athletics"/>
    <s v="Over 9"/>
    <n v="20"/>
    <n v="-118"/>
    <s v="W"/>
    <n v="16.95"/>
    <s v=""/>
    <x v="3"/>
  </r>
  <r>
    <x v="10"/>
    <s v="MLB"/>
    <s v="Mets @ Pirates"/>
    <s v="Mets Moneyline"/>
    <n v="20"/>
    <n v="-137"/>
    <s v="W"/>
    <n v="14.6"/>
    <n v="8.1564917625365801E-2"/>
    <x v="1"/>
  </r>
  <r>
    <x v="11"/>
    <s v="MLB"/>
    <s v="Tigers @ Rangers"/>
    <s v="Rangers Moneyline"/>
    <n v="25.13"/>
    <n v="-200"/>
    <s v="W"/>
    <n v="12.57"/>
    <s v=""/>
    <x v="1"/>
  </r>
  <r>
    <x v="11"/>
    <s v="MLB"/>
    <s v="Cardinals @ Athletics"/>
    <s v="Athletics Moneyline"/>
    <n v="19.54"/>
    <n v="-136"/>
    <s v="W"/>
    <n v="14.37"/>
    <s v=""/>
    <x v="1"/>
  </r>
  <r>
    <x v="11"/>
    <s v="MLB"/>
    <s v="Nationals @ Diamondbacks"/>
    <s v="Diamondbacks Moneyline"/>
    <n v="15.32"/>
    <s v="+140"/>
    <s v="W"/>
    <n v="21.45"/>
    <s v=""/>
    <x v="0"/>
  </r>
  <r>
    <x v="11"/>
    <s v="MLB"/>
    <s v="Tigers @ Rangers"/>
    <s v="Under 11"/>
    <n v="22.78"/>
    <n v="-117"/>
    <s v="L"/>
    <n v="-22.78"/>
    <s v=""/>
    <x v="2"/>
  </r>
  <r>
    <x v="11"/>
    <s v="MLB"/>
    <s v="Giants @ Rockies"/>
    <s v="Under 13.5"/>
    <n v="17.23"/>
    <n v="-114"/>
    <s v="W"/>
    <n v="15.11"/>
    <n v="0.10573347682487848"/>
    <x v="2"/>
  </r>
  <r>
    <x v="12"/>
    <s v="MLB"/>
    <s v="Marlins @ Mets"/>
    <s v="Mets Moneyline"/>
    <n v="22.34"/>
    <n v="-305"/>
    <s v="W"/>
    <n v="7.32"/>
    <s v=""/>
    <x v="1"/>
  </r>
  <r>
    <x v="12"/>
    <s v="MLB"/>
    <s v="Brewers @ Pirates"/>
    <s v="Pirates Moneyline"/>
    <n v="17.670000000000002"/>
    <s v="+123"/>
    <s v="L"/>
    <n v="-17.670000000000002"/>
    <s v=""/>
    <x v="0"/>
  </r>
  <r>
    <x v="12"/>
    <s v="MLB"/>
    <s v="Royals @ Red Sox"/>
    <s v="Red Sox Moneyline"/>
    <n v="21.84"/>
    <n v="-265"/>
    <s v="W"/>
    <n v="8.24"/>
    <s v=""/>
    <x v="1"/>
  </r>
  <r>
    <x v="12"/>
    <s v="MLB"/>
    <s v="Marlins @ Mets"/>
    <s v="Mets Moneyline"/>
    <n v="21.43"/>
    <n v="-180"/>
    <s v="W"/>
    <n v="11.91"/>
    <s v=""/>
    <x v="1"/>
  </r>
  <r>
    <x v="12"/>
    <s v="MLB"/>
    <s v="Blue Jays @ Rays"/>
    <s v="Rays Moneyline"/>
    <n v="22.98"/>
    <n v="-240"/>
    <s v="L"/>
    <n v="-22.98"/>
    <s v=""/>
    <x v="1"/>
  </r>
  <r>
    <x v="12"/>
    <s v="MLB"/>
    <s v="Athletics @ Cubs"/>
    <s v="Athletics Moneyline"/>
    <n v="17.02"/>
    <s v="+130"/>
    <s v="L"/>
    <n v="-17.02"/>
    <s v=""/>
    <x v="0"/>
  </r>
  <r>
    <x v="12"/>
    <s v="MLB"/>
    <s v="Cardinals @ Dodgers"/>
    <s v="Cardinals Moneyline"/>
    <n v="16.72"/>
    <s v="+140"/>
    <s v="L"/>
    <n v="-16.72"/>
    <s v=""/>
    <x v="0"/>
  </r>
  <r>
    <x v="12"/>
    <s v="MLB"/>
    <s v="Rangers @ Indians"/>
    <s v="Under 10.5"/>
    <n v="20"/>
    <n v="-115"/>
    <s v="W"/>
    <n v="17.39"/>
    <n v="7.4919560818655279E-2"/>
    <x v="2"/>
  </r>
  <r>
    <x v="13"/>
    <s v="MLB"/>
    <s v="Yankees @ Orioles"/>
    <s v="Yankees Moneyline"/>
    <n v="22.54"/>
    <n v="-220"/>
    <s v="W"/>
    <n v="10.25"/>
    <s v=""/>
    <x v="1"/>
  </r>
  <r>
    <x v="13"/>
    <s v="MLB"/>
    <s v="Royals @ Red Sox"/>
    <s v="Red Sox Moneyline"/>
    <n v="25.29"/>
    <n v="-190"/>
    <s v="L"/>
    <n v="-25.29"/>
    <s v=""/>
    <x v="1"/>
  </r>
  <r>
    <x v="13"/>
    <s v="MLB"/>
    <s v="Angels @ Reds"/>
    <s v="Angels Moneyline"/>
    <n v="15.76"/>
    <s v="+138"/>
    <s v="L"/>
    <n v="-15.76"/>
    <s v=""/>
    <x v="0"/>
  </r>
  <r>
    <x v="13"/>
    <s v="MLB"/>
    <s v="Rangers @ Indians"/>
    <s v="Indians Moneyline"/>
    <n v="20.07"/>
    <n v="-190"/>
    <s v="Push"/>
    <n v="0"/>
    <s v=""/>
    <x v="1"/>
  </r>
  <r>
    <x v="13"/>
    <s v="MLB"/>
    <s v="White Sox @ Tigers"/>
    <s v="White Sox Moneyline"/>
    <n v="21.58"/>
    <n v="-109"/>
    <s v="L"/>
    <n v="-21.58"/>
    <s v=""/>
    <x v="1"/>
  </r>
  <r>
    <x v="13"/>
    <s v="MLB"/>
    <s v="Marlins @ Mets"/>
    <s v="Marlins Moneyline"/>
    <n v="13.92"/>
    <s v="+220"/>
    <s v="L"/>
    <n v="-13.92"/>
    <s v=""/>
    <x v="0"/>
  </r>
  <r>
    <x v="13"/>
    <s v="MLB"/>
    <s v="Blue Jays @ Rays"/>
    <s v="Rays Moneyline"/>
    <n v="20.16"/>
    <n v="-195"/>
    <s v="W"/>
    <n v="10.34"/>
    <s v=""/>
    <x v="1"/>
  </r>
  <r>
    <x v="13"/>
    <s v="MLB"/>
    <s v="Rockies @ Astros"/>
    <s v="Astros Moneyline"/>
    <n v="20.69"/>
    <n v="-205"/>
    <s v="W"/>
    <n v="10.09"/>
    <s v=""/>
    <x v="1"/>
  </r>
  <r>
    <x v="13"/>
    <s v="MLB"/>
    <s v="Braves @ Twins"/>
    <s v="Twins Moneyline"/>
    <n v="20"/>
    <n v="-155"/>
    <s v="L"/>
    <n v="-20"/>
    <s v=""/>
    <x v="1"/>
  </r>
  <r>
    <x v="13"/>
    <s v="MLB"/>
    <s v="Angels @ Reds"/>
    <s v="Under 10.5"/>
    <n v="22.8"/>
    <n v="-115"/>
    <s v="L"/>
    <n v="-22.8"/>
    <s v=""/>
    <x v="2"/>
  </r>
  <r>
    <x v="13"/>
    <s v="MLB"/>
    <s v="White Sox @ Tigers"/>
    <s v="Over 10.5"/>
    <n v="19.14"/>
    <n v="-110"/>
    <s v="W"/>
    <n v="17.399999999999999"/>
    <s v=""/>
    <x v="3"/>
  </r>
  <r>
    <x v="13"/>
    <s v="MLB"/>
    <s v="Rockies @ Astros"/>
    <s v="Over 8.5"/>
    <n v="18.059999999999999"/>
    <n v="-104"/>
    <s v="W"/>
    <n v="17.37"/>
    <n v="3.378239172236977E-2"/>
    <x v="3"/>
  </r>
  <r>
    <x v="14"/>
    <s v="MLB"/>
    <s v="Marlins @ Mets"/>
    <s v="Marlins Moneyline"/>
    <n v="14.19"/>
    <s v="+175"/>
    <s v="L"/>
    <n v="-14.19"/>
    <s v=""/>
    <x v="0"/>
  </r>
  <r>
    <x v="14"/>
    <s v="MLB"/>
    <s v="Blue Jays @ Rays"/>
    <s v="Rays Moneyline"/>
    <n v="20.100000000000001"/>
    <n v="-230"/>
    <s v="L"/>
    <n v="-20.100000000000001"/>
    <s v=""/>
    <x v="1"/>
  </r>
  <r>
    <x v="14"/>
    <s v="MLB"/>
    <s v="Rockies @ Astros"/>
    <s v="Astros Moneyline"/>
    <n v="22.81"/>
    <n v="-360"/>
    <s v="W"/>
    <n v="6.34"/>
    <s v=""/>
    <x v="1"/>
  </r>
  <r>
    <x v="14"/>
    <s v="MLB"/>
    <s v="Athletics @ Cubs"/>
    <s v="Athletics Moneyline"/>
    <n v="17.55"/>
    <s v="+125"/>
    <s v="L"/>
    <n v="-17.55"/>
    <s v=""/>
    <x v="0"/>
  </r>
  <r>
    <x v="14"/>
    <s v="MLB"/>
    <s v="Nationals @ Giants"/>
    <s v="Giants Moneyline"/>
    <n v="21"/>
    <n v="-103"/>
    <s v="L"/>
    <n v="-21"/>
    <s v=""/>
    <x v="1"/>
  </r>
  <r>
    <x v="14"/>
    <s v="MLB"/>
    <s v="Padres @ Mariners"/>
    <s v="Padres Moneyline"/>
    <n v="20.010000000000002"/>
    <n v="-159"/>
    <s v="L"/>
    <n v="-20.010000000000002"/>
    <s v=""/>
    <x v="1"/>
  </r>
  <r>
    <x v="14"/>
    <s v="MLB"/>
    <s v="Yankees @ Orioles"/>
    <s v="Yankees Moneyline"/>
    <n v="21.51"/>
    <n v="-250"/>
    <s v="W"/>
    <n v="8.6"/>
    <s v=""/>
    <x v="1"/>
  </r>
  <r>
    <x v="14"/>
    <s v="MLB"/>
    <s v="Royals @ Red Sox"/>
    <s v="Red Sox Moneyline"/>
    <n v="22.83"/>
    <n v="-315"/>
    <s v="Push"/>
    <n v="0"/>
    <s v=""/>
    <x v="1"/>
  </r>
  <r>
    <x v="14"/>
    <s v="MLB"/>
    <s v="Rockies @ Astros"/>
    <s v="Over 8.5"/>
    <n v="19"/>
    <n v="-115"/>
    <s v="W"/>
    <n v="16.52"/>
    <s v=""/>
    <x v="3"/>
  </r>
  <r>
    <x v="14"/>
    <s v="MLB"/>
    <s v="Nationals @ Giants"/>
    <s v="Over 9"/>
    <n v="23.92"/>
    <n v="-115"/>
    <s v="L"/>
    <n v="-23.92"/>
    <s v=""/>
    <x v="3"/>
  </r>
  <r>
    <x v="14"/>
    <s v="MLB"/>
    <s v="Yankees @ Orioles"/>
    <s v="Over 9.5"/>
    <n v="17.09"/>
    <n v="-115"/>
    <s v="W"/>
    <n v="14.86"/>
    <n v="-5.8047037415432596E-3"/>
    <x v="3"/>
  </r>
  <r>
    <x v="15"/>
    <s v="MLB"/>
    <s v="Yankees @ Blue Jays"/>
    <s v="Yankees Moneyline"/>
    <n v="23.32"/>
    <n v="-200"/>
    <s v="W"/>
    <n v="11.66"/>
    <s v=""/>
    <x v="1"/>
  </r>
  <r>
    <x v="15"/>
    <s v="MLB"/>
    <s v="Angels @ Red Sox"/>
    <s v="Angels Moneyline"/>
    <n v="14.62"/>
    <s v="+210"/>
    <s v="L"/>
    <n v="-14.62"/>
    <s v=""/>
    <x v="0"/>
  </r>
  <r>
    <x v="15"/>
    <s v="MLB"/>
    <s v="Braves @ Marlins"/>
    <s v="Braves Moneyline"/>
    <n v="23"/>
    <n v="-200"/>
    <s v="L"/>
    <n v="-23"/>
    <s v=""/>
    <x v="1"/>
  </r>
  <r>
    <x v="15"/>
    <s v="MLB"/>
    <s v="Rockies @ Padres"/>
    <s v="Rockies Moneyline"/>
    <n v="19.059999999999999"/>
    <s v="+100"/>
    <s v="L"/>
    <n v="-19.059999999999999"/>
    <s v=""/>
    <x v="0"/>
  </r>
  <r>
    <x v="15"/>
    <s v="MLB"/>
    <s v="Yankees @ Blue Jays"/>
    <s v="Over 10.5"/>
    <n v="19.559999999999999"/>
    <n v="-112"/>
    <s v="W"/>
    <n v="17.46"/>
    <s v=""/>
    <x v="3"/>
  </r>
  <r>
    <x v="15"/>
    <s v="MLB"/>
    <s v="Cubs @ Reds"/>
    <s v="Under 9.5"/>
    <n v="19.72"/>
    <n v="-117"/>
    <s v="L"/>
    <n v="-19.72"/>
    <s v=""/>
    <x v="2"/>
  </r>
  <r>
    <x v="15"/>
    <s v="MLB"/>
    <s v="Phillies @ Giants"/>
    <s v="Over 7.5"/>
    <n v="19.2"/>
    <n v="-103"/>
    <s v="L"/>
    <n v="-19.2"/>
    <s v=""/>
    <x v="3"/>
  </r>
  <r>
    <x v="15"/>
    <s v="MLB"/>
    <s v="Rockies @ Padres"/>
    <s v="Over 8"/>
    <n v="21.52"/>
    <n v="-115"/>
    <s v="W"/>
    <n v="18.71"/>
    <n v="-2.782308672210286E-2"/>
    <x v="3"/>
  </r>
  <r>
    <x v="16"/>
    <s v="MLB"/>
    <s v="Braves @ Rockies"/>
    <s v="Rockies Moneyline"/>
    <n v="17.21"/>
    <s v="+138"/>
    <s v="W"/>
    <n v="23.75"/>
    <s v=""/>
    <x v="0"/>
  </r>
  <r>
    <x v="16"/>
    <s v="MLB"/>
    <s v="Reds @ Marlins"/>
    <s v="Reds Moneyline"/>
    <n v="22.13"/>
    <n v="-165"/>
    <s v="W"/>
    <n v="13.41"/>
    <s v=""/>
    <x v="1"/>
  </r>
  <r>
    <x v="16"/>
    <s v="MLB"/>
    <s v="Dodgers @ Padres"/>
    <s v="Dodgers Moneyline"/>
    <n v="20.66"/>
    <n v="-148"/>
    <s v="L"/>
    <n v="-20.66"/>
    <s v=""/>
    <x v="1"/>
  </r>
  <r>
    <x v="16"/>
    <s v="MLB"/>
    <s v="Braves @ Rockies"/>
    <s v="Under 13"/>
    <n v="20"/>
    <n v="100"/>
    <s v="W"/>
    <n v="20"/>
    <n v="-1.0279201040151833E-2"/>
    <x v="2"/>
  </r>
  <r>
    <x v="17"/>
    <s v="MLB"/>
    <s v="Pirates @ Phillies"/>
    <s v="Pirates Moneyline"/>
    <n v="18.260000000000002"/>
    <s v="+123"/>
    <s v="W"/>
    <n v="22.46"/>
    <s v=""/>
    <x v="0"/>
  </r>
  <r>
    <x v="17"/>
    <s v="MLB"/>
    <s v="Orioles @ Nationals"/>
    <s v="Nationals Moneyline"/>
    <n v="23.17"/>
    <n v="-335"/>
    <s v="L"/>
    <n v="-23.17"/>
    <s v=""/>
    <x v="1"/>
  </r>
  <r>
    <x v="17"/>
    <s v="MLB"/>
    <s v="Indians @ Tigers"/>
    <s v="Indians Moneyline"/>
    <n v="21.42"/>
    <n v="-143"/>
    <s v="W"/>
    <n v="14.98"/>
    <s v=""/>
    <x v="1"/>
  </r>
  <r>
    <x v="17"/>
    <s v="MLB"/>
    <s v="Reds @ Marlins"/>
    <s v="Reds Moneyline"/>
    <n v="21.39"/>
    <n v="-155"/>
    <s v="W"/>
    <n v="13.8"/>
    <s v=""/>
    <x v="1"/>
  </r>
  <r>
    <x v="17"/>
    <s v="MLB"/>
    <s v="Cardinals @ Brewers"/>
    <s v="Cardinals Moneyline"/>
    <n v="18"/>
    <s v="+130"/>
    <s v="W"/>
    <n v="23.4"/>
    <s v=""/>
    <x v="0"/>
  </r>
  <r>
    <x v="17"/>
    <s v="MLB"/>
    <s v="Twins @ White Sox"/>
    <s v="Twins Moneyline"/>
    <n v="19.16"/>
    <n v="-115"/>
    <s v="W"/>
    <n v="16.66"/>
    <s v=""/>
    <x v="1"/>
  </r>
  <r>
    <x v="17"/>
    <s v="MLB"/>
    <s v="Rays @ Astros"/>
    <s v="Rays Moneyline"/>
    <n v="14.38"/>
    <s v="+175"/>
    <s v="L"/>
    <n v="-14.38"/>
    <s v=""/>
    <x v="0"/>
  </r>
  <r>
    <x v="17"/>
    <s v="MLB"/>
    <s v="Athletics @ Royals"/>
    <s v="Athletics Moneyline"/>
    <n v="25.87"/>
    <n v="-182"/>
    <s v="W"/>
    <n v="14.21"/>
    <s v=""/>
    <x v="1"/>
  </r>
  <r>
    <x v="17"/>
    <s v="MLB"/>
    <s v="Rangers @ Angels"/>
    <s v="Rangers Moneyline"/>
    <n v="16.87"/>
    <s v="+135"/>
    <s v="L"/>
    <n v="-16.87"/>
    <s v=""/>
    <x v="0"/>
  </r>
  <r>
    <x v="17"/>
    <s v="MLB"/>
    <s v="Dodgers @ Padres"/>
    <s v="Dodgers Moneyline"/>
    <n v="20.63"/>
    <n v="-186"/>
    <s v="W"/>
    <n v="11.09"/>
    <s v=""/>
    <x v="1"/>
  </r>
  <r>
    <x v="17"/>
    <s v="MLB"/>
    <s v="Yankees @ Mariners"/>
    <s v="Yankees Moneyline"/>
    <n v="20.85"/>
    <n v="-190"/>
    <s v="W"/>
    <n v="10.97"/>
    <s v=""/>
    <x v="1"/>
  </r>
  <r>
    <x v="17"/>
    <s v="MLB"/>
    <s v="Athletics @ Royals"/>
    <s v="Over 10"/>
    <n v="20"/>
    <n v="-106"/>
    <s v="L"/>
    <n v="-20"/>
    <n v="1.2446013475690255E-2"/>
    <x v="3"/>
  </r>
  <r>
    <x v="18"/>
    <s v="MLB"/>
    <s v="Cardinals @ Brewers"/>
    <s v="Cardinals Moneyline"/>
    <n v="18.66"/>
    <n v="-129"/>
    <s v="L"/>
    <n v="-18.66"/>
    <s v=""/>
    <x v="1"/>
  </r>
  <r>
    <x v="18"/>
    <s v="MLB"/>
    <s v="Yankees @ Mariners"/>
    <s v="Yankees Moneyline"/>
    <n v="21.42"/>
    <n v="-245"/>
    <s v="W"/>
    <n v="8.74"/>
    <s v=""/>
    <x v="1"/>
  </r>
  <r>
    <x v="18"/>
    <s v="MLB"/>
    <s v="Indians @ Tigers"/>
    <s v="Indians Moneyline"/>
    <n v="22.49"/>
    <n v="-195"/>
    <s v="W"/>
    <n v="11.53"/>
    <s v=""/>
    <x v="1"/>
  </r>
  <r>
    <x v="18"/>
    <s v="MLB"/>
    <s v="Reds @ Marlins"/>
    <s v="Reds Moneyline"/>
    <n v="19.38"/>
    <n v="-157"/>
    <s v="W"/>
    <n v="12.34"/>
    <s v=""/>
    <x v="1"/>
  </r>
  <r>
    <x v="18"/>
    <s v="MLB"/>
    <s v="Cubs @ Mets"/>
    <s v="Cubs Moneyline"/>
    <n v="16.75"/>
    <s v="+102"/>
    <s v="W"/>
    <n v="17.09"/>
    <s v=""/>
    <x v="0"/>
  </r>
  <r>
    <x v="18"/>
    <s v="MLB"/>
    <s v="Twins @ White Sox"/>
    <s v="Twins Moneyline"/>
    <n v="20.04"/>
    <n v="-195"/>
    <s v="W"/>
    <n v="10.28"/>
    <s v=""/>
    <x v="1"/>
  </r>
  <r>
    <x v="18"/>
    <s v="MLB"/>
    <s v="Rays @ Astros"/>
    <s v="Astros Moneyline"/>
    <n v="20.68"/>
    <n v="-235"/>
    <s v="W"/>
    <n v="8.8000000000000007"/>
    <s v=""/>
    <x v="1"/>
  </r>
  <r>
    <x v="18"/>
    <s v="MLB"/>
    <s v="Athletics @ Royals"/>
    <s v="Athletics Moneyline"/>
    <n v="21.96"/>
    <n v="-165"/>
    <s v="L"/>
    <n v="-21.96"/>
    <s v=""/>
    <x v="1"/>
  </r>
  <r>
    <x v="18"/>
    <s v="MLB"/>
    <s v="Red Sox @ Rockies"/>
    <s v="Red Sox Moneyline"/>
    <n v="22.88"/>
    <n v="-177"/>
    <s v="W"/>
    <n v="12.93"/>
    <s v=""/>
    <x v="1"/>
  </r>
  <r>
    <x v="18"/>
    <s v="MLB"/>
    <s v="Dodgers @ Padres"/>
    <s v="Dodgers Moneyline"/>
    <n v="19.03"/>
    <n v="-182"/>
    <s v="W"/>
    <n v="10.46"/>
    <s v=""/>
    <x v="1"/>
  </r>
  <r>
    <x v="18"/>
    <s v="MLB"/>
    <s v="Rangers @ Angels"/>
    <s v="Rangers Moneyline"/>
    <n v="16.72"/>
    <s v="+155"/>
    <s v="W"/>
    <n v="25.92"/>
    <s v=""/>
    <x v="0"/>
  </r>
  <r>
    <x v="18"/>
    <s v="MLB"/>
    <s v="Yankees @ Mariners"/>
    <s v="Over 9"/>
    <n v="18.87"/>
    <n v="-117"/>
    <s v="L"/>
    <n v="-18.87"/>
    <s v=""/>
    <x v="3"/>
  </r>
  <r>
    <x v="18"/>
    <s v="MLB"/>
    <s v="Cubs @ Mets"/>
    <s v="Over 7.5"/>
    <n v="18.23"/>
    <n v="-117"/>
    <s v="W"/>
    <n v="15.58"/>
    <s v=""/>
    <x v="3"/>
  </r>
  <r>
    <x v="18"/>
    <s v="MLB"/>
    <s v="Rays @ Astros"/>
    <s v="Under 8"/>
    <n v="18.579999999999998"/>
    <n v="-108"/>
    <s v="L"/>
    <n v="-18.579999999999998"/>
    <s v=""/>
    <x v="2"/>
  </r>
  <r>
    <x v="18"/>
    <s v="MLB"/>
    <s v="Red Sox @ Rockies"/>
    <s v="Under 13.5"/>
    <n v="24.32"/>
    <n v="-109"/>
    <s v="W"/>
    <n v="22.31"/>
    <n v="3.9444852914413034E-2"/>
    <x v="2"/>
  </r>
  <r>
    <x v="19"/>
    <s v="MLB"/>
    <s v="Indians @ Tigers"/>
    <s v="Indians Moneyline"/>
    <n v="20.43"/>
    <n v="-240"/>
    <s v="W"/>
    <n v="8.51"/>
    <s v=""/>
    <x v="1"/>
  </r>
  <r>
    <x v="19"/>
    <s v="MLB"/>
    <s v="Athletics @ Royals"/>
    <s v="Athletics Moneyline"/>
    <n v="21.42"/>
    <n v="-195"/>
    <s v="W"/>
    <n v="10.98"/>
    <s v=""/>
    <x v="1"/>
  </r>
  <r>
    <x v="19"/>
    <s v="MLB"/>
    <s v="Twins @ White Sox"/>
    <s v="Twins Moneyline"/>
    <n v="18.489999999999998"/>
    <n v="-190"/>
    <s v="W"/>
    <n v="9.73"/>
    <s v=""/>
    <x v="1"/>
  </r>
  <r>
    <x v="19"/>
    <s v="MLB"/>
    <s v="Rays @ Astros"/>
    <s v="Astros Moneyline"/>
    <n v="21.74"/>
    <n v="-250"/>
    <s v="L"/>
    <n v="-21.74"/>
    <s v=""/>
    <x v="1"/>
  </r>
  <r>
    <x v="19"/>
    <s v="MLB"/>
    <s v="Reds @ Marlins"/>
    <s v="Reds Moneyline"/>
    <n v="19.46"/>
    <n v="-186"/>
    <s v="L"/>
    <n v="-19.46"/>
    <s v=""/>
    <x v="1"/>
  </r>
  <r>
    <x v="19"/>
    <s v="MLB"/>
    <s v="Dodgers @ Diamondbacks"/>
    <s v="Dodgers Moneyline"/>
    <n v="18.45"/>
    <n v="-190"/>
    <s v="L"/>
    <n v="-18.45"/>
    <s v=""/>
    <x v="1"/>
  </r>
  <r>
    <x v="19"/>
    <s v="MLB"/>
    <s v="Reds @ Marlins"/>
    <s v="Over 8.5"/>
    <n v="20.010000000000002"/>
    <n v="-106"/>
    <s v="L"/>
    <n v="-20.010000000000002"/>
    <s v=""/>
    <x v="3"/>
  </r>
  <r>
    <x v="19"/>
    <s v="MLB"/>
    <s v="Cubs @ Mets"/>
    <s v="Over 7.5"/>
    <n v="19.29"/>
    <n v="102"/>
    <s v="L"/>
    <n v="-19.29"/>
    <s v=""/>
    <x v="3"/>
  </r>
  <r>
    <x v="19"/>
    <s v="MLB"/>
    <s v="Pirates @ Rockies"/>
    <s v="Under 14.5"/>
    <n v="20.7"/>
    <n v="-106"/>
    <s v="L"/>
    <n v="-20.7"/>
    <n v="6.1283677840519215E-3"/>
    <x v="2"/>
  </r>
  <r>
    <x v="20"/>
    <s v="MLB"/>
    <s v="Brewers @ Marlins"/>
    <s v="Marlins Moneyline"/>
    <n v="19.13"/>
    <s v="+175"/>
    <s v="L"/>
    <n v="-19.13"/>
    <s v=""/>
    <x v="0"/>
  </r>
  <r>
    <x v="20"/>
    <s v="MLB"/>
    <s v="Diamondbacks @ Mets"/>
    <s v="Diamondbacks Moneyline"/>
    <n v="17.170000000000002"/>
    <s v="+205"/>
    <s v="L"/>
    <n v="-17.170000000000002"/>
    <s v=""/>
    <x v="0"/>
  </r>
  <r>
    <x v="20"/>
    <s v="MLB"/>
    <s v="Indians @ Angels"/>
    <s v="Indians Moneyline"/>
    <n v="23.7"/>
    <n v="-165"/>
    <s v="W"/>
    <n v="14.36"/>
    <s v=""/>
    <x v="1"/>
  </r>
  <r>
    <x v="20"/>
    <s v="MLB"/>
    <s v="Braves @ Phillies"/>
    <s v="Over 8.5"/>
    <n v="20"/>
    <n v="-117"/>
    <s v="W"/>
    <n v="17.09"/>
    <n v="4.3526403468811849E-3"/>
    <x v="3"/>
  </r>
  <r>
    <x v="21"/>
    <s v="MLB"/>
    <s v="Dodgers @ Orioles"/>
    <s v="Dodgers Moneyline"/>
    <n v="21.54"/>
    <n v="-315"/>
    <s v="W"/>
    <n v="6.84"/>
    <s v=""/>
    <x v="1"/>
  </r>
  <r>
    <x v="21"/>
    <s v="MLB"/>
    <s v="Diamondbacks @ Mets"/>
    <s v="Diamondbacks Moneyline"/>
    <n v="16.510000000000002"/>
    <s v="+116"/>
    <s v="L"/>
    <n v="-16.510000000000002"/>
    <s v=""/>
    <x v="0"/>
  </r>
  <r>
    <x v="21"/>
    <s v="MLB"/>
    <s v="Cardinals @ Rockies"/>
    <s v="Cardinals Moneyline"/>
    <n v="18.239999999999998"/>
    <n v="-150"/>
    <s v="L"/>
    <n v="-18.239999999999998"/>
    <s v=""/>
    <x v="1"/>
  </r>
  <r>
    <x v="21"/>
    <s v="MLB"/>
    <s v="Indians @ Angels"/>
    <s v="Indians Moneyline"/>
    <n v="23.71"/>
    <n v="-148"/>
    <s v="W"/>
    <n v="16.02"/>
    <s v=""/>
    <x v="1"/>
  </r>
  <r>
    <x v="21"/>
    <s v="MLB"/>
    <s v="Cardinals @ Rockies"/>
    <s v="Under 13.5"/>
    <n v="18.170000000000002"/>
    <n v="-117"/>
    <s v="W"/>
    <n v="15.53"/>
    <s v=""/>
    <x v="2"/>
  </r>
  <r>
    <x v="21"/>
    <s v="MLB"/>
    <s v="Pirates @ Giants"/>
    <s v="Over 8.5"/>
    <n v="22.32"/>
    <n v="-112"/>
    <s v="W"/>
    <n v="19.93"/>
    <s v=""/>
    <x v="3"/>
  </r>
  <r>
    <x v="21"/>
    <s v="MLB"/>
    <s v="Indians @ Angels"/>
    <s v="Over 9.5"/>
    <n v="19.510000000000002"/>
    <n v="-115"/>
    <s v="L"/>
    <n v="-19.510000000000002"/>
    <n v="5.4489939219094239E-3"/>
    <x v="3"/>
  </r>
  <r>
    <x v="22"/>
    <s v="MLB"/>
    <s v="Yankees @ Tigers"/>
    <s v="Yankees Moneyline"/>
    <n v="21.05"/>
    <n v="-220"/>
    <s v="Push"/>
    <n v="0"/>
    <s v=""/>
    <x v="1"/>
  </r>
  <r>
    <x v="22"/>
    <s v="MLB"/>
    <s v="Dodgers @ Orioles"/>
    <s v="Dodgers Moneyline"/>
    <n v="20.89"/>
    <n v="-182"/>
    <s v="L"/>
    <n v="-20.89"/>
    <s v=""/>
    <x v="1"/>
  </r>
  <r>
    <x v="22"/>
    <s v="MLB"/>
    <s v="Nationals @ Twins"/>
    <s v="Twins Moneyline"/>
    <n v="15.85"/>
    <s v="+130"/>
    <s v="L"/>
    <n v="-15.85"/>
    <s v=""/>
    <x v="0"/>
  </r>
  <r>
    <x v="22"/>
    <s v="MLB"/>
    <s v="Rays @ Rangers"/>
    <s v="Rays Moneyline"/>
    <n v="18.79"/>
    <n v="-155"/>
    <s v="L"/>
    <n v="-18.79"/>
    <s v=""/>
    <x v="1"/>
  </r>
  <r>
    <x v="22"/>
    <s v="MLB"/>
    <s v="Indians @ Angels"/>
    <s v="Indians Moneyline"/>
    <n v="22.2"/>
    <n v="-125"/>
    <s v="W"/>
    <n v="17.760000000000002"/>
    <s v=""/>
    <x v="1"/>
  </r>
  <r>
    <x v="22"/>
    <s v="MLB"/>
    <s v="Cardinals @ Rockies"/>
    <s v="Cardinals Moneyline"/>
    <n v="21.21"/>
    <n v="-150"/>
    <s v="L"/>
    <n v="-21.21"/>
    <s v=""/>
    <x v="1"/>
  </r>
  <r>
    <x v="22"/>
    <s v="MLB"/>
    <s v="Rays @ Rangers"/>
    <s v="Under 10.5"/>
    <n v="17.68"/>
    <n v="-115"/>
    <s v="L"/>
    <n v="-17.68"/>
    <s v=""/>
    <x v="2"/>
  </r>
  <r>
    <x v="22"/>
    <s v="MLB"/>
    <s v="Cardinals @ Rockies"/>
    <s v="Under 13.5"/>
    <n v="22.32"/>
    <n v="-114"/>
    <s v="W"/>
    <n v="19.579999999999998"/>
    <n v="-1.2073073387838021E-2"/>
    <x v="2"/>
  </r>
  <r>
    <x v="23"/>
    <s v="MLB"/>
    <s v="White Sox @ Twins"/>
    <s v="Twins Moneyline"/>
    <n v="22.86"/>
    <n v="-250"/>
    <m/>
    <s v=""/>
    <s v=""/>
    <x v="1"/>
  </r>
  <r>
    <x v="23"/>
    <s v="MLB"/>
    <s v="Nationals @ Cardinals"/>
    <s v="Cardinals Moneyline"/>
    <n v="17.11"/>
    <s v="+125"/>
    <m/>
    <s v=""/>
    <s v=""/>
    <x v="0"/>
  </r>
  <r>
    <x v="23"/>
    <s v="MLB"/>
    <s v="Reds @ Cubs"/>
    <s v="Reds Moneyline"/>
    <n v="15.14"/>
    <s v="+163"/>
    <m/>
    <s v=""/>
    <s v=""/>
    <x v="0"/>
  </r>
  <r>
    <x v="23"/>
    <s v="MLB"/>
    <s v="Mets @ Rockies"/>
    <s v="Mets Moneyline"/>
    <n v="20.95"/>
    <n v="-155"/>
    <m/>
    <s v=""/>
    <s v=""/>
    <x v="1"/>
  </r>
  <r>
    <x v="23"/>
    <s v="MLB"/>
    <s v="Royals @ Athletics"/>
    <s v="Athletics Moneyline"/>
    <n v="23.94"/>
    <n v="-286"/>
    <m/>
    <s v=""/>
    <n v="-1.1718749999999988E-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F27" firstHeaderRow="1" firstDataRow="2" firstDataCol="1"/>
  <pivotFields count="10">
    <pivotField axis="axisRow" numFmtId="16" showAll="0">
      <items count="26">
        <item x="0"/>
        <item x="1"/>
        <item x="2"/>
        <item m="1" x="24"/>
        <item x="3"/>
        <item x="4"/>
        <item x="5"/>
        <item x="6"/>
        <item x="7"/>
        <item x="8"/>
        <item x="9"/>
        <item x="10"/>
        <item x="11"/>
        <item x="12"/>
        <item x="13"/>
        <item x="14"/>
        <item x="15"/>
        <item x="16"/>
        <item x="17"/>
        <item x="18"/>
        <item x="19"/>
        <item x="20"/>
        <item x="21"/>
        <item x="22"/>
        <item x="23"/>
        <item t="default"/>
      </items>
    </pivotField>
    <pivotField showAll="0"/>
    <pivotField showAll="0"/>
    <pivotField showAll="0"/>
    <pivotField numFmtId="164" showAll="0"/>
    <pivotField showAll="0"/>
    <pivotField showAll="0"/>
    <pivotField dataField="1" showAll="0"/>
    <pivotField showAll="0" defaultSubtotal="0"/>
    <pivotField axis="axisCol" showAll="0">
      <items count="6">
        <item x="0"/>
        <item x="1"/>
        <item x="3"/>
        <item x="2"/>
        <item m="1" x="4"/>
        <item t="default"/>
      </items>
    </pivotField>
  </pivotFields>
  <rowFields count="1">
    <field x="0"/>
  </rowFields>
  <rowItems count="25">
    <i>
      <x/>
    </i>
    <i>
      <x v="1"/>
    </i>
    <i>
      <x v="2"/>
    </i>
    <i>
      <x v="4"/>
    </i>
    <i>
      <x v="5"/>
    </i>
    <i>
      <x v="6"/>
    </i>
    <i>
      <x v="7"/>
    </i>
    <i>
      <x v="8"/>
    </i>
    <i>
      <x v="9"/>
    </i>
    <i>
      <x v="10"/>
    </i>
    <i>
      <x v="11"/>
    </i>
    <i>
      <x v="12"/>
    </i>
    <i>
      <x v="13"/>
    </i>
    <i>
      <x v="14"/>
    </i>
    <i>
      <x v="15"/>
    </i>
    <i>
      <x v="16"/>
    </i>
    <i>
      <x v="17"/>
    </i>
    <i>
      <x v="18"/>
    </i>
    <i>
      <x v="19"/>
    </i>
    <i>
      <x v="20"/>
    </i>
    <i>
      <x v="21"/>
    </i>
    <i>
      <x v="22"/>
    </i>
    <i>
      <x v="23"/>
    </i>
    <i>
      <x v="24"/>
    </i>
    <i t="grand">
      <x/>
    </i>
  </rowItems>
  <colFields count="1">
    <field x="9"/>
  </colFields>
  <colItems count="5">
    <i>
      <x/>
    </i>
    <i>
      <x v="1"/>
    </i>
    <i>
      <x v="2"/>
    </i>
    <i>
      <x v="3"/>
    </i>
    <i t="grand">
      <x/>
    </i>
  </colItems>
  <dataFields count="1">
    <dataField name="Sum of Net" fld="7" baseField="0" baseItem="0"/>
  </dataFields>
  <formats count="1">
    <format dxfId="136">
      <pivotArea collapsedLevelsAreSubtotals="1" fieldPosition="0">
        <references count="1">
          <reference field="0" count="0"/>
        </references>
      </pivotArea>
    </format>
  </formats>
  <pivotTableStyleInfo name="PivotStyleMedium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H1:J25" firstHeaderRow="0" firstDataRow="1" firstDataCol="1"/>
  <pivotFields count="10">
    <pivotField axis="axisRow" numFmtId="16" showAll="0">
      <items count="26">
        <item x="0"/>
        <item x="1"/>
        <item x="2"/>
        <item m="1" x="24"/>
        <item x="3"/>
        <item x="4"/>
        <item x="5"/>
        <item x="6"/>
        <item x="7"/>
        <item x="8"/>
        <item x="9"/>
        <item x="10"/>
        <item x="11"/>
        <item x="12"/>
        <item x="13"/>
        <item x="14"/>
        <item x="15"/>
        <item x="16"/>
        <item x="17"/>
        <item x="18"/>
        <item x="19"/>
        <item x="20"/>
        <item x="21"/>
        <item x="22"/>
        <item x="23"/>
        <item t="default"/>
      </items>
    </pivotField>
    <pivotField showAll="0"/>
    <pivotField showAll="0"/>
    <pivotField showAll="0"/>
    <pivotField numFmtId="164" showAll="0"/>
    <pivotField showAll="0"/>
    <pivotField showAll="0"/>
    <pivotField dataField="1" showAll="0"/>
    <pivotField dataField="1" showAll="0" defaultSubtotal="0"/>
    <pivotField showAll="0"/>
  </pivotFields>
  <rowFields count="1">
    <field x="0"/>
  </rowFields>
  <rowItems count="24">
    <i>
      <x/>
    </i>
    <i>
      <x v="1"/>
    </i>
    <i>
      <x v="2"/>
    </i>
    <i>
      <x v="4"/>
    </i>
    <i>
      <x v="5"/>
    </i>
    <i>
      <x v="6"/>
    </i>
    <i>
      <x v="7"/>
    </i>
    <i>
      <x v="8"/>
    </i>
    <i>
      <x v="9"/>
    </i>
    <i>
      <x v="10"/>
    </i>
    <i>
      <x v="11"/>
    </i>
    <i>
      <x v="12"/>
    </i>
    <i>
      <x v="13"/>
    </i>
    <i>
      <x v="14"/>
    </i>
    <i>
      <x v="15"/>
    </i>
    <i>
      <x v="16"/>
    </i>
    <i>
      <x v="17"/>
    </i>
    <i>
      <x v="18"/>
    </i>
    <i>
      <x v="19"/>
    </i>
    <i>
      <x v="20"/>
    </i>
    <i>
      <x v="21"/>
    </i>
    <i>
      <x v="22"/>
    </i>
    <i>
      <x v="23"/>
    </i>
    <i>
      <x v="24"/>
    </i>
  </rowItems>
  <colFields count="1">
    <field x="-2"/>
  </colFields>
  <colItems count="2">
    <i>
      <x/>
    </i>
    <i i="1">
      <x v="1"/>
    </i>
  </colItems>
  <dataFields count="2">
    <dataField name="Net Cash" fld="7" showDataAs="runTotal" baseField="0" baseItem="1"/>
    <dataField name="Percent Gain" fld="8" subtotal="average" baseField="0" baseItem="842526624"/>
  </dataFields>
  <formats count="2">
    <format dxfId="138">
      <pivotArea collapsedLevelsAreSubtotals="1" fieldPosition="0">
        <references count="2">
          <reference field="4294967294" count="1" selected="0">
            <x v="1"/>
          </reference>
          <reference field="0" count="0"/>
        </references>
      </pivotArea>
    </format>
    <format dxfId="137">
      <pivotArea field="0" grandRow="1" outline="0" collapsedLevelsAreSubtotals="1" axis="axisRow" fieldPosition="0">
        <references count="1">
          <reference field="4294967294" count="1" selected="0">
            <x v="1"/>
          </reference>
        </references>
      </pivotArea>
    </format>
  </formats>
  <chartFormats count="2">
    <chartFormat chart="0" format="2"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1"/>
          </reference>
        </references>
      </pivotArea>
    </chartFormat>
  </chartFormats>
  <pivotTableStyleInfo name="PivotStyleMedium13"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2019-schedule.shtml" connectionId="6"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2019-advanced-batting.shtml" connectionId="2"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2019-standard-pitching.shtml" connectionId="3"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games" connectionId="1"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2019-ratio-batting.shtml" connectionId="4"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2019-ratio-pitching.shtml" connectionId="5" autoFormatId="16" applyNumberFormats="0" applyBorderFormats="0" applyFontFormats="1" applyPatternFormats="1" applyAlignmentFormats="0" applyWidthHeightFormats="0"/>
</file>

<file path=xl/tables/table1.xml><?xml version="1.0" encoding="utf-8"?>
<table xmlns="http://schemas.openxmlformats.org/spreadsheetml/2006/main" id="5" name="Reinvest" displayName="Reinvest" ref="B3:K214" totalsRowShown="0" headerRowDxfId="119" dataDxfId="118">
  <autoFilter ref="B3:K214"/>
  <sortState ref="B4:J933">
    <sortCondition ref="B4:B934"/>
  </sortState>
  <tableColumns count="10">
    <tableColumn id="1" name="Date" dataDxfId="117"/>
    <tableColumn id="8" name="Sport" dataDxfId="116"/>
    <tableColumn id="2" name="Game" dataDxfId="115"/>
    <tableColumn id="3" name="Bet" dataDxfId="114"/>
    <tableColumn id="5" name="Risk" dataDxfId="113" dataCellStyle="Currency"/>
    <tableColumn id="4" name="Odds" dataDxfId="112" dataCellStyle="Currency"/>
    <tableColumn id="6" name="Result" dataDxfId="111"/>
    <tableColumn id="7" name="Net" dataDxfId="110" dataCellStyle="Currency">
      <calculatedColumnFormula>IFERROR(ROUND(IF(Reinvest[[#This Row],[Result]]="L",0-Reinvest[[#This Row],[Risk]],IF(Reinvest[[#This Row],[Result]]="Push",0,IF(Reinvest[[#This Row],[Result]]="No Action",0,IF(Reinvest[[#This Row],[Result]]="W",IF(Reinvest[[#This Row],[Odds]]&gt;0,Reinvest[[#This Row],[Odds]]/100*Reinvest[[#This Row],[Risk]],(Reinvest[[#This Row],[Risk]]/Reinvest[[#This Row],[Odds]]*-100)),"")))),2),"")</calculatedColumnFormula>
    </tableColumn>
    <tableColumn id="11" name="%" dataDxfId="109" dataCellStyle="Percent">
      <calculatedColumnFormula>IF(B4=B5,"",SUM($I$4:I4)/SUM($F$4:F4))</calculatedColumnFormula>
    </tableColumn>
    <tableColumn id="9" name="Bet Type" dataDxfId="108">
      <calculatedColumnFormula>IF(ISNUMBER(SEARCH(CHAR(10),Reinvest[[#This Row],[Bet]])),"P",IF(ISNUMBER(FIND("Under",Reinvest[[#This Row],[Bet]])),"U",IF(ISNUMBER(SEARCH("Over",Reinvest[[#This Row],[Bet]])),"O",IF(ISNUMBER(SEARCH("+",Reinvest[[#This Row],[Bet]])),"D",IF(ISNUMBER(SEARCH("-",Reinvest[[#This Row],[Bet]])),"F",IF(ISNUMBER(SEARCH("Moneyline",Reinvest[[#This Row],[Bet]])),IF(Reinvest[[#This Row],[Odds]]&lt;0,"MF","MD"),""))))))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4" name="Bets35" displayName="Bets35" ref="B3:J353" totalsRowShown="0" headerRowDxfId="86" dataDxfId="85">
  <autoFilter ref="B3:J353"/>
  <sortState ref="B4:J933">
    <sortCondition ref="B4:B934"/>
  </sortState>
  <tableColumns count="9">
    <tableColumn id="1" name="Date" dataDxfId="84"/>
    <tableColumn id="8" name="Sport" dataDxfId="83"/>
    <tableColumn id="2" name="Game" dataDxfId="82"/>
    <tableColumn id="3" name="Bet" dataDxfId="81"/>
    <tableColumn id="5" name="Risk" dataDxfId="80" dataCellStyle="Currency">
      <calculatedColumnFormula>IF(Bets35[[#This Row],[Odds]]&lt;0,Bets35[[#This Row],[Odds]]/-10,10)</calculatedColumnFormula>
    </tableColumn>
    <tableColumn id="4" name="Odds" dataDxfId="79" dataCellStyle="Currency"/>
    <tableColumn id="6" name="Result" dataDxfId="78"/>
    <tableColumn id="7" name="Net" dataDxfId="77" dataCellStyle="Currency">
      <calculatedColumnFormula>IF(Bets35[[#This Row],[Result]]="L",0-Bets35[[#This Row],[Risk]],IF(Bets35[[#This Row],[Result]]="Push",0,IF(Bets35[[#This Row],[Result]]="No Action",0,IF(Bets35[[#This Row],[Result]]="W",IF(Bets35[[#This Row],[Odds]]&gt;0,Bets35[[#This Row],[Odds]]/100*Bets35[[#This Row],[Risk]],(Bets35[[#This Row],[Risk]]/Bets35[[#This Row],[Odds]]*-100)),""))))</calculatedColumnFormula>
    </tableColumn>
    <tableColumn id="9" name="Bet Type" dataDxfId="76">
      <calculatedColumnFormula>IF(ISNUMBER(SEARCH(CHAR(10),Bets35[[#This Row],[Bet]])),"P",IF(ISNUMBER(FIND("Under",Bets35[[#This Row],[Bet]])),"U",IF(ISNUMBER(SEARCH("Over",Bets35[[#This Row],[Bet]])),"O",IF(ISNUMBER(SEARCH("+",Bets35[[#This Row],[Bet]])),"D",IF(ISNUMBER(SEARCH("-",Bets35[[#This Row],[Bet]])),"F",IF(ISNUMBER(SEARCH("Moneyline",Bets35[[#This Row],[Bet]])),IF(Bets35[[#This Row],[Odds]]&lt;0,"MF","MD"),""))))))</calculatedColumnFormula>
    </tableColumn>
  </tableColumns>
  <tableStyleInfo name="TableStyleMedium2" showFirstColumn="0" showLastColumn="0" showRowStripes="1" showColumnStripes="0"/>
</table>
</file>

<file path=xl/tables/table3.xml><?xml version="1.0" encoding="utf-8"?>
<table xmlns="http://schemas.openxmlformats.org/spreadsheetml/2006/main" id="2" name="Bets3" displayName="Bets3" ref="B3:J344" totalsRowShown="0" headerRowDxfId="51" dataDxfId="50">
  <autoFilter ref="B3:J344"/>
  <sortState ref="B4:J933">
    <sortCondition ref="B4:B934"/>
  </sortState>
  <tableColumns count="9">
    <tableColumn id="1" name="Date" dataDxfId="49"/>
    <tableColumn id="8" name="Sport" dataDxfId="48"/>
    <tableColumn id="2" name="Game" dataDxfId="47"/>
    <tableColumn id="3" name="Bet" dataDxfId="46"/>
    <tableColumn id="5" name="Risk" dataDxfId="45" dataCellStyle="Currency"/>
    <tableColumn id="4" name="Odds" dataDxfId="44" dataCellStyle="Currency"/>
    <tableColumn id="6" name="Result" dataDxfId="43"/>
    <tableColumn id="7" name="Net" dataDxfId="42" dataCellStyle="Currency">
      <calculatedColumnFormula>IF(Bets3[[#This Row],[Result]]="L",0-Bets3[[#This Row],[Risk]],IF(Bets3[[#This Row],[Result]]="Push",0,IF(Bets3[[#This Row],[Result]]="No Action",0,IF(Bets3[[#This Row],[Result]]="W",IF(Bets3[[#This Row],[Odds]]&gt;0,Bets3[[#This Row],[Odds]]/100*Bets3[[#This Row],[Risk]],(Bets3[[#This Row],[Risk]]/Bets3[[#This Row],[Odds]]*-100)),""))))</calculatedColumnFormula>
    </tableColumn>
    <tableColumn id="9" name="Bet Type" dataDxfId="41">
      <calculatedColumnFormula>IF(ISNUMBER(SEARCH(CHAR(10),Bets3[[#This Row],[Bet]])),"P",IF(ISNUMBER(FIND("Under",Bets3[[#This Row],[Bet]])),"U",IF(ISNUMBER(SEARCH("Over",Bets3[[#This Row],[Bet]])),"O",IF(ISNUMBER(SEARCH("+",Bets3[[#This Row],[Bet]])),"D",IF(ISNUMBER(SEARCH("-",Bets3[[#This Row],[Bet]])),"F",IF(ISNUMBER(SEARCH("Moneyline",Bets3[[#This Row],[Bet]])),IF(Bets3[[#This Row],[Odds]]&lt;0,"MF","MD"),""))))))</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1" name="Bets" displayName="Bets" ref="B3:J228" totalsRowShown="0" headerRowDxfId="18" dataDxfId="17">
  <autoFilter ref="B3:J228"/>
  <sortState ref="B4:J933">
    <sortCondition ref="B4:B934"/>
  </sortState>
  <tableColumns count="9">
    <tableColumn id="1" name="Date" dataDxfId="16"/>
    <tableColumn id="8" name="Sport" dataDxfId="15"/>
    <tableColumn id="2" name="Game" dataDxfId="14"/>
    <tableColumn id="3" name="Bet" dataDxfId="13"/>
    <tableColumn id="5" name="Risk" dataDxfId="12" dataCellStyle="Currency"/>
    <tableColumn id="4" name="Odds" dataDxfId="11" dataCellStyle="Currency"/>
    <tableColumn id="6" name="Result" dataDxfId="10"/>
    <tableColumn id="7" name="Net" dataDxfId="9" dataCellStyle="Currency">
      <calculatedColumnFormula>IF(Bets[[#This Row],[Result]]="L",0-Bets[[#This Row],[Risk]],IF(Bets[[#This Row],[Result]]="Push",0,IF(Bets[[#This Row],[Result]]="No Action",0,IF(Bets[[#This Row],[Result]]="W",IF(Bets[[#This Row],[Odds]]&gt;0,Bets[[#This Row],[Odds]]/100*Bets[[#This Row],[Risk]],(Bets[[#This Row],[Risk]]/Bets[[#This Row],[Odds]]*-100)),""))))</calculatedColumnFormula>
    </tableColumn>
    <tableColumn id="9" name="Bet Type" dataDxfId="8">
      <calculatedColumnFormula>IF(ISNUMBER(SEARCH(CHAR(10),Bets[[#This Row],[Bet]])),"P",IF(ISNUMBER(FIND("Under",Bets[[#This Row],[Bet]])),"U",IF(ISNUMBER(SEARCH("Over",Bets[[#This Row],[Bet]])),"O",IF(ISNUMBER(SEARCH("+",Bets[[#This Row],[Bet]])),"D",IF(ISNUMBER(SEARCH("-",Bets[[#This Row],[Bet]])),"F",IF(ISNUMBER(SEARCH("Moneyline",Bets[[#This Row],[Bet]])),IF(Bets[[#This Row],[Odds]]&lt;0,"MF","MD"),""))))))</calculatedColumnFormula>
    </tableColumn>
  </tableColumns>
  <tableStyleInfo name="TableStyleMedium2" showFirstColumn="0" showLastColumn="0" showRowStripes="1" showColumnStripes="0"/>
</table>
</file>

<file path=xl/tables/table5.xml><?xml version="1.0" encoding="utf-8"?>
<table xmlns="http://schemas.openxmlformats.org/spreadsheetml/2006/main" id="3" name="Pitchers" displayName="Pitchers" ref="A4:AA876" totalsRowShown="0">
  <autoFilter ref="A4:AA876"/>
  <sortState ref="A5:Z576">
    <sortCondition descending="1" ref="B4:B576"/>
  </sortState>
  <tableColumns count="27">
    <tableColumn id="1" name="Player"/>
    <tableColumn id="2" name="Team"/>
    <tableColumn id="3" name="G"/>
    <tableColumn id="4" name="GS"/>
    <tableColumn id="5" name="CG"/>
    <tableColumn id="6" name="SHO"/>
    <tableColumn id="7" name="IP"/>
    <tableColumn id="8" name="H"/>
    <tableColumn id="9" name="ER"/>
    <tableColumn id="10" name="K"/>
    <tableColumn id="11" name="BB"/>
    <tableColumn id="12" name="HR"/>
    <tableColumn id="13" name="W"/>
    <tableColumn id="14" name="L"/>
    <tableColumn id="15" name="SV"/>
    <tableColumn id="16" name="BS"/>
    <tableColumn id="17" name="HLD"/>
    <tableColumn id="18" name="ERA"/>
    <tableColumn id="19" name="WHIP"/>
    <tableColumn id="20" name="IP/GS">
      <calculatedColumnFormula>IF(D5=0,0,G5/D5)</calculatedColumnFormula>
    </tableColumn>
    <tableColumn id="21" name="ER/IP">
      <calculatedColumnFormula>IF(G5=0,0,I5/G5)</calculatedColumnFormula>
    </tableColumn>
    <tableColumn id="22" name="ER/IP From Average" dataDxfId="5">
      <calculatedColumnFormula>U5-AVERAGEIFS(Pitchers[ER/IP],Pitchers[GS],"&gt;"&amp;0,Pitchers[IP],"&gt;"&amp;3)</calculatedColumnFormula>
    </tableColumn>
    <tableColumn id="23" name="Runs from WHIP" dataDxfId="4">
      <calculatedColumnFormula>IF(Pitchers[[#This Row],[IP/GS]]&lt;&gt;0,(Pitchers[[#This Row],[WHIP]]*$AH$5+$AI$5)/9*Pitchers[[#This Row],[IP/GS]],(Pitchers[[#This Row],[WHIP]]*$AH$5+$AI$5)/9*(Pitchers[[#This Row],[IP]]/Pitchers[[#This Row],[G]]))</calculatedColumnFormula>
    </tableColumn>
    <tableColumn id="24" name="WHIP Ajd. From Average" dataDxfId="3">
      <calculatedColumnFormula>Pitchers[[#This Row],[Runs from WHIP]]-AVERAGEIFS(Pitchers[Runs from WHIP],Pitchers[GS],"&gt;"&amp;0,Pitchers[IP],"&gt;"&amp;3)</calculatedColumnFormula>
    </tableColumn>
    <tableColumn id="25" name="ER Adj." dataDxfId="2">
      <calculatedColumnFormula>IF(Pitchers[[#This Row],[IP/GS]]&lt;&gt;0,Pitchers[[#This Row],[ER/IP From Average]]*Pitchers[[#This Row],[IP/GS]],Pitchers[[#This Row],[ER/IP From Average]]*(Pitchers[[#This Row],[IP]]/Pitchers[[#This Row],[G]]))</calculatedColumnFormula>
    </tableColumn>
    <tableColumn id="26" name="Pitcher Run Adj." dataDxfId="1">
      <calculatedColumnFormula>AVERAGE(X5,X5,Y5,Y5,Y5)/1.5</calculatedColumnFormula>
    </tableColumn>
    <tableColumn id="27" name="W%" dataDxfId="0" dataCellStyle="Percent">
      <calculatedColumnFormula>IF(Pitchers[[#This Row],[W]]=0,0,Pitchers[[#This Row],[W]]/(Pitchers[[#This Row],[W]]+Pitchers[[#This Row],[L]]))</calculatedColumnFormula>
    </tableColumn>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queryTable" Target="../queryTables/queryTable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hyperlink" Target="https://www.rotowire.com/baseball/stats.php" TargetMode="External"/></Relationships>
</file>

<file path=xl/worksheets/_rels/sheet14.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16.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
  <sheetViews>
    <sheetView zoomScaleNormal="100" workbookViewId="0">
      <selection activeCell="D26" sqref="D26:E26"/>
    </sheetView>
  </sheetViews>
  <sheetFormatPr defaultRowHeight="15" x14ac:dyDescent="0.25"/>
  <cols>
    <col min="1" max="1" width="13.140625" bestFit="1" customWidth="1"/>
    <col min="2" max="2" width="16.28515625" customWidth="1"/>
    <col min="3" max="4" width="7.28515625" customWidth="1"/>
    <col min="5" max="5" width="7.28515625" bestFit="1" customWidth="1"/>
    <col min="6" max="7" width="11.140625" bestFit="1" customWidth="1"/>
    <col min="8" max="8" width="13.140625" bestFit="1" customWidth="1"/>
    <col min="9" max="9" width="8.85546875" customWidth="1"/>
    <col min="10" max="10" width="12.42578125" customWidth="1"/>
    <col min="11" max="12" width="12.7109375" customWidth="1"/>
    <col min="13" max="13" width="7" customWidth="1"/>
    <col min="14" max="14" width="8" customWidth="1"/>
    <col min="15" max="15" width="6.7109375" customWidth="1"/>
    <col min="16" max="16" width="11.28515625" customWidth="1"/>
    <col min="17" max="17" width="8.28515625" customWidth="1"/>
    <col min="18" max="18" width="17.42578125" customWidth="1"/>
    <col min="19" max="19" width="17.5703125" customWidth="1"/>
    <col min="20" max="20" width="15.28515625" customWidth="1"/>
    <col min="21" max="21" width="18.42578125" customWidth="1"/>
    <col min="22" max="22" width="18.140625" customWidth="1"/>
    <col min="23" max="23" width="16.42578125" customWidth="1"/>
    <col min="24" max="24" width="9" customWidth="1"/>
    <col min="25" max="25" width="10.5703125" customWidth="1"/>
    <col min="26" max="26" width="9" customWidth="1"/>
    <col min="27" max="27" width="10.5703125" customWidth="1"/>
    <col min="28" max="28" width="9" customWidth="1"/>
    <col min="29" max="29" width="10.5703125" customWidth="1"/>
    <col min="30" max="30" width="8" customWidth="1"/>
    <col min="31" max="31" width="9.5703125" customWidth="1"/>
    <col min="32" max="32" width="8" customWidth="1"/>
    <col min="33" max="33" width="9.5703125" customWidth="1"/>
    <col min="34" max="34" width="18.85546875" customWidth="1"/>
    <col min="35" max="35" width="11.28515625" customWidth="1"/>
    <col min="36" max="36" width="20.28515625" bestFit="1" customWidth="1"/>
    <col min="37" max="37" width="23.42578125" bestFit="1" customWidth="1"/>
    <col min="38" max="38" width="17.85546875" bestFit="1" customWidth="1"/>
    <col min="39" max="39" width="21" bestFit="1" customWidth="1"/>
    <col min="40" max="40" width="16" bestFit="1" customWidth="1"/>
    <col min="41" max="41" width="19.140625" bestFit="1" customWidth="1"/>
    <col min="42" max="42" width="15.42578125" bestFit="1" customWidth="1"/>
    <col min="43" max="43" width="18.5703125" bestFit="1" customWidth="1"/>
    <col min="44" max="44" width="20.140625" bestFit="1" customWidth="1"/>
    <col min="45" max="45" width="23.28515625" bestFit="1" customWidth="1"/>
    <col min="46" max="46" width="20.7109375" bestFit="1" customWidth="1"/>
    <col min="47" max="47" width="23.85546875" bestFit="1" customWidth="1"/>
    <col min="48" max="48" width="18.140625" bestFit="1" customWidth="1"/>
    <col min="49" max="49" width="7.7109375" customWidth="1"/>
    <col min="50" max="50" width="21.42578125" bestFit="1" customWidth="1"/>
    <col min="51" max="51" width="25.28515625" bestFit="1" customWidth="1"/>
    <col min="52" max="52" width="28.42578125" bestFit="1" customWidth="1"/>
    <col min="53" max="53" width="18.42578125" bestFit="1" customWidth="1"/>
    <col min="54" max="54" width="17.42578125" bestFit="1" customWidth="1"/>
    <col min="55" max="55" width="8" customWidth="1"/>
    <col min="56" max="56" width="21.7109375" bestFit="1" customWidth="1"/>
    <col min="57" max="57" width="17.42578125" bestFit="1" customWidth="1"/>
    <col min="58" max="58" width="19.42578125" bestFit="1" customWidth="1"/>
    <col min="59" max="59" width="20.140625" bestFit="1" customWidth="1"/>
    <col min="60" max="60" width="17.5703125" bestFit="1" customWidth="1"/>
    <col min="61" max="61" width="9.5703125" bestFit="1" customWidth="1"/>
    <col min="62" max="62" width="8" customWidth="1"/>
    <col min="63" max="63" width="23.28515625" bestFit="1" customWidth="1"/>
    <col min="64" max="64" width="17.5703125" bestFit="1" customWidth="1"/>
    <col min="65" max="65" width="19.5703125" bestFit="1" customWidth="1"/>
    <col min="66" max="66" width="20.7109375" bestFit="1" customWidth="1"/>
    <col min="67" max="67" width="23.85546875" bestFit="1" customWidth="1"/>
    <col min="68" max="68" width="17.7109375" bestFit="1" customWidth="1"/>
    <col min="69" max="69" width="20.85546875" bestFit="1" customWidth="1"/>
    <col min="70" max="70" width="17.140625" bestFit="1" customWidth="1"/>
    <col min="71" max="71" width="9" customWidth="1"/>
    <col min="72" max="72" width="20.28515625" bestFit="1" customWidth="1"/>
    <col min="73" max="73" width="16.7109375" bestFit="1" customWidth="1"/>
    <col min="74" max="74" width="9.5703125" bestFit="1" customWidth="1"/>
    <col min="75" max="75" width="19.85546875" bestFit="1" customWidth="1"/>
    <col min="76" max="76" width="14.140625" bestFit="1" customWidth="1"/>
    <col min="77" max="77" width="17.42578125" bestFit="1" customWidth="1"/>
    <col min="78" max="78" width="21" bestFit="1" customWidth="1"/>
    <col min="79" max="79" width="24.140625" bestFit="1" customWidth="1"/>
    <col min="80" max="80" width="16.7109375" bestFit="1" customWidth="1"/>
    <col min="81" max="81" width="19.85546875" bestFit="1" customWidth="1"/>
    <col min="82" max="82" width="17.85546875" bestFit="1" customWidth="1"/>
    <col min="83" max="83" width="10.5703125" bestFit="1" customWidth="1"/>
    <col min="84" max="84" width="8" customWidth="1"/>
    <col min="85" max="85" width="20.5703125" bestFit="1" customWidth="1"/>
    <col min="86" max="86" width="19.42578125" bestFit="1" customWidth="1"/>
    <col min="87" max="87" width="22.28515625" bestFit="1" customWidth="1"/>
    <col min="88" max="88" width="20.140625" bestFit="1" customWidth="1"/>
    <col min="89" max="89" width="23.28515625" bestFit="1" customWidth="1"/>
    <col min="90" max="90" width="20.7109375" bestFit="1" customWidth="1"/>
    <col min="91" max="91" width="23.85546875" bestFit="1" customWidth="1"/>
    <col min="92" max="92" width="20.28515625" bestFit="1" customWidth="1"/>
    <col min="93" max="93" width="23.42578125" bestFit="1" customWidth="1"/>
    <col min="94" max="94" width="18.28515625" bestFit="1" customWidth="1"/>
    <col min="95" max="95" width="21.5703125" bestFit="1" customWidth="1"/>
    <col min="96" max="96" width="11.28515625" bestFit="1" customWidth="1"/>
  </cols>
  <sheetData>
    <row r="1" spans="1:10" x14ac:dyDescent="0.25">
      <c r="A1" s="87" t="s">
        <v>3528</v>
      </c>
      <c r="B1" s="87" t="s">
        <v>3527</v>
      </c>
      <c r="H1" s="87" t="s">
        <v>3525</v>
      </c>
      <c r="I1" t="s">
        <v>3529</v>
      </c>
      <c r="J1" t="s">
        <v>3530</v>
      </c>
    </row>
    <row r="2" spans="1:10" x14ac:dyDescent="0.25">
      <c r="A2" s="87" t="s">
        <v>3525</v>
      </c>
      <c r="B2" t="s">
        <v>805</v>
      </c>
      <c r="C2" t="s">
        <v>803</v>
      </c>
      <c r="D2" t="s">
        <v>798</v>
      </c>
      <c r="E2" t="s">
        <v>796</v>
      </c>
      <c r="F2" t="s">
        <v>3526</v>
      </c>
      <c r="H2" s="88">
        <v>43662</v>
      </c>
      <c r="I2" s="60">
        <v>11.86</v>
      </c>
      <c r="J2" s="62">
        <v>0.11860000000000001</v>
      </c>
    </row>
    <row r="3" spans="1:10" x14ac:dyDescent="0.25">
      <c r="A3" s="88">
        <v>43662</v>
      </c>
      <c r="B3" s="72">
        <v>8.1900000000000013</v>
      </c>
      <c r="C3" s="72">
        <v>1.8500000000000005</v>
      </c>
      <c r="D3" s="72"/>
      <c r="E3" s="72">
        <v>1.8199999999999976</v>
      </c>
      <c r="F3" s="72">
        <v>11.86</v>
      </c>
      <c r="H3" s="88">
        <v>43663</v>
      </c>
      <c r="I3" s="60">
        <v>25.47</v>
      </c>
      <c r="J3" s="62">
        <v>0.12735000000000002</v>
      </c>
    </row>
    <row r="4" spans="1:10" x14ac:dyDescent="0.25">
      <c r="A4" s="88">
        <v>43663</v>
      </c>
      <c r="B4" s="72">
        <v>-6.91</v>
      </c>
      <c r="C4" s="72">
        <v>28.02</v>
      </c>
      <c r="D4" s="72"/>
      <c r="E4" s="72">
        <v>-7.5</v>
      </c>
      <c r="F4" s="72">
        <v>13.61</v>
      </c>
      <c r="H4" s="88">
        <v>43664</v>
      </c>
      <c r="I4" s="60">
        <v>-26.629999999999995</v>
      </c>
      <c r="J4" s="62">
        <v>-8.8766666666666674E-2</v>
      </c>
    </row>
    <row r="5" spans="1:10" x14ac:dyDescent="0.25">
      <c r="A5" s="88">
        <v>43664</v>
      </c>
      <c r="B5" s="72">
        <v>-32.1</v>
      </c>
      <c r="C5" s="72">
        <v>-17.899999999999999</v>
      </c>
      <c r="D5" s="72">
        <v>-11.9</v>
      </c>
      <c r="E5" s="72">
        <v>9.8000000000000007</v>
      </c>
      <c r="F5" s="72">
        <v>-52.099999999999994</v>
      </c>
      <c r="H5" s="88">
        <v>43671</v>
      </c>
      <c r="I5" s="60">
        <v>9.39</v>
      </c>
      <c r="J5" s="62">
        <v>2.3475586889672263E-2</v>
      </c>
    </row>
    <row r="6" spans="1:10" x14ac:dyDescent="0.25">
      <c r="A6" s="88">
        <v>43671</v>
      </c>
      <c r="B6" s="72">
        <v>7.9600000000000009</v>
      </c>
      <c r="C6" s="72">
        <v>-16.38</v>
      </c>
      <c r="D6" s="72">
        <v>22.33</v>
      </c>
      <c r="E6" s="72">
        <v>22.11</v>
      </c>
      <c r="F6" s="72">
        <v>36.019999999999996</v>
      </c>
      <c r="H6" s="88">
        <v>43672</v>
      </c>
      <c r="I6" s="60">
        <v>32.840000000000003</v>
      </c>
      <c r="J6" s="62">
        <v>6.5680000000000016E-2</v>
      </c>
    </row>
    <row r="7" spans="1:10" x14ac:dyDescent="0.25">
      <c r="A7" s="88">
        <v>43672</v>
      </c>
      <c r="B7" s="72">
        <v>1.9100000000000001</v>
      </c>
      <c r="C7" s="72">
        <v>23.009999999999998</v>
      </c>
      <c r="D7" s="72">
        <v>-1.4699999999999989</v>
      </c>
      <c r="E7" s="72"/>
      <c r="F7" s="72">
        <v>23.45</v>
      </c>
      <c r="H7" s="88">
        <v>43675</v>
      </c>
      <c r="I7" s="60">
        <v>27.370000000000012</v>
      </c>
      <c r="J7" s="62">
        <v>4.5615906401559991E-2</v>
      </c>
    </row>
    <row r="8" spans="1:10" x14ac:dyDescent="0.25">
      <c r="A8" s="88">
        <v>43675</v>
      </c>
      <c r="B8" s="72">
        <v>-4.1799999999999962</v>
      </c>
      <c r="C8" s="72">
        <v>-16.29</v>
      </c>
      <c r="D8" s="72">
        <v>-5.9999999999998721E-2</v>
      </c>
      <c r="E8" s="72">
        <v>15.06</v>
      </c>
      <c r="F8" s="72">
        <v>-5.4699999999999935</v>
      </c>
      <c r="H8" s="88">
        <v>43676</v>
      </c>
      <c r="I8" s="60">
        <v>70.400000000000006</v>
      </c>
      <c r="J8" s="62">
        <v>0.10242234669382413</v>
      </c>
    </row>
    <row r="9" spans="1:10" x14ac:dyDescent="0.25">
      <c r="A9" s="88">
        <v>43676</v>
      </c>
      <c r="B9" s="72">
        <v>29.81</v>
      </c>
      <c r="C9" s="72">
        <v>-0.9099999999999997</v>
      </c>
      <c r="D9" s="72">
        <v>-0.33999999999999986</v>
      </c>
      <c r="E9" s="72">
        <v>14.47</v>
      </c>
      <c r="F9" s="72">
        <v>43.03</v>
      </c>
      <c r="H9" s="88">
        <v>43677</v>
      </c>
      <c r="I9" s="60">
        <v>24.500000000000014</v>
      </c>
      <c r="J9" s="62">
        <v>2.761030033245061E-2</v>
      </c>
    </row>
    <row r="10" spans="1:10" x14ac:dyDescent="0.25">
      <c r="A10" s="88">
        <v>43677</v>
      </c>
      <c r="B10" s="72">
        <v>3.1000000000000085</v>
      </c>
      <c r="C10" s="72">
        <v>12.54</v>
      </c>
      <c r="D10" s="72">
        <v>-21.58</v>
      </c>
      <c r="E10" s="72">
        <v>-39.959999999999994</v>
      </c>
      <c r="F10" s="72">
        <v>-45.899999999999984</v>
      </c>
      <c r="H10" s="88">
        <v>43678</v>
      </c>
      <c r="I10" s="60">
        <v>-31.84999999999998</v>
      </c>
      <c r="J10" s="62">
        <v>-3.161761056236654E-2</v>
      </c>
    </row>
    <row r="11" spans="1:10" x14ac:dyDescent="0.25">
      <c r="A11" s="88">
        <v>43678</v>
      </c>
      <c r="B11" s="72">
        <v>-16.440000000000001</v>
      </c>
      <c r="C11" s="72">
        <v>9.0000000000001634E-2</v>
      </c>
      <c r="D11" s="72"/>
      <c r="E11" s="72">
        <v>-40</v>
      </c>
      <c r="F11" s="72">
        <v>-56.35</v>
      </c>
      <c r="H11" s="88">
        <v>43679</v>
      </c>
      <c r="I11" s="60">
        <v>16.880000000000024</v>
      </c>
      <c r="J11" s="62">
        <v>1.4973167161928464E-2</v>
      </c>
    </row>
    <row r="12" spans="1:10" x14ac:dyDescent="0.25">
      <c r="A12" s="88">
        <v>43679</v>
      </c>
      <c r="B12" s="72">
        <v>23.38</v>
      </c>
      <c r="C12" s="72">
        <v>25.120000000000005</v>
      </c>
      <c r="D12" s="72">
        <v>-19.3</v>
      </c>
      <c r="E12" s="72">
        <v>19.53</v>
      </c>
      <c r="F12" s="72">
        <v>48.730000000000004</v>
      </c>
      <c r="H12" s="88">
        <v>43680</v>
      </c>
      <c r="I12" s="60">
        <v>101.74000000000002</v>
      </c>
      <c r="J12" s="62">
        <v>8.1564917625365801E-2</v>
      </c>
    </row>
    <row r="13" spans="1:10" x14ac:dyDescent="0.25">
      <c r="A13" s="88">
        <v>43680</v>
      </c>
      <c r="B13" s="72"/>
      <c r="C13" s="72">
        <v>49.730000000000004</v>
      </c>
      <c r="D13" s="72">
        <v>16.95</v>
      </c>
      <c r="E13" s="72">
        <v>18.18</v>
      </c>
      <c r="F13" s="72">
        <v>84.860000000000014</v>
      </c>
      <c r="H13" s="88">
        <v>43681</v>
      </c>
      <c r="I13" s="60">
        <v>142.46000000000004</v>
      </c>
      <c r="J13" s="62">
        <v>0.10573347682487848</v>
      </c>
    </row>
    <row r="14" spans="1:10" x14ac:dyDescent="0.25">
      <c r="A14" s="88">
        <v>43681</v>
      </c>
      <c r="B14" s="72">
        <v>21.45</v>
      </c>
      <c r="C14" s="72">
        <v>26.939999999999998</v>
      </c>
      <c r="D14" s="72"/>
      <c r="E14" s="72">
        <v>-7.6700000000000017</v>
      </c>
      <c r="F14" s="72">
        <v>40.72</v>
      </c>
      <c r="H14" s="88">
        <v>43682</v>
      </c>
      <c r="I14" s="60">
        <v>112.93000000000004</v>
      </c>
      <c r="J14" s="62">
        <v>7.4919560818655279E-2</v>
      </c>
    </row>
    <row r="15" spans="1:10" x14ac:dyDescent="0.25">
      <c r="A15" s="88">
        <v>43682</v>
      </c>
      <c r="B15" s="72">
        <v>-51.41</v>
      </c>
      <c r="C15" s="72">
        <v>4.4899999999999984</v>
      </c>
      <c r="D15" s="72"/>
      <c r="E15" s="72">
        <v>17.39</v>
      </c>
      <c r="F15" s="72">
        <v>-29.53</v>
      </c>
      <c r="H15" s="88">
        <v>43683</v>
      </c>
      <c r="I15" s="60">
        <v>59.030000000000058</v>
      </c>
      <c r="J15" s="62">
        <v>3.378239172236977E-2</v>
      </c>
    </row>
    <row r="16" spans="1:10" x14ac:dyDescent="0.25">
      <c r="A16" s="88">
        <v>43683</v>
      </c>
      <c r="B16" s="72">
        <v>-29.68</v>
      </c>
      <c r="C16" s="72">
        <v>-36.19</v>
      </c>
      <c r="D16" s="72">
        <v>34.769999999999996</v>
      </c>
      <c r="E16" s="72">
        <v>-22.8</v>
      </c>
      <c r="F16" s="72">
        <v>-53.900000000000006</v>
      </c>
      <c r="H16" s="88">
        <v>43684</v>
      </c>
      <c r="I16" s="60">
        <v>-11.419999999999959</v>
      </c>
      <c r="J16" s="62">
        <v>-5.8047037415432596E-3</v>
      </c>
    </row>
    <row r="17" spans="1:10" x14ac:dyDescent="0.25">
      <c r="A17" s="88">
        <v>43684</v>
      </c>
      <c r="B17" s="72">
        <v>-31.740000000000002</v>
      </c>
      <c r="C17" s="72">
        <v>-46.170000000000009</v>
      </c>
      <c r="D17" s="72">
        <v>7.4599999999999973</v>
      </c>
      <c r="E17" s="72"/>
      <c r="F17" s="72">
        <v>-70.450000000000017</v>
      </c>
      <c r="H17" s="88">
        <v>43685</v>
      </c>
      <c r="I17" s="60">
        <v>-59.189999999999948</v>
      </c>
      <c r="J17" s="62">
        <v>-2.782308672210286E-2</v>
      </c>
    </row>
    <row r="18" spans="1:10" x14ac:dyDescent="0.25">
      <c r="A18" s="88">
        <v>43685</v>
      </c>
      <c r="B18" s="72">
        <v>-33.68</v>
      </c>
      <c r="C18" s="72">
        <v>-11.34</v>
      </c>
      <c r="D18" s="72">
        <v>16.970000000000002</v>
      </c>
      <c r="E18" s="72">
        <v>-19.72</v>
      </c>
      <c r="F18" s="72">
        <v>-47.769999999999996</v>
      </c>
      <c r="H18" s="88">
        <v>43703</v>
      </c>
      <c r="I18" s="60">
        <v>-22.689999999999948</v>
      </c>
      <c r="J18" s="62">
        <v>-1.0279201040151833E-2</v>
      </c>
    </row>
    <row r="19" spans="1:10" x14ac:dyDescent="0.25">
      <c r="A19" s="88">
        <v>43703</v>
      </c>
      <c r="B19" s="72">
        <v>23.75</v>
      </c>
      <c r="C19" s="72">
        <v>-7.25</v>
      </c>
      <c r="D19" s="72"/>
      <c r="E19" s="72">
        <v>20</v>
      </c>
      <c r="F19" s="72">
        <v>36.5</v>
      </c>
      <c r="H19" s="88">
        <v>43704</v>
      </c>
      <c r="I19" s="60">
        <v>30.460000000000043</v>
      </c>
      <c r="J19" s="62">
        <v>1.2446013475690255E-2</v>
      </c>
    </row>
    <row r="20" spans="1:10" x14ac:dyDescent="0.25">
      <c r="A20" s="88">
        <v>43704</v>
      </c>
      <c r="B20" s="72">
        <v>14.609999999999996</v>
      </c>
      <c r="C20" s="72">
        <v>58.540000000000006</v>
      </c>
      <c r="D20" s="72">
        <v>-20</v>
      </c>
      <c r="E20" s="72"/>
      <c r="F20" s="72">
        <v>53.150000000000006</v>
      </c>
      <c r="H20" s="88">
        <v>43705</v>
      </c>
      <c r="I20" s="60">
        <v>108.37000000000003</v>
      </c>
      <c r="J20" s="62">
        <v>3.9444852914413034E-2</v>
      </c>
    </row>
    <row r="21" spans="1:10" x14ac:dyDescent="0.25">
      <c r="A21" s="88">
        <v>43705</v>
      </c>
      <c r="B21" s="72">
        <v>43.010000000000005</v>
      </c>
      <c r="C21" s="72">
        <v>34.46</v>
      </c>
      <c r="D21" s="72">
        <v>-3.2900000000000009</v>
      </c>
      <c r="E21" s="72">
        <v>3.7300000000000004</v>
      </c>
      <c r="F21" s="72">
        <v>77.91</v>
      </c>
      <c r="H21" s="88">
        <v>43706</v>
      </c>
      <c r="I21" s="60">
        <v>17.94000000000004</v>
      </c>
      <c r="J21" s="62">
        <v>6.1283677840519215E-3</v>
      </c>
    </row>
    <row r="22" spans="1:10" x14ac:dyDescent="0.25">
      <c r="A22" s="88">
        <v>43706</v>
      </c>
      <c r="B22" s="72"/>
      <c r="C22" s="72">
        <v>-30.429999999999996</v>
      </c>
      <c r="D22" s="72">
        <v>-39.299999999999997</v>
      </c>
      <c r="E22" s="72">
        <v>-20.7</v>
      </c>
      <c r="F22" s="72">
        <v>-90.429999999999993</v>
      </c>
      <c r="H22" s="88">
        <v>43717</v>
      </c>
      <c r="I22" s="60">
        <v>13.090000000000042</v>
      </c>
      <c r="J22" s="62">
        <v>4.3526403468811849E-3</v>
      </c>
    </row>
    <row r="23" spans="1:10" x14ac:dyDescent="0.25">
      <c r="A23" s="88">
        <v>43717</v>
      </c>
      <c r="B23" s="72">
        <v>-36.299999999999997</v>
      </c>
      <c r="C23" s="72">
        <v>14.36</v>
      </c>
      <c r="D23" s="72">
        <v>17.09</v>
      </c>
      <c r="E23" s="72"/>
      <c r="F23" s="72">
        <v>-4.8499999999999979</v>
      </c>
      <c r="H23" s="88">
        <v>43718</v>
      </c>
      <c r="I23" s="60">
        <v>17.150000000000041</v>
      </c>
      <c r="J23" s="62">
        <v>5.4489939219094239E-3</v>
      </c>
    </row>
    <row r="24" spans="1:10" x14ac:dyDescent="0.25">
      <c r="A24" s="88">
        <v>43718</v>
      </c>
      <c r="B24" s="72">
        <v>-16.510000000000002</v>
      </c>
      <c r="C24" s="72">
        <v>4.620000000000001</v>
      </c>
      <c r="D24" s="72">
        <v>0.41999999999999815</v>
      </c>
      <c r="E24" s="72">
        <v>15.53</v>
      </c>
      <c r="F24" s="72">
        <v>4.0599999999999969</v>
      </c>
      <c r="H24" s="88">
        <v>43719</v>
      </c>
      <c r="I24" s="60">
        <v>-39.929999999999957</v>
      </c>
      <c r="J24" s="62">
        <v>-1.2073073387838021E-2</v>
      </c>
    </row>
    <row r="25" spans="1:10" x14ac:dyDescent="0.25">
      <c r="A25" s="88">
        <v>43719</v>
      </c>
      <c r="B25" s="72">
        <v>-15.85</v>
      </c>
      <c r="C25" s="72">
        <v>-43.129999999999995</v>
      </c>
      <c r="D25" s="72"/>
      <c r="E25" s="72">
        <v>1.8999999999999986</v>
      </c>
      <c r="F25" s="72">
        <v>-57.08</v>
      </c>
      <c r="H25" s="88">
        <v>43724</v>
      </c>
      <c r="I25" s="60">
        <v>-39.929999999999957</v>
      </c>
      <c r="J25" s="62">
        <v>-1.1718749999999988E-2</v>
      </c>
    </row>
    <row r="26" spans="1:10" x14ac:dyDescent="0.25">
      <c r="A26" s="88">
        <v>43724</v>
      </c>
      <c r="B26" s="72">
        <v>0</v>
      </c>
      <c r="C26" s="72">
        <v>0</v>
      </c>
      <c r="D26" s="72"/>
      <c r="E26" s="72"/>
      <c r="F26" s="72">
        <v>0</v>
      </c>
    </row>
    <row r="27" spans="1:10" x14ac:dyDescent="0.25">
      <c r="A27" s="88" t="s">
        <v>3526</v>
      </c>
      <c r="B27" s="60">
        <v>-97.63</v>
      </c>
      <c r="C27" s="60">
        <v>57.78000000000003</v>
      </c>
      <c r="D27" s="60">
        <v>-1.25</v>
      </c>
      <c r="E27" s="60">
        <v>1.1700000000000035</v>
      </c>
      <c r="F27" s="60">
        <v>-39.929999999999971</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1748"/>
  <sheetViews>
    <sheetView topLeftCell="A186" zoomScaleNormal="100" workbookViewId="0">
      <selection activeCell="M201" sqref="M201"/>
    </sheetView>
  </sheetViews>
  <sheetFormatPr defaultRowHeight="15" x14ac:dyDescent="0.25"/>
  <cols>
    <col min="1" max="1" width="1.28515625" style="13" customWidth="1"/>
    <col min="2" max="2" width="9.7109375" bestFit="1" customWidth="1"/>
    <col min="3" max="3" width="12.7109375" bestFit="1" customWidth="1"/>
    <col min="4" max="4" width="25.7109375" style="14" bestFit="1" customWidth="1"/>
    <col min="5" max="5" width="21.5703125" customWidth="1"/>
    <col min="6" max="6" width="9.7109375" bestFit="1" customWidth="1"/>
    <col min="7" max="7" width="11.140625" bestFit="1" customWidth="1"/>
    <col min="9" max="9" width="8.85546875" bestFit="1" customWidth="1"/>
    <col min="10" max="10" width="7.140625" bestFit="1" customWidth="1"/>
    <col min="11" max="11" width="13.28515625" style="74" bestFit="1" customWidth="1"/>
    <col min="12" max="13" width="10.7109375" style="74" bestFit="1" customWidth="1"/>
    <col min="14" max="14" width="7.140625" style="74" customWidth="1"/>
    <col min="15" max="15" width="8.28515625" bestFit="1" customWidth="1"/>
    <col min="16" max="16" width="7.7109375" bestFit="1" customWidth="1"/>
    <col min="18" max="18" width="12" bestFit="1" customWidth="1"/>
    <col min="19" max="19" width="17.140625" bestFit="1" customWidth="1"/>
    <col min="20" max="20" width="14.5703125" bestFit="1" customWidth="1"/>
    <col min="21" max="21" width="12.7109375" bestFit="1" customWidth="1"/>
    <col min="25" max="25" width="11" bestFit="1" customWidth="1"/>
  </cols>
  <sheetData>
    <row r="2" spans="1:26" ht="18" customHeight="1" x14ac:dyDescent="0.25">
      <c r="S2" t="s">
        <v>802</v>
      </c>
    </row>
    <row r="3" spans="1:26" x14ac:dyDescent="0.25">
      <c r="B3" s="74" t="s">
        <v>786</v>
      </c>
      <c r="C3" s="74" t="s">
        <v>785</v>
      </c>
      <c r="D3" s="74" t="s">
        <v>787</v>
      </c>
      <c r="E3" s="74" t="s">
        <v>782</v>
      </c>
      <c r="F3" s="74" t="s">
        <v>788</v>
      </c>
      <c r="G3" s="74" t="s">
        <v>789</v>
      </c>
      <c r="H3" s="74" t="s">
        <v>790</v>
      </c>
      <c r="I3" s="74" t="s">
        <v>791</v>
      </c>
      <c r="J3" s="85" t="s">
        <v>1539</v>
      </c>
      <c r="K3" s="74" t="s">
        <v>792</v>
      </c>
      <c r="L3" s="85"/>
      <c r="M3" s="15" t="s">
        <v>786</v>
      </c>
      <c r="N3" s="93" t="s">
        <v>793</v>
      </c>
      <c r="O3" s="93"/>
      <c r="P3" s="93" t="s">
        <v>794</v>
      </c>
      <c r="Q3" s="94"/>
      <c r="S3" s="16" t="s">
        <v>795</v>
      </c>
      <c r="T3" s="16" t="s">
        <v>793</v>
      </c>
      <c r="U3" s="93" t="s">
        <v>794</v>
      </c>
      <c r="V3" s="94"/>
    </row>
    <row r="4" spans="1:26" x14ac:dyDescent="0.25">
      <c r="A4" s="13">
        <f>IF(B4=B3,A3,A3+1)</f>
        <v>1</v>
      </c>
      <c r="B4" s="17">
        <v>43662</v>
      </c>
      <c r="C4" s="17" t="s">
        <v>802</v>
      </c>
      <c r="D4" s="18" t="s">
        <v>1491</v>
      </c>
      <c r="E4" s="11" t="s">
        <v>819</v>
      </c>
      <c r="F4" s="19">
        <v>3.37</v>
      </c>
      <c r="G4" s="37" t="s">
        <v>1492</v>
      </c>
      <c r="H4" s="21" t="s">
        <v>263</v>
      </c>
      <c r="I4" s="45">
        <f>IFERROR(ROUND(IF(Reinvest[[#This Row],[Result]]="L",0-Reinvest[[#This Row],[Risk]],IF(Reinvest[[#This Row],[Result]]="Push",0,IF(Reinvest[[#This Row],[Result]]="No Action",0,IF(Reinvest[[#This Row],[Result]]="W",IF(Reinvest[[#This Row],[Odds]]&gt;0,Reinvest[[#This Row],[Odds]]/100*Reinvest[[#This Row],[Risk]],(Reinvest[[#This Row],[Risk]]/Reinvest[[#This Row],[Odds]]*-100)),"")))),2),"")</f>
        <v>-3.37</v>
      </c>
      <c r="J4" s="89" t="str">
        <f>IF(B4=B5,"",SUM($I$4:I4)/SUM($F$4:F4))</f>
        <v/>
      </c>
      <c r="K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4" s="11"/>
      <c r="M4" s="24">
        <f t="shared" ref="M4:M35" si="0">IFERROR(VLOOKUP(ROW()-3,A:B,2,0),0)</f>
        <v>43662</v>
      </c>
      <c r="N4" s="1" t="str">
        <f>COUNTIFS(Reinvest[Date],M4,Reinvest[Result],"W")&amp;"-"&amp;COUNTIFS(Reinvest[Date],M4,Reinvest[Result],"L")&amp;IF(COUNTIFS(Reinvest[Date],M4,Reinvest[Result],"Push")&gt;0,"-"&amp;COUNTIFS(Reinvest[Date],M4,Reinvest[Result],"Push"),"")</f>
        <v>11-8</v>
      </c>
      <c r="O4" s="25">
        <f>IFERROR(COUNTIFS(Reinvest[Date],M4,Reinvest[Result],"W")/(COUNTIFS(Reinvest[Date],M4,Reinvest[Result],"W")+COUNTIFS(Reinvest[Date],M4,Reinvest[Result],"L")),"")</f>
        <v>0.57894736842105265</v>
      </c>
      <c r="P4" s="26">
        <f>SUMIF(Reinvest[Date],M4,Reinvest[Net])</f>
        <v>11.86</v>
      </c>
      <c r="Q4" s="27" t="str">
        <f>IFERROR("("&amp;ROUND(SUMIF(Reinvest[Date],M4,Reinvest[Net])/SUMIF(Reinvest[Date],M4,Reinvest[Risk]),2)*100&amp;"%)","")</f>
        <v>(12%)</v>
      </c>
      <c r="R4" s="28" t="s">
        <v>796</v>
      </c>
      <c r="S4" s="29" t="s">
        <v>797</v>
      </c>
      <c r="T4" s="16" t="str">
        <f>IFERROR(IF($S$2="All",COUNTIFS(Reinvest[Bet Type],R4,Reinvest[Result],"W")&amp;"-"&amp;COUNTIFS(Reinvest[Bet Type],R4,Reinvest[Result],"L")&amp;IF(COUNTIFS(Reinvest[Bet Type],R4,Reinvest[Result],"Push")&gt;0,"-"&amp;COUNTIFS(Reinvest[Bet Type],R4,Reinvest[Result],"Push"),"")&amp;" ("&amp;ROUND(COUNTIFS(Reinvest[Bet Type],R4,Reinvest[Result],"W")/(COUNTIFS(Reinvest[Bet Type],R4,Reinvest[Result],"W")+COUNTIFS(Reinvest[Bet Type],R4,Reinvest[Result],"L"))*100,1)&amp;"%)",COUNTIFS(Reinvest[Sport],$S$2,Reinvest[Bet Type],R4,Reinvest[Result],"W")&amp;"-"&amp;COUNTIFS(Reinvest[Sport],$S$2,Reinvest[Bet Type],R4,Reinvest[Result],"L")&amp;IF(COUNTIFS(Reinvest[Sport],$S$2,Reinvest[Bet Type],R4,Reinvest[Result],"Push")&gt;0,"-"&amp;COUNTIFS(Reinvest[Sport],$S$2,Reinvest[Bet Type],R4,Reinvest[Result],"Push"),"")&amp;" ("&amp;ROUND(COUNTIFS(Reinvest[Sport],$S$2,Reinvest[Bet Type],R4,Reinvest[Result],"W")/(COUNTIFS(Reinvest[Sport],$S$2,Reinvest[Bet Type],R4,Reinvest[Result],"W")+COUNTIFS(Reinvest[Sport],$S$2,Reinvest[Bet Type],R4,Reinvest[Result],"L"))*100,1)&amp;"%)"),"No Bets")</f>
        <v>26-22-1 (54.2%)</v>
      </c>
      <c r="U4" s="30">
        <f>IF($S$2="All",SUMIF(Reinvest[Bet Type],R4,Reinvest[Net]),SUMIFS(Reinvest[Net],Reinvest[Bet Type],R4,Reinvest[Sport],$S$2))</f>
        <v>1.1700000000000017</v>
      </c>
      <c r="V4" s="31" t="str">
        <f>IF($S$2="All",IFERROR("("&amp;ROUND((SUMIF(Reinvest[Bet Type],R4,Reinvest[Net]))/SUMIF(Reinvest[Bet Type],R4,Reinvest[Risk]),2)*100&amp;"%)",""),IFERROR("("&amp;ROUND((SUMIFS(Reinvest[Net],Reinvest[Bet Type],R4,Reinvest[Sport],$S$2))/SUMIFS(Reinvest[Risk],Reinvest[Bet Type],R4,Reinvest[Sport],$S$2),2)*100&amp;"%)",""))</f>
        <v>(0%)</v>
      </c>
    </row>
    <row r="5" spans="1:26" x14ac:dyDescent="0.25">
      <c r="A5" s="13">
        <f t="shared" ref="A5:A68" si="1">IF(B5=B4,A4,A4+1)</f>
        <v>1</v>
      </c>
      <c r="B5" s="17">
        <v>43662</v>
      </c>
      <c r="C5" s="17" t="s">
        <v>802</v>
      </c>
      <c r="D5" s="18" t="s">
        <v>1493</v>
      </c>
      <c r="E5" s="11" t="s">
        <v>869</v>
      </c>
      <c r="F5" s="19">
        <v>5.45</v>
      </c>
      <c r="G5" s="37">
        <v>-250</v>
      </c>
      <c r="H5" s="21" t="s">
        <v>262</v>
      </c>
      <c r="I5" s="45">
        <f>IFERROR(ROUND(IF(Reinvest[[#This Row],[Result]]="L",0-Reinvest[[#This Row],[Risk]],IF(Reinvest[[#This Row],[Result]]="Push",0,IF(Reinvest[[#This Row],[Result]]="No Action",0,IF(Reinvest[[#This Row],[Result]]="W",IF(Reinvest[[#This Row],[Odds]]&gt;0,Reinvest[[#This Row],[Odds]]/100*Reinvest[[#This Row],[Risk]],(Reinvest[[#This Row],[Risk]]/Reinvest[[#This Row],[Odds]]*-100)),"")))),2),"")</f>
        <v>2.1800000000000002</v>
      </c>
      <c r="J5" s="89" t="str">
        <f>IF(B5=B6,"",SUM($I$4:I5)/SUM($F$4:F5))</f>
        <v/>
      </c>
      <c r="K5"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5" s="11"/>
      <c r="M5" s="24">
        <f t="shared" si="0"/>
        <v>43663</v>
      </c>
      <c r="N5" s="1" t="str">
        <f>COUNTIFS(Reinvest[Date],M5,Reinvest[Result],"W")&amp;"-"&amp;COUNTIFS(Reinvest[Date],M5,Reinvest[Result],"L")&amp;IF(COUNTIFS(Reinvest[Date],M5,Reinvest[Result],"Push")&gt;0,"-"&amp;COUNTIFS(Reinvest[Date],M5,Reinvest[Result],"Push"),"")</f>
        <v>9-6-1</v>
      </c>
      <c r="O5" s="25">
        <f>IFERROR(COUNTIFS(Reinvest[Date],M5,Reinvest[Result],"W")/(COUNTIFS(Reinvest[Date],M5,Reinvest[Result],"W")+COUNTIFS(Reinvest[Date],M5,Reinvest[Result],"L")),"")</f>
        <v>0.6</v>
      </c>
      <c r="P5" s="26">
        <f>SUMIF(Reinvest[Date],M5,Reinvest[Net])</f>
        <v>13.61</v>
      </c>
      <c r="Q5" s="27" t="str">
        <f>IFERROR("("&amp;ROUND(SUMIF(Reinvest[Date],M5,Reinvest[Net])/SUMIF(Reinvest[Date],M5,Reinvest[Risk]),2)*100&amp;"%)","")</f>
        <v>(14%)</v>
      </c>
      <c r="R5" s="28" t="s">
        <v>798</v>
      </c>
      <c r="S5" s="29" t="s">
        <v>799</v>
      </c>
      <c r="T5" s="16" t="str">
        <f>IFERROR(IF($S$2="All",COUNTIFS(Reinvest[Bet Type],R5,Reinvest[Result],"W")&amp;"-"&amp;COUNTIFS(Reinvest[Bet Type],R5,Reinvest[Result],"L")&amp;IF(COUNTIFS(Reinvest[Bet Type],R5,Reinvest[Result],"Push")&gt;0,"-"&amp;COUNTIFS(Reinvest[Bet Type],R5,Reinvest[Result],"Push"),"")&amp;" ("&amp;ROUND(COUNTIFS(Reinvest[Bet Type],R5,Reinvest[Result],"W")/(COUNTIFS(Reinvest[Bet Type],R5,Reinvest[Result],"W")+COUNTIFS(Reinvest[Bet Type],R5,Reinvest[Result],"L"))*100,1)&amp;"%)",COUNTIFS(Reinvest[Sport],$S$2,Reinvest[Bet Type],R5,Reinvest[Result],"W")&amp;"-"&amp;COUNTIFS(Reinvest[Sport],$S$2,Reinvest[Bet Type],R5,Reinvest[Result],"L")&amp;IF(COUNTIFS(Reinvest[Sport],$S$2,Reinvest[Bet Type],R5,Reinvest[Result],"Push")&gt;0,"-"&amp;COUNTIFS(Reinvest[Sport],$S$2,Reinvest[Bet Type],R5,Reinvest[Result],"Push"),"")&amp;" ("&amp;ROUND(COUNTIFS(Reinvest[Sport],$S$2,Reinvest[Bet Type],R5,Reinvest[Result],"W")/(COUNTIFS(Reinvest[Sport],$S$2,Reinvest[Bet Type],R5,Reinvest[Result],"W")+COUNTIFS(Reinvest[Sport],$S$2,Reinvest[Bet Type],R5,Reinvest[Result],"L"))*100,1)&amp;"%)"),"No Bets")</f>
        <v>14-13 (51.9%)</v>
      </c>
      <c r="U5" s="30">
        <f>IF($S$2="All",SUMIF(Reinvest[Bet Type],R5,Reinvest[Net]),SUMIFS(Reinvest[Net],Reinvest[Bet Type],R5,Reinvest[Sport],$S$2))</f>
        <v>-1.2500000000000036</v>
      </c>
      <c r="V5" s="31" t="str">
        <f>IF($S$2="All",IFERROR("("&amp;ROUND((SUMIF(Reinvest[Bet Type],R5,Reinvest[Net]))/SUMIF(Reinvest[Bet Type],R5,Reinvest[Risk]),2)*100&amp;"%)",""),IFERROR("("&amp;ROUND((SUMIFS(Reinvest[Net],Reinvest[Bet Type],R5,Reinvest[Sport],$S$2))/SUMIFS(Reinvest[Risk],Reinvest[Bet Type],R5,Reinvest[Sport],$S$2),2)*100&amp;"%)",""))</f>
        <v>(0%)</v>
      </c>
    </row>
    <row r="6" spans="1:26" x14ac:dyDescent="0.25">
      <c r="A6" s="13">
        <f t="shared" si="1"/>
        <v>1</v>
      </c>
      <c r="B6" s="17">
        <v>43662</v>
      </c>
      <c r="C6" s="17" t="s">
        <v>802</v>
      </c>
      <c r="D6" s="18" t="s">
        <v>1494</v>
      </c>
      <c r="E6" s="11" t="s">
        <v>888</v>
      </c>
      <c r="F6" s="19">
        <v>4.2300000000000004</v>
      </c>
      <c r="G6" s="37">
        <v>-105</v>
      </c>
      <c r="H6" s="21" t="s">
        <v>262</v>
      </c>
      <c r="I6" s="45">
        <f>IFERROR(ROUND(IF(Reinvest[[#This Row],[Result]]="L",0-Reinvest[[#This Row],[Risk]],IF(Reinvest[[#This Row],[Result]]="Push",0,IF(Reinvest[[#This Row],[Result]]="No Action",0,IF(Reinvest[[#This Row],[Result]]="W",IF(Reinvest[[#This Row],[Odds]]&gt;0,Reinvest[[#This Row],[Odds]]/100*Reinvest[[#This Row],[Risk]],(Reinvest[[#This Row],[Risk]]/Reinvest[[#This Row],[Odds]]*-100)),"")))),2),"")</f>
        <v>4.03</v>
      </c>
      <c r="J6" s="89" t="str">
        <f>IF(B6=B7,"",SUM($I$4:I6)/SUM($F$4:F6))</f>
        <v/>
      </c>
      <c r="K6"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6" s="11"/>
      <c r="M6" s="24">
        <f t="shared" si="0"/>
        <v>43664</v>
      </c>
      <c r="N6" s="1" t="str">
        <f>COUNTIFS(Reinvest[Date],M6,Reinvest[Result],"W")&amp;"-"&amp;COUNTIFS(Reinvest[Date],M6,Reinvest[Result],"L")&amp;IF(COUNTIFS(Reinvest[Date],M6,Reinvest[Result],"Push")&gt;0,"-"&amp;COUNTIFS(Reinvest[Date],M6,Reinvest[Result],"Push"),"")</f>
        <v>2-5</v>
      </c>
      <c r="O6" s="25">
        <f>IFERROR(COUNTIFS(Reinvest[Date],M6,Reinvest[Result],"W")/(COUNTIFS(Reinvest[Date],M6,Reinvest[Result],"W")+COUNTIFS(Reinvest[Date],M6,Reinvest[Result],"L")),"")</f>
        <v>0.2857142857142857</v>
      </c>
      <c r="P6" s="26">
        <f>SUMIF(Reinvest[Date],M6,Reinvest[Net])</f>
        <v>-52.099999999999994</v>
      </c>
      <c r="Q6" s="27" t="str">
        <f>IFERROR("("&amp;ROUND(SUMIF(Reinvest[Date],M6,Reinvest[Net])/SUMIF(Reinvest[Date],M6,Reinvest[Risk]),2)*100&amp;"%)","")</f>
        <v>(-52%)</v>
      </c>
      <c r="R6" s="28" t="s">
        <v>800</v>
      </c>
      <c r="S6" s="29" t="s">
        <v>1211</v>
      </c>
      <c r="T6" s="16" t="str">
        <f>IFERROR(IF($S$2="All",COUNTIFS(Reinvest[Bet Type],R6,Reinvest[Result],"W")&amp;"-"&amp;COUNTIFS(Reinvest[Bet Type],R6,Reinvest[Result],"L")&amp;IF(COUNTIFS(Reinvest[Bet Type],R6,Reinvest[Result],"Push")&gt;0,"-"&amp;COUNTIFS(Reinvest[Bet Type],R6,Reinvest[Result],"Push"),"")&amp;" ("&amp;ROUND(COUNTIFS(Reinvest[Bet Type],R6,Reinvest[Result],"W")/(COUNTIFS(Reinvest[Bet Type],R6,Reinvest[Result],"W")+COUNTIFS(Reinvest[Bet Type],R6,Reinvest[Result],"L"))*100,1)&amp;"%)",COUNTIFS(Reinvest[Sport],$S$2,Reinvest[Bet Type],R6,Reinvest[Result],"W")&amp;"-"&amp;COUNTIFS(Reinvest[Sport],$S$2,Reinvest[Bet Type],R6,Reinvest[Result],"L")&amp;IF(COUNTIFS(Reinvest[Sport],$S$2,Reinvest[Bet Type],R6,Reinvest[Result],"Push")&gt;0,"-"&amp;COUNTIFS(Reinvest[Sport],$S$2,Reinvest[Bet Type],R6,Reinvest[Result],"Push"),"")&amp;" ("&amp;ROUND(COUNTIFS(Reinvest[Sport],$S$2,Reinvest[Bet Type],R6,Reinvest[Result],"W")/(COUNTIFS(Reinvest[Sport],$S$2,Reinvest[Bet Type],R6,Reinvest[Result],"W")+COUNTIFS(Reinvest[Sport],$S$2,Reinvest[Bet Type],R6,Reinvest[Result],"L"))*100,1)&amp;"%)"),"No Bets")</f>
        <v>No Bets</v>
      </c>
      <c r="U6" s="30">
        <f>IF($S$2="All",SUMIF(Reinvest[Bet Type],R6,Reinvest[Net]),SUMIFS(Reinvest[Net],Reinvest[Bet Type],R6,Reinvest[Sport],$S$2))</f>
        <v>0</v>
      </c>
      <c r="V6" s="31" t="str">
        <f>IF($S$2="All",IFERROR("("&amp;ROUND((SUMIF(Reinvest[Bet Type],R6,Reinvest[Net]))/SUMIF(Reinvest[Bet Type],R6,Reinvest[Risk]),2)*100&amp;"%)",""),IFERROR("("&amp;ROUND((SUMIFS(Reinvest[Net],Reinvest[Bet Type],R6,Reinvest[Sport],$S$2))/SUMIFS(Reinvest[Risk],Reinvest[Bet Type],R6,Reinvest[Sport],$S$2),2)*100&amp;"%)",""))</f>
        <v/>
      </c>
    </row>
    <row r="7" spans="1:26" x14ac:dyDescent="0.25">
      <c r="A7" s="13">
        <f t="shared" si="1"/>
        <v>1</v>
      </c>
      <c r="B7" s="17">
        <v>43662</v>
      </c>
      <c r="C7" s="17" t="s">
        <v>802</v>
      </c>
      <c r="D7" s="18" t="s">
        <v>1495</v>
      </c>
      <c r="E7" s="11" t="s">
        <v>1180</v>
      </c>
      <c r="F7" s="19">
        <v>4.63</v>
      </c>
      <c r="G7" s="37" t="s">
        <v>934</v>
      </c>
      <c r="H7" s="21" t="s">
        <v>262</v>
      </c>
      <c r="I7" s="45">
        <f>IFERROR(ROUND(IF(Reinvest[[#This Row],[Result]]="L",0-Reinvest[[#This Row],[Risk]],IF(Reinvest[[#This Row],[Result]]="Push",0,IF(Reinvest[[#This Row],[Result]]="No Action",0,IF(Reinvest[[#This Row],[Result]]="W",IF(Reinvest[[#This Row],[Odds]]&gt;0,Reinvest[[#This Row],[Odds]]/100*Reinvest[[#This Row],[Risk]],(Reinvest[[#This Row],[Risk]]/Reinvest[[#This Row],[Odds]]*-100)),"")))),2),"")</f>
        <v>6.48</v>
      </c>
      <c r="J7" s="89" t="str">
        <f>IF(B7=B8,"",SUM($I$4:I7)/SUM($F$4:F7))</f>
        <v/>
      </c>
      <c r="K7"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7" s="11"/>
      <c r="M7" s="24">
        <f t="shared" si="0"/>
        <v>43671</v>
      </c>
      <c r="N7" s="1" t="str">
        <f>COUNTIFS(Reinvest[Date],M7,Reinvest[Result],"W")&amp;"-"&amp;COUNTIFS(Reinvest[Date],M7,Reinvest[Result],"L")&amp;IF(COUNTIFS(Reinvest[Date],M7,Reinvest[Result],"Push")&gt;0,"-"&amp;COUNTIFS(Reinvest[Date],M7,Reinvest[Result],"Push"),"")</f>
        <v>4-3</v>
      </c>
      <c r="O7" s="25">
        <f>IFERROR(COUNTIFS(Reinvest[Date],M7,Reinvest[Result],"W")/(COUNTIFS(Reinvest[Date],M7,Reinvest[Result],"W")+COUNTIFS(Reinvest[Date],M7,Reinvest[Result],"L")),"")</f>
        <v>0.5714285714285714</v>
      </c>
      <c r="P7" s="26">
        <f>SUMIF(Reinvest[Date],M7,Reinvest[Net])</f>
        <v>36.019999999999996</v>
      </c>
      <c r="Q7" s="27" t="str">
        <f>IFERROR("("&amp;ROUND(SUMIF(Reinvest[Date],M7,Reinvest[Net])/SUMIF(Reinvest[Date],M7,Reinvest[Risk]),2)*100&amp;"%)","")</f>
        <v>(36%)</v>
      </c>
      <c r="R7" s="28" t="s">
        <v>801</v>
      </c>
      <c r="S7" s="29" t="s">
        <v>1212</v>
      </c>
      <c r="T7" s="16" t="str">
        <f>IFERROR(IF($S$2="All",COUNTIFS(Reinvest[Bet Type],R7,Reinvest[Result],"W")&amp;"-"&amp;COUNTIFS(Reinvest[Bet Type],R7,Reinvest[Result],"L")&amp;IF(COUNTIFS(Reinvest[Bet Type],R7,Reinvest[Result],"Push")&gt;0,"-"&amp;COUNTIFS(Reinvest[Bet Type],R7,Reinvest[Result],"Push"),"")&amp;" ("&amp;ROUND(COUNTIFS(Reinvest[Bet Type],R7,Reinvest[Result],"W")/(COUNTIFS(Reinvest[Bet Type],R7,Reinvest[Result],"W")+COUNTIFS(Reinvest[Bet Type],R7,Reinvest[Result],"L"))*100,1)&amp;"%)",COUNTIFS(Reinvest[Sport],$S$2,Reinvest[Bet Type],R7,Reinvest[Result],"W")&amp;"-"&amp;COUNTIFS(Reinvest[Sport],$S$2,Reinvest[Bet Type],R7,Reinvest[Result],"L")&amp;IF(COUNTIFS(Reinvest[Sport],$S$2,Reinvest[Bet Type],R7,Reinvest[Result],"Push")&gt;0,"-"&amp;COUNTIFS(Reinvest[Sport],$S$2,Reinvest[Bet Type],R7,Reinvest[Result],"Push"),"")&amp;" ("&amp;ROUND(COUNTIFS(Reinvest[Sport],$S$2,Reinvest[Bet Type],R7,Reinvest[Result],"W")/(COUNTIFS(Reinvest[Sport],$S$2,Reinvest[Bet Type],R7,Reinvest[Result],"W")+COUNTIFS(Reinvest[Sport],$S$2,Reinvest[Bet Type],R7,Reinvest[Result],"L"))*100,1)&amp;"%)"),"No Bets")</f>
        <v>No Bets</v>
      </c>
      <c r="U7" s="30">
        <f>IF($S$2="All",SUMIF(Reinvest[Bet Type],R7,Reinvest[Net]),SUMIFS(Reinvest[Net],Reinvest[Bet Type],R7,Reinvest[Sport],$S$2))</f>
        <v>0</v>
      </c>
      <c r="V7" s="31" t="str">
        <f>IF($S$2="All",IFERROR("("&amp;ROUND((SUMIF(Reinvest[Bet Type],R7,Reinvest[Net]))/SUMIF(Reinvest[Bet Type],R7,Reinvest[Risk]),2)*100&amp;"%)",""),IFERROR("("&amp;ROUND((SUMIFS(Reinvest[Net],Reinvest[Bet Type],R7,Reinvest[Sport],$S$2))/SUMIFS(Reinvest[Risk],Reinvest[Bet Type],R7,Reinvest[Sport],$S$2),2)*100&amp;"%)",""))</f>
        <v/>
      </c>
    </row>
    <row r="8" spans="1:26" x14ac:dyDescent="0.25">
      <c r="A8" s="13">
        <f t="shared" si="1"/>
        <v>1</v>
      </c>
      <c r="B8" s="17">
        <v>43662</v>
      </c>
      <c r="C8" s="17" t="s">
        <v>802</v>
      </c>
      <c r="D8" s="18" t="s">
        <v>1214</v>
      </c>
      <c r="E8" s="11" t="s">
        <v>876</v>
      </c>
      <c r="F8" s="19">
        <v>3.28</v>
      </c>
      <c r="G8" s="37" t="s">
        <v>1496</v>
      </c>
      <c r="H8" s="21" t="s">
        <v>262</v>
      </c>
      <c r="I8" s="45">
        <f>IFERROR(ROUND(IF(Reinvest[[#This Row],[Result]]="L",0-Reinvest[[#This Row],[Risk]],IF(Reinvest[[#This Row],[Result]]="Push",0,IF(Reinvest[[#This Row],[Result]]="No Action",0,IF(Reinvest[[#This Row],[Result]]="W",IF(Reinvest[[#This Row],[Odds]]&gt;0,Reinvest[[#This Row],[Odds]]/100*Reinvest[[#This Row],[Risk]],(Reinvest[[#This Row],[Risk]]/Reinvest[[#This Row],[Odds]]*-100)),"")))),2),"")</f>
        <v>5.08</v>
      </c>
      <c r="J8" s="89" t="str">
        <f>IF(B8=B9,"",SUM($I$4:I8)/SUM($F$4:F8))</f>
        <v/>
      </c>
      <c r="K8"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8" s="11"/>
      <c r="M8" s="24">
        <f t="shared" si="0"/>
        <v>43672</v>
      </c>
      <c r="N8" s="1" t="str">
        <f>COUNTIFS(Reinvest[Date],M8,Reinvest[Result],"W")&amp;"-"&amp;COUNTIFS(Reinvest[Date],M8,Reinvest[Result],"L")&amp;IF(COUNTIFS(Reinvest[Date],M8,Reinvest[Result],"Push")&gt;0,"-"&amp;COUNTIFS(Reinvest[Date],M8,Reinvest[Result],"Push"),"")</f>
        <v>5-2</v>
      </c>
      <c r="O8" s="25">
        <f>IFERROR(COUNTIFS(Reinvest[Date],M8,Reinvest[Result],"W")/(COUNTIFS(Reinvest[Date],M8,Reinvest[Result],"W")+COUNTIFS(Reinvest[Date],M8,Reinvest[Result],"L")),"")</f>
        <v>0.7142857142857143</v>
      </c>
      <c r="P8" s="26">
        <f>SUMIF(Reinvest[Date],M8,Reinvest[Net])</f>
        <v>23.450000000000003</v>
      </c>
      <c r="Q8" s="27" t="str">
        <f>IFERROR("("&amp;ROUND(SUMIF(Reinvest[Date],M8,Reinvest[Net])/SUMIF(Reinvest[Date],M8,Reinvest[Risk]),2)*100&amp;"%)","")</f>
        <v>(23%)</v>
      </c>
      <c r="R8" s="28" t="s">
        <v>803</v>
      </c>
      <c r="S8" s="29" t="s">
        <v>804</v>
      </c>
      <c r="T8" s="16" t="str">
        <f>IFERROR(IF($S$2="All",COUNTIFS(Reinvest[Bet Type],R8,Reinvest[Result],"W")&amp;"-"&amp;COUNTIFS(Reinvest[Bet Type],R8,Reinvest[Result],"L")&amp;IF(COUNTIFS(Reinvest[Bet Type],R8,Reinvest[Result],"Push")&gt;0,"-"&amp;COUNTIFS(Reinvest[Bet Type],R8,Reinvest[Result],"Push"),"")&amp;" ("&amp;ROUND(COUNTIFS(Reinvest[Bet Type],R8,Reinvest[Result],"W")/(COUNTIFS(Reinvest[Bet Type],R8,Reinvest[Result],"W")+COUNTIFS(Reinvest[Bet Type],R8,Reinvest[Result],"L"))*100,1)&amp;"%)",COUNTIFS(Reinvest[Sport],$S$2,Reinvest[Bet Type],R8,Reinvest[Result],"W")&amp;"-"&amp;COUNTIFS(Reinvest[Sport],$S$2,Reinvest[Bet Type],R8,Reinvest[Result],"L")&amp;IF(COUNTIFS(Reinvest[Sport],$S$2,Reinvest[Bet Type],R8,Reinvest[Result],"Push")&gt;0,"-"&amp;COUNTIFS(Reinvest[Sport],$S$2,Reinvest[Bet Type],R8,Reinvest[Result],"Push"),"")&amp;" ("&amp;ROUND(COUNTIFS(Reinvest[Sport],$S$2,Reinvest[Bet Type],R8,Reinvest[Result],"W")/(COUNTIFS(Reinvest[Sport],$S$2,Reinvest[Bet Type],R8,Reinvest[Result],"W")+COUNTIFS(Reinvest[Sport],$S$2,Reinvest[Bet Type],R8,Reinvest[Result],"L"))*100,1)&amp;"%)"),"No Bets")</f>
        <v>55-26-3 (67.9%)</v>
      </c>
      <c r="U8" s="30">
        <f>IF($S$2="All",SUMIF(Reinvest[Bet Type],R8,Reinvest[Net]),SUMIFS(Reinvest[Net],Reinvest[Bet Type],R8,Reinvest[Sport],$S$2))</f>
        <v>57.780000000000022</v>
      </c>
      <c r="V8" s="31" t="str">
        <f>IF($S$2="All",IFERROR("("&amp;ROUND((SUMIF(Reinvest[Bet Type],R8,Reinvest[Net]))/SUMIF(Reinvest[Bet Type],R8,Reinvest[Risk]),2)*100&amp;"%)",""),IFERROR("("&amp;ROUND((SUMIFS(Reinvest[Net],Reinvest[Bet Type],R8,Reinvest[Sport],$S$2))/SUMIFS(Reinvest[Risk],Reinvest[Bet Type],R8,Reinvest[Sport],$S$2),2)*100&amp;"%)",""))</f>
        <v>(4%)</v>
      </c>
    </row>
    <row r="9" spans="1:26" x14ac:dyDescent="0.25">
      <c r="A9" s="13">
        <f t="shared" si="1"/>
        <v>1</v>
      </c>
      <c r="B9" s="17">
        <v>43662</v>
      </c>
      <c r="C9" s="17" t="s">
        <v>802</v>
      </c>
      <c r="D9" s="18" t="s">
        <v>1497</v>
      </c>
      <c r="E9" s="11" t="s">
        <v>897</v>
      </c>
      <c r="F9" s="19">
        <v>4.3600000000000003</v>
      </c>
      <c r="G9" s="37">
        <v>-120</v>
      </c>
      <c r="H9" s="21" t="s">
        <v>263</v>
      </c>
      <c r="I9" s="45">
        <f>IFERROR(ROUND(IF(Reinvest[[#This Row],[Result]]="L",0-Reinvest[[#This Row],[Risk]],IF(Reinvest[[#This Row],[Result]]="Push",0,IF(Reinvest[[#This Row],[Result]]="No Action",0,IF(Reinvest[[#This Row],[Result]]="W",IF(Reinvest[[#This Row],[Odds]]&gt;0,Reinvest[[#This Row],[Odds]]/100*Reinvest[[#This Row],[Risk]],(Reinvest[[#This Row],[Risk]]/Reinvest[[#This Row],[Odds]]*-100)),"")))),2),"")</f>
        <v>-4.3600000000000003</v>
      </c>
      <c r="J9" s="89" t="str">
        <f>IF(B9=B10,"",SUM($I$4:I9)/SUM($F$4:F9))</f>
        <v/>
      </c>
      <c r="K9"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9" s="11"/>
      <c r="M9" s="24">
        <f t="shared" si="0"/>
        <v>43675</v>
      </c>
      <c r="N9" s="1" t="str">
        <f>COUNTIFS(Reinvest[Date],M9,Reinvest[Result],"W")&amp;"-"&amp;COUNTIFS(Reinvest[Date],M9,Reinvest[Result],"L")&amp;IF(COUNTIFS(Reinvest[Date],M9,Reinvest[Result],"Push")&gt;0,"-"&amp;COUNTIFS(Reinvest[Date],M9,Reinvest[Result],"Push"),"")</f>
        <v>3-4</v>
      </c>
      <c r="O9" s="25">
        <f>IFERROR(COUNTIFS(Reinvest[Date],M9,Reinvest[Result],"W")/(COUNTIFS(Reinvest[Date],M9,Reinvest[Result],"W")+COUNTIFS(Reinvest[Date],M9,Reinvest[Result],"L")),"")</f>
        <v>0.42857142857142855</v>
      </c>
      <c r="P9" s="26">
        <f>SUMIF(Reinvest[Date],M9,Reinvest[Net])</f>
        <v>-5.4699999999999935</v>
      </c>
      <c r="Q9" s="27" t="str">
        <f>IFERROR("("&amp;ROUND(SUMIF(Reinvest[Date],M9,Reinvest[Net])/SUMIF(Reinvest[Date],M9,Reinvest[Risk]),2)*100&amp;"%)","")</f>
        <v>(-5%)</v>
      </c>
      <c r="R9" s="28" t="s">
        <v>805</v>
      </c>
      <c r="S9" s="29" t="s">
        <v>806</v>
      </c>
      <c r="T9" s="16" t="str">
        <f>IFERROR(IF($S$2="All",COUNTIFS(Reinvest[Bet Type],R9,Reinvest[Result],"W")&amp;"-"&amp;COUNTIFS(Reinvest[Bet Type],R9,Reinvest[Result],"L")&amp;IF(COUNTIFS(Reinvest[Bet Type],R9,Reinvest[Result],"Push")&gt;0,"-"&amp;COUNTIFS(Reinvest[Bet Type],R9,Reinvest[Result],"Push"),"")&amp;" ("&amp;ROUND(COUNTIFS(Reinvest[Bet Type],R9,Reinvest[Result],"W")/(COUNTIFS(Reinvest[Bet Type],R9,Reinvest[Result],"W")+COUNTIFS(Reinvest[Bet Type],R9,Reinvest[Result],"L"))*100,1)&amp;"%)",COUNTIFS(Reinvest[Sport],$S$2,Reinvest[Bet Type],R9,Reinvest[Result],"W")&amp;"-"&amp;COUNTIFS(Reinvest[Sport],$S$2,Reinvest[Bet Type],R9,Reinvest[Result],"L")&amp;IF(COUNTIFS(Reinvest[Sport],$S$2,Reinvest[Bet Type],R9,Reinvest[Result],"Push")&gt;0,"-"&amp;COUNTIFS(Reinvest[Sport],$S$2,Reinvest[Bet Type],R9,Reinvest[Result],"Push"),"")&amp;" ("&amp;ROUND(COUNTIFS(Reinvest[Sport],$S$2,Reinvest[Bet Type],R9,Reinvest[Result],"W")/(COUNTIFS(Reinvest[Sport],$S$2,Reinvest[Bet Type],R9,Reinvest[Result],"W")+COUNTIFS(Reinvest[Sport],$S$2,Reinvest[Bet Type],R9,Reinvest[Result],"L"))*100,1)&amp;"%)"),"No Bets")</f>
        <v>19-27 (41.3%)</v>
      </c>
      <c r="U9" s="30">
        <f>IF($S$2="All",SUMIF(Reinvest[Bet Type],R9,Reinvest[Net]),SUMIFS(Reinvest[Net],Reinvest[Bet Type],R9,Reinvest[Sport],$S$2))</f>
        <v>-97.63</v>
      </c>
      <c r="V9" s="31" t="str">
        <f>IF($S$2="All",IFERROR("("&amp;ROUND((SUMIF(Reinvest[Bet Type],R9,Reinvest[Net]))/SUMIF(Reinvest[Bet Type],R9,Reinvest[Risk]),2)*100&amp;"%)",""),IFERROR("("&amp;ROUND((SUMIFS(Reinvest[Net],Reinvest[Bet Type],R9,Reinvest[Sport],$S$2))/SUMIFS(Reinvest[Risk],Reinvest[Bet Type],R9,Reinvest[Sport],$S$2),2)*100&amp;"%)",""))</f>
        <v>(-15%)</v>
      </c>
    </row>
    <row r="10" spans="1:26" x14ac:dyDescent="0.25">
      <c r="A10" s="13">
        <f t="shared" si="1"/>
        <v>1</v>
      </c>
      <c r="B10" s="17">
        <v>43662</v>
      </c>
      <c r="C10" s="17" t="s">
        <v>802</v>
      </c>
      <c r="D10" s="18" t="s">
        <v>1498</v>
      </c>
      <c r="E10" s="11" t="s">
        <v>1343</v>
      </c>
      <c r="F10" s="19">
        <v>6.02</v>
      </c>
      <c r="G10" s="37">
        <v>-115</v>
      </c>
      <c r="H10" s="21" t="s">
        <v>262</v>
      </c>
      <c r="I10" s="45">
        <f>IFERROR(ROUND(IF(Reinvest[[#This Row],[Result]]="L",0-Reinvest[[#This Row],[Risk]],IF(Reinvest[[#This Row],[Result]]="Push",0,IF(Reinvest[[#This Row],[Result]]="No Action",0,IF(Reinvest[[#This Row],[Result]]="W",IF(Reinvest[[#This Row],[Odds]]&gt;0,Reinvest[[#This Row],[Odds]]/100*Reinvest[[#This Row],[Risk]],(Reinvest[[#This Row],[Risk]]/Reinvest[[#This Row],[Odds]]*-100)),"")))),2),"")</f>
        <v>5.23</v>
      </c>
      <c r="J10" s="89" t="str">
        <f>IF(B10=B11,"",SUM($I$4:I10)/SUM($F$4:F10))</f>
        <v/>
      </c>
      <c r="K10"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0" s="11"/>
      <c r="M10" s="24">
        <f t="shared" si="0"/>
        <v>43676</v>
      </c>
      <c r="N10" s="1" t="str">
        <f>COUNTIFS(Reinvest[Date],M10,Reinvest[Result],"W")&amp;"-"&amp;COUNTIFS(Reinvest[Date],M10,Reinvest[Result],"L")&amp;IF(COUNTIFS(Reinvest[Date],M10,Reinvest[Result],"Push")&gt;0,"-"&amp;COUNTIFS(Reinvest[Date],M10,Reinvest[Result],"Push"),"")</f>
        <v>9-2</v>
      </c>
      <c r="O10" s="25">
        <f>IFERROR(COUNTIFS(Reinvest[Date],M10,Reinvest[Result],"W")/(COUNTIFS(Reinvest[Date],M10,Reinvest[Result],"W")+COUNTIFS(Reinvest[Date],M10,Reinvest[Result],"L")),"")</f>
        <v>0.81818181818181823</v>
      </c>
      <c r="P10" s="26">
        <f>SUMIF(Reinvest[Date],M10,Reinvest[Net])</f>
        <v>43.029999999999994</v>
      </c>
      <c r="Q10" s="27" t="str">
        <f>IFERROR("("&amp;ROUND(SUMIF(Reinvest[Date],M10,Reinvest[Net])/SUMIF(Reinvest[Date],M10,Reinvest[Risk]),2)*100&amp;"%)","")</f>
        <v>(49%)</v>
      </c>
      <c r="R10" s="28" t="s">
        <v>807</v>
      </c>
      <c r="S10" s="29" t="s">
        <v>808</v>
      </c>
      <c r="T10" s="16" t="str">
        <f>IFERROR(IF($S$2="All",COUNTIFS(Reinvest[Bet Type],R10,Reinvest[Result],"W")&amp;"-"&amp;COUNTIFS(Reinvest[Bet Type],R10,Reinvest[Result],"L")&amp;IF(COUNTIFS(Reinvest[Bet Type],R10,Reinvest[Result],"Push")&gt;0,"-"&amp;COUNTIFS(Reinvest[Bet Type],R10,Reinvest[Result],"Push"),"")&amp;" ("&amp;ROUND(COUNTIFS(Reinvest[Bet Type],R10,Reinvest[Result],"W")/(COUNTIFS(Reinvest[Bet Type],R10,Reinvest[Result],"W")+COUNTIFS(Reinvest[Bet Type],R10,Reinvest[Result],"L"))*100,1)&amp;"%)",COUNTIFS(Reinvest[Sport],$S$2,Reinvest[Bet Type],R10,Reinvest[Result],"W")&amp;"-"&amp;COUNTIFS(Reinvest[Sport],$S$2,Reinvest[Bet Type],R10,Reinvest[Result],"L")&amp;IF(COUNTIFS(Reinvest[Sport],$S$2,Reinvest[Bet Type],R10,Reinvest[Result],"Push")&gt;0,"-"&amp;COUNTIFS(Reinvest[Sport],$S$2,Reinvest[Bet Type],R10,Reinvest[Result],"Push"),"")&amp;" ("&amp;ROUND(COUNTIFS(Reinvest[Sport],$S$2,Reinvest[Bet Type],R10,Reinvest[Result],"W")/(COUNTIFS(Reinvest[Sport],$S$2,Reinvest[Bet Type],R10,Reinvest[Result],"W")+COUNTIFS(Reinvest[Sport],$S$2,Reinvest[Bet Type],R10,Reinvest[Result],"L"))*100,1)&amp;"%)"),"No Bets")</f>
        <v>No Bets</v>
      </c>
      <c r="U10" s="30">
        <f>IF($S$2="All",SUMIF(Reinvest[Bet Type],R10,Reinvest[Net]),SUMIFS(Reinvest[Net],Reinvest[Bet Type],R10,Reinvest[Sport],$S$2))</f>
        <v>0</v>
      </c>
      <c r="V10" s="31" t="str">
        <f>IF($S$2="All",IFERROR("("&amp;ROUND((SUMIF(Reinvest[Bet Type],R10,Reinvest[Net]))/SUMIF(Reinvest[Bet Type],R10,Reinvest[Risk]),2)*100&amp;"%)",""),IFERROR("("&amp;ROUND((SUMIFS(Reinvest[Net],Reinvest[Bet Type],R10,Reinvest[Sport],$S$2))/SUMIFS(Reinvest[Risk],Reinvest[Bet Type],R10,Reinvest[Sport],$S$2),2)*100&amp;"%)",""))</f>
        <v/>
      </c>
    </row>
    <row r="11" spans="1:26" x14ac:dyDescent="0.25">
      <c r="A11" s="13">
        <f t="shared" si="1"/>
        <v>1</v>
      </c>
      <c r="B11" s="17">
        <v>43662</v>
      </c>
      <c r="C11" s="17" t="s">
        <v>802</v>
      </c>
      <c r="D11" s="18" t="s">
        <v>1491</v>
      </c>
      <c r="E11" s="11" t="s">
        <v>1209</v>
      </c>
      <c r="F11" s="19">
        <v>6.22</v>
      </c>
      <c r="G11" s="37">
        <v>-115</v>
      </c>
      <c r="H11" s="21" t="s">
        <v>263</v>
      </c>
      <c r="I11" s="45">
        <f>IFERROR(ROUND(IF(Reinvest[[#This Row],[Result]]="L",0-Reinvest[[#This Row],[Risk]],IF(Reinvest[[#This Row],[Result]]="Push",0,IF(Reinvest[[#This Row],[Result]]="No Action",0,IF(Reinvest[[#This Row],[Result]]="W",IF(Reinvest[[#This Row],[Odds]]&gt;0,Reinvest[[#This Row],[Odds]]/100*Reinvest[[#This Row],[Risk]],(Reinvest[[#This Row],[Risk]]/Reinvest[[#This Row],[Odds]]*-100)),"")))),2),"")</f>
        <v>-6.22</v>
      </c>
      <c r="J11" s="89" t="str">
        <f>IF(B11=B12,"",SUM($I$4:I11)/SUM($F$4:F11))</f>
        <v/>
      </c>
      <c r="K11"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1" s="11"/>
      <c r="M11" s="24">
        <f t="shared" si="0"/>
        <v>43677</v>
      </c>
      <c r="N11" s="1" t="str">
        <f>COUNTIFS(Reinvest[Date],M11,Reinvest[Result],"W")&amp;"-"&amp;COUNTIFS(Reinvest[Date],M11,Reinvest[Result],"L")&amp;IF(COUNTIFS(Reinvest[Date],M11,Reinvest[Result],"Push")&gt;0,"-"&amp;COUNTIFS(Reinvest[Date],M11,Reinvest[Result],"Push"),"")</f>
        <v>5-6</v>
      </c>
      <c r="O11" s="25">
        <f>IFERROR(COUNTIFS(Reinvest[Date],M11,Reinvest[Result],"W")/(COUNTIFS(Reinvest[Date],M11,Reinvest[Result],"W")+COUNTIFS(Reinvest[Date],M11,Reinvest[Result],"L")),"")</f>
        <v>0.45454545454545453</v>
      </c>
      <c r="P11" s="26">
        <f>SUMIF(Reinvest[Date],M11,Reinvest[Net])</f>
        <v>-45.899999999999991</v>
      </c>
      <c r="Q11" s="27" t="str">
        <f>IFERROR("("&amp;ROUND(SUMIF(Reinvest[Date],M11,Reinvest[Net])/SUMIF(Reinvest[Date],M11,Reinvest[Risk]),2)*100&amp;"%)","")</f>
        <v>(-23%)</v>
      </c>
      <c r="Z11" s="32"/>
    </row>
    <row r="12" spans="1:26" x14ac:dyDescent="0.25">
      <c r="A12" s="13">
        <f t="shared" si="1"/>
        <v>1</v>
      </c>
      <c r="B12" s="17">
        <v>43662</v>
      </c>
      <c r="C12" s="17" t="s">
        <v>802</v>
      </c>
      <c r="D12" s="18" t="s">
        <v>1499</v>
      </c>
      <c r="E12" s="11" t="s">
        <v>880</v>
      </c>
      <c r="F12" s="19">
        <v>5.33</v>
      </c>
      <c r="G12" s="37">
        <v>-115</v>
      </c>
      <c r="H12" s="21" t="s">
        <v>263</v>
      </c>
      <c r="I12" s="45">
        <f>IFERROR(ROUND(IF(Reinvest[[#This Row],[Result]]="L",0-Reinvest[[#This Row],[Risk]],IF(Reinvest[[#This Row],[Result]]="Push",0,IF(Reinvest[[#This Row],[Result]]="No Action",0,IF(Reinvest[[#This Row],[Result]]="W",IF(Reinvest[[#This Row],[Odds]]&gt;0,Reinvest[[#This Row],[Odds]]/100*Reinvest[[#This Row],[Risk]],(Reinvest[[#This Row],[Risk]]/Reinvest[[#This Row],[Odds]]*-100)),"")))),2),"")</f>
        <v>-5.33</v>
      </c>
      <c r="J12" s="89" t="str">
        <f>IF(B12=B13,"",SUM($I$4:I12)/SUM($F$4:F12))</f>
        <v/>
      </c>
      <c r="K12"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2" s="11"/>
      <c r="M12" s="24">
        <f t="shared" si="0"/>
        <v>43678</v>
      </c>
      <c r="N12" s="1" t="str">
        <f>COUNTIFS(Reinvest[Date],M12,Reinvest[Result],"W")&amp;"-"&amp;COUNTIFS(Reinvest[Date],M12,Reinvest[Result],"L")&amp;IF(COUNTIFS(Reinvest[Date],M12,Reinvest[Result],"Push")&gt;0,"-"&amp;COUNTIFS(Reinvest[Date],M12,Reinvest[Result],"Push"),"")</f>
        <v>2-4</v>
      </c>
      <c r="O12" s="25">
        <f>IFERROR(COUNTIFS(Reinvest[Date],M12,Reinvest[Result],"W")/(COUNTIFS(Reinvest[Date],M12,Reinvest[Result],"W")+COUNTIFS(Reinvest[Date],M12,Reinvest[Result],"L")),"")</f>
        <v>0.33333333333333331</v>
      </c>
      <c r="P12" s="26">
        <f>SUMIF(Reinvest[Date],M12,Reinvest[Net])</f>
        <v>-56.349999999999994</v>
      </c>
      <c r="Q12" s="27" t="str">
        <f>IFERROR("("&amp;ROUND(SUMIF(Reinvest[Date],M12,Reinvest[Net])/SUMIF(Reinvest[Date],M12,Reinvest[Risk]),2)*100&amp;"%)","")</f>
        <v>(-47%)</v>
      </c>
      <c r="Z12" s="32"/>
    </row>
    <row r="13" spans="1:26" x14ac:dyDescent="0.25">
      <c r="A13" s="13">
        <f t="shared" si="1"/>
        <v>1</v>
      </c>
      <c r="B13" s="17">
        <v>43662</v>
      </c>
      <c r="C13" s="17" t="s">
        <v>802</v>
      </c>
      <c r="D13" s="18" t="s">
        <v>1500</v>
      </c>
      <c r="E13" s="11" t="s">
        <v>1343</v>
      </c>
      <c r="F13" s="19">
        <v>6.34</v>
      </c>
      <c r="G13" s="37">
        <v>-115</v>
      </c>
      <c r="H13" s="21" t="s">
        <v>263</v>
      </c>
      <c r="I13" s="45">
        <f>IFERROR(ROUND(IF(Reinvest[[#This Row],[Result]]="L",0-Reinvest[[#This Row],[Risk]],IF(Reinvest[[#This Row],[Result]]="Push",0,IF(Reinvest[[#This Row],[Result]]="No Action",0,IF(Reinvest[[#This Row],[Result]]="W",IF(Reinvest[[#This Row],[Odds]]&gt;0,Reinvest[[#This Row],[Odds]]/100*Reinvest[[#This Row],[Risk]],(Reinvest[[#This Row],[Risk]]/Reinvest[[#This Row],[Odds]]*-100)),"")))),2),"")</f>
        <v>-6.34</v>
      </c>
      <c r="J13" s="89" t="str">
        <f>IF(B13=B14,"",SUM($I$4:I13)/SUM($F$4:F13))</f>
        <v/>
      </c>
      <c r="K13"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3" s="11"/>
      <c r="M13" s="24">
        <f t="shared" si="0"/>
        <v>43679</v>
      </c>
      <c r="N13" s="1" t="str">
        <f>COUNTIFS(Reinvest[Date],M13,Reinvest[Result],"W")&amp;"-"&amp;COUNTIFS(Reinvest[Date],M13,Reinvest[Result],"L")&amp;IF(COUNTIFS(Reinvest[Date],M13,Reinvest[Result],"Push")&gt;0,"-"&amp;COUNTIFS(Reinvest[Date],M13,Reinvest[Result],"Push"),"")</f>
        <v>5-1</v>
      </c>
      <c r="O13" s="25">
        <f>IFERROR(COUNTIFS(Reinvest[Date],M13,Reinvest[Result],"W")/(COUNTIFS(Reinvest[Date],M13,Reinvest[Result],"W")+COUNTIFS(Reinvest[Date],M13,Reinvest[Result],"L")),"")</f>
        <v>0.83333333333333337</v>
      </c>
      <c r="P13" s="26">
        <f>SUMIF(Reinvest[Date],M13,Reinvest[Net])</f>
        <v>48.730000000000004</v>
      </c>
      <c r="Q13" s="27" t="str">
        <f>IFERROR("("&amp;ROUND(SUMIF(Reinvest[Date],M13,Reinvest[Net])/SUMIF(Reinvest[Date],M13,Reinvest[Risk]),2)*100&amp;"%)","")</f>
        <v>(41%)</v>
      </c>
      <c r="Z13" s="32"/>
    </row>
    <row r="14" spans="1:26" x14ac:dyDescent="0.25">
      <c r="A14" s="13">
        <f t="shared" si="1"/>
        <v>1</v>
      </c>
      <c r="B14" s="17">
        <v>43662</v>
      </c>
      <c r="C14" s="17" t="s">
        <v>802</v>
      </c>
      <c r="D14" s="18" t="s">
        <v>1493</v>
      </c>
      <c r="E14" s="11" t="s">
        <v>879</v>
      </c>
      <c r="F14" s="19">
        <v>5.55</v>
      </c>
      <c r="G14" s="37">
        <v>-105</v>
      </c>
      <c r="H14" s="21" t="s">
        <v>262</v>
      </c>
      <c r="I14" s="45">
        <f>IFERROR(ROUND(IF(Reinvest[[#This Row],[Result]]="L",0-Reinvest[[#This Row],[Risk]],IF(Reinvest[[#This Row],[Result]]="Push",0,IF(Reinvest[[#This Row],[Result]]="No Action",0,IF(Reinvest[[#This Row],[Result]]="W",IF(Reinvest[[#This Row],[Odds]]&gt;0,Reinvest[[#This Row],[Odds]]/100*Reinvest[[#This Row],[Risk]],(Reinvest[[#This Row],[Risk]]/Reinvest[[#This Row],[Odds]]*-100)),"")))),2),"")</f>
        <v>5.29</v>
      </c>
      <c r="J14" s="89" t="str">
        <f>IF(B14=B15,"",SUM($I$4:I14)/SUM($F$4:F14))</f>
        <v/>
      </c>
      <c r="K1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4" s="11"/>
      <c r="M14" s="24">
        <f t="shared" si="0"/>
        <v>43680</v>
      </c>
      <c r="N14" s="1" t="str">
        <f>COUNTIFS(Reinvest[Date],M14,Reinvest[Result],"W")&amp;"-"&amp;COUNTIFS(Reinvest[Date],M14,Reinvest[Result],"L")&amp;IF(COUNTIFS(Reinvest[Date],M14,Reinvest[Result],"Push")&gt;0,"-"&amp;COUNTIFS(Reinvest[Date],M14,Reinvest[Result],"Push"),"")</f>
        <v>6-0</v>
      </c>
      <c r="O14" s="25">
        <f>IFERROR(COUNTIFS(Reinvest[Date],M14,Reinvest[Result],"W")/(COUNTIFS(Reinvest[Date],M14,Reinvest[Result],"W")+COUNTIFS(Reinvest[Date],M14,Reinvest[Result],"L")),"")</f>
        <v>1</v>
      </c>
      <c r="P14" s="26">
        <f>SUMIF(Reinvest[Date],M14,Reinvest[Net])</f>
        <v>84.86</v>
      </c>
      <c r="Q14" s="27" t="str">
        <f>IFERROR("("&amp;ROUND(SUMIF(Reinvest[Date],M14,Reinvest[Net])/SUMIF(Reinvest[Date],M14,Reinvest[Risk]),2)*100&amp;"%)","")</f>
        <v>(71%)</v>
      </c>
      <c r="S14" s="29" t="s">
        <v>782</v>
      </c>
      <c r="T14" s="55">
        <f ca="1">SUMIF(Reinvest[Date],"&lt;"&amp;TODAY(),Reinvest[Risk])</f>
        <v>3407.3599999999988</v>
      </c>
      <c r="Z14" s="32"/>
    </row>
    <row r="15" spans="1:26" x14ac:dyDescent="0.25">
      <c r="A15" s="13">
        <f t="shared" si="1"/>
        <v>1</v>
      </c>
      <c r="B15" s="17">
        <v>43662</v>
      </c>
      <c r="C15" s="17" t="s">
        <v>802</v>
      </c>
      <c r="D15" s="18" t="s">
        <v>1494</v>
      </c>
      <c r="E15" s="11" t="s">
        <v>1501</v>
      </c>
      <c r="F15" s="19">
        <v>5.27</v>
      </c>
      <c r="G15" s="37">
        <v>-110</v>
      </c>
      <c r="H15" s="21" t="s">
        <v>263</v>
      </c>
      <c r="I15" s="45">
        <f>IFERROR(ROUND(IF(Reinvest[[#This Row],[Result]]="L",0-Reinvest[[#This Row],[Risk]],IF(Reinvest[[#This Row],[Result]]="Push",0,IF(Reinvest[[#This Row],[Result]]="No Action",0,IF(Reinvest[[#This Row],[Result]]="W",IF(Reinvest[[#This Row],[Odds]]&gt;0,Reinvest[[#This Row],[Odds]]/100*Reinvest[[#This Row],[Risk]],(Reinvest[[#This Row],[Risk]]/Reinvest[[#This Row],[Odds]]*-100)),"")))),2),"")</f>
        <v>-5.27</v>
      </c>
      <c r="J15" s="89" t="str">
        <f>IF(B15=B16,"",SUM($I$4:I15)/SUM($F$4:F15))</f>
        <v/>
      </c>
      <c r="K15"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5" s="11"/>
      <c r="M15" s="24">
        <f t="shared" si="0"/>
        <v>43681</v>
      </c>
      <c r="N15" s="1" t="str">
        <f>COUNTIFS(Reinvest[Date],M15,Reinvest[Result],"W")&amp;"-"&amp;COUNTIFS(Reinvest[Date],M15,Reinvest[Result],"L")&amp;IF(COUNTIFS(Reinvest[Date],M15,Reinvest[Result],"Push")&gt;0,"-"&amp;COUNTIFS(Reinvest[Date],M15,Reinvest[Result],"Push"),"")</f>
        <v>4-1</v>
      </c>
      <c r="O15" s="25">
        <f>IFERROR(COUNTIFS(Reinvest[Date],M15,Reinvest[Result],"W")/(COUNTIFS(Reinvest[Date],M15,Reinvest[Result],"W")+COUNTIFS(Reinvest[Date],M15,Reinvest[Result],"L")),"")</f>
        <v>0.8</v>
      </c>
      <c r="P15" s="26">
        <f>SUMIF(Reinvest[Date],M15,Reinvest[Net])</f>
        <v>40.72</v>
      </c>
      <c r="Q15" s="27" t="str">
        <f>IFERROR("("&amp;ROUND(SUMIF(Reinvest[Date],M15,Reinvest[Net])/SUMIF(Reinvest[Date],M15,Reinvest[Risk]),2)*100&amp;"%)","")</f>
        <v>(41%)</v>
      </c>
      <c r="S15" s="29" t="s">
        <v>882</v>
      </c>
      <c r="T15" s="56">
        <f>SUM(Reinvest[Net])</f>
        <v>-39.929999999999943</v>
      </c>
    </row>
    <row r="16" spans="1:26" x14ac:dyDescent="0.25">
      <c r="A16" s="13">
        <f t="shared" si="1"/>
        <v>1</v>
      </c>
      <c r="B16" s="17">
        <v>43662</v>
      </c>
      <c r="C16" s="17" t="s">
        <v>802</v>
      </c>
      <c r="D16" s="18" t="s">
        <v>1502</v>
      </c>
      <c r="E16" s="11" t="s">
        <v>879</v>
      </c>
      <c r="F16" s="19">
        <v>5.93</v>
      </c>
      <c r="G16" s="37">
        <v>-110</v>
      </c>
      <c r="H16" s="21" t="s">
        <v>262</v>
      </c>
      <c r="I16" s="45">
        <f>IFERROR(ROUND(IF(Reinvest[[#This Row],[Result]]="L",0-Reinvest[[#This Row],[Risk]],IF(Reinvest[[#This Row],[Result]]="Push",0,IF(Reinvest[[#This Row],[Result]]="No Action",0,IF(Reinvest[[#This Row],[Result]]="W",IF(Reinvest[[#This Row],[Odds]]&gt;0,Reinvest[[#This Row],[Odds]]/100*Reinvest[[#This Row],[Risk]],(Reinvest[[#This Row],[Risk]]/Reinvest[[#This Row],[Odds]]*-100)),"")))),2),"")</f>
        <v>5.39</v>
      </c>
      <c r="J16" s="89" t="str">
        <f>IF(B16=B17,"",SUM($I$4:I16)/SUM($F$4:F16))</f>
        <v/>
      </c>
      <c r="K16"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6" s="11"/>
      <c r="M16" s="24">
        <f t="shared" si="0"/>
        <v>43682</v>
      </c>
      <c r="N16" s="1" t="str">
        <f>COUNTIFS(Reinvest[Date],M16,Reinvest[Result],"W")&amp;"-"&amp;COUNTIFS(Reinvest[Date],M16,Reinvest[Result],"L")&amp;IF(COUNTIFS(Reinvest[Date],M16,Reinvest[Result],"Push")&gt;0,"-"&amp;COUNTIFS(Reinvest[Date],M16,Reinvest[Result],"Push"),"")</f>
        <v>4-4</v>
      </c>
      <c r="O16" s="25">
        <f>IFERROR(COUNTIFS(Reinvest[Date],M16,Reinvest[Result],"W")/(COUNTIFS(Reinvest[Date],M16,Reinvest[Result],"W")+COUNTIFS(Reinvest[Date],M16,Reinvest[Result],"L")),"")</f>
        <v>0.5</v>
      </c>
      <c r="P16" s="26">
        <f>SUMIF(Reinvest[Date],M16,Reinvest[Net])</f>
        <v>-29.53</v>
      </c>
      <c r="Q16" s="27" t="str">
        <f>IFERROR("("&amp;ROUND(SUMIF(Reinvest[Date],M16,Reinvest[Net])/SUMIF(Reinvest[Date],M16,Reinvest[Risk]),2)*100&amp;"%)","")</f>
        <v>(-18%)</v>
      </c>
      <c r="S16" s="29" t="s">
        <v>883</v>
      </c>
      <c r="T16" s="57">
        <f ca="1">T15/T14</f>
        <v>-1.1718749999999988E-2</v>
      </c>
    </row>
    <row r="17" spans="1:20" x14ac:dyDescent="0.25">
      <c r="A17" s="13">
        <f t="shared" si="1"/>
        <v>1</v>
      </c>
      <c r="B17" s="17">
        <v>43662</v>
      </c>
      <c r="C17" s="17" t="s">
        <v>802</v>
      </c>
      <c r="D17" s="18" t="s">
        <v>1495</v>
      </c>
      <c r="E17" s="11" t="s">
        <v>1209</v>
      </c>
      <c r="F17" s="19">
        <v>6.4</v>
      </c>
      <c r="G17" s="37">
        <v>-105</v>
      </c>
      <c r="H17" s="21" t="s">
        <v>263</v>
      </c>
      <c r="I17" s="45">
        <f>IFERROR(ROUND(IF(Reinvest[[#This Row],[Result]]="L",0-Reinvest[[#This Row],[Risk]],IF(Reinvest[[#This Row],[Result]]="Push",0,IF(Reinvest[[#This Row],[Result]]="No Action",0,IF(Reinvest[[#This Row],[Result]]="W",IF(Reinvest[[#This Row],[Odds]]&gt;0,Reinvest[[#This Row],[Odds]]/100*Reinvest[[#This Row],[Risk]],(Reinvest[[#This Row],[Risk]]/Reinvest[[#This Row],[Odds]]*-100)),"")))),2),"")</f>
        <v>-6.4</v>
      </c>
      <c r="J17" s="89" t="str">
        <f>IF(B17=B18,"",SUM($I$4:I17)/SUM($F$4:F17))</f>
        <v/>
      </c>
      <c r="K17"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7" s="11"/>
      <c r="M17" s="24">
        <f t="shared" si="0"/>
        <v>43683</v>
      </c>
      <c r="N17" s="1" t="str">
        <f>COUNTIFS(Reinvest[Date],M17,Reinvest[Result],"W")&amp;"-"&amp;COUNTIFS(Reinvest[Date],M17,Reinvest[Result],"L")&amp;IF(COUNTIFS(Reinvest[Date],M17,Reinvest[Result],"Push")&gt;0,"-"&amp;COUNTIFS(Reinvest[Date],M17,Reinvest[Result],"Push"),"")</f>
        <v>5-6-1</v>
      </c>
      <c r="O17" s="25">
        <f>IFERROR(COUNTIFS(Reinvest[Date],M17,Reinvest[Result],"W")/(COUNTIFS(Reinvest[Date],M17,Reinvest[Result],"W")+COUNTIFS(Reinvest[Date],M17,Reinvest[Result],"L")),"")</f>
        <v>0.45454545454545453</v>
      </c>
      <c r="P17" s="26">
        <f>SUMIF(Reinvest[Date],M17,Reinvest[Net])</f>
        <v>-53.899999999999977</v>
      </c>
      <c r="Q17" s="27" t="str">
        <f>IFERROR("("&amp;ROUND(SUMIF(Reinvest[Date],M17,Reinvest[Net])/SUMIF(Reinvest[Date],M17,Reinvest[Risk]),2)*100&amp;"%)","")</f>
        <v>(-22%)</v>
      </c>
      <c r="S17" s="29" t="s">
        <v>793</v>
      </c>
      <c r="T17" s="58" t="str">
        <f>COUNTIFS(Reinvest[Result],"W")&amp;"-"&amp;COUNTIFS(Reinvest[Result],"L")&amp;IF(COUNTIFS(Reinvest[Result],"Push")&gt;0,"-"&amp;COUNTIFS(Reinvest[Result],"Push"),"")</f>
        <v>114-88-4</v>
      </c>
    </row>
    <row r="18" spans="1:20" x14ac:dyDescent="0.25">
      <c r="A18" s="13">
        <f t="shared" si="1"/>
        <v>1</v>
      </c>
      <c r="B18" s="17">
        <v>43662</v>
      </c>
      <c r="C18" s="17" t="s">
        <v>802</v>
      </c>
      <c r="D18" s="18" t="s">
        <v>1503</v>
      </c>
      <c r="E18" s="11" t="s">
        <v>879</v>
      </c>
      <c r="F18" s="19">
        <v>5.52</v>
      </c>
      <c r="G18" s="37">
        <v>-115</v>
      </c>
      <c r="H18" s="21" t="s">
        <v>262</v>
      </c>
      <c r="I18" s="45">
        <f>IFERROR(ROUND(IF(Reinvest[[#This Row],[Result]]="L",0-Reinvest[[#This Row],[Risk]],IF(Reinvest[[#This Row],[Result]]="Push",0,IF(Reinvest[[#This Row],[Result]]="No Action",0,IF(Reinvest[[#This Row],[Result]]="W",IF(Reinvest[[#This Row],[Odds]]&gt;0,Reinvest[[#This Row],[Odds]]/100*Reinvest[[#This Row],[Risk]],(Reinvest[[#This Row],[Risk]]/Reinvest[[#This Row],[Odds]]*-100)),"")))),2),"")</f>
        <v>4.8</v>
      </c>
      <c r="J18" s="89" t="str">
        <f>IF(B18=B19,"",SUM($I$4:I18)/SUM($F$4:F18))</f>
        <v/>
      </c>
      <c r="K18"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8" s="11"/>
      <c r="M18" s="24">
        <f t="shared" si="0"/>
        <v>43684</v>
      </c>
      <c r="N18" s="1" t="str">
        <f>COUNTIFS(Reinvest[Date],M18,Reinvest[Result],"W")&amp;"-"&amp;COUNTIFS(Reinvest[Date],M18,Reinvest[Result],"L")&amp;IF(COUNTIFS(Reinvest[Date],M18,Reinvest[Result],"Push")&gt;0,"-"&amp;COUNTIFS(Reinvest[Date],M18,Reinvest[Result],"Push"),"")</f>
        <v>4-6-1</v>
      </c>
      <c r="O18" s="25">
        <f>IFERROR(COUNTIFS(Reinvest[Date],M18,Reinvest[Result],"W")/(COUNTIFS(Reinvest[Date],M18,Reinvest[Result],"W")+COUNTIFS(Reinvest[Date],M18,Reinvest[Result],"L")),"")</f>
        <v>0.4</v>
      </c>
      <c r="P18" s="26">
        <f>SUMIF(Reinvest[Date],M18,Reinvest[Net])</f>
        <v>-70.450000000000017</v>
      </c>
      <c r="Q18" s="27" t="str">
        <f>IFERROR("("&amp;ROUND(SUMIF(Reinvest[Date],M18,Reinvest[Net])/SUMIF(Reinvest[Date],M18,Reinvest[Risk]),2)*100&amp;"%)","")</f>
        <v>(-32%)</v>
      </c>
      <c r="S18" s="29" t="s">
        <v>884</v>
      </c>
      <c r="T18" s="59">
        <f>COUNTIFS(Reinvest[Result],"W")/(COUNTIFS(Reinvest[Result],"L")+COUNTIFS(Reinvest[Result],"W"))</f>
        <v>0.5643564356435643</v>
      </c>
    </row>
    <row r="19" spans="1:20" x14ac:dyDescent="0.25">
      <c r="A19" s="13">
        <f t="shared" si="1"/>
        <v>1</v>
      </c>
      <c r="B19" s="17">
        <v>43662</v>
      </c>
      <c r="C19" s="17" t="s">
        <v>802</v>
      </c>
      <c r="D19" s="18" t="s">
        <v>1504</v>
      </c>
      <c r="E19" s="11" t="s">
        <v>879</v>
      </c>
      <c r="F19" s="19">
        <v>4.96</v>
      </c>
      <c r="G19" s="37">
        <v>-105</v>
      </c>
      <c r="H19" s="21" t="s">
        <v>263</v>
      </c>
      <c r="I19" s="45">
        <f>IFERROR(ROUND(IF(Reinvest[[#This Row],[Result]]="L",0-Reinvest[[#This Row],[Risk]],IF(Reinvest[[#This Row],[Result]]="Push",0,IF(Reinvest[[#This Row],[Result]]="No Action",0,IF(Reinvest[[#This Row],[Result]]="W",IF(Reinvest[[#This Row],[Odds]]&gt;0,Reinvest[[#This Row],[Odds]]/100*Reinvest[[#This Row],[Risk]],(Reinvest[[#This Row],[Risk]]/Reinvest[[#This Row],[Odds]]*-100)),"")))),2),"")</f>
        <v>-4.96</v>
      </c>
      <c r="J19" s="89" t="str">
        <f>IF(B19=B20,"",SUM($I$4:I19)/SUM($F$4:F19))</f>
        <v/>
      </c>
      <c r="K19"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9" s="36"/>
      <c r="M19" s="24">
        <f t="shared" si="0"/>
        <v>43685</v>
      </c>
      <c r="N19" s="1" t="str">
        <f>COUNTIFS(Reinvest[Date],M19,Reinvest[Result],"W")&amp;"-"&amp;COUNTIFS(Reinvest[Date],M19,Reinvest[Result],"L")&amp;IF(COUNTIFS(Reinvest[Date],M19,Reinvest[Result],"Push")&gt;0,"-"&amp;COUNTIFS(Reinvest[Date],M19,Reinvest[Result],"Push"),"")</f>
        <v>3-5</v>
      </c>
      <c r="O19" s="25">
        <f>IFERROR(COUNTIFS(Reinvest[Date],M19,Reinvest[Result],"W")/(COUNTIFS(Reinvest[Date],M19,Reinvest[Result],"W")+COUNTIFS(Reinvest[Date],M19,Reinvest[Result],"L")),"")</f>
        <v>0.375</v>
      </c>
      <c r="P19" s="26">
        <f>SUMIF(Reinvest[Date],M19,Reinvest[Net])</f>
        <v>-47.769999999999989</v>
      </c>
      <c r="Q19" s="27" t="str">
        <f>IFERROR("("&amp;ROUND(SUMIF(Reinvest[Date],M19,Reinvest[Net])/SUMIF(Reinvest[Date],M19,Reinvest[Risk]),2)*100&amp;"%)","")</f>
        <v>(-30%)</v>
      </c>
      <c r="S19" s="33"/>
      <c r="T19" s="34"/>
    </row>
    <row r="20" spans="1:20" x14ac:dyDescent="0.25">
      <c r="A20" s="13">
        <f t="shared" si="1"/>
        <v>1</v>
      </c>
      <c r="B20" s="17">
        <v>43662</v>
      </c>
      <c r="C20" s="17" t="s">
        <v>802</v>
      </c>
      <c r="D20" s="18" t="s">
        <v>1214</v>
      </c>
      <c r="E20" s="11" t="s">
        <v>933</v>
      </c>
      <c r="F20" s="19">
        <v>4.99</v>
      </c>
      <c r="G20" s="37">
        <v>-115</v>
      </c>
      <c r="H20" s="21" t="s">
        <v>262</v>
      </c>
      <c r="I20" s="45">
        <f>IFERROR(ROUND(IF(Reinvest[[#This Row],[Result]]="L",0-Reinvest[[#This Row],[Risk]],IF(Reinvest[[#This Row],[Result]]="Push",0,IF(Reinvest[[#This Row],[Result]]="No Action",0,IF(Reinvest[[#This Row],[Result]]="W",IF(Reinvest[[#This Row],[Odds]]&gt;0,Reinvest[[#This Row],[Odds]]/100*Reinvest[[#This Row],[Risk]],(Reinvest[[#This Row],[Risk]]/Reinvest[[#This Row],[Odds]]*-100)),"")))),2),"")</f>
        <v>4.34</v>
      </c>
      <c r="J20" s="89" t="str">
        <f>IF(B20=B21,"",SUM($I$4:I20)/SUM($F$4:F20))</f>
        <v/>
      </c>
      <c r="K20"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20" s="36"/>
      <c r="M20" s="24">
        <f t="shared" si="0"/>
        <v>43703</v>
      </c>
      <c r="N20" s="1" t="str">
        <f>COUNTIFS(Reinvest[Date],M20,Reinvest[Result],"W")&amp;"-"&amp;COUNTIFS(Reinvest[Date],M20,Reinvest[Result],"L")&amp;IF(COUNTIFS(Reinvest[Date],M20,Reinvest[Result],"Push")&gt;0,"-"&amp;COUNTIFS(Reinvest[Date],M20,Reinvest[Result],"Push"),"")</f>
        <v>3-1</v>
      </c>
      <c r="O20" s="25">
        <f>IFERROR(COUNTIFS(Reinvest[Date],M20,Reinvest[Result],"W")/(COUNTIFS(Reinvest[Date],M20,Reinvest[Result],"W")+COUNTIFS(Reinvest[Date],M20,Reinvest[Result],"L")),"")</f>
        <v>0.75</v>
      </c>
      <c r="P20" s="26">
        <f>SUMIF(Reinvest[Date],M20,Reinvest[Net])</f>
        <v>36.5</v>
      </c>
      <c r="Q20" s="27" t="str">
        <f>IFERROR("("&amp;ROUND(SUMIF(Reinvest[Date],M20,Reinvest[Net])/SUMIF(Reinvest[Date],M20,Reinvest[Risk]),2)*100&amp;"%)","")</f>
        <v>(46%)</v>
      </c>
      <c r="S20" s="33"/>
    </row>
    <row r="21" spans="1:20" x14ac:dyDescent="0.25">
      <c r="A21" s="13">
        <f t="shared" si="1"/>
        <v>1</v>
      </c>
      <c r="B21" s="17">
        <v>43662</v>
      </c>
      <c r="C21" s="17" t="s">
        <v>802</v>
      </c>
      <c r="D21" s="18" t="s">
        <v>1186</v>
      </c>
      <c r="E21" s="11" t="s">
        <v>1505</v>
      </c>
      <c r="F21" s="19">
        <v>6.54</v>
      </c>
      <c r="G21" s="37">
        <v>-110</v>
      </c>
      <c r="H21" s="21" t="s">
        <v>262</v>
      </c>
      <c r="I21" s="45">
        <f>IFERROR(ROUND(IF(Reinvest[[#This Row],[Result]]="L",0-Reinvest[[#This Row],[Risk]],IF(Reinvest[[#This Row],[Result]]="Push",0,IF(Reinvest[[#This Row],[Result]]="No Action",0,IF(Reinvest[[#This Row],[Result]]="W",IF(Reinvest[[#This Row],[Odds]]&gt;0,Reinvest[[#This Row],[Odds]]/100*Reinvest[[#This Row],[Risk]],(Reinvest[[#This Row],[Risk]]/Reinvest[[#This Row],[Odds]]*-100)),"")))),2),"")</f>
        <v>5.95</v>
      </c>
      <c r="J21" s="89" t="str">
        <f>IF(B21=B22,"",SUM($I$4:I21)/SUM($F$4:F21))</f>
        <v/>
      </c>
      <c r="K21"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21" s="36"/>
      <c r="M21" s="24">
        <f t="shared" si="0"/>
        <v>43704</v>
      </c>
      <c r="N21" s="1" t="str">
        <f>COUNTIFS(Reinvest[Date],M21,Reinvest[Result],"W")&amp;"-"&amp;COUNTIFS(Reinvest[Date],M21,Reinvest[Result],"L")&amp;IF(COUNTIFS(Reinvest[Date],M21,Reinvest[Result],"Push")&gt;0,"-"&amp;COUNTIFS(Reinvest[Date],M21,Reinvest[Result],"Push"),"")</f>
        <v>8-4</v>
      </c>
      <c r="O21" s="25">
        <f>IFERROR(COUNTIFS(Reinvest[Date],M21,Reinvest[Result],"W")/(COUNTIFS(Reinvest[Date],M21,Reinvest[Result],"W")+COUNTIFS(Reinvest[Date],M21,Reinvest[Result],"L")),"")</f>
        <v>0.66666666666666663</v>
      </c>
      <c r="P21" s="26">
        <f>SUMIF(Reinvest[Date],M21,Reinvest[Net])</f>
        <v>53.149999999999991</v>
      </c>
      <c r="Q21" s="27" t="str">
        <f>IFERROR("("&amp;ROUND(SUMIF(Reinvest[Date],M21,Reinvest[Net])/SUMIF(Reinvest[Date],M21,Reinvest[Risk]),2)*100&amp;"%)","")</f>
        <v>(22%)</v>
      </c>
    </row>
    <row r="22" spans="1:20" x14ac:dyDescent="0.25">
      <c r="A22" s="13">
        <f t="shared" si="1"/>
        <v>1</v>
      </c>
      <c r="B22" s="17">
        <v>43662</v>
      </c>
      <c r="C22" s="17" t="s">
        <v>802</v>
      </c>
      <c r="D22" s="18" t="s">
        <v>1497</v>
      </c>
      <c r="E22" s="11" t="s">
        <v>1209</v>
      </c>
      <c r="F22" s="19">
        <v>5.61</v>
      </c>
      <c r="G22" s="37">
        <v>-105</v>
      </c>
      <c r="H22" s="21" t="s">
        <v>262</v>
      </c>
      <c r="I22" s="45">
        <f>IFERROR(ROUND(IF(Reinvest[[#This Row],[Result]]="L",0-Reinvest[[#This Row],[Risk]],IF(Reinvest[[#This Row],[Result]]="Push",0,IF(Reinvest[[#This Row],[Result]]="No Action",0,IF(Reinvest[[#This Row],[Result]]="W",IF(Reinvest[[#This Row],[Odds]]&gt;0,Reinvest[[#This Row],[Odds]]/100*Reinvest[[#This Row],[Risk]],(Reinvest[[#This Row],[Risk]]/Reinvest[[#This Row],[Odds]]*-100)),"")))),2),"")</f>
        <v>5.34</v>
      </c>
      <c r="J22" s="89">
        <f>IF(B22=B23,"",SUM($I$4:I22)/SUM($F$4:F22))</f>
        <v>0.11860000000000001</v>
      </c>
      <c r="K22"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22" s="36"/>
      <c r="M22" s="24">
        <f t="shared" si="0"/>
        <v>43705</v>
      </c>
      <c r="N22" s="1" t="str">
        <f>COUNTIFS(Reinvest[Date],M22,Reinvest[Result],"W")&amp;"-"&amp;COUNTIFS(Reinvest[Date],M22,Reinvest[Result],"L")&amp;IF(COUNTIFS(Reinvest[Date],M22,Reinvest[Result],"Push")&gt;0,"-"&amp;COUNTIFS(Reinvest[Date],M22,Reinvest[Result],"Push"),"")</f>
        <v>11-4</v>
      </c>
      <c r="O22" s="25">
        <f>IFERROR(COUNTIFS(Reinvest[Date],M22,Reinvest[Result],"W")/(COUNTIFS(Reinvest[Date],M22,Reinvest[Result],"W")+COUNTIFS(Reinvest[Date],M22,Reinvest[Result],"L")),"")</f>
        <v>0.73333333333333328</v>
      </c>
      <c r="P22" s="26">
        <f>SUMIF(Reinvest[Date],M22,Reinvest[Net])</f>
        <v>77.91</v>
      </c>
      <c r="Q22" s="27" t="str">
        <f>IFERROR("("&amp;ROUND(SUMIF(Reinvest[Date],M22,Reinvest[Net])/SUMIF(Reinvest[Date],M22,Reinvest[Risk]),2)*100&amp;"%)","")</f>
        <v>(26%)</v>
      </c>
    </row>
    <row r="23" spans="1:20" x14ac:dyDescent="0.25">
      <c r="A23" s="13">
        <f t="shared" si="1"/>
        <v>2</v>
      </c>
      <c r="B23" s="17">
        <v>43663</v>
      </c>
      <c r="C23" s="17" t="s">
        <v>802</v>
      </c>
      <c r="D23" s="18" t="s">
        <v>1214</v>
      </c>
      <c r="E23" s="11" t="s">
        <v>899</v>
      </c>
      <c r="F23" s="19">
        <v>9.1</v>
      </c>
      <c r="G23" s="37">
        <v>-140</v>
      </c>
      <c r="H23" s="21" t="s">
        <v>262</v>
      </c>
      <c r="I23" s="45">
        <f>IFERROR(ROUND(IF(Reinvest[[#This Row],[Result]]="L",0-Reinvest[[#This Row],[Risk]],IF(Reinvest[[#This Row],[Result]]="Push",0,IF(Reinvest[[#This Row],[Result]]="No Action",0,IF(Reinvest[[#This Row],[Result]]="W",IF(Reinvest[[#This Row],[Odds]]&gt;0,Reinvest[[#This Row],[Odds]]/100*Reinvest[[#This Row],[Risk]],(Reinvest[[#This Row],[Risk]]/Reinvest[[#This Row],[Odds]]*-100)),"")))),2),"")</f>
        <v>6.5</v>
      </c>
      <c r="J23" s="89" t="str">
        <f>IF(B23=B24,"",SUM($I$4:I23)/SUM($F$4:F23))</f>
        <v/>
      </c>
      <c r="K23"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23" s="36"/>
      <c r="M23" s="24">
        <f t="shared" si="0"/>
        <v>43706</v>
      </c>
      <c r="N23" s="1" t="str">
        <f>COUNTIFS(Reinvest[Date],M23,Reinvest[Result],"W")&amp;"-"&amp;COUNTIFS(Reinvest[Date],M23,Reinvest[Result],"L")&amp;IF(COUNTIFS(Reinvest[Date],M23,Reinvest[Result],"Push")&gt;0,"-"&amp;COUNTIFS(Reinvest[Date],M23,Reinvest[Result],"Push"),"")</f>
        <v>3-6</v>
      </c>
      <c r="O23" s="25">
        <f>IFERROR(COUNTIFS(Reinvest[Date],M23,Reinvest[Result],"W")/(COUNTIFS(Reinvest[Date],M23,Reinvest[Result],"W")+COUNTIFS(Reinvest[Date],M23,Reinvest[Result],"L")),"")</f>
        <v>0.33333333333333331</v>
      </c>
      <c r="P23" s="26">
        <f>SUMIF(Reinvest[Date],M23,Reinvest[Net])</f>
        <v>-90.429999999999993</v>
      </c>
      <c r="Q23" s="27" t="str">
        <f>IFERROR("("&amp;ROUND(SUMIF(Reinvest[Date],M23,Reinvest[Net])/SUMIF(Reinvest[Date],M23,Reinvest[Risk]),2)*100&amp;"%)","")</f>
        <v>(-50%)</v>
      </c>
    </row>
    <row r="24" spans="1:20" x14ac:dyDescent="0.25">
      <c r="A24" s="13">
        <f t="shared" si="1"/>
        <v>2</v>
      </c>
      <c r="B24" s="17">
        <v>43663</v>
      </c>
      <c r="C24" s="17" t="s">
        <v>802</v>
      </c>
      <c r="D24" s="18" t="s">
        <v>1550</v>
      </c>
      <c r="E24" s="11" t="s">
        <v>815</v>
      </c>
      <c r="F24" s="19">
        <v>6.91</v>
      </c>
      <c r="G24" s="37" t="s">
        <v>1551</v>
      </c>
      <c r="H24" s="21" t="s">
        <v>263</v>
      </c>
      <c r="I24" s="45">
        <f>IFERROR(ROUND(IF(Reinvest[[#This Row],[Result]]="L",0-Reinvest[[#This Row],[Risk]],IF(Reinvest[[#This Row],[Result]]="Push",0,IF(Reinvest[[#This Row],[Result]]="No Action",0,IF(Reinvest[[#This Row],[Result]]="W",IF(Reinvest[[#This Row],[Odds]]&gt;0,Reinvest[[#This Row],[Odds]]/100*Reinvest[[#This Row],[Risk]],(Reinvest[[#This Row],[Risk]]/Reinvest[[#This Row],[Odds]]*-100)),"")))),2),"")</f>
        <v>-6.91</v>
      </c>
      <c r="J24" s="89" t="str">
        <f>IF(B24=B25,"",SUM($I$4:I24)/SUM($F$4:F24))</f>
        <v/>
      </c>
      <c r="K2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24" s="36"/>
      <c r="M24" s="24">
        <f t="shared" si="0"/>
        <v>43717</v>
      </c>
      <c r="N24" s="1" t="str">
        <f>COUNTIFS(Reinvest[Date],M24,Reinvest[Result],"W")&amp;"-"&amp;COUNTIFS(Reinvest[Date],M24,Reinvest[Result],"L")&amp;IF(COUNTIFS(Reinvest[Date],M24,Reinvest[Result],"Push")&gt;0,"-"&amp;COUNTIFS(Reinvest[Date],M24,Reinvest[Result],"Push"),"")</f>
        <v>2-2</v>
      </c>
      <c r="O24" s="25">
        <f>IFERROR(COUNTIFS(Reinvest[Date],M24,Reinvest[Result],"W")/(COUNTIFS(Reinvest[Date],M24,Reinvest[Result],"W")+COUNTIFS(Reinvest[Date],M24,Reinvest[Result],"L")),"")</f>
        <v>0.5</v>
      </c>
      <c r="P24" s="26">
        <f>SUMIF(Reinvest[Date],M24,Reinvest[Net])</f>
        <v>-4.8499999999999979</v>
      </c>
      <c r="Q24" s="27" t="str">
        <f>IFERROR("("&amp;ROUND(SUMIF(Reinvest[Date],M24,Reinvest[Net])/SUMIF(Reinvest[Date],M24,Reinvest[Risk]),2)*100&amp;"%)","")</f>
        <v>(-6%)</v>
      </c>
    </row>
    <row r="25" spans="1:20" x14ac:dyDescent="0.25">
      <c r="A25" s="13">
        <f t="shared" si="1"/>
        <v>2</v>
      </c>
      <c r="B25" s="17">
        <v>43663</v>
      </c>
      <c r="C25" s="17" t="s">
        <v>802</v>
      </c>
      <c r="D25" s="18" t="s">
        <v>1499</v>
      </c>
      <c r="E25" s="11" t="s">
        <v>827</v>
      </c>
      <c r="F25" s="19">
        <v>9.44</v>
      </c>
      <c r="G25" s="37">
        <v>-147</v>
      </c>
      <c r="H25" s="21" t="s">
        <v>262</v>
      </c>
      <c r="I25" s="45">
        <f>IFERROR(ROUND(IF(Reinvest[[#This Row],[Result]]="L",0-Reinvest[[#This Row],[Risk]],IF(Reinvest[[#This Row],[Result]]="Push",0,IF(Reinvest[[#This Row],[Result]]="No Action",0,IF(Reinvest[[#This Row],[Result]]="W",IF(Reinvest[[#This Row],[Odds]]&gt;0,Reinvest[[#This Row],[Odds]]/100*Reinvest[[#This Row],[Risk]],(Reinvest[[#This Row],[Risk]]/Reinvest[[#This Row],[Odds]]*-100)),"")))),2),"")</f>
        <v>6.42</v>
      </c>
      <c r="J25" s="89" t="str">
        <f>IF(B25=B26,"",SUM($I$4:I25)/SUM($F$4:F25))</f>
        <v/>
      </c>
      <c r="K25"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25" s="36"/>
      <c r="M25" s="24">
        <f t="shared" si="0"/>
        <v>43718</v>
      </c>
      <c r="N25" s="1" t="str">
        <f>COUNTIFS(Reinvest[Date],M25,Reinvest[Result],"W")&amp;"-"&amp;COUNTIFS(Reinvest[Date],M25,Reinvest[Result],"L")&amp;IF(COUNTIFS(Reinvest[Date],M25,Reinvest[Result],"Push")&gt;0,"-"&amp;COUNTIFS(Reinvest[Date],M25,Reinvest[Result],"Push"),"")</f>
        <v>4-3</v>
      </c>
      <c r="O25" s="25">
        <f>IFERROR(COUNTIFS(Reinvest[Date],M25,Reinvest[Result],"W")/(COUNTIFS(Reinvest[Date],M25,Reinvest[Result],"W")+COUNTIFS(Reinvest[Date],M25,Reinvest[Result],"L")),"")</f>
        <v>0.5714285714285714</v>
      </c>
      <c r="P25" s="26">
        <f>SUMIF(Reinvest[Date],M25,Reinvest[Net])</f>
        <v>4.0599999999999987</v>
      </c>
      <c r="Q25" s="27" t="str">
        <f>IFERROR("("&amp;ROUND(SUMIF(Reinvest[Date],M25,Reinvest[Net])/SUMIF(Reinvest[Date],M25,Reinvest[Risk]),2)*100&amp;"%)","")</f>
        <v>(3%)</v>
      </c>
    </row>
    <row r="26" spans="1:20" x14ac:dyDescent="0.25">
      <c r="A26" s="13">
        <f t="shared" si="1"/>
        <v>2</v>
      </c>
      <c r="B26" s="17">
        <v>43663</v>
      </c>
      <c r="C26" s="17" t="s">
        <v>802</v>
      </c>
      <c r="D26" s="18" t="s">
        <v>1500</v>
      </c>
      <c r="E26" s="11" t="s">
        <v>1210</v>
      </c>
      <c r="F26" s="19">
        <v>9.33</v>
      </c>
      <c r="G26" s="37">
        <v>-250</v>
      </c>
      <c r="H26" s="21" t="s">
        <v>262</v>
      </c>
      <c r="I26" s="45">
        <f>IFERROR(ROUND(IF(Reinvest[[#This Row],[Result]]="L",0-Reinvest[[#This Row],[Risk]],IF(Reinvest[[#This Row],[Result]]="Push",0,IF(Reinvest[[#This Row],[Result]]="No Action",0,IF(Reinvest[[#This Row],[Result]]="W",IF(Reinvest[[#This Row],[Odds]]&gt;0,Reinvest[[#This Row],[Odds]]/100*Reinvest[[#This Row],[Risk]],(Reinvest[[#This Row],[Risk]]/Reinvest[[#This Row],[Odds]]*-100)),"")))),2),"")</f>
        <v>3.73</v>
      </c>
      <c r="J26" s="89" t="str">
        <f>IF(B26=B27,"",SUM($I$4:I26)/SUM($F$4:F26))</f>
        <v/>
      </c>
      <c r="K26"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26" s="36"/>
      <c r="M26" s="24">
        <f t="shared" si="0"/>
        <v>43719</v>
      </c>
      <c r="N26" s="1" t="str">
        <f>COUNTIFS(Reinvest[Date],M26,Reinvest[Result],"W")&amp;"-"&amp;COUNTIFS(Reinvest[Date],M26,Reinvest[Result],"L")&amp;IF(COUNTIFS(Reinvest[Date],M26,Reinvest[Result],"Push")&gt;0,"-"&amp;COUNTIFS(Reinvest[Date],M26,Reinvest[Result],"Push"),"")</f>
        <v>2-5-1</v>
      </c>
      <c r="O26" s="25">
        <f>IFERROR(COUNTIFS(Reinvest[Date],M26,Reinvest[Result],"W")/(COUNTIFS(Reinvest[Date],M26,Reinvest[Result],"W")+COUNTIFS(Reinvest[Date],M26,Reinvest[Result],"L")),"")</f>
        <v>0.2857142857142857</v>
      </c>
      <c r="P26" s="26">
        <f>SUMIF(Reinvest[Date],M26,Reinvest[Net])</f>
        <v>-57.08</v>
      </c>
      <c r="Q26" s="27" t="str">
        <f>IFERROR("("&amp;ROUND(SUMIF(Reinvest[Date],M26,Reinvest[Net])/SUMIF(Reinvest[Date],M26,Reinvest[Risk]),2)*100&amp;"%)","")</f>
        <v>(-36%)</v>
      </c>
    </row>
    <row r="27" spans="1:20" x14ac:dyDescent="0.25">
      <c r="A27" s="13">
        <f t="shared" si="1"/>
        <v>2</v>
      </c>
      <c r="B27" s="17">
        <v>43663</v>
      </c>
      <c r="C27" s="17" t="s">
        <v>802</v>
      </c>
      <c r="D27" s="18" t="s">
        <v>1494</v>
      </c>
      <c r="E27" s="11" t="s">
        <v>1152</v>
      </c>
      <c r="F27" s="19">
        <v>7.92</v>
      </c>
      <c r="G27" s="37">
        <v>-150</v>
      </c>
      <c r="H27" s="21" t="s">
        <v>262</v>
      </c>
      <c r="I27" s="45">
        <f>IFERROR(ROUND(IF(Reinvest[[#This Row],[Result]]="L",0-Reinvest[[#This Row],[Risk]],IF(Reinvest[[#This Row],[Result]]="Push",0,IF(Reinvest[[#This Row],[Result]]="No Action",0,IF(Reinvest[[#This Row],[Result]]="W",IF(Reinvest[[#This Row],[Odds]]&gt;0,Reinvest[[#This Row],[Odds]]/100*Reinvest[[#This Row],[Risk]],(Reinvest[[#This Row],[Risk]]/Reinvest[[#This Row],[Odds]]*-100)),"")))),2),"")</f>
        <v>5.28</v>
      </c>
      <c r="J27" s="89" t="str">
        <f>IF(B27=B28,"",SUM($I$4:I27)/SUM($F$4:F27))</f>
        <v/>
      </c>
      <c r="K27"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27" s="36"/>
      <c r="M27" s="24">
        <f t="shared" si="0"/>
        <v>43724</v>
      </c>
      <c r="N27" s="1" t="str">
        <f>COUNTIFS(Reinvest[Date],M27,Reinvest[Result],"W")&amp;"-"&amp;COUNTIFS(Reinvest[Date],M27,Reinvest[Result],"L")&amp;IF(COUNTIFS(Reinvest[Date],M27,Reinvest[Result],"Push")&gt;0,"-"&amp;COUNTIFS(Reinvest[Date],M27,Reinvest[Result],"Push"),"")</f>
        <v>0-0</v>
      </c>
      <c r="O27" s="25" t="str">
        <f>IFERROR(COUNTIFS(Reinvest[Date],M27,Reinvest[Result],"W")/(COUNTIFS(Reinvest[Date],M27,Reinvest[Result],"W")+COUNTIFS(Reinvest[Date],M27,Reinvest[Result],"L")),"")</f>
        <v/>
      </c>
      <c r="P27" s="26">
        <f>SUMIF(Reinvest[Date],M27,Reinvest[Net])</f>
        <v>0</v>
      </c>
      <c r="Q27" s="27" t="str">
        <f>IFERROR("("&amp;ROUND(SUMIF(Reinvest[Date],M27,Reinvest[Net])/SUMIF(Reinvest[Date],M27,Reinvest[Risk]),2)*100&amp;"%)","")</f>
        <v>(0%)</v>
      </c>
    </row>
    <row r="28" spans="1:20" x14ac:dyDescent="0.25">
      <c r="A28" s="13">
        <f t="shared" si="1"/>
        <v>2</v>
      </c>
      <c r="B28" s="17">
        <v>43663</v>
      </c>
      <c r="C28" s="17" t="s">
        <v>802</v>
      </c>
      <c r="D28" s="18" t="s">
        <v>1495</v>
      </c>
      <c r="E28" s="11" t="s">
        <v>1180</v>
      </c>
      <c r="F28" s="19">
        <v>7.31</v>
      </c>
      <c r="G28" s="37">
        <v>-120</v>
      </c>
      <c r="H28" s="21" t="s">
        <v>262</v>
      </c>
      <c r="I28" s="45">
        <f>IFERROR(ROUND(IF(Reinvest[[#This Row],[Result]]="L",0-Reinvest[[#This Row],[Risk]],IF(Reinvest[[#This Row],[Result]]="Push",0,IF(Reinvest[[#This Row],[Result]]="No Action",0,IF(Reinvest[[#This Row],[Result]]="W",IF(Reinvest[[#This Row],[Odds]]&gt;0,Reinvest[[#This Row],[Odds]]/100*Reinvest[[#This Row],[Risk]],(Reinvest[[#This Row],[Risk]]/Reinvest[[#This Row],[Odds]]*-100)),"")))),2),"")</f>
        <v>6.09</v>
      </c>
      <c r="J28" s="89" t="str">
        <f>IF(B28=B29,"",SUM($I$4:I28)/SUM($F$4:F28))</f>
        <v/>
      </c>
      <c r="K28"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28" s="36"/>
      <c r="M28" s="24">
        <f t="shared" si="0"/>
        <v>0</v>
      </c>
      <c r="N28" s="1" t="str">
        <f>COUNTIFS(Reinvest[Date],M28,Reinvest[Result],"W")&amp;"-"&amp;COUNTIFS(Reinvest[Date],M28,Reinvest[Result],"L")&amp;IF(COUNTIFS(Reinvest[Date],M28,Reinvest[Result],"Push")&gt;0,"-"&amp;COUNTIFS(Reinvest[Date],M28,Reinvest[Result],"Push"),"")</f>
        <v>0-0</v>
      </c>
      <c r="O28" s="25" t="str">
        <f>IFERROR(COUNTIFS(Reinvest[Date],M28,Reinvest[Result],"W")/(COUNTIFS(Reinvest[Date],M28,Reinvest[Result],"W")+COUNTIFS(Reinvest[Date],M28,Reinvest[Result],"L")),"")</f>
        <v/>
      </c>
      <c r="P28" s="26">
        <f>SUMIF(Reinvest[Date],M28,Reinvest[Net])</f>
        <v>0</v>
      </c>
      <c r="Q28" s="27" t="str">
        <f>IFERROR("("&amp;ROUND(SUMIF(Reinvest[Date],M28,Reinvest[Net])/SUMIF(Reinvest[Date],M28,Reinvest[Risk]),2)*100&amp;"%)","")</f>
        <v/>
      </c>
    </row>
    <row r="29" spans="1:20" x14ac:dyDescent="0.25">
      <c r="A29" s="13">
        <f t="shared" si="1"/>
        <v>2</v>
      </c>
      <c r="B29" s="17">
        <v>43663</v>
      </c>
      <c r="C29" s="17" t="s">
        <v>802</v>
      </c>
      <c r="D29" s="18" t="s">
        <v>1503</v>
      </c>
      <c r="E29" s="11" t="s">
        <v>879</v>
      </c>
      <c r="F29" s="19">
        <v>5.09</v>
      </c>
      <c r="G29" s="37">
        <v>-105</v>
      </c>
      <c r="H29" s="21" t="s">
        <v>263</v>
      </c>
      <c r="I29" s="45">
        <f>IFERROR(ROUND(IF(Reinvest[[#This Row],[Result]]="L",0-Reinvest[[#This Row],[Risk]],IF(Reinvest[[#This Row],[Result]]="Push",0,IF(Reinvest[[#This Row],[Result]]="No Action",0,IF(Reinvest[[#This Row],[Result]]="W",IF(Reinvest[[#This Row],[Odds]]&gt;0,Reinvest[[#This Row],[Odds]]/100*Reinvest[[#This Row],[Risk]],(Reinvest[[#This Row],[Risk]]/Reinvest[[#This Row],[Odds]]*-100)),"")))),2),"")</f>
        <v>-5.09</v>
      </c>
      <c r="J29" s="89" t="str">
        <f>IF(B29=B30,"",SUM($I$4:I29)/SUM($F$4:F29))</f>
        <v/>
      </c>
      <c r="K29"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29" s="36"/>
      <c r="M29" s="24">
        <f t="shared" si="0"/>
        <v>0</v>
      </c>
      <c r="N29" s="1" t="str">
        <f>COUNTIFS(Reinvest[Date],M29,Reinvest[Result],"W")&amp;"-"&amp;COUNTIFS(Reinvest[Date],M29,Reinvest[Result],"L")&amp;IF(COUNTIFS(Reinvest[Date],M29,Reinvest[Result],"Push")&gt;0,"-"&amp;COUNTIFS(Reinvest[Date],M29,Reinvest[Result],"Push"),"")</f>
        <v>0-0</v>
      </c>
      <c r="O29" s="25" t="str">
        <f>IFERROR(COUNTIFS(Reinvest[Date],M29,Reinvest[Result],"W")/(COUNTIFS(Reinvest[Date],M29,Reinvest[Result],"W")+COUNTIFS(Reinvest[Date],M29,Reinvest[Result],"L")),"")</f>
        <v/>
      </c>
      <c r="P29" s="26">
        <f>SUMIF(Reinvest[Date],M29,Reinvest[Net])</f>
        <v>0</v>
      </c>
      <c r="Q29" s="27" t="str">
        <f>IFERROR("("&amp;ROUND(SUMIF(Reinvest[Date],M29,Reinvest[Net])/SUMIF(Reinvest[Date],M29,Reinvest[Risk]),2)*100&amp;"%)","")</f>
        <v/>
      </c>
    </row>
    <row r="30" spans="1:20" x14ac:dyDescent="0.25">
      <c r="A30" s="13">
        <f t="shared" si="1"/>
        <v>2</v>
      </c>
      <c r="B30" s="17">
        <v>43663</v>
      </c>
      <c r="C30" s="17" t="s">
        <v>802</v>
      </c>
      <c r="D30" s="18" t="s">
        <v>1214</v>
      </c>
      <c r="E30" s="11" t="s">
        <v>877</v>
      </c>
      <c r="F30" s="19">
        <v>4.41</v>
      </c>
      <c r="G30" s="37">
        <v>100</v>
      </c>
      <c r="H30" s="21" t="s">
        <v>263</v>
      </c>
      <c r="I30" s="45">
        <f>IFERROR(ROUND(IF(Reinvest[[#This Row],[Result]]="L",0-Reinvest[[#This Row],[Risk]],IF(Reinvest[[#This Row],[Result]]="Push",0,IF(Reinvest[[#This Row],[Result]]="No Action",0,IF(Reinvest[[#This Row],[Result]]="W",IF(Reinvest[[#This Row],[Odds]]&gt;0,Reinvest[[#This Row],[Odds]]/100*Reinvest[[#This Row],[Risk]],(Reinvest[[#This Row],[Risk]]/Reinvest[[#This Row],[Odds]]*-100)),"")))),2),"")</f>
        <v>-4.41</v>
      </c>
      <c r="J30" s="89" t="str">
        <f>IF(B30=B31,"",SUM($I$4:I30)/SUM($F$4:F30))</f>
        <v/>
      </c>
      <c r="K30"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30" s="36"/>
      <c r="M30" s="24">
        <f t="shared" si="0"/>
        <v>0</v>
      </c>
      <c r="N30" s="1" t="str">
        <f>COUNTIFS(Reinvest[Date],M30,Reinvest[Result],"W")&amp;"-"&amp;COUNTIFS(Reinvest[Date],M30,Reinvest[Result],"L")&amp;IF(COUNTIFS(Reinvest[Date],M30,Reinvest[Result],"Push")&gt;0,"-"&amp;COUNTIFS(Reinvest[Date],M30,Reinvest[Result],"Push"),"")</f>
        <v>0-0</v>
      </c>
      <c r="O30" s="25" t="str">
        <f>IFERROR(COUNTIFS(Reinvest[Date],M30,Reinvest[Result],"W")/(COUNTIFS(Reinvest[Date],M30,Reinvest[Result],"W")+COUNTIFS(Reinvest[Date],M30,Reinvest[Result],"L")),"")</f>
        <v/>
      </c>
      <c r="P30" s="26">
        <f>SUMIF(Reinvest[Date],M30,Reinvest[Net])</f>
        <v>0</v>
      </c>
      <c r="Q30" s="27" t="str">
        <f>IFERROR("("&amp;ROUND(SUMIF(Reinvest[Date],M30,Reinvest[Net])/SUMIF(Reinvest[Date],M30,Reinvest[Risk]),2)*100&amp;"%)","")</f>
        <v/>
      </c>
    </row>
    <row r="31" spans="1:20" x14ac:dyDescent="0.25">
      <c r="A31" s="13">
        <f t="shared" si="1"/>
        <v>2</v>
      </c>
      <c r="B31" s="17">
        <v>43663</v>
      </c>
      <c r="C31" s="17" t="s">
        <v>802</v>
      </c>
      <c r="D31" s="18" t="s">
        <v>1550</v>
      </c>
      <c r="E31" s="11" t="s">
        <v>1209</v>
      </c>
      <c r="F31" s="19">
        <v>4.9000000000000004</v>
      </c>
      <c r="G31" s="37">
        <v>-105</v>
      </c>
      <c r="H31" s="21" t="s">
        <v>262</v>
      </c>
      <c r="I31" s="45">
        <f>IFERROR(ROUND(IF(Reinvest[[#This Row],[Result]]="L",0-Reinvest[[#This Row],[Risk]],IF(Reinvest[[#This Row],[Result]]="Push",0,IF(Reinvest[[#This Row],[Result]]="No Action",0,IF(Reinvest[[#This Row],[Result]]="W",IF(Reinvest[[#This Row],[Odds]]&gt;0,Reinvest[[#This Row],[Odds]]/100*Reinvest[[#This Row],[Risk]],(Reinvest[[#This Row],[Risk]]/Reinvest[[#This Row],[Odds]]*-100)),"")))),2),"")</f>
        <v>4.67</v>
      </c>
      <c r="J31" s="89" t="str">
        <f>IF(B31=B32,"",SUM($I$4:I31)/SUM($F$4:F31))</f>
        <v/>
      </c>
      <c r="K31"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31" s="36"/>
      <c r="M31" s="24">
        <f t="shared" si="0"/>
        <v>0</v>
      </c>
      <c r="N31" s="1" t="str">
        <f>COUNTIFS(Reinvest[Date],M31,Reinvest[Result],"W")&amp;"-"&amp;COUNTIFS(Reinvest[Date],M31,Reinvest[Result],"L")&amp;IF(COUNTIFS(Reinvest[Date],M31,Reinvest[Result],"Push")&gt;0,"-"&amp;COUNTIFS(Reinvest[Date],M31,Reinvest[Result],"Push"),"")</f>
        <v>0-0</v>
      </c>
      <c r="O31" s="25" t="str">
        <f>IFERROR(COUNTIFS(Reinvest[Date],M31,Reinvest[Result],"W")/(COUNTIFS(Reinvest[Date],M31,Reinvest[Result],"W")+COUNTIFS(Reinvest[Date],M31,Reinvest[Result],"L")),"")</f>
        <v/>
      </c>
      <c r="P31" s="26">
        <f>SUMIF(Reinvest[Date],M31,Reinvest[Net])</f>
        <v>0</v>
      </c>
      <c r="Q31" s="27" t="str">
        <f>IFERROR("("&amp;ROUND(SUMIF(Reinvest[Date],M31,Reinvest[Net])/SUMIF(Reinvest[Date],M31,Reinvest[Risk]),2)*100&amp;"%)","")</f>
        <v/>
      </c>
    </row>
    <row r="32" spans="1:20" x14ac:dyDescent="0.25">
      <c r="A32" s="13">
        <f t="shared" si="1"/>
        <v>2</v>
      </c>
      <c r="B32" s="17">
        <v>43663</v>
      </c>
      <c r="C32" s="17" t="s">
        <v>802</v>
      </c>
      <c r="D32" s="18" t="s">
        <v>1186</v>
      </c>
      <c r="E32" s="11" t="s">
        <v>1552</v>
      </c>
      <c r="F32" s="19">
        <v>6</v>
      </c>
      <c r="G32" s="37">
        <v>-105</v>
      </c>
      <c r="H32" s="21" t="s">
        <v>263</v>
      </c>
      <c r="I32" s="45">
        <f>IFERROR(ROUND(IF(Reinvest[[#This Row],[Result]]="L",0-Reinvest[[#This Row],[Risk]],IF(Reinvest[[#This Row],[Result]]="Push",0,IF(Reinvest[[#This Row],[Result]]="No Action",0,IF(Reinvest[[#This Row],[Result]]="W",IF(Reinvest[[#This Row],[Odds]]&gt;0,Reinvest[[#This Row],[Odds]]/100*Reinvest[[#This Row],[Risk]],(Reinvest[[#This Row],[Risk]]/Reinvest[[#This Row],[Odds]]*-100)),"")))),2),"")</f>
        <v>-6</v>
      </c>
      <c r="J32" s="89" t="str">
        <f>IF(B32=B33,"",SUM($I$4:I32)/SUM($F$4:F32))</f>
        <v/>
      </c>
      <c r="K32"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32" s="36"/>
      <c r="M32" s="24">
        <f t="shared" si="0"/>
        <v>0</v>
      </c>
      <c r="N32" s="1" t="str">
        <f>COUNTIFS(Reinvest[Date],M32,Reinvest[Result],"W")&amp;"-"&amp;COUNTIFS(Reinvest[Date],M32,Reinvest[Result],"L")&amp;IF(COUNTIFS(Reinvest[Date],M32,Reinvest[Result],"Push")&gt;0,"-"&amp;COUNTIFS(Reinvest[Date],M32,Reinvest[Result],"Push"),"")</f>
        <v>0-0</v>
      </c>
      <c r="O32" s="25" t="str">
        <f>IFERROR(COUNTIFS(Reinvest[Date],M32,Reinvest[Result],"W")/(COUNTIFS(Reinvest[Date],M32,Reinvest[Result],"W")+COUNTIFS(Reinvest[Date],M32,Reinvest[Result],"L")),"")</f>
        <v/>
      </c>
      <c r="P32" s="26">
        <f>SUMIF(Reinvest[Date],M32,Reinvest[Net])</f>
        <v>0</v>
      </c>
      <c r="Q32" s="27" t="str">
        <f>IFERROR("("&amp;ROUND(SUMIF(Reinvest[Date],M32,Reinvest[Net])/SUMIF(Reinvest[Date],M32,Reinvest[Risk]),2)*100&amp;"%)","")</f>
        <v/>
      </c>
    </row>
    <row r="33" spans="1:17" x14ac:dyDescent="0.25">
      <c r="A33" s="13">
        <f t="shared" si="1"/>
        <v>2</v>
      </c>
      <c r="B33" s="17">
        <v>43663</v>
      </c>
      <c r="C33" s="17" t="s">
        <v>802</v>
      </c>
      <c r="D33" s="18" t="s">
        <v>1499</v>
      </c>
      <c r="E33" s="11" t="s">
        <v>879</v>
      </c>
      <c r="F33" s="19">
        <v>5.13</v>
      </c>
      <c r="G33" s="37">
        <v>-105</v>
      </c>
      <c r="H33" s="21" t="s">
        <v>262</v>
      </c>
      <c r="I33" s="45">
        <f>IFERROR(ROUND(IF(Reinvest[[#This Row],[Result]]="L",0-Reinvest[[#This Row],[Risk]],IF(Reinvest[[#This Row],[Result]]="Push",0,IF(Reinvest[[#This Row],[Result]]="No Action",0,IF(Reinvest[[#This Row],[Result]]="W",IF(Reinvest[[#This Row],[Odds]]&gt;0,Reinvest[[#This Row],[Odds]]/100*Reinvest[[#This Row],[Risk]],(Reinvest[[#This Row],[Risk]]/Reinvest[[#This Row],[Odds]]*-100)),"")))),2),"")</f>
        <v>4.8899999999999997</v>
      </c>
      <c r="J33" s="89" t="str">
        <f>IF(B33=B34,"",SUM($I$4:I33)/SUM($F$4:F33))</f>
        <v/>
      </c>
      <c r="K33"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33" s="36"/>
      <c r="M33" s="24">
        <f t="shared" si="0"/>
        <v>0</v>
      </c>
      <c r="N33" s="1" t="str">
        <f>COUNTIFS(Reinvest[Date],M33,Reinvest[Result],"W")&amp;"-"&amp;COUNTIFS(Reinvest[Date],M33,Reinvest[Result],"L")&amp;IF(COUNTIFS(Reinvest[Date],M33,Reinvest[Result],"Push")&gt;0,"-"&amp;COUNTIFS(Reinvest[Date],M33,Reinvest[Result],"Push"),"")</f>
        <v>0-0</v>
      </c>
      <c r="O33" s="25" t="str">
        <f>IFERROR(COUNTIFS(Reinvest[Date],M33,Reinvest[Result],"W")/(COUNTIFS(Reinvest[Date],M33,Reinvest[Result],"W")+COUNTIFS(Reinvest[Date],M33,Reinvest[Result],"L")),"")</f>
        <v/>
      </c>
      <c r="P33" s="26">
        <f>SUMIF(Reinvest[Date],M33,Reinvest[Net])</f>
        <v>0</v>
      </c>
      <c r="Q33" s="27" t="str">
        <f>IFERROR("("&amp;ROUND(SUMIF(Reinvest[Date],M33,Reinvest[Net])/SUMIF(Reinvest[Date],M33,Reinvest[Risk]),2)*100&amp;"%)","")</f>
        <v/>
      </c>
    </row>
    <row r="34" spans="1:17" x14ac:dyDescent="0.25">
      <c r="A34" s="13">
        <f t="shared" si="1"/>
        <v>2</v>
      </c>
      <c r="B34" s="17">
        <v>43663</v>
      </c>
      <c r="C34" s="17" t="s">
        <v>802</v>
      </c>
      <c r="D34" s="18" t="s">
        <v>1500</v>
      </c>
      <c r="E34" s="11" t="s">
        <v>1158</v>
      </c>
      <c r="F34" s="19">
        <v>4.93</v>
      </c>
      <c r="G34" s="37">
        <v>-105</v>
      </c>
      <c r="H34" s="21" t="s">
        <v>262</v>
      </c>
      <c r="I34" s="45">
        <f>IFERROR(ROUND(IF(Reinvest[[#This Row],[Result]]="L",0-Reinvest[[#This Row],[Risk]],IF(Reinvest[[#This Row],[Result]]="Push",0,IF(Reinvest[[#This Row],[Result]]="No Action",0,IF(Reinvest[[#This Row],[Result]]="W",IF(Reinvest[[#This Row],[Odds]]&gt;0,Reinvest[[#This Row],[Odds]]/100*Reinvest[[#This Row],[Risk]],(Reinvest[[#This Row],[Risk]]/Reinvest[[#This Row],[Odds]]*-100)),"")))),2),"")</f>
        <v>4.7</v>
      </c>
      <c r="J34" s="89" t="str">
        <f>IF(B34=B35,"",SUM($I$4:I34)/SUM($F$4:F34))</f>
        <v/>
      </c>
      <c r="K3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34" s="36"/>
      <c r="M34" s="24">
        <f t="shared" si="0"/>
        <v>0</v>
      </c>
      <c r="N34" s="1" t="str">
        <f>COUNTIFS(Reinvest[Date],M34,Reinvest[Result],"W")&amp;"-"&amp;COUNTIFS(Reinvest[Date],M34,Reinvest[Result],"L")&amp;IF(COUNTIFS(Reinvest[Date],M34,Reinvest[Result],"Push")&gt;0,"-"&amp;COUNTIFS(Reinvest[Date],M34,Reinvest[Result],"Push"),"")</f>
        <v>0-0</v>
      </c>
      <c r="O34" s="25" t="str">
        <f>IFERROR(COUNTIFS(Reinvest[Date],M34,Reinvest[Result],"W")/(COUNTIFS(Reinvest[Date],M34,Reinvest[Result],"W")+COUNTIFS(Reinvest[Date],M34,Reinvest[Result],"L")),"")</f>
        <v/>
      </c>
      <c r="P34" s="26">
        <f>SUMIF(Reinvest[Date],M34,Reinvest[Net])</f>
        <v>0</v>
      </c>
      <c r="Q34" s="27" t="str">
        <f>IFERROR("("&amp;ROUND(SUMIF(Reinvest[Date],M34,Reinvest[Net])/SUMIF(Reinvest[Date],M34,Reinvest[Risk]),2)*100&amp;"%)","")</f>
        <v/>
      </c>
    </row>
    <row r="35" spans="1:17" x14ac:dyDescent="0.25">
      <c r="A35" s="13">
        <f t="shared" si="1"/>
        <v>2</v>
      </c>
      <c r="B35" s="17">
        <v>43663</v>
      </c>
      <c r="C35" s="17" t="s">
        <v>802</v>
      </c>
      <c r="D35" s="18" t="s">
        <v>1493</v>
      </c>
      <c r="E35" s="11" t="s">
        <v>933</v>
      </c>
      <c r="F35" s="19">
        <v>4.95</v>
      </c>
      <c r="G35" s="37">
        <v>-115</v>
      </c>
      <c r="H35" s="21" t="s">
        <v>846</v>
      </c>
      <c r="I35" s="45">
        <f>IFERROR(ROUND(IF(Reinvest[[#This Row],[Result]]="L",0-Reinvest[[#This Row],[Risk]],IF(Reinvest[[#This Row],[Result]]="Push",0,IF(Reinvest[[#This Row],[Result]]="No Action",0,IF(Reinvest[[#This Row],[Result]]="W",IF(Reinvest[[#This Row],[Odds]]&gt;0,Reinvest[[#This Row],[Odds]]/100*Reinvest[[#This Row],[Risk]],(Reinvest[[#This Row],[Risk]]/Reinvest[[#This Row],[Odds]]*-100)),"")))),2),"")</f>
        <v>0</v>
      </c>
      <c r="J35" s="89" t="str">
        <f>IF(B35=B36,"",SUM($I$4:I35)/SUM($F$4:F35))</f>
        <v/>
      </c>
      <c r="K35"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35" s="36"/>
      <c r="M35" s="24">
        <f t="shared" si="0"/>
        <v>0</v>
      </c>
      <c r="N35" s="1" t="str">
        <f>COUNTIFS(Reinvest[Date],M35,Reinvest[Result],"W")&amp;"-"&amp;COUNTIFS(Reinvest[Date],M35,Reinvest[Result],"L")&amp;IF(COUNTIFS(Reinvest[Date],M35,Reinvest[Result],"Push")&gt;0,"-"&amp;COUNTIFS(Reinvest[Date],M35,Reinvest[Result],"Push"),"")</f>
        <v>0-0</v>
      </c>
      <c r="O35" s="25" t="str">
        <f>IFERROR(COUNTIFS(Reinvest[Date],M35,Reinvest[Result],"W")/(COUNTIFS(Reinvest[Date],M35,Reinvest[Result],"W")+COUNTIFS(Reinvest[Date],M35,Reinvest[Result],"L")),"")</f>
        <v/>
      </c>
      <c r="P35" s="26">
        <f>SUMIF(Reinvest[Date],M35,Reinvest[Net])</f>
        <v>0</v>
      </c>
      <c r="Q35" s="27" t="str">
        <f>IFERROR("("&amp;ROUND(SUMIF(Reinvest[Date],M35,Reinvest[Net])/SUMIF(Reinvest[Date],M35,Reinvest[Risk]),2)*100&amp;"%)","")</f>
        <v/>
      </c>
    </row>
    <row r="36" spans="1:17" x14ac:dyDescent="0.25">
      <c r="A36" s="13">
        <f t="shared" si="1"/>
        <v>2</v>
      </c>
      <c r="B36" s="17">
        <v>43663</v>
      </c>
      <c r="C36" s="17" t="s">
        <v>802</v>
      </c>
      <c r="D36" s="18" t="s">
        <v>1494</v>
      </c>
      <c r="E36" s="11" t="s">
        <v>1501</v>
      </c>
      <c r="F36" s="19">
        <v>4.62</v>
      </c>
      <c r="G36" s="37">
        <v>-125</v>
      </c>
      <c r="H36" s="21" t="s">
        <v>262</v>
      </c>
      <c r="I36" s="45">
        <f>IFERROR(ROUND(IF(Reinvest[[#This Row],[Result]]="L",0-Reinvest[[#This Row],[Risk]],IF(Reinvest[[#This Row],[Result]]="Push",0,IF(Reinvest[[#This Row],[Result]]="No Action",0,IF(Reinvest[[#This Row],[Result]]="W",IF(Reinvest[[#This Row],[Odds]]&gt;0,Reinvest[[#This Row],[Odds]]/100*Reinvest[[#This Row],[Risk]],(Reinvest[[#This Row],[Risk]]/Reinvest[[#This Row],[Odds]]*-100)),"")))),2),"")</f>
        <v>3.7</v>
      </c>
      <c r="J36" s="89" t="str">
        <f>IF(B36=B37,"",SUM($I$4:I36)/SUM($F$4:F36))</f>
        <v/>
      </c>
      <c r="K36"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36" s="36"/>
      <c r="M36" s="24">
        <f t="shared" ref="M36:M67" si="2">IFERROR(VLOOKUP(ROW()-3,A:B,2,0),0)</f>
        <v>0</v>
      </c>
      <c r="N36" s="1" t="str">
        <f>COUNTIFS(Reinvest[Date],M36,Reinvest[Result],"W")&amp;"-"&amp;COUNTIFS(Reinvest[Date],M36,Reinvest[Result],"L")&amp;IF(COUNTIFS(Reinvest[Date],M36,Reinvest[Result],"Push")&gt;0,"-"&amp;COUNTIFS(Reinvest[Date],M36,Reinvest[Result],"Push"),"")</f>
        <v>0-0</v>
      </c>
      <c r="O36" s="25" t="str">
        <f>IFERROR(COUNTIFS(Reinvest[Date],M36,Reinvest[Result],"W")/(COUNTIFS(Reinvest[Date],M36,Reinvest[Result],"W")+COUNTIFS(Reinvest[Date],M36,Reinvest[Result],"L")),"")</f>
        <v/>
      </c>
      <c r="P36" s="26">
        <f>SUMIF(Reinvest[Date],M36,Reinvest[Net])</f>
        <v>0</v>
      </c>
      <c r="Q36" s="27" t="str">
        <f>IFERROR("("&amp;ROUND(SUMIF(Reinvest[Date],M36,Reinvest[Net])/SUMIF(Reinvest[Date],M36,Reinvest[Risk]),2)*100&amp;"%)","")</f>
        <v/>
      </c>
    </row>
    <row r="37" spans="1:17" x14ac:dyDescent="0.25">
      <c r="A37" s="13">
        <f t="shared" si="1"/>
        <v>2</v>
      </c>
      <c r="B37" s="17">
        <v>43663</v>
      </c>
      <c r="C37" s="17" t="s">
        <v>802</v>
      </c>
      <c r="D37" s="18" t="s">
        <v>1495</v>
      </c>
      <c r="E37" s="11" t="s">
        <v>879</v>
      </c>
      <c r="F37" s="19">
        <v>5.18</v>
      </c>
      <c r="G37" s="37">
        <v>-115</v>
      </c>
      <c r="H37" s="21" t="s">
        <v>263</v>
      </c>
      <c r="I37" s="45">
        <f>IFERROR(ROUND(IF(Reinvest[[#This Row],[Result]]="L",0-Reinvest[[#This Row],[Risk]],IF(Reinvest[[#This Row],[Result]]="Push",0,IF(Reinvest[[#This Row],[Result]]="No Action",0,IF(Reinvest[[#This Row],[Result]]="W",IF(Reinvest[[#This Row],[Odds]]&gt;0,Reinvest[[#This Row],[Odds]]/100*Reinvest[[#This Row],[Risk]],(Reinvest[[#This Row],[Risk]]/Reinvest[[#This Row],[Odds]]*-100)),"")))),2),"")</f>
        <v>-5.18</v>
      </c>
      <c r="J37" s="89" t="str">
        <f>IF(B37=B38,"",SUM($I$4:I37)/SUM($F$4:F37))</f>
        <v/>
      </c>
      <c r="K37"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37" s="36"/>
      <c r="M37" s="24">
        <f t="shared" si="2"/>
        <v>0</v>
      </c>
      <c r="N37" s="1" t="str">
        <f>COUNTIFS(Reinvest[Date],M37,Reinvest[Result],"W")&amp;"-"&amp;COUNTIFS(Reinvest[Date],M37,Reinvest[Result],"L")&amp;IF(COUNTIFS(Reinvest[Date],M37,Reinvest[Result],"Push")&gt;0,"-"&amp;COUNTIFS(Reinvest[Date],M37,Reinvest[Result],"Push"),"")</f>
        <v>0-0</v>
      </c>
      <c r="O37" s="25" t="str">
        <f>IFERROR(COUNTIFS(Reinvest[Date],M37,Reinvest[Result],"W")/(COUNTIFS(Reinvest[Date],M37,Reinvest[Result],"W")+COUNTIFS(Reinvest[Date],M37,Reinvest[Result],"L")),"")</f>
        <v/>
      </c>
      <c r="P37" s="26">
        <f>SUMIF(Reinvest[Date],M37,Reinvest[Net])</f>
        <v>0</v>
      </c>
      <c r="Q37" s="27" t="str">
        <f>IFERROR("("&amp;ROUND(SUMIF(Reinvest[Date],M37,Reinvest[Net])/SUMIF(Reinvest[Date],M37,Reinvest[Risk]),2)*100&amp;"%)","")</f>
        <v/>
      </c>
    </row>
    <row r="38" spans="1:17" x14ac:dyDescent="0.25">
      <c r="A38" s="13">
        <f t="shared" si="1"/>
        <v>2</v>
      </c>
      <c r="B38" s="17">
        <v>43663</v>
      </c>
      <c r="C38" s="17" t="s">
        <v>802</v>
      </c>
      <c r="D38" s="18" t="s">
        <v>1504</v>
      </c>
      <c r="E38" s="11" t="s">
        <v>879</v>
      </c>
      <c r="F38" s="19">
        <v>4.78</v>
      </c>
      <c r="G38" s="37">
        <v>-110</v>
      </c>
      <c r="H38" s="21" t="s">
        <v>263</v>
      </c>
      <c r="I38" s="45">
        <f>IFERROR(ROUND(IF(Reinvest[[#This Row],[Result]]="L",0-Reinvest[[#This Row],[Risk]],IF(Reinvest[[#This Row],[Result]]="Push",0,IF(Reinvest[[#This Row],[Result]]="No Action",0,IF(Reinvest[[#This Row],[Result]]="W",IF(Reinvest[[#This Row],[Odds]]&gt;0,Reinvest[[#This Row],[Odds]]/100*Reinvest[[#This Row],[Risk]],(Reinvest[[#This Row],[Risk]]/Reinvest[[#This Row],[Odds]]*-100)),"")))),2),"")</f>
        <v>-4.78</v>
      </c>
      <c r="J38" s="89">
        <f>IF(B38=B39,"",SUM($I$4:I38)/SUM($F$4:F38))</f>
        <v>0.12735000000000002</v>
      </c>
      <c r="K38"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38" s="36"/>
      <c r="M38" s="24">
        <f t="shared" si="2"/>
        <v>0</v>
      </c>
      <c r="N38" s="1" t="str">
        <f>COUNTIFS(Reinvest[Date],M38,Reinvest[Result],"W")&amp;"-"&amp;COUNTIFS(Reinvest[Date],M38,Reinvest[Result],"L")&amp;IF(COUNTIFS(Reinvest[Date],M38,Reinvest[Result],"Push")&gt;0,"-"&amp;COUNTIFS(Reinvest[Date],M38,Reinvest[Result],"Push"),"")</f>
        <v>0-0</v>
      </c>
      <c r="O38" s="25" t="str">
        <f>IFERROR(COUNTIFS(Reinvest[Date],M38,Reinvest[Result],"W")/(COUNTIFS(Reinvest[Date],M38,Reinvest[Result],"W")+COUNTIFS(Reinvest[Date],M38,Reinvest[Result],"L")),"")</f>
        <v/>
      </c>
      <c r="P38" s="26">
        <f>SUMIF(Reinvest[Date],M38,Reinvest[Net])</f>
        <v>0</v>
      </c>
      <c r="Q38" s="27" t="str">
        <f>IFERROR("("&amp;ROUND(SUMIF(Reinvest[Date],M38,Reinvest[Net])/SUMIF(Reinvest[Date],M38,Reinvest[Risk]),2)*100&amp;"%)","")</f>
        <v/>
      </c>
    </row>
    <row r="39" spans="1:17" x14ac:dyDescent="0.25">
      <c r="A39" s="13">
        <f t="shared" si="1"/>
        <v>3</v>
      </c>
      <c r="B39" s="17">
        <v>43664</v>
      </c>
      <c r="C39" s="17" t="s">
        <v>802</v>
      </c>
      <c r="D39" s="18" t="s">
        <v>1499</v>
      </c>
      <c r="E39" s="11" t="s">
        <v>827</v>
      </c>
      <c r="F39" s="72">
        <v>17.899999999999999</v>
      </c>
      <c r="G39" s="37">
        <v>-115</v>
      </c>
      <c r="H39" s="21" t="s">
        <v>263</v>
      </c>
      <c r="I39" s="45">
        <f>IFERROR(ROUND(IF(Reinvest[[#This Row],[Result]]="L",0-Reinvest[[#This Row],[Risk]],IF(Reinvest[[#This Row],[Result]]="Push",0,IF(Reinvest[[#This Row],[Result]]="No Action",0,IF(Reinvest[[#This Row],[Result]]="W",IF(Reinvest[[#This Row],[Odds]]&gt;0,Reinvest[[#This Row],[Odds]]/100*Reinvest[[#This Row],[Risk]],(Reinvest[[#This Row],[Risk]]/Reinvest[[#This Row],[Odds]]*-100)),"")))),2),"")</f>
        <v>-17.899999999999999</v>
      </c>
      <c r="J39" s="89" t="str">
        <f>IF(B39=B40,"",SUM($I$4:I39)/SUM($F$4:F39))</f>
        <v/>
      </c>
      <c r="K39"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39" s="36"/>
      <c r="M39" s="24">
        <f t="shared" si="2"/>
        <v>0</v>
      </c>
      <c r="N39" s="1" t="str">
        <f>COUNTIFS(Reinvest[Date],M39,Reinvest[Result],"W")&amp;"-"&amp;COUNTIFS(Reinvest[Date],M39,Reinvest[Result],"L")&amp;IF(COUNTIFS(Reinvest[Date],M39,Reinvest[Result],"Push")&gt;0,"-"&amp;COUNTIFS(Reinvest[Date],M39,Reinvest[Result],"Push"),"")</f>
        <v>0-0</v>
      </c>
      <c r="O39" s="25" t="str">
        <f>IFERROR(COUNTIFS(Reinvest[Date],M39,Reinvest[Result],"W")/(COUNTIFS(Reinvest[Date],M39,Reinvest[Result],"W")+COUNTIFS(Reinvest[Date],M39,Reinvest[Result],"L")),"")</f>
        <v/>
      </c>
      <c r="P39" s="26">
        <f>SUMIF(Reinvest[Date],M39,Reinvest[Net])</f>
        <v>0</v>
      </c>
      <c r="Q39" s="27" t="str">
        <f>IFERROR("("&amp;ROUND(SUMIF(Reinvest[Date],M39,Reinvest[Net])/SUMIF(Reinvest[Date],M39,Reinvest[Risk]),2)*100&amp;"%)","")</f>
        <v/>
      </c>
    </row>
    <row r="40" spans="1:17" x14ac:dyDescent="0.25">
      <c r="A40" s="13">
        <f t="shared" si="1"/>
        <v>3</v>
      </c>
      <c r="B40" s="17">
        <v>43664</v>
      </c>
      <c r="C40" s="17" t="s">
        <v>802</v>
      </c>
      <c r="D40" s="18" t="s">
        <v>3378</v>
      </c>
      <c r="E40" s="11" t="s">
        <v>815</v>
      </c>
      <c r="F40" s="72">
        <v>16</v>
      </c>
      <c r="G40" s="37" t="s">
        <v>1187</v>
      </c>
      <c r="H40" s="21" t="s">
        <v>263</v>
      </c>
      <c r="I40" s="45">
        <f>IFERROR(ROUND(IF(Reinvest[[#This Row],[Result]]="L",0-Reinvest[[#This Row],[Risk]],IF(Reinvest[[#This Row],[Result]]="Push",0,IF(Reinvest[[#This Row],[Result]]="No Action",0,IF(Reinvest[[#This Row],[Result]]="W",IF(Reinvest[[#This Row],[Odds]]&gt;0,Reinvest[[#This Row],[Odds]]/100*Reinvest[[#This Row],[Risk]],(Reinvest[[#This Row],[Risk]]/Reinvest[[#This Row],[Odds]]*-100)),"")))),2),"")</f>
        <v>-16</v>
      </c>
      <c r="J40" s="89" t="str">
        <f>IF(B40=B41,"",SUM($I$4:I40)/SUM($F$4:F40))</f>
        <v/>
      </c>
      <c r="K40"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40" s="36"/>
      <c r="M40" s="24">
        <f t="shared" si="2"/>
        <v>0</v>
      </c>
      <c r="N40" s="1" t="str">
        <f>COUNTIFS(Reinvest[Date],M40,Reinvest[Result],"W")&amp;"-"&amp;COUNTIFS(Reinvest[Date],M40,Reinvest[Result],"L")&amp;IF(COUNTIFS(Reinvest[Date],M40,Reinvest[Result],"Push")&gt;0,"-"&amp;COUNTIFS(Reinvest[Date],M40,Reinvest[Result],"Push"),"")</f>
        <v>0-0</v>
      </c>
      <c r="O40" s="25" t="str">
        <f>IFERROR(COUNTIFS(Reinvest[Date],M40,Reinvest[Result],"W")/(COUNTIFS(Reinvest[Date],M40,Reinvest[Result],"W")+COUNTIFS(Reinvest[Date],M40,Reinvest[Result],"L")),"")</f>
        <v/>
      </c>
      <c r="P40" s="26">
        <f>SUMIF(Reinvest[Date],M40,Reinvest[Net])</f>
        <v>0</v>
      </c>
      <c r="Q40" s="27" t="str">
        <f>IFERROR("("&amp;ROUND(SUMIF(Reinvest[Date],M40,Reinvest[Net])/SUMIF(Reinvest[Date],M40,Reinvest[Risk]),2)*100&amp;"%)","")</f>
        <v/>
      </c>
    </row>
    <row r="41" spans="1:17" x14ac:dyDescent="0.25">
      <c r="A41" s="13">
        <f t="shared" si="1"/>
        <v>3</v>
      </c>
      <c r="B41" s="17">
        <v>43664</v>
      </c>
      <c r="C41" s="17" t="s">
        <v>802</v>
      </c>
      <c r="D41" s="18" t="s">
        <v>3379</v>
      </c>
      <c r="E41" s="11" t="s">
        <v>834</v>
      </c>
      <c r="F41" s="72">
        <v>16.100000000000001</v>
      </c>
      <c r="G41" s="37" t="s">
        <v>886</v>
      </c>
      <c r="H41" s="21" t="s">
        <v>263</v>
      </c>
      <c r="I41" s="45">
        <f>IFERROR(ROUND(IF(Reinvest[[#This Row],[Result]]="L",0-Reinvest[[#This Row],[Risk]],IF(Reinvest[[#This Row],[Result]]="Push",0,IF(Reinvest[[#This Row],[Result]]="No Action",0,IF(Reinvest[[#This Row],[Result]]="W",IF(Reinvest[[#This Row],[Odds]]&gt;0,Reinvest[[#This Row],[Odds]]/100*Reinvest[[#This Row],[Risk]],(Reinvest[[#This Row],[Risk]]/Reinvest[[#This Row],[Odds]]*-100)),"")))),2),"")</f>
        <v>-16.100000000000001</v>
      </c>
      <c r="J41" s="89" t="str">
        <f>IF(B41=B42,"",SUM($I$4:I41)/SUM($F$4:F41))</f>
        <v/>
      </c>
      <c r="K41"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41" s="36"/>
      <c r="M41" s="24">
        <f t="shared" si="2"/>
        <v>0</v>
      </c>
      <c r="N41" s="1" t="str">
        <f>COUNTIFS(Reinvest[Date],M41,Reinvest[Result],"W")&amp;"-"&amp;COUNTIFS(Reinvest[Date],M41,Reinvest[Result],"L")&amp;IF(COUNTIFS(Reinvest[Date],M41,Reinvest[Result],"Push")&gt;0,"-"&amp;COUNTIFS(Reinvest[Date],M41,Reinvest[Result],"Push"),"")</f>
        <v>0-0</v>
      </c>
      <c r="O41" s="25" t="str">
        <f>IFERROR(COUNTIFS(Reinvest[Date],M41,Reinvest[Result],"W")/(COUNTIFS(Reinvest[Date],M41,Reinvest[Result],"W")+COUNTIFS(Reinvest[Date],M41,Reinvest[Result],"L")),"")</f>
        <v/>
      </c>
      <c r="P41" s="26">
        <f>SUMIF(Reinvest[Date],M41,Reinvest[Net])</f>
        <v>0</v>
      </c>
      <c r="Q41" s="27" t="str">
        <f>IFERROR("("&amp;ROUND(SUMIF(Reinvest[Date],M41,Reinvest[Net])/SUMIF(Reinvest[Date],M41,Reinvest[Risk]),2)*100&amp;"%)","")</f>
        <v/>
      </c>
    </row>
    <row r="42" spans="1:17" x14ac:dyDescent="0.25">
      <c r="A42" s="13">
        <f t="shared" si="1"/>
        <v>3</v>
      </c>
      <c r="B42" s="17">
        <v>43664</v>
      </c>
      <c r="C42" s="17" t="s">
        <v>802</v>
      </c>
      <c r="D42" s="18" t="s">
        <v>3380</v>
      </c>
      <c r="E42" s="11" t="s">
        <v>1209</v>
      </c>
      <c r="F42" s="72">
        <v>13.27</v>
      </c>
      <c r="G42" s="37">
        <v>-105</v>
      </c>
      <c r="H42" s="21" t="s">
        <v>263</v>
      </c>
      <c r="I42" s="45">
        <f>IFERROR(ROUND(IF(Reinvest[[#This Row],[Result]]="L",0-Reinvest[[#This Row],[Risk]],IF(Reinvest[[#This Row],[Result]]="Push",0,IF(Reinvest[[#This Row],[Result]]="No Action",0,IF(Reinvest[[#This Row],[Result]]="W",IF(Reinvest[[#This Row],[Odds]]&gt;0,Reinvest[[#This Row],[Odds]]/100*Reinvest[[#This Row],[Risk]],(Reinvest[[#This Row],[Risk]]/Reinvest[[#This Row],[Odds]]*-100)),"")))),2),"")</f>
        <v>-13.27</v>
      </c>
      <c r="J42" s="89" t="str">
        <f>IF(B42=B43,"",SUM($I$4:I42)/SUM($F$4:F42))</f>
        <v/>
      </c>
      <c r="K42"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42" s="36"/>
      <c r="M42" s="24">
        <f t="shared" si="2"/>
        <v>0</v>
      </c>
      <c r="N42" s="1" t="str">
        <f>COUNTIFS(Reinvest[Date],M42,Reinvest[Result],"W")&amp;"-"&amp;COUNTIFS(Reinvest[Date],M42,Reinvest[Result],"L")&amp;IF(COUNTIFS(Reinvest[Date],M42,Reinvest[Result],"Push")&gt;0,"-"&amp;COUNTIFS(Reinvest[Date],M42,Reinvest[Result],"Push"),"")</f>
        <v>0-0</v>
      </c>
      <c r="O42" s="25" t="str">
        <f>IFERROR(COUNTIFS(Reinvest[Date],M42,Reinvest[Result],"W")/(COUNTIFS(Reinvest[Date],M42,Reinvest[Result],"W")+COUNTIFS(Reinvest[Date],M42,Reinvest[Result],"L")),"")</f>
        <v/>
      </c>
      <c r="P42" s="26">
        <f>SUMIF(Reinvest[Date],M42,Reinvest[Net])</f>
        <v>0</v>
      </c>
      <c r="Q42" s="27" t="str">
        <f>IFERROR("("&amp;ROUND(SUMIF(Reinvest[Date],M42,Reinvest[Net])/SUMIF(Reinvest[Date],M42,Reinvest[Risk]),2)*100&amp;"%)","")</f>
        <v/>
      </c>
    </row>
    <row r="43" spans="1:17" x14ac:dyDescent="0.25">
      <c r="A43" s="13">
        <f t="shared" si="1"/>
        <v>3</v>
      </c>
      <c r="B43" s="17">
        <v>43664</v>
      </c>
      <c r="C43" s="17" t="s">
        <v>802</v>
      </c>
      <c r="D43" s="18" t="s">
        <v>3379</v>
      </c>
      <c r="E43" s="11" t="s">
        <v>879</v>
      </c>
      <c r="F43" s="72">
        <v>13.31</v>
      </c>
      <c r="G43" s="37">
        <v>-110</v>
      </c>
      <c r="H43" s="21" t="s">
        <v>262</v>
      </c>
      <c r="I43" s="45">
        <f>IFERROR(ROUND(IF(Reinvest[[#This Row],[Result]]="L",0-Reinvest[[#This Row],[Risk]],IF(Reinvest[[#This Row],[Result]]="Push",0,IF(Reinvest[[#This Row],[Result]]="No Action",0,IF(Reinvest[[#This Row],[Result]]="W",IF(Reinvest[[#This Row],[Odds]]&gt;0,Reinvest[[#This Row],[Odds]]/100*Reinvest[[#This Row],[Risk]],(Reinvest[[#This Row],[Risk]]/Reinvest[[#This Row],[Odds]]*-100)),"")))),2),"")</f>
        <v>12.1</v>
      </c>
      <c r="J43" s="89" t="str">
        <f>IF(B43=B44,"",SUM($I$4:I43)/SUM($F$4:F43))</f>
        <v/>
      </c>
      <c r="K43"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43" s="36"/>
      <c r="M43" s="24">
        <f t="shared" si="2"/>
        <v>0</v>
      </c>
      <c r="N43" s="1" t="str">
        <f>COUNTIFS(Reinvest[Date],M43,Reinvest[Result],"W")&amp;"-"&amp;COUNTIFS(Reinvest[Date],M43,Reinvest[Result],"L")&amp;IF(COUNTIFS(Reinvest[Date],M43,Reinvest[Result],"Push")&gt;0,"-"&amp;COUNTIFS(Reinvest[Date],M43,Reinvest[Result],"Push"),"")</f>
        <v>0-0</v>
      </c>
      <c r="O43" s="25" t="str">
        <f>IFERROR(COUNTIFS(Reinvest[Date],M43,Reinvest[Result],"W")/(COUNTIFS(Reinvest[Date],M43,Reinvest[Result],"W")+COUNTIFS(Reinvest[Date],M43,Reinvest[Result],"L")),"")</f>
        <v/>
      </c>
      <c r="P43" s="26">
        <f>SUMIF(Reinvest[Date],M43,Reinvest[Net])</f>
        <v>0</v>
      </c>
      <c r="Q43" s="27" t="str">
        <f>IFERROR("("&amp;ROUND(SUMIF(Reinvest[Date],M43,Reinvest[Net])/SUMIF(Reinvest[Date],M43,Reinvest[Risk]),2)*100&amp;"%)","")</f>
        <v/>
      </c>
    </row>
    <row r="44" spans="1:17" x14ac:dyDescent="0.25">
      <c r="A44" s="13">
        <f t="shared" si="1"/>
        <v>3</v>
      </c>
      <c r="B44" s="17">
        <v>43664</v>
      </c>
      <c r="C44" s="17" t="s">
        <v>802</v>
      </c>
      <c r="D44" s="18" t="s">
        <v>3381</v>
      </c>
      <c r="E44" s="11" t="s">
        <v>933</v>
      </c>
      <c r="F44" s="72">
        <v>11.52</v>
      </c>
      <c r="G44" s="37">
        <v>-105</v>
      </c>
      <c r="H44" s="21" t="s">
        <v>262</v>
      </c>
      <c r="I44" s="45">
        <f>IFERROR(ROUND(IF(Reinvest[[#This Row],[Result]]="L",0-Reinvest[[#This Row],[Risk]],IF(Reinvest[[#This Row],[Result]]="Push",0,IF(Reinvest[[#This Row],[Result]]="No Action",0,IF(Reinvest[[#This Row],[Result]]="W",IF(Reinvest[[#This Row],[Odds]]&gt;0,Reinvest[[#This Row],[Odds]]/100*Reinvest[[#This Row],[Risk]],(Reinvest[[#This Row],[Risk]]/Reinvest[[#This Row],[Odds]]*-100)),"")))),2),"")</f>
        <v>10.97</v>
      </c>
      <c r="J44" s="89" t="str">
        <f>IF(B44=B45,"",SUM($I$4:I44)/SUM($F$4:F44))</f>
        <v/>
      </c>
      <c r="K4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44" s="36"/>
      <c r="M44" s="24">
        <f t="shared" si="2"/>
        <v>0</v>
      </c>
      <c r="N44" s="1" t="str">
        <f>COUNTIFS(Reinvest[Date],M44,Reinvest[Result],"W")&amp;"-"&amp;COUNTIFS(Reinvest[Date],M44,Reinvest[Result],"L")&amp;IF(COUNTIFS(Reinvest[Date],M44,Reinvest[Result],"Push")&gt;0,"-"&amp;COUNTIFS(Reinvest[Date],M44,Reinvest[Result],"Push"),"")</f>
        <v>0-0</v>
      </c>
      <c r="O44" s="25" t="str">
        <f>IFERROR(COUNTIFS(Reinvest[Date],M44,Reinvest[Result],"W")/(COUNTIFS(Reinvest[Date],M44,Reinvest[Result],"W")+COUNTIFS(Reinvest[Date],M44,Reinvest[Result],"L")),"")</f>
        <v/>
      </c>
      <c r="P44" s="26">
        <f>SUMIF(Reinvest[Date],M44,Reinvest[Net])</f>
        <v>0</v>
      </c>
      <c r="Q44" s="27" t="str">
        <f>IFERROR("("&amp;ROUND(SUMIF(Reinvest[Date],M44,Reinvest[Net])/SUMIF(Reinvest[Date],M44,Reinvest[Risk]),2)*100&amp;"%)","")</f>
        <v/>
      </c>
    </row>
    <row r="45" spans="1:17" x14ac:dyDescent="0.25">
      <c r="A45" s="13">
        <f t="shared" si="1"/>
        <v>3</v>
      </c>
      <c r="B45" s="17">
        <v>43664</v>
      </c>
      <c r="C45" s="17" t="s">
        <v>802</v>
      </c>
      <c r="D45" s="18" t="s">
        <v>3382</v>
      </c>
      <c r="E45" s="11" t="s">
        <v>902</v>
      </c>
      <c r="F45" s="72">
        <v>11.9</v>
      </c>
      <c r="G45" s="37">
        <v>-110</v>
      </c>
      <c r="H45" s="21" t="s">
        <v>263</v>
      </c>
      <c r="I45" s="45">
        <f>IFERROR(ROUND(IF(Reinvest[[#This Row],[Result]]="L",0-Reinvest[[#This Row],[Risk]],IF(Reinvest[[#This Row],[Result]]="Push",0,IF(Reinvest[[#This Row],[Result]]="No Action",0,IF(Reinvest[[#This Row],[Result]]="W",IF(Reinvest[[#This Row],[Odds]]&gt;0,Reinvest[[#This Row],[Odds]]/100*Reinvest[[#This Row],[Risk]],(Reinvest[[#This Row],[Risk]]/Reinvest[[#This Row],[Odds]]*-100)),"")))),2),"")</f>
        <v>-11.9</v>
      </c>
      <c r="J45" s="89">
        <f>IF(B45=B46,"",SUM($I$4:I45)/SUM($F$4:F45))</f>
        <v>-8.8766666666666674E-2</v>
      </c>
      <c r="K45"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45" s="36"/>
      <c r="M45" s="24">
        <f t="shared" si="2"/>
        <v>0</v>
      </c>
      <c r="N45" s="1" t="str">
        <f>COUNTIFS(Reinvest[Date],M45,Reinvest[Result],"W")&amp;"-"&amp;COUNTIFS(Reinvest[Date],M45,Reinvest[Result],"L")&amp;IF(COUNTIFS(Reinvest[Date],M45,Reinvest[Result],"Push")&gt;0,"-"&amp;COUNTIFS(Reinvest[Date],M45,Reinvest[Result],"Push"),"")</f>
        <v>0-0</v>
      </c>
      <c r="O45" s="25" t="str">
        <f>IFERROR(COUNTIFS(Reinvest[Date],M45,Reinvest[Result],"W")/(COUNTIFS(Reinvest[Date],M45,Reinvest[Result],"W")+COUNTIFS(Reinvest[Date],M45,Reinvest[Result],"L")),"")</f>
        <v/>
      </c>
      <c r="P45" s="26">
        <f>SUMIF(Reinvest[Date],M45,Reinvest[Net])</f>
        <v>0</v>
      </c>
      <c r="Q45" s="27" t="str">
        <f>IFERROR("("&amp;ROUND(SUMIF(Reinvest[Date],M45,Reinvest[Net])/SUMIF(Reinvest[Date],M45,Reinvest[Risk]),2)*100&amp;"%)","")</f>
        <v/>
      </c>
    </row>
    <row r="46" spans="1:17" x14ac:dyDescent="0.25">
      <c r="A46" s="13">
        <f t="shared" si="1"/>
        <v>4</v>
      </c>
      <c r="B46" s="17">
        <v>43671</v>
      </c>
      <c r="C46" s="17" t="s">
        <v>802</v>
      </c>
      <c r="D46" s="18" t="s">
        <v>3502</v>
      </c>
      <c r="E46" s="11" t="s">
        <v>1152</v>
      </c>
      <c r="F46" s="19">
        <v>8.16</v>
      </c>
      <c r="G46" s="37" t="s">
        <v>3503</v>
      </c>
      <c r="H46" s="21" t="s">
        <v>263</v>
      </c>
      <c r="I46" s="45">
        <f>IFERROR(ROUND(IF(Reinvest[[#This Row],[Result]]="L",0-Reinvest[[#This Row],[Risk]],IF(Reinvest[[#This Row],[Result]]="Push",0,IF(Reinvest[[#This Row],[Result]]="No Action",0,IF(Reinvest[[#This Row],[Result]]="W",IF(Reinvest[[#This Row],[Odds]]&gt;0,Reinvest[[#This Row],[Odds]]/100*Reinvest[[#This Row],[Risk]],(Reinvest[[#This Row],[Risk]]/Reinvest[[#This Row],[Odds]]*-100)),"")))),2),"")</f>
        <v>-8.16</v>
      </c>
      <c r="J46" s="89" t="str">
        <f>IF(B46=B47,"",SUM($I$4:I46)/SUM($F$4:F46))</f>
        <v/>
      </c>
      <c r="K46"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46" s="11"/>
      <c r="M46" s="24">
        <f t="shared" si="2"/>
        <v>0</v>
      </c>
      <c r="N46" s="1" t="str">
        <f>COUNTIFS(Reinvest[Date],M46,Reinvest[Result],"W")&amp;"-"&amp;COUNTIFS(Reinvest[Date],M46,Reinvest[Result],"L")&amp;IF(COUNTIFS(Reinvest[Date],M46,Reinvest[Result],"Push")&gt;0,"-"&amp;COUNTIFS(Reinvest[Date],M46,Reinvest[Result],"Push"),"")</f>
        <v>0-0</v>
      </c>
      <c r="O46" s="25" t="str">
        <f>IFERROR(COUNTIFS(Reinvest[Date],M46,Reinvest[Result],"W")/(COUNTIFS(Reinvest[Date],M46,Reinvest[Result],"W")+COUNTIFS(Reinvest[Date],M46,Reinvest[Result],"L")),"")</f>
        <v/>
      </c>
      <c r="P46" s="26">
        <f>SUMIF(Reinvest[Date],M46,Reinvest[Net])</f>
        <v>0</v>
      </c>
      <c r="Q46" s="27" t="str">
        <f>IFERROR("("&amp;ROUND(SUMIF(Reinvest[Date],M46,Reinvest[Net])/SUMIF(Reinvest[Date],M46,Reinvest[Risk]),2)*100&amp;"%)","")</f>
        <v/>
      </c>
    </row>
    <row r="47" spans="1:17" x14ac:dyDescent="0.25">
      <c r="A47" s="13">
        <f t="shared" si="1"/>
        <v>4</v>
      </c>
      <c r="B47" s="17">
        <v>43671</v>
      </c>
      <c r="C47" s="17" t="s">
        <v>802</v>
      </c>
      <c r="D47" s="18" t="s">
        <v>3452</v>
      </c>
      <c r="E47" s="11" t="s">
        <v>1153</v>
      </c>
      <c r="F47" s="19">
        <v>6.32</v>
      </c>
      <c r="G47" s="37" t="s">
        <v>3385</v>
      </c>
      <c r="H47" s="21" t="s">
        <v>262</v>
      </c>
      <c r="I47" s="45">
        <f>IFERROR(ROUND(IF(Reinvest[[#This Row],[Result]]="L",0-Reinvest[[#This Row],[Risk]],IF(Reinvest[[#This Row],[Result]]="Push",0,IF(Reinvest[[#This Row],[Result]]="No Action",0,IF(Reinvest[[#This Row],[Result]]="W",IF(Reinvest[[#This Row],[Odds]]&gt;0,Reinvest[[#This Row],[Odds]]/100*Reinvest[[#This Row],[Risk]],(Reinvest[[#This Row],[Risk]]/Reinvest[[#This Row],[Odds]]*-100)),"")))),2),"")</f>
        <v>16.12</v>
      </c>
      <c r="J47" s="89" t="str">
        <f>IF(B47=B48,"",SUM($I$4:I47)/SUM($F$4:F47))</f>
        <v/>
      </c>
      <c r="K47"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47" s="11"/>
      <c r="M47" s="24">
        <f t="shared" si="2"/>
        <v>0</v>
      </c>
      <c r="N47" s="1" t="str">
        <f>COUNTIFS(Reinvest[Date],M47,Reinvest[Result],"W")&amp;"-"&amp;COUNTIFS(Reinvest[Date],M47,Reinvest[Result],"L")&amp;IF(COUNTIFS(Reinvest[Date],M47,Reinvest[Result],"Push")&gt;0,"-"&amp;COUNTIFS(Reinvest[Date],M47,Reinvest[Result],"Push"),"")</f>
        <v>0-0</v>
      </c>
      <c r="O47" s="25" t="str">
        <f>IFERROR(COUNTIFS(Reinvest[Date],M47,Reinvest[Result],"W")/(COUNTIFS(Reinvest[Date],M47,Reinvest[Result],"W")+COUNTIFS(Reinvest[Date],M47,Reinvest[Result],"L")),"")</f>
        <v/>
      </c>
      <c r="P47" s="26">
        <f>SUMIF(Reinvest[Date],M47,Reinvest[Net])</f>
        <v>0</v>
      </c>
      <c r="Q47" s="27" t="str">
        <f>IFERROR("("&amp;ROUND(SUMIF(Reinvest[Date],M47,Reinvest[Net])/SUMIF(Reinvest[Date],M47,Reinvest[Risk]),2)*100&amp;"%)","")</f>
        <v/>
      </c>
    </row>
    <row r="48" spans="1:17" x14ac:dyDescent="0.25">
      <c r="A48" s="13">
        <f t="shared" si="1"/>
        <v>4</v>
      </c>
      <c r="B48" s="17">
        <v>43671</v>
      </c>
      <c r="C48" s="17" t="s">
        <v>802</v>
      </c>
      <c r="D48" s="18" t="s">
        <v>3504</v>
      </c>
      <c r="E48" s="11" t="s">
        <v>832</v>
      </c>
      <c r="F48" s="19">
        <v>10.77</v>
      </c>
      <c r="G48" s="37">
        <v>-120</v>
      </c>
      <c r="H48" s="21" t="s">
        <v>263</v>
      </c>
      <c r="I48" s="45">
        <f>IFERROR(ROUND(IF(Reinvest[[#This Row],[Result]]="L",0-Reinvest[[#This Row],[Risk]],IF(Reinvest[[#This Row],[Result]]="Push",0,IF(Reinvest[[#This Row],[Result]]="No Action",0,IF(Reinvest[[#This Row],[Result]]="W",IF(Reinvest[[#This Row],[Odds]]&gt;0,Reinvest[[#This Row],[Odds]]/100*Reinvest[[#This Row],[Risk]],(Reinvest[[#This Row],[Risk]]/Reinvest[[#This Row],[Odds]]*-100)),"")))),2),"")</f>
        <v>-10.77</v>
      </c>
      <c r="J48" s="89" t="str">
        <f>IF(B48=B49,"",SUM($I$4:I48)/SUM($F$4:F48))</f>
        <v/>
      </c>
      <c r="K48"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48" s="36"/>
      <c r="M48" s="24">
        <f t="shared" si="2"/>
        <v>0</v>
      </c>
      <c r="N48" s="1" t="str">
        <f>COUNTIFS(Reinvest[Date],M48,Reinvest[Result],"W")&amp;"-"&amp;COUNTIFS(Reinvest[Date],M48,Reinvest[Result],"L")&amp;IF(COUNTIFS(Reinvest[Date],M48,Reinvest[Result],"Push")&gt;0,"-"&amp;COUNTIFS(Reinvest[Date],M48,Reinvest[Result],"Push"),"")</f>
        <v>0-0</v>
      </c>
      <c r="O48" s="25" t="str">
        <f>IFERROR(COUNTIFS(Reinvest[Date],M48,Reinvest[Result],"W")/(COUNTIFS(Reinvest[Date],M48,Reinvest[Result],"W")+COUNTIFS(Reinvest[Date],M48,Reinvest[Result],"L")),"")</f>
        <v/>
      </c>
      <c r="P48" s="26">
        <f>SUMIF(Reinvest[Date],M48,Reinvest[Net])</f>
        <v>0</v>
      </c>
      <c r="Q48" s="27" t="str">
        <f>IFERROR("("&amp;ROUND(SUMIF(Reinvest[Date],M48,Reinvest[Net])/SUMIF(Reinvest[Date],M48,Reinvest[Risk]),2)*100&amp;"%)","")</f>
        <v/>
      </c>
    </row>
    <row r="49" spans="1:17" x14ac:dyDescent="0.25">
      <c r="A49" s="13">
        <f t="shared" si="1"/>
        <v>4</v>
      </c>
      <c r="B49" s="17">
        <v>43671</v>
      </c>
      <c r="C49" s="17" t="s">
        <v>802</v>
      </c>
      <c r="D49" s="18" t="s">
        <v>3505</v>
      </c>
      <c r="E49" s="11" t="s">
        <v>1178</v>
      </c>
      <c r="F49" s="19">
        <v>11.32</v>
      </c>
      <c r="G49" s="37">
        <v>-145</v>
      </c>
      <c r="H49" s="21" t="s">
        <v>262</v>
      </c>
      <c r="I49" s="45">
        <f>IFERROR(ROUND(IF(Reinvest[[#This Row],[Result]]="L",0-Reinvest[[#This Row],[Risk]],IF(Reinvest[[#This Row],[Result]]="Push",0,IF(Reinvest[[#This Row],[Result]]="No Action",0,IF(Reinvest[[#This Row],[Result]]="W",IF(Reinvest[[#This Row],[Odds]]&gt;0,Reinvest[[#This Row],[Odds]]/100*Reinvest[[#This Row],[Risk]],(Reinvest[[#This Row],[Risk]]/Reinvest[[#This Row],[Odds]]*-100)),"")))),2),"")</f>
        <v>7.81</v>
      </c>
      <c r="J49" s="89" t="str">
        <f>IF(B49=B50,"",SUM($I$4:I49)/SUM($F$4:F49))</f>
        <v/>
      </c>
      <c r="K49"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49" s="36"/>
      <c r="M49" s="24">
        <f t="shared" si="2"/>
        <v>0</v>
      </c>
      <c r="N49" s="1" t="str">
        <f>COUNTIFS(Reinvest[Date],M49,Reinvest[Result],"W")&amp;"-"&amp;COUNTIFS(Reinvest[Date],M49,Reinvest[Result],"L")&amp;IF(COUNTIFS(Reinvest[Date],M49,Reinvest[Result],"Push")&gt;0,"-"&amp;COUNTIFS(Reinvest[Date],M49,Reinvest[Result],"Push"),"")</f>
        <v>0-0</v>
      </c>
      <c r="O49" s="25" t="str">
        <f>IFERROR(COUNTIFS(Reinvest[Date],M49,Reinvest[Result],"W")/(COUNTIFS(Reinvest[Date],M49,Reinvest[Result],"W")+COUNTIFS(Reinvest[Date],M49,Reinvest[Result],"L")),"")</f>
        <v/>
      </c>
      <c r="P49" s="26">
        <f>SUMIF(Reinvest[Date],M49,Reinvest[Net])</f>
        <v>0</v>
      </c>
      <c r="Q49" s="27" t="str">
        <f>IFERROR("("&amp;ROUND(SUMIF(Reinvest[Date],M49,Reinvest[Net])/SUMIF(Reinvest[Date],M49,Reinvest[Risk]),2)*100&amp;"%)","")</f>
        <v/>
      </c>
    </row>
    <row r="50" spans="1:17" x14ac:dyDescent="0.25">
      <c r="A50" s="13">
        <f t="shared" si="1"/>
        <v>4</v>
      </c>
      <c r="B50" s="17">
        <v>43671</v>
      </c>
      <c r="C50" s="17" t="s">
        <v>802</v>
      </c>
      <c r="D50" s="18" t="s">
        <v>3506</v>
      </c>
      <c r="E50" s="11" t="s">
        <v>3507</v>
      </c>
      <c r="F50" s="19">
        <v>13.42</v>
      </c>
      <c r="G50" s="37">
        <v>-220</v>
      </c>
      <c r="H50" s="21" t="s">
        <v>263</v>
      </c>
      <c r="I50" s="45">
        <f>IFERROR(ROUND(IF(Reinvest[[#This Row],[Result]]="L",0-Reinvest[[#This Row],[Risk]],IF(Reinvest[[#This Row],[Result]]="Push",0,IF(Reinvest[[#This Row],[Result]]="No Action",0,IF(Reinvest[[#This Row],[Result]]="W",IF(Reinvest[[#This Row],[Odds]]&gt;0,Reinvest[[#This Row],[Odds]]/100*Reinvest[[#This Row],[Risk]],(Reinvest[[#This Row],[Risk]]/Reinvest[[#This Row],[Odds]]*-100)),"")))),2),"")</f>
        <v>-13.42</v>
      </c>
      <c r="J50" s="89" t="str">
        <f>IF(B50=B51,"",SUM($I$4:I50)/SUM($F$4:F50))</f>
        <v/>
      </c>
      <c r="K50"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50" s="36"/>
      <c r="M50" s="24">
        <f t="shared" si="2"/>
        <v>0</v>
      </c>
      <c r="N50" s="1" t="str">
        <f>COUNTIFS(Reinvest[Date],M50,Reinvest[Result],"W")&amp;"-"&amp;COUNTIFS(Reinvest[Date],M50,Reinvest[Result],"L")&amp;IF(COUNTIFS(Reinvest[Date],M50,Reinvest[Result],"Push")&gt;0,"-"&amp;COUNTIFS(Reinvest[Date],M50,Reinvest[Result],"Push"),"")</f>
        <v>0-0</v>
      </c>
      <c r="O50" s="25" t="str">
        <f>IFERROR(COUNTIFS(Reinvest[Date],M50,Reinvest[Result],"W")/(COUNTIFS(Reinvest[Date],M50,Reinvest[Result],"W")+COUNTIFS(Reinvest[Date],M50,Reinvest[Result],"L")),"")</f>
        <v/>
      </c>
      <c r="P50" s="26">
        <f>SUMIF(Reinvest[Date],M50,Reinvest[Net])</f>
        <v>0</v>
      </c>
      <c r="Q50" s="27" t="str">
        <f>IFERROR("("&amp;ROUND(SUMIF(Reinvest[Date],M50,Reinvest[Net])/SUMIF(Reinvest[Date],M50,Reinvest[Risk]),2)*100&amp;"%)","")</f>
        <v/>
      </c>
    </row>
    <row r="51" spans="1:17" x14ac:dyDescent="0.25">
      <c r="A51" s="13">
        <f t="shared" si="1"/>
        <v>4</v>
      </c>
      <c r="B51" s="17">
        <v>43671</v>
      </c>
      <c r="C51" s="17" t="s">
        <v>802</v>
      </c>
      <c r="D51" s="18" t="s">
        <v>3508</v>
      </c>
      <c r="E51" s="11" t="s">
        <v>1209</v>
      </c>
      <c r="F51" s="19">
        <v>24.32</v>
      </c>
      <c r="G51" s="37">
        <v>-110</v>
      </c>
      <c r="H51" s="21" t="s">
        <v>262</v>
      </c>
      <c r="I51" s="45">
        <f>IFERROR(ROUND(IF(Reinvest[[#This Row],[Result]]="L",0-Reinvest[[#This Row],[Risk]],IF(Reinvest[[#This Row],[Result]]="Push",0,IF(Reinvest[[#This Row],[Result]]="No Action",0,IF(Reinvest[[#This Row],[Result]]="W",IF(Reinvest[[#This Row],[Odds]]&gt;0,Reinvest[[#This Row],[Odds]]/100*Reinvest[[#This Row],[Risk]],(Reinvest[[#This Row],[Risk]]/Reinvest[[#This Row],[Odds]]*-100)),"")))),2),"")</f>
        <v>22.11</v>
      </c>
      <c r="J51" s="89" t="str">
        <f>IF(B51=B52,"",SUM($I$4:I51)/SUM($F$4:F51))</f>
        <v/>
      </c>
      <c r="K51"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51" s="36"/>
      <c r="M51" s="24">
        <f t="shared" si="2"/>
        <v>0</v>
      </c>
      <c r="N51" s="1" t="str">
        <f>COUNTIFS(Reinvest[Date],M51,Reinvest[Result],"W")&amp;"-"&amp;COUNTIFS(Reinvest[Date],M51,Reinvest[Result],"L")&amp;IF(COUNTIFS(Reinvest[Date],M51,Reinvest[Result],"Push")&gt;0,"-"&amp;COUNTIFS(Reinvest[Date],M51,Reinvest[Result],"Push"),"")</f>
        <v>0-0</v>
      </c>
      <c r="O51" s="25" t="str">
        <f>IFERROR(COUNTIFS(Reinvest[Date],M51,Reinvest[Result],"W")/(COUNTIFS(Reinvest[Date],M51,Reinvest[Result],"W")+COUNTIFS(Reinvest[Date],M51,Reinvest[Result],"L")),"")</f>
        <v/>
      </c>
      <c r="P51" s="26">
        <f>SUMIF(Reinvest[Date],M51,Reinvest[Net])</f>
        <v>0</v>
      </c>
      <c r="Q51" s="27" t="str">
        <f>IFERROR("("&amp;ROUND(SUMIF(Reinvest[Date],M51,Reinvest[Net])/SUMIF(Reinvest[Date],M51,Reinvest[Risk]),2)*100&amp;"%)","")</f>
        <v/>
      </c>
    </row>
    <row r="52" spans="1:17" x14ac:dyDescent="0.25">
      <c r="A52" s="13">
        <f t="shared" si="1"/>
        <v>4</v>
      </c>
      <c r="B52" s="17">
        <v>43671</v>
      </c>
      <c r="C52" s="17" t="s">
        <v>802</v>
      </c>
      <c r="D52" s="18" t="s">
        <v>3506</v>
      </c>
      <c r="E52" s="11" t="s">
        <v>3509</v>
      </c>
      <c r="F52" s="19">
        <v>25.68</v>
      </c>
      <c r="G52" s="37">
        <v>-115</v>
      </c>
      <c r="H52" s="21" t="s">
        <v>262</v>
      </c>
      <c r="I52" s="45">
        <f>IFERROR(ROUND(IF(Reinvest[[#This Row],[Result]]="L",0-Reinvest[[#This Row],[Risk]],IF(Reinvest[[#This Row],[Result]]="Push",0,IF(Reinvest[[#This Row],[Result]]="No Action",0,IF(Reinvest[[#This Row],[Result]]="W",IF(Reinvest[[#This Row],[Odds]]&gt;0,Reinvest[[#This Row],[Odds]]/100*Reinvest[[#This Row],[Risk]],(Reinvest[[#This Row],[Risk]]/Reinvest[[#This Row],[Odds]]*-100)),"")))),2),"")</f>
        <v>22.33</v>
      </c>
      <c r="J52" s="89">
        <f>IF(B52=B53,"",SUM($I$4:I52)/SUM($F$4:F52))</f>
        <v>2.3475586889672263E-2</v>
      </c>
      <c r="K52"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52" s="36"/>
      <c r="M52" s="24">
        <f t="shared" si="2"/>
        <v>0</v>
      </c>
      <c r="N52" s="1" t="str">
        <f>COUNTIFS(Reinvest[Date],M52,Reinvest[Result],"W")&amp;"-"&amp;COUNTIFS(Reinvest[Date],M52,Reinvest[Result],"L")&amp;IF(COUNTIFS(Reinvest[Date],M52,Reinvest[Result],"Push")&gt;0,"-"&amp;COUNTIFS(Reinvest[Date],M52,Reinvest[Result],"Push"),"")</f>
        <v>0-0</v>
      </c>
      <c r="O52" s="25" t="str">
        <f>IFERROR(COUNTIFS(Reinvest[Date],M52,Reinvest[Result],"W")/(COUNTIFS(Reinvest[Date],M52,Reinvest[Result],"W")+COUNTIFS(Reinvest[Date],M52,Reinvest[Result],"L")),"")</f>
        <v/>
      </c>
      <c r="P52" s="26">
        <f>SUMIF(Reinvest[Date],M52,Reinvest[Net])</f>
        <v>0</v>
      </c>
      <c r="Q52" s="27" t="str">
        <f>IFERROR("("&amp;ROUND(SUMIF(Reinvest[Date],M52,Reinvest[Net])/SUMIF(Reinvest[Date],M52,Reinvest[Risk]),2)*100&amp;"%)","")</f>
        <v/>
      </c>
    </row>
    <row r="53" spans="1:17" x14ac:dyDescent="0.25">
      <c r="A53" s="13">
        <f t="shared" si="1"/>
        <v>5</v>
      </c>
      <c r="B53" s="17">
        <v>43672</v>
      </c>
      <c r="C53" s="17" t="s">
        <v>802</v>
      </c>
      <c r="D53" s="18" t="s">
        <v>3519</v>
      </c>
      <c r="E53" s="11" t="s">
        <v>819</v>
      </c>
      <c r="F53" s="19">
        <v>10.66</v>
      </c>
      <c r="G53" s="37">
        <v>-139</v>
      </c>
      <c r="H53" s="21" t="s">
        <v>262</v>
      </c>
      <c r="I53" s="45">
        <f>IFERROR(ROUND(IF(Reinvest[[#This Row],[Result]]="L",0-Reinvest[[#This Row],[Risk]],IF(Reinvest[[#This Row],[Result]]="Push",0,IF(Reinvest[[#This Row],[Result]]="No Action",0,IF(Reinvest[[#This Row],[Result]]="W",IF(Reinvest[[#This Row],[Odds]]&gt;0,Reinvest[[#This Row],[Odds]]/100*Reinvest[[#This Row],[Risk]],(Reinvest[[#This Row],[Risk]]/Reinvest[[#This Row],[Odds]]*-100)),"")))),2),"")</f>
        <v>7.67</v>
      </c>
      <c r="J53" s="89" t="str">
        <f>IF(B53=B54,"",SUM($I$4:I53)/SUM($F$4:F53))</f>
        <v/>
      </c>
      <c r="K53"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53" s="36"/>
      <c r="M53" s="24">
        <f t="shared" si="2"/>
        <v>0</v>
      </c>
      <c r="N53" s="1" t="str">
        <f>COUNTIFS(Reinvest[Date],M53,Reinvest[Result],"W")&amp;"-"&amp;COUNTIFS(Reinvest[Date],M53,Reinvest[Result],"L")&amp;IF(COUNTIFS(Reinvest[Date],M53,Reinvest[Result],"Push")&gt;0,"-"&amp;COUNTIFS(Reinvest[Date],M53,Reinvest[Result],"Push"),"")</f>
        <v>0-0</v>
      </c>
      <c r="O53" s="25" t="str">
        <f>IFERROR(COUNTIFS(Reinvest[Date],M53,Reinvest[Result],"W")/(COUNTIFS(Reinvest[Date],M53,Reinvest[Result],"W")+COUNTIFS(Reinvest[Date],M53,Reinvest[Result],"L")),"")</f>
        <v/>
      </c>
      <c r="P53" s="26">
        <f>SUMIF(Reinvest[Date],M53,Reinvest[Net])</f>
        <v>0</v>
      </c>
      <c r="Q53" s="27" t="str">
        <f>IFERROR("("&amp;ROUND(SUMIF(Reinvest[Date],M53,Reinvest[Net])/SUMIF(Reinvest[Date],M53,Reinvest[Risk]),2)*100&amp;"%)","")</f>
        <v/>
      </c>
    </row>
    <row r="54" spans="1:17" x14ac:dyDescent="0.25">
      <c r="A54" s="13">
        <f t="shared" si="1"/>
        <v>5</v>
      </c>
      <c r="B54" s="17">
        <v>43672</v>
      </c>
      <c r="C54" s="17" t="s">
        <v>802</v>
      </c>
      <c r="D54" s="18" t="s">
        <v>3520</v>
      </c>
      <c r="E54" s="11" t="s">
        <v>876</v>
      </c>
      <c r="F54" s="19">
        <v>8.6199999999999992</v>
      </c>
      <c r="G54" s="37" t="s">
        <v>3521</v>
      </c>
      <c r="H54" s="21" t="s">
        <v>263</v>
      </c>
      <c r="I54" s="45">
        <f>IFERROR(ROUND(IF(Reinvest[[#This Row],[Result]]="L",0-Reinvest[[#This Row],[Risk]],IF(Reinvest[[#This Row],[Result]]="Push",0,IF(Reinvest[[#This Row],[Result]]="No Action",0,IF(Reinvest[[#This Row],[Result]]="W",IF(Reinvest[[#This Row],[Odds]]&gt;0,Reinvest[[#This Row],[Odds]]/100*Reinvest[[#This Row],[Risk]],(Reinvest[[#This Row],[Risk]]/Reinvest[[#This Row],[Odds]]*-100)),"")))),2),"")</f>
        <v>-8.6199999999999992</v>
      </c>
      <c r="J54" s="89" t="str">
        <f>IF(B54=B55,"",SUM($I$4:I54)/SUM($F$4:F54))</f>
        <v/>
      </c>
      <c r="K5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54" s="36"/>
      <c r="M54" s="24">
        <f t="shared" si="2"/>
        <v>0</v>
      </c>
      <c r="N54" s="1" t="str">
        <f>COUNTIFS(Reinvest[Date],M54,Reinvest[Result],"W")&amp;"-"&amp;COUNTIFS(Reinvest[Date],M54,Reinvest[Result],"L")&amp;IF(COUNTIFS(Reinvest[Date],M54,Reinvest[Result],"Push")&gt;0,"-"&amp;COUNTIFS(Reinvest[Date],M54,Reinvest[Result],"Push"),"")</f>
        <v>0-0</v>
      </c>
      <c r="O54" s="25" t="str">
        <f>IFERROR(COUNTIFS(Reinvest[Date],M54,Reinvest[Result],"W")/(COUNTIFS(Reinvest[Date],M54,Reinvest[Result],"W")+COUNTIFS(Reinvest[Date],M54,Reinvest[Result],"L")),"")</f>
        <v/>
      </c>
      <c r="P54" s="26">
        <f>SUMIF(Reinvest[Date],M54,Reinvest[Net])</f>
        <v>0</v>
      </c>
      <c r="Q54" s="27" t="str">
        <f>IFERROR("("&amp;ROUND(SUMIF(Reinvest[Date],M54,Reinvest[Net])/SUMIF(Reinvest[Date],M54,Reinvest[Risk]),2)*100&amp;"%)","")</f>
        <v/>
      </c>
    </row>
    <row r="55" spans="1:17" x14ac:dyDescent="0.25">
      <c r="A55" s="13">
        <f t="shared" si="1"/>
        <v>5</v>
      </c>
      <c r="B55" s="17">
        <v>43672</v>
      </c>
      <c r="C55" s="17" t="s">
        <v>802</v>
      </c>
      <c r="D55" s="18" t="s">
        <v>3505</v>
      </c>
      <c r="E55" s="11" t="s">
        <v>1178</v>
      </c>
      <c r="F55" s="19">
        <v>11.35</v>
      </c>
      <c r="G55" s="37">
        <v>-160</v>
      </c>
      <c r="H55" s="21" t="s">
        <v>262</v>
      </c>
      <c r="I55" s="45">
        <f>IFERROR(ROUND(IF(Reinvest[[#This Row],[Result]]="L",0-Reinvest[[#This Row],[Risk]],IF(Reinvest[[#This Row],[Result]]="Push",0,IF(Reinvest[[#This Row],[Result]]="No Action",0,IF(Reinvest[[#This Row],[Result]]="W",IF(Reinvest[[#This Row],[Odds]]&gt;0,Reinvest[[#This Row],[Odds]]/100*Reinvest[[#This Row],[Risk]],(Reinvest[[#This Row],[Risk]]/Reinvest[[#This Row],[Odds]]*-100)),"")))),2),"")</f>
        <v>7.09</v>
      </c>
      <c r="J55" s="89" t="str">
        <f>IF(B55=B56,"",SUM($I$4:I55)/SUM($F$4:F55))</f>
        <v/>
      </c>
      <c r="K55"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55" s="36"/>
      <c r="M55" s="24">
        <f t="shared" si="2"/>
        <v>0</v>
      </c>
      <c r="N55" s="1" t="str">
        <f>COUNTIFS(Reinvest[Date],M55,Reinvest[Result],"W")&amp;"-"&amp;COUNTIFS(Reinvest[Date],M55,Reinvest[Result],"L")&amp;IF(COUNTIFS(Reinvest[Date],M55,Reinvest[Result],"Push")&gt;0,"-"&amp;COUNTIFS(Reinvest[Date],M55,Reinvest[Result],"Push"),"")</f>
        <v>0-0</v>
      </c>
      <c r="O55" s="25" t="str">
        <f>IFERROR(COUNTIFS(Reinvest[Date],M55,Reinvest[Result],"W")/(COUNTIFS(Reinvest[Date],M55,Reinvest[Result],"W")+COUNTIFS(Reinvest[Date],M55,Reinvest[Result],"L")),"")</f>
        <v/>
      </c>
      <c r="P55" s="26">
        <f>SUMIF(Reinvest[Date],M55,Reinvest[Net])</f>
        <v>0</v>
      </c>
      <c r="Q55" s="27" t="str">
        <f>IFERROR("("&amp;ROUND(SUMIF(Reinvest[Date],M55,Reinvest[Net])/SUMIF(Reinvest[Date],M55,Reinvest[Risk]),2)*100&amp;"%)","")</f>
        <v/>
      </c>
    </row>
    <row r="56" spans="1:17" x14ac:dyDescent="0.25">
      <c r="A56" s="13">
        <f t="shared" si="1"/>
        <v>5</v>
      </c>
      <c r="B56" s="17">
        <v>43672</v>
      </c>
      <c r="C56" s="17" t="s">
        <v>802</v>
      </c>
      <c r="D56" s="18" t="s">
        <v>1462</v>
      </c>
      <c r="E56" s="11" t="s">
        <v>810</v>
      </c>
      <c r="F56" s="19">
        <v>8.49</v>
      </c>
      <c r="G56" s="37" t="s">
        <v>3522</v>
      </c>
      <c r="H56" s="21" t="s">
        <v>262</v>
      </c>
      <c r="I56" s="45">
        <f>IFERROR(ROUND(IF(Reinvest[[#This Row],[Result]]="L",0-Reinvest[[#This Row],[Risk]],IF(Reinvest[[#This Row],[Result]]="Push",0,IF(Reinvest[[#This Row],[Result]]="No Action",0,IF(Reinvest[[#This Row],[Result]]="W",IF(Reinvest[[#This Row],[Odds]]&gt;0,Reinvest[[#This Row],[Odds]]/100*Reinvest[[#This Row],[Risk]],(Reinvest[[#This Row],[Risk]]/Reinvest[[#This Row],[Odds]]*-100)),"")))),2),"")</f>
        <v>10.53</v>
      </c>
      <c r="J56" s="89" t="str">
        <f>IF(B56=B57,"",SUM($I$4:I56)/SUM($F$4:F56))</f>
        <v/>
      </c>
      <c r="K56"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56" s="36"/>
      <c r="M56" s="24">
        <f t="shared" si="2"/>
        <v>0</v>
      </c>
      <c r="N56" s="1" t="str">
        <f>COUNTIFS(Reinvest[Date],M56,Reinvest[Result],"W")&amp;"-"&amp;COUNTIFS(Reinvest[Date],M56,Reinvest[Result],"L")&amp;IF(COUNTIFS(Reinvest[Date],M56,Reinvest[Result],"Push")&gt;0,"-"&amp;COUNTIFS(Reinvest[Date],M56,Reinvest[Result],"Push"),"")</f>
        <v>0-0</v>
      </c>
      <c r="O56" s="25" t="str">
        <f>IFERROR(COUNTIFS(Reinvest[Date],M56,Reinvest[Result],"W")/(COUNTIFS(Reinvest[Date],M56,Reinvest[Result],"W")+COUNTIFS(Reinvest[Date],M56,Reinvest[Result],"L")),"")</f>
        <v/>
      </c>
      <c r="P56" s="26">
        <f>SUMIF(Reinvest[Date],M56,Reinvest[Net])</f>
        <v>0</v>
      </c>
      <c r="Q56" s="27" t="str">
        <f>IFERROR("("&amp;ROUND(SUMIF(Reinvest[Date],M56,Reinvest[Net])/SUMIF(Reinvest[Date],M56,Reinvest[Risk]),2)*100&amp;"%)","")</f>
        <v/>
      </c>
    </row>
    <row r="57" spans="1:17" x14ac:dyDescent="0.25">
      <c r="A57" s="13">
        <f t="shared" si="1"/>
        <v>5</v>
      </c>
      <c r="B57" s="17">
        <v>43672</v>
      </c>
      <c r="C57" s="17" t="s">
        <v>802</v>
      </c>
      <c r="D57" s="18" t="s">
        <v>3523</v>
      </c>
      <c r="E57" s="11" t="s">
        <v>836</v>
      </c>
      <c r="F57" s="19">
        <v>10.89</v>
      </c>
      <c r="G57" s="37">
        <v>-132</v>
      </c>
      <c r="H57" s="21" t="s">
        <v>262</v>
      </c>
      <c r="I57" s="45">
        <f>IFERROR(ROUND(IF(Reinvest[[#This Row],[Result]]="L",0-Reinvest[[#This Row],[Risk]],IF(Reinvest[[#This Row],[Result]]="Push",0,IF(Reinvest[[#This Row],[Result]]="No Action",0,IF(Reinvest[[#This Row],[Result]]="W",IF(Reinvest[[#This Row],[Odds]]&gt;0,Reinvest[[#This Row],[Odds]]/100*Reinvest[[#This Row],[Risk]],(Reinvest[[#This Row],[Risk]]/Reinvest[[#This Row],[Odds]]*-100)),"")))),2),"")</f>
        <v>8.25</v>
      </c>
      <c r="J57" s="89" t="str">
        <f>IF(B57=B58,"",SUM($I$4:I57)/SUM($F$4:F57))</f>
        <v/>
      </c>
      <c r="K57"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57" s="36"/>
      <c r="M57" s="24">
        <f t="shared" si="2"/>
        <v>0</v>
      </c>
      <c r="N57" s="1" t="str">
        <f>COUNTIFS(Reinvest[Date],M57,Reinvest[Result],"W")&amp;"-"&amp;COUNTIFS(Reinvest[Date],M57,Reinvest[Result],"L")&amp;IF(COUNTIFS(Reinvest[Date],M57,Reinvest[Result],"Push")&gt;0,"-"&amp;COUNTIFS(Reinvest[Date],M57,Reinvest[Result],"Push"),"")</f>
        <v>0-0</v>
      </c>
      <c r="O57" s="25" t="str">
        <f>IFERROR(COUNTIFS(Reinvest[Date],M57,Reinvest[Result],"W")/(COUNTIFS(Reinvest[Date],M57,Reinvest[Result],"W")+COUNTIFS(Reinvest[Date],M57,Reinvest[Result],"L")),"")</f>
        <v/>
      </c>
      <c r="P57" s="26">
        <f>SUMIF(Reinvest[Date],M57,Reinvest[Net])</f>
        <v>0</v>
      </c>
      <c r="Q57" s="27" t="str">
        <f>IFERROR("("&amp;ROUND(SUMIF(Reinvest[Date],M57,Reinvest[Net])/SUMIF(Reinvest[Date],M57,Reinvest[Risk]),2)*100&amp;"%)","")</f>
        <v/>
      </c>
    </row>
    <row r="58" spans="1:17" x14ac:dyDescent="0.25">
      <c r="A58" s="13">
        <f t="shared" si="1"/>
        <v>5</v>
      </c>
      <c r="B58" s="17">
        <v>43672</v>
      </c>
      <c r="C58" s="17" t="s">
        <v>802</v>
      </c>
      <c r="D58" s="18" t="s">
        <v>3524</v>
      </c>
      <c r="E58" s="11" t="s">
        <v>845</v>
      </c>
      <c r="F58" s="19">
        <v>25.42</v>
      </c>
      <c r="G58" s="37">
        <v>-110</v>
      </c>
      <c r="H58" s="21" t="s">
        <v>262</v>
      </c>
      <c r="I58" s="45">
        <f>IFERROR(ROUND(IF(Reinvest[[#This Row],[Result]]="L",0-Reinvest[[#This Row],[Risk]],IF(Reinvest[[#This Row],[Result]]="Push",0,IF(Reinvest[[#This Row],[Result]]="No Action",0,IF(Reinvest[[#This Row],[Result]]="W",IF(Reinvest[[#This Row],[Odds]]&gt;0,Reinvest[[#This Row],[Odds]]/100*Reinvest[[#This Row],[Risk]],(Reinvest[[#This Row],[Risk]]/Reinvest[[#This Row],[Odds]]*-100)),"")))),2),"")</f>
        <v>23.11</v>
      </c>
      <c r="J58" s="89" t="str">
        <f>IF(B58=B59,"",SUM($I$4:I58)/SUM($F$4:F58))</f>
        <v/>
      </c>
      <c r="K58"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58" s="36"/>
      <c r="M58" s="24">
        <f t="shared" si="2"/>
        <v>0</v>
      </c>
      <c r="N58" s="1" t="str">
        <f>COUNTIFS(Reinvest[Date],M58,Reinvest[Result],"W")&amp;"-"&amp;COUNTIFS(Reinvest[Date],M58,Reinvest[Result],"L")&amp;IF(COUNTIFS(Reinvest[Date],M58,Reinvest[Result],"Push")&gt;0,"-"&amp;COUNTIFS(Reinvest[Date],M58,Reinvest[Result],"Push"),"")</f>
        <v>0-0</v>
      </c>
      <c r="O58" s="25" t="str">
        <f>IFERROR(COUNTIFS(Reinvest[Date],M58,Reinvest[Result],"W")/(COUNTIFS(Reinvest[Date],M58,Reinvest[Result],"W")+COUNTIFS(Reinvest[Date],M58,Reinvest[Result],"L")),"")</f>
        <v/>
      </c>
      <c r="P58" s="26">
        <f>SUMIF(Reinvest[Date],M58,Reinvest[Net])</f>
        <v>0</v>
      </c>
      <c r="Q58" s="27" t="str">
        <f>IFERROR("("&amp;ROUND(SUMIF(Reinvest[Date],M58,Reinvest[Net])/SUMIF(Reinvest[Date],M58,Reinvest[Risk]),2)*100&amp;"%)","")</f>
        <v/>
      </c>
    </row>
    <row r="59" spans="1:17" x14ac:dyDescent="0.25">
      <c r="A59" s="13">
        <f t="shared" si="1"/>
        <v>5</v>
      </c>
      <c r="B59" s="17">
        <v>43672</v>
      </c>
      <c r="C59" s="17" t="s">
        <v>802</v>
      </c>
      <c r="D59" s="18" t="s">
        <v>833</v>
      </c>
      <c r="E59" s="11" t="s">
        <v>845</v>
      </c>
      <c r="F59" s="19">
        <v>24.58</v>
      </c>
      <c r="G59" s="37">
        <v>-105</v>
      </c>
      <c r="H59" s="21" t="s">
        <v>263</v>
      </c>
      <c r="I59" s="45">
        <f>IFERROR(ROUND(IF(Reinvest[[#This Row],[Result]]="L",0-Reinvest[[#This Row],[Risk]],IF(Reinvest[[#This Row],[Result]]="Push",0,IF(Reinvest[[#This Row],[Result]]="No Action",0,IF(Reinvest[[#This Row],[Result]]="W",IF(Reinvest[[#This Row],[Odds]]&gt;0,Reinvest[[#This Row],[Odds]]/100*Reinvest[[#This Row],[Risk]],(Reinvest[[#This Row],[Risk]]/Reinvest[[#This Row],[Odds]]*-100)),"")))),2),"")</f>
        <v>-24.58</v>
      </c>
      <c r="J59" s="89">
        <f>IF(B59=B60,"",SUM($I$4:I59)/SUM($F$4:F59))</f>
        <v>6.5680000000000016E-2</v>
      </c>
      <c r="K59"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59" s="36"/>
      <c r="M59" s="24">
        <f t="shared" si="2"/>
        <v>0</v>
      </c>
      <c r="N59" s="1" t="str">
        <f>COUNTIFS(Reinvest[Date],M59,Reinvest[Result],"W")&amp;"-"&amp;COUNTIFS(Reinvest[Date],M59,Reinvest[Result],"L")&amp;IF(COUNTIFS(Reinvest[Date],M59,Reinvest[Result],"Push")&gt;0,"-"&amp;COUNTIFS(Reinvest[Date],M59,Reinvest[Result],"Push"),"")</f>
        <v>0-0</v>
      </c>
      <c r="O59" s="25" t="str">
        <f>IFERROR(COUNTIFS(Reinvest[Date],M59,Reinvest[Result],"W")/(COUNTIFS(Reinvest[Date],M59,Reinvest[Result],"W")+COUNTIFS(Reinvest[Date],M59,Reinvest[Result],"L")),"")</f>
        <v/>
      </c>
      <c r="P59" s="26">
        <f>SUMIF(Reinvest[Date],M59,Reinvest[Net])</f>
        <v>0</v>
      </c>
      <c r="Q59" s="27" t="str">
        <f>IFERROR("("&amp;ROUND(SUMIF(Reinvest[Date],M59,Reinvest[Net])/SUMIF(Reinvest[Date],M59,Reinvest[Risk]),2)*100&amp;"%)","")</f>
        <v/>
      </c>
    </row>
    <row r="60" spans="1:17" x14ac:dyDescent="0.25">
      <c r="A60" s="13">
        <f t="shared" si="1"/>
        <v>6</v>
      </c>
      <c r="B60" s="17">
        <v>43675</v>
      </c>
      <c r="C60" s="17" t="s">
        <v>802</v>
      </c>
      <c r="D60" s="18" t="s">
        <v>3592</v>
      </c>
      <c r="E60" s="11" t="s">
        <v>815</v>
      </c>
      <c r="F60" s="19">
        <v>12.49</v>
      </c>
      <c r="G60" s="37" t="s">
        <v>825</v>
      </c>
      <c r="H60" s="21" t="s">
        <v>263</v>
      </c>
      <c r="I60" s="45">
        <f>IFERROR(ROUND(IF(Reinvest[[#This Row],[Result]]="L",0-Reinvest[[#This Row],[Risk]],IF(Reinvest[[#This Row],[Result]]="Push",0,IF(Reinvest[[#This Row],[Result]]="No Action",0,IF(Reinvest[[#This Row],[Result]]="W",IF(Reinvest[[#This Row],[Odds]]&gt;0,Reinvest[[#This Row],[Odds]]/100*Reinvest[[#This Row],[Risk]],(Reinvest[[#This Row],[Risk]]/Reinvest[[#This Row],[Odds]]*-100)),"")))),2),"")</f>
        <v>-12.49</v>
      </c>
      <c r="J60" s="89" t="str">
        <f>IF(B60=B61,"",SUM($I$4:I60)/SUM($F$4:F60))</f>
        <v/>
      </c>
      <c r="K60"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60" s="36"/>
      <c r="M60" s="24">
        <f t="shared" si="2"/>
        <v>0</v>
      </c>
      <c r="N60" s="1" t="str">
        <f>COUNTIFS(Reinvest[Date],M60,Reinvest[Result],"W")&amp;"-"&amp;COUNTIFS(Reinvest[Date],M60,Reinvest[Result],"L")&amp;IF(COUNTIFS(Reinvest[Date],M60,Reinvest[Result],"Push")&gt;0,"-"&amp;COUNTIFS(Reinvest[Date],M60,Reinvest[Result],"Push"),"")</f>
        <v>0-0</v>
      </c>
      <c r="O60" s="25" t="str">
        <f>IFERROR(COUNTIFS(Reinvest[Date],M60,Reinvest[Result],"W")/(COUNTIFS(Reinvest[Date],M60,Reinvest[Result],"W")+COUNTIFS(Reinvest[Date],M60,Reinvest[Result],"L")),"")</f>
        <v/>
      </c>
      <c r="P60" s="26">
        <f>SUMIF(Reinvest[Date],M60,Reinvest[Net])</f>
        <v>0</v>
      </c>
      <c r="Q60" s="27" t="str">
        <f>IFERROR("("&amp;ROUND(SUMIF(Reinvest[Date],M60,Reinvest[Net])/SUMIF(Reinvest[Date],M60,Reinvest[Risk]),2)*100&amp;"%)","")</f>
        <v/>
      </c>
    </row>
    <row r="61" spans="1:17" x14ac:dyDescent="0.25">
      <c r="A61" s="13">
        <f t="shared" si="1"/>
        <v>6</v>
      </c>
      <c r="B61" s="17">
        <v>43675</v>
      </c>
      <c r="C61" s="17" t="s">
        <v>802</v>
      </c>
      <c r="D61" s="18" t="s">
        <v>1336</v>
      </c>
      <c r="E61" s="11" t="s">
        <v>876</v>
      </c>
      <c r="F61" s="19">
        <v>11.7</v>
      </c>
      <c r="G61" s="37" t="s">
        <v>3503</v>
      </c>
      <c r="H61" s="21" t="s">
        <v>263</v>
      </c>
      <c r="I61" s="45">
        <f>IFERROR(ROUND(IF(Reinvest[[#This Row],[Result]]="L",0-Reinvest[[#This Row],[Risk]],IF(Reinvest[[#This Row],[Result]]="Push",0,IF(Reinvest[[#This Row],[Result]]="No Action",0,IF(Reinvest[[#This Row],[Result]]="W",IF(Reinvest[[#This Row],[Odds]]&gt;0,Reinvest[[#This Row],[Odds]]/100*Reinvest[[#This Row],[Risk]],(Reinvest[[#This Row],[Risk]]/Reinvest[[#This Row],[Odds]]*-100)),"")))),2),"")</f>
        <v>-11.7</v>
      </c>
      <c r="J61" s="89" t="str">
        <f>IF(B61=B62,"",SUM($I$4:I61)/SUM($F$4:F61))</f>
        <v/>
      </c>
      <c r="K61"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61" s="36"/>
      <c r="M61" s="24">
        <f t="shared" si="2"/>
        <v>0</v>
      </c>
      <c r="N61" s="1" t="str">
        <f>COUNTIFS(Reinvest[Date],M61,Reinvest[Result],"W")&amp;"-"&amp;COUNTIFS(Reinvest[Date],M61,Reinvest[Result],"L")&amp;IF(COUNTIFS(Reinvest[Date],M61,Reinvest[Result],"Push")&gt;0,"-"&amp;COUNTIFS(Reinvest[Date],M61,Reinvest[Result],"Push"),"")</f>
        <v>0-0</v>
      </c>
      <c r="O61" s="25" t="str">
        <f>IFERROR(COUNTIFS(Reinvest[Date],M61,Reinvest[Result],"W")/(COUNTIFS(Reinvest[Date],M61,Reinvest[Result],"W")+COUNTIFS(Reinvest[Date],M61,Reinvest[Result],"L")),"")</f>
        <v/>
      </c>
      <c r="P61" s="26">
        <f>SUMIF(Reinvest[Date],M61,Reinvest[Net])</f>
        <v>0</v>
      </c>
      <c r="Q61" s="27" t="str">
        <f>IFERROR("("&amp;ROUND(SUMIF(Reinvest[Date],M61,Reinvest[Net])/SUMIF(Reinvest[Date],M61,Reinvest[Risk]),2)*100&amp;"%)","")</f>
        <v/>
      </c>
    </row>
    <row r="62" spans="1:17" x14ac:dyDescent="0.25">
      <c r="A62" s="13">
        <f t="shared" si="1"/>
        <v>6</v>
      </c>
      <c r="B62" s="17">
        <v>43675</v>
      </c>
      <c r="C62" s="17" t="s">
        <v>802</v>
      </c>
      <c r="D62" s="18" t="s">
        <v>1443</v>
      </c>
      <c r="E62" s="11" t="s">
        <v>827</v>
      </c>
      <c r="F62" s="19">
        <v>16.29</v>
      </c>
      <c r="G62" s="37">
        <v>-130</v>
      </c>
      <c r="H62" s="21" t="s">
        <v>263</v>
      </c>
      <c r="I62" s="45">
        <f>IFERROR(ROUND(IF(Reinvest[[#This Row],[Result]]="L",0-Reinvest[[#This Row],[Risk]],IF(Reinvest[[#This Row],[Result]]="Push",0,IF(Reinvest[[#This Row],[Result]]="No Action",0,IF(Reinvest[[#This Row],[Result]]="W",IF(Reinvest[[#This Row],[Odds]]&gt;0,Reinvest[[#This Row],[Odds]]/100*Reinvest[[#This Row],[Risk]],(Reinvest[[#This Row],[Risk]]/Reinvest[[#This Row],[Odds]]*-100)),"")))),2),"")</f>
        <v>-16.29</v>
      </c>
      <c r="J62" s="89" t="str">
        <f>IF(B62=B63,"",SUM($I$4:I62)/SUM($F$4:F62))</f>
        <v/>
      </c>
      <c r="K62"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62" s="36"/>
      <c r="M62" s="24">
        <f t="shared" si="2"/>
        <v>0</v>
      </c>
      <c r="N62" s="1" t="str">
        <f>COUNTIFS(Reinvest[Date],M62,Reinvest[Result],"W")&amp;"-"&amp;COUNTIFS(Reinvest[Date],M62,Reinvest[Result],"L")&amp;IF(COUNTIFS(Reinvest[Date],M62,Reinvest[Result],"Push")&gt;0,"-"&amp;COUNTIFS(Reinvest[Date],M62,Reinvest[Result],"Push"),"")</f>
        <v>0-0</v>
      </c>
      <c r="O62" s="25" t="str">
        <f>IFERROR(COUNTIFS(Reinvest[Date],M62,Reinvest[Result],"W")/(COUNTIFS(Reinvest[Date],M62,Reinvest[Result],"W")+COUNTIFS(Reinvest[Date],M62,Reinvest[Result],"L")),"")</f>
        <v/>
      </c>
      <c r="P62" s="26">
        <f>SUMIF(Reinvest[Date],M62,Reinvest[Net])</f>
        <v>0</v>
      </c>
      <c r="Q62" s="27" t="str">
        <f>IFERROR("("&amp;ROUND(SUMIF(Reinvest[Date],M62,Reinvest[Net])/SUMIF(Reinvest[Date],M62,Reinvest[Risk]),2)*100&amp;"%)","")</f>
        <v/>
      </c>
    </row>
    <row r="63" spans="1:17" x14ac:dyDescent="0.25">
      <c r="A63" s="13">
        <f t="shared" si="1"/>
        <v>6</v>
      </c>
      <c r="B63" s="17">
        <v>43675</v>
      </c>
      <c r="C63" s="17" t="s">
        <v>802</v>
      </c>
      <c r="D63" s="18" t="s">
        <v>3593</v>
      </c>
      <c r="E63" s="11" t="s">
        <v>812</v>
      </c>
      <c r="F63" s="19">
        <v>9.5299999999999994</v>
      </c>
      <c r="G63" s="37" t="s">
        <v>813</v>
      </c>
      <c r="H63" s="21" t="s">
        <v>262</v>
      </c>
      <c r="I63" s="45">
        <f>IFERROR(ROUND(IF(Reinvest[[#This Row],[Result]]="L",0-Reinvest[[#This Row],[Risk]],IF(Reinvest[[#This Row],[Result]]="Push",0,IF(Reinvest[[#This Row],[Result]]="No Action",0,IF(Reinvest[[#This Row],[Result]]="W",IF(Reinvest[[#This Row],[Odds]]&gt;0,Reinvest[[#This Row],[Odds]]/100*Reinvest[[#This Row],[Risk]],(Reinvest[[#This Row],[Risk]]/Reinvest[[#This Row],[Odds]]*-100)),"")))),2),"")</f>
        <v>20.010000000000002</v>
      </c>
      <c r="J63" s="89" t="str">
        <f>IF(B63=B64,"",SUM($I$4:I63)/SUM($F$4:F63))</f>
        <v/>
      </c>
      <c r="K63"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63" s="36"/>
      <c r="M63" s="24">
        <f t="shared" si="2"/>
        <v>0</v>
      </c>
      <c r="N63" s="1" t="str">
        <f>COUNTIFS(Reinvest[Date],M63,Reinvest[Result],"W")&amp;"-"&amp;COUNTIFS(Reinvest[Date],M63,Reinvest[Result],"L")&amp;IF(COUNTIFS(Reinvest[Date],M63,Reinvest[Result],"Push")&gt;0,"-"&amp;COUNTIFS(Reinvest[Date],M63,Reinvest[Result],"Push"),"")</f>
        <v>0-0</v>
      </c>
      <c r="O63" s="25" t="str">
        <f>IFERROR(COUNTIFS(Reinvest[Date],M63,Reinvest[Result],"W")/(COUNTIFS(Reinvest[Date],M63,Reinvest[Result],"W")+COUNTIFS(Reinvest[Date],M63,Reinvest[Result],"L")),"")</f>
        <v/>
      </c>
      <c r="P63" s="26">
        <f>SUMIF(Reinvest[Date],M63,Reinvest[Net])</f>
        <v>0</v>
      </c>
      <c r="Q63" s="27" t="str">
        <f>IFERROR("("&amp;ROUND(SUMIF(Reinvest[Date],M63,Reinvest[Net])/SUMIF(Reinvest[Date],M63,Reinvest[Risk]),2)*100&amp;"%)","")</f>
        <v/>
      </c>
    </row>
    <row r="64" spans="1:17" x14ac:dyDescent="0.25">
      <c r="A64" s="13">
        <f t="shared" si="1"/>
        <v>6</v>
      </c>
      <c r="B64" s="17">
        <v>43675</v>
      </c>
      <c r="C64" s="17" t="s">
        <v>802</v>
      </c>
      <c r="D64" s="18" t="s">
        <v>3594</v>
      </c>
      <c r="E64" s="11" t="s">
        <v>1156</v>
      </c>
      <c r="F64" s="19">
        <v>17.48</v>
      </c>
      <c r="G64" s="37">
        <v>-110</v>
      </c>
      <c r="H64" s="21" t="s">
        <v>262</v>
      </c>
      <c r="I64" s="45">
        <f>IFERROR(ROUND(IF(Reinvest[[#This Row],[Result]]="L",0-Reinvest[[#This Row],[Risk]],IF(Reinvest[[#This Row],[Result]]="Push",0,IF(Reinvest[[#This Row],[Result]]="No Action",0,IF(Reinvest[[#This Row],[Result]]="W",IF(Reinvest[[#This Row],[Odds]]&gt;0,Reinvest[[#This Row],[Odds]]/100*Reinvest[[#This Row],[Risk]],(Reinvest[[#This Row],[Risk]]/Reinvest[[#This Row],[Odds]]*-100)),"")))),2),"")</f>
        <v>15.89</v>
      </c>
      <c r="J64" s="89" t="str">
        <f>IF(B64=B65,"",SUM($I$4:I64)/SUM($F$4:F64))</f>
        <v/>
      </c>
      <c r="K6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64" s="36"/>
      <c r="M64" s="24">
        <f t="shared" si="2"/>
        <v>0</v>
      </c>
      <c r="N64" s="1" t="str">
        <f>COUNTIFS(Reinvest[Date],M64,Reinvest[Result],"W")&amp;"-"&amp;COUNTIFS(Reinvest[Date],M64,Reinvest[Result],"L")&amp;IF(COUNTIFS(Reinvest[Date],M64,Reinvest[Result],"Push")&gt;0,"-"&amp;COUNTIFS(Reinvest[Date],M64,Reinvest[Result],"Push"),"")</f>
        <v>0-0</v>
      </c>
      <c r="O64" s="25" t="str">
        <f>IFERROR(COUNTIFS(Reinvest[Date],M64,Reinvest[Result],"W")/(COUNTIFS(Reinvest[Date],M64,Reinvest[Result],"W")+COUNTIFS(Reinvest[Date],M64,Reinvest[Result],"L")),"")</f>
        <v/>
      </c>
      <c r="P64" s="26">
        <f>SUMIF(Reinvest[Date],M64,Reinvest[Net])</f>
        <v>0</v>
      </c>
      <c r="Q64" s="27" t="str">
        <f>IFERROR("("&amp;ROUND(SUMIF(Reinvest[Date],M64,Reinvest[Net])/SUMIF(Reinvest[Date],M64,Reinvest[Risk]),2)*100&amp;"%)","")</f>
        <v/>
      </c>
    </row>
    <row r="65" spans="1:17" x14ac:dyDescent="0.25">
      <c r="A65" s="13">
        <f t="shared" si="1"/>
        <v>6</v>
      </c>
      <c r="B65" s="17">
        <v>43675</v>
      </c>
      <c r="C65" s="17" t="s">
        <v>802</v>
      </c>
      <c r="D65" s="18" t="s">
        <v>1443</v>
      </c>
      <c r="E65" s="11" t="s">
        <v>1552</v>
      </c>
      <c r="F65" s="19">
        <v>16.57</v>
      </c>
      <c r="G65" s="37">
        <v>-110</v>
      </c>
      <c r="H65" s="21" t="s">
        <v>262</v>
      </c>
      <c r="I65" s="45">
        <f>IFERROR(ROUND(IF(Reinvest[[#This Row],[Result]]="L",0-Reinvest[[#This Row],[Risk]],IF(Reinvest[[#This Row],[Result]]="Push",0,IF(Reinvest[[#This Row],[Result]]="No Action",0,IF(Reinvest[[#This Row],[Result]]="W",IF(Reinvest[[#This Row],[Odds]]&gt;0,Reinvest[[#This Row],[Odds]]/100*Reinvest[[#This Row],[Risk]],(Reinvest[[#This Row],[Risk]]/Reinvest[[#This Row],[Odds]]*-100)),"")))),2),"")</f>
        <v>15.06</v>
      </c>
      <c r="J65" s="89" t="str">
        <f>IF(B65=B66,"",SUM($I$4:I65)/SUM($F$4:F65))</f>
        <v/>
      </c>
      <c r="K65"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65" s="36"/>
      <c r="M65" s="24">
        <f t="shared" si="2"/>
        <v>0</v>
      </c>
      <c r="N65" s="1" t="str">
        <f>COUNTIFS(Reinvest[Date],M65,Reinvest[Result],"W")&amp;"-"&amp;COUNTIFS(Reinvest[Date],M65,Reinvest[Result],"L")&amp;IF(COUNTIFS(Reinvest[Date],M65,Reinvest[Result],"Push")&gt;0,"-"&amp;COUNTIFS(Reinvest[Date],M65,Reinvest[Result],"Push"),"")</f>
        <v>0-0</v>
      </c>
      <c r="O65" s="25" t="str">
        <f>IFERROR(COUNTIFS(Reinvest[Date],M65,Reinvest[Result],"W")/(COUNTIFS(Reinvest[Date],M65,Reinvest[Result],"W")+COUNTIFS(Reinvest[Date],M65,Reinvest[Result],"L")),"")</f>
        <v/>
      </c>
      <c r="P65" s="26">
        <f>SUMIF(Reinvest[Date],M65,Reinvest[Net])</f>
        <v>0</v>
      </c>
      <c r="Q65" s="27" t="str">
        <f>IFERROR("("&amp;ROUND(SUMIF(Reinvest[Date],M65,Reinvest[Net])/SUMIF(Reinvest[Date],M65,Reinvest[Risk]),2)*100&amp;"%)","")</f>
        <v/>
      </c>
    </row>
    <row r="66" spans="1:17" x14ac:dyDescent="0.25">
      <c r="A66" s="13">
        <f t="shared" si="1"/>
        <v>6</v>
      </c>
      <c r="B66" s="17">
        <v>43675</v>
      </c>
      <c r="C66" s="17" t="s">
        <v>802</v>
      </c>
      <c r="D66" s="18" t="s">
        <v>3593</v>
      </c>
      <c r="E66" s="11" t="s">
        <v>3595</v>
      </c>
      <c r="F66" s="19">
        <v>15.95</v>
      </c>
      <c r="G66" s="37">
        <v>100</v>
      </c>
      <c r="H66" s="21" t="s">
        <v>263</v>
      </c>
      <c r="I66" s="45">
        <f>IFERROR(ROUND(IF(Reinvest[[#This Row],[Result]]="L",0-Reinvest[[#This Row],[Risk]],IF(Reinvest[[#This Row],[Result]]="Push",0,IF(Reinvest[[#This Row],[Result]]="No Action",0,IF(Reinvest[[#This Row],[Result]]="W",IF(Reinvest[[#This Row],[Odds]]&gt;0,Reinvest[[#This Row],[Odds]]/100*Reinvest[[#This Row],[Risk]],(Reinvest[[#This Row],[Risk]]/Reinvest[[#This Row],[Odds]]*-100)),"")))),2),"")</f>
        <v>-15.95</v>
      </c>
      <c r="J66" s="89">
        <f>IF(B66=B67,"",SUM($I$4:I66)/SUM($F$4:F66))</f>
        <v>4.5615906401559991E-2</v>
      </c>
      <c r="K66"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66" s="11"/>
      <c r="M66" s="24">
        <f t="shared" si="2"/>
        <v>0</v>
      </c>
      <c r="N66" s="1" t="str">
        <f>COUNTIFS(Reinvest[Date],M66,Reinvest[Result],"W")&amp;"-"&amp;COUNTIFS(Reinvest[Date],M66,Reinvest[Result],"L")&amp;IF(COUNTIFS(Reinvest[Date],M66,Reinvest[Result],"Push")&gt;0,"-"&amp;COUNTIFS(Reinvest[Date],M66,Reinvest[Result],"Push"),"")</f>
        <v>0-0</v>
      </c>
      <c r="O66" s="25" t="str">
        <f>IFERROR(COUNTIFS(Reinvest[Date],M66,Reinvest[Result],"W")/(COUNTIFS(Reinvest[Date],M66,Reinvest[Result],"W")+COUNTIFS(Reinvest[Date],M66,Reinvest[Result],"L")),"")</f>
        <v/>
      </c>
      <c r="P66" s="26">
        <f>SUMIF(Reinvest[Date],M66,Reinvest[Net])</f>
        <v>0</v>
      </c>
      <c r="Q66" s="27" t="str">
        <f>IFERROR("("&amp;ROUND(SUMIF(Reinvest[Date],M66,Reinvest[Net])/SUMIF(Reinvest[Date],M66,Reinvest[Risk]),2)*100&amp;"%)","")</f>
        <v/>
      </c>
    </row>
    <row r="67" spans="1:17" x14ac:dyDescent="0.25">
      <c r="A67" s="13">
        <f t="shared" si="1"/>
        <v>7</v>
      </c>
      <c r="B67" s="17">
        <v>43676</v>
      </c>
      <c r="C67" s="17" t="s">
        <v>802</v>
      </c>
      <c r="D67" s="18" t="s">
        <v>3605</v>
      </c>
      <c r="E67" s="11" t="s">
        <v>1152</v>
      </c>
      <c r="F67" s="19">
        <v>9.68</v>
      </c>
      <c r="G67" s="37">
        <v>-230</v>
      </c>
      <c r="H67" s="21" t="s">
        <v>263</v>
      </c>
      <c r="I67" s="45">
        <f>IFERROR(ROUND(IF(Reinvest[[#This Row],[Result]]="L",0-Reinvest[[#This Row],[Risk]],IF(Reinvest[[#This Row],[Result]]="Push",0,IF(Reinvest[[#This Row],[Result]]="No Action",0,IF(Reinvest[[#This Row],[Result]]="W",IF(Reinvest[[#This Row],[Odds]]&gt;0,Reinvest[[#This Row],[Odds]]/100*Reinvest[[#This Row],[Risk]],(Reinvest[[#This Row],[Risk]]/Reinvest[[#This Row],[Odds]]*-100)),"")))),2),"")</f>
        <v>-9.68</v>
      </c>
      <c r="J67" s="89" t="str">
        <f>IF(B67=B68,"",SUM($I$4:I67)/SUM($F$4:F67))</f>
        <v/>
      </c>
      <c r="K67"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67" s="11"/>
      <c r="M67" s="24">
        <f t="shared" si="2"/>
        <v>0</v>
      </c>
      <c r="N67" s="1" t="str">
        <f>COUNTIFS(Reinvest[Date],M67,Reinvest[Result],"W")&amp;"-"&amp;COUNTIFS(Reinvest[Date],M67,Reinvest[Result],"L")&amp;IF(COUNTIFS(Reinvest[Date],M67,Reinvest[Result],"Push")&gt;0,"-"&amp;COUNTIFS(Reinvest[Date],M67,Reinvest[Result],"Push"),"")</f>
        <v>0-0</v>
      </c>
      <c r="O67" s="25" t="str">
        <f>IFERROR(COUNTIFS(Reinvest[Date],M67,Reinvest[Result],"W")/(COUNTIFS(Reinvest[Date],M67,Reinvest[Result],"W")+COUNTIFS(Reinvest[Date],M67,Reinvest[Result],"L")),"")</f>
        <v/>
      </c>
      <c r="P67" s="26">
        <f>SUMIF(Reinvest[Date],M67,Reinvest[Net])</f>
        <v>0</v>
      </c>
      <c r="Q67" s="27" t="str">
        <f>IFERROR("("&amp;ROUND(SUMIF(Reinvest[Date],M67,Reinvest[Net])/SUMIF(Reinvest[Date],M67,Reinvest[Risk]),2)*100&amp;"%)","")</f>
        <v/>
      </c>
    </row>
    <row r="68" spans="1:17" x14ac:dyDescent="0.25">
      <c r="A68" s="13">
        <f t="shared" si="1"/>
        <v>7</v>
      </c>
      <c r="B68" s="17">
        <v>43676</v>
      </c>
      <c r="C68" s="17" t="s">
        <v>802</v>
      </c>
      <c r="D68" s="18" t="s">
        <v>3606</v>
      </c>
      <c r="E68" s="11" t="s">
        <v>1180</v>
      </c>
      <c r="F68" s="19">
        <v>4.9800000000000004</v>
      </c>
      <c r="G68" s="37" t="s">
        <v>820</v>
      </c>
      <c r="H68" s="21" t="s">
        <v>262</v>
      </c>
      <c r="I68" s="45">
        <f>IFERROR(ROUND(IF(Reinvest[[#This Row],[Result]]="L",0-Reinvest[[#This Row],[Risk]],IF(Reinvest[[#This Row],[Result]]="Push",0,IF(Reinvest[[#This Row],[Result]]="No Action",0,IF(Reinvest[[#This Row],[Result]]="W",IF(Reinvest[[#This Row],[Odds]]&gt;0,Reinvest[[#This Row],[Odds]]/100*Reinvest[[#This Row],[Risk]],(Reinvest[[#This Row],[Risk]]/Reinvest[[#This Row],[Odds]]*-100)),"")))),2),"")</f>
        <v>9.2100000000000009</v>
      </c>
      <c r="J68" s="89" t="str">
        <f>IF(B68=B69,"",SUM($I$4:I68)/SUM($F$4:F68))</f>
        <v/>
      </c>
      <c r="K68"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68"/>
      <c r="M68" s="24">
        <f t="shared" ref="M68:M99" si="3">IFERROR(VLOOKUP(ROW()-3,A:B,2,0),0)</f>
        <v>0</v>
      </c>
      <c r="N68" s="1" t="str">
        <f>COUNTIFS(Reinvest[Date],M68,Reinvest[Result],"W")&amp;"-"&amp;COUNTIFS(Reinvest[Date],M68,Reinvest[Result],"L")&amp;IF(COUNTIFS(Reinvest[Date],M68,Reinvest[Result],"Push")&gt;0,"-"&amp;COUNTIFS(Reinvest[Date],M68,Reinvest[Result],"Push"),"")</f>
        <v>0-0</v>
      </c>
      <c r="O68" s="25" t="str">
        <f>IFERROR(COUNTIFS(Reinvest[Date],M68,Reinvest[Result],"W")/(COUNTIFS(Reinvest[Date],M68,Reinvest[Result],"W")+COUNTIFS(Reinvest[Date],M68,Reinvest[Result],"L")),"")</f>
        <v/>
      </c>
      <c r="P68" s="26">
        <f>SUMIF(Reinvest[Date],M68,Reinvest[Net])</f>
        <v>0</v>
      </c>
      <c r="Q68" s="27" t="str">
        <f>IFERROR("("&amp;ROUND(SUMIF(Reinvest[Date],M68,Reinvest[Net])/SUMIF(Reinvest[Date],M68,Reinvest[Risk]),2)*100&amp;"%)","")</f>
        <v/>
      </c>
    </row>
    <row r="69" spans="1:17" x14ac:dyDescent="0.25">
      <c r="A69" s="13">
        <f t="shared" ref="A69:A132" si="4">IF(B69=B68,A68,A68+1)</f>
        <v>7</v>
      </c>
      <c r="B69" s="17">
        <v>43676</v>
      </c>
      <c r="C69" s="17" t="s">
        <v>802</v>
      </c>
      <c r="D69" s="18" t="s">
        <v>3607</v>
      </c>
      <c r="E69" s="11" t="s">
        <v>819</v>
      </c>
      <c r="F69" s="19">
        <v>5.96</v>
      </c>
      <c r="G69" s="37" t="s">
        <v>3608</v>
      </c>
      <c r="H69" s="21" t="s">
        <v>262</v>
      </c>
      <c r="I69" s="45">
        <f>IFERROR(ROUND(IF(Reinvest[[#This Row],[Result]]="L",0-Reinvest[[#This Row],[Risk]],IF(Reinvest[[#This Row],[Result]]="Push",0,IF(Reinvest[[#This Row],[Result]]="No Action",0,IF(Reinvest[[#This Row],[Result]]="W",IF(Reinvest[[#This Row],[Odds]]&gt;0,Reinvest[[#This Row],[Odds]]/100*Reinvest[[#This Row],[Risk]],(Reinvest[[#This Row],[Risk]]/Reinvest[[#This Row],[Odds]]*-100)),"")))),2),"")</f>
        <v>7.21</v>
      </c>
      <c r="J69" s="89" t="str">
        <f>IF(B69=B70,"",SUM($I$4:I69)/SUM($F$4:F69))</f>
        <v/>
      </c>
      <c r="K69"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69"/>
      <c r="M69" s="24">
        <f t="shared" si="3"/>
        <v>0</v>
      </c>
      <c r="N69" s="1" t="str">
        <f>COUNTIFS(Reinvest[Date],M69,Reinvest[Result],"W")&amp;"-"&amp;COUNTIFS(Reinvest[Date],M69,Reinvest[Result],"L")&amp;IF(COUNTIFS(Reinvest[Date],M69,Reinvest[Result],"Push")&gt;0,"-"&amp;COUNTIFS(Reinvest[Date],M69,Reinvest[Result],"Push"),"")</f>
        <v>0-0</v>
      </c>
      <c r="O69" s="25" t="str">
        <f>IFERROR(COUNTIFS(Reinvest[Date],M69,Reinvest[Result],"W")/(COUNTIFS(Reinvest[Date],M69,Reinvest[Result],"W")+COUNTIFS(Reinvest[Date],M69,Reinvest[Result],"L")),"")</f>
        <v/>
      </c>
      <c r="P69" s="26">
        <f>SUMIF(Reinvest[Date],M69,Reinvest[Net])</f>
        <v>0</v>
      </c>
      <c r="Q69" s="27" t="str">
        <f>IFERROR("("&amp;ROUND(SUMIF(Reinvest[Date],M69,Reinvest[Net])/SUMIF(Reinvest[Date],M69,Reinvest[Risk]),2)*100&amp;"%)","")</f>
        <v/>
      </c>
    </row>
    <row r="70" spans="1:17" x14ac:dyDescent="0.25">
      <c r="A70" s="13">
        <f t="shared" si="4"/>
        <v>7</v>
      </c>
      <c r="B70" s="17">
        <v>43676</v>
      </c>
      <c r="C70" s="17" t="s">
        <v>802</v>
      </c>
      <c r="D70" s="18" t="s">
        <v>1336</v>
      </c>
      <c r="E70" s="11" t="s">
        <v>876</v>
      </c>
      <c r="F70" s="19">
        <v>5.73</v>
      </c>
      <c r="G70" s="37" t="s">
        <v>1342</v>
      </c>
      <c r="H70" s="21" t="s">
        <v>262</v>
      </c>
      <c r="I70" s="45">
        <f>IFERROR(ROUND(IF(Reinvest[[#This Row],[Result]]="L",0-Reinvest[[#This Row],[Risk]],IF(Reinvest[[#This Row],[Result]]="Push",0,IF(Reinvest[[#This Row],[Result]]="No Action",0,IF(Reinvest[[#This Row],[Result]]="W",IF(Reinvest[[#This Row],[Odds]]&gt;0,Reinvest[[#This Row],[Odds]]/100*Reinvest[[#This Row],[Risk]],(Reinvest[[#This Row],[Risk]]/Reinvest[[#This Row],[Odds]]*-100)),"")))),2),"")</f>
        <v>6.76</v>
      </c>
      <c r="J70" s="89" t="str">
        <f>IF(B70=B71,"",SUM($I$4:I70)/SUM($F$4:F70))</f>
        <v/>
      </c>
      <c r="K70"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70"/>
      <c r="M70" s="24">
        <f t="shared" si="3"/>
        <v>0</v>
      </c>
      <c r="N70" s="1" t="str">
        <f>COUNTIFS(Reinvest[Date],M70,Reinvest[Result],"W")&amp;"-"&amp;COUNTIFS(Reinvest[Date],M70,Reinvest[Result],"L")&amp;IF(COUNTIFS(Reinvest[Date],M70,Reinvest[Result],"Push")&gt;0,"-"&amp;COUNTIFS(Reinvest[Date],M70,Reinvest[Result],"Push"),"")</f>
        <v>0-0</v>
      </c>
      <c r="O70" s="25" t="str">
        <f>IFERROR(COUNTIFS(Reinvest[Date],M70,Reinvest[Result],"W")/(COUNTIFS(Reinvest[Date],M70,Reinvest[Result],"W")+COUNTIFS(Reinvest[Date],M70,Reinvest[Result],"L")),"")</f>
        <v/>
      </c>
      <c r="P70" s="26">
        <f>SUMIF(Reinvest[Date],M70,Reinvest[Net])</f>
        <v>0</v>
      </c>
      <c r="Q70" s="27" t="str">
        <f>IFERROR("("&amp;ROUND(SUMIF(Reinvest[Date],M70,Reinvest[Net])/SUMIF(Reinvest[Date],M70,Reinvest[Risk]),2)*100&amp;"%)","")</f>
        <v/>
      </c>
    </row>
    <row r="71" spans="1:17" x14ac:dyDescent="0.25">
      <c r="A71" s="13">
        <f t="shared" si="4"/>
        <v>7</v>
      </c>
      <c r="B71" s="17">
        <v>43676</v>
      </c>
      <c r="C71" s="17" t="s">
        <v>802</v>
      </c>
      <c r="D71" s="18" t="s">
        <v>3594</v>
      </c>
      <c r="E71" s="11" t="s">
        <v>873</v>
      </c>
      <c r="F71" s="19">
        <v>6.5</v>
      </c>
      <c r="G71" s="37" t="s">
        <v>3609</v>
      </c>
      <c r="H71" s="21" t="s">
        <v>262</v>
      </c>
      <c r="I71" s="45">
        <f>IFERROR(ROUND(IF(Reinvest[[#This Row],[Result]]="L",0-Reinvest[[#This Row],[Risk]],IF(Reinvest[[#This Row],[Result]]="Push",0,IF(Reinvest[[#This Row],[Result]]="No Action",0,IF(Reinvest[[#This Row],[Result]]="W",IF(Reinvest[[#This Row],[Odds]]&gt;0,Reinvest[[#This Row],[Odds]]/100*Reinvest[[#This Row],[Risk]],(Reinvest[[#This Row],[Risk]]/Reinvest[[#This Row],[Odds]]*-100)),"")))),2),"")</f>
        <v>6.63</v>
      </c>
      <c r="J71" s="89" t="str">
        <f>IF(B71=B72,"",SUM($I$4:I71)/SUM($F$4:F71))</f>
        <v/>
      </c>
      <c r="K71"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71"/>
      <c r="M71" s="24">
        <f t="shared" si="3"/>
        <v>0</v>
      </c>
      <c r="N71" s="1" t="str">
        <f>COUNTIFS(Reinvest[Date],M71,Reinvest[Result],"W")&amp;"-"&amp;COUNTIFS(Reinvest[Date],M71,Reinvest[Result],"L")&amp;IF(COUNTIFS(Reinvest[Date],M71,Reinvest[Result],"Push")&gt;0,"-"&amp;COUNTIFS(Reinvest[Date],M71,Reinvest[Result],"Push"),"")</f>
        <v>0-0</v>
      </c>
      <c r="O71" s="25" t="str">
        <f>IFERROR(COUNTIFS(Reinvest[Date],M71,Reinvest[Result],"W")/(COUNTIFS(Reinvest[Date],M71,Reinvest[Result],"W")+COUNTIFS(Reinvest[Date],M71,Reinvest[Result],"L")),"")</f>
        <v/>
      </c>
      <c r="P71" s="26">
        <f>SUMIF(Reinvest[Date],M71,Reinvest[Net])</f>
        <v>0</v>
      </c>
      <c r="Q71" s="27" t="str">
        <f>IFERROR("("&amp;ROUND(SUMIF(Reinvest[Date],M71,Reinvest[Net])/SUMIF(Reinvest[Date],M71,Reinvest[Risk]),2)*100&amp;"%)","")</f>
        <v/>
      </c>
    </row>
    <row r="72" spans="1:17" x14ac:dyDescent="0.25">
      <c r="A72" s="13">
        <f t="shared" si="4"/>
        <v>7</v>
      </c>
      <c r="B72" s="17">
        <v>43676</v>
      </c>
      <c r="C72" s="17" t="s">
        <v>802</v>
      </c>
      <c r="D72" s="18" t="s">
        <v>1443</v>
      </c>
      <c r="E72" s="11" t="s">
        <v>827</v>
      </c>
      <c r="F72" s="19">
        <v>7.69</v>
      </c>
      <c r="G72" s="37">
        <v>-150</v>
      </c>
      <c r="H72" s="21" t="s">
        <v>262</v>
      </c>
      <c r="I72" s="45">
        <f>IFERROR(ROUND(IF(Reinvest[[#This Row],[Result]]="L",0-Reinvest[[#This Row],[Risk]],IF(Reinvest[[#This Row],[Result]]="Push",0,IF(Reinvest[[#This Row],[Result]]="No Action",0,IF(Reinvest[[#This Row],[Result]]="W",IF(Reinvest[[#This Row],[Odds]]&gt;0,Reinvest[[#This Row],[Odds]]/100*Reinvest[[#This Row],[Risk]],(Reinvest[[#This Row],[Risk]]/Reinvest[[#This Row],[Odds]]*-100)),"")))),2),"")</f>
        <v>5.13</v>
      </c>
      <c r="J72" s="89" t="str">
        <f>IF(B72=B73,"",SUM($I$4:I72)/SUM($F$4:F72))</f>
        <v/>
      </c>
      <c r="K72"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72"/>
      <c r="M72" s="24">
        <f t="shared" si="3"/>
        <v>0</v>
      </c>
      <c r="N72" s="1" t="str">
        <f>COUNTIFS(Reinvest[Date],M72,Reinvest[Result],"W")&amp;"-"&amp;COUNTIFS(Reinvest[Date],M72,Reinvest[Result],"L")&amp;IF(COUNTIFS(Reinvest[Date],M72,Reinvest[Result],"Push")&gt;0,"-"&amp;COUNTIFS(Reinvest[Date],M72,Reinvest[Result],"Push"),"")</f>
        <v>0-0</v>
      </c>
      <c r="O72" s="25" t="str">
        <f>IFERROR(COUNTIFS(Reinvest[Date],M72,Reinvest[Result],"W")/(COUNTIFS(Reinvest[Date],M72,Reinvest[Result],"W")+COUNTIFS(Reinvest[Date],M72,Reinvest[Result],"L")),"")</f>
        <v/>
      </c>
      <c r="P72" s="26">
        <f>SUMIF(Reinvest[Date],M72,Reinvest[Net])</f>
        <v>0</v>
      </c>
      <c r="Q72" s="27" t="str">
        <f>IFERROR("("&amp;ROUND(SUMIF(Reinvest[Date],M72,Reinvest[Net])/SUMIF(Reinvest[Date],M72,Reinvest[Risk]),2)*100&amp;"%)","")</f>
        <v/>
      </c>
    </row>
    <row r="73" spans="1:17" x14ac:dyDescent="0.25">
      <c r="A73" s="13">
        <f t="shared" si="4"/>
        <v>7</v>
      </c>
      <c r="B73" s="17">
        <v>43676</v>
      </c>
      <c r="C73" s="17" t="s">
        <v>802</v>
      </c>
      <c r="D73" s="18" t="s">
        <v>3593</v>
      </c>
      <c r="E73" s="11" t="s">
        <v>3507</v>
      </c>
      <c r="F73" s="19">
        <v>9.4700000000000006</v>
      </c>
      <c r="G73" s="37">
        <v>-260</v>
      </c>
      <c r="H73" s="21" t="s">
        <v>262</v>
      </c>
      <c r="I73" s="45">
        <f>IFERROR(ROUND(IF(Reinvest[[#This Row],[Result]]="L",0-Reinvest[[#This Row],[Risk]],IF(Reinvest[[#This Row],[Result]]="Push",0,IF(Reinvest[[#This Row],[Result]]="No Action",0,IF(Reinvest[[#This Row],[Result]]="W",IF(Reinvest[[#This Row],[Odds]]&gt;0,Reinvest[[#This Row],[Odds]]/100*Reinvest[[#This Row],[Risk]],(Reinvest[[#This Row],[Risk]]/Reinvest[[#This Row],[Odds]]*-100)),"")))),2),"")</f>
        <v>3.64</v>
      </c>
      <c r="J73" s="89" t="str">
        <f>IF(B73=B74,"",SUM($I$4:I73)/SUM($F$4:F73))</f>
        <v/>
      </c>
      <c r="K73"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73"/>
      <c r="M73" s="24">
        <f t="shared" si="3"/>
        <v>0</v>
      </c>
      <c r="N73" s="1" t="str">
        <f>COUNTIFS(Reinvest[Date],M73,Reinvest[Result],"W")&amp;"-"&amp;COUNTIFS(Reinvest[Date],M73,Reinvest[Result],"L")&amp;IF(COUNTIFS(Reinvest[Date],M73,Reinvest[Result],"Push")&gt;0,"-"&amp;COUNTIFS(Reinvest[Date],M73,Reinvest[Result],"Push"),"")</f>
        <v>0-0</v>
      </c>
      <c r="O73" s="25" t="str">
        <f>IFERROR(COUNTIFS(Reinvest[Date],M73,Reinvest[Result],"W")/(COUNTIFS(Reinvest[Date],M73,Reinvest[Result],"W")+COUNTIFS(Reinvest[Date],M73,Reinvest[Result],"L")),"")</f>
        <v/>
      </c>
      <c r="P73" s="26">
        <f>SUMIF(Reinvest[Date],M73,Reinvest[Net])</f>
        <v>0</v>
      </c>
      <c r="Q73" s="27" t="str">
        <f>IFERROR("("&amp;ROUND(SUMIF(Reinvest[Date],M73,Reinvest[Net])/SUMIF(Reinvest[Date],M73,Reinvest[Risk]),2)*100&amp;"%)","")</f>
        <v/>
      </c>
    </row>
    <row r="74" spans="1:17" x14ac:dyDescent="0.25">
      <c r="A74" s="13">
        <f t="shared" si="4"/>
        <v>7</v>
      </c>
      <c r="B74" s="17">
        <v>43676</v>
      </c>
      <c r="C74" s="17" t="s">
        <v>802</v>
      </c>
      <c r="D74" s="18" t="s">
        <v>3605</v>
      </c>
      <c r="E74" s="11" t="s">
        <v>905</v>
      </c>
      <c r="F74" s="19">
        <v>10.66</v>
      </c>
      <c r="G74" s="37">
        <v>-110</v>
      </c>
      <c r="H74" s="21" t="s">
        <v>262</v>
      </c>
      <c r="I74" s="45">
        <f>IFERROR(ROUND(IF(Reinvest[[#This Row],[Result]]="L",0-Reinvest[[#This Row],[Risk]],IF(Reinvest[[#This Row],[Result]]="Push",0,IF(Reinvest[[#This Row],[Result]]="No Action",0,IF(Reinvest[[#This Row],[Result]]="W",IF(Reinvest[[#This Row],[Odds]]&gt;0,Reinvest[[#This Row],[Odds]]/100*Reinvest[[#This Row],[Risk]],(Reinvest[[#This Row],[Risk]]/Reinvest[[#This Row],[Odds]]*-100)),"")))),2),"")</f>
        <v>9.69</v>
      </c>
      <c r="J74" s="89" t="str">
        <f>IF(B74=B75,"",SUM($I$4:I74)/SUM($F$4:F74))</f>
        <v/>
      </c>
      <c r="K7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74"/>
      <c r="M74" s="24">
        <f t="shared" si="3"/>
        <v>0</v>
      </c>
      <c r="N74" s="1" t="str">
        <f>COUNTIFS(Reinvest[Date],M74,Reinvest[Result],"W")&amp;"-"&amp;COUNTIFS(Reinvest[Date],M74,Reinvest[Result],"L")&amp;IF(COUNTIFS(Reinvest[Date],M74,Reinvest[Result],"Push")&gt;0,"-"&amp;COUNTIFS(Reinvest[Date],M74,Reinvest[Result],"Push"),"")</f>
        <v>0-0</v>
      </c>
      <c r="O74" s="25" t="str">
        <f>IFERROR(COUNTIFS(Reinvest[Date],M74,Reinvest[Result],"W")/(COUNTIFS(Reinvest[Date],M74,Reinvest[Result],"W")+COUNTIFS(Reinvest[Date],M74,Reinvest[Result],"L")),"")</f>
        <v/>
      </c>
      <c r="P74" s="26">
        <f>SUMIF(Reinvest[Date],M74,Reinvest[Net])</f>
        <v>0</v>
      </c>
      <c r="Q74" s="27" t="str">
        <f>IFERROR("("&amp;ROUND(SUMIF(Reinvest[Date],M74,Reinvest[Net])/SUMIF(Reinvest[Date],M74,Reinvest[Risk]),2)*100&amp;"%)","")</f>
        <v/>
      </c>
    </row>
    <row r="75" spans="1:17" x14ac:dyDescent="0.25">
      <c r="A75" s="13">
        <f t="shared" si="4"/>
        <v>7</v>
      </c>
      <c r="B75" s="17">
        <v>43676</v>
      </c>
      <c r="C75" s="17" t="s">
        <v>802</v>
      </c>
      <c r="D75" s="18" t="s">
        <v>3606</v>
      </c>
      <c r="E75" s="11" t="s">
        <v>1343</v>
      </c>
      <c r="F75" s="19">
        <v>8.2200000000000006</v>
      </c>
      <c r="G75" s="37">
        <v>-115</v>
      </c>
      <c r="H75" s="21" t="s">
        <v>262</v>
      </c>
      <c r="I75" s="45">
        <f>IFERROR(ROUND(IF(Reinvest[[#This Row],[Result]]="L",0-Reinvest[[#This Row],[Risk]],IF(Reinvest[[#This Row],[Result]]="Push",0,IF(Reinvest[[#This Row],[Result]]="No Action",0,IF(Reinvest[[#This Row],[Result]]="W",IF(Reinvest[[#This Row],[Odds]]&gt;0,Reinvest[[#This Row],[Odds]]/100*Reinvest[[#This Row],[Risk]],(Reinvest[[#This Row],[Risk]]/Reinvest[[#This Row],[Odds]]*-100)),"")))),2),"")</f>
        <v>7.15</v>
      </c>
      <c r="J75" s="89" t="str">
        <f>IF(B75=B76,"",SUM($I$4:I75)/SUM($F$4:F75))</f>
        <v/>
      </c>
      <c r="K75"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75"/>
      <c r="M75" s="24">
        <f t="shared" si="3"/>
        <v>0</v>
      </c>
      <c r="N75" s="1" t="str">
        <f>COUNTIFS(Reinvest[Date],M75,Reinvest[Result],"W")&amp;"-"&amp;COUNTIFS(Reinvest[Date],M75,Reinvest[Result],"L")&amp;IF(COUNTIFS(Reinvest[Date],M75,Reinvest[Result],"Push")&gt;0,"-"&amp;COUNTIFS(Reinvest[Date],M75,Reinvest[Result],"Push"),"")</f>
        <v>0-0</v>
      </c>
      <c r="O75" s="25" t="str">
        <f>IFERROR(COUNTIFS(Reinvest[Date],M75,Reinvest[Result],"W")/(COUNTIFS(Reinvest[Date],M75,Reinvest[Result],"W")+COUNTIFS(Reinvest[Date],M75,Reinvest[Result],"L")),"")</f>
        <v/>
      </c>
      <c r="P75" s="26">
        <f>SUMIF(Reinvest[Date],M75,Reinvest[Net])</f>
        <v>0</v>
      </c>
      <c r="Q75" s="27" t="str">
        <f>IFERROR("("&amp;ROUND(SUMIF(Reinvest[Date],M75,Reinvest[Net])/SUMIF(Reinvest[Date],M75,Reinvest[Risk]),2)*100&amp;"%)","")</f>
        <v/>
      </c>
    </row>
    <row r="76" spans="1:17" x14ac:dyDescent="0.25">
      <c r="A76" s="13">
        <f t="shared" si="4"/>
        <v>7</v>
      </c>
      <c r="B76" s="17">
        <v>43676</v>
      </c>
      <c r="C76" s="17" t="s">
        <v>802</v>
      </c>
      <c r="D76" s="18" t="s">
        <v>1443</v>
      </c>
      <c r="E76" s="11" t="s">
        <v>3610</v>
      </c>
      <c r="F76" s="19">
        <v>8.42</v>
      </c>
      <c r="G76" s="37">
        <v>-115</v>
      </c>
      <c r="H76" s="21" t="s">
        <v>262</v>
      </c>
      <c r="I76" s="45">
        <f>IFERROR(ROUND(IF(Reinvest[[#This Row],[Result]]="L",0-Reinvest[[#This Row],[Risk]],IF(Reinvest[[#This Row],[Result]]="Push",0,IF(Reinvest[[#This Row],[Result]]="No Action",0,IF(Reinvest[[#This Row],[Result]]="W",IF(Reinvest[[#This Row],[Odds]]&gt;0,Reinvest[[#This Row],[Odds]]/100*Reinvest[[#This Row],[Risk]],(Reinvest[[#This Row],[Risk]]/Reinvest[[#This Row],[Odds]]*-100)),"")))),2),"")</f>
        <v>7.32</v>
      </c>
      <c r="J76" s="89" t="str">
        <f>IF(B76=B77,"",SUM($I$4:I76)/SUM($F$4:F76))</f>
        <v/>
      </c>
      <c r="K76"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76"/>
      <c r="M76" s="24">
        <f t="shared" si="3"/>
        <v>0</v>
      </c>
      <c r="N76" s="1" t="str">
        <f>COUNTIFS(Reinvest[Date],M76,Reinvest[Result],"W")&amp;"-"&amp;COUNTIFS(Reinvest[Date],M76,Reinvest[Result],"L")&amp;IF(COUNTIFS(Reinvest[Date],M76,Reinvest[Result],"Push")&gt;0,"-"&amp;COUNTIFS(Reinvest[Date],M76,Reinvest[Result],"Push"),"")</f>
        <v>0-0</v>
      </c>
      <c r="O76" s="25" t="str">
        <f>IFERROR(COUNTIFS(Reinvest[Date],M76,Reinvest[Result],"W")/(COUNTIFS(Reinvest[Date],M76,Reinvest[Result],"W")+COUNTIFS(Reinvest[Date],M76,Reinvest[Result],"L")),"")</f>
        <v/>
      </c>
      <c r="P76" s="26">
        <f>SUMIF(Reinvest[Date],M76,Reinvest[Net])</f>
        <v>0</v>
      </c>
      <c r="Q76" s="27" t="str">
        <f>IFERROR("("&amp;ROUND(SUMIF(Reinvest[Date],M76,Reinvest[Net])/SUMIF(Reinvest[Date],M76,Reinvest[Risk]),2)*100&amp;"%)","")</f>
        <v/>
      </c>
    </row>
    <row r="77" spans="1:17" x14ac:dyDescent="0.25">
      <c r="A77" s="13">
        <f t="shared" si="4"/>
        <v>7</v>
      </c>
      <c r="B77" s="17">
        <v>43676</v>
      </c>
      <c r="C77" s="17" t="s">
        <v>802</v>
      </c>
      <c r="D77" s="18" t="s">
        <v>3593</v>
      </c>
      <c r="E77" s="11" t="s">
        <v>1156</v>
      </c>
      <c r="F77" s="19">
        <v>10.029999999999999</v>
      </c>
      <c r="G77" s="37">
        <v>-120</v>
      </c>
      <c r="H77" s="21" t="s">
        <v>263</v>
      </c>
      <c r="I77" s="45">
        <f>IFERROR(ROUND(IF(Reinvest[[#This Row],[Result]]="L",0-Reinvest[[#This Row],[Risk]],IF(Reinvest[[#This Row],[Result]]="Push",0,IF(Reinvest[[#This Row],[Result]]="No Action",0,IF(Reinvest[[#This Row],[Result]]="W",IF(Reinvest[[#This Row],[Odds]]&gt;0,Reinvest[[#This Row],[Odds]]/100*Reinvest[[#This Row],[Risk]],(Reinvest[[#This Row],[Risk]]/Reinvest[[#This Row],[Odds]]*-100)),"")))),2),"")</f>
        <v>-10.029999999999999</v>
      </c>
      <c r="J77" s="89">
        <f>IF(B77=B78,"",SUM($I$4:I77)/SUM($F$4:F77))</f>
        <v>0.10242234669382413</v>
      </c>
      <c r="K77"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77"/>
      <c r="M77" s="24">
        <f t="shared" si="3"/>
        <v>0</v>
      </c>
      <c r="N77" s="1" t="str">
        <f>COUNTIFS(Reinvest[Date],M77,Reinvest[Result],"W")&amp;"-"&amp;COUNTIFS(Reinvest[Date],M77,Reinvest[Result],"L")&amp;IF(COUNTIFS(Reinvest[Date],M77,Reinvest[Result],"Push")&gt;0,"-"&amp;COUNTIFS(Reinvest[Date],M77,Reinvest[Result],"Push"),"")</f>
        <v>0-0</v>
      </c>
      <c r="O77" s="25" t="str">
        <f>IFERROR(COUNTIFS(Reinvest[Date],M77,Reinvest[Result],"W")/(COUNTIFS(Reinvest[Date],M77,Reinvest[Result],"W")+COUNTIFS(Reinvest[Date],M77,Reinvest[Result],"L")),"")</f>
        <v/>
      </c>
      <c r="P77" s="26">
        <f>SUMIF(Reinvest[Date],M77,Reinvest[Net])</f>
        <v>0</v>
      </c>
      <c r="Q77" s="27" t="str">
        <f>IFERROR("("&amp;ROUND(SUMIF(Reinvest[Date],M77,Reinvest[Net])/SUMIF(Reinvest[Date],M77,Reinvest[Risk]),2)*100&amp;"%)","")</f>
        <v/>
      </c>
    </row>
    <row r="78" spans="1:17" x14ac:dyDescent="0.25">
      <c r="A78" s="13">
        <f t="shared" si="4"/>
        <v>8</v>
      </c>
      <c r="B78" s="17">
        <v>43677</v>
      </c>
      <c r="C78" s="17" t="s">
        <v>802</v>
      </c>
      <c r="D78" s="18" t="s">
        <v>3592</v>
      </c>
      <c r="E78" s="11" t="s">
        <v>830</v>
      </c>
      <c r="F78" s="19">
        <v>12.65</v>
      </c>
      <c r="G78" s="37" t="s">
        <v>1342</v>
      </c>
      <c r="H78" s="21" t="s">
        <v>263</v>
      </c>
      <c r="I78" s="45">
        <f>IFERROR(ROUND(IF(Reinvest[[#This Row],[Result]]="L",0-Reinvest[[#This Row],[Risk]],IF(Reinvest[[#This Row],[Result]]="Push",0,IF(Reinvest[[#This Row],[Result]]="No Action",0,IF(Reinvest[[#This Row],[Result]]="W",IF(Reinvest[[#This Row],[Odds]]&gt;0,Reinvest[[#This Row],[Odds]]/100*Reinvest[[#This Row],[Risk]],(Reinvest[[#This Row],[Risk]]/Reinvest[[#This Row],[Odds]]*-100)),"")))),2),"")</f>
        <v>-12.65</v>
      </c>
      <c r="J78" s="89" t="str">
        <f>IF(B78=B79,"",SUM($I$4:I78)/SUM($F$4:F78))</f>
        <v/>
      </c>
      <c r="K78"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78"/>
      <c r="M78" s="24">
        <f t="shared" si="3"/>
        <v>0</v>
      </c>
      <c r="N78" s="1" t="str">
        <f>COUNTIFS(Reinvest[Date],M78,Reinvest[Result],"W")&amp;"-"&amp;COUNTIFS(Reinvest[Date],M78,Reinvest[Result],"L")&amp;IF(COUNTIFS(Reinvest[Date],M78,Reinvest[Result],"Push")&gt;0,"-"&amp;COUNTIFS(Reinvest[Date],M78,Reinvest[Result],"Push"),"")</f>
        <v>0-0</v>
      </c>
      <c r="O78" s="25" t="str">
        <f>IFERROR(COUNTIFS(Reinvest[Date],M78,Reinvest[Result],"W")/(COUNTIFS(Reinvest[Date],M78,Reinvest[Result],"W")+COUNTIFS(Reinvest[Date],M78,Reinvest[Result],"L")),"")</f>
        <v/>
      </c>
      <c r="P78" s="26">
        <f>SUMIF(Reinvest[Date],M78,Reinvest[Net])</f>
        <v>0</v>
      </c>
      <c r="Q78" s="27" t="str">
        <f>IFERROR("("&amp;ROUND(SUMIF(Reinvest[Date],M78,Reinvest[Net])/SUMIF(Reinvest[Date],M78,Reinvest[Risk]),2)*100&amp;"%)","")</f>
        <v/>
      </c>
    </row>
    <row r="79" spans="1:17" x14ac:dyDescent="0.25">
      <c r="A79" s="13">
        <f t="shared" si="4"/>
        <v>8</v>
      </c>
      <c r="B79" s="17">
        <v>43677</v>
      </c>
      <c r="C79" s="17" t="s">
        <v>802</v>
      </c>
      <c r="D79" s="18" t="s">
        <v>1336</v>
      </c>
      <c r="E79" s="11" t="s">
        <v>876</v>
      </c>
      <c r="F79" s="19">
        <v>12.15</v>
      </c>
      <c r="G79" s="37" t="s">
        <v>3627</v>
      </c>
      <c r="H79" s="21" t="s">
        <v>263</v>
      </c>
      <c r="I79" s="45">
        <f>IFERROR(ROUND(IF(Reinvest[[#This Row],[Result]]="L",0-Reinvest[[#This Row],[Risk]],IF(Reinvest[[#This Row],[Result]]="Push",0,IF(Reinvest[[#This Row],[Result]]="No Action",0,IF(Reinvest[[#This Row],[Result]]="W",IF(Reinvest[[#This Row],[Odds]]&gt;0,Reinvest[[#This Row],[Odds]]/100*Reinvest[[#This Row],[Risk]],(Reinvest[[#This Row],[Risk]]/Reinvest[[#This Row],[Odds]]*-100)),"")))),2),"")</f>
        <v>-12.15</v>
      </c>
      <c r="J79" s="89" t="str">
        <f>IF(B79=B80,"",SUM($I$4:I79)/SUM($F$4:F79))</f>
        <v/>
      </c>
      <c r="K79"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79"/>
      <c r="M79" s="24">
        <f t="shared" si="3"/>
        <v>0</v>
      </c>
      <c r="N79" s="1" t="str">
        <f>COUNTIFS(Reinvest[Date],M79,Reinvest[Result],"W")&amp;"-"&amp;COUNTIFS(Reinvest[Date],M79,Reinvest[Result],"L")&amp;IF(COUNTIFS(Reinvest[Date],M79,Reinvest[Result],"Push")&gt;0,"-"&amp;COUNTIFS(Reinvest[Date],M79,Reinvest[Result],"Push"),"")</f>
        <v>0-0</v>
      </c>
      <c r="O79" s="25" t="str">
        <f>IFERROR(COUNTIFS(Reinvest[Date],M79,Reinvest[Result],"W")/(COUNTIFS(Reinvest[Date],M79,Reinvest[Result],"W")+COUNTIFS(Reinvest[Date],M79,Reinvest[Result],"L")),"")</f>
        <v/>
      </c>
      <c r="P79" s="26">
        <f>SUMIF(Reinvest[Date],M79,Reinvest[Net])</f>
        <v>0</v>
      </c>
      <c r="Q79" s="27" t="str">
        <f>IFERROR("("&amp;ROUND(SUMIF(Reinvest[Date],M79,Reinvest[Net])/SUMIF(Reinvest[Date],M79,Reinvest[Risk]),2)*100&amp;"%)","")</f>
        <v/>
      </c>
    </row>
    <row r="80" spans="1:17" x14ac:dyDescent="0.25">
      <c r="A80" s="13">
        <f t="shared" si="4"/>
        <v>8</v>
      </c>
      <c r="B80" s="17">
        <v>43677</v>
      </c>
      <c r="C80" s="17" t="s">
        <v>802</v>
      </c>
      <c r="D80" s="18" t="s">
        <v>3606</v>
      </c>
      <c r="E80" s="11" t="s">
        <v>1180</v>
      </c>
      <c r="F80" s="19">
        <v>19.72</v>
      </c>
      <c r="G80" s="37" t="s">
        <v>1342</v>
      </c>
      <c r="H80" s="21" t="s">
        <v>263</v>
      </c>
      <c r="I80" s="45">
        <f>IFERROR(ROUND(IF(Reinvest[[#This Row],[Result]]="L",0-Reinvest[[#This Row],[Risk]],IF(Reinvest[[#This Row],[Result]]="Push",0,IF(Reinvest[[#This Row],[Result]]="No Action",0,IF(Reinvest[[#This Row],[Result]]="W",IF(Reinvest[[#This Row],[Odds]]&gt;0,Reinvest[[#This Row],[Odds]]/100*Reinvest[[#This Row],[Risk]],(Reinvest[[#This Row],[Risk]]/Reinvest[[#This Row],[Odds]]*-100)),"")))),2),"")</f>
        <v>-19.72</v>
      </c>
      <c r="J80" s="89" t="str">
        <f>IF(B80=B81,"",SUM($I$4:I80)/SUM($F$4:F80))</f>
        <v/>
      </c>
      <c r="K80"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80"/>
      <c r="M80" s="24">
        <f t="shared" si="3"/>
        <v>0</v>
      </c>
      <c r="N80" s="1" t="str">
        <f>COUNTIFS(Reinvest[Date],M80,Reinvest[Result],"W")&amp;"-"&amp;COUNTIFS(Reinvest[Date],M80,Reinvest[Result],"L")&amp;IF(COUNTIFS(Reinvest[Date],M80,Reinvest[Result],"Push")&gt;0,"-"&amp;COUNTIFS(Reinvest[Date],M80,Reinvest[Result],"Push"),"")</f>
        <v>0-0</v>
      </c>
      <c r="O80" s="25" t="str">
        <f>IFERROR(COUNTIFS(Reinvest[Date],M80,Reinvest[Result],"W")/(COUNTIFS(Reinvest[Date],M80,Reinvest[Result],"W")+COUNTIFS(Reinvest[Date],M80,Reinvest[Result],"L")),"")</f>
        <v/>
      </c>
      <c r="P80" s="26">
        <f>SUMIF(Reinvest[Date],M80,Reinvest[Net])</f>
        <v>0</v>
      </c>
      <c r="Q80" s="27" t="str">
        <f>IFERROR("("&amp;ROUND(SUMIF(Reinvest[Date],M80,Reinvest[Net])/SUMIF(Reinvest[Date],M80,Reinvest[Risk]),2)*100&amp;"%)","")</f>
        <v/>
      </c>
    </row>
    <row r="81" spans="1:17" x14ac:dyDescent="0.25">
      <c r="A81" s="13">
        <f t="shared" si="4"/>
        <v>8</v>
      </c>
      <c r="B81" s="17">
        <v>43677</v>
      </c>
      <c r="C81" s="17" t="s">
        <v>802</v>
      </c>
      <c r="D81" s="18" t="s">
        <v>3594</v>
      </c>
      <c r="E81" s="11" t="s">
        <v>873</v>
      </c>
      <c r="F81" s="19">
        <v>13.43</v>
      </c>
      <c r="G81" s="37" t="s">
        <v>3628</v>
      </c>
      <c r="H81" s="21" t="s">
        <v>262</v>
      </c>
      <c r="I81" s="45">
        <f>IFERROR(ROUND(IF(Reinvest[[#This Row],[Result]]="L",0-Reinvest[[#This Row],[Risk]],IF(Reinvest[[#This Row],[Result]]="Push",0,IF(Reinvest[[#This Row],[Result]]="No Action",0,IF(Reinvest[[#This Row],[Result]]="W",IF(Reinvest[[#This Row],[Odds]]&gt;0,Reinvest[[#This Row],[Odds]]/100*Reinvest[[#This Row],[Risk]],(Reinvest[[#This Row],[Risk]]/Reinvest[[#This Row],[Odds]]*-100)),"")))),2),"")</f>
        <v>15.31</v>
      </c>
      <c r="J81" s="89" t="str">
        <f>IF(B81=B82,"",SUM($I$4:I81)/SUM($F$4:F81))</f>
        <v/>
      </c>
      <c r="K81"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81"/>
      <c r="M81" s="24">
        <f t="shared" si="3"/>
        <v>0</v>
      </c>
      <c r="N81" s="1" t="str">
        <f>COUNTIFS(Reinvest[Date],M81,Reinvest[Result],"W")&amp;"-"&amp;COUNTIFS(Reinvest[Date],M81,Reinvest[Result],"L")&amp;IF(COUNTIFS(Reinvest[Date],M81,Reinvest[Result],"Push")&gt;0,"-"&amp;COUNTIFS(Reinvest[Date],M81,Reinvest[Result],"Push"),"")</f>
        <v>0-0</v>
      </c>
      <c r="O81" s="25" t="str">
        <f>IFERROR(COUNTIFS(Reinvest[Date],M81,Reinvest[Result],"W")/(COUNTIFS(Reinvest[Date],M81,Reinvest[Result],"W")+COUNTIFS(Reinvest[Date],M81,Reinvest[Result],"L")),"")</f>
        <v/>
      </c>
      <c r="P81" s="26">
        <f>SUMIF(Reinvest[Date],M81,Reinvest[Net])</f>
        <v>0</v>
      </c>
      <c r="Q81" s="27" t="str">
        <f>IFERROR("("&amp;ROUND(SUMIF(Reinvest[Date],M81,Reinvest[Net])/SUMIF(Reinvest[Date],M81,Reinvest[Risk]),2)*100&amp;"%)","")</f>
        <v/>
      </c>
    </row>
    <row r="82" spans="1:17" x14ac:dyDescent="0.25">
      <c r="A82" s="13">
        <f t="shared" si="4"/>
        <v>8</v>
      </c>
      <c r="B82" s="17">
        <v>43677</v>
      </c>
      <c r="C82" s="17" t="s">
        <v>802</v>
      </c>
      <c r="D82" s="18" t="s">
        <v>1443</v>
      </c>
      <c r="E82" s="11" t="s">
        <v>827</v>
      </c>
      <c r="F82" s="19">
        <v>16.809999999999999</v>
      </c>
      <c r="G82" s="37">
        <v>-134</v>
      </c>
      <c r="H82" s="21" t="s">
        <v>262</v>
      </c>
      <c r="I82" s="45">
        <f>IFERROR(ROUND(IF(Reinvest[[#This Row],[Result]]="L",0-Reinvest[[#This Row],[Risk]],IF(Reinvest[[#This Row],[Result]]="Push",0,IF(Reinvest[[#This Row],[Result]]="No Action",0,IF(Reinvest[[#This Row],[Result]]="W",IF(Reinvest[[#This Row],[Odds]]&gt;0,Reinvest[[#This Row],[Odds]]/100*Reinvest[[#This Row],[Risk]],(Reinvest[[#This Row],[Risk]]/Reinvest[[#This Row],[Odds]]*-100)),"")))),2),"")</f>
        <v>12.54</v>
      </c>
      <c r="J82" s="89" t="str">
        <f>IF(B82=B83,"",SUM($I$4:I82)/SUM($F$4:F82))</f>
        <v/>
      </c>
      <c r="K82"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82"/>
      <c r="M82" s="24">
        <f t="shared" si="3"/>
        <v>0</v>
      </c>
      <c r="N82" s="1" t="str">
        <f>COUNTIFS(Reinvest[Date],M82,Reinvest[Result],"W")&amp;"-"&amp;COUNTIFS(Reinvest[Date],M82,Reinvest[Result],"L")&amp;IF(COUNTIFS(Reinvest[Date],M82,Reinvest[Result],"Push")&gt;0,"-"&amp;COUNTIFS(Reinvest[Date],M82,Reinvest[Result],"Push"),"")</f>
        <v>0-0</v>
      </c>
      <c r="O82" s="25" t="str">
        <f>IFERROR(COUNTIFS(Reinvest[Date],M82,Reinvest[Result],"W")/(COUNTIFS(Reinvest[Date],M82,Reinvest[Result],"W")+COUNTIFS(Reinvest[Date],M82,Reinvest[Result],"L")),"")</f>
        <v/>
      </c>
      <c r="P82" s="26">
        <f>SUMIF(Reinvest[Date],M82,Reinvest[Net])</f>
        <v>0</v>
      </c>
      <c r="Q82" s="27" t="str">
        <f>IFERROR("("&amp;ROUND(SUMIF(Reinvest[Date],M82,Reinvest[Net])/SUMIF(Reinvest[Date],M82,Reinvest[Risk]),2)*100&amp;"%)","")</f>
        <v/>
      </c>
    </row>
    <row r="83" spans="1:17" x14ac:dyDescent="0.25">
      <c r="A83" s="13">
        <f t="shared" si="4"/>
        <v>8</v>
      </c>
      <c r="B83" s="17">
        <v>43677</v>
      </c>
      <c r="C83" s="17" t="s">
        <v>802</v>
      </c>
      <c r="D83" s="18" t="s">
        <v>3607</v>
      </c>
      <c r="E83" s="11" t="s">
        <v>819</v>
      </c>
      <c r="F83" s="19">
        <v>12.97</v>
      </c>
      <c r="G83" s="37" t="s">
        <v>3629</v>
      </c>
      <c r="H83" s="21" t="s">
        <v>262</v>
      </c>
      <c r="I83" s="45">
        <f>IFERROR(ROUND(IF(Reinvest[[#This Row],[Result]]="L",0-Reinvest[[#This Row],[Risk]],IF(Reinvest[[#This Row],[Result]]="Push",0,IF(Reinvest[[#This Row],[Result]]="No Action",0,IF(Reinvest[[#This Row],[Result]]="W",IF(Reinvest[[#This Row],[Odds]]&gt;0,Reinvest[[#This Row],[Odds]]/100*Reinvest[[#This Row],[Risk]],(Reinvest[[#This Row],[Risk]]/Reinvest[[#This Row],[Odds]]*-100)),"")))),2),"")</f>
        <v>16.600000000000001</v>
      </c>
      <c r="J83" s="89" t="str">
        <f>IF(B83=B84,"",SUM($I$4:I83)/SUM($F$4:F83))</f>
        <v/>
      </c>
      <c r="K83"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83"/>
      <c r="M83" s="24">
        <f t="shared" si="3"/>
        <v>0</v>
      </c>
      <c r="N83" s="1" t="str">
        <f>COUNTIFS(Reinvest[Date],M83,Reinvest[Result],"W")&amp;"-"&amp;COUNTIFS(Reinvest[Date],M83,Reinvest[Result],"L")&amp;IF(COUNTIFS(Reinvest[Date],M83,Reinvest[Result],"Push")&gt;0,"-"&amp;COUNTIFS(Reinvest[Date],M83,Reinvest[Result],"Push"),"")</f>
        <v>0-0</v>
      </c>
      <c r="O83" s="25" t="str">
        <f>IFERROR(COUNTIFS(Reinvest[Date],M83,Reinvest[Result],"W")/(COUNTIFS(Reinvest[Date],M83,Reinvest[Result],"W")+COUNTIFS(Reinvest[Date],M83,Reinvest[Result],"L")),"")</f>
        <v/>
      </c>
      <c r="P83" s="26">
        <f>SUMIF(Reinvest[Date],M83,Reinvest[Net])</f>
        <v>0</v>
      </c>
      <c r="Q83" s="27" t="str">
        <f>IFERROR("("&amp;ROUND(SUMIF(Reinvest[Date],M83,Reinvest[Net])/SUMIF(Reinvest[Date],M83,Reinvest[Risk]),2)*100&amp;"%)","")</f>
        <v/>
      </c>
    </row>
    <row r="84" spans="1:17" x14ac:dyDescent="0.25">
      <c r="A84" s="13">
        <f t="shared" si="4"/>
        <v>8</v>
      </c>
      <c r="B84" s="17">
        <v>43677</v>
      </c>
      <c r="C84" s="17" t="s">
        <v>802</v>
      </c>
      <c r="D84" s="18" t="s">
        <v>3630</v>
      </c>
      <c r="E84" s="11" t="s">
        <v>869</v>
      </c>
      <c r="F84" s="19">
        <v>12.27</v>
      </c>
      <c r="G84" s="37" t="s">
        <v>3629</v>
      </c>
      <c r="H84" s="21" t="s">
        <v>262</v>
      </c>
      <c r="I84" s="45">
        <f>IFERROR(ROUND(IF(Reinvest[[#This Row],[Result]]="L",0-Reinvest[[#This Row],[Risk]],IF(Reinvest[[#This Row],[Result]]="Push",0,IF(Reinvest[[#This Row],[Result]]="No Action",0,IF(Reinvest[[#This Row],[Result]]="W",IF(Reinvest[[#This Row],[Odds]]&gt;0,Reinvest[[#This Row],[Odds]]/100*Reinvest[[#This Row],[Risk]],(Reinvest[[#This Row],[Risk]]/Reinvest[[#This Row],[Odds]]*-100)),"")))),2),"")</f>
        <v>15.71</v>
      </c>
      <c r="J84" s="89" t="str">
        <f>IF(B84=B85,"",SUM($I$4:I84)/SUM($F$4:F84))</f>
        <v/>
      </c>
      <c r="K8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84"/>
      <c r="M84" s="24">
        <f t="shared" si="3"/>
        <v>0</v>
      </c>
      <c r="N84" s="1" t="str">
        <f>COUNTIFS(Reinvest[Date],M84,Reinvest[Result],"W")&amp;"-"&amp;COUNTIFS(Reinvest[Date],M84,Reinvest[Result],"L")&amp;IF(COUNTIFS(Reinvest[Date],M84,Reinvest[Result],"Push")&gt;0,"-"&amp;COUNTIFS(Reinvest[Date],M84,Reinvest[Result],"Push"),"")</f>
        <v>0-0</v>
      </c>
      <c r="O84" s="25" t="str">
        <f>IFERROR(COUNTIFS(Reinvest[Date],M84,Reinvest[Result],"W")/(COUNTIFS(Reinvest[Date],M84,Reinvest[Result],"W")+COUNTIFS(Reinvest[Date],M84,Reinvest[Result],"L")),"")</f>
        <v/>
      </c>
      <c r="P84" s="26">
        <f>SUMIF(Reinvest[Date],M84,Reinvest[Net])</f>
        <v>0</v>
      </c>
      <c r="Q84" s="27" t="str">
        <f>IFERROR("("&amp;ROUND(SUMIF(Reinvest[Date],M84,Reinvest[Net])/SUMIF(Reinvest[Date],M84,Reinvest[Risk]),2)*100&amp;"%)","")</f>
        <v/>
      </c>
    </row>
    <row r="85" spans="1:17" x14ac:dyDescent="0.25">
      <c r="A85" s="13">
        <f t="shared" si="4"/>
        <v>8</v>
      </c>
      <c r="B85" s="17">
        <v>43677</v>
      </c>
      <c r="C85" s="17" t="s">
        <v>802</v>
      </c>
      <c r="D85" s="18" t="s">
        <v>3606</v>
      </c>
      <c r="E85" s="11" t="s">
        <v>933</v>
      </c>
      <c r="F85" s="19">
        <v>32.9</v>
      </c>
      <c r="G85" s="37">
        <v>-105</v>
      </c>
      <c r="H85" s="21" t="s">
        <v>263</v>
      </c>
      <c r="I85" s="45">
        <f>IFERROR(ROUND(IF(Reinvest[[#This Row],[Result]]="L",0-Reinvest[[#This Row],[Risk]],IF(Reinvest[[#This Row],[Result]]="Push",0,IF(Reinvest[[#This Row],[Result]]="No Action",0,IF(Reinvest[[#This Row],[Result]]="W",IF(Reinvest[[#This Row],[Odds]]&gt;0,Reinvest[[#This Row],[Odds]]/100*Reinvest[[#This Row],[Risk]],(Reinvest[[#This Row],[Risk]]/Reinvest[[#This Row],[Odds]]*-100)),"")))),2),"")</f>
        <v>-32.9</v>
      </c>
      <c r="J85" s="89" t="str">
        <f>IF(B85=B86,"",SUM($I$4:I85)/SUM($F$4:F85))</f>
        <v/>
      </c>
      <c r="K85"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85"/>
      <c r="M85" s="24">
        <f t="shared" si="3"/>
        <v>0</v>
      </c>
      <c r="N85" s="1" t="str">
        <f>COUNTIFS(Reinvest[Date],M85,Reinvest[Result],"W")&amp;"-"&amp;COUNTIFS(Reinvest[Date],M85,Reinvest[Result],"L")&amp;IF(COUNTIFS(Reinvest[Date],M85,Reinvest[Result],"Push")&gt;0,"-"&amp;COUNTIFS(Reinvest[Date],M85,Reinvest[Result],"Push"),"")</f>
        <v>0-0</v>
      </c>
      <c r="O85" s="25" t="str">
        <f>IFERROR(COUNTIFS(Reinvest[Date],M85,Reinvest[Result],"W")/(COUNTIFS(Reinvest[Date],M85,Reinvest[Result],"W")+COUNTIFS(Reinvest[Date],M85,Reinvest[Result],"L")),"")</f>
        <v/>
      </c>
      <c r="P85" s="26">
        <f>SUMIF(Reinvest[Date],M85,Reinvest[Net])</f>
        <v>0</v>
      </c>
      <c r="Q85" s="27" t="str">
        <f>IFERROR("("&amp;ROUND(SUMIF(Reinvest[Date],M85,Reinvest[Net])/SUMIF(Reinvest[Date],M85,Reinvest[Risk]),2)*100&amp;"%)","")</f>
        <v/>
      </c>
    </row>
    <row r="86" spans="1:17" x14ac:dyDescent="0.25">
      <c r="A86" s="13">
        <f t="shared" si="4"/>
        <v>8</v>
      </c>
      <c r="B86" s="17">
        <v>43677</v>
      </c>
      <c r="C86" s="17" t="s">
        <v>802</v>
      </c>
      <c r="D86" s="18" t="s">
        <v>3594</v>
      </c>
      <c r="E86" s="11" t="s">
        <v>1156</v>
      </c>
      <c r="F86" s="19">
        <v>21.58</v>
      </c>
      <c r="G86" s="37">
        <v>-112</v>
      </c>
      <c r="H86" s="21" t="s">
        <v>263</v>
      </c>
      <c r="I86" s="45">
        <f>IFERROR(ROUND(IF(Reinvest[[#This Row],[Result]]="L",0-Reinvest[[#This Row],[Risk]],IF(Reinvest[[#This Row],[Result]]="Push",0,IF(Reinvest[[#This Row],[Result]]="No Action",0,IF(Reinvest[[#This Row],[Result]]="W",IF(Reinvest[[#This Row],[Odds]]&gt;0,Reinvest[[#This Row],[Odds]]/100*Reinvest[[#This Row],[Risk]],(Reinvest[[#This Row],[Risk]]/Reinvest[[#This Row],[Odds]]*-100)),"")))),2),"")</f>
        <v>-21.58</v>
      </c>
      <c r="J86" s="89" t="str">
        <f>IF(B86=B87,"",SUM($I$4:I86)/SUM($F$4:F86))</f>
        <v/>
      </c>
      <c r="K86"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86"/>
      <c r="M86" s="24">
        <f t="shared" si="3"/>
        <v>0</v>
      </c>
      <c r="N86" s="1" t="str">
        <f>COUNTIFS(Reinvest[Date],M86,Reinvest[Result],"W")&amp;"-"&amp;COUNTIFS(Reinvest[Date],M86,Reinvest[Result],"L")&amp;IF(COUNTIFS(Reinvest[Date],M86,Reinvest[Result],"Push")&gt;0,"-"&amp;COUNTIFS(Reinvest[Date],M86,Reinvest[Result],"Push"),"")</f>
        <v>0-0</v>
      </c>
      <c r="O86" s="25" t="str">
        <f>IFERROR(COUNTIFS(Reinvest[Date],M86,Reinvest[Result],"W")/(COUNTIFS(Reinvest[Date],M86,Reinvest[Result],"W")+COUNTIFS(Reinvest[Date],M86,Reinvest[Result],"L")),"")</f>
        <v/>
      </c>
      <c r="P86" s="26">
        <f>SUMIF(Reinvest[Date],M86,Reinvest[Net])</f>
        <v>0</v>
      </c>
      <c r="Q86" s="27" t="str">
        <f>IFERROR("("&amp;ROUND(SUMIF(Reinvest[Date],M86,Reinvest[Net])/SUMIF(Reinvest[Date],M86,Reinvest[Risk]),2)*100&amp;"%)","")</f>
        <v/>
      </c>
    </row>
    <row r="87" spans="1:17" x14ac:dyDescent="0.25">
      <c r="A87" s="13">
        <f t="shared" si="4"/>
        <v>8</v>
      </c>
      <c r="B87" s="17">
        <v>43677</v>
      </c>
      <c r="C87" s="17" t="s">
        <v>802</v>
      </c>
      <c r="D87" s="18" t="s">
        <v>3631</v>
      </c>
      <c r="E87" s="11" t="s">
        <v>880</v>
      </c>
      <c r="F87" s="19">
        <v>20.57</v>
      </c>
      <c r="G87" s="37">
        <v>-115</v>
      </c>
      <c r="H87" s="21" t="s">
        <v>262</v>
      </c>
      <c r="I87" s="45">
        <f>IFERROR(ROUND(IF(Reinvest[[#This Row],[Result]]="L",0-Reinvest[[#This Row],[Risk]],IF(Reinvest[[#This Row],[Result]]="Push",0,IF(Reinvest[[#This Row],[Result]]="No Action",0,IF(Reinvest[[#This Row],[Result]]="W",IF(Reinvest[[#This Row],[Odds]]&gt;0,Reinvest[[#This Row],[Odds]]/100*Reinvest[[#This Row],[Risk]],(Reinvest[[#This Row],[Risk]]/Reinvest[[#This Row],[Odds]]*-100)),"")))),2),"")</f>
        <v>17.89</v>
      </c>
      <c r="J87" s="89" t="str">
        <f>IF(B87=B88,"",SUM($I$4:I87)/SUM($F$4:F87))</f>
        <v/>
      </c>
      <c r="K87"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87"/>
      <c r="M87" s="24">
        <f t="shared" si="3"/>
        <v>0</v>
      </c>
      <c r="N87" s="1" t="str">
        <f>COUNTIFS(Reinvest[Date],M87,Reinvest[Result],"W")&amp;"-"&amp;COUNTIFS(Reinvest[Date],M87,Reinvest[Result],"L")&amp;IF(COUNTIFS(Reinvest[Date],M87,Reinvest[Result],"Push")&gt;0,"-"&amp;COUNTIFS(Reinvest[Date],M87,Reinvest[Result],"Push"),"")</f>
        <v>0-0</v>
      </c>
      <c r="O87" s="25" t="str">
        <f>IFERROR(COUNTIFS(Reinvest[Date],M87,Reinvest[Result],"W")/(COUNTIFS(Reinvest[Date],M87,Reinvest[Result],"W")+COUNTIFS(Reinvest[Date],M87,Reinvest[Result],"L")),"")</f>
        <v/>
      </c>
      <c r="P87" s="26">
        <f>SUMIF(Reinvest[Date],M87,Reinvest[Net])</f>
        <v>0</v>
      </c>
      <c r="Q87" s="27" t="str">
        <f>IFERROR("("&amp;ROUND(SUMIF(Reinvest[Date],M87,Reinvest[Net])/SUMIF(Reinvest[Date],M87,Reinvest[Risk]),2)*100&amp;"%)","")</f>
        <v/>
      </c>
    </row>
    <row r="88" spans="1:17" x14ac:dyDescent="0.25">
      <c r="A88" s="13">
        <f t="shared" si="4"/>
        <v>8</v>
      </c>
      <c r="B88" s="17">
        <v>43677</v>
      </c>
      <c r="C88" s="17" t="s">
        <v>802</v>
      </c>
      <c r="D88" s="18" t="s">
        <v>3630</v>
      </c>
      <c r="E88" s="11" t="s">
        <v>1209</v>
      </c>
      <c r="F88" s="19">
        <v>24.95</v>
      </c>
      <c r="G88" s="37">
        <v>-117</v>
      </c>
      <c r="H88" s="21" t="s">
        <v>263</v>
      </c>
      <c r="I88" s="45">
        <f>IFERROR(ROUND(IF(Reinvest[[#This Row],[Result]]="L",0-Reinvest[[#This Row],[Risk]],IF(Reinvest[[#This Row],[Result]]="Push",0,IF(Reinvest[[#This Row],[Result]]="No Action",0,IF(Reinvest[[#This Row],[Result]]="W",IF(Reinvest[[#This Row],[Odds]]&gt;0,Reinvest[[#This Row],[Odds]]/100*Reinvest[[#This Row],[Risk]],(Reinvest[[#This Row],[Risk]]/Reinvest[[#This Row],[Odds]]*-100)),"")))),2),"")</f>
        <v>-24.95</v>
      </c>
      <c r="J88" s="89">
        <f>IF(B88=B89,"",SUM($I$4:I88)/SUM($F$4:F88))</f>
        <v>2.761030033245061E-2</v>
      </c>
      <c r="K88"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88"/>
      <c r="M88" s="24">
        <f t="shared" si="3"/>
        <v>0</v>
      </c>
      <c r="N88" s="1" t="str">
        <f>COUNTIFS(Reinvest[Date],M88,Reinvest[Result],"W")&amp;"-"&amp;COUNTIFS(Reinvest[Date],M88,Reinvest[Result],"L")&amp;IF(COUNTIFS(Reinvest[Date],M88,Reinvest[Result],"Push")&gt;0,"-"&amp;COUNTIFS(Reinvest[Date],M88,Reinvest[Result],"Push"),"")</f>
        <v>0-0</v>
      </c>
      <c r="O88" s="25" t="str">
        <f>IFERROR(COUNTIFS(Reinvest[Date],M88,Reinvest[Result],"W")/(COUNTIFS(Reinvest[Date],M88,Reinvest[Result],"W")+COUNTIFS(Reinvest[Date],M88,Reinvest[Result],"L")),"")</f>
        <v/>
      </c>
      <c r="P88" s="26">
        <f>SUMIF(Reinvest[Date],M88,Reinvest[Net])</f>
        <v>0</v>
      </c>
      <c r="Q88" s="27" t="str">
        <f>IFERROR("("&amp;ROUND(SUMIF(Reinvest[Date],M88,Reinvest[Net])/SUMIF(Reinvest[Date],M88,Reinvest[Risk]),2)*100&amp;"%)","")</f>
        <v/>
      </c>
    </row>
    <row r="89" spans="1:17" x14ac:dyDescent="0.25">
      <c r="A89" s="13">
        <f t="shared" si="4"/>
        <v>9</v>
      </c>
      <c r="B89" s="17">
        <v>43678</v>
      </c>
      <c r="C89" s="17" t="s">
        <v>802</v>
      </c>
      <c r="D89" s="18" t="s">
        <v>3657</v>
      </c>
      <c r="E89" s="11" t="s">
        <v>1178</v>
      </c>
      <c r="F89" s="19">
        <v>20.5</v>
      </c>
      <c r="G89" s="37">
        <v>-180</v>
      </c>
      <c r="H89" s="21" t="s">
        <v>263</v>
      </c>
      <c r="I89" s="45">
        <f>IFERROR(ROUND(IF(Reinvest[[#This Row],[Result]]="L",0-Reinvest[[#This Row],[Risk]],IF(Reinvest[[#This Row],[Result]]="Push",0,IF(Reinvest[[#This Row],[Result]]="No Action",0,IF(Reinvest[[#This Row],[Result]]="W",IF(Reinvest[[#This Row],[Odds]]&gt;0,Reinvest[[#This Row],[Odds]]/100*Reinvest[[#This Row],[Risk]],(Reinvest[[#This Row],[Risk]]/Reinvest[[#This Row],[Odds]]*-100)),"")))),2),"")</f>
        <v>-20.5</v>
      </c>
      <c r="J89" s="89" t="str">
        <f>IF(B89=B90,"",SUM($I$4:I89)/SUM($F$4:F89))</f>
        <v/>
      </c>
      <c r="K89"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89"/>
      <c r="M89" s="24">
        <f t="shared" si="3"/>
        <v>0</v>
      </c>
      <c r="N89" s="1" t="str">
        <f>COUNTIFS(Reinvest[Date],M89,Reinvest[Result],"W")&amp;"-"&amp;COUNTIFS(Reinvest[Date],M89,Reinvest[Result],"L")&amp;IF(COUNTIFS(Reinvest[Date],M89,Reinvest[Result],"Push")&gt;0,"-"&amp;COUNTIFS(Reinvest[Date],M89,Reinvest[Result],"Push"),"")</f>
        <v>0-0</v>
      </c>
      <c r="O89" s="25" t="str">
        <f>IFERROR(COUNTIFS(Reinvest[Date],M89,Reinvest[Result],"W")/(COUNTIFS(Reinvest[Date],M89,Reinvest[Result],"W")+COUNTIFS(Reinvest[Date],M89,Reinvest[Result],"L")),"")</f>
        <v/>
      </c>
      <c r="P89" s="26">
        <f>SUMIF(Reinvest[Date],M89,Reinvest[Net])</f>
        <v>0</v>
      </c>
      <c r="Q89" s="27" t="str">
        <f>IFERROR("("&amp;ROUND(SUMIF(Reinvest[Date],M89,Reinvest[Net])/SUMIF(Reinvest[Date],M89,Reinvest[Risk]),2)*100&amp;"%)","")</f>
        <v/>
      </c>
    </row>
    <row r="90" spans="1:17" x14ac:dyDescent="0.25">
      <c r="A90" s="13">
        <f t="shared" si="4"/>
        <v>9</v>
      </c>
      <c r="B90" s="17">
        <v>43678</v>
      </c>
      <c r="C90" s="17" t="s">
        <v>802</v>
      </c>
      <c r="D90" s="18" t="s">
        <v>3631</v>
      </c>
      <c r="E90" s="11" t="s">
        <v>810</v>
      </c>
      <c r="F90" s="19">
        <v>16.440000000000001</v>
      </c>
      <c r="G90" s="37" t="s">
        <v>1252</v>
      </c>
      <c r="H90" s="21" t="s">
        <v>263</v>
      </c>
      <c r="I90" s="45">
        <f>IFERROR(ROUND(IF(Reinvest[[#This Row],[Result]]="L",0-Reinvest[[#This Row],[Risk]],IF(Reinvest[[#This Row],[Result]]="Push",0,IF(Reinvest[[#This Row],[Result]]="No Action",0,IF(Reinvest[[#This Row],[Result]]="W",IF(Reinvest[[#This Row],[Odds]]&gt;0,Reinvest[[#This Row],[Odds]]/100*Reinvest[[#This Row],[Risk]],(Reinvest[[#This Row],[Risk]]/Reinvest[[#This Row],[Odds]]*-100)),"")))),2),"")</f>
        <v>-16.440000000000001</v>
      </c>
      <c r="J90" s="89" t="str">
        <f>IF(B90=B91,"",SUM($I$4:I90)/SUM($F$4:F90))</f>
        <v/>
      </c>
      <c r="K90"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90"/>
      <c r="M90" s="24">
        <f t="shared" si="3"/>
        <v>0</v>
      </c>
      <c r="N90" s="1" t="str">
        <f>COUNTIFS(Reinvest[Date],M90,Reinvest[Result],"W")&amp;"-"&amp;COUNTIFS(Reinvest[Date],M90,Reinvest[Result],"L")&amp;IF(COUNTIFS(Reinvest[Date],M90,Reinvest[Result],"Push")&gt;0,"-"&amp;COUNTIFS(Reinvest[Date],M90,Reinvest[Result],"Push"),"")</f>
        <v>0-0</v>
      </c>
      <c r="O90" s="25" t="str">
        <f>IFERROR(COUNTIFS(Reinvest[Date],M90,Reinvest[Result],"W")/(COUNTIFS(Reinvest[Date],M90,Reinvest[Result],"W")+COUNTIFS(Reinvest[Date],M90,Reinvest[Result],"L")),"")</f>
        <v/>
      </c>
      <c r="P90" s="26">
        <f>SUMIF(Reinvest[Date],M90,Reinvest[Net])</f>
        <v>0</v>
      </c>
      <c r="Q90" s="27" t="str">
        <f>IFERROR("("&amp;ROUND(SUMIF(Reinvest[Date],M90,Reinvest[Net])/SUMIF(Reinvest[Date],M90,Reinvest[Risk]),2)*100&amp;"%)","")</f>
        <v/>
      </c>
    </row>
    <row r="91" spans="1:17" x14ac:dyDescent="0.25">
      <c r="A91" s="13">
        <f t="shared" si="4"/>
        <v>9</v>
      </c>
      <c r="B91" s="17">
        <v>43678</v>
      </c>
      <c r="C91" s="17" t="s">
        <v>802</v>
      </c>
      <c r="D91" s="18" t="s">
        <v>3658</v>
      </c>
      <c r="E91" s="11" t="s">
        <v>3659</v>
      </c>
      <c r="F91" s="19">
        <v>21.21</v>
      </c>
      <c r="G91" s="37">
        <v>-195</v>
      </c>
      <c r="H91" s="21" t="s">
        <v>262</v>
      </c>
      <c r="I91" s="45">
        <f>IFERROR(ROUND(IF(Reinvest[[#This Row],[Result]]="L",0-Reinvest[[#This Row],[Risk]],IF(Reinvest[[#This Row],[Result]]="Push",0,IF(Reinvest[[#This Row],[Result]]="No Action",0,IF(Reinvest[[#This Row],[Result]]="W",IF(Reinvest[[#This Row],[Odds]]&gt;0,Reinvest[[#This Row],[Odds]]/100*Reinvest[[#This Row],[Risk]],(Reinvest[[#This Row],[Risk]]/Reinvest[[#This Row],[Odds]]*-100)),"")))),2),"")</f>
        <v>10.88</v>
      </c>
      <c r="J91" s="89" t="str">
        <f>IF(B91=B92,"",SUM($I$4:I91)/SUM($F$4:F91))</f>
        <v/>
      </c>
      <c r="K91"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91"/>
      <c r="M91" s="24">
        <f t="shared" si="3"/>
        <v>0</v>
      </c>
      <c r="N91" s="1" t="str">
        <f>COUNTIFS(Reinvest[Date],M91,Reinvest[Result],"W")&amp;"-"&amp;COUNTIFS(Reinvest[Date],M91,Reinvest[Result],"L")&amp;IF(COUNTIFS(Reinvest[Date],M91,Reinvest[Result],"Push")&gt;0,"-"&amp;COUNTIFS(Reinvest[Date],M91,Reinvest[Result],"Push"),"")</f>
        <v>0-0</v>
      </c>
      <c r="O91" s="25" t="str">
        <f>IFERROR(COUNTIFS(Reinvest[Date],M91,Reinvest[Result],"W")/(COUNTIFS(Reinvest[Date],M91,Reinvest[Result],"W")+COUNTIFS(Reinvest[Date],M91,Reinvest[Result],"L")),"")</f>
        <v/>
      </c>
      <c r="P91" s="26">
        <f>SUMIF(Reinvest[Date],M91,Reinvest[Net])</f>
        <v>0</v>
      </c>
      <c r="Q91" s="27" t="str">
        <f>IFERROR("("&amp;ROUND(SUMIF(Reinvest[Date],M91,Reinvest[Net])/SUMIF(Reinvest[Date],M91,Reinvest[Risk]),2)*100&amp;"%)","")</f>
        <v/>
      </c>
    </row>
    <row r="92" spans="1:17" x14ac:dyDescent="0.25">
      <c r="A92" s="13">
        <f t="shared" si="4"/>
        <v>9</v>
      </c>
      <c r="B92" s="17">
        <v>43678</v>
      </c>
      <c r="C92" s="17" t="s">
        <v>802</v>
      </c>
      <c r="D92" s="18" t="s">
        <v>3660</v>
      </c>
      <c r="E92" s="11" t="s">
        <v>827</v>
      </c>
      <c r="F92" s="19">
        <v>21.85</v>
      </c>
      <c r="G92" s="37">
        <v>-225</v>
      </c>
      <c r="H92" s="21" t="s">
        <v>262</v>
      </c>
      <c r="I92" s="45">
        <f>IFERROR(ROUND(IF(Reinvest[[#This Row],[Result]]="L",0-Reinvest[[#This Row],[Risk]],IF(Reinvest[[#This Row],[Result]]="Push",0,IF(Reinvest[[#This Row],[Result]]="No Action",0,IF(Reinvest[[#This Row],[Result]]="W",IF(Reinvest[[#This Row],[Odds]]&gt;0,Reinvest[[#This Row],[Odds]]/100*Reinvest[[#This Row],[Risk]],(Reinvest[[#This Row],[Risk]]/Reinvest[[#This Row],[Odds]]*-100)),"")))),2),"")</f>
        <v>9.7100000000000009</v>
      </c>
      <c r="J92" s="89" t="str">
        <f>IF(B92=B93,"",SUM($I$4:I92)/SUM($F$4:F92))</f>
        <v/>
      </c>
      <c r="K92"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92"/>
      <c r="M92" s="24">
        <f t="shared" si="3"/>
        <v>0</v>
      </c>
      <c r="N92" s="1" t="str">
        <f>COUNTIFS(Reinvest[Date],M92,Reinvest[Result],"W")&amp;"-"&amp;COUNTIFS(Reinvest[Date],M92,Reinvest[Result],"L")&amp;IF(COUNTIFS(Reinvest[Date],M92,Reinvest[Result],"Push")&gt;0,"-"&amp;COUNTIFS(Reinvest[Date],M92,Reinvest[Result],"Push"),"")</f>
        <v>0-0</v>
      </c>
      <c r="O92" s="25" t="str">
        <f>IFERROR(COUNTIFS(Reinvest[Date],M92,Reinvest[Result],"W")/(COUNTIFS(Reinvest[Date],M92,Reinvest[Result],"W")+COUNTIFS(Reinvest[Date],M92,Reinvest[Result],"L")),"")</f>
        <v/>
      </c>
      <c r="P92" s="26">
        <f>SUMIF(Reinvest[Date],M92,Reinvest[Net])</f>
        <v>0</v>
      </c>
      <c r="Q92" s="27" t="str">
        <f>IFERROR("("&amp;ROUND(SUMIF(Reinvest[Date],M92,Reinvest[Net])/SUMIF(Reinvest[Date],M92,Reinvest[Risk]),2)*100&amp;"%)","")</f>
        <v/>
      </c>
    </row>
    <row r="93" spans="1:17" x14ac:dyDescent="0.25">
      <c r="A93" s="13">
        <f t="shared" si="4"/>
        <v>9</v>
      </c>
      <c r="B93" s="17">
        <v>43678</v>
      </c>
      <c r="C93" s="17" t="s">
        <v>802</v>
      </c>
      <c r="D93" s="18" t="s">
        <v>3661</v>
      </c>
      <c r="E93" s="11" t="s">
        <v>879</v>
      </c>
      <c r="F93" s="19">
        <v>19.97</v>
      </c>
      <c r="G93" s="37">
        <v>-109</v>
      </c>
      <c r="H93" s="21" t="s">
        <v>263</v>
      </c>
      <c r="I93" s="45">
        <f>IFERROR(ROUND(IF(Reinvest[[#This Row],[Result]]="L",0-Reinvest[[#This Row],[Risk]],IF(Reinvest[[#This Row],[Result]]="Push",0,IF(Reinvest[[#This Row],[Result]]="No Action",0,IF(Reinvest[[#This Row],[Result]]="W",IF(Reinvest[[#This Row],[Odds]]&gt;0,Reinvest[[#This Row],[Odds]]/100*Reinvest[[#This Row],[Risk]],(Reinvest[[#This Row],[Risk]]/Reinvest[[#This Row],[Odds]]*-100)),"")))),2),"")</f>
        <v>-19.97</v>
      </c>
      <c r="J93" s="89" t="str">
        <f>IF(B93=B94,"",SUM($I$4:I93)/SUM($F$4:F93))</f>
        <v/>
      </c>
      <c r="K93"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93"/>
      <c r="M93" s="24">
        <f t="shared" si="3"/>
        <v>0</v>
      </c>
      <c r="N93" s="1" t="str">
        <f>COUNTIFS(Reinvest[Date],M93,Reinvest[Result],"W")&amp;"-"&amp;COUNTIFS(Reinvest[Date],M93,Reinvest[Result],"L")&amp;IF(COUNTIFS(Reinvest[Date],M93,Reinvest[Result],"Push")&gt;0,"-"&amp;COUNTIFS(Reinvest[Date],M93,Reinvest[Result],"Push"),"")</f>
        <v>0-0</v>
      </c>
      <c r="O93" s="25" t="str">
        <f>IFERROR(COUNTIFS(Reinvest[Date],M93,Reinvest[Result],"W")/(COUNTIFS(Reinvest[Date],M93,Reinvest[Result],"W")+COUNTIFS(Reinvest[Date],M93,Reinvest[Result],"L")),"")</f>
        <v/>
      </c>
      <c r="P93" s="26">
        <f>SUMIF(Reinvest[Date],M93,Reinvest[Net])</f>
        <v>0</v>
      </c>
      <c r="Q93" s="27" t="str">
        <f>IFERROR("("&amp;ROUND(SUMIF(Reinvest[Date],M93,Reinvest[Net])/SUMIF(Reinvest[Date],M93,Reinvest[Risk]),2)*100&amp;"%)","")</f>
        <v/>
      </c>
    </row>
    <row r="94" spans="1:17" x14ac:dyDescent="0.25">
      <c r="A94" s="13">
        <f t="shared" si="4"/>
        <v>9</v>
      </c>
      <c r="B94" s="17">
        <v>43678</v>
      </c>
      <c r="C94" s="17" t="s">
        <v>802</v>
      </c>
      <c r="D94" s="18" t="s">
        <v>3607</v>
      </c>
      <c r="E94" s="11" t="s">
        <v>879</v>
      </c>
      <c r="F94" s="19">
        <v>20.03</v>
      </c>
      <c r="G94" s="37">
        <v>102</v>
      </c>
      <c r="H94" s="21" t="s">
        <v>263</v>
      </c>
      <c r="I94" s="45">
        <f>IFERROR(ROUND(IF(Reinvest[[#This Row],[Result]]="L",0-Reinvest[[#This Row],[Risk]],IF(Reinvest[[#This Row],[Result]]="Push",0,IF(Reinvest[[#This Row],[Result]]="No Action",0,IF(Reinvest[[#This Row],[Result]]="W",IF(Reinvest[[#This Row],[Odds]]&gt;0,Reinvest[[#This Row],[Odds]]/100*Reinvest[[#This Row],[Risk]],(Reinvest[[#This Row],[Risk]]/Reinvest[[#This Row],[Odds]]*-100)),"")))),2),"")</f>
        <v>-20.03</v>
      </c>
      <c r="J94" s="89">
        <f>IF(B94=B95,"",SUM($I$4:I94)/SUM($F$4:F94))</f>
        <v>-3.161761056236654E-2</v>
      </c>
      <c r="K9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94"/>
      <c r="M94" s="24">
        <f t="shared" si="3"/>
        <v>0</v>
      </c>
      <c r="N94" s="1" t="str">
        <f>COUNTIFS(Reinvest[Date],M94,Reinvest[Result],"W")&amp;"-"&amp;COUNTIFS(Reinvest[Date],M94,Reinvest[Result],"L")&amp;IF(COUNTIFS(Reinvest[Date],M94,Reinvest[Result],"Push")&gt;0,"-"&amp;COUNTIFS(Reinvest[Date],M94,Reinvest[Result],"Push"),"")</f>
        <v>0-0</v>
      </c>
      <c r="O94" s="25" t="str">
        <f>IFERROR(COUNTIFS(Reinvest[Date],M94,Reinvest[Result],"W")/(COUNTIFS(Reinvest[Date],M94,Reinvest[Result],"W")+COUNTIFS(Reinvest[Date],M94,Reinvest[Result],"L")),"")</f>
        <v/>
      </c>
      <c r="P94" s="26">
        <f>SUMIF(Reinvest[Date],M94,Reinvest[Net])</f>
        <v>0</v>
      </c>
      <c r="Q94" s="27" t="str">
        <f>IFERROR("("&amp;ROUND(SUMIF(Reinvest[Date],M94,Reinvest[Net])/SUMIF(Reinvest[Date],M94,Reinvest[Risk]),2)*100&amp;"%)","")</f>
        <v/>
      </c>
    </row>
    <row r="95" spans="1:17" x14ac:dyDescent="0.25">
      <c r="A95" s="13">
        <f t="shared" si="4"/>
        <v>10</v>
      </c>
      <c r="B95" s="17">
        <v>43679</v>
      </c>
      <c r="C95" s="17" t="s">
        <v>802</v>
      </c>
      <c r="D95" s="18" t="s">
        <v>3684</v>
      </c>
      <c r="E95" s="11" t="s">
        <v>1166</v>
      </c>
      <c r="F95" s="19">
        <v>15.8</v>
      </c>
      <c r="G95" s="37" t="s">
        <v>3685</v>
      </c>
      <c r="H95" s="21" t="s">
        <v>262</v>
      </c>
      <c r="I95" s="45">
        <f>IFERROR(ROUND(IF(Reinvest[[#This Row],[Result]]="L",0-Reinvest[[#This Row],[Risk]],IF(Reinvest[[#This Row],[Result]]="Push",0,IF(Reinvest[[#This Row],[Result]]="No Action",0,IF(Reinvest[[#This Row],[Result]]="W",IF(Reinvest[[#This Row],[Odds]]&gt;0,Reinvest[[#This Row],[Odds]]/100*Reinvest[[#This Row],[Risk]],(Reinvest[[#This Row],[Risk]]/Reinvest[[#This Row],[Odds]]*-100)),"")))),2),"")</f>
        <v>23.38</v>
      </c>
      <c r="J95" s="89" t="str">
        <f>IF(B95=B96,"",SUM($I$4:I95)/SUM($F$4:F95))</f>
        <v/>
      </c>
      <c r="K95"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95"/>
      <c r="M95" s="24">
        <f t="shared" si="3"/>
        <v>0</v>
      </c>
      <c r="N95" s="1" t="str">
        <f>COUNTIFS(Reinvest[Date],M95,Reinvest[Result],"W")&amp;"-"&amp;COUNTIFS(Reinvest[Date],M95,Reinvest[Result],"L")&amp;IF(COUNTIFS(Reinvest[Date],M95,Reinvest[Result],"Push")&gt;0,"-"&amp;COUNTIFS(Reinvest[Date],M95,Reinvest[Result],"Push"),"")</f>
        <v>0-0</v>
      </c>
      <c r="O95" s="25" t="str">
        <f>IFERROR(COUNTIFS(Reinvest[Date],M95,Reinvest[Result],"W")/(COUNTIFS(Reinvest[Date],M95,Reinvest[Result],"W")+COUNTIFS(Reinvest[Date],M95,Reinvest[Result],"L")),"")</f>
        <v/>
      </c>
      <c r="P95" s="26">
        <f>SUMIF(Reinvest[Date],M95,Reinvest[Net])</f>
        <v>0</v>
      </c>
      <c r="Q95" s="27" t="str">
        <f>IFERROR("("&amp;ROUND(SUMIF(Reinvest[Date],M95,Reinvest[Net])/SUMIF(Reinvest[Date],M95,Reinvest[Risk]),2)*100&amp;"%)","")</f>
        <v/>
      </c>
    </row>
    <row r="96" spans="1:17" x14ac:dyDescent="0.25">
      <c r="A96" s="13">
        <f t="shared" si="4"/>
        <v>10</v>
      </c>
      <c r="B96" s="17">
        <v>43679</v>
      </c>
      <c r="C96" s="17" t="s">
        <v>802</v>
      </c>
      <c r="D96" s="18" t="s">
        <v>3686</v>
      </c>
      <c r="E96" s="11" t="s">
        <v>870</v>
      </c>
      <c r="F96" s="19">
        <v>21.16</v>
      </c>
      <c r="G96" s="37">
        <v>-250</v>
      </c>
      <c r="H96" s="21" t="s">
        <v>262</v>
      </c>
      <c r="I96" s="45">
        <f>IFERROR(ROUND(IF(Reinvest[[#This Row],[Result]]="L",0-Reinvest[[#This Row],[Risk]],IF(Reinvest[[#This Row],[Result]]="Push",0,IF(Reinvest[[#This Row],[Result]]="No Action",0,IF(Reinvest[[#This Row],[Result]]="W",IF(Reinvest[[#This Row],[Odds]]&gt;0,Reinvest[[#This Row],[Odds]]/100*Reinvest[[#This Row],[Risk]],(Reinvest[[#This Row],[Risk]]/Reinvest[[#This Row],[Odds]]*-100)),"")))),2),"")</f>
        <v>8.4600000000000009</v>
      </c>
      <c r="J96" s="89" t="str">
        <f>IF(B96=B97,"",SUM($I$4:I96)/SUM($F$4:F96))</f>
        <v/>
      </c>
      <c r="K96"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96"/>
      <c r="M96" s="24">
        <f t="shared" si="3"/>
        <v>0</v>
      </c>
      <c r="N96" s="1" t="str">
        <f>COUNTIFS(Reinvest[Date],M96,Reinvest[Result],"W")&amp;"-"&amp;COUNTIFS(Reinvest[Date],M96,Reinvest[Result],"L")&amp;IF(COUNTIFS(Reinvest[Date],M96,Reinvest[Result],"Push")&gt;0,"-"&amp;COUNTIFS(Reinvest[Date],M96,Reinvest[Result],"Push"),"")</f>
        <v>0-0</v>
      </c>
      <c r="O96" s="25" t="str">
        <f>IFERROR(COUNTIFS(Reinvest[Date],M96,Reinvest[Result],"W")/(COUNTIFS(Reinvest[Date],M96,Reinvest[Result],"W")+COUNTIFS(Reinvest[Date],M96,Reinvest[Result],"L")),"")</f>
        <v/>
      </c>
      <c r="P96" s="26">
        <f>SUMIF(Reinvest[Date],M96,Reinvest[Net])</f>
        <v>0</v>
      </c>
      <c r="Q96" s="27" t="str">
        <f>IFERROR("("&amp;ROUND(SUMIF(Reinvest[Date],M96,Reinvest[Net])/SUMIF(Reinvest[Date],M96,Reinvest[Risk]),2)*100&amp;"%)","")</f>
        <v/>
      </c>
    </row>
    <row r="97" spans="1:17" x14ac:dyDescent="0.25">
      <c r="A97" s="13">
        <f t="shared" si="4"/>
        <v>10</v>
      </c>
      <c r="B97" s="17">
        <v>43679</v>
      </c>
      <c r="C97" s="17" t="s">
        <v>802</v>
      </c>
      <c r="D97" s="18" t="s">
        <v>3687</v>
      </c>
      <c r="E97" s="11" t="s">
        <v>897</v>
      </c>
      <c r="F97" s="19">
        <v>21.74</v>
      </c>
      <c r="G97" s="37">
        <v>-286</v>
      </c>
      <c r="H97" s="21" t="s">
        <v>262</v>
      </c>
      <c r="I97" s="45">
        <f>IFERROR(ROUND(IF(Reinvest[[#This Row],[Result]]="L",0-Reinvest[[#This Row],[Risk]],IF(Reinvest[[#This Row],[Result]]="Push",0,IF(Reinvest[[#This Row],[Result]]="No Action",0,IF(Reinvest[[#This Row],[Result]]="W",IF(Reinvest[[#This Row],[Odds]]&gt;0,Reinvest[[#This Row],[Odds]]/100*Reinvest[[#This Row],[Risk]],(Reinvest[[#This Row],[Risk]]/Reinvest[[#This Row],[Odds]]*-100)),"")))),2),"")</f>
        <v>7.6</v>
      </c>
      <c r="J97" s="89" t="str">
        <f>IF(B97=B98,"",SUM($I$4:I97)/SUM($F$4:F97))</f>
        <v/>
      </c>
      <c r="K97" s="23"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97"/>
      <c r="M97" s="24">
        <f t="shared" si="3"/>
        <v>0</v>
      </c>
      <c r="N97" s="1" t="str">
        <f>COUNTIFS(Reinvest[Date],M97,Reinvest[Result],"W")&amp;"-"&amp;COUNTIFS(Reinvest[Date],M97,Reinvest[Result],"L")&amp;IF(COUNTIFS(Reinvest[Date],M97,Reinvest[Result],"Push")&gt;0,"-"&amp;COUNTIFS(Reinvest[Date],M97,Reinvest[Result],"Push"),"")</f>
        <v>0-0</v>
      </c>
      <c r="O97" s="25" t="str">
        <f>IFERROR(COUNTIFS(Reinvest[Date],M97,Reinvest[Result],"W")/(COUNTIFS(Reinvest[Date],M97,Reinvest[Result],"W")+COUNTIFS(Reinvest[Date],M97,Reinvest[Result],"L")),"")</f>
        <v/>
      </c>
      <c r="P97" s="26">
        <f>SUMIF(Reinvest[Date],M97,Reinvest[Net])</f>
        <v>0</v>
      </c>
      <c r="Q97" s="27" t="str">
        <f>IFERROR("("&amp;ROUND(SUMIF(Reinvest[Date],M97,Reinvest[Net])/SUMIF(Reinvest[Date],M97,Reinvest[Risk]),2)*100&amp;"%)","")</f>
        <v/>
      </c>
    </row>
    <row r="98" spans="1:17" x14ac:dyDescent="0.25">
      <c r="A98" s="13">
        <f t="shared" si="4"/>
        <v>10</v>
      </c>
      <c r="B98" s="17">
        <v>43679</v>
      </c>
      <c r="C98" s="17" t="s">
        <v>802</v>
      </c>
      <c r="D98" s="18" t="s">
        <v>3688</v>
      </c>
      <c r="E98" s="11" t="s">
        <v>1178</v>
      </c>
      <c r="F98" s="19">
        <v>21.3</v>
      </c>
      <c r="G98" s="37">
        <v>-235</v>
      </c>
      <c r="H98" s="21" t="s">
        <v>262</v>
      </c>
      <c r="I98" s="45">
        <f>IFERROR(ROUND(IF(Reinvest[[#This Row],[Result]]="L",0-Reinvest[[#This Row],[Risk]],IF(Reinvest[[#This Row],[Result]]="Push",0,IF(Reinvest[[#This Row],[Result]]="No Action",0,IF(Reinvest[[#This Row],[Result]]="W",IF(Reinvest[[#This Row],[Odds]]&gt;0,Reinvest[[#This Row],[Odds]]/100*Reinvest[[#This Row],[Risk]],(Reinvest[[#This Row],[Risk]]/Reinvest[[#This Row],[Odds]]*-100)),"")))),2),"")</f>
        <v>9.06</v>
      </c>
      <c r="J98" s="89" t="str">
        <f>IF(B98=B99,"",SUM($I$4:I98)/SUM($F$4:F98))</f>
        <v/>
      </c>
      <c r="K98"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98"/>
      <c r="M98" s="24">
        <f t="shared" si="3"/>
        <v>0</v>
      </c>
      <c r="N98" s="1" t="str">
        <f>COUNTIFS(Reinvest[Date],M98,Reinvest[Result],"W")&amp;"-"&amp;COUNTIFS(Reinvest[Date],M98,Reinvest[Result],"L")&amp;IF(COUNTIFS(Reinvest[Date],M98,Reinvest[Result],"Push")&gt;0,"-"&amp;COUNTIFS(Reinvest[Date],M98,Reinvest[Result],"Push"),"")</f>
        <v>0-0</v>
      </c>
      <c r="O98" s="25" t="str">
        <f>IFERROR(COUNTIFS(Reinvest[Date],M98,Reinvest[Result],"W")/(COUNTIFS(Reinvest[Date],M98,Reinvest[Result],"W")+COUNTIFS(Reinvest[Date],M98,Reinvest[Result],"L")),"")</f>
        <v/>
      </c>
      <c r="P98" s="26">
        <f>SUMIF(Reinvest[Date],M98,Reinvest[Net])</f>
        <v>0</v>
      </c>
      <c r="Q98" s="27" t="str">
        <f>IFERROR("("&amp;ROUND(SUMIF(Reinvest[Date],M98,Reinvest[Net])/SUMIF(Reinvest[Date],M98,Reinvest[Risk]),2)*100&amp;"%)","")</f>
        <v/>
      </c>
    </row>
    <row r="99" spans="1:17" x14ac:dyDescent="0.25">
      <c r="A99" s="13">
        <f t="shared" si="4"/>
        <v>10</v>
      </c>
      <c r="B99" s="17">
        <v>43679</v>
      </c>
      <c r="C99" s="17" t="s">
        <v>802</v>
      </c>
      <c r="D99" s="18" t="s">
        <v>1363</v>
      </c>
      <c r="E99" s="11" t="s">
        <v>3595</v>
      </c>
      <c r="F99" s="19">
        <v>19.3</v>
      </c>
      <c r="G99" s="37">
        <v>-106</v>
      </c>
      <c r="H99" s="21" t="s">
        <v>263</v>
      </c>
      <c r="I99" s="45">
        <f>IFERROR(ROUND(IF(Reinvest[[#This Row],[Result]]="L",0-Reinvest[[#This Row],[Risk]],IF(Reinvest[[#This Row],[Result]]="Push",0,IF(Reinvest[[#This Row],[Result]]="No Action",0,IF(Reinvest[[#This Row],[Result]]="W",IF(Reinvest[[#This Row],[Odds]]&gt;0,Reinvest[[#This Row],[Odds]]/100*Reinvest[[#This Row],[Risk]],(Reinvest[[#This Row],[Risk]]/Reinvest[[#This Row],[Odds]]*-100)),"")))),2),"")</f>
        <v>-19.3</v>
      </c>
      <c r="J99" s="89" t="str">
        <f>IF(B99=B100,"",SUM($I$4:I99)/SUM($F$4:F99))</f>
        <v/>
      </c>
      <c r="K99"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99"/>
      <c r="M99" s="24">
        <f t="shared" si="3"/>
        <v>0</v>
      </c>
      <c r="N99" s="1" t="str">
        <f>COUNTIFS(Reinvest[Date],M99,Reinvest[Result],"W")&amp;"-"&amp;COUNTIFS(Reinvest[Date],M99,Reinvest[Result],"L")&amp;IF(COUNTIFS(Reinvest[Date],M99,Reinvest[Result],"Push")&gt;0,"-"&amp;COUNTIFS(Reinvest[Date],M99,Reinvest[Result],"Push"),"")</f>
        <v>0-0</v>
      </c>
      <c r="O99" s="25" t="str">
        <f>IFERROR(COUNTIFS(Reinvest[Date],M99,Reinvest[Result],"W")/(COUNTIFS(Reinvest[Date],M99,Reinvest[Result],"W")+COUNTIFS(Reinvest[Date],M99,Reinvest[Result],"L")),"")</f>
        <v/>
      </c>
      <c r="P99" s="26">
        <f>SUMIF(Reinvest[Date],M99,Reinvest[Net])</f>
        <v>0</v>
      </c>
      <c r="Q99" s="27" t="str">
        <f>IFERROR("("&amp;ROUND(SUMIF(Reinvest[Date],M99,Reinvest[Net])/SUMIF(Reinvest[Date],M99,Reinvest[Risk]),2)*100&amp;"%)","")</f>
        <v/>
      </c>
    </row>
    <row r="100" spans="1:17" x14ac:dyDescent="0.25">
      <c r="A100" s="13">
        <f t="shared" si="4"/>
        <v>10</v>
      </c>
      <c r="B100" s="17">
        <v>43679</v>
      </c>
      <c r="C100" s="17" t="s">
        <v>802</v>
      </c>
      <c r="D100" s="18" t="s">
        <v>3686</v>
      </c>
      <c r="E100" s="11" t="s">
        <v>1209</v>
      </c>
      <c r="F100" s="19">
        <v>20.7</v>
      </c>
      <c r="G100" s="37">
        <v>-106</v>
      </c>
      <c r="H100" s="21" t="s">
        <v>262</v>
      </c>
      <c r="I100" s="45">
        <f>IFERROR(ROUND(IF(Reinvest[[#This Row],[Result]]="L",0-Reinvest[[#This Row],[Risk]],IF(Reinvest[[#This Row],[Result]]="Push",0,IF(Reinvest[[#This Row],[Result]]="No Action",0,IF(Reinvest[[#This Row],[Result]]="W",IF(Reinvest[[#This Row],[Odds]]&gt;0,Reinvest[[#This Row],[Odds]]/100*Reinvest[[#This Row],[Risk]],(Reinvest[[#This Row],[Risk]]/Reinvest[[#This Row],[Odds]]*-100)),"")))),2),"")</f>
        <v>19.53</v>
      </c>
      <c r="J100" s="89">
        <f>IF(B100=B101,"",SUM($I$4:I100)/SUM($F$4:F100))</f>
        <v>1.4973167161928464E-2</v>
      </c>
      <c r="K100"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00"/>
      <c r="M100" s="24">
        <f t="shared" ref="M100:M131" si="5">IFERROR(VLOOKUP(ROW()-3,A:B,2,0),0)</f>
        <v>0</v>
      </c>
      <c r="N100" s="1" t="str">
        <f>COUNTIFS(Reinvest[Date],M100,Reinvest[Result],"W")&amp;"-"&amp;COUNTIFS(Reinvest[Date],M100,Reinvest[Result],"L")&amp;IF(COUNTIFS(Reinvest[Date],M100,Reinvest[Result],"Push")&gt;0,"-"&amp;COUNTIFS(Reinvest[Date],M100,Reinvest[Result],"Push"),"")</f>
        <v>0-0</v>
      </c>
      <c r="O100" s="25" t="str">
        <f>IFERROR(COUNTIFS(Reinvest[Date],M100,Reinvest[Result],"W")/(COUNTIFS(Reinvest[Date],M100,Reinvest[Result],"W")+COUNTIFS(Reinvest[Date],M100,Reinvest[Result],"L")),"")</f>
        <v/>
      </c>
      <c r="P100" s="26">
        <f>SUMIF(Reinvest[Date],M100,Reinvest[Net])</f>
        <v>0</v>
      </c>
      <c r="Q100" s="27" t="str">
        <f>IFERROR("("&amp;ROUND(SUMIF(Reinvest[Date],M100,Reinvest[Net])/SUMIF(Reinvest[Date],M100,Reinvest[Risk]),2)*100&amp;"%)","")</f>
        <v/>
      </c>
    </row>
    <row r="101" spans="1:17" x14ac:dyDescent="0.25">
      <c r="A101" s="13">
        <f t="shared" si="4"/>
        <v>11</v>
      </c>
      <c r="B101" s="17">
        <v>43680</v>
      </c>
      <c r="C101" s="17" t="s">
        <v>802</v>
      </c>
      <c r="D101" s="18" t="s">
        <v>3706</v>
      </c>
      <c r="E101" s="11" t="s">
        <v>822</v>
      </c>
      <c r="F101" s="19">
        <v>20</v>
      </c>
      <c r="G101" s="37">
        <v>-265</v>
      </c>
      <c r="H101" s="21" t="s">
        <v>262</v>
      </c>
      <c r="I101" s="45">
        <f>IFERROR(ROUND(IF(Reinvest[[#This Row],[Result]]="L",0-Reinvest[[#This Row],[Risk]],IF(Reinvest[[#This Row],[Result]]="Push",0,IF(Reinvest[[#This Row],[Result]]="No Action",0,IF(Reinvest[[#This Row],[Result]]="W",IF(Reinvest[[#This Row],[Odds]]&gt;0,Reinvest[[#This Row],[Odds]]/100*Reinvest[[#This Row],[Risk]],(Reinvest[[#This Row],[Risk]]/Reinvest[[#This Row],[Odds]]*-100)),"")))),2),"")</f>
        <v>7.55</v>
      </c>
      <c r="J101" s="89" t="str">
        <f>IF(B101=B102,"",SUM($I$4:I101)/SUM($F$4:F101))</f>
        <v/>
      </c>
      <c r="K101"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01"/>
      <c r="M101" s="24">
        <f t="shared" si="5"/>
        <v>0</v>
      </c>
      <c r="N101" s="1" t="str">
        <f>COUNTIFS(Reinvest[Date],M101,Reinvest[Result],"W")&amp;"-"&amp;COUNTIFS(Reinvest[Date],M101,Reinvest[Result],"L")&amp;IF(COUNTIFS(Reinvest[Date],M101,Reinvest[Result],"Push")&gt;0,"-"&amp;COUNTIFS(Reinvest[Date],M101,Reinvest[Result],"Push"),"")</f>
        <v>0-0</v>
      </c>
      <c r="O101" s="25" t="str">
        <f>IFERROR(COUNTIFS(Reinvest[Date],M101,Reinvest[Result],"W")/(COUNTIFS(Reinvest[Date],M101,Reinvest[Result],"W")+COUNTIFS(Reinvest[Date],M101,Reinvest[Result],"L")),"")</f>
        <v/>
      </c>
      <c r="P101" s="26">
        <f>SUMIF(Reinvest[Date],M101,Reinvest[Net])</f>
        <v>0</v>
      </c>
      <c r="Q101" s="27" t="str">
        <f>IFERROR("("&amp;ROUND(SUMIF(Reinvest[Date],M101,Reinvest[Net])/SUMIF(Reinvest[Date],M101,Reinvest[Risk]),2)*100&amp;"%)","")</f>
        <v/>
      </c>
    </row>
    <row r="102" spans="1:17" x14ac:dyDescent="0.25">
      <c r="A102" s="13">
        <f t="shared" si="4"/>
        <v>11</v>
      </c>
      <c r="B102" s="17">
        <v>43680</v>
      </c>
      <c r="C102" s="17" t="s">
        <v>802</v>
      </c>
      <c r="D102" s="18" t="s">
        <v>3688</v>
      </c>
      <c r="E102" s="11" t="s">
        <v>1178</v>
      </c>
      <c r="F102" s="19">
        <v>20</v>
      </c>
      <c r="G102" s="37">
        <v>-225</v>
      </c>
      <c r="H102" s="21" t="s">
        <v>262</v>
      </c>
      <c r="I102" s="45">
        <f>IFERROR(ROUND(IF(Reinvest[[#This Row],[Result]]="L",0-Reinvest[[#This Row],[Risk]],IF(Reinvest[[#This Row],[Result]]="Push",0,IF(Reinvest[[#This Row],[Result]]="No Action",0,IF(Reinvest[[#This Row],[Result]]="W",IF(Reinvest[[#This Row],[Odds]]&gt;0,Reinvest[[#This Row],[Odds]]/100*Reinvest[[#This Row],[Risk]],(Reinvest[[#This Row],[Risk]]/Reinvest[[#This Row],[Odds]]*-100)),"")))),2),"")</f>
        <v>8.89</v>
      </c>
      <c r="J102" s="89" t="str">
        <f>IF(B102=B103,"",SUM($I$4:I102)/SUM($F$4:F102))</f>
        <v/>
      </c>
      <c r="K102"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02"/>
      <c r="M102" s="24">
        <f t="shared" si="5"/>
        <v>0</v>
      </c>
      <c r="N102" s="1" t="str">
        <f>COUNTIFS(Reinvest[Date],M102,Reinvest[Result],"W")&amp;"-"&amp;COUNTIFS(Reinvest[Date],M102,Reinvest[Result],"L")&amp;IF(COUNTIFS(Reinvest[Date],M102,Reinvest[Result],"Push")&gt;0,"-"&amp;COUNTIFS(Reinvest[Date],M102,Reinvest[Result],"Push"),"")</f>
        <v>0-0</v>
      </c>
      <c r="O102" s="25" t="str">
        <f>IFERROR(COUNTIFS(Reinvest[Date],M102,Reinvest[Result],"W")/(COUNTIFS(Reinvest[Date],M102,Reinvest[Result],"W")+COUNTIFS(Reinvest[Date],M102,Reinvest[Result],"L")),"")</f>
        <v/>
      </c>
      <c r="P102" s="26">
        <f>SUMIF(Reinvest[Date],M102,Reinvest[Net])</f>
        <v>0</v>
      </c>
      <c r="Q102" s="27" t="str">
        <f>IFERROR("("&amp;ROUND(SUMIF(Reinvest[Date],M102,Reinvest[Net])/SUMIF(Reinvest[Date],M102,Reinvest[Risk]),2)*100&amp;"%)","")</f>
        <v/>
      </c>
    </row>
    <row r="103" spans="1:17" x14ac:dyDescent="0.25">
      <c r="A103" s="13">
        <f t="shared" si="4"/>
        <v>11</v>
      </c>
      <c r="B103" s="17">
        <v>43680</v>
      </c>
      <c r="C103" s="17" t="s">
        <v>802</v>
      </c>
      <c r="D103" s="18" t="s">
        <v>3686</v>
      </c>
      <c r="E103" s="11" t="s">
        <v>870</v>
      </c>
      <c r="F103" s="19">
        <v>20</v>
      </c>
      <c r="G103" s="37">
        <v>-107</v>
      </c>
      <c r="H103" s="21" t="s">
        <v>262</v>
      </c>
      <c r="I103" s="45">
        <f>IFERROR(ROUND(IF(Reinvest[[#This Row],[Result]]="L",0-Reinvest[[#This Row],[Risk]],IF(Reinvest[[#This Row],[Result]]="Push",0,IF(Reinvest[[#This Row],[Result]]="No Action",0,IF(Reinvest[[#This Row],[Result]]="W",IF(Reinvest[[#This Row],[Odds]]&gt;0,Reinvest[[#This Row],[Odds]]/100*Reinvest[[#This Row],[Risk]],(Reinvest[[#This Row],[Risk]]/Reinvest[[#This Row],[Odds]]*-100)),"")))),2),"")</f>
        <v>18.690000000000001</v>
      </c>
      <c r="J103" s="89" t="str">
        <f>IF(B103=B104,"",SUM($I$4:I103)/SUM($F$4:F103))</f>
        <v/>
      </c>
      <c r="K103"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03"/>
      <c r="M103" s="24">
        <f t="shared" si="5"/>
        <v>0</v>
      </c>
      <c r="N103" s="1" t="str">
        <f>COUNTIFS(Reinvest[Date],M103,Reinvest[Result],"W")&amp;"-"&amp;COUNTIFS(Reinvest[Date],M103,Reinvest[Result],"L")&amp;IF(COUNTIFS(Reinvest[Date],M103,Reinvest[Result],"Push")&gt;0,"-"&amp;COUNTIFS(Reinvest[Date],M103,Reinvest[Result],"Push"),"")</f>
        <v>0-0</v>
      </c>
      <c r="O103" s="25" t="str">
        <f>IFERROR(COUNTIFS(Reinvest[Date],M103,Reinvest[Result],"W")/(COUNTIFS(Reinvest[Date],M103,Reinvest[Result],"W")+COUNTIFS(Reinvest[Date],M103,Reinvest[Result],"L")),"")</f>
        <v/>
      </c>
      <c r="P103" s="26">
        <f>SUMIF(Reinvest[Date],M103,Reinvest[Net])</f>
        <v>0</v>
      </c>
      <c r="Q103" s="27" t="str">
        <f>IFERROR("("&amp;ROUND(SUMIF(Reinvest[Date],M103,Reinvest[Net])/SUMIF(Reinvest[Date],M103,Reinvest[Risk]),2)*100&amp;"%)","")</f>
        <v/>
      </c>
    </row>
    <row r="104" spans="1:17" x14ac:dyDescent="0.25">
      <c r="A104" s="13">
        <f t="shared" si="4"/>
        <v>11</v>
      </c>
      <c r="B104" s="17">
        <v>43680</v>
      </c>
      <c r="C104" s="17" t="s">
        <v>802</v>
      </c>
      <c r="D104" s="18" t="s">
        <v>3686</v>
      </c>
      <c r="E104" s="11" t="s">
        <v>880</v>
      </c>
      <c r="F104" s="19">
        <v>20</v>
      </c>
      <c r="G104" s="37">
        <v>-110</v>
      </c>
      <c r="H104" s="21" t="s">
        <v>262</v>
      </c>
      <c r="I104" s="45">
        <f>IFERROR(ROUND(IF(Reinvest[[#This Row],[Result]]="L",0-Reinvest[[#This Row],[Risk]],IF(Reinvest[[#This Row],[Result]]="Push",0,IF(Reinvest[[#This Row],[Result]]="No Action",0,IF(Reinvest[[#This Row],[Result]]="W",IF(Reinvest[[#This Row],[Odds]]&gt;0,Reinvest[[#This Row],[Odds]]/100*Reinvest[[#This Row],[Risk]],(Reinvest[[#This Row],[Risk]]/Reinvest[[#This Row],[Odds]]*-100)),"")))),2),"")</f>
        <v>18.18</v>
      </c>
      <c r="J104" s="89" t="str">
        <f>IF(B104=B105,"",SUM($I$4:I104)/SUM($F$4:F104))</f>
        <v/>
      </c>
      <c r="K10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04"/>
      <c r="M104" s="24">
        <f t="shared" si="5"/>
        <v>0</v>
      </c>
      <c r="N104" s="1" t="str">
        <f>COUNTIFS(Reinvest[Date],M104,Reinvest[Result],"W")&amp;"-"&amp;COUNTIFS(Reinvest[Date],M104,Reinvest[Result],"L")&amp;IF(COUNTIFS(Reinvest[Date],M104,Reinvest[Result],"Push")&gt;0,"-"&amp;COUNTIFS(Reinvest[Date],M104,Reinvest[Result],"Push"),"")</f>
        <v>0-0</v>
      </c>
      <c r="O104" s="25" t="str">
        <f>IFERROR(COUNTIFS(Reinvest[Date],M104,Reinvest[Result],"W")/(COUNTIFS(Reinvest[Date],M104,Reinvest[Result],"W")+COUNTIFS(Reinvest[Date],M104,Reinvest[Result],"L")),"")</f>
        <v/>
      </c>
      <c r="P104" s="26">
        <f>SUMIF(Reinvest[Date],M104,Reinvest[Net])</f>
        <v>0</v>
      </c>
      <c r="Q104" s="27" t="str">
        <f>IFERROR("("&amp;ROUND(SUMIF(Reinvest[Date],M104,Reinvest[Net])/SUMIF(Reinvest[Date],M104,Reinvest[Risk]),2)*100&amp;"%)","")</f>
        <v/>
      </c>
    </row>
    <row r="105" spans="1:17" x14ac:dyDescent="0.25">
      <c r="A105" s="13">
        <f t="shared" si="4"/>
        <v>11</v>
      </c>
      <c r="B105" s="17">
        <v>43680</v>
      </c>
      <c r="C105" s="17" t="s">
        <v>802</v>
      </c>
      <c r="D105" s="18" t="s">
        <v>3707</v>
      </c>
      <c r="E105" s="11" t="s">
        <v>905</v>
      </c>
      <c r="F105" s="19">
        <v>20</v>
      </c>
      <c r="G105" s="37">
        <v>-118</v>
      </c>
      <c r="H105" s="21" t="s">
        <v>262</v>
      </c>
      <c r="I105" s="45">
        <f>IFERROR(ROUND(IF(Reinvest[[#This Row],[Result]]="L",0-Reinvest[[#This Row],[Risk]],IF(Reinvest[[#This Row],[Result]]="Push",0,IF(Reinvest[[#This Row],[Result]]="No Action",0,IF(Reinvest[[#This Row],[Result]]="W",IF(Reinvest[[#This Row],[Odds]]&gt;0,Reinvest[[#This Row],[Odds]]/100*Reinvest[[#This Row],[Risk]],(Reinvest[[#This Row],[Risk]]/Reinvest[[#This Row],[Odds]]*-100)),"")))),2),"")</f>
        <v>16.95</v>
      </c>
      <c r="J105" s="89" t="str">
        <f>IF(B105=B106,"",SUM($I$4:I105)/SUM($F$4:F105))</f>
        <v/>
      </c>
      <c r="K105"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105"/>
      <c r="M105" s="24">
        <f t="shared" si="5"/>
        <v>0</v>
      </c>
      <c r="N105" s="1" t="str">
        <f>COUNTIFS(Reinvest[Date],M105,Reinvest[Result],"W")&amp;"-"&amp;COUNTIFS(Reinvest[Date],M105,Reinvest[Result],"L")&amp;IF(COUNTIFS(Reinvest[Date],M105,Reinvest[Result],"Push")&gt;0,"-"&amp;COUNTIFS(Reinvest[Date],M105,Reinvest[Result],"Push"),"")</f>
        <v>0-0</v>
      </c>
      <c r="O105" s="25" t="str">
        <f>IFERROR(COUNTIFS(Reinvest[Date],M105,Reinvest[Result],"W")/(COUNTIFS(Reinvest[Date],M105,Reinvest[Result],"W")+COUNTIFS(Reinvest[Date],M105,Reinvest[Result],"L")),"")</f>
        <v/>
      </c>
      <c r="P105" s="26">
        <f>SUMIF(Reinvest[Date],M105,Reinvest[Net])</f>
        <v>0</v>
      </c>
      <c r="Q105" s="27" t="str">
        <f>IFERROR("("&amp;ROUND(SUMIF(Reinvest[Date],M105,Reinvest[Net])/SUMIF(Reinvest[Date],M105,Reinvest[Risk]),2)*100&amp;"%)","")</f>
        <v/>
      </c>
    </row>
    <row r="106" spans="1:17" x14ac:dyDescent="0.25">
      <c r="A106" s="13">
        <f t="shared" si="4"/>
        <v>11</v>
      </c>
      <c r="B106" s="17">
        <v>43680</v>
      </c>
      <c r="C106" s="17" t="s">
        <v>802</v>
      </c>
      <c r="D106" s="18" t="s">
        <v>3708</v>
      </c>
      <c r="E106" s="11" t="s">
        <v>3659</v>
      </c>
      <c r="F106" s="19">
        <v>20</v>
      </c>
      <c r="G106" s="37">
        <v>-137</v>
      </c>
      <c r="H106" s="21" t="s">
        <v>262</v>
      </c>
      <c r="I106" s="45">
        <f>IFERROR(ROUND(IF(Reinvest[[#This Row],[Result]]="L",0-Reinvest[[#This Row],[Risk]],IF(Reinvest[[#This Row],[Result]]="Push",0,IF(Reinvest[[#This Row],[Result]]="No Action",0,IF(Reinvest[[#This Row],[Result]]="W",IF(Reinvest[[#This Row],[Odds]]&gt;0,Reinvest[[#This Row],[Odds]]/100*Reinvest[[#This Row],[Risk]],(Reinvest[[#This Row],[Risk]]/Reinvest[[#This Row],[Odds]]*-100)),"")))),2),"")</f>
        <v>14.6</v>
      </c>
      <c r="J106" s="89">
        <f>IF(B106=B107,"",SUM($I$4:I106)/SUM($F$4:F106))</f>
        <v>8.1564917625365801E-2</v>
      </c>
      <c r="K106"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06"/>
      <c r="M106" s="24">
        <f t="shared" si="5"/>
        <v>0</v>
      </c>
      <c r="N106" s="1" t="str">
        <f>COUNTIFS(Reinvest[Date],M106,Reinvest[Result],"W")&amp;"-"&amp;COUNTIFS(Reinvest[Date],M106,Reinvest[Result],"L")&amp;IF(COUNTIFS(Reinvest[Date],M106,Reinvest[Result],"Push")&gt;0,"-"&amp;COUNTIFS(Reinvest[Date],M106,Reinvest[Result],"Push"),"")</f>
        <v>0-0</v>
      </c>
      <c r="O106" s="25" t="str">
        <f>IFERROR(COUNTIFS(Reinvest[Date],M106,Reinvest[Result],"W")/(COUNTIFS(Reinvest[Date],M106,Reinvest[Result],"W")+COUNTIFS(Reinvest[Date],M106,Reinvest[Result],"L")),"")</f>
        <v/>
      </c>
      <c r="P106" s="26">
        <f>SUMIF(Reinvest[Date],M106,Reinvest[Net])</f>
        <v>0</v>
      </c>
      <c r="Q106" s="27" t="str">
        <f>IFERROR("("&amp;ROUND(SUMIF(Reinvest[Date],M106,Reinvest[Net])/SUMIF(Reinvest[Date],M106,Reinvest[Risk]),2)*100&amp;"%)","")</f>
        <v/>
      </c>
    </row>
    <row r="107" spans="1:17" x14ac:dyDescent="0.25">
      <c r="A107" s="13">
        <f t="shared" si="4"/>
        <v>12</v>
      </c>
      <c r="B107" s="17">
        <v>43681</v>
      </c>
      <c r="C107" s="17" t="s">
        <v>802</v>
      </c>
      <c r="D107" s="18" t="s">
        <v>3686</v>
      </c>
      <c r="E107" s="11" t="s">
        <v>870</v>
      </c>
      <c r="F107" s="19">
        <v>25.13</v>
      </c>
      <c r="G107" s="37">
        <v>-200</v>
      </c>
      <c r="H107" s="21" t="s">
        <v>262</v>
      </c>
      <c r="I107" s="45">
        <f>IFERROR(ROUND(IF(Reinvest[[#This Row],[Result]]="L",0-Reinvest[[#This Row],[Risk]],IF(Reinvest[[#This Row],[Result]]="Push",0,IF(Reinvest[[#This Row],[Result]]="No Action",0,IF(Reinvest[[#This Row],[Result]]="W",IF(Reinvest[[#This Row],[Odds]]&gt;0,Reinvest[[#This Row],[Odds]]/100*Reinvest[[#This Row],[Risk]],(Reinvest[[#This Row],[Risk]]/Reinvest[[#This Row],[Odds]]*-100)),"")))),2),"")</f>
        <v>12.57</v>
      </c>
      <c r="J107" s="89" t="str">
        <f>IF(B107=B108,"",SUM($I$4:I107)/SUM($F$4:F107))</f>
        <v/>
      </c>
      <c r="K107"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07"/>
      <c r="M107" s="24">
        <f t="shared" si="5"/>
        <v>0</v>
      </c>
      <c r="N107" s="1" t="str">
        <f>COUNTIFS(Reinvest[Date],M107,Reinvest[Result],"W")&amp;"-"&amp;COUNTIFS(Reinvest[Date],M107,Reinvest[Result],"L")&amp;IF(COUNTIFS(Reinvest[Date],M107,Reinvest[Result],"Push")&gt;0,"-"&amp;COUNTIFS(Reinvest[Date],M107,Reinvest[Result],"Push"),"")</f>
        <v>0-0</v>
      </c>
      <c r="O107" s="25" t="str">
        <f>IFERROR(COUNTIFS(Reinvest[Date],M107,Reinvest[Result],"W")/(COUNTIFS(Reinvest[Date],M107,Reinvest[Result],"W")+COUNTIFS(Reinvest[Date],M107,Reinvest[Result],"L")),"")</f>
        <v/>
      </c>
      <c r="P107" s="26">
        <f>SUMIF(Reinvest[Date],M107,Reinvest[Net])</f>
        <v>0</v>
      </c>
      <c r="Q107" s="27"/>
    </row>
    <row r="108" spans="1:17" x14ac:dyDescent="0.25">
      <c r="A108" s="13">
        <f t="shared" si="4"/>
        <v>12</v>
      </c>
      <c r="B108" s="17">
        <v>43681</v>
      </c>
      <c r="C108" s="17" t="s">
        <v>802</v>
      </c>
      <c r="D108" s="18" t="s">
        <v>3707</v>
      </c>
      <c r="E108" s="11" t="s">
        <v>834</v>
      </c>
      <c r="F108" s="19">
        <v>19.54</v>
      </c>
      <c r="G108" s="37">
        <v>-136</v>
      </c>
      <c r="H108" s="21" t="s">
        <v>262</v>
      </c>
      <c r="I108" s="45">
        <f>IFERROR(ROUND(IF(Reinvest[[#This Row],[Result]]="L",0-Reinvest[[#This Row],[Risk]],IF(Reinvest[[#This Row],[Result]]="Push",0,IF(Reinvest[[#This Row],[Result]]="No Action",0,IF(Reinvest[[#This Row],[Result]]="W",IF(Reinvest[[#This Row],[Odds]]&gt;0,Reinvest[[#This Row],[Odds]]/100*Reinvest[[#This Row],[Risk]],(Reinvest[[#This Row],[Risk]]/Reinvest[[#This Row],[Odds]]*-100)),"")))),2),"")</f>
        <v>14.37</v>
      </c>
      <c r="J108" s="89" t="str">
        <f>IF(B108=B109,"",SUM($I$4:I108)/SUM($F$4:F108))</f>
        <v/>
      </c>
      <c r="K108"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08"/>
      <c r="M108" s="24">
        <f t="shared" si="5"/>
        <v>0</v>
      </c>
      <c r="N108" s="1" t="str">
        <f>COUNTIFS(Reinvest[Date],M108,Reinvest[Result],"W")&amp;"-"&amp;COUNTIFS(Reinvest[Date],M108,Reinvest[Result],"L")&amp;IF(COUNTIFS(Reinvest[Date],M108,Reinvest[Result],"Push")&gt;0,"-"&amp;COUNTIFS(Reinvest[Date],M108,Reinvest[Result],"Push"),"")</f>
        <v>0-0</v>
      </c>
      <c r="O108" s="25" t="str">
        <f>IFERROR(COUNTIFS(Reinvest[Date],M108,Reinvest[Result],"W")/(COUNTIFS(Reinvest[Date],M108,Reinvest[Result],"W")+COUNTIFS(Reinvest[Date],M108,Reinvest[Result],"L")),"")</f>
        <v/>
      </c>
      <c r="P108" s="26">
        <f>SUMIF(Reinvest[Date],M108,Reinvest[Net])</f>
        <v>0</v>
      </c>
      <c r="Q108" s="27" t="str">
        <f>IFERROR("("&amp;ROUND((SUMIF(Reinvest[Date],M108,Reinvest[Net])-SUMIF(Reinvest[Date],M108,Reinvest[Risk]))/SUMIF(Reinvest[Date],M108,Reinvest[Risk]),2)*100&amp;"%)","")</f>
        <v/>
      </c>
    </row>
    <row r="109" spans="1:17" x14ac:dyDescent="0.25">
      <c r="A109" s="13">
        <f t="shared" si="4"/>
        <v>12</v>
      </c>
      <c r="B109" s="17">
        <v>43681</v>
      </c>
      <c r="C109" s="17" t="s">
        <v>802</v>
      </c>
      <c r="D109" s="18" t="s">
        <v>3728</v>
      </c>
      <c r="E109" s="11" t="s">
        <v>1180</v>
      </c>
      <c r="F109" s="19">
        <v>15.32</v>
      </c>
      <c r="G109" s="37" t="s">
        <v>934</v>
      </c>
      <c r="H109" s="21" t="s">
        <v>262</v>
      </c>
      <c r="I109" s="45">
        <f>IFERROR(ROUND(IF(Reinvest[[#This Row],[Result]]="L",0-Reinvest[[#This Row],[Risk]],IF(Reinvest[[#This Row],[Result]]="Push",0,IF(Reinvest[[#This Row],[Result]]="No Action",0,IF(Reinvest[[#This Row],[Result]]="W",IF(Reinvest[[#This Row],[Odds]]&gt;0,Reinvest[[#This Row],[Odds]]/100*Reinvest[[#This Row],[Risk]],(Reinvest[[#This Row],[Risk]]/Reinvest[[#This Row],[Odds]]*-100)),"")))),2),"")</f>
        <v>21.45</v>
      </c>
      <c r="J109" s="89" t="str">
        <f>IF(B109=B110,"",SUM($I$4:I109)/SUM($F$4:F109))</f>
        <v/>
      </c>
      <c r="K109"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109"/>
      <c r="M109" s="24">
        <f t="shared" si="5"/>
        <v>0</v>
      </c>
      <c r="N109" s="1" t="str">
        <f>COUNTIFS(Reinvest[Date],M109,Reinvest[Result],"W")&amp;"-"&amp;COUNTIFS(Reinvest[Date],M109,Reinvest[Result],"L")&amp;IF(COUNTIFS(Reinvest[Date],M109,Reinvest[Result],"Push")&gt;0,"-"&amp;COUNTIFS(Reinvest[Date],M109,Reinvest[Result],"Push"),"")</f>
        <v>0-0</v>
      </c>
      <c r="O109" s="25" t="str">
        <f>IFERROR(COUNTIFS(Reinvest[Date],M109,Reinvest[Result],"W")/(COUNTIFS(Reinvest[Date],M109,Reinvest[Result],"W")+COUNTIFS(Reinvest[Date],M109,Reinvest[Result],"L")),"")</f>
        <v/>
      </c>
      <c r="P109" s="26">
        <f>SUMIF(Reinvest[Date],M109,Reinvest[Net])</f>
        <v>0</v>
      </c>
      <c r="Q109" s="27" t="str">
        <f>IFERROR("("&amp;ROUND((SUMIF(Reinvest[Date],M109,Reinvest[Net])-SUMIF(Reinvest[Date],M109,Reinvest[Risk]))/SUMIF(Reinvest[Date],M109,Reinvest[Risk]),2)*100&amp;"%)","")</f>
        <v/>
      </c>
    </row>
    <row r="110" spans="1:17" x14ac:dyDescent="0.25">
      <c r="A110" s="13">
        <f t="shared" si="4"/>
        <v>12</v>
      </c>
      <c r="B110" s="17">
        <v>43681</v>
      </c>
      <c r="C110" s="17" t="s">
        <v>802</v>
      </c>
      <c r="D110" s="18" t="s">
        <v>3686</v>
      </c>
      <c r="E110" s="11" t="s">
        <v>1158</v>
      </c>
      <c r="F110" s="19">
        <v>22.78</v>
      </c>
      <c r="G110" s="37">
        <v>-117</v>
      </c>
      <c r="H110" s="21" t="s">
        <v>263</v>
      </c>
      <c r="I110" s="45">
        <f>IFERROR(ROUND(IF(Reinvest[[#This Row],[Result]]="L",0-Reinvest[[#This Row],[Risk]],IF(Reinvest[[#This Row],[Result]]="Push",0,IF(Reinvest[[#This Row],[Result]]="No Action",0,IF(Reinvest[[#This Row],[Result]]="W",IF(Reinvest[[#This Row],[Odds]]&gt;0,Reinvest[[#This Row],[Odds]]/100*Reinvest[[#This Row],[Risk]],(Reinvest[[#This Row],[Risk]]/Reinvest[[#This Row],[Odds]]*-100)),"")))),2),"")</f>
        <v>-22.78</v>
      </c>
      <c r="J110" s="89" t="str">
        <f>IF(B110=B111,"",SUM($I$4:I110)/SUM($F$4:F110))</f>
        <v/>
      </c>
      <c r="K110"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10"/>
      <c r="M110" s="24">
        <f t="shared" si="5"/>
        <v>0</v>
      </c>
      <c r="N110" s="1" t="str">
        <f>COUNTIFS(Reinvest[Date],M110,Reinvest[Result],"W")&amp;"-"&amp;COUNTIFS(Reinvest[Date],M110,Reinvest[Result],"L")&amp;IF(COUNTIFS(Reinvest[Date],M110,Reinvest[Result],"Push")&gt;0,"-"&amp;COUNTIFS(Reinvest[Date],M110,Reinvest[Result],"Push"),"")</f>
        <v>0-0</v>
      </c>
      <c r="O110" s="25" t="str">
        <f>IFERROR(COUNTIFS(Reinvest[Date],M110,Reinvest[Result],"W")/(COUNTIFS(Reinvest[Date],M110,Reinvest[Result],"W")+COUNTIFS(Reinvest[Date],M110,Reinvest[Result],"L")),"")</f>
        <v/>
      </c>
      <c r="P110" s="26">
        <f>SUMIF(Reinvest[Date],M110,Reinvest[Net])</f>
        <v>0</v>
      </c>
      <c r="Q110" s="27" t="str">
        <f>IFERROR("("&amp;ROUND((SUMIF(Reinvest[Date],M110,Reinvest[Net])-SUMIF(Reinvest[Date],M110,Reinvest[Risk]))/SUMIF(Reinvest[Date],M110,Reinvest[Risk]),2)*100&amp;"%)","")</f>
        <v/>
      </c>
    </row>
    <row r="111" spans="1:17" x14ac:dyDescent="0.25">
      <c r="A111" s="13">
        <f t="shared" si="4"/>
        <v>12</v>
      </c>
      <c r="B111" s="17">
        <v>43681</v>
      </c>
      <c r="C111" s="17" t="s">
        <v>802</v>
      </c>
      <c r="D111" s="18" t="s">
        <v>1186</v>
      </c>
      <c r="E111" s="11" t="s">
        <v>3729</v>
      </c>
      <c r="F111" s="19">
        <v>17.23</v>
      </c>
      <c r="G111" s="37">
        <v>-114</v>
      </c>
      <c r="H111" s="21" t="s">
        <v>262</v>
      </c>
      <c r="I111" s="45">
        <f>IFERROR(ROUND(IF(Reinvest[[#This Row],[Result]]="L",0-Reinvest[[#This Row],[Risk]],IF(Reinvest[[#This Row],[Result]]="Push",0,IF(Reinvest[[#This Row],[Result]]="No Action",0,IF(Reinvest[[#This Row],[Result]]="W",IF(Reinvest[[#This Row],[Odds]]&gt;0,Reinvest[[#This Row],[Odds]]/100*Reinvest[[#This Row],[Risk]],(Reinvest[[#This Row],[Risk]]/Reinvest[[#This Row],[Odds]]*-100)),"")))),2),"")</f>
        <v>15.11</v>
      </c>
      <c r="J111" s="89">
        <f>IF(B111=B112,"",SUM($I$4:I111)/SUM($F$4:F111))</f>
        <v>0.10573347682487848</v>
      </c>
      <c r="K111"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11"/>
      <c r="M111" s="24">
        <f t="shared" si="5"/>
        <v>0</v>
      </c>
      <c r="N111" s="1" t="str">
        <f>COUNTIFS(Reinvest[Date],M111,Reinvest[Result],"W")&amp;"-"&amp;COUNTIFS(Reinvest[Date],M111,Reinvest[Result],"L")&amp;IF(COUNTIFS(Reinvest[Date],M111,Reinvest[Result],"Push")&gt;0,"-"&amp;COUNTIFS(Reinvest[Date],M111,Reinvest[Result],"Push"),"")</f>
        <v>0-0</v>
      </c>
      <c r="O111" s="25" t="str">
        <f>IFERROR(COUNTIFS(Reinvest[Date],M111,Reinvest[Result],"W")/(COUNTIFS(Reinvest[Date],M111,Reinvest[Result],"W")+COUNTIFS(Reinvest[Date],M111,Reinvest[Result],"L")),"")</f>
        <v/>
      </c>
      <c r="P111" s="26">
        <f>SUMIF(Reinvest[Date],M111,Reinvest[Net])</f>
        <v>0</v>
      </c>
      <c r="Q111" s="27" t="str">
        <f>IFERROR("("&amp;ROUND((SUMIF(Reinvest[Date],M111,Reinvest[Net])-SUMIF(Reinvest[Date],M111,Reinvest[Risk]))/SUMIF(Reinvest[Date],M111,Reinvest[Risk]),2)*100&amp;"%)","")</f>
        <v/>
      </c>
    </row>
    <row r="112" spans="1:17" x14ac:dyDescent="0.25">
      <c r="A112" s="13">
        <f t="shared" si="4"/>
        <v>13</v>
      </c>
      <c r="B112" s="17">
        <v>43682</v>
      </c>
      <c r="C112" s="17" t="s">
        <v>802</v>
      </c>
      <c r="D112" s="18" t="s">
        <v>3753</v>
      </c>
      <c r="E112" s="11" t="s">
        <v>3659</v>
      </c>
      <c r="F112" s="19">
        <v>22.34</v>
      </c>
      <c r="G112" s="37">
        <v>-305</v>
      </c>
      <c r="H112" s="37" t="s">
        <v>262</v>
      </c>
      <c r="I112" s="45">
        <f>IFERROR(ROUND(IF(Reinvest[[#This Row],[Result]]="L",0-Reinvest[[#This Row],[Risk]],IF(Reinvest[[#This Row],[Result]]="Push",0,IF(Reinvest[[#This Row],[Result]]="No Action",0,IF(Reinvest[[#This Row],[Result]]="W",IF(Reinvest[[#This Row],[Odds]]&gt;0,Reinvest[[#This Row],[Odds]]/100*Reinvest[[#This Row],[Risk]],(Reinvest[[#This Row],[Risk]]/Reinvest[[#This Row],[Odds]]*-100)),"")))),2),"")</f>
        <v>7.32</v>
      </c>
      <c r="J112" s="89" t="str">
        <f>IF(B112=B113,"",SUM($I$4:I112)/SUM($F$4:F112))</f>
        <v/>
      </c>
      <c r="K112"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12"/>
      <c r="M112" s="24">
        <f t="shared" si="5"/>
        <v>0</v>
      </c>
      <c r="N112" s="1" t="str">
        <f>COUNTIFS(Reinvest[Date],M112,Reinvest[Result],"W")&amp;"-"&amp;COUNTIFS(Reinvest[Date],M112,Reinvest[Result],"L")&amp;IF(COUNTIFS(Reinvest[Date],M112,Reinvest[Result],"Push")&gt;0,"-"&amp;COUNTIFS(Reinvest[Date],M112,Reinvest[Result],"Push"),"")</f>
        <v>0-0</v>
      </c>
      <c r="O112" s="25" t="str">
        <f>IFERROR(COUNTIFS(Reinvest[Date],M112,Reinvest[Result],"W")/(COUNTIFS(Reinvest[Date],M112,Reinvest[Result],"W")+COUNTIFS(Reinvest[Date],M112,Reinvest[Result],"L")),"")</f>
        <v/>
      </c>
      <c r="P112" s="26">
        <f>SUMIF(Reinvest[Date],M112,Reinvest[Net])</f>
        <v>0</v>
      </c>
      <c r="Q112" s="27" t="str">
        <f>IFERROR("("&amp;ROUND((SUMIF(Reinvest[Date],M112,Reinvest[Net])-SUMIF(Reinvest[Date],M112,Reinvest[Risk]))/SUMIF(Reinvest[Date],M112,Reinvest[Risk]),2)*100&amp;"%)","")</f>
        <v/>
      </c>
    </row>
    <row r="113" spans="1:17" x14ac:dyDescent="0.25">
      <c r="A113" s="13">
        <f t="shared" si="4"/>
        <v>13</v>
      </c>
      <c r="B113" s="17">
        <v>43682</v>
      </c>
      <c r="C113" s="17" t="s">
        <v>802</v>
      </c>
      <c r="D113" s="18" t="s">
        <v>1364</v>
      </c>
      <c r="E113" s="11" t="s">
        <v>876</v>
      </c>
      <c r="F113" s="19">
        <v>17.670000000000002</v>
      </c>
      <c r="G113" s="37" t="s">
        <v>3754</v>
      </c>
      <c r="H113" s="37" t="s">
        <v>263</v>
      </c>
      <c r="I113" s="45">
        <f>IFERROR(ROUND(IF(Reinvest[[#This Row],[Result]]="L",0-Reinvest[[#This Row],[Risk]],IF(Reinvest[[#This Row],[Result]]="Push",0,IF(Reinvest[[#This Row],[Result]]="No Action",0,IF(Reinvest[[#This Row],[Result]]="W",IF(Reinvest[[#This Row],[Odds]]&gt;0,Reinvest[[#This Row],[Odds]]/100*Reinvest[[#This Row],[Risk]],(Reinvest[[#This Row],[Risk]]/Reinvest[[#This Row],[Odds]]*-100)),"")))),2),"")</f>
        <v>-17.670000000000002</v>
      </c>
      <c r="J113" s="89" t="str">
        <f>IF(B113=B114,"",SUM($I$4:I113)/SUM($F$4:F113))</f>
        <v/>
      </c>
      <c r="K113"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113"/>
      <c r="M113" s="24">
        <f t="shared" si="5"/>
        <v>0</v>
      </c>
      <c r="N113" s="1" t="str">
        <f>COUNTIFS(Reinvest[Date],M113,Reinvest[Result],"W")&amp;"-"&amp;COUNTIFS(Reinvest[Date],M113,Reinvest[Result],"L")&amp;IF(COUNTIFS(Reinvest[Date],M113,Reinvest[Result],"Push")&gt;0,"-"&amp;COUNTIFS(Reinvest[Date],M113,Reinvest[Result],"Push"),"")</f>
        <v>0-0</v>
      </c>
      <c r="O113" s="25" t="str">
        <f>IFERROR(COUNTIFS(Reinvest[Date],M113,Reinvest[Result],"W")/(COUNTIFS(Reinvest[Date],M113,Reinvest[Result],"W")+COUNTIFS(Reinvest[Date],M113,Reinvest[Result],"L")),"")</f>
        <v/>
      </c>
      <c r="P113" s="26">
        <f>SUMIF(Reinvest[Date],M113,Reinvest[Net])</f>
        <v>0</v>
      </c>
      <c r="Q113" s="27" t="str">
        <f>IFERROR("("&amp;ROUND((SUMIF(Reinvest[Date],M113,Reinvest[Net])-SUMIF(Reinvest[Date],M113,Reinvest[Risk]))/SUMIF(Reinvest[Date],M113,Reinvest[Risk]),2)*100&amp;"%)","")</f>
        <v/>
      </c>
    </row>
    <row r="114" spans="1:17" x14ac:dyDescent="0.25">
      <c r="A114" s="13">
        <f t="shared" si="4"/>
        <v>13</v>
      </c>
      <c r="B114" s="17">
        <v>43682</v>
      </c>
      <c r="C114" s="17" t="s">
        <v>802</v>
      </c>
      <c r="D114" s="18" t="s">
        <v>3755</v>
      </c>
      <c r="E114" s="11" t="s">
        <v>1210</v>
      </c>
      <c r="F114" s="19">
        <v>21.84</v>
      </c>
      <c r="G114" s="37">
        <v>-265</v>
      </c>
      <c r="H114" s="37" t="s">
        <v>262</v>
      </c>
      <c r="I114" s="45">
        <f>IFERROR(ROUND(IF(Reinvest[[#This Row],[Result]]="L",0-Reinvest[[#This Row],[Risk]],IF(Reinvest[[#This Row],[Result]]="Push",0,IF(Reinvest[[#This Row],[Result]]="No Action",0,IF(Reinvest[[#This Row],[Result]]="W",IF(Reinvest[[#This Row],[Odds]]&gt;0,Reinvest[[#This Row],[Odds]]/100*Reinvest[[#This Row],[Risk]],(Reinvest[[#This Row],[Risk]]/Reinvest[[#This Row],[Odds]]*-100)),"")))),2),"")</f>
        <v>8.24</v>
      </c>
      <c r="J114" s="89" t="str">
        <f>IF(B114=B115,"",SUM($I$4:I114)/SUM($F$4:F114))</f>
        <v/>
      </c>
      <c r="K11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14"/>
      <c r="M114" s="24">
        <f t="shared" si="5"/>
        <v>0</v>
      </c>
      <c r="N114" s="1" t="str">
        <f>COUNTIFS(Reinvest[Date],M114,Reinvest[Result],"W")&amp;"-"&amp;COUNTIFS(Reinvest[Date],M114,Reinvest[Result],"L")&amp;IF(COUNTIFS(Reinvest[Date],M114,Reinvest[Result],"Push")&gt;0,"-"&amp;COUNTIFS(Reinvest[Date],M114,Reinvest[Result],"Push"),"")</f>
        <v>0-0</v>
      </c>
      <c r="O114" s="25" t="str">
        <f>IFERROR(COUNTIFS(Reinvest[Date],M114,Reinvest[Result],"W")/(COUNTIFS(Reinvest[Date],M114,Reinvest[Result],"W")+COUNTIFS(Reinvest[Date],M114,Reinvest[Result],"L")),"")</f>
        <v/>
      </c>
      <c r="P114" s="26">
        <f>SUMIF(Reinvest[Date],M114,Reinvest[Net])</f>
        <v>0</v>
      </c>
      <c r="Q114" s="27" t="str">
        <f>IFERROR("("&amp;ROUND((SUMIF(Reinvest[Date],M114,Reinvest[Net])-SUMIF(Reinvest[Date],M114,Reinvest[Risk]))/SUMIF(Reinvest[Date],M114,Reinvest[Risk]),2)*100&amp;"%)","")</f>
        <v/>
      </c>
    </row>
    <row r="115" spans="1:17" x14ac:dyDescent="0.25">
      <c r="A115" s="13">
        <f t="shared" si="4"/>
        <v>13</v>
      </c>
      <c r="B115" s="17">
        <v>43682</v>
      </c>
      <c r="C115" s="17" t="s">
        <v>802</v>
      </c>
      <c r="D115" s="18" t="s">
        <v>3753</v>
      </c>
      <c r="E115" s="11" t="s">
        <v>3659</v>
      </c>
      <c r="F115" s="19">
        <v>21.43</v>
      </c>
      <c r="G115" s="37">
        <v>-180</v>
      </c>
      <c r="H115" s="37" t="s">
        <v>262</v>
      </c>
      <c r="I115" s="45">
        <f>IFERROR(ROUND(IF(Reinvest[[#This Row],[Result]]="L",0-Reinvest[[#This Row],[Risk]],IF(Reinvest[[#This Row],[Result]]="Push",0,IF(Reinvest[[#This Row],[Result]]="No Action",0,IF(Reinvest[[#This Row],[Result]]="W",IF(Reinvest[[#This Row],[Odds]]&gt;0,Reinvest[[#This Row],[Odds]]/100*Reinvest[[#This Row],[Risk]],(Reinvest[[#This Row],[Risk]]/Reinvest[[#This Row],[Odds]]*-100)),"")))),2),"")</f>
        <v>11.91</v>
      </c>
      <c r="J115" s="89" t="str">
        <f>IF(B115=B116,"",SUM($I$4:I115)/SUM($F$4:F115))</f>
        <v/>
      </c>
      <c r="K115"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15"/>
      <c r="M115" s="24">
        <f t="shared" si="5"/>
        <v>0</v>
      </c>
      <c r="N115" s="1" t="str">
        <f>COUNTIFS(Reinvest[Date],M115,Reinvest[Result],"W")&amp;"-"&amp;COUNTIFS(Reinvest[Date],M115,Reinvest[Result],"L")&amp;IF(COUNTIFS(Reinvest[Date],M115,Reinvest[Result],"Push")&gt;0,"-"&amp;COUNTIFS(Reinvest[Date],M115,Reinvest[Result],"Push"),"")</f>
        <v>0-0</v>
      </c>
      <c r="O115" s="25" t="str">
        <f>IFERROR(COUNTIFS(Reinvest[Date],M115,Reinvest[Result],"W")/(COUNTIFS(Reinvest[Date],M115,Reinvest[Result],"W")+COUNTIFS(Reinvest[Date],M115,Reinvest[Result],"L")),"")</f>
        <v/>
      </c>
      <c r="P115" s="26">
        <f>SUMIF(Reinvest[Date],M115,Reinvest[Net])</f>
        <v>0</v>
      </c>
      <c r="Q115" s="27" t="str">
        <f>IFERROR("("&amp;ROUND((SUMIF(Reinvest[Date],M115,Reinvest[Net])-SUMIF(Reinvest[Date],M115,Reinvest[Risk]))/SUMIF(Reinvest[Date],M115,Reinvest[Risk]),2)*100&amp;"%)","")</f>
        <v/>
      </c>
    </row>
    <row r="116" spans="1:17" x14ac:dyDescent="0.25">
      <c r="A116" s="13">
        <f t="shared" si="4"/>
        <v>13</v>
      </c>
      <c r="B116" s="17">
        <v>43682</v>
      </c>
      <c r="C116" s="17" t="s">
        <v>802</v>
      </c>
      <c r="D116" s="18" t="s">
        <v>1340</v>
      </c>
      <c r="E116" s="11" t="s">
        <v>819</v>
      </c>
      <c r="F116" s="19">
        <v>22.98</v>
      </c>
      <c r="G116" s="37">
        <v>-240</v>
      </c>
      <c r="H116" s="37" t="s">
        <v>263</v>
      </c>
      <c r="I116" s="45">
        <f>IFERROR(ROUND(IF(Reinvest[[#This Row],[Result]]="L",0-Reinvest[[#This Row],[Risk]],IF(Reinvest[[#This Row],[Result]]="Push",0,IF(Reinvest[[#This Row],[Result]]="No Action",0,IF(Reinvest[[#This Row],[Result]]="W",IF(Reinvest[[#This Row],[Odds]]&gt;0,Reinvest[[#This Row],[Odds]]/100*Reinvest[[#This Row],[Risk]],(Reinvest[[#This Row],[Risk]]/Reinvest[[#This Row],[Odds]]*-100)),"")))),2),"")</f>
        <v>-22.98</v>
      </c>
      <c r="J116" s="89" t="str">
        <f>IF(B116=B117,"",SUM($I$4:I116)/SUM($F$4:F116))</f>
        <v/>
      </c>
      <c r="K116"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16"/>
      <c r="M116" s="24">
        <f t="shared" si="5"/>
        <v>0</v>
      </c>
      <c r="N116" s="1" t="str">
        <f>COUNTIFS(Reinvest[Date],M116,Reinvest[Result],"W")&amp;"-"&amp;COUNTIFS(Reinvest[Date],M116,Reinvest[Result],"L")&amp;IF(COUNTIFS(Reinvest[Date],M116,Reinvest[Result],"Push")&gt;0,"-"&amp;COUNTIFS(Reinvest[Date],M116,Reinvest[Result],"Push"),"")</f>
        <v>0-0</v>
      </c>
      <c r="O116" s="25" t="str">
        <f>IFERROR(COUNTIFS(Reinvest[Date],M116,Reinvest[Result],"W")/(COUNTIFS(Reinvest[Date],M116,Reinvest[Result],"W")+COUNTIFS(Reinvest[Date],M116,Reinvest[Result],"L")),"")</f>
        <v/>
      </c>
      <c r="P116" s="26">
        <f>SUMIF(Reinvest[Date],M116,Reinvest[Net])</f>
        <v>0</v>
      </c>
      <c r="Q116" s="27" t="str">
        <f>IFERROR("("&amp;ROUND((SUMIF(Reinvest[Date],M116,Reinvest[Net])-SUMIF(Reinvest[Date],M116,Reinvest[Risk]))/SUMIF(Reinvest[Date],M116,Reinvest[Risk]),2)*100&amp;"%)","")</f>
        <v/>
      </c>
    </row>
    <row r="117" spans="1:17" x14ac:dyDescent="0.25">
      <c r="A117" s="13">
        <f t="shared" si="4"/>
        <v>13</v>
      </c>
      <c r="B117" s="17">
        <v>43682</v>
      </c>
      <c r="C117" s="17" t="s">
        <v>802</v>
      </c>
      <c r="D117" s="18" t="s">
        <v>3756</v>
      </c>
      <c r="E117" s="11" t="s">
        <v>834</v>
      </c>
      <c r="F117" s="19">
        <v>17.02</v>
      </c>
      <c r="G117" s="37" t="s">
        <v>825</v>
      </c>
      <c r="H117" s="37" t="s">
        <v>263</v>
      </c>
      <c r="I117" s="45">
        <f>IFERROR(ROUND(IF(Reinvest[[#This Row],[Result]]="L",0-Reinvest[[#This Row],[Risk]],IF(Reinvest[[#This Row],[Result]]="Push",0,IF(Reinvest[[#This Row],[Result]]="No Action",0,IF(Reinvest[[#This Row],[Result]]="W",IF(Reinvest[[#This Row],[Odds]]&gt;0,Reinvest[[#This Row],[Odds]]/100*Reinvest[[#This Row],[Risk]],(Reinvest[[#This Row],[Risk]]/Reinvest[[#This Row],[Odds]]*-100)),"")))),2),"")</f>
        <v>-17.02</v>
      </c>
      <c r="J117" s="89" t="str">
        <f>IF(B117=B118,"",SUM($I$4:I117)/SUM($F$4:F117))</f>
        <v/>
      </c>
      <c r="K117"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117"/>
      <c r="M117" s="24">
        <f t="shared" si="5"/>
        <v>0</v>
      </c>
      <c r="N117" s="1" t="str">
        <f>COUNTIFS(Reinvest[Date],M117,Reinvest[Result],"W")&amp;"-"&amp;COUNTIFS(Reinvest[Date],M117,Reinvest[Result],"L")&amp;IF(COUNTIFS(Reinvest[Date],M117,Reinvest[Result],"Push")&gt;0,"-"&amp;COUNTIFS(Reinvest[Date],M117,Reinvest[Result],"Push"),"")</f>
        <v>0-0</v>
      </c>
      <c r="O117" s="25" t="str">
        <f>IFERROR(COUNTIFS(Reinvest[Date],M117,Reinvest[Result],"W")/(COUNTIFS(Reinvest[Date],M117,Reinvest[Result],"W")+COUNTIFS(Reinvest[Date],M117,Reinvest[Result],"L")),"")</f>
        <v/>
      </c>
      <c r="P117" s="26">
        <f>SUMIF(Reinvest[Date],M117,Reinvest[Net])</f>
        <v>0</v>
      </c>
      <c r="Q117" s="27" t="str">
        <f>IFERROR("("&amp;ROUND((SUMIF(Reinvest[Date],M117,Reinvest[Net])-SUMIF(Reinvest[Date],M117,Reinvest[Risk]))/SUMIF(Reinvest[Date],M117,Reinvest[Risk]),2)*100&amp;"%)","")</f>
        <v/>
      </c>
    </row>
    <row r="118" spans="1:17" x14ac:dyDescent="0.25">
      <c r="A118" s="13">
        <f t="shared" si="4"/>
        <v>13</v>
      </c>
      <c r="B118" s="17">
        <v>43682</v>
      </c>
      <c r="C118" s="17" t="s">
        <v>802</v>
      </c>
      <c r="D118" s="18" t="s">
        <v>3757</v>
      </c>
      <c r="E118" s="11" t="s">
        <v>899</v>
      </c>
      <c r="F118" s="19">
        <v>16.72</v>
      </c>
      <c r="G118" s="37" t="s">
        <v>934</v>
      </c>
      <c r="H118" s="37" t="s">
        <v>263</v>
      </c>
      <c r="I118" s="45">
        <f>IFERROR(ROUND(IF(Reinvest[[#This Row],[Result]]="L",0-Reinvest[[#This Row],[Risk]],IF(Reinvest[[#This Row],[Result]]="Push",0,IF(Reinvest[[#This Row],[Result]]="No Action",0,IF(Reinvest[[#This Row],[Result]]="W",IF(Reinvest[[#This Row],[Odds]]&gt;0,Reinvest[[#This Row],[Odds]]/100*Reinvest[[#This Row],[Risk]],(Reinvest[[#This Row],[Risk]]/Reinvest[[#This Row],[Odds]]*-100)),"")))),2),"")</f>
        <v>-16.72</v>
      </c>
      <c r="J118" s="89" t="str">
        <f>IF(B118=B119,"",SUM($I$4:I118)/SUM($F$4:F118))</f>
        <v/>
      </c>
      <c r="K118"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118"/>
      <c r="M118" s="24">
        <f t="shared" si="5"/>
        <v>0</v>
      </c>
      <c r="N118" s="1" t="str">
        <f>COUNTIFS(Reinvest[Date],M118,Reinvest[Result],"W")&amp;"-"&amp;COUNTIFS(Reinvest[Date],M118,Reinvest[Result],"L")&amp;IF(COUNTIFS(Reinvest[Date],M118,Reinvest[Result],"Push")&gt;0,"-"&amp;COUNTIFS(Reinvest[Date],M118,Reinvest[Result],"Push"),"")</f>
        <v>0-0</v>
      </c>
      <c r="O118" s="25" t="str">
        <f>IFERROR(COUNTIFS(Reinvest[Date],M118,Reinvest[Result],"W")/(COUNTIFS(Reinvest[Date],M118,Reinvest[Result],"W")+COUNTIFS(Reinvest[Date],M118,Reinvest[Result],"L")),"")</f>
        <v/>
      </c>
      <c r="P118" s="26">
        <f>SUMIF(Reinvest[Date],M118,Reinvest[Net])</f>
        <v>0</v>
      </c>
      <c r="Q118" s="27" t="str">
        <f>IFERROR("("&amp;ROUND((SUMIF(Reinvest[Date],M118,Reinvest[Net])-SUMIF(Reinvest[Date],M118,Reinvest[Risk]))/SUMIF(Reinvest[Date],M118,Reinvest[Risk]),2)*100&amp;"%)","")</f>
        <v/>
      </c>
    </row>
    <row r="119" spans="1:17" x14ac:dyDescent="0.25">
      <c r="A119" s="13">
        <f t="shared" si="4"/>
        <v>13</v>
      </c>
      <c r="B119" s="17">
        <v>43682</v>
      </c>
      <c r="C119" s="17" t="s">
        <v>802</v>
      </c>
      <c r="D119" s="18" t="s">
        <v>3758</v>
      </c>
      <c r="E119" s="11" t="s">
        <v>879</v>
      </c>
      <c r="F119" s="19">
        <v>20</v>
      </c>
      <c r="G119" s="37">
        <v>-115</v>
      </c>
      <c r="H119" s="37" t="s">
        <v>262</v>
      </c>
      <c r="I119" s="45">
        <f>IFERROR(ROUND(IF(Reinvest[[#This Row],[Result]]="L",0-Reinvest[[#This Row],[Risk]],IF(Reinvest[[#This Row],[Result]]="Push",0,IF(Reinvest[[#This Row],[Result]]="No Action",0,IF(Reinvest[[#This Row],[Result]]="W",IF(Reinvest[[#This Row],[Odds]]&gt;0,Reinvest[[#This Row],[Odds]]/100*Reinvest[[#This Row],[Risk]],(Reinvest[[#This Row],[Risk]]/Reinvest[[#This Row],[Odds]]*-100)),"")))),2),"")</f>
        <v>17.39</v>
      </c>
      <c r="J119" s="89">
        <f>IF(B119=B120,"",SUM($I$4:I119)/SUM($F$4:F119))</f>
        <v>7.4919560818655279E-2</v>
      </c>
      <c r="K119"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19"/>
      <c r="M119" s="24">
        <f t="shared" si="5"/>
        <v>0</v>
      </c>
      <c r="N119" s="1" t="str">
        <f>COUNTIFS(Reinvest[Date],M119,Reinvest[Result],"W")&amp;"-"&amp;COUNTIFS(Reinvest[Date],M119,Reinvest[Result],"L")&amp;IF(COUNTIFS(Reinvest[Date],M119,Reinvest[Result],"Push")&gt;0,"-"&amp;COUNTIFS(Reinvest[Date],M119,Reinvest[Result],"Push"),"")</f>
        <v>0-0</v>
      </c>
      <c r="O119" s="25" t="str">
        <f>IFERROR(COUNTIFS(Reinvest[Date],M119,Reinvest[Result],"W")/(COUNTIFS(Reinvest[Date],M119,Reinvest[Result],"W")+COUNTIFS(Reinvest[Date],M119,Reinvest[Result],"L")),"")</f>
        <v/>
      </c>
      <c r="P119" s="26">
        <f>SUMIF(Reinvest[Date],M119,Reinvest[Net])</f>
        <v>0</v>
      </c>
      <c r="Q119" s="27" t="str">
        <f>IFERROR("("&amp;ROUND((SUMIF(Reinvest[Date],M119,Reinvest[Net])-SUMIF(Reinvest[Date],M119,Reinvest[Risk]))/SUMIF(Reinvest[Date],M119,Reinvest[Risk]),2)*100&amp;"%)","")</f>
        <v/>
      </c>
    </row>
    <row r="120" spans="1:17" x14ac:dyDescent="0.25">
      <c r="A120" s="13">
        <f t="shared" si="4"/>
        <v>14</v>
      </c>
      <c r="B120" s="17">
        <v>43683</v>
      </c>
      <c r="C120" s="17" t="s">
        <v>802</v>
      </c>
      <c r="D120" s="18" t="s">
        <v>1285</v>
      </c>
      <c r="E120" s="11" t="s">
        <v>832</v>
      </c>
      <c r="F120" s="19">
        <v>22.54</v>
      </c>
      <c r="G120" s="37">
        <v>-220</v>
      </c>
      <c r="H120" s="37" t="s">
        <v>262</v>
      </c>
      <c r="I120" s="45">
        <f>IFERROR(ROUND(IF(Reinvest[[#This Row],[Result]]="L",0-Reinvest[[#This Row],[Risk]],IF(Reinvest[[#This Row],[Result]]="Push",0,IF(Reinvest[[#This Row],[Result]]="No Action",0,IF(Reinvest[[#This Row],[Result]]="W",IF(Reinvest[[#This Row],[Odds]]&gt;0,Reinvest[[#This Row],[Odds]]/100*Reinvest[[#This Row],[Risk]],(Reinvest[[#This Row],[Risk]]/Reinvest[[#This Row],[Odds]]*-100)),"")))),2),"")</f>
        <v>10.25</v>
      </c>
      <c r="J120" s="89" t="str">
        <f>IF(B120=B121,"",SUM($I$4:I120)/SUM($F$4:F120))</f>
        <v/>
      </c>
      <c r="K120"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20"/>
      <c r="M120" s="24">
        <f t="shared" si="5"/>
        <v>0</v>
      </c>
      <c r="N120" s="1" t="str">
        <f>COUNTIFS(Reinvest[Date],M120,Reinvest[Result],"W")&amp;"-"&amp;COUNTIFS(Reinvest[Date],M120,Reinvest[Result],"L")&amp;IF(COUNTIFS(Reinvest[Date],M120,Reinvest[Result],"Push")&gt;0,"-"&amp;COUNTIFS(Reinvest[Date],M120,Reinvest[Result],"Push"),"")</f>
        <v>0-0</v>
      </c>
      <c r="O120" s="25" t="str">
        <f>IFERROR(COUNTIFS(Reinvest[Date],M120,Reinvest[Result],"W")/(COUNTIFS(Reinvest[Date],M120,Reinvest[Result],"W")+COUNTIFS(Reinvest[Date],M120,Reinvest[Result],"L")),"")</f>
        <v/>
      </c>
      <c r="P120" s="26">
        <f>SUMIF(Reinvest[Date],M120,Reinvest[Net])</f>
        <v>0</v>
      </c>
      <c r="Q120" s="27" t="str">
        <f>IFERROR("("&amp;ROUND((SUMIF(Reinvest[Date],M120,Reinvest[Net])-SUMIF(Reinvest[Date],M120,Reinvest[Risk]))/SUMIF(Reinvest[Date],M120,Reinvest[Risk]),2)*100&amp;"%)","")</f>
        <v/>
      </c>
    </row>
    <row r="121" spans="1:17" x14ac:dyDescent="0.25">
      <c r="A121" s="13">
        <f t="shared" si="4"/>
        <v>14</v>
      </c>
      <c r="B121" s="17">
        <v>43683</v>
      </c>
      <c r="C121" s="17" t="s">
        <v>802</v>
      </c>
      <c r="D121" s="18" t="s">
        <v>3755</v>
      </c>
      <c r="E121" s="11" t="s">
        <v>1210</v>
      </c>
      <c r="F121" s="19">
        <v>25.29</v>
      </c>
      <c r="G121" s="37">
        <v>-190</v>
      </c>
      <c r="H121" s="37" t="s">
        <v>263</v>
      </c>
      <c r="I121" s="45">
        <f>IFERROR(ROUND(IF(Reinvest[[#This Row],[Result]]="L",0-Reinvest[[#This Row],[Risk]],IF(Reinvest[[#This Row],[Result]]="Push",0,IF(Reinvest[[#This Row],[Result]]="No Action",0,IF(Reinvest[[#This Row],[Result]]="W",IF(Reinvest[[#This Row],[Odds]]&gt;0,Reinvest[[#This Row],[Odds]]/100*Reinvest[[#This Row],[Risk]],(Reinvest[[#This Row],[Risk]]/Reinvest[[#This Row],[Odds]]*-100)),"")))),2),"")</f>
        <v>-25.29</v>
      </c>
      <c r="J121" s="89" t="str">
        <f>IF(B121=B122,"",SUM($I$4:I121)/SUM($F$4:F121))</f>
        <v/>
      </c>
      <c r="K121"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21"/>
      <c r="M121" s="24">
        <f t="shared" si="5"/>
        <v>0</v>
      </c>
      <c r="N121" s="1" t="str">
        <f>COUNTIFS(Reinvest[Date],M121,Reinvest[Result],"W")&amp;"-"&amp;COUNTIFS(Reinvest[Date],M121,Reinvest[Result],"L")&amp;IF(COUNTIFS(Reinvest[Date],M121,Reinvest[Result],"Push")&gt;0,"-"&amp;COUNTIFS(Reinvest[Date],M121,Reinvest[Result],"Push"),"")</f>
        <v>0-0</v>
      </c>
      <c r="O121" s="25" t="str">
        <f>IFERROR(COUNTIFS(Reinvest[Date],M121,Reinvest[Result],"W")/(COUNTIFS(Reinvest[Date],M121,Reinvest[Result],"W")+COUNTIFS(Reinvest[Date],M121,Reinvest[Result],"L")),"")</f>
        <v/>
      </c>
      <c r="P121" s="26">
        <f>SUMIF(Reinvest[Date],M121,Reinvest[Net])</f>
        <v>0</v>
      </c>
      <c r="Q121" s="27" t="str">
        <f>IFERROR("("&amp;ROUND((SUMIF(Reinvest[Date],M121,Reinvest[Net])-SUMIF(Reinvest[Date],M121,Reinvest[Risk]))/SUMIF(Reinvest[Date],M121,Reinvest[Risk]),2)*100&amp;"%)","")</f>
        <v/>
      </c>
    </row>
    <row r="122" spans="1:17" x14ac:dyDescent="0.25">
      <c r="A122" s="13">
        <f t="shared" si="4"/>
        <v>14</v>
      </c>
      <c r="B122" s="17">
        <v>43683</v>
      </c>
      <c r="C122" s="17" t="s">
        <v>802</v>
      </c>
      <c r="D122" s="18" t="s">
        <v>3780</v>
      </c>
      <c r="E122" s="11" t="s">
        <v>3507</v>
      </c>
      <c r="F122" s="19">
        <v>15.76</v>
      </c>
      <c r="G122" s="37" t="s">
        <v>1268</v>
      </c>
      <c r="H122" s="37" t="s">
        <v>263</v>
      </c>
      <c r="I122" s="45">
        <f>IFERROR(ROUND(IF(Reinvest[[#This Row],[Result]]="L",0-Reinvest[[#This Row],[Risk]],IF(Reinvest[[#This Row],[Result]]="Push",0,IF(Reinvest[[#This Row],[Result]]="No Action",0,IF(Reinvest[[#This Row],[Result]]="W",IF(Reinvest[[#This Row],[Odds]]&gt;0,Reinvest[[#This Row],[Odds]]/100*Reinvest[[#This Row],[Risk]],(Reinvest[[#This Row],[Risk]]/Reinvest[[#This Row],[Odds]]*-100)),"")))),2),"")</f>
        <v>-15.76</v>
      </c>
      <c r="J122" s="89" t="str">
        <f>IF(B122=B123,"",SUM($I$4:I122)/SUM($F$4:F122))</f>
        <v/>
      </c>
      <c r="K122"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122"/>
      <c r="M122" s="24">
        <f t="shared" si="5"/>
        <v>0</v>
      </c>
      <c r="N122" s="1" t="str">
        <f>COUNTIFS(Reinvest[Date],M122,Reinvest[Result],"W")&amp;"-"&amp;COUNTIFS(Reinvest[Date],M122,Reinvest[Result],"L")&amp;IF(COUNTIFS(Reinvest[Date],M122,Reinvest[Result],"Push")&gt;0,"-"&amp;COUNTIFS(Reinvest[Date],M122,Reinvest[Result],"Push"),"")</f>
        <v>0-0</v>
      </c>
      <c r="O122" s="25" t="str">
        <f>IFERROR(COUNTIFS(Reinvest[Date],M122,Reinvest[Result],"W")/(COUNTIFS(Reinvest[Date],M122,Reinvest[Result],"W")+COUNTIFS(Reinvest[Date],M122,Reinvest[Result],"L")),"")</f>
        <v/>
      </c>
      <c r="P122" s="26">
        <f>SUMIF(Reinvest[Date],M122,Reinvest[Net])</f>
        <v>0</v>
      </c>
      <c r="Q122" s="27" t="str">
        <f>IFERROR("("&amp;ROUND((SUMIF(Reinvest[Date],M122,Reinvest[Net])-SUMIF(Reinvest[Date],M122,Reinvest[Risk]))/SUMIF(Reinvest[Date],M122,Reinvest[Risk]),2)*100&amp;"%)","")</f>
        <v/>
      </c>
    </row>
    <row r="123" spans="1:17" x14ac:dyDescent="0.25">
      <c r="A123" s="13">
        <f t="shared" si="4"/>
        <v>14</v>
      </c>
      <c r="B123" s="17">
        <v>43683</v>
      </c>
      <c r="C123" s="17" t="s">
        <v>802</v>
      </c>
      <c r="D123" s="18" t="s">
        <v>3758</v>
      </c>
      <c r="E123" s="11" t="s">
        <v>869</v>
      </c>
      <c r="F123" s="19">
        <v>20.07</v>
      </c>
      <c r="G123" s="37">
        <v>-190</v>
      </c>
      <c r="H123" s="21" t="s">
        <v>846</v>
      </c>
      <c r="I123" s="45">
        <f>IFERROR(ROUND(IF(Reinvest[[#This Row],[Result]]="L",0-Reinvest[[#This Row],[Risk]],IF(Reinvest[[#This Row],[Result]]="Push",0,IF(Reinvest[[#This Row],[Result]]="No Action",0,IF(Reinvest[[#This Row],[Result]]="W",IF(Reinvest[[#This Row],[Odds]]&gt;0,Reinvest[[#This Row],[Odds]]/100*Reinvest[[#This Row],[Risk]],(Reinvest[[#This Row],[Risk]]/Reinvest[[#This Row],[Odds]]*-100)),"")))),2),"")</f>
        <v>0</v>
      </c>
      <c r="J123" s="89" t="str">
        <f>IF(B123=B124,"",SUM($I$4:I123)/SUM($F$4:F123))</f>
        <v/>
      </c>
      <c r="K123"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23"/>
      <c r="M123" s="24">
        <f t="shared" si="5"/>
        <v>0</v>
      </c>
      <c r="N123" s="1" t="str">
        <f>COUNTIFS(Reinvest[Date],M123,Reinvest[Result],"W")&amp;"-"&amp;COUNTIFS(Reinvest[Date],M123,Reinvest[Result],"L")&amp;IF(COUNTIFS(Reinvest[Date],M123,Reinvest[Result],"Push")&gt;0,"-"&amp;COUNTIFS(Reinvest[Date],M123,Reinvest[Result],"Push"),"")</f>
        <v>0-0</v>
      </c>
      <c r="O123" s="25" t="str">
        <f>IFERROR(COUNTIFS(Reinvest[Date],M123,Reinvest[Result],"W")/(COUNTIFS(Reinvest[Date],M123,Reinvest[Result],"W")+COUNTIFS(Reinvest[Date],M123,Reinvest[Result],"L")),"")</f>
        <v/>
      </c>
      <c r="P123" s="26">
        <f>SUMIF(Reinvest[Date],M123,Reinvest[Net])</f>
        <v>0</v>
      </c>
      <c r="Q123" s="27" t="str">
        <f>IFERROR("("&amp;ROUND((SUMIF(Reinvest[Date],M123,Reinvest[Net])-SUMIF(Reinvest[Date],M123,Reinvest[Risk]))/SUMIF(Reinvest[Date],M123,Reinvest[Risk]),2)*100&amp;"%)","")</f>
        <v/>
      </c>
    </row>
    <row r="124" spans="1:17" x14ac:dyDescent="0.25">
      <c r="A124" s="13">
        <f t="shared" si="4"/>
        <v>14</v>
      </c>
      <c r="B124" s="17">
        <v>43683</v>
      </c>
      <c r="C124" s="17" t="s">
        <v>802</v>
      </c>
      <c r="D124" s="18" t="s">
        <v>3781</v>
      </c>
      <c r="E124" s="11" t="s">
        <v>3782</v>
      </c>
      <c r="F124" s="19">
        <v>21.58</v>
      </c>
      <c r="G124" s="37">
        <v>-109</v>
      </c>
      <c r="H124" s="21" t="s">
        <v>263</v>
      </c>
      <c r="I124" s="45">
        <f>IFERROR(ROUND(IF(Reinvest[[#This Row],[Result]]="L",0-Reinvest[[#This Row],[Risk]],IF(Reinvest[[#This Row],[Result]]="Push",0,IF(Reinvest[[#This Row],[Result]]="No Action",0,IF(Reinvest[[#This Row],[Result]]="W",IF(Reinvest[[#This Row],[Odds]]&gt;0,Reinvest[[#This Row],[Odds]]/100*Reinvest[[#This Row],[Risk]],(Reinvest[[#This Row],[Risk]]/Reinvest[[#This Row],[Odds]]*-100)),"")))),2),"")</f>
        <v>-21.58</v>
      </c>
      <c r="J124" s="89" t="str">
        <f>IF(B124=B125,"",SUM($I$4:I124)/SUM($F$4:F124))</f>
        <v/>
      </c>
      <c r="K12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24"/>
      <c r="M124" s="24">
        <f t="shared" si="5"/>
        <v>0</v>
      </c>
      <c r="N124" s="1" t="str">
        <f>COUNTIFS(Reinvest[Date],M124,Reinvest[Result],"W")&amp;"-"&amp;COUNTIFS(Reinvest[Date],M124,Reinvest[Result],"L")&amp;IF(COUNTIFS(Reinvest[Date],M124,Reinvest[Result],"Push")&gt;0,"-"&amp;COUNTIFS(Reinvest[Date],M124,Reinvest[Result],"Push"),"")</f>
        <v>0-0</v>
      </c>
      <c r="O124" s="25" t="str">
        <f>IFERROR(COUNTIFS(Reinvest[Date],M124,Reinvest[Result],"W")/(COUNTIFS(Reinvest[Date],M124,Reinvest[Result],"W")+COUNTIFS(Reinvest[Date],M124,Reinvest[Result],"L")),"")</f>
        <v/>
      </c>
      <c r="P124" s="26">
        <f>SUMIF(Reinvest[Date],M124,Reinvest[Net])</f>
        <v>0</v>
      </c>
      <c r="Q124" s="27" t="str">
        <f>IFERROR("("&amp;ROUND((SUMIF(Reinvest[Date],M124,Reinvest[Net])-SUMIF(Reinvest[Date],M124,Reinvest[Risk]))/SUMIF(Reinvest[Date],M124,Reinvest[Risk]),2)*100&amp;"%)","")</f>
        <v/>
      </c>
    </row>
    <row r="125" spans="1:17" x14ac:dyDescent="0.25">
      <c r="A125" s="13">
        <f t="shared" si="4"/>
        <v>14</v>
      </c>
      <c r="B125" s="17">
        <v>43683</v>
      </c>
      <c r="C125" s="17" t="s">
        <v>802</v>
      </c>
      <c r="D125" s="18" t="s">
        <v>3753</v>
      </c>
      <c r="E125" s="11" t="s">
        <v>888</v>
      </c>
      <c r="F125" s="19">
        <v>13.92</v>
      </c>
      <c r="G125" s="37" t="s">
        <v>890</v>
      </c>
      <c r="H125" s="37" t="s">
        <v>263</v>
      </c>
      <c r="I125" s="45">
        <f>IFERROR(ROUND(IF(Reinvest[[#This Row],[Result]]="L",0-Reinvest[[#This Row],[Risk]],IF(Reinvest[[#This Row],[Result]]="Push",0,IF(Reinvest[[#This Row],[Result]]="No Action",0,IF(Reinvest[[#This Row],[Result]]="W",IF(Reinvest[[#This Row],[Odds]]&gt;0,Reinvest[[#This Row],[Odds]]/100*Reinvest[[#This Row],[Risk]],(Reinvest[[#This Row],[Risk]]/Reinvest[[#This Row],[Odds]]*-100)),"")))),2),"")</f>
        <v>-13.92</v>
      </c>
      <c r="J125" s="89" t="str">
        <f>IF(B125=B126,"",SUM($I$4:I125)/SUM($F$4:F125))</f>
        <v/>
      </c>
      <c r="K125"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125"/>
      <c r="M125" s="24">
        <f t="shared" si="5"/>
        <v>0</v>
      </c>
      <c r="N125" s="1" t="str">
        <f>COUNTIFS(Reinvest[Date],M125,Reinvest[Result],"W")&amp;"-"&amp;COUNTIFS(Reinvest[Date],M125,Reinvest[Result],"L")&amp;IF(COUNTIFS(Reinvest[Date],M125,Reinvest[Result],"Push")&gt;0,"-"&amp;COUNTIFS(Reinvest[Date],M125,Reinvest[Result],"Push"),"")</f>
        <v>0-0</v>
      </c>
      <c r="O125" s="25" t="str">
        <f>IFERROR(COUNTIFS(Reinvest[Date],M125,Reinvest[Result],"W")/(COUNTIFS(Reinvest[Date],M125,Reinvest[Result],"W")+COUNTIFS(Reinvest[Date],M125,Reinvest[Result],"L")),"")</f>
        <v/>
      </c>
      <c r="P125" s="26">
        <f>SUMIF(Reinvest[Date],M125,Reinvest[Net])</f>
        <v>0</v>
      </c>
      <c r="Q125" s="27" t="str">
        <f>IFERROR("("&amp;ROUND((SUMIF(Reinvest[Date],M125,Reinvest[Net])-SUMIF(Reinvest[Date],M125,Reinvest[Risk]))/SUMIF(Reinvest[Date],M125,Reinvest[Risk]),2)*100&amp;"%)","")</f>
        <v/>
      </c>
    </row>
    <row r="126" spans="1:17" x14ac:dyDescent="0.25">
      <c r="A126" s="13">
        <f t="shared" si="4"/>
        <v>14</v>
      </c>
      <c r="B126" s="17">
        <v>43683</v>
      </c>
      <c r="C126" s="17" t="s">
        <v>802</v>
      </c>
      <c r="D126" s="18" t="s">
        <v>1340</v>
      </c>
      <c r="E126" s="11" t="s">
        <v>819</v>
      </c>
      <c r="F126" s="19">
        <v>20.16</v>
      </c>
      <c r="G126" s="37">
        <v>-195</v>
      </c>
      <c r="H126" s="21" t="s">
        <v>262</v>
      </c>
      <c r="I126" s="45">
        <f>IFERROR(ROUND(IF(Reinvest[[#This Row],[Result]]="L",0-Reinvest[[#This Row],[Risk]],IF(Reinvest[[#This Row],[Result]]="Push",0,IF(Reinvest[[#This Row],[Result]]="No Action",0,IF(Reinvest[[#This Row],[Result]]="W",IF(Reinvest[[#This Row],[Odds]]&gt;0,Reinvest[[#This Row],[Odds]]/100*Reinvest[[#This Row],[Risk]],(Reinvest[[#This Row],[Risk]]/Reinvest[[#This Row],[Odds]]*-100)),"")))),2),"")</f>
        <v>10.34</v>
      </c>
      <c r="J126" s="89" t="str">
        <f>IF(B126=B127,"",SUM($I$4:I126)/SUM($F$4:F126))</f>
        <v/>
      </c>
      <c r="K126"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26"/>
      <c r="M126" s="24">
        <f t="shared" si="5"/>
        <v>0</v>
      </c>
      <c r="N126" s="1" t="str">
        <f>COUNTIFS(Reinvest[Date],M126,Reinvest[Result],"W")&amp;"-"&amp;COUNTIFS(Reinvest[Date],M126,Reinvest[Result],"L")&amp;IF(COUNTIFS(Reinvest[Date],M126,Reinvest[Result],"Push")&gt;0,"-"&amp;COUNTIFS(Reinvest[Date],M126,Reinvest[Result],"Push"),"")</f>
        <v>0-0</v>
      </c>
      <c r="O126" s="25" t="str">
        <f>IFERROR(COUNTIFS(Reinvest[Date],M126,Reinvest[Result],"W")/(COUNTIFS(Reinvest[Date],M126,Reinvest[Result],"W")+COUNTIFS(Reinvest[Date],M126,Reinvest[Result],"L")),"")</f>
        <v/>
      </c>
      <c r="P126" s="26">
        <f>SUMIF(Reinvest[Date],M126,Reinvest[Net])</f>
        <v>0</v>
      </c>
      <c r="Q126" s="27" t="str">
        <f>IFERROR("("&amp;ROUND((SUMIF(Reinvest[Date],M126,Reinvest[Net])-SUMIF(Reinvest[Date],M126,Reinvest[Risk]))/SUMIF(Reinvest[Date],M126,Reinvest[Risk]),2)*100&amp;"%)","")</f>
        <v/>
      </c>
    </row>
    <row r="127" spans="1:17" x14ac:dyDescent="0.25">
      <c r="A127" s="13">
        <f t="shared" si="4"/>
        <v>14</v>
      </c>
      <c r="B127" s="17">
        <v>43683</v>
      </c>
      <c r="C127" s="17" t="s">
        <v>802</v>
      </c>
      <c r="D127" s="18" t="s">
        <v>3783</v>
      </c>
      <c r="E127" s="11" t="s">
        <v>897</v>
      </c>
      <c r="F127" s="19">
        <v>20.69</v>
      </c>
      <c r="G127" s="37">
        <v>-205</v>
      </c>
      <c r="H127" s="21" t="s">
        <v>262</v>
      </c>
      <c r="I127" s="45">
        <f>IFERROR(ROUND(IF(Reinvest[[#This Row],[Result]]="L",0-Reinvest[[#This Row],[Risk]],IF(Reinvest[[#This Row],[Result]]="Push",0,IF(Reinvest[[#This Row],[Result]]="No Action",0,IF(Reinvest[[#This Row],[Result]]="W",IF(Reinvest[[#This Row],[Odds]]&gt;0,Reinvest[[#This Row],[Odds]]/100*Reinvest[[#This Row],[Risk]],(Reinvest[[#This Row],[Risk]]/Reinvest[[#This Row],[Odds]]*-100)),"")))),2),"")</f>
        <v>10.09</v>
      </c>
      <c r="J127" s="89" t="str">
        <f>IF(B127=B128,"",SUM($I$4:I127)/SUM($F$4:F127))</f>
        <v/>
      </c>
      <c r="K127"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27"/>
      <c r="M127" s="24">
        <f t="shared" si="5"/>
        <v>0</v>
      </c>
      <c r="N127" s="1" t="str">
        <f>COUNTIFS(Reinvest[Date],M127,Reinvest[Result],"W")&amp;"-"&amp;COUNTIFS(Reinvest[Date],M127,Reinvest[Result],"L")&amp;IF(COUNTIFS(Reinvest[Date],M127,Reinvest[Result],"Push")&gt;0,"-"&amp;COUNTIFS(Reinvest[Date],M127,Reinvest[Result],"Push"),"")</f>
        <v>0-0</v>
      </c>
      <c r="O127" s="25" t="str">
        <f>IFERROR(COUNTIFS(Reinvest[Date],M127,Reinvest[Result],"W")/(COUNTIFS(Reinvest[Date],M127,Reinvest[Result],"W")+COUNTIFS(Reinvest[Date],M127,Reinvest[Result],"L")),"")</f>
        <v/>
      </c>
      <c r="P127" s="26">
        <f>SUMIF(Reinvest[Date],M127,Reinvest[Net])</f>
        <v>0</v>
      </c>
      <c r="Q127" s="27" t="str">
        <f>IFERROR("("&amp;ROUND((SUMIF(Reinvest[Date],M127,Reinvest[Net])-SUMIF(Reinvest[Date],M127,Reinvest[Risk]))/SUMIF(Reinvest[Date],M127,Reinvest[Risk]),2)*100&amp;"%)","")</f>
        <v/>
      </c>
    </row>
    <row r="128" spans="1:17" x14ac:dyDescent="0.25">
      <c r="A128" s="13">
        <f t="shared" si="4"/>
        <v>14</v>
      </c>
      <c r="B128" s="17">
        <v>43683</v>
      </c>
      <c r="C128" s="17" t="s">
        <v>802</v>
      </c>
      <c r="D128" s="18" t="s">
        <v>3784</v>
      </c>
      <c r="E128" s="11" t="s">
        <v>1178</v>
      </c>
      <c r="F128" s="19">
        <v>20</v>
      </c>
      <c r="G128" s="37">
        <v>-155</v>
      </c>
      <c r="H128" s="21" t="s">
        <v>263</v>
      </c>
      <c r="I128" s="45">
        <f>IFERROR(ROUND(IF(Reinvest[[#This Row],[Result]]="L",0-Reinvest[[#This Row],[Risk]],IF(Reinvest[[#This Row],[Result]]="Push",0,IF(Reinvest[[#This Row],[Result]]="No Action",0,IF(Reinvest[[#This Row],[Result]]="W",IF(Reinvest[[#This Row],[Odds]]&gt;0,Reinvest[[#This Row],[Odds]]/100*Reinvest[[#This Row],[Risk]],(Reinvest[[#This Row],[Risk]]/Reinvest[[#This Row],[Odds]]*-100)),"")))),2),"")</f>
        <v>-20</v>
      </c>
      <c r="J128" s="89" t="str">
        <f>IF(B128=B129,"",SUM($I$4:I128)/SUM($F$4:F128))</f>
        <v/>
      </c>
      <c r="K128"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28"/>
      <c r="M128" s="24">
        <f t="shared" si="5"/>
        <v>0</v>
      </c>
      <c r="N128" s="1" t="str">
        <f>COUNTIFS(Reinvest[Date],M128,Reinvest[Result],"W")&amp;"-"&amp;COUNTIFS(Reinvest[Date],M128,Reinvest[Result],"L")&amp;IF(COUNTIFS(Reinvest[Date],M128,Reinvest[Result],"Push")&gt;0,"-"&amp;COUNTIFS(Reinvest[Date],M128,Reinvest[Result],"Push"),"")</f>
        <v>0-0</v>
      </c>
      <c r="O128" s="25" t="str">
        <f>IFERROR(COUNTIFS(Reinvest[Date],M128,Reinvest[Result],"W")/(COUNTIFS(Reinvest[Date],M128,Reinvest[Result],"W")+COUNTIFS(Reinvest[Date],M128,Reinvest[Result],"L")),"")</f>
        <v/>
      </c>
      <c r="P128" s="26">
        <f>SUMIF(Reinvest[Date],M128,Reinvest[Net])</f>
        <v>0</v>
      </c>
      <c r="Q128" s="27" t="str">
        <f>IFERROR("("&amp;ROUND((SUMIF(Reinvest[Date],M128,Reinvest[Net])-SUMIF(Reinvest[Date],M128,Reinvest[Risk]))/SUMIF(Reinvest[Date],M128,Reinvest[Risk]),2)*100&amp;"%)","")</f>
        <v/>
      </c>
    </row>
    <row r="129" spans="1:17" x14ac:dyDescent="0.25">
      <c r="A129" s="13">
        <f t="shared" si="4"/>
        <v>14</v>
      </c>
      <c r="B129" s="17">
        <v>43683</v>
      </c>
      <c r="C129" s="17" t="s">
        <v>802</v>
      </c>
      <c r="D129" s="18" t="s">
        <v>3780</v>
      </c>
      <c r="E129" s="11" t="s">
        <v>879</v>
      </c>
      <c r="F129" s="19">
        <v>22.8</v>
      </c>
      <c r="G129" s="37">
        <v>-115</v>
      </c>
      <c r="H129" s="21" t="s">
        <v>263</v>
      </c>
      <c r="I129" s="45">
        <f>IFERROR(ROUND(IF(Reinvest[[#This Row],[Result]]="L",0-Reinvest[[#This Row],[Risk]],IF(Reinvest[[#This Row],[Result]]="Push",0,IF(Reinvest[[#This Row],[Result]]="No Action",0,IF(Reinvest[[#This Row],[Result]]="W",IF(Reinvest[[#This Row],[Odds]]&gt;0,Reinvest[[#This Row],[Odds]]/100*Reinvest[[#This Row],[Risk]],(Reinvest[[#This Row],[Risk]]/Reinvest[[#This Row],[Odds]]*-100)),"")))),2),"")</f>
        <v>-22.8</v>
      </c>
      <c r="J129" s="89" t="str">
        <f>IF(B129=B130,"",SUM($I$4:I129)/SUM($F$4:F129))</f>
        <v/>
      </c>
      <c r="K129"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29"/>
      <c r="M129" s="24">
        <f t="shared" si="5"/>
        <v>0</v>
      </c>
      <c r="N129" s="1" t="str">
        <f>COUNTIFS(Reinvest[Date],M129,Reinvest[Result],"W")&amp;"-"&amp;COUNTIFS(Reinvest[Date],M129,Reinvest[Result],"L")&amp;IF(COUNTIFS(Reinvest[Date],M129,Reinvest[Result],"Push")&gt;0,"-"&amp;COUNTIFS(Reinvest[Date],M129,Reinvest[Result],"Push"),"")</f>
        <v>0-0</v>
      </c>
      <c r="O129" s="25" t="str">
        <f>IFERROR(COUNTIFS(Reinvest[Date],M129,Reinvest[Result],"W")/(COUNTIFS(Reinvest[Date],M129,Reinvest[Result],"W")+COUNTIFS(Reinvest[Date],M129,Reinvest[Result],"L")),"")</f>
        <v/>
      </c>
      <c r="P129" s="26">
        <f>SUMIF(Reinvest[Date],M129,Reinvest[Net])</f>
        <v>0</v>
      </c>
      <c r="Q129" s="27" t="str">
        <f>IFERROR("("&amp;ROUND((SUMIF(Reinvest[Date],M129,Reinvest[Net])-SUMIF(Reinvest[Date],M129,Reinvest[Risk]))/SUMIF(Reinvest[Date],M129,Reinvest[Risk]),2)*100&amp;"%)","")</f>
        <v/>
      </c>
    </row>
    <row r="130" spans="1:17" x14ac:dyDescent="0.25">
      <c r="A130" s="13">
        <f t="shared" si="4"/>
        <v>14</v>
      </c>
      <c r="B130" s="17">
        <v>43683</v>
      </c>
      <c r="C130" s="17" t="s">
        <v>802</v>
      </c>
      <c r="D130" s="18" t="s">
        <v>3781</v>
      </c>
      <c r="E130" s="11" t="s">
        <v>3595</v>
      </c>
      <c r="F130" s="19">
        <v>19.14</v>
      </c>
      <c r="G130" s="37">
        <v>-110</v>
      </c>
      <c r="H130" s="21" t="s">
        <v>262</v>
      </c>
      <c r="I130" s="45">
        <f>IFERROR(ROUND(IF(Reinvest[[#This Row],[Result]]="L",0-Reinvest[[#This Row],[Risk]],IF(Reinvest[[#This Row],[Result]]="Push",0,IF(Reinvest[[#This Row],[Result]]="No Action",0,IF(Reinvest[[#This Row],[Result]]="W",IF(Reinvest[[#This Row],[Odds]]&gt;0,Reinvest[[#This Row],[Odds]]/100*Reinvest[[#This Row],[Risk]],(Reinvest[[#This Row],[Risk]]/Reinvest[[#This Row],[Odds]]*-100)),"")))),2),"")</f>
        <v>17.399999999999999</v>
      </c>
      <c r="J130" s="89" t="str">
        <f>IF(B130=B131,"",SUM($I$4:I130)/SUM($F$4:F130))</f>
        <v/>
      </c>
      <c r="K130"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130"/>
      <c r="M130" s="24">
        <f t="shared" si="5"/>
        <v>0</v>
      </c>
      <c r="N130" s="1" t="str">
        <f>COUNTIFS(Reinvest[Date],M130,Reinvest[Result],"W")&amp;"-"&amp;COUNTIFS(Reinvest[Date],M130,Reinvest[Result],"L")&amp;IF(COUNTIFS(Reinvest[Date],M130,Reinvest[Result],"Push")&gt;0,"-"&amp;COUNTIFS(Reinvest[Date],M130,Reinvest[Result],"Push"),"")</f>
        <v>0-0</v>
      </c>
      <c r="O130" s="25" t="str">
        <f>IFERROR(COUNTIFS(Reinvest[Date],M130,Reinvest[Result],"W")/(COUNTIFS(Reinvest[Date],M130,Reinvest[Result],"W")+COUNTIFS(Reinvest[Date],M130,Reinvest[Result],"L")),"")</f>
        <v/>
      </c>
      <c r="P130" s="26">
        <f>SUMIF(Reinvest[Date],M130,Reinvest[Net])</f>
        <v>0</v>
      </c>
      <c r="Q130" s="27" t="str">
        <f>IFERROR("("&amp;ROUND((SUMIF(Reinvest[Date],M130,Reinvest[Net])-SUMIF(Reinvest[Date],M130,Reinvest[Risk]))/SUMIF(Reinvest[Date],M130,Reinvest[Risk]),2)*100&amp;"%)","")</f>
        <v/>
      </c>
    </row>
    <row r="131" spans="1:17" x14ac:dyDescent="0.25">
      <c r="A131" s="13">
        <f t="shared" si="4"/>
        <v>14</v>
      </c>
      <c r="B131" s="17">
        <v>43683</v>
      </c>
      <c r="C131" s="17" t="s">
        <v>802</v>
      </c>
      <c r="D131" s="18" t="s">
        <v>3783</v>
      </c>
      <c r="E131" s="11" t="s">
        <v>845</v>
      </c>
      <c r="F131" s="19">
        <v>18.059999999999999</v>
      </c>
      <c r="G131" s="37">
        <v>-104</v>
      </c>
      <c r="H131" s="21" t="s">
        <v>262</v>
      </c>
      <c r="I131" s="45">
        <f>IFERROR(ROUND(IF(Reinvest[[#This Row],[Result]]="L",0-Reinvest[[#This Row],[Risk]],IF(Reinvest[[#This Row],[Result]]="Push",0,IF(Reinvest[[#This Row],[Result]]="No Action",0,IF(Reinvest[[#This Row],[Result]]="W",IF(Reinvest[[#This Row],[Odds]]&gt;0,Reinvest[[#This Row],[Odds]]/100*Reinvest[[#This Row],[Risk]],(Reinvest[[#This Row],[Risk]]/Reinvest[[#This Row],[Odds]]*-100)),"")))),2),"")</f>
        <v>17.37</v>
      </c>
      <c r="J131" s="89">
        <f>IF(B131=B132,"",SUM($I$4:I131)/SUM($F$4:F131))</f>
        <v>3.378239172236977E-2</v>
      </c>
      <c r="K131"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131"/>
      <c r="M131" s="24">
        <f t="shared" si="5"/>
        <v>0</v>
      </c>
      <c r="N131" s="1" t="str">
        <f>COUNTIFS(Reinvest[Date],M131,Reinvest[Result],"W")&amp;"-"&amp;COUNTIFS(Reinvest[Date],M131,Reinvest[Result],"L")&amp;IF(COUNTIFS(Reinvest[Date],M131,Reinvest[Result],"Push")&gt;0,"-"&amp;COUNTIFS(Reinvest[Date],M131,Reinvest[Result],"Push"),"")</f>
        <v>0-0</v>
      </c>
      <c r="O131" s="25" t="str">
        <f>IFERROR(COUNTIFS(Reinvest[Date],M131,Reinvest[Result],"W")/(COUNTIFS(Reinvest[Date],M131,Reinvest[Result],"W")+COUNTIFS(Reinvest[Date],M131,Reinvest[Result],"L")),"")</f>
        <v/>
      </c>
      <c r="P131" s="26">
        <f>SUMIF(Reinvest[Date],M131,Reinvest[Net])</f>
        <v>0</v>
      </c>
      <c r="Q131" s="27" t="str">
        <f>IFERROR("("&amp;ROUND((SUMIF(Reinvest[Date],M131,Reinvest[Net])-SUMIF(Reinvest[Date],M131,Reinvest[Risk]))/SUMIF(Reinvest[Date],M131,Reinvest[Risk]),2)*100&amp;"%)","")</f>
        <v/>
      </c>
    </row>
    <row r="132" spans="1:17" x14ac:dyDescent="0.25">
      <c r="A132" s="13">
        <f t="shared" si="4"/>
        <v>15</v>
      </c>
      <c r="B132" s="17">
        <v>43684</v>
      </c>
      <c r="C132" s="17" t="s">
        <v>802</v>
      </c>
      <c r="D132" s="18" t="s">
        <v>3753</v>
      </c>
      <c r="E132" s="11" t="s">
        <v>888</v>
      </c>
      <c r="F132" s="19">
        <v>14.19</v>
      </c>
      <c r="G132" s="37" t="s">
        <v>3503</v>
      </c>
      <c r="H132" s="21" t="s">
        <v>263</v>
      </c>
      <c r="I132" s="45">
        <f>IFERROR(ROUND(IF(Reinvest[[#This Row],[Result]]="L",0-Reinvest[[#This Row],[Risk]],IF(Reinvest[[#This Row],[Result]]="Push",0,IF(Reinvest[[#This Row],[Result]]="No Action",0,IF(Reinvest[[#This Row],[Result]]="W",IF(Reinvest[[#This Row],[Odds]]&gt;0,Reinvest[[#This Row],[Odds]]/100*Reinvest[[#This Row],[Risk]],(Reinvest[[#This Row],[Risk]]/Reinvest[[#This Row],[Odds]]*-100)),"")))),2),"")</f>
        <v>-14.19</v>
      </c>
      <c r="J132" s="89" t="str">
        <f>IF(B132=B133,"",SUM($I$4:I132)/SUM($F$4:F132))</f>
        <v/>
      </c>
      <c r="K132"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132"/>
      <c r="M132" s="24">
        <f t="shared" ref="M132:M157" si="6">IFERROR(VLOOKUP(ROW()-3,A:B,2,0),0)</f>
        <v>0</v>
      </c>
      <c r="N132" s="1" t="str">
        <f>COUNTIFS(Reinvest[Date],M132,Reinvest[Result],"W")&amp;"-"&amp;COUNTIFS(Reinvest[Date],M132,Reinvest[Result],"L")&amp;IF(COUNTIFS(Reinvest[Date],M132,Reinvest[Result],"Push")&gt;0,"-"&amp;COUNTIFS(Reinvest[Date],M132,Reinvest[Result],"Push"),"")</f>
        <v>0-0</v>
      </c>
      <c r="O132" s="25" t="str">
        <f>IFERROR(COUNTIFS(Reinvest[Date],M132,Reinvest[Result],"W")/(COUNTIFS(Reinvest[Date],M132,Reinvest[Result],"W")+COUNTIFS(Reinvest[Date],M132,Reinvest[Result],"L")),"")</f>
        <v/>
      </c>
      <c r="P132" s="26">
        <f>SUMIF(Reinvest[Date],M132,Reinvest[Net])</f>
        <v>0</v>
      </c>
      <c r="Q132" s="27" t="str">
        <f>IFERROR("("&amp;ROUND((SUMIF(Reinvest[Date],M132,Reinvest[Net])-SUMIF(Reinvest[Date],M132,Reinvest[Risk]))/SUMIF(Reinvest[Date],M132,Reinvest[Risk]),2)*100&amp;"%)","")</f>
        <v/>
      </c>
    </row>
    <row r="133" spans="1:17" x14ac:dyDescent="0.25">
      <c r="A133" s="13">
        <f t="shared" ref="A133:A196" si="7">IF(B133=B132,A132,A132+1)</f>
        <v>15</v>
      </c>
      <c r="B133" s="17">
        <v>43684</v>
      </c>
      <c r="C133" s="17" t="s">
        <v>802</v>
      </c>
      <c r="D133" s="18" t="s">
        <v>1340</v>
      </c>
      <c r="E133" s="11" t="s">
        <v>819</v>
      </c>
      <c r="F133" s="19">
        <v>20.100000000000001</v>
      </c>
      <c r="G133" s="37">
        <v>-230</v>
      </c>
      <c r="H133" s="21" t="s">
        <v>263</v>
      </c>
      <c r="I133" s="45">
        <f>IFERROR(ROUND(IF(Reinvest[[#This Row],[Result]]="L",0-Reinvest[[#This Row],[Risk]],IF(Reinvest[[#This Row],[Result]]="Push",0,IF(Reinvest[[#This Row],[Result]]="No Action",0,IF(Reinvest[[#This Row],[Result]]="W",IF(Reinvest[[#This Row],[Odds]]&gt;0,Reinvest[[#This Row],[Odds]]/100*Reinvest[[#This Row],[Risk]],(Reinvest[[#This Row],[Risk]]/Reinvest[[#This Row],[Odds]]*-100)),"")))),2),"")</f>
        <v>-20.100000000000001</v>
      </c>
      <c r="J133" s="89" t="str">
        <f>IF(B133=B134,"",SUM($I$4:I133)/SUM($F$4:F133))</f>
        <v/>
      </c>
      <c r="K133"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33"/>
      <c r="M133" s="24">
        <f t="shared" si="6"/>
        <v>0</v>
      </c>
      <c r="N133" s="1" t="str">
        <f>COUNTIFS(Reinvest[Date],M133,Reinvest[Result],"W")&amp;"-"&amp;COUNTIFS(Reinvest[Date],M133,Reinvest[Result],"L")&amp;IF(COUNTIFS(Reinvest[Date],M133,Reinvest[Result],"Push")&gt;0,"-"&amp;COUNTIFS(Reinvest[Date],M133,Reinvest[Result],"Push"),"")</f>
        <v>0-0</v>
      </c>
      <c r="O133" s="25" t="str">
        <f>IFERROR(COUNTIFS(Reinvest[Date],M133,Reinvest[Result],"W")/(COUNTIFS(Reinvest[Date],M133,Reinvest[Result],"W")+COUNTIFS(Reinvest[Date],M133,Reinvest[Result],"L")),"")</f>
        <v/>
      </c>
      <c r="P133" s="26">
        <f>SUMIF(Reinvest[Date],M133,Reinvest[Net])</f>
        <v>0</v>
      </c>
      <c r="Q133" s="27" t="str">
        <f>IFERROR("("&amp;ROUND((SUMIF(Reinvest[Date],M133,Reinvest[Net])-SUMIF(Reinvest[Date],M133,Reinvest[Risk]))/SUMIF(Reinvest[Date],M133,Reinvest[Risk]),2)*100&amp;"%)","")</f>
        <v/>
      </c>
    </row>
    <row r="134" spans="1:17" x14ac:dyDescent="0.25">
      <c r="A134" s="13">
        <f t="shared" si="7"/>
        <v>15</v>
      </c>
      <c r="B134" s="17">
        <v>43684</v>
      </c>
      <c r="C134" s="17" t="s">
        <v>802</v>
      </c>
      <c r="D134" s="18" t="s">
        <v>3783</v>
      </c>
      <c r="E134" s="11" t="s">
        <v>897</v>
      </c>
      <c r="F134" s="19">
        <v>22.81</v>
      </c>
      <c r="G134" s="37">
        <v>-360</v>
      </c>
      <c r="H134" s="21" t="s">
        <v>262</v>
      </c>
      <c r="I134" s="45">
        <f>IFERROR(ROUND(IF(Reinvest[[#This Row],[Result]]="L",0-Reinvest[[#This Row],[Risk]],IF(Reinvest[[#This Row],[Result]]="Push",0,IF(Reinvest[[#This Row],[Result]]="No Action",0,IF(Reinvest[[#This Row],[Result]]="W",IF(Reinvest[[#This Row],[Odds]]&gt;0,Reinvest[[#This Row],[Odds]]/100*Reinvest[[#This Row],[Risk]],(Reinvest[[#This Row],[Risk]]/Reinvest[[#This Row],[Odds]]*-100)),"")))),2),"")</f>
        <v>6.34</v>
      </c>
      <c r="J134" s="89" t="str">
        <f>IF(B134=B135,"",SUM($I$4:I134)/SUM($F$4:F134))</f>
        <v/>
      </c>
      <c r="K13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34"/>
      <c r="M134" s="24">
        <f t="shared" si="6"/>
        <v>0</v>
      </c>
      <c r="N134" s="1" t="str">
        <f>COUNTIFS(Reinvest[Date],M134,Reinvest[Result],"W")&amp;"-"&amp;COUNTIFS(Reinvest[Date],M134,Reinvest[Result],"L")&amp;IF(COUNTIFS(Reinvest[Date],M134,Reinvest[Result],"Push")&gt;0,"-"&amp;COUNTIFS(Reinvest[Date],M134,Reinvest[Result],"Push"),"")</f>
        <v>0-0</v>
      </c>
      <c r="O134" s="25" t="str">
        <f>IFERROR(COUNTIFS(Reinvest[Date],M134,Reinvest[Result],"W")/(COUNTIFS(Reinvest[Date],M134,Reinvest[Result],"W")+COUNTIFS(Reinvest[Date],M134,Reinvest[Result],"L")),"")</f>
        <v/>
      </c>
      <c r="P134" s="26">
        <f>SUMIF(Reinvest[Date],M134,Reinvest[Net])</f>
        <v>0</v>
      </c>
      <c r="Q134" s="27" t="str">
        <f>IFERROR("("&amp;ROUND((SUMIF(Reinvest[Date],M134,Reinvest[Net])-SUMIF(Reinvest[Date],M134,Reinvest[Risk]))/SUMIF(Reinvest[Date],M134,Reinvest[Risk]),2)*100&amp;"%)","")</f>
        <v/>
      </c>
    </row>
    <row r="135" spans="1:17" x14ac:dyDescent="0.25">
      <c r="A135" s="13">
        <f t="shared" si="7"/>
        <v>15</v>
      </c>
      <c r="B135" s="17">
        <v>43684</v>
      </c>
      <c r="C135" s="17" t="s">
        <v>802</v>
      </c>
      <c r="D135" s="18" t="s">
        <v>3756</v>
      </c>
      <c r="E135" s="11" t="s">
        <v>834</v>
      </c>
      <c r="F135" s="19">
        <v>17.55</v>
      </c>
      <c r="G135" s="37" t="s">
        <v>868</v>
      </c>
      <c r="H135" s="21" t="s">
        <v>263</v>
      </c>
      <c r="I135" s="45">
        <f>IFERROR(ROUND(IF(Reinvest[[#This Row],[Result]]="L",0-Reinvest[[#This Row],[Risk]],IF(Reinvest[[#This Row],[Result]]="Push",0,IF(Reinvest[[#This Row],[Result]]="No Action",0,IF(Reinvest[[#This Row],[Result]]="W",IF(Reinvest[[#This Row],[Odds]]&gt;0,Reinvest[[#This Row],[Odds]]/100*Reinvest[[#This Row],[Risk]],(Reinvest[[#This Row],[Risk]]/Reinvest[[#This Row],[Odds]]*-100)),"")))),2),"")</f>
        <v>-17.55</v>
      </c>
      <c r="J135" s="89" t="str">
        <f>IF(B135=B136,"",SUM($I$4:I135)/SUM($F$4:F135))</f>
        <v/>
      </c>
      <c r="K135"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135"/>
      <c r="M135" s="24">
        <f t="shared" si="6"/>
        <v>0</v>
      </c>
      <c r="N135" s="1" t="str">
        <f>COUNTIFS(Reinvest[Date],M135,Reinvest[Result],"W")&amp;"-"&amp;COUNTIFS(Reinvest[Date],M135,Reinvest[Result],"L")&amp;IF(COUNTIFS(Reinvest[Date],M135,Reinvest[Result],"Push")&gt;0,"-"&amp;COUNTIFS(Reinvest[Date],M135,Reinvest[Result],"Push"),"")</f>
        <v>0-0</v>
      </c>
      <c r="O135" s="25" t="str">
        <f>IFERROR(COUNTIFS(Reinvest[Date],M135,Reinvest[Result],"W")/(COUNTIFS(Reinvest[Date],M135,Reinvest[Result],"W")+COUNTIFS(Reinvest[Date],M135,Reinvest[Result],"L")),"")</f>
        <v/>
      </c>
      <c r="P135" s="26">
        <f>SUMIF(Reinvest[Date],M135,Reinvest[Net])</f>
        <v>0</v>
      </c>
      <c r="Q135" s="27" t="str">
        <f>IFERROR("("&amp;ROUND((SUMIF(Reinvest[Date],M135,Reinvest[Net])-SUMIF(Reinvest[Date],M135,Reinvest[Risk]))/SUMIF(Reinvest[Date],M135,Reinvest[Risk]),2)*100&amp;"%)","")</f>
        <v/>
      </c>
    </row>
    <row r="136" spans="1:17" x14ac:dyDescent="0.25">
      <c r="A136" s="13">
        <f t="shared" si="7"/>
        <v>15</v>
      </c>
      <c r="B136" s="17">
        <v>43684</v>
      </c>
      <c r="C136" s="17" t="s">
        <v>802</v>
      </c>
      <c r="D136" s="18" t="s">
        <v>3806</v>
      </c>
      <c r="E136" s="11" t="s">
        <v>810</v>
      </c>
      <c r="F136" s="19">
        <v>21</v>
      </c>
      <c r="G136" s="37">
        <v>-103</v>
      </c>
      <c r="H136" s="21" t="s">
        <v>263</v>
      </c>
      <c r="I136" s="45">
        <f>IFERROR(ROUND(IF(Reinvest[[#This Row],[Result]]="L",0-Reinvest[[#This Row],[Risk]],IF(Reinvest[[#This Row],[Result]]="Push",0,IF(Reinvest[[#This Row],[Result]]="No Action",0,IF(Reinvest[[#This Row],[Result]]="W",IF(Reinvest[[#This Row],[Odds]]&gt;0,Reinvest[[#This Row],[Odds]]/100*Reinvest[[#This Row],[Risk]],(Reinvest[[#This Row],[Risk]]/Reinvest[[#This Row],[Odds]]*-100)),"")))),2),"")</f>
        <v>-21</v>
      </c>
      <c r="J136" s="89" t="str">
        <f>IF(B136=B137,"",SUM($I$4:I136)/SUM($F$4:F136))</f>
        <v/>
      </c>
      <c r="K136"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36"/>
      <c r="M136" s="24">
        <f t="shared" si="6"/>
        <v>0</v>
      </c>
      <c r="N136" s="1" t="str">
        <f>COUNTIFS(Reinvest[Date],M136,Reinvest[Result],"W")&amp;"-"&amp;COUNTIFS(Reinvest[Date],M136,Reinvest[Result],"L")&amp;IF(COUNTIFS(Reinvest[Date],M136,Reinvest[Result],"Push")&gt;0,"-"&amp;COUNTIFS(Reinvest[Date],M136,Reinvest[Result],"Push"),"")</f>
        <v>0-0</v>
      </c>
      <c r="O136" s="25" t="str">
        <f>IFERROR(COUNTIFS(Reinvest[Date],M136,Reinvest[Result],"W")/(COUNTIFS(Reinvest[Date],M136,Reinvest[Result],"W")+COUNTIFS(Reinvest[Date],M136,Reinvest[Result],"L")),"")</f>
        <v/>
      </c>
      <c r="P136" s="26">
        <f>SUMIF(Reinvest[Date],M136,Reinvest[Net])</f>
        <v>0</v>
      </c>
      <c r="Q136" s="27" t="str">
        <f>IFERROR("("&amp;ROUND((SUMIF(Reinvest[Date],M136,Reinvest[Net])-SUMIF(Reinvest[Date],M136,Reinvest[Risk]))/SUMIF(Reinvest[Date],M136,Reinvest[Risk]),2)*100&amp;"%)","")</f>
        <v/>
      </c>
    </row>
    <row r="137" spans="1:17" x14ac:dyDescent="0.25">
      <c r="A137" s="13">
        <f t="shared" si="7"/>
        <v>15</v>
      </c>
      <c r="B137" s="17">
        <v>43684</v>
      </c>
      <c r="C137" s="17" t="s">
        <v>802</v>
      </c>
      <c r="D137" s="18" t="s">
        <v>3807</v>
      </c>
      <c r="E137" s="11" t="s">
        <v>1152</v>
      </c>
      <c r="F137" s="19">
        <v>20.010000000000002</v>
      </c>
      <c r="G137" s="37">
        <v>-159</v>
      </c>
      <c r="H137" s="21" t="s">
        <v>263</v>
      </c>
      <c r="I137" s="45">
        <f>IFERROR(ROUND(IF(Reinvest[[#This Row],[Result]]="L",0-Reinvest[[#This Row],[Risk]],IF(Reinvest[[#This Row],[Result]]="Push",0,IF(Reinvest[[#This Row],[Result]]="No Action",0,IF(Reinvest[[#This Row],[Result]]="W",IF(Reinvest[[#This Row],[Odds]]&gt;0,Reinvest[[#This Row],[Odds]]/100*Reinvest[[#This Row],[Risk]],(Reinvest[[#This Row],[Risk]]/Reinvest[[#This Row],[Odds]]*-100)),"")))),2),"")</f>
        <v>-20.010000000000002</v>
      </c>
      <c r="J137" s="89" t="str">
        <f>IF(B137=B138,"",SUM($I$4:I137)/SUM($F$4:F137))</f>
        <v/>
      </c>
      <c r="K137"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37"/>
      <c r="M137" s="24">
        <f t="shared" si="6"/>
        <v>0</v>
      </c>
      <c r="N137" s="1" t="str">
        <f>COUNTIFS(Reinvest[Date],M137,Reinvest[Result],"W")&amp;"-"&amp;COUNTIFS(Reinvest[Date],M137,Reinvest[Result],"L")&amp;IF(COUNTIFS(Reinvest[Date],M137,Reinvest[Result],"Push")&gt;0,"-"&amp;COUNTIFS(Reinvest[Date],M137,Reinvest[Result],"Push"),"")</f>
        <v>0-0</v>
      </c>
      <c r="O137" s="25" t="str">
        <f>IFERROR(COUNTIFS(Reinvest[Date],M137,Reinvest[Result],"W")/(COUNTIFS(Reinvest[Date],M137,Reinvest[Result],"W")+COUNTIFS(Reinvest[Date],M137,Reinvest[Result],"L")),"")</f>
        <v/>
      </c>
      <c r="P137" s="26">
        <f>SUMIF(Reinvest[Date],M137,Reinvest[Net])</f>
        <v>0</v>
      </c>
      <c r="Q137" s="27" t="str">
        <f>IFERROR("("&amp;ROUND((SUMIF(Reinvest[Date],M137,Reinvest[Net])-SUMIF(Reinvest[Date],M137,Reinvest[Risk]))/SUMIF(Reinvest[Date],M137,Reinvest[Risk]),2)*100&amp;"%)","")</f>
        <v/>
      </c>
    </row>
    <row r="138" spans="1:17" x14ac:dyDescent="0.25">
      <c r="A138" s="13">
        <f t="shared" si="7"/>
        <v>15</v>
      </c>
      <c r="B138" s="17">
        <v>43684</v>
      </c>
      <c r="C138" s="17" t="s">
        <v>802</v>
      </c>
      <c r="D138" s="18" t="s">
        <v>1285</v>
      </c>
      <c r="E138" s="11" t="s">
        <v>832</v>
      </c>
      <c r="F138" s="19">
        <v>21.51</v>
      </c>
      <c r="G138" s="37">
        <v>-250</v>
      </c>
      <c r="H138" s="21" t="s">
        <v>262</v>
      </c>
      <c r="I138" s="45">
        <f>IFERROR(ROUND(IF(Reinvest[[#This Row],[Result]]="L",0-Reinvest[[#This Row],[Risk]],IF(Reinvest[[#This Row],[Result]]="Push",0,IF(Reinvest[[#This Row],[Result]]="No Action",0,IF(Reinvest[[#This Row],[Result]]="W",IF(Reinvest[[#This Row],[Odds]]&gt;0,Reinvest[[#This Row],[Odds]]/100*Reinvest[[#This Row],[Risk]],(Reinvest[[#This Row],[Risk]]/Reinvest[[#This Row],[Odds]]*-100)),"")))),2),"")</f>
        <v>8.6</v>
      </c>
      <c r="J138" s="89" t="str">
        <f>IF(B138=B139,"",SUM($I$4:I138)/SUM($F$4:F138))</f>
        <v/>
      </c>
      <c r="K138"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38"/>
      <c r="M138" s="24">
        <f t="shared" si="6"/>
        <v>0</v>
      </c>
      <c r="N138" s="1" t="str">
        <f>COUNTIFS(Reinvest[Date],M138,Reinvest[Result],"W")&amp;"-"&amp;COUNTIFS(Reinvest[Date],M138,Reinvest[Result],"L")&amp;IF(COUNTIFS(Reinvest[Date],M138,Reinvest[Result],"Push")&gt;0,"-"&amp;COUNTIFS(Reinvest[Date],M138,Reinvest[Result],"Push"),"")</f>
        <v>0-0</v>
      </c>
      <c r="O138" s="25" t="str">
        <f>IFERROR(COUNTIFS(Reinvest[Date],M138,Reinvest[Result],"W")/(COUNTIFS(Reinvest[Date],M138,Reinvest[Result],"W")+COUNTIFS(Reinvest[Date],M138,Reinvest[Result],"L")),"")</f>
        <v/>
      </c>
      <c r="P138" s="26">
        <f>SUMIF(Reinvest[Date],M138,Reinvest[Net])</f>
        <v>0</v>
      </c>
      <c r="Q138" s="27" t="str">
        <f>IFERROR("("&amp;ROUND((SUMIF(Reinvest[Date],M138,Reinvest[Net])-SUMIF(Reinvest[Date],M138,Reinvest[Risk]))/SUMIF(Reinvest[Date],M138,Reinvest[Risk]),2)*100&amp;"%)","")</f>
        <v/>
      </c>
    </row>
    <row r="139" spans="1:17" x14ac:dyDescent="0.25">
      <c r="A139" s="13">
        <f t="shared" si="7"/>
        <v>15</v>
      </c>
      <c r="B139" s="17">
        <v>43684</v>
      </c>
      <c r="C139" s="17" t="s">
        <v>802</v>
      </c>
      <c r="D139" s="18" t="s">
        <v>3755</v>
      </c>
      <c r="E139" s="11" t="s">
        <v>1210</v>
      </c>
      <c r="F139" s="19">
        <v>22.83</v>
      </c>
      <c r="G139" s="37">
        <v>-315</v>
      </c>
      <c r="H139" s="21" t="s">
        <v>846</v>
      </c>
      <c r="I139" s="45">
        <f>IFERROR(ROUND(IF(Reinvest[[#This Row],[Result]]="L",0-Reinvest[[#This Row],[Risk]],IF(Reinvest[[#This Row],[Result]]="Push",0,IF(Reinvest[[#This Row],[Result]]="No Action",0,IF(Reinvest[[#This Row],[Result]]="W",IF(Reinvest[[#This Row],[Odds]]&gt;0,Reinvest[[#This Row],[Odds]]/100*Reinvest[[#This Row],[Risk]],(Reinvest[[#This Row],[Risk]]/Reinvest[[#This Row],[Odds]]*-100)),"")))),2),"")</f>
        <v>0</v>
      </c>
      <c r="J139" s="89" t="str">
        <f>IF(B139=B140,"",SUM($I$4:I139)/SUM($F$4:F139))</f>
        <v/>
      </c>
      <c r="K139"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39"/>
      <c r="M139" s="24">
        <f t="shared" si="6"/>
        <v>0</v>
      </c>
      <c r="N139" s="1" t="str">
        <f>COUNTIFS(Reinvest[Date],M139,Reinvest[Result],"W")&amp;"-"&amp;COUNTIFS(Reinvest[Date],M139,Reinvest[Result],"L")&amp;IF(COUNTIFS(Reinvest[Date],M139,Reinvest[Result],"Push")&gt;0,"-"&amp;COUNTIFS(Reinvest[Date],M139,Reinvest[Result],"Push"),"")</f>
        <v>0-0</v>
      </c>
      <c r="O139" s="25" t="str">
        <f>IFERROR(COUNTIFS(Reinvest[Date],M139,Reinvest[Result],"W")/(COUNTIFS(Reinvest[Date],M139,Reinvest[Result],"W")+COUNTIFS(Reinvest[Date],M139,Reinvest[Result],"L")),"")</f>
        <v/>
      </c>
      <c r="P139" s="26">
        <f>SUMIF(Reinvest[Date],M139,Reinvest[Net])</f>
        <v>0</v>
      </c>
      <c r="Q139" s="27" t="str">
        <f>IFERROR("("&amp;ROUND((SUMIF(Reinvest[Date],M139,Reinvest[Net])-SUMIF(Reinvest[Date],M139,Reinvest[Risk]))/SUMIF(Reinvest[Date],M139,Reinvest[Risk]),2)*100&amp;"%)","")</f>
        <v/>
      </c>
    </row>
    <row r="140" spans="1:17" x14ac:dyDescent="0.25">
      <c r="A140" s="13">
        <f t="shared" si="7"/>
        <v>15</v>
      </c>
      <c r="B140" s="17">
        <v>43684</v>
      </c>
      <c r="C140" s="17" t="s">
        <v>802</v>
      </c>
      <c r="D140" s="18" t="s">
        <v>3783</v>
      </c>
      <c r="E140" s="11" t="s">
        <v>845</v>
      </c>
      <c r="F140" s="19">
        <v>19</v>
      </c>
      <c r="G140" s="37">
        <v>-115</v>
      </c>
      <c r="H140" s="21" t="s">
        <v>262</v>
      </c>
      <c r="I140" s="45">
        <f>IFERROR(ROUND(IF(Reinvest[[#This Row],[Result]]="L",0-Reinvest[[#This Row],[Risk]],IF(Reinvest[[#This Row],[Result]]="Push",0,IF(Reinvest[[#This Row],[Result]]="No Action",0,IF(Reinvest[[#This Row],[Result]]="W",IF(Reinvest[[#This Row],[Odds]]&gt;0,Reinvest[[#This Row],[Odds]]/100*Reinvest[[#This Row],[Risk]],(Reinvest[[#This Row],[Risk]]/Reinvest[[#This Row],[Odds]]*-100)),"")))),2),"")</f>
        <v>16.52</v>
      </c>
      <c r="J140" s="89" t="str">
        <f>IF(B140=B141,"",SUM($I$4:I140)/SUM($F$4:F140))</f>
        <v/>
      </c>
      <c r="K140"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140"/>
      <c r="M140" s="24">
        <f t="shared" si="6"/>
        <v>0</v>
      </c>
      <c r="N140" s="1" t="str">
        <f>COUNTIFS(Reinvest[Date],M140,Reinvest[Result],"W")&amp;"-"&amp;COUNTIFS(Reinvest[Date],M140,Reinvest[Result],"L")&amp;IF(COUNTIFS(Reinvest[Date],M140,Reinvest[Result],"Push")&gt;0,"-"&amp;COUNTIFS(Reinvest[Date],M140,Reinvest[Result],"Push"),"")</f>
        <v>0-0</v>
      </c>
      <c r="O140" s="25" t="str">
        <f>IFERROR(COUNTIFS(Reinvest[Date],M140,Reinvest[Result],"W")/(COUNTIFS(Reinvest[Date],M140,Reinvest[Result],"W")+COUNTIFS(Reinvest[Date],M140,Reinvest[Result],"L")),"")</f>
        <v/>
      </c>
      <c r="P140" s="26">
        <f>SUMIF(Reinvest[Date],M140,Reinvest[Net])</f>
        <v>0</v>
      </c>
      <c r="Q140" s="27" t="str">
        <f>IFERROR("("&amp;ROUND((SUMIF(Reinvest[Date],M140,Reinvest[Net])-SUMIF(Reinvest[Date],M140,Reinvest[Risk]))/SUMIF(Reinvest[Date],M140,Reinvest[Risk]),2)*100&amp;"%)","")</f>
        <v/>
      </c>
    </row>
    <row r="141" spans="1:17" x14ac:dyDescent="0.25">
      <c r="A141" s="13">
        <f t="shared" si="7"/>
        <v>15</v>
      </c>
      <c r="B141" s="17">
        <v>43684</v>
      </c>
      <c r="C141" s="17" t="s">
        <v>802</v>
      </c>
      <c r="D141" s="18" t="s">
        <v>3806</v>
      </c>
      <c r="E141" s="11" t="s">
        <v>905</v>
      </c>
      <c r="F141" s="19">
        <v>23.92</v>
      </c>
      <c r="G141" s="37">
        <v>-115</v>
      </c>
      <c r="H141" s="21" t="s">
        <v>263</v>
      </c>
      <c r="I141" s="45">
        <f>IFERROR(ROUND(IF(Reinvest[[#This Row],[Result]]="L",0-Reinvest[[#This Row],[Risk]],IF(Reinvest[[#This Row],[Result]]="Push",0,IF(Reinvest[[#This Row],[Result]]="No Action",0,IF(Reinvest[[#This Row],[Result]]="W",IF(Reinvest[[#This Row],[Odds]]&gt;0,Reinvest[[#This Row],[Odds]]/100*Reinvest[[#This Row],[Risk]],(Reinvest[[#This Row],[Risk]]/Reinvest[[#This Row],[Odds]]*-100)),"")))),2),"")</f>
        <v>-23.92</v>
      </c>
      <c r="J141" s="89" t="str">
        <f>IF(B141=B142,"",SUM($I$4:I141)/SUM($F$4:F141))</f>
        <v/>
      </c>
      <c r="K141"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141"/>
      <c r="M141" s="24">
        <f t="shared" si="6"/>
        <v>0</v>
      </c>
      <c r="N141" s="1" t="str">
        <f>COUNTIFS(Reinvest[Date],M141,Reinvest[Result],"W")&amp;"-"&amp;COUNTIFS(Reinvest[Date],M141,Reinvest[Result],"L")&amp;IF(COUNTIFS(Reinvest[Date],M141,Reinvest[Result],"Push")&gt;0,"-"&amp;COUNTIFS(Reinvest[Date],M141,Reinvest[Result],"Push"),"")</f>
        <v>0-0</v>
      </c>
      <c r="O141" s="25" t="str">
        <f>IFERROR(COUNTIFS(Reinvest[Date],M141,Reinvest[Result],"W")/(COUNTIFS(Reinvest[Date],M141,Reinvest[Result],"W")+COUNTIFS(Reinvest[Date],M141,Reinvest[Result],"L")),"")</f>
        <v/>
      </c>
      <c r="P141" s="26">
        <f>SUMIF(Reinvest[Date],M141,Reinvest[Net])</f>
        <v>0</v>
      </c>
      <c r="Q141" s="27" t="str">
        <f>IFERROR("("&amp;ROUND((SUMIF(Reinvest[Date],M141,Reinvest[Net])-SUMIF(Reinvest[Date],M141,Reinvest[Risk]))/SUMIF(Reinvest[Date],M141,Reinvest[Risk]),2)*100&amp;"%)","")</f>
        <v/>
      </c>
    </row>
    <row r="142" spans="1:17" x14ac:dyDescent="0.25">
      <c r="A142" s="13">
        <f t="shared" si="7"/>
        <v>15</v>
      </c>
      <c r="B142" s="17">
        <v>43684</v>
      </c>
      <c r="C142" s="17" t="s">
        <v>802</v>
      </c>
      <c r="D142" s="18" t="s">
        <v>1285</v>
      </c>
      <c r="E142" s="11" t="s">
        <v>1156</v>
      </c>
      <c r="F142" s="19">
        <v>17.09</v>
      </c>
      <c r="G142" s="37">
        <v>-115</v>
      </c>
      <c r="H142" s="21" t="s">
        <v>262</v>
      </c>
      <c r="I142" s="45">
        <f>IFERROR(ROUND(IF(Reinvest[[#This Row],[Result]]="L",0-Reinvest[[#This Row],[Risk]],IF(Reinvest[[#This Row],[Result]]="Push",0,IF(Reinvest[[#This Row],[Result]]="No Action",0,IF(Reinvest[[#This Row],[Result]]="W",IF(Reinvest[[#This Row],[Odds]]&gt;0,Reinvest[[#This Row],[Odds]]/100*Reinvest[[#This Row],[Risk]],(Reinvest[[#This Row],[Risk]]/Reinvest[[#This Row],[Odds]]*-100)),"")))),2),"")</f>
        <v>14.86</v>
      </c>
      <c r="J142" s="89">
        <f>IF(B142=B143,"",SUM($I$4:I142)/SUM($F$4:F142))</f>
        <v>-5.8047037415432596E-3</v>
      </c>
      <c r="K142"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142"/>
      <c r="M142" s="24">
        <f t="shared" si="6"/>
        <v>0</v>
      </c>
      <c r="N142" s="1" t="str">
        <f>COUNTIFS(Reinvest[Date],M142,Reinvest[Result],"W")&amp;"-"&amp;COUNTIFS(Reinvest[Date],M142,Reinvest[Result],"L")&amp;IF(COUNTIFS(Reinvest[Date],M142,Reinvest[Result],"Push")&gt;0,"-"&amp;COUNTIFS(Reinvest[Date],M142,Reinvest[Result],"Push"),"")</f>
        <v>0-0</v>
      </c>
      <c r="O142" s="25" t="str">
        <f>IFERROR(COUNTIFS(Reinvest[Date],M142,Reinvest[Result],"W")/(COUNTIFS(Reinvest[Date],M142,Reinvest[Result],"W")+COUNTIFS(Reinvest[Date],M142,Reinvest[Result],"L")),"")</f>
        <v/>
      </c>
      <c r="P142" s="26">
        <f>SUMIF(Reinvest[Date],M142,Reinvest[Net])</f>
        <v>0</v>
      </c>
      <c r="Q142" s="27" t="str">
        <f>IFERROR("("&amp;ROUND((SUMIF(Reinvest[Date],M142,Reinvest[Net])-SUMIF(Reinvest[Date],M142,Reinvest[Risk]))/SUMIF(Reinvest[Date],M142,Reinvest[Risk]),2)*100&amp;"%)","")</f>
        <v/>
      </c>
    </row>
    <row r="143" spans="1:17" x14ac:dyDescent="0.25">
      <c r="A143" s="13">
        <f t="shared" si="7"/>
        <v>16</v>
      </c>
      <c r="B143" s="17">
        <v>43685</v>
      </c>
      <c r="C143" s="17" t="s">
        <v>802</v>
      </c>
      <c r="D143" s="18" t="s">
        <v>3828</v>
      </c>
      <c r="E143" s="11" t="s">
        <v>832</v>
      </c>
      <c r="F143" s="19">
        <v>23.32</v>
      </c>
      <c r="G143" s="37">
        <v>-200</v>
      </c>
      <c r="H143" s="37" t="s">
        <v>262</v>
      </c>
      <c r="I143" s="45">
        <f>IFERROR(ROUND(IF(Reinvest[[#This Row],[Result]]="L",0-Reinvest[[#This Row],[Risk]],IF(Reinvest[[#This Row],[Result]]="Push",0,IF(Reinvest[[#This Row],[Result]]="No Action",0,IF(Reinvest[[#This Row],[Result]]="W",IF(Reinvest[[#This Row],[Odds]]&gt;0,Reinvest[[#This Row],[Odds]]/100*Reinvest[[#This Row],[Risk]],(Reinvest[[#This Row],[Risk]]/Reinvest[[#This Row],[Odds]]*-100)),"")))),2),"")</f>
        <v>11.66</v>
      </c>
      <c r="J143" s="89" t="str">
        <f>IF(B143=B144,"",SUM($I$4:I143)/SUM($F$4:F143))</f>
        <v/>
      </c>
      <c r="K143"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43"/>
      <c r="M143" s="24">
        <f t="shared" si="6"/>
        <v>0</v>
      </c>
      <c r="N143" s="1" t="str">
        <f>COUNTIFS(Reinvest[Date],M143,Reinvest[Result],"W")&amp;"-"&amp;COUNTIFS(Reinvest[Date],M143,Reinvest[Result],"L")&amp;IF(COUNTIFS(Reinvest[Date],M143,Reinvest[Result],"Push")&gt;0,"-"&amp;COUNTIFS(Reinvest[Date],M143,Reinvest[Result],"Push"),"")</f>
        <v>0-0</v>
      </c>
      <c r="O143" s="25" t="str">
        <f>IFERROR(COUNTIFS(Reinvest[Date],M143,Reinvest[Result],"W")/(COUNTIFS(Reinvest[Date],M143,Reinvest[Result],"W")+COUNTIFS(Reinvest[Date],M143,Reinvest[Result],"L")),"")</f>
        <v/>
      </c>
      <c r="P143" s="26">
        <f>SUMIF(Reinvest[Date],M143,Reinvest[Net])</f>
        <v>0</v>
      </c>
      <c r="Q143" s="27" t="str">
        <f>IFERROR("("&amp;ROUND((SUMIF(Reinvest[Date],M143,Reinvest[Net])-SUMIF(Reinvest[Date],M143,Reinvest[Risk]))/SUMIF(Reinvest[Date],M143,Reinvest[Risk]),2)*100&amp;"%)","")</f>
        <v/>
      </c>
    </row>
    <row r="144" spans="1:17" x14ac:dyDescent="0.25">
      <c r="A144" s="13">
        <f t="shared" si="7"/>
        <v>16</v>
      </c>
      <c r="B144" s="17">
        <v>43685</v>
      </c>
      <c r="C144" s="17" t="s">
        <v>802</v>
      </c>
      <c r="D144" s="18" t="s">
        <v>3829</v>
      </c>
      <c r="E144" s="11" t="s">
        <v>3507</v>
      </c>
      <c r="F144" s="19">
        <v>14.62</v>
      </c>
      <c r="G144" s="37" t="s">
        <v>813</v>
      </c>
      <c r="H144" s="37" t="s">
        <v>263</v>
      </c>
      <c r="I144" s="45">
        <f>IFERROR(ROUND(IF(Reinvest[[#This Row],[Result]]="L",0-Reinvest[[#This Row],[Risk]],IF(Reinvest[[#This Row],[Result]]="Push",0,IF(Reinvest[[#This Row],[Result]]="No Action",0,IF(Reinvest[[#This Row],[Result]]="W",IF(Reinvest[[#This Row],[Odds]]&gt;0,Reinvest[[#This Row],[Odds]]/100*Reinvest[[#This Row],[Risk]],(Reinvest[[#This Row],[Risk]]/Reinvest[[#This Row],[Odds]]*-100)),"")))),2),"")</f>
        <v>-14.62</v>
      </c>
      <c r="J144" s="89" t="str">
        <f>IF(B144=B145,"",SUM($I$4:I144)/SUM($F$4:F144))</f>
        <v/>
      </c>
      <c r="K14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144"/>
      <c r="M144" s="24">
        <f t="shared" si="6"/>
        <v>0</v>
      </c>
      <c r="N144" s="1" t="str">
        <f>COUNTIFS(Reinvest[Date],M144,Reinvest[Result],"W")&amp;"-"&amp;COUNTIFS(Reinvest[Date],M144,Reinvest[Result],"L")&amp;IF(COUNTIFS(Reinvest[Date],M144,Reinvest[Result],"Push")&gt;0,"-"&amp;COUNTIFS(Reinvest[Date],M144,Reinvest[Result],"Push"),"")</f>
        <v>0-0</v>
      </c>
      <c r="O144" s="25" t="str">
        <f>IFERROR(COUNTIFS(Reinvest[Date],M144,Reinvest[Result],"W")/(COUNTIFS(Reinvest[Date],M144,Reinvest[Result],"W")+COUNTIFS(Reinvest[Date],M144,Reinvest[Result],"L")),"")</f>
        <v/>
      </c>
      <c r="P144" s="26">
        <f>SUMIF(Reinvest[Date],M144,Reinvest[Net])</f>
        <v>0</v>
      </c>
      <c r="Q144" s="27" t="str">
        <f>IFERROR("("&amp;ROUND((SUMIF(Reinvest[Date],M144,Reinvest[Net])-SUMIF(Reinvest[Date],M144,Reinvest[Risk]))/SUMIF(Reinvest[Date],M144,Reinvest[Risk]),2)*100&amp;"%)","")</f>
        <v/>
      </c>
    </row>
    <row r="145" spans="1:17" x14ac:dyDescent="0.25">
      <c r="A145" s="13">
        <f t="shared" si="7"/>
        <v>16</v>
      </c>
      <c r="B145" s="17">
        <v>43685</v>
      </c>
      <c r="C145" s="17" t="s">
        <v>802</v>
      </c>
      <c r="D145" s="18" t="s">
        <v>3830</v>
      </c>
      <c r="E145" s="11" t="s">
        <v>815</v>
      </c>
      <c r="F145" s="19">
        <v>23</v>
      </c>
      <c r="G145" s="37">
        <v>-200</v>
      </c>
      <c r="H145" s="37" t="s">
        <v>263</v>
      </c>
      <c r="I145" s="45">
        <f>IFERROR(ROUND(IF(Reinvest[[#This Row],[Result]]="L",0-Reinvest[[#This Row],[Risk]],IF(Reinvest[[#This Row],[Result]]="Push",0,IF(Reinvest[[#This Row],[Result]]="No Action",0,IF(Reinvest[[#This Row],[Result]]="W",IF(Reinvest[[#This Row],[Odds]]&gt;0,Reinvest[[#This Row],[Odds]]/100*Reinvest[[#This Row],[Risk]],(Reinvest[[#This Row],[Risk]]/Reinvest[[#This Row],[Odds]]*-100)),"")))),2),"")</f>
        <v>-23</v>
      </c>
      <c r="J145" s="89" t="str">
        <f>IF(B145=B146,"",SUM($I$4:I145)/SUM($F$4:F145))</f>
        <v/>
      </c>
      <c r="K145"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45"/>
      <c r="M145" s="24">
        <f t="shared" si="6"/>
        <v>0</v>
      </c>
      <c r="N145" s="1" t="str">
        <f>COUNTIFS(Reinvest[Date],M145,Reinvest[Result],"W")&amp;"-"&amp;COUNTIFS(Reinvest[Date],M145,Reinvest[Result],"L")&amp;IF(COUNTIFS(Reinvest[Date],M145,Reinvest[Result],"Push")&gt;0,"-"&amp;COUNTIFS(Reinvest[Date],M145,Reinvest[Result],"Push"),"")</f>
        <v>0-0</v>
      </c>
      <c r="O145" s="25" t="str">
        <f>IFERROR(COUNTIFS(Reinvest[Date],M145,Reinvest[Result],"W")/(COUNTIFS(Reinvest[Date],M145,Reinvest[Result],"W")+COUNTIFS(Reinvest[Date],M145,Reinvest[Result],"L")),"")</f>
        <v/>
      </c>
      <c r="P145" s="26">
        <f>SUMIF(Reinvest[Date],M145,Reinvest[Net])</f>
        <v>0</v>
      </c>
      <c r="Q145" s="27" t="str">
        <f>IFERROR("("&amp;ROUND((SUMIF(Reinvest[Date],M145,Reinvest[Net])-SUMIF(Reinvest[Date],M145,Reinvest[Risk]))/SUMIF(Reinvest[Date],M145,Reinvest[Risk]),2)*100&amp;"%)","")</f>
        <v/>
      </c>
    </row>
    <row r="146" spans="1:17" x14ac:dyDescent="0.25">
      <c r="A146" s="13">
        <f t="shared" si="7"/>
        <v>16</v>
      </c>
      <c r="B146" s="17">
        <v>43685</v>
      </c>
      <c r="C146" s="17" t="s">
        <v>802</v>
      </c>
      <c r="D146" s="18" t="s">
        <v>3831</v>
      </c>
      <c r="E146" s="11" t="s">
        <v>1153</v>
      </c>
      <c r="F146" s="19">
        <v>19.059999999999999</v>
      </c>
      <c r="G146" s="37" t="s">
        <v>1551</v>
      </c>
      <c r="H146" s="37" t="s">
        <v>263</v>
      </c>
      <c r="I146" s="45">
        <f>IFERROR(ROUND(IF(Reinvest[[#This Row],[Result]]="L",0-Reinvest[[#This Row],[Risk]],IF(Reinvest[[#This Row],[Result]]="Push",0,IF(Reinvest[[#This Row],[Result]]="No Action",0,IF(Reinvest[[#This Row],[Result]]="W",IF(Reinvest[[#This Row],[Odds]]&gt;0,Reinvest[[#This Row],[Odds]]/100*Reinvest[[#This Row],[Risk]],(Reinvest[[#This Row],[Risk]]/Reinvest[[#This Row],[Odds]]*-100)),"")))),2),"")</f>
        <v>-19.059999999999999</v>
      </c>
      <c r="J146" s="89" t="str">
        <f>IF(B146=B147,"",SUM($I$4:I146)/SUM($F$4:F146))</f>
        <v/>
      </c>
      <c r="K146"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146"/>
      <c r="M146" s="24">
        <f t="shared" si="6"/>
        <v>0</v>
      </c>
      <c r="N146" s="1" t="str">
        <f>COUNTIFS(Reinvest[Date],M146,Reinvest[Result],"W")&amp;"-"&amp;COUNTIFS(Reinvest[Date],M146,Reinvest[Result],"L")&amp;IF(COUNTIFS(Reinvest[Date],M146,Reinvest[Result],"Push")&gt;0,"-"&amp;COUNTIFS(Reinvest[Date],M146,Reinvest[Result],"Push"),"")</f>
        <v>0-0</v>
      </c>
      <c r="O146" s="25" t="str">
        <f>IFERROR(COUNTIFS(Reinvest[Date],M146,Reinvest[Result],"W")/(COUNTIFS(Reinvest[Date],M146,Reinvest[Result],"W")+COUNTIFS(Reinvest[Date],M146,Reinvest[Result],"L")),"")</f>
        <v/>
      </c>
      <c r="P146" s="26">
        <f>SUMIF(Reinvest[Date],M146,Reinvest[Net])</f>
        <v>0</v>
      </c>
      <c r="Q146" s="27" t="str">
        <f>IFERROR("("&amp;ROUND((SUMIF(Reinvest[Date],M146,Reinvest[Net])-SUMIF(Reinvest[Date],M146,Reinvest[Risk]))/SUMIF(Reinvest[Date],M146,Reinvest[Risk]),2)*100&amp;"%)","")</f>
        <v/>
      </c>
    </row>
    <row r="147" spans="1:17" x14ac:dyDescent="0.25">
      <c r="A147" s="13">
        <f t="shared" si="7"/>
        <v>16</v>
      </c>
      <c r="B147" s="17">
        <v>43685</v>
      </c>
      <c r="C147" s="17" t="s">
        <v>802</v>
      </c>
      <c r="D147" s="18" t="s">
        <v>3828</v>
      </c>
      <c r="E147" s="11" t="s">
        <v>3595</v>
      </c>
      <c r="F147" s="19">
        <v>19.559999999999999</v>
      </c>
      <c r="G147" s="37">
        <v>-112</v>
      </c>
      <c r="H147" s="37" t="s">
        <v>262</v>
      </c>
      <c r="I147" s="45">
        <f>IFERROR(ROUND(IF(Reinvest[[#This Row],[Result]]="L",0-Reinvest[[#This Row],[Risk]],IF(Reinvest[[#This Row],[Result]]="Push",0,IF(Reinvest[[#This Row],[Result]]="No Action",0,IF(Reinvest[[#This Row],[Result]]="W",IF(Reinvest[[#This Row],[Odds]]&gt;0,Reinvest[[#This Row],[Odds]]/100*Reinvest[[#This Row],[Risk]],(Reinvest[[#This Row],[Risk]]/Reinvest[[#This Row],[Odds]]*-100)),"")))),2),"")</f>
        <v>17.46</v>
      </c>
      <c r="J147" s="89" t="str">
        <f>IF(B147=B148,"",SUM($I$4:I147)/SUM($F$4:F147))</f>
        <v/>
      </c>
      <c r="K147"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147"/>
      <c r="M147" s="24">
        <f t="shared" si="6"/>
        <v>0</v>
      </c>
      <c r="N147" s="1" t="str">
        <f>COUNTIFS(Reinvest[Date],M147,Reinvest[Result],"W")&amp;"-"&amp;COUNTIFS(Reinvest[Date],M147,Reinvest[Result],"L")&amp;IF(COUNTIFS(Reinvest[Date],M147,Reinvest[Result],"Push")&gt;0,"-"&amp;COUNTIFS(Reinvest[Date],M147,Reinvest[Result],"Push"),"")</f>
        <v>0-0</v>
      </c>
      <c r="O147" s="25" t="str">
        <f>IFERROR(COUNTIFS(Reinvest[Date],M147,Reinvest[Result],"W")/(COUNTIFS(Reinvest[Date],M147,Reinvest[Result],"W")+COUNTIFS(Reinvest[Date],M147,Reinvest[Result],"L")),"")</f>
        <v/>
      </c>
      <c r="P147" s="26">
        <f>SUMIF(Reinvest[Date],M147,Reinvest[Net])</f>
        <v>0</v>
      </c>
      <c r="Q147" s="27" t="str">
        <f>IFERROR("("&amp;ROUND((SUMIF(Reinvest[Date],M147,Reinvest[Net])-SUMIF(Reinvest[Date],M147,Reinvest[Risk]))/SUMIF(Reinvest[Date],M147,Reinvest[Risk]),2)*100&amp;"%)","")</f>
        <v/>
      </c>
    </row>
    <row r="148" spans="1:17" x14ac:dyDescent="0.25">
      <c r="A148" s="13">
        <f t="shared" si="7"/>
        <v>16</v>
      </c>
      <c r="B148" s="17">
        <v>43685</v>
      </c>
      <c r="C148" s="17" t="s">
        <v>802</v>
      </c>
      <c r="D148" s="18" t="s">
        <v>1246</v>
      </c>
      <c r="E148" s="11" t="s">
        <v>880</v>
      </c>
      <c r="F148" s="19">
        <v>19.72</v>
      </c>
      <c r="G148" s="37">
        <v>-117</v>
      </c>
      <c r="H148" s="37" t="s">
        <v>263</v>
      </c>
      <c r="I148" s="45">
        <f>IFERROR(ROUND(IF(Reinvest[[#This Row],[Result]]="L",0-Reinvest[[#This Row],[Risk]],IF(Reinvest[[#This Row],[Result]]="Push",0,IF(Reinvest[[#This Row],[Result]]="No Action",0,IF(Reinvest[[#This Row],[Result]]="W",IF(Reinvest[[#This Row],[Odds]]&gt;0,Reinvest[[#This Row],[Odds]]/100*Reinvest[[#This Row],[Risk]],(Reinvest[[#This Row],[Risk]]/Reinvest[[#This Row],[Odds]]*-100)),"")))),2),"")</f>
        <v>-19.72</v>
      </c>
      <c r="J148" s="89" t="str">
        <f>IF(B148=B149,"",SUM($I$4:I148)/SUM($F$4:F148))</f>
        <v/>
      </c>
      <c r="K148"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48"/>
      <c r="M148" s="24">
        <f t="shared" si="6"/>
        <v>0</v>
      </c>
      <c r="N148" s="1" t="str">
        <f>COUNTIFS(Reinvest[Date],M148,Reinvest[Result],"W")&amp;"-"&amp;COUNTIFS(Reinvest[Date],M148,Reinvest[Result],"L")&amp;IF(COUNTIFS(Reinvest[Date],M148,Reinvest[Result],"Push")&gt;0,"-"&amp;COUNTIFS(Reinvest[Date],M148,Reinvest[Result],"Push"),"")</f>
        <v>0-0</v>
      </c>
      <c r="O148" s="25" t="str">
        <f>IFERROR(COUNTIFS(Reinvest[Date],M148,Reinvest[Result],"W")/(COUNTIFS(Reinvest[Date],M148,Reinvest[Result],"W")+COUNTIFS(Reinvest[Date],M148,Reinvest[Result],"L")),"")</f>
        <v/>
      </c>
      <c r="P148" s="26">
        <f>SUMIF(Reinvest[Date],M148,Reinvest[Net])</f>
        <v>0</v>
      </c>
      <c r="Q148" s="27" t="str">
        <f>IFERROR("("&amp;ROUND((SUMIF(Reinvest[Date],M148,Reinvest[Net])-SUMIF(Reinvest[Date],M148,Reinvest[Risk]))/SUMIF(Reinvest[Date],M148,Reinvest[Risk]),2)*100&amp;"%)","")</f>
        <v/>
      </c>
    </row>
    <row r="149" spans="1:17" x14ac:dyDescent="0.25">
      <c r="A149" s="13">
        <f t="shared" si="7"/>
        <v>16</v>
      </c>
      <c r="B149" s="17">
        <v>43685</v>
      </c>
      <c r="C149" s="17" t="s">
        <v>802</v>
      </c>
      <c r="D149" s="18" t="s">
        <v>3832</v>
      </c>
      <c r="E149" s="11" t="s">
        <v>841</v>
      </c>
      <c r="F149" s="19">
        <v>19.2</v>
      </c>
      <c r="G149" s="37">
        <v>-103</v>
      </c>
      <c r="H149" s="37" t="s">
        <v>263</v>
      </c>
      <c r="I149" s="45">
        <f>IFERROR(ROUND(IF(Reinvest[[#This Row],[Result]]="L",0-Reinvest[[#This Row],[Risk]],IF(Reinvest[[#This Row],[Result]]="Push",0,IF(Reinvest[[#This Row],[Result]]="No Action",0,IF(Reinvest[[#This Row],[Result]]="W",IF(Reinvest[[#This Row],[Odds]]&gt;0,Reinvest[[#This Row],[Odds]]/100*Reinvest[[#This Row],[Risk]],(Reinvest[[#This Row],[Risk]]/Reinvest[[#This Row],[Odds]]*-100)),"")))),2),"")</f>
        <v>-19.2</v>
      </c>
      <c r="J149" s="89" t="str">
        <f>IF(B149=B150,"",SUM($I$4:I149)/SUM($F$4:F149))</f>
        <v/>
      </c>
      <c r="K149"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149"/>
      <c r="M149" s="24">
        <f t="shared" si="6"/>
        <v>0</v>
      </c>
      <c r="N149" s="1" t="str">
        <f>COUNTIFS(Reinvest[Date],M149,Reinvest[Result],"W")&amp;"-"&amp;COUNTIFS(Reinvest[Date],M149,Reinvest[Result],"L")&amp;IF(COUNTIFS(Reinvest[Date],M149,Reinvest[Result],"Push")&gt;0,"-"&amp;COUNTIFS(Reinvest[Date],M149,Reinvest[Result],"Push"),"")</f>
        <v>0-0</v>
      </c>
      <c r="O149" s="25" t="str">
        <f>IFERROR(COUNTIFS(Reinvest[Date],M149,Reinvest[Result],"W")/(COUNTIFS(Reinvest[Date],M149,Reinvest[Result],"W")+COUNTIFS(Reinvest[Date],M149,Reinvest[Result],"L")),"")</f>
        <v/>
      </c>
      <c r="P149" s="26">
        <f>SUMIF(Reinvest[Date],M149,Reinvest[Net])</f>
        <v>0</v>
      </c>
      <c r="Q149" s="27" t="str">
        <f>IFERROR("("&amp;ROUND((SUMIF(Reinvest[Date],M149,Reinvest[Net])-SUMIF(Reinvest[Date],M149,Reinvest[Risk]))/SUMIF(Reinvest[Date],M149,Reinvest[Risk]),2)*100&amp;"%)","")</f>
        <v/>
      </c>
    </row>
    <row r="150" spans="1:17" x14ac:dyDescent="0.25">
      <c r="A150" s="13">
        <f t="shared" si="7"/>
        <v>16</v>
      </c>
      <c r="B150" s="17">
        <v>43685</v>
      </c>
      <c r="C150" s="17" t="s">
        <v>802</v>
      </c>
      <c r="D150" s="18" t="s">
        <v>3831</v>
      </c>
      <c r="E150" s="11" t="s">
        <v>931</v>
      </c>
      <c r="F150" s="19">
        <v>21.52</v>
      </c>
      <c r="G150" s="37">
        <v>-115</v>
      </c>
      <c r="H150" s="37" t="s">
        <v>262</v>
      </c>
      <c r="I150" s="45">
        <f>IFERROR(ROUND(IF(Reinvest[[#This Row],[Result]]="L",0-Reinvest[[#This Row],[Risk]],IF(Reinvest[[#This Row],[Result]]="Push",0,IF(Reinvest[[#This Row],[Result]]="No Action",0,IF(Reinvest[[#This Row],[Result]]="W",IF(Reinvest[[#This Row],[Odds]]&gt;0,Reinvest[[#This Row],[Odds]]/100*Reinvest[[#This Row],[Risk]],(Reinvest[[#This Row],[Risk]]/Reinvest[[#This Row],[Odds]]*-100)),"")))),2),"")</f>
        <v>18.71</v>
      </c>
      <c r="J150" s="89">
        <f>IF(B150=B151,"",SUM($I$4:I150)/SUM($F$4:F150))</f>
        <v>-2.782308672210286E-2</v>
      </c>
      <c r="K150"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150"/>
      <c r="M150" s="24">
        <f t="shared" si="6"/>
        <v>0</v>
      </c>
      <c r="N150" s="1" t="str">
        <f>COUNTIFS(Reinvest[Date],M150,Reinvest[Result],"W")&amp;"-"&amp;COUNTIFS(Reinvest[Date],M150,Reinvest[Result],"L")&amp;IF(COUNTIFS(Reinvest[Date],M150,Reinvest[Result],"Push")&gt;0,"-"&amp;COUNTIFS(Reinvest[Date],M150,Reinvest[Result],"Push"),"")</f>
        <v>0-0</v>
      </c>
      <c r="O150" s="25" t="str">
        <f>IFERROR(COUNTIFS(Reinvest[Date],M150,Reinvest[Result],"W")/(COUNTIFS(Reinvest[Date],M150,Reinvest[Result],"W")+COUNTIFS(Reinvest[Date],M150,Reinvest[Result],"L")),"")</f>
        <v/>
      </c>
      <c r="P150" s="26">
        <f>SUMIF(Reinvest[Date],M150,Reinvest[Net])</f>
        <v>0</v>
      </c>
      <c r="Q150" s="27" t="str">
        <f>IFERROR("("&amp;ROUND((SUMIF(Reinvest[Date],M150,Reinvest[Net])-SUMIF(Reinvest[Date],M150,Reinvest[Risk]))/SUMIF(Reinvest[Date],M150,Reinvest[Risk]),2)*100&amp;"%)","")</f>
        <v/>
      </c>
    </row>
    <row r="151" spans="1:17" x14ac:dyDescent="0.25">
      <c r="A151" s="13">
        <f t="shared" si="7"/>
        <v>17</v>
      </c>
      <c r="B151" s="17">
        <v>43703</v>
      </c>
      <c r="C151" s="17" t="s">
        <v>802</v>
      </c>
      <c r="D151" s="18" t="s">
        <v>4138</v>
      </c>
      <c r="E151" s="11" t="s">
        <v>1153</v>
      </c>
      <c r="F151" s="19">
        <v>17.21</v>
      </c>
      <c r="G151" s="37" t="s">
        <v>1268</v>
      </c>
      <c r="H151" s="37" t="s">
        <v>262</v>
      </c>
      <c r="I151" s="45">
        <f>IFERROR(ROUND(IF(Reinvest[[#This Row],[Result]]="L",0-Reinvest[[#This Row],[Risk]],IF(Reinvest[[#This Row],[Result]]="Push",0,IF(Reinvest[[#This Row],[Result]]="No Action",0,IF(Reinvest[[#This Row],[Result]]="W",IF(Reinvest[[#This Row],[Odds]]&gt;0,Reinvest[[#This Row],[Odds]]/100*Reinvest[[#This Row],[Risk]],(Reinvest[[#This Row],[Risk]]/Reinvest[[#This Row],[Odds]]*-100)),"")))),2),"")</f>
        <v>23.75</v>
      </c>
      <c r="J151" s="89" t="str">
        <f>IF(B151=B152,"",SUM($I$4:I151)/SUM($F$4:F151))</f>
        <v/>
      </c>
      <c r="K151"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151"/>
      <c r="M151" s="24">
        <f t="shared" si="6"/>
        <v>0</v>
      </c>
      <c r="N151" s="1" t="str">
        <f>COUNTIFS(Reinvest[Date],M151,Reinvest[Result],"W")&amp;"-"&amp;COUNTIFS(Reinvest[Date],M151,Reinvest[Result],"L")&amp;IF(COUNTIFS(Reinvest[Date],M151,Reinvest[Result],"Push")&gt;0,"-"&amp;COUNTIFS(Reinvest[Date],M151,Reinvest[Result],"Push"),"")</f>
        <v>0-0</v>
      </c>
      <c r="O151" s="25" t="str">
        <f>IFERROR(COUNTIFS(Reinvest[Date],M151,Reinvest[Result],"W")/(COUNTIFS(Reinvest[Date],M151,Reinvest[Result],"W")+COUNTIFS(Reinvest[Date],M151,Reinvest[Result],"L")),"")</f>
        <v/>
      </c>
      <c r="P151" s="26">
        <f>SUMIF(Reinvest[Date],M151,Reinvest[Net])</f>
        <v>0</v>
      </c>
      <c r="Q151" s="27" t="str">
        <f>IFERROR("("&amp;ROUND((SUMIF(Reinvest[Date],M151,Reinvest[Net])-SUMIF(Reinvest[Date],M151,Reinvest[Risk]))/SUMIF(Reinvest[Date],M151,Reinvest[Risk]),2)*100&amp;"%)","")</f>
        <v/>
      </c>
    </row>
    <row r="152" spans="1:17" x14ac:dyDescent="0.25">
      <c r="A152" s="13">
        <f t="shared" si="7"/>
        <v>17</v>
      </c>
      <c r="B152" s="17">
        <v>43703</v>
      </c>
      <c r="C152" s="17" t="s">
        <v>802</v>
      </c>
      <c r="D152" s="18" t="s">
        <v>4139</v>
      </c>
      <c r="E152" s="11" t="s">
        <v>1166</v>
      </c>
      <c r="F152" s="19">
        <v>22.13</v>
      </c>
      <c r="G152" s="37">
        <v>-165</v>
      </c>
      <c r="H152" s="37" t="s">
        <v>262</v>
      </c>
      <c r="I152" s="45">
        <f>IFERROR(ROUND(IF(Reinvest[[#This Row],[Result]]="L",0-Reinvest[[#This Row],[Risk]],IF(Reinvest[[#This Row],[Result]]="Push",0,IF(Reinvest[[#This Row],[Result]]="No Action",0,IF(Reinvest[[#This Row],[Result]]="W",IF(Reinvest[[#This Row],[Odds]]&gt;0,Reinvest[[#This Row],[Odds]]/100*Reinvest[[#This Row],[Risk]],(Reinvest[[#This Row],[Risk]]/Reinvest[[#This Row],[Odds]]*-100)),"")))),2),"")</f>
        <v>13.41</v>
      </c>
      <c r="J152" s="89" t="str">
        <f>IF(B152=B153,"",SUM($I$4:I152)/SUM($F$4:F152))</f>
        <v/>
      </c>
      <c r="K152"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52"/>
      <c r="M152" s="24">
        <f t="shared" si="6"/>
        <v>0</v>
      </c>
      <c r="N152" s="1" t="str">
        <f>COUNTIFS(Reinvest[Date],M152,Reinvest[Result],"W")&amp;"-"&amp;COUNTIFS(Reinvest[Date],M152,Reinvest[Result],"L")&amp;IF(COUNTIFS(Reinvest[Date],M152,Reinvest[Result],"Push")&gt;0,"-"&amp;COUNTIFS(Reinvest[Date],M152,Reinvest[Result],"Push"),"")</f>
        <v>0-0</v>
      </c>
      <c r="O152" s="25" t="str">
        <f>IFERROR(COUNTIFS(Reinvest[Date],M152,Reinvest[Result],"W")/(COUNTIFS(Reinvest[Date],M152,Reinvest[Result],"W")+COUNTIFS(Reinvest[Date],M152,Reinvest[Result],"L")),"")</f>
        <v/>
      </c>
      <c r="P152" s="26">
        <f>SUMIF(Reinvest[Date],M152,Reinvest[Net])</f>
        <v>0</v>
      </c>
      <c r="Q152" s="27" t="str">
        <f>IFERROR("("&amp;ROUND((SUMIF(Reinvest[Date],M152,Reinvest[Net])-SUMIF(Reinvest[Date],M152,Reinvest[Risk]))/SUMIF(Reinvest[Date],M152,Reinvest[Risk]),2)*100&amp;"%)","")</f>
        <v/>
      </c>
    </row>
    <row r="153" spans="1:17" x14ac:dyDescent="0.25">
      <c r="A153" s="13">
        <f t="shared" si="7"/>
        <v>17</v>
      </c>
      <c r="B153" s="17">
        <v>43703</v>
      </c>
      <c r="C153" s="17" t="s">
        <v>802</v>
      </c>
      <c r="D153" s="18" t="s">
        <v>4140</v>
      </c>
      <c r="E153" s="11" t="s">
        <v>827</v>
      </c>
      <c r="F153" s="19">
        <v>20.66</v>
      </c>
      <c r="G153" s="37">
        <v>-148</v>
      </c>
      <c r="H153" s="37" t="s">
        <v>263</v>
      </c>
      <c r="I153" s="45">
        <f>IFERROR(ROUND(IF(Reinvest[[#This Row],[Result]]="L",0-Reinvest[[#This Row],[Risk]],IF(Reinvest[[#This Row],[Result]]="Push",0,IF(Reinvest[[#This Row],[Result]]="No Action",0,IF(Reinvest[[#This Row],[Result]]="W",IF(Reinvest[[#This Row],[Odds]]&gt;0,Reinvest[[#This Row],[Odds]]/100*Reinvest[[#This Row],[Risk]],(Reinvest[[#This Row],[Risk]]/Reinvest[[#This Row],[Odds]]*-100)),"")))),2),"")</f>
        <v>-20.66</v>
      </c>
      <c r="J153" s="89" t="str">
        <f>IF(B153=B154,"",SUM($I$4:I153)/SUM($F$4:F153))</f>
        <v/>
      </c>
      <c r="K153"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53"/>
      <c r="M153" s="24">
        <f t="shared" si="6"/>
        <v>0</v>
      </c>
      <c r="N153" s="1" t="str">
        <f>COUNTIFS(Reinvest[Date],M153,Reinvest[Result],"W")&amp;"-"&amp;COUNTIFS(Reinvest[Date],M153,Reinvest[Result],"L")&amp;IF(COUNTIFS(Reinvest[Date],M153,Reinvest[Result],"Push")&gt;0,"-"&amp;COUNTIFS(Reinvest[Date],M153,Reinvest[Result],"Push"),"")</f>
        <v>0-0</v>
      </c>
      <c r="O153" s="25" t="str">
        <f>IFERROR(COUNTIFS(Reinvest[Date],M153,Reinvest[Result],"W")/(COUNTIFS(Reinvest[Date],M153,Reinvest[Result],"W")+COUNTIFS(Reinvest[Date],M153,Reinvest[Result],"L")),"")</f>
        <v/>
      </c>
      <c r="P153" s="26">
        <f>SUMIF(Reinvest[Date],M153,Reinvest[Net])</f>
        <v>0</v>
      </c>
      <c r="Q153" s="27" t="str">
        <f>IFERROR("("&amp;ROUND((SUMIF(Reinvest[Date],M153,Reinvest[Net])-SUMIF(Reinvest[Date],M153,Reinvest[Risk]))/SUMIF(Reinvest[Date],M153,Reinvest[Risk]),2)*100&amp;"%)","")</f>
        <v/>
      </c>
    </row>
    <row r="154" spans="1:17" x14ac:dyDescent="0.25">
      <c r="A154" s="13">
        <f t="shared" si="7"/>
        <v>17</v>
      </c>
      <c r="B154" s="17">
        <v>43703</v>
      </c>
      <c r="C154" s="17" t="s">
        <v>802</v>
      </c>
      <c r="D154" s="18" t="s">
        <v>4138</v>
      </c>
      <c r="E154" s="11" t="s">
        <v>1552</v>
      </c>
      <c r="F154" s="19">
        <v>20</v>
      </c>
      <c r="G154" s="37">
        <v>100</v>
      </c>
      <c r="H154" s="37" t="s">
        <v>262</v>
      </c>
      <c r="I154" s="45">
        <f>IFERROR(ROUND(IF(Reinvest[[#This Row],[Result]]="L",0-Reinvest[[#This Row],[Risk]],IF(Reinvest[[#This Row],[Result]]="Push",0,IF(Reinvest[[#This Row],[Result]]="No Action",0,IF(Reinvest[[#This Row],[Result]]="W",IF(Reinvest[[#This Row],[Odds]]&gt;0,Reinvest[[#This Row],[Odds]]/100*Reinvest[[#This Row],[Risk]],(Reinvest[[#This Row],[Risk]]/Reinvest[[#This Row],[Odds]]*-100)),"")))),2),"")</f>
        <v>20</v>
      </c>
      <c r="J154" s="89">
        <f>IF(B154=B155,"",SUM($I$4:I154)/SUM($F$4:F154))</f>
        <v>-1.0279201040151833E-2</v>
      </c>
      <c r="K15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54"/>
      <c r="M154" s="24">
        <f t="shared" si="6"/>
        <v>0</v>
      </c>
      <c r="N154" s="1" t="str">
        <f>COUNTIFS(Reinvest[Date],M154,Reinvest[Result],"W")&amp;"-"&amp;COUNTIFS(Reinvest[Date],M154,Reinvest[Result],"L")&amp;IF(COUNTIFS(Reinvest[Date],M154,Reinvest[Result],"Push")&gt;0,"-"&amp;COUNTIFS(Reinvest[Date],M154,Reinvest[Result],"Push"),"")</f>
        <v>0-0</v>
      </c>
      <c r="O154" s="25" t="str">
        <f>IFERROR(COUNTIFS(Reinvest[Date],M154,Reinvest[Result],"W")/(COUNTIFS(Reinvest[Date],M154,Reinvest[Result],"W")+COUNTIFS(Reinvest[Date],M154,Reinvest[Result],"L")),"")</f>
        <v/>
      </c>
      <c r="P154" s="26">
        <f>SUMIF(Reinvest[Date],M154,Reinvest[Net])</f>
        <v>0</v>
      </c>
      <c r="Q154" s="27" t="str">
        <f>IFERROR("("&amp;ROUND((SUMIF(Reinvest[Date],M154,Reinvest[Net])-SUMIF(Reinvest[Date],M154,Reinvest[Risk]))/SUMIF(Reinvest[Date],M154,Reinvest[Risk]),2)*100&amp;"%)","")</f>
        <v/>
      </c>
    </row>
    <row r="155" spans="1:17" x14ac:dyDescent="0.25">
      <c r="A155" s="13">
        <f t="shared" si="7"/>
        <v>18</v>
      </c>
      <c r="B155" s="17">
        <v>43704</v>
      </c>
      <c r="C155" s="17" t="s">
        <v>802</v>
      </c>
      <c r="D155" s="18" t="s">
        <v>4153</v>
      </c>
      <c r="E155" s="11" t="s">
        <v>876</v>
      </c>
      <c r="F155" s="19">
        <v>18.260000000000002</v>
      </c>
      <c r="G155" s="92" t="s">
        <v>3754</v>
      </c>
      <c r="H155" s="37" t="s">
        <v>262</v>
      </c>
      <c r="I155" s="45">
        <f>IFERROR(ROUND(IF(Reinvest[[#This Row],[Result]]="L",0-Reinvest[[#This Row],[Risk]],IF(Reinvest[[#This Row],[Result]]="Push",0,IF(Reinvest[[#This Row],[Result]]="No Action",0,IF(Reinvest[[#This Row],[Result]]="W",IF(Reinvest[[#This Row],[Odds]]&gt;0,Reinvest[[#This Row],[Odds]]/100*Reinvest[[#This Row],[Risk]],(Reinvest[[#This Row],[Risk]]/Reinvest[[#This Row],[Odds]]*-100)),"")))),2),"")</f>
        <v>22.46</v>
      </c>
      <c r="J155" s="89" t="str">
        <f>IF(B155=B156,"",SUM($I$4:I155)/SUM($F$4:F155))</f>
        <v/>
      </c>
      <c r="K155"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155"/>
      <c r="M155" s="24">
        <f t="shared" si="6"/>
        <v>0</v>
      </c>
      <c r="N155" s="1" t="str">
        <f>COUNTIFS(Reinvest[Date],M155,Reinvest[Result],"W")&amp;"-"&amp;COUNTIFS(Reinvest[Date],M155,Reinvest[Result],"L")&amp;IF(COUNTIFS(Reinvest[Date],M155,Reinvest[Result],"Push")&gt;0,"-"&amp;COUNTIFS(Reinvest[Date],M155,Reinvest[Result],"Push"),"")</f>
        <v>0-0</v>
      </c>
      <c r="O155" s="25" t="str">
        <f>IFERROR(COUNTIFS(Reinvest[Date],M155,Reinvest[Result],"W")/(COUNTIFS(Reinvest[Date],M155,Reinvest[Result],"W")+COUNTIFS(Reinvest[Date],M155,Reinvest[Result],"L")),"")</f>
        <v/>
      </c>
      <c r="P155" s="26">
        <f>SUMIF(Reinvest[Date],M155,Reinvest[Net])</f>
        <v>0</v>
      </c>
      <c r="Q155" s="27" t="str">
        <f>IFERROR("("&amp;ROUND((SUMIF(Reinvest[Date],M155,Reinvest[Net])-SUMIF(Reinvest[Date],M155,Reinvest[Risk]))/SUMIF(Reinvest[Date],M155,Reinvest[Risk]),2)*100&amp;"%)","")</f>
        <v/>
      </c>
    </row>
    <row r="156" spans="1:17" x14ac:dyDescent="0.25">
      <c r="A156" s="13">
        <f t="shared" si="7"/>
        <v>18</v>
      </c>
      <c r="B156" s="17">
        <v>43704</v>
      </c>
      <c r="C156" s="17" t="s">
        <v>802</v>
      </c>
      <c r="D156" s="18" t="s">
        <v>4154</v>
      </c>
      <c r="E156" s="11" t="s">
        <v>830</v>
      </c>
      <c r="F156" s="19">
        <v>23.17</v>
      </c>
      <c r="G156" s="92">
        <v>-335</v>
      </c>
      <c r="H156" s="37" t="s">
        <v>263</v>
      </c>
      <c r="I156" s="45">
        <f>IFERROR(ROUND(IF(Reinvest[[#This Row],[Result]]="L",0-Reinvest[[#This Row],[Risk]],IF(Reinvest[[#This Row],[Result]]="Push",0,IF(Reinvest[[#This Row],[Result]]="No Action",0,IF(Reinvest[[#This Row],[Result]]="W",IF(Reinvest[[#This Row],[Odds]]&gt;0,Reinvest[[#This Row],[Odds]]/100*Reinvest[[#This Row],[Risk]],(Reinvest[[#This Row],[Risk]]/Reinvest[[#This Row],[Odds]]*-100)),"")))),2),"")</f>
        <v>-23.17</v>
      </c>
      <c r="J156" s="89" t="str">
        <f>IF(B156=B157,"",SUM($I$4:I156)/SUM($F$4:F156))</f>
        <v/>
      </c>
      <c r="K156"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56"/>
      <c r="M156" s="24">
        <f t="shared" si="6"/>
        <v>0</v>
      </c>
      <c r="N156" s="1" t="str">
        <f>COUNTIFS(Reinvest[Date],M156,Reinvest[Result],"W")&amp;"-"&amp;COUNTIFS(Reinvest[Date],M156,Reinvest[Result],"L")&amp;IF(COUNTIFS(Reinvest[Date],M156,Reinvest[Result],"Push")&gt;0,"-"&amp;COUNTIFS(Reinvest[Date],M156,Reinvest[Result],"Push"),"")</f>
        <v>0-0</v>
      </c>
      <c r="O156" s="25" t="str">
        <f>IFERROR(COUNTIFS(Reinvest[Date],M156,Reinvest[Result],"W")/(COUNTIFS(Reinvest[Date],M156,Reinvest[Result],"W")+COUNTIFS(Reinvest[Date],M156,Reinvest[Result],"L")),"")</f>
        <v/>
      </c>
      <c r="P156" s="26">
        <f>SUMIF(Reinvest[Date],M156,Reinvest[Net])</f>
        <v>0</v>
      </c>
      <c r="Q156" s="27" t="str">
        <f>IFERROR("("&amp;ROUND((SUMIF(Reinvest[Date],M156,Reinvest[Net])-SUMIF(Reinvest[Date],M156,Reinvest[Risk]))/SUMIF(Reinvest[Date],M156,Reinvest[Risk]),2)*100&amp;"%)","")</f>
        <v/>
      </c>
    </row>
    <row r="157" spans="1:17" x14ac:dyDescent="0.25">
      <c r="A157" s="13">
        <f t="shared" si="7"/>
        <v>18</v>
      </c>
      <c r="B157" s="17">
        <v>43704</v>
      </c>
      <c r="C157" s="17" t="s">
        <v>802</v>
      </c>
      <c r="D157" s="18" t="s">
        <v>4155</v>
      </c>
      <c r="E157" s="11" t="s">
        <v>869</v>
      </c>
      <c r="F157" s="19">
        <v>21.42</v>
      </c>
      <c r="G157" s="92">
        <v>-143</v>
      </c>
      <c r="H157" s="37" t="s">
        <v>262</v>
      </c>
      <c r="I157" s="45">
        <f>IFERROR(ROUND(IF(Reinvest[[#This Row],[Result]]="L",0-Reinvest[[#This Row],[Risk]],IF(Reinvest[[#This Row],[Result]]="Push",0,IF(Reinvest[[#This Row],[Result]]="No Action",0,IF(Reinvest[[#This Row],[Result]]="W",IF(Reinvest[[#This Row],[Odds]]&gt;0,Reinvest[[#This Row],[Odds]]/100*Reinvest[[#This Row],[Risk]],(Reinvest[[#This Row],[Risk]]/Reinvest[[#This Row],[Odds]]*-100)),"")))),2),"")</f>
        <v>14.98</v>
      </c>
      <c r="J157" s="89" t="str">
        <f>IF(B157=B158,"",SUM($I$4:I157)/SUM($F$4:F157))</f>
        <v/>
      </c>
      <c r="K157"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57"/>
      <c r="M157" s="24">
        <f t="shared" si="6"/>
        <v>0</v>
      </c>
      <c r="N157" s="1" t="str">
        <f>COUNTIFS(Reinvest[Date],M157,Reinvest[Result],"W")&amp;"-"&amp;COUNTIFS(Reinvest[Date],M157,Reinvest[Result],"L")&amp;IF(COUNTIFS(Reinvest[Date],M157,Reinvest[Result],"Push")&gt;0,"-"&amp;COUNTIFS(Reinvest[Date],M157,Reinvest[Result],"Push"),"")</f>
        <v>0-0</v>
      </c>
      <c r="O157" s="25" t="str">
        <f>IFERROR(COUNTIFS(Reinvest[Date],M157,Reinvest[Result],"W")/(COUNTIFS(Reinvest[Date],M157,Reinvest[Result],"W")+COUNTIFS(Reinvest[Date],M157,Reinvest[Result],"L")),"")</f>
        <v/>
      </c>
      <c r="P157" s="26">
        <f>SUMIF(Reinvest[Date],M157,Reinvest[Net])</f>
        <v>0</v>
      </c>
      <c r="Q157" s="27" t="str">
        <f>IFERROR("("&amp;ROUND((SUMIF(Reinvest[Date],M157,Reinvest[Net])-SUMIF(Reinvest[Date],M157,Reinvest[Risk]))/SUMIF(Reinvest[Date],M157,Reinvest[Risk]),2)*100&amp;"%)","")</f>
        <v/>
      </c>
    </row>
    <row r="158" spans="1:17" x14ac:dyDescent="0.25">
      <c r="A158" s="13">
        <f t="shared" si="7"/>
        <v>18</v>
      </c>
      <c r="B158" s="17">
        <v>43704</v>
      </c>
      <c r="C158" s="17" t="s">
        <v>802</v>
      </c>
      <c r="D158" s="18" t="s">
        <v>4139</v>
      </c>
      <c r="E158" s="11" t="s">
        <v>1166</v>
      </c>
      <c r="F158" s="19">
        <v>21.39</v>
      </c>
      <c r="G158" s="92">
        <v>-155</v>
      </c>
      <c r="H158" s="37" t="s">
        <v>262</v>
      </c>
      <c r="I158" s="45">
        <f>IFERROR(ROUND(IF(Reinvest[[#This Row],[Result]]="L",0-Reinvest[[#This Row],[Risk]],IF(Reinvest[[#This Row],[Result]]="Push",0,IF(Reinvest[[#This Row],[Result]]="No Action",0,IF(Reinvest[[#This Row],[Result]]="W",IF(Reinvest[[#This Row],[Odds]]&gt;0,Reinvest[[#This Row],[Odds]]/100*Reinvest[[#This Row],[Risk]],(Reinvest[[#This Row],[Risk]]/Reinvest[[#This Row],[Odds]]*-100)),"")))),2),"")</f>
        <v>13.8</v>
      </c>
      <c r="J158" s="89" t="str">
        <f>IF(B158=B159,"",SUM($I$4:I158)/SUM($F$4:F158))</f>
        <v/>
      </c>
      <c r="K158"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58"/>
      <c r="M158" s="24"/>
      <c r="O158" s="74"/>
      <c r="P158" s="38"/>
      <c r="Q158" s="27"/>
    </row>
    <row r="159" spans="1:17" x14ac:dyDescent="0.25">
      <c r="A159" s="13">
        <f t="shared" si="7"/>
        <v>18</v>
      </c>
      <c r="B159" s="17">
        <v>43704</v>
      </c>
      <c r="C159" s="17" t="s">
        <v>802</v>
      </c>
      <c r="D159" s="18" t="s">
        <v>4156</v>
      </c>
      <c r="E159" s="11" t="s">
        <v>899</v>
      </c>
      <c r="F159" s="19">
        <v>18</v>
      </c>
      <c r="G159" s="92" t="s">
        <v>825</v>
      </c>
      <c r="H159" s="37" t="s">
        <v>262</v>
      </c>
      <c r="I159" s="45">
        <f>IFERROR(ROUND(IF(Reinvest[[#This Row],[Result]]="L",0-Reinvest[[#This Row],[Risk]],IF(Reinvest[[#This Row],[Result]]="Push",0,IF(Reinvest[[#This Row],[Result]]="No Action",0,IF(Reinvest[[#This Row],[Result]]="W",IF(Reinvest[[#This Row],[Odds]]&gt;0,Reinvest[[#This Row],[Odds]]/100*Reinvest[[#This Row],[Risk]],(Reinvest[[#This Row],[Risk]]/Reinvest[[#This Row],[Odds]]*-100)),"")))),2),"")</f>
        <v>23.4</v>
      </c>
      <c r="J159" s="89" t="str">
        <f>IF(B159=B160,"",SUM($I$4:I159)/SUM($F$4:F159))</f>
        <v/>
      </c>
      <c r="K159"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159" s="24"/>
      <c r="O159" s="74"/>
      <c r="P159" s="27"/>
    </row>
    <row r="160" spans="1:17" x14ac:dyDescent="0.25">
      <c r="A160" s="13">
        <f t="shared" si="7"/>
        <v>18</v>
      </c>
      <c r="B160" s="17">
        <v>43704</v>
      </c>
      <c r="C160" s="17" t="s">
        <v>802</v>
      </c>
      <c r="D160" s="18" t="s">
        <v>3505</v>
      </c>
      <c r="E160" s="11" t="s">
        <v>1178</v>
      </c>
      <c r="F160" s="19">
        <v>19.16</v>
      </c>
      <c r="G160" s="92">
        <v>-115</v>
      </c>
      <c r="H160" s="37" t="s">
        <v>262</v>
      </c>
      <c r="I160" s="45">
        <f>IFERROR(ROUND(IF(Reinvest[[#This Row],[Result]]="L",0-Reinvest[[#This Row],[Risk]],IF(Reinvest[[#This Row],[Result]]="Push",0,IF(Reinvest[[#This Row],[Result]]="No Action",0,IF(Reinvest[[#This Row],[Result]]="W",IF(Reinvest[[#This Row],[Odds]]&gt;0,Reinvest[[#This Row],[Odds]]/100*Reinvest[[#This Row],[Risk]],(Reinvest[[#This Row],[Risk]]/Reinvest[[#This Row],[Odds]]*-100)),"")))),2),"")</f>
        <v>16.66</v>
      </c>
      <c r="J160" s="89" t="str">
        <f>IF(B160=B161,"",SUM($I$4:I160)/SUM($F$4:F160))</f>
        <v/>
      </c>
      <c r="K160"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60" s="24"/>
      <c r="O160" s="74"/>
      <c r="P160" s="27"/>
    </row>
    <row r="161" spans="1:16" x14ac:dyDescent="0.25">
      <c r="A161" s="13">
        <f t="shared" si="7"/>
        <v>18</v>
      </c>
      <c r="B161" s="17">
        <v>43704</v>
      </c>
      <c r="C161" s="17" t="s">
        <v>802</v>
      </c>
      <c r="D161" s="18" t="s">
        <v>4157</v>
      </c>
      <c r="E161" s="11" t="s">
        <v>819</v>
      </c>
      <c r="F161" s="19">
        <v>14.38</v>
      </c>
      <c r="G161" s="92" t="s">
        <v>3503</v>
      </c>
      <c r="H161" s="37" t="s">
        <v>263</v>
      </c>
      <c r="I161" s="45">
        <f>IFERROR(ROUND(IF(Reinvest[[#This Row],[Result]]="L",0-Reinvest[[#This Row],[Risk]],IF(Reinvest[[#This Row],[Result]]="Push",0,IF(Reinvest[[#This Row],[Result]]="No Action",0,IF(Reinvest[[#This Row],[Result]]="W",IF(Reinvest[[#This Row],[Odds]]&gt;0,Reinvest[[#This Row],[Odds]]/100*Reinvest[[#This Row],[Risk]],(Reinvest[[#This Row],[Risk]]/Reinvest[[#This Row],[Odds]]*-100)),"")))),2),"")</f>
        <v>-14.38</v>
      </c>
      <c r="J161" s="89" t="str">
        <f>IF(B161=B162,"",SUM($I$4:I161)/SUM($F$4:F161))</f>
        <v/>
      </c>
      <c r="K161"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161" s="24"/>
      <c r="O161" s="74"/>
      <c r="P161" s="27"/>
    </row>
    <row r="162" spans="1:16" x14ac:dyDescent="0.25">
      <c r="A162" s="13">
        <f t="shared" si="7"/>
        <v>18</v>
      </c>
      <c r="B162" s="17">
        <v>43704</v>
      </c>
      <c r="C162" s="17" t="s">
        <v>802</v>
      </c>
      <c r="D162" s="18" t="s">
        <v>4158</v>
      </c>
      <c r="E162" s="11" t="s">
        <v>834</v>
      </c>
      <c r="F162" s="19">
        <v>25.87</v>
      </c>
      <c r="G162" s="92">
        <v>-182</v>
      </c>
      <c r="H162" s="37" t="s">
        <v>262</v>
      </c>
      <c r="I162" s="45">
        <f>IFERROR(ROUND(IF(Reinvest[[#This Row],[Result]]="L",0-Reinvest[[#This Row],[Risk]],IF(Reinvest[[#This Row],[Result]]="Push",0,IF(Reinvest[[#This Row],[Result]]="No Action",0,IF(Reinvest[[#This Row],[Result]]="W",IF(Reinvest[[#This Row],[Odds]]&gt;0,Reinvest[[#This Row],[Odds]]/100*Reinvest[[#This Row],[Risk]],(Reinvest[[#This Row],[Risk]]/Reinvest[[#This Row],[Odds]]*-100)),"")))),2),"")</f>
        <v>14.21</v>
      </c>
      <c r="J162" s="89" t="str">
        <f>IF(B162=B163,"",SUM($I$4:I162)/SUM($F$4:F162))</f>
        <v/>
      </c>
      <c r="K162"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62" s="24"/>
      <c r="O162" s="74"/>
      <c r="P162" s="27"/>
    </row>
    <row r="163" spans="1:16" x14ac:dyDescent="0.25">
      <c r="A163" s="13">
        <f t="shared" si="7"/>
        <v>18</v>
      </c>
      <c r="B163" s="17">
        <v>43704</v>
      </c>
      <c r="C163" s="17" t="s">
        <v>802</v>
      </c>
      <c r="D163" s="18" t="s">
        <v>4159</v>
      </c>
      <c r="E163" s="11" t="s">
        <v>870</v>
      </c>
      <c r="F163" s="19">
        <v>16.87</v>
      </c>
      <c r="G163" s="92" t="s">
        <v>823</v>
      </c>
      <c r="H163" s="37" t="s">
        <v>263</v>
      </c>
      <c r="I163" s="45">
        <f>IFERROR(ROUND(IF(Reinvest[[#This Row],[Result]]="L",0-Reinvest[[#This Row],[Risk]],IF(Reinvest[[#This Row],[Result]]="Push",0,IF(Reinvest[[#This Row],[Result]]="No Action",0,IF(Reinvest[[#This Row],[Result]]="W",IF(Reinvest[[#This Row],[Odds]]&gt;0,Reinvest[[#This Row],[Odds]]/100*Reinvest[[#This Row],[Risk]],(Reinvest[[#This Row],[Risk]]/Reinvest[[#This Row],[Odds]]*-100)),"")))),2),"")</f>
        <v>-16.87</v>
      </c>
      <c r="J163" s="89" t="str">
        <f>IF(B163=B164,"",SUM($I$4:I163)/SUM($F$4:F163))</f>
        <v/>
      </c>
      <c r="K163"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163" s="24"/>
      <c r="O163" s="74"/>
      <c r="P163" s="27"/>
    </row>
    <row r="164" spans="1:16" x14ac:dyDescent="0.25">
      <c r="A164" s="13">
        <f t="shared" si="7"/>
        <v>18</v>
      </c>
      <c r="B164" s="17">
        <v>43704</v>
      </c>
      <c r="C164" s="17" t="s">
        <v>802</v>
      </c>
      <c r="D164" s="18" t="s">
        <v>4140</v>
      </c>
      <c r="E164" s="11" t="s">
        <v>827</v>
      </c>
      <c r="F164" s="19">
        <v>20.63</v>
      </c>
      <c r="G164" s="92">
        <v>-186</v>
      </c>
      <c r="H164" s="37" t="s">
        <v>262</v>
      </c>
      <c r="I164" s="45">
        <f>IFERROR(ROUND(IF(Reinvest[[#This Row],[Result]]="L",0-Reinvest[[#This Row],[Risk]],IF(Reinvest[[#This Row],[Result]]="Push",0,IF(Reinvest[[#This Row],[Result]]="No Action",0,IF(Reinvest[[#This Row],[Result]]="W",IF(Reinvest[[#This Row],[Odds]]&gt;0,Reinvest[[#This Row],[Odds]]/100*Reinvest[[#This Row],[Risk]],(Reinvest[[#This Row],[Risk]]/Reinvest[[#This Row],[Odds]]*-100)),"")))),2),"")</f>
        <v>11.09</v>
      </c>
      <c r="J164" s="89" t="str">
        <f>IF(B164=B165,"",SUM($I$4:I164)/SUM($F$4:F164))</f>
        <v/>
      </c>
      <c r="K16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64" s="24"/>
      <c r="O164" s="74"/>
      <c r="P164" s="27"/>
    </row>
    <row r="165" spans="1:16" x14ac:dyDescent="0.25">
      <c r="A165" s="13">
        <f t="shared" si="7"/>
        <v>18</v>
      </c>
      <c r="B165" s="17">
        <v>43704</v>
      </c>
      <c r="C165" s="17" t="s">
        <v>802</v>
      </c>
      <c r="D165" s="18" t="s">
        <v>4160</v>
      </c>
      <c r="E165" s="11" t="s">
        <v>832</v>
      </c>
      <c r="F165" s="19">
        <v>20.85</v>
      </c>
      <c r="G165" s="92">
        <v>-190</v>
      </c>
      <c r="H165" s="37" t="s">
        <v>262</v>
      </c>
      <c r="I165" s="45">
        <f>IFERROR(ROUND(IF(Reinvest[[#This Row],[Result]]="L",0-Reinvest[[#This Row],[Risk]],IF(Reinvest[[#This Row],[Result]]="Push",0,IF(Reinvest[[#This Row],[Result]]="No Action",0,IF(Reinvest[[#This Row],[Result]]="W",IF(Reinvest[[#This Row],[Odds]]&gt;0,Reinvest[[#This Row],[Odds]]/100*Reinvest[[#This Row],[Risk]],(Reinvest[[#This Row],[Risk]]/Reinvest[[#This Row],[Odds]]*-100)),"")))),2),"")</f>
        <v>10.97</v>
      </c>
      <c r="J165" s="89" t="str">
        <f>IF(B165=B166,"",SUM($I$4:I165)/SUM($F$4:F165))</f>
        <v/>
      </c>
      <c r="K165"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65" s="24"/>
      <c r="O165" s="74"/>
      <c r="P165" s="27"/>
    </row>
    <row r="166" spans="1:16" x14ac:dyDescent="0.25">
      <c r="A166" s="13">
        <f t="shared" si="7"/>
        <v>18</v>
      </c>
      <c r="B166" s="17">
        <v>43704</v>
      </c>
      <c r="C166" s="17" t="s">
        <v>802</v>
      </c>
      <c r="D166" s="18" t="s">
        <v>4158</v>
      </c>
      <c r="E166" s="11" t="s">
        <v>3509</v>
      </c>
      <c r="F166" s="19">
        <v>20</v>
      </c>
      <c r="G166" s="92">
        <v>-106</v>
      </c>
      <c r="H166" s="37" t="s">
        <v>263</v>
      </c>
      <c r="I166" s="45">
        <f>IFERROR(ROUND(IF(Reinvest[[#This Row],[Result]]="L",0-Reinvest[[#This Row],[Risk]],IF(Reinvest[[#This Row],[Result]]="Push",0,IF(Reinvest[[#This Row],[Result]]="No Action",0,IF(Reinvest[[#This Row],[Result]]="W",IF(Reinvest[[#This Row],[Odds]]&gt;0,Reinvest[[#This Row],[Odds]]/100*Reinvest[[#This Row],[Risk]],(Reinvest[[#This Row],[Risk]]/Reinvest[[#This Row],[Odds]]*-100)),"")))),2),"")</f>
        <v>-20</v>
      </c>
      <c r="J166" s="89">
        <f>IF(B166=B167,"",SUM($I$4:I166)/SUM($F$4:F166))</f>
        <v>1.2446013475690255E-2</v>
      </c>
      <c r="K166"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166" s="24"/>
      <c r="O166" s="74"/>
      <c r="P166" s="27"/>
    </row>
    <row r="167" spans="1:16" x14ac:dyDescent="0.25">
      <c r="A167" s="13">
        <f t="shared" si="7"/>
        <v>19</v>
      </c>
      <c r="B167" s="17">
        <v>43705</v>
      </c>
      <c r="C167" s="17" t="s">
        <v>802</v>
      </c>
      <c r="D167" s="18" t="s">
        <v>4156</v>
      </c>
      <c r="E167" s="11" t="s">
        <v>899</v>
      </c>
      <c r="F167" s="19">
        <v>18.66</v>
      </c>
      <c r="G167" s="37">
        <v>-129</v>
      </c>
      <c r="H167" s="21" t="s">
        <v>263</v>
      </c>
      <c r="I167" s="45">
        <f>IFERROR(ROUND(IF(Reinvest[[#This Row],[Result]]="L",0-Reinvest[[#This Row],[Risk]],IF(Reinvest[[#This Row],[Result]]="Push",0,IF(Reinvest[[#This Row],[Result]]="No Action",0,IF(Reinvest[[#This Row],[Result]]="W",IF(Reinvest[[#This Row],[Odds]]&gt;0,Reinvest[[#This Row],[Odds]]/100*Reinvest[[#This Row],[Risk]],(Reinvest[[#This Row],[Risk]]/Reinvest[[#This Row],[Odds]]*-100)),"")))),2),"")</f>
        <v>-18.66</v>
      </c>
      <c r="J167" s="89" t="str">
        <f>IF(B167=B168,"",SUM($I$4:I167)/SUM($F$4:F167))</f>
        <v/>
      </c>
      <c r="K167"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67" s="24"/>
      <c r="O167" s="74"/>
      <c r="P167" s="27"/>
    </row>
    <row r="168" spans="1:16" x14ac:dyDescent="0.25">
      <c r="A168" s="13">
        <f t="shared" si="7"/>
        <v>19</v>
      </c>
      <c r="B168" s="17">
        <v>43705</v>
      </c>
      <c r="C168" s="17" t="s">
        <v>802</v>
      </c>
      <c r="D168" s="18" t="s">
        <v>4160</v>
      </c>
      <c r="E168" s="11" t="s">
        <v>832</v>
      </c>
      <c r="F168" s="19">
        <v>21.42</v>
      </c>
      <c r="G168" s="37">
        <v>-245</v>
      </c>
      <c r="H168" s="21" t="s">
        <v>262</v>
      </c>
      <c r="I168" s="45">
        <f>IFERROR(ROUND(IF(Reinvest[[#This Row],[Result]]="L",0-Reinvest[[#This Row],[Risk]],IF(Reinvest[[#This Row],[Result]]="Push",0,IF(Reinvest[[#This Row],[Result]]="No Action",0,IF(Reinvest[[#This Row],[Result]]="W",IF(Reinvest[[#This Row],[Odds]]&gt;0,Reinvest[[#This Row],[Odds]]/100*Reinvest[[#This Row],[Risk]],(Reinvest[[#This Row],[Risk]]/Reinvest[[#This Row],[Odds]]*-100)),"")))),2),"")</f>
        <v>8.74</v>
      </c>
      <c r="J168" s="89" t="str">
        <f>IF(B168=B169,"",SUM($I$4:I168)/SUM($F$4:F168))</f>
        <v/>
      </c>
      <c r="K168"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68" s="24"/>
      <c r="O168" s="74"/>
      <c r="P168" s="27"/>
    </row>
    <row r="169" spans="1:16" x14ac:dyDescent="0.25">
      <c r="A169" s="13">
        <f t="shared" si="7"/>
        <v>19</v>
      </c>
      <c r="B169" s="17">
        <v>43705</v>
      </c>
      <c r="C169" s="17" t="s">
        <v>802</v>
      </c>
      <c r="D169" s="18" t="s">
        <v>4155</v>
      </c>
      <c r="E169" s="11" t="s">
        <v>869</v>
      </c>
      <c r="F169" s="19">
        <v>22.49</v>
      </c>
      <c r="G169" s="37">
        <v>-195</v>
      </c>
      <c r="H169" s="21" t="s">
        <v>262</v>
      </c>
      <c r="I169" s="45">
        <f>IFERROR(ROUND(IF(Reinvest[[#This Row],[Result]]="L",0-Reinvest[[#This Row],[Risk]],IF(Reinvest[[#This Row],[Result]]="Push",0,IF(Reinvest[[#This Row],[Result]]="No Action",0,IF(Reinvest[[#This Row],[Result]]="W",IF(Reinvest[[#This Row],[Odds]]&gt;0,Reinvest[[#This Row],[Odds]]/100*Reinvest[[#This Row],[Risk]],(Reinvest[[#This Row],[Risk]]/Reinvest[[#This Row],[Odds]]*-100)),"")))),2),"")</f>
        <v>11.53</v>
      </c>
      <c r="J169" s="89" t="str">
        <f>IF(B169=B170,"",SUM($I$4:I169)/SUM($F$4:F169))</f>
        <v/>
      </c>
      <c r="K169" s="23"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69" s="24"/>
      <c r="O169" s="74"/>
      <c r="P169" s="27"/>
    </row>
    <row r="170" spans="1:16" x14ac:dyDescent="0.25">
      <c r="A170" s="13">
        <f t="shared" si="7"/>
        <v>19</v>
      </c>
      <c r="B170" s="17">
        <v>43705</v>
      </c>
      <c r="C170" s="17" t="s">
        <v>802</v>
      </c>
      <c r="D170" s="18" t="s">
        <v>4139</v>
      </c>
      <c r="E170" s="11" t="s">
        <v>1166</v>
      </c>
      <c r="F170" s="19">
        <v>19.38</v>
      </c>
      <c r="G170" s="37">
        <v>-157</v>
      </c>
      <c r="H170" s="21" t="s">
        <v>262</v>
      </c>
      <c r="I170" s="45">
        <f>IFERROR(ROUND(IF(Reinvest[[#This Row],[Result]]="L",0-Reinvest[[#This Row],[Risk]],IF(Reinvest[[#This Row],[Result]]="Push",0,IF(Reinvest[[#This Row],[Result]]="No Action",0,IF(Reinvest[[#This Row],[Result]]="W",IF(Reinvest[[#This Row],[Odds]]&gt;0,Reinvest[[#This Row],[Odds]]/100*Reinvest[[#This Row],[Risk]],(Reinvest[[#This Row],[Risk]]/Reinvest[[#This Row],[Odds]]*-100)),"")))),2),"")</f>
        <v>12.34</v>
      </c>
      <c r="J170" s="89" t="str">
        <f>IF(B170=B171,"",SUM($I$4:I170)/SUM($F$4:F170))</f>
        <v/>
      </c>
      <c r="K170"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70" s="24"/>
      <c r="O170" s="74"/>
      <c r="P170" s="27"/>
    </row>
    <row r="171" spans="1:16" x14ac:dyDescent="0.25">
      <c r="A171" s="13">
        <f t="shared" si="7"/>
        <v>19</v>
      </c>
      <c r="B171" s="17">
        <v>43705</v>
      </c>
      <c r="C171" s="17" t="s">
        <v>802</v>
      </c>
      <c r="D171" s="18" t="s">
        <v>4178</v>
      </c>
      <c r="E171" s="11" t="s">
        <v>867</v>
      </c>
      <c r="F171" s="19">
        <v>16.75</v>
      </c>
      <c r="G171" s="37" t="s">
        <v>3609</v>
      </c>
      <c r="H171" s="21" t="s">
        <v>262</v>
      </c>
      <c r="I171" s="45">
        <f>IFERROR(ROUND(IF(Reinvest[[#This Row],[Result]]="L",0-Reinvest[[#This Row],[Risk]],IF(Reinvest[[#This Row],[Result]]="Push",0,IF(Reinvest[[#This Row],[Result]]="No Action",0,IF(Reinvest[[#This Row],[Result]]="W",IF(Reinvest[[#This Row],[Odds]]&gt;0,Reinvest[[#This Row],[Odds]]/100*Reinvest[[#This Row],[Risk]],(Reinvest[[#This Row],[Risk]]/Reinvest[[#This Row],[Odds]]*-100)),"")))),2),"")</f>
        <v>17.09</v>
      </c>
      <c r="J171" s="89" t="str">
        <f>IF(B171=B172,"",SUM($I$4:I171)/SUM($F$4:F171))</f>
        <v/>
      </c>
      <c r="K171"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171" s="24"/>
      <c r="O171" s="74"/>
      <c r="P171" s="27"/>
    </row>
    <row r="172" spans="1:16" x14ac:dyDescent="0.25">
      <c r="A172" s="13">
        <f t="shared" si="7"/>
        <v>19</v>
      </c>
      <c r="B172" s="17">
        <v>43705</v>
      </c>
      <c r="C172" s="17" t="s">
        <v>802</v>
      </c>
      <c r="D172" s="18" t="s">
        <v>3505</v>
      </c>
      <c r="E172" s="11" t="s">
        <v>1178</v>
      </c>
      <c r="F172" s="19">
        <v>20.04</v>
      </c>
      <c r="G172" s="37">
        <v>-195</v>
      </c>
      <c r="H172" s="21" t="s">
        <v>262</v>
      </c>
      <c r="I172" s="45">
        <f>IFERROR(ROUND(IF(Reinvest[[#This Row],[Result]]="L",0-Reinvest[[#This Row],[Risk]],IF(Reinvest[[#This Row],[Result]]="Push",0,IF(Reinvest[[#This Row],[Result]]="No Action",0,IF(Reinvest[[#This Row],[Result]]="W",IF(Reinvest[[#This Row],[Odds]]&gt;0,Reinvest[[#This Row],[Odds]]/100*Reinvest[[#This Row],[Risk]],(Reinvest[[#This Row],[Risk]]/Reinvest[[#This Row],[Odds]]*-100)),"")))),2),"")</f>
        <v>10.28</v>
      </c>
      <c r="J172" s="89" t="str">
        <f>IF(B172=B173,"",SUM($I$4:I172)/SUM($F$4:F172))</f>
        <v/>
      </c>
      <c r="K172"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72" s="24"/>
      <c r="O172" s="74"/>
      <c r="P172" s="27"/>
    </row>
    <row r="173" spans="1:16" x14ac:dyDescent="0.25">
      <c r="A173" s="13">
        <f t="shared" si="7"/>
        <v>19</v>
      </c>
      <c r="B173" s="17">
        <v>43705</v>
      </c>
      <c r="C173" s="17" t="s">
        <v>802</v>
      </c>
      <c r="D173" s="18" t="s">
        <v>4157</v>
      </c>
      <c r="E173" s="11" t="s">
        <v>897</v>
      </c>
      <c r="F173" s="19">
        <v>20.68</v>
      </c>
      <c r="G173" s="37">
        <v>-235</v>
      </c>
      <c r="H173" s="21" t="s">
        <v>262</v>
      </c>
      <c r="I173" s="45">
        <f>IFERROR(ROUND(IF(Reinvest[[#This Row],[Result]]="L",0-Reinvest[[#This Row],[Risk]],IF(Reinvest[[#This Row],[Result]]="Push",0,IF(Reinvest[[#This Row],[Result]]="No Action",0,IF(Reinvest[[#This Row],[Result]]="W",IF(Reinvest[[#This Row],[Odds]]&gt;0,Reinvest[[#This Row],[Odds]]/100*Reinvest[[#This Row],[Risk]],(Reinvest[[#This Row],[Risk]]/Reinvest[[#This Row],[Odds]]*-100)),"")))),2),"")</f>
        <v>8.8000000000000007</v>
      </c>
      <c r="J173" s="89" t="str">
        <f>IF(B173=B174,"",SUM($I$4:I173)/SUM($F$4:F173))</f>
        <v/>
      </c>
      <c r="K173"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73" s="24"/>
      <c r="O173" s="74"/>
      <c r="P173" s="27"/>
    </row>
    <row r="174" spans="1:16" x14ac:dyDescent="0.25">
      <c r="A174" s="13">
        <f t="shared" si="7"/>
        <v>19</v>
      </c>
      <c r="B174" s="17">
        <v>43705</v>
      </c>
      <c r="C174" s="17" t="s">
        <v>802</v>
      </c>
      <c r="D174" s="18" t="s">
        <v>4158</v>
      </c>
      <c r="E174" s="11" t="s">
        <v>834</v>
      </c>
      <c r="F174" s="19">
        <v>21.96</v>
      </c>
      <c r="G174" s="37">
        <v>-165</v>
      </c>
      <c r="H174" s="21" t="s">
        <v>263</v>
      </c>
      <c r="I174" s="45">
        <f>IFERROR(ROUND(IF(Reinvest[[#This Row],[Result]]="L",0-Reinvest[[#This Row],[Risk]],IF(Reinvest[[#This Row],[Result]]="Push",0,IF(Reinvest[[#This Row],[Result]]="No Action",0,IF(Reinvest[[#This Row],[Result]]="W",IF(Reinvest[[#This Row],[Odds]]&gt;0,Reinvest[[#This Row],[Odds]]/100*Reinvest[[#This Row],[Risk]],(Reinvest[[#This Row],[Risk]]/Reinvest[[#This Row],[Odds]]*-100)),"")))),2),"")</f>
        <v>-21.96</v>
      </c>
      <c r="J174" s="89" t="str">
        <f>IF(B174=B175,"",SUM($I$4:I174)/SUM($F$4:F174))</f>
        <v/>
      </c>
      <c r="K17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74" s="24"/>
      <c r="O174" s="74"/>
      <c r="P174" s="27"/>
    </row>
    <row r="175" spans="1:16" x14ac:dyDescent="0.25">
      <c r="A175" s="13">
        <f t="shared" si="7"/>
        <v>19</v>
      </c>
      <c r="B175" s="17">
        <v>43705</v>
      </c>
      <c r="C175" s="17" t="s">
        <v>802</v>
      </c>
      <c r="D175" s="18" t="s">
        <v>4179</v>
      </c>
      <c r="E175" s="11" t="s">
        <v>1210</v>
      </c>
      <c r="F175" s="19">
        <v>22.88</v>
      </c>
      <c r="G175" s="37">
        <v>-177</v>
      </c>
      <c r="H175" s="21" t="s">
        <v>262</v>
      </c>
      <c r="I175" s="45">
        <f>IFERROR(ROUND(IF(Reinvest[[#This Row],[Result]]="L",0-Reinvest[[#This Row],[Risk]],IF(Reinvest[[#This Row],[Result]]="Push",0,IF(Reinvest[[#This Row],[Result]]="No Action",0,IF(Reinvest[[#This Row],[Result]]="W",IF(Reinvest[[#This Row],[Odds]]&gt;0,Reinvest[[#This Row],[Odds]]/100*Reinvest[[#This Row],[Risk]],(Reinvest[[#This Row],[Risk]]/Reinvest[[#This Row],[Odds]]*-100)),"")))),2),"")</f>
        <v>12.93</v>
      </c>
      <c r="J175" s="89" t="str">
        <f>IF(B175=B176,"",SUM($I$4:I175)/SUM($F$4:F175))</f>
        <v/>
      </c>
      <c r="K175"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75" s="24"/>
      <c r="O175" s="74"/>
      <c r="P175" s="27"/>
    </row>
    <row r="176" spans="1:16" x14ac:dyDescent="0.25">
      <c r="A176" s="13">
        <f t="shared" si="7"/>
        <v>19</v>
      </c>
      <c r="B176" s="17">
        <v>43705</v>
      </c>
      <c r="C176" s="17" t="s">
        <v>802</v>
      </c>
      <c r="D176" s="18" t="s">
        <v>4140</v>
      </c>
      <c r="E176" s="11" t="s">
        <v>827</v>
      </c>
      <c r="F176" s="19">
        <v>19.03</v>
      </c>
      <c r="G176" s="37">
        <v>-182</v>
      </c>
      <c r="H176" s="21" t="s">
        <v>262</v>
      </c>
      <c r="I176" s="45">
        <f>IFERROR(ROUND(IF(Reinvest[[#This Row],[Result]]="L",0-Reinvest[[#This Row],[Risk]],IF(Reinvest[[#This Row],[Result]]="Push",0,IF(Reinvest[[#This Row],[Result]]="No Action",0,IF(Reinvest[[#This Row],[Result]]="W",IF(Reinvest[[#This Row],[Odds]]&gt;0,Reinvest[[#This Row],[Odds]]/100*Reinvest[[#This Row],[Risk]],(Reinvest[[#This Row],[Risk]]/Reinvest[[#This Row],[Odds]]*-100)),"")))),2),"")</f>
        <v>10.46</v>
      </c>
      <c r="J176" s="89" t="str">
        <f>IF(B176=B177,"",SUM($I$4:I176)/SUM($F$4:F176))</f>
        <v/>
      </c>
      <c r="K176"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76" s="24"/>
      <c r="O176" s="74"/>
      <c r="P176" s="27"/>
    </row>
    <row r="177" spans="1:16" x14ac:dyDescent="0.25">
      <c r="A177" s="13">
        <f t="shared" si="7"/>
        <v>19</v>
      </c>
      <c r="B177" s="17">
        <v>43705</v>
      </c>
      <c r="C177" s="17" t="s">
        <v>802</v>
      </c>
      <c r="D177" s="18" t="s">
        <v>4159</v>
      </c>
      <c r="E177" s="11" t="s">
        <v>870</v>
      </c>
      <c r="F177" s="19">
        <v>16.72</v>
      </c>
      <c r="G177" s="37" t="s">
        <v>1496</v>
      </c>
      <c r="H177" s="21" t="s">
        <v>262</v>
      </c>
      <c r="I177" s="45">
        <f>IFERROR(ROUND(IF(Reinvest[[#This Row],[Result]]="L",0-Reinvest[[#This Row],[Risk]],IF(Reinvest[[#This Row],[Result]]="Push",0,IF(Reinvest[[#This Row],[Result]]="No Action",0,IF(Reinvest[[#This Row],[Result]]="W",IF(Reinvest[[#This Row],[Odds]]&gt;0,Reinvest[[#This Row],[Odds]]/100*Reinvest[[#This Row],[Risk]],(Reinvest[[#This Row],[Risk]]/Reinvest[[#This Row],[Odds]]*-100)),"")))),2),"")</f>
        <v>25.92</v>
      </c>
      <c r="J177" s="89" t="str">
        <f>IF(B177=B178,"",SUM($I$4:I177)/SUM($F$4:F177))</f>
        <v/>
      </c>
      <c r="K177"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177" s="24"/>
      <c r="O177" s="74"/>
      <c r="P177" s="27"/>
    </row>
    <row r="178" spans="1:16" x14ac:dyDescent="0.25">
      <c r="A178" s="13">
        <f t="shared" si="7"/>
        <v>19</v>
      </c>
      <c r="B178" s="17">
        <v>43705</v>
      </c>
      <c r="C178" s="17" t="s">
        <v>802</v>
      </c>
      <c r="D178" s="18" t="s">
        <v>4160</v>
      </c>
      <c r="E178" s="11" t="s">
        <v>905</v>
      </c>
      <c r="F178" s="19">
        <v>18.87</v>
      </c>
      <c r="G178" s="37">
        <v>-117</v>
      </c>
      <c r="H178" s="21" t="s">
        <v>263</v>
      </c>
      <c r="I178" s="45">
        <f>IFERROR(ROUND(IF(Reinvest[[#This Row],[Result]]="L",0-Reinvest[[#This Row],[Risk]],IF(Reinvest[[#This Row],[Result]]="Push",0,IF(Reinvest[[#This Row],[Result]]="No Action",0,IF(Reinvest[[#This Row],[Result]]="W",IF(Reinvest[[#This Row],[Odds]]&gt;0,Reinvest[[#This Row],[Odds]]/100*Reinvest[[#This Row],[Risk]],(Reinvest[[#This Row],[Risk]]/Reinvest[[#This Row],[Odds]]*-100)),"")))),2),"")</f>
        <v>-18.87</v>
      </c>
      <c r="J178" s="89" t="str">
        <f>IF(B178=B179,"",SUM($I$4:I178)/SUM($F$4:F178))</f>
        <v/>
      </c>
      <c r="K178"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178" s="24"/>
      <c r="O178" s="74"/>
      <c r="P178" s="27"/>
    </row>
    <row r="179" spans="1:16" x14ac:dyDescent="0.25">
      <c r="A179" s="13">
        <f t="shared" si="7"/>
        <v>19</v>
      </c>
      <c r="B179" s="17">
        <v>43705</v>
      </c>
      <c r="C179" s="17" t="s">
        <v>802</v>
      </c>
      <c r="D179" s="18" t="s">
        <v>4178</v>
      </c>
      <c r="E179" s="11" t="s">
        <v>841</v>
      </c>
      <c r="F179" s="19">
        <v>18.23</v>
      </c>
      <c r="G179" s="37">
        <v>-117</v>
      </c>
      <c r="H179" s="21" t="s">
        <v>262</v>
      </c>
      <c r="I179" s="45">
        <f>IFERROR(ROUND(IF(Reinvest[[#This Row],[Result]]="L",0-Reinvest[[#This Row],[Risk]],IF(Reinvest[[#This Row],[Result]]="Push",0,IF(Reinvest[[#This Row],[Result]]="No Action",0,IF(Reinvest[[#This Row],[Result]]="W",IF(Reinvest[[#This Row],[Odds]]&gt;0,Reinvest[[#This Row],[Odds]]/100*Reinvest[[#This Row],[Risk]],(Reinvest[[#This Row],[Risk]]/Reinvest[[#This Row],[Odds]]*-100)),"")))),2),"")</f>
        <v>15.58</v>
      </c>
      <c r="J179" s="89" t="str">
        <f>IF(B179=B180,"",SUM($I$4:I179)/SUM($F$4:F179))</f>
        <v/>
      </c>
      <c r="K179"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179" s="24"/>
      <c r="O179" s="74"/>
      <c r="P179" s="27"/>
    </row>
    <row r="180" spans="1:16" x14ac:dyDescent="0.25">
      <c r="A180" s="13">
        <f t="shared" si="7"/>
        <v>19</v>
      </c>
      <c r="B180" s="17">
        <v>43705</v>
      </c>
      <c r="C180" s="17" t="s">
        <v>802</v>
      </c>
      <c r="D180" s="18" t="s">
        <v>4157</v>
      </c>
      <c r="E180" s="11" t="s">
        <v>1501</v>
      </c>
      <c r="F180" s="19">
        <v>18.579999999999998</v>
      </c>
      <c r="G180" s="37">
        <v>-108</v>
      </c>
      <c r="H180" s="21" t="s">
        <v>263</v>
      </c>
      <c r="I180" s="45">
        <f>IFERROR(ROUND(IF(Reinvest[[#This Row],[Result]]="L",0-Reinvest[[#This Row],[Risk]],IF(Reinvest[[#This Row],[Result]]="Push",0,IF(Reinvest[[#This Row],[Result]]="No Action",0,IF(Reinvest[[#This Row],[Result]]="W",IF(Reinvest[[#This Row],[Odds]]&gt;0,Reinvest[[#This Row],[Odds]]/100*Reinvest[[#This Row],[Risk]],(Reinvest[[#This Row],[Risk]]/Reinvest[[#This Row],[Odds]]*-100)),"")))),2),"")</f>
        <v>-18.579999999999998</v>
      </c>
      <c r="J180" s="89" t="str">
        <f>IF(B180=B181,"",SUM($I$4:I180)/SUM($F$4:F180))</f>
        <v/>
      </c>
      <c r="K180"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80" s="24"/>
      <c r="O180" s="74"/>
      <c r="P180" s="27"/>
    </row>
    <row r="181" spans="1:16" x14ac:dyDescent="0.25">
      <c r="A181" s="13">
        <f t="shared" si="7"/>
        <v>19</v>
      </c>
      <c r="B181" s="17">
        <v>43705</v>
      </c>
      <c r="C181" s="17" t="s">
        <v>802</v>
      </c>
      <c r="D181" s="18" t="s">
        <v>4179</v>
      </c>
      <c r="E181" s="11" t="s">
        <v>3729</v>
      </c>
      <c r="F181" s="19">
        <v>24.32</v>
      </c>
      <c r="G181" s="37">
        <v>-109</v>
      </c>
      <c r="H181" s="21" t="s">
        <v>262</v>
      </c>
      <c r="I181" s="45">
        <f>IFERROR(ROUND(IF(Reinvest[[#This Row],[Result]]="L",0-Reinvest[[#This Row],[Risk]],IF(Reinvest[[#This Row],[Result]]="Push",0,IF(Reinvest[[#This Row],[Result]]="No Action",0,IF(Reinvest[[#This Row],[Result]]="W",IF(Reinvest[[#This Row],[Odds]]&gt;0,Reinvest[[#This Row],[Odds]]/100*Reinvest[[#This Row],[Risk]],(Reinvest[[#This Row],[Risk]]/Reinvest[[#This Row],[Odds]]*-100)),"")))),2),"")</f>
        <v>22.31</v>
      </c>
      <c r="J181" s="89">
        <f>IF(B181=B182,"",SUM($I$4:I181)/SUM($F$4:F181))</f>
        <v>3.9444852914413034E-2</v>
      </c>
      <c r="K181"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81" s="24"/>
      <c r="O181" s="74"/>
      <c r="P181" s="27"/>
    </row>
    <row r="182" spans="1:16" x14ac:dyDescent="0.25">
      <c r="A182" s="13">
        <f t="shared" si="7"/>
        <v>20</v>
      </c>
      <c r="B182" s="17">
        <v>43706</v>
      </c>
      <c r="C182" s="17" t="s">
        <v>802</v>
      </c>
      <c r="D182" s="18" t="s">
        <v>4155</v>
      </c>
      <c r="E182" s="11" t="s">
        <v>869</v>
      </c>
      <c r="F182" s="19">
        <v>20.43</v>
      </c>
      <c r="G182" s="37">
        <v>-240</v>
      </c>
      <c r="H182" s="37" t="s">
        <v>262</v>
      </c>
      <c r="I182" s="45">
        <f>IFERROR(ROUND(IF(Reinvest[[#This Row],[Result]]="L",0-Reinvest[[#This Row],[Risk]],IF(Reinvest[[#This Row],[Result]]="Push",0,IF(Reinvest[[#This Row],[Result]]="No Action",0,IF(Reinvest[[#This Row],[Result]]="W",IF(Reinvest[[#This Row],[Odds]]&gt;0,Reinvest[[#This Row],[Odds]]/100*Reinvest[[#This Row],[Risk]],(Reinvest[[#This Row],[Risk]]/Reinvest[[#This Row],[Odds]]*-100)),"")))),2),"")</f>
        <v>8.51</v>
      </c>
      <c r="J182" s="89" t="str">
        <f>IF(B182=B183,"",SUM($I$4:I182)/SUM($F$4:F182))</f>
        <v/>
      </c>
      <c r="K182"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82" s="24"/>
      <c r="O182" s="74"/>
      <c r="P182" s="27"/>
    </row>
    <row r="183" spans="1:16" x14ac:dyDescent="0.25">
      <c r="A183" s="13">
        <f t="shared" si="7"/>
        <v>20</v>
      </c>
      <c r="B183" s="17">
        <v>43706</v>
      </c>
      <c r="C183" s="17" t="s">
        <v>802</v>
      </c>
      <c r="D183" s="18" t="s">
        <v>4158</v>
      </c>
      <c r="E183" s="11" t="s">
        <v>834</v>
      </c>
      <c r="F183" s="19">
        <v>21.42</v>
      </c>
      <c r="G183" s="37">
        <v>-195</v>
      </c>
      <c r="H183" s="37" t="s">
        <v>262</v>
      </c>
      <c r="I183" s="45">
        <f>IFERROR(ROUND(IF(Reinvest[[#This Row],[Result]]="L",0-Reinvest[[#This Row],[Risk]],IF(Reinvest[[#This Row],[Result]]="Push",0,IF(Reinvest[[#This Row],[Result]]="No Action",0,IF(Reinvest[[#This Row],[Result]]="W",IF(Reinvest[[#This Row],[Odds]]&gt;0,Reinvest[[#This Row],[Odds]]/100*Reinvest[[#This Row],[Risk]],(Reinvest[[#This Row],[Risk]]/Reinvest[[#This Row],[Odds]]*-100)),"")))),2),"")</f>
        <v>10.98</v>
      </c>
      <c r="J183" s="89" t="str">
        <f>IF(B183=B184,"",SUM($I$4:I183)/SUM($F$4:F183))</f>
        <v/>
      </c>
      <c r="K183"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83" s="24"/>
      <c r="O183" s="74"/>
      <c r="P183" s="27"/>
    </row>
    <row r="184" spans="1:16" x14ac:dyDescent="0.25">
      <c r="A184" s="13">
        <f t="shared" si="7"/>
        <v>20</v>
      </c>
      <c r="B184" s="17">
        <v>43706</v>
      </c>
      <c r="C184" s="17" t="s">
        <v>802</v>
      </c>
      <c r="D184" s="18" t="s">
        <v>3505</v>
      </c>
      <c r="E184" s="11" t="s">
        <v>1178</v>
      </c>
      <c r="F184" s="19">
        <v>18.489999999999998</v>
      </c>
      <c r="G184" s="37">
        <v>-190</v>
      </c>
      <c r="H184" s="37" t="s">
        <v>262</v>
      </c>
      <c r="I184" s="45">
        <f>IFERROR(ROUND(IF(Reinvest[[#This Row],[Result]]="L",0-Reinvest[[#This Row],[Risk]],IF(Reinvest[[#This Row],[Result]]="Push",0,IF(Reinvest[[#This Row],[Result]]="No Action",0,IF(Reinvest[[#This Row],[Result]]="W",IF(Reinvest[[#This Row],[Odds]]&gt;0,Reinvest[[#This Row],[Odds]]/100*Reinvest[[#This Row],[Risk]],(Reinvest[[#This Row],[Risk]]/Reinvest[[#This Row],[Odds]]*-100)),"")))),2),"")</f>
        <v>9.73</v>
      </c>
      <c r="J184" s="89" t="str">
        <f>IF(B184=B185,"",SUM($I$4:I184)/SUM($F$4:F184))</f>
        <v/>
      </c>
      <c r="K18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84" s="24"/>
      <c r="O184" s="74"/>
      <c r="P184" s="27"/>
    </row>
    <row r="185" spans="1:16" x14ac:dyDescent="0.25">
      <c r="A185" s="13">
        <f t="shared" si="7"/>
        <v>20</v>
      </c>
      <c r="B185" s="17">
        <v>43706</v>
      </c>
      <c r="C185" s="17" t="s">
        <v>802</v>
      </c>
      <c r="D185" s="18" t="s">
        <v>4157</v>
      </c>
      <c r="E185" s="11" t="s">
        <v>897</v>
      </c>
      <c r="F185" s="19">
        <v>21.74</v>
      </c>
      <c r="G185" s="37">
        <v>-250</v>
      </c>
      <c r="H185" s="37" t="s">
        <v>263</v>
      </c>
      <c r="I185" s="45">
        <f>IFERROR(ROUND(IF(Reinvest[[#This Row],[Result]]="L",0-Reinvest[[#This Row],[Risk]],IF(Reinvest[[#This Row],[Result]]="Push",0,IF(Reinvest[[#This Row],[Result]]="No Action",0,IF(Reinvest[[#This Row],[Result]]="W",IF(Reinvest[[#This Row],[Odds]]&gt;0,Reinvest[[#This Row],[Odds]]/100*Reinvest[[#This Row],[Risk]],(Reinvest[[#This Row],[Risk]]/Reinvest[[#This Row],[Odds]]*-100)),"")))),2),"")</f>
        <v>-21.74</v>
      </c>
      <c r="J185" s="89" t="str">
        <f>IF(B185=B186,"",SUM($I$4:I185)/SUM($F$4:F185))</f>
        <v/>
      </c>
      <c r="K185"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85" s="24"/>
      <c r="O185" s="74"/>
      <c r="P185" s="27"/>
    </row>
    <row r="186" spans="1:16" x14ac:dyDescent="0.25">
      <c r="A186" s="13">
        <f t="shared" si="7"/>
        <v>20</v>
      </c>
      <c r="B186" s="17">
        <v>43706</v>
      </c>
      <c r="C186" s="17" t="s">
        <v>802</v>
      </c>
      <c r="D186" s="18" t="s">
        <v>4139</v>
      </c>
      <c r="E186" s="11" t="s">
        <v>1166</v>
      </c>
      <c r="F186" s="19">
        <v>19.46</v>
      </c>
      <c r="G186" s="37">
        <v>-186</v>
      </c>
      <c r="H186" s="37" t="s">
        <v>263</v>
      </c>
      <c r="I186" s="45">
        <f>IFERROR(ROUND(IF(Reinvest[[#This Row],[Result]]="L",0-Reinvest[[#This Row],[Risk]],IF(Reinvest[[#This Row],[Result]]="Push",0,IF(Reinvest[[#This Row],[Result]]="No Action",0,IF(Reinvest[[#This Row],[Result]]="W",IF(Reinvest[[#This Row],[Odds]]&gt;0,Reinvest[[#This Row],[Odds]]/100*Reinvest[[#This Row],[Risk]],(Reinvest[[#This Row],[Risk]]/Reinvest[[#This Row],[Odds]]*-100)),"")))),2),"")</f>
        <v>-19.46</v>
      </c>
      <c r="J186" s="89" t="str">
        <f>IF(B186=B187,"",SUM($I$4:I186)/SUM($F$4:F186))</f>
        <v/>
      </c>
      <c r="K186"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86" s="24"/>
      <c r="O186" s="74"/>
      <c r="P186" s="27"/>
    </row>
    <row r="187" spans="1:16" x14ac:dyDescent="0.25">
      <c r="A187" s="13">
        <f t="shared" si="7"/>
        <v>20</v>
      </c>
      <c r="B187" s="17">
        <v>43706</v>
      </c>
      <c r="C187" s="17" t="s">
        <v>802</v>
      </c>
      <c r="D187" s="18" t="s">
        <v>4182</v>
      </c>
      <c r="E187" s="11" t="s">
        <v>827</v>
      </c>
      <c r="F187" s="19">
        <v>18.45</v>
      </c>
      <c r="G187" s="37">
        <v>-190</v>
      </c>
      <c r="H187" s="37" t="s">
        <v>263</v>
      </c>
      <c r="I187" s="45">
        <f>IFERROR(ROUND(IF(Reinvest[[#This Row],[Result]]="L",0-Reinvest[[#This Row],[Risk]],IF(Reinvest[[#This Row],[Result]]="Push",0,IF(Reinvest[[#This Row],[Result]]="No Action",0,IF(Reinvest[[#This Row],[Result]]="W",IF(Reinvest[[#This Row],[Odds]]&gt;0,Reinvest[[#This Row],[Odds]]/100*Reinvest[[#This Row],[Risk]],(Reinvest[[#This Row],[Risk]]/Reinvest[[#This Row],[Odds]]*-100)),"")))),2),"")</f>
        <v>-18.45</v>
      </c>
      <c r="J187" s="89" t="str">
        <f>IF(B187=B188,"",SUM($I$4:I187)/SUM($F$4:F187))</f>
        <v/>
      </c>
      <c r="K187"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87" s="24"/>
      <c r="O187" s="74"/>
      <c r="P187" s="27"/>
    </row>
    <row r="188" spans="1:16" x14ac:dyDescent="0.25">
      <c r="A188" s="13">
        <f t="shared" si="7"/>
        <v>20</v>
      </c>
      <c r="B188" s="17">
        <v>43706</v>
      </c>
      <c r="C188" s="17" t="s">
        <v>802</v>
      </c>
      <c r="D188" s="18" t="s">
        <v>4139</v>
      </c>
      <c r="E188" s="11" t="s">
        <v>845</v>
      </c>
      <c r="F188" s="19">
        <v>20.010000000000002</v>
      </c>
      <c r="G188" s="37">
        <v>-106</v>
      </c>
      <c r="H188" s="37" t="s">
        <v>263</v>
      </c>
      <c r="I188" s="45">
        <f>IFERROR(ROUND(IF(Reinvest[[#This Row],[Result]]="L",0-Reinvest[[#This Row],[Risk]],IF(Reinvest[[#This Row],[Result]]="Push",0,IF(Reinvest[[#This Row],[Result]]="No Action",0,IF(Reinvest[[#This Row],[Result]]="W",IF(Reinvest[[#This Row],[Odds]]&gt;0,Reinvest[[#This Row],[Odds]]/100*Reinvest[[#This Row],[Risk]],(Reinvest[[#This Row],[Risk]]/Reinvest[[#This Row],[Odds]]*-100)),"")))),2),"")</f>
        <v>-20.010000000000002</v>
      </c>
      <c r="J188" s="89" t="str">
        <f>IF(B188=B189,"",SUM($I$4:I188)/SUM($F$4:F188))</f>
        <v/>
      </c>
      <c r="K188"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188" s="24"/>
      <c r="O188" s="74"/>
      <c r="P188" s="27"/>
    </row>
    <row r="189" spans="1:16" x14ac:dyDescent="0.25">
      <c r="A189" s="13">
        <f t="shared" si="7"/>
        <v>20</v>
      </c>
      <c r="B189" s="17">
        <v>43706</v>
      </c>
      <c r="C189" s="17" t="s">
        <v>802</v>
      </c>
      <c r="D189" s="18" t="s">
        <v>4178</v>
      </c>
      <c r="E189" s="11" t="s">
        <v>841</v>
      </c>
      <c r="F189" s="19">
        <v>19.29</v>
      </c>
      <c r="G189" s="37">
        <v>102</v>
      </c>
      <c r="H189" s="37" t="s">
        <v>263</v>
      </c>
      <c r="I189" s="45">
        <f>IFERROR(ROUND(IF(Reinvest[[#This Row],[Result]]="L",0-Reinvest[[#This Row],[Risk]],IF(Reinvest[[#This Row],[Result]]="Push",0,IF(Reinvest[[#This Row],[Result]]="No Action",0,IF(Reinvest[[#This Row],[Result]]="W",IF(Reinvest[[#This Row],[Odds]]&gt;0,Reinvest[[#This Row],[Odds]]/100*Reinvest[[#This Row],[Risk]],(Reinvest[[#This Row],[Risk]]/Reinvest[[#This Row],[Odds]]*-100)),"")))),2),"")</f>
        <v>-19.29</v>
      </c>
      <c r="J189" s="89" t="str">
        <f>IF(B189=B190,"",SUM($I$4:I189)/SUM($F$4:F189))</f>
        <v/>
      </c>
      <c r="K189"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189" s="24"/>
      <c r="O189" s="74"/>
      <c r="P189" s="27"/>
    </row>
    <row r="190" spans="1:16" x14ac:dyDescent="0.25">
      <c r="A190" s="13">
        <f t="shared" si="7"/>
        <v>20</v>
      </c>
      <c r="B190" s="17">
        <v>43706</v>
      </c>
      <c r="C190" s="17" t="s">
        <v>802</v>
      </c>
      <c r="D190" s="18" t="s">
        <v>4183</v>
      </c>
      <c r="E190" s="11" t="s">
        <v>1505</v>
      </c>
      <c r="F190" s="19">
        <v>20.7</v>
      </c>
      <c r="G190" s="37">
        <v>-106</v>
      </c>
      <c r="H190" s="37" t="s">
        <v>263</v>
      </c>
      <c r="I190" s="45">
        <f>IFERROR(ROUND(IF(Reinvest[[#This Row],[Result]]="L",0-Reinvest[[#This Row],[Risk]],IF(Reinvest[[#This Row],[Result]]="Push",0,IF(Reinvest[[#This Row],[Result]]="No Action",0,IF(Reinvest[[#This Row],[Result]]="W",IF(Reinvest[[#This Row],[Odds]]&gt;0,Reinvest[[#This Row],[Odds]]/100*Reinvest[[#This Row],[Risk]],(Reinvest[[#This Row],[Risk]]/Reinvest[[#This Row],[Odds]]*-100)),"")))),2),"")</f>
        <v>-20.7</v>
      </c>
      <c r="J190" s="89">
        <f>IF(B190=B191,"",SUM($I$4:I190)/SUM($F$4:F190))</f>
        <v>6.1283677840519215E-3</v>
      </c>
      <c r="K190"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90" s="24"/>
      <c r="O190" s="74"/>
      <c r="P190" s="27"/>
    </row>
    <row r="191" spans="1:16" x14ac:dyDescent="0.25">
      <c r="A191" s="13">
        <f t="shared" si="7"/>
        <v>21</v>
      </c>
      <c r="B191" s="17">
        <v>43717</v>
      </c>
      <c r="C191" s="17" t="s">
        <v>802</v>
      </c>
      <c r="D191" s="18" t="s">
        <v>4410</v>
      </c>
      <c r="E191" s="11" t="s">
        <v>888</v>
      </c>
      <c r="F191" s="19">
        <v>19.13</v>
      </c>
      <c r="G191" s="37" t="s">
        <v>3503</v>
      </c>
      <c r="H191" s="37" t="s">
        <v>263</v>
      </c>
      <c r="I191" s="45">
        <f>IFERROR(ROUND(IF(Reinvest[[#This Row],[Result]]="L",0-Reinvest[[#This Row],[Risk]],IF(Reinvest[[#This Row],[Result]]="Push",0,IF(Reinvest[[#This Row],[Result]]="No Action",0,IF(Reinvest[[#This Row],[Result]]="W",IF(Reinvest[[#This Row],[Odds]]&gt;0,Reinvest[[#This Row],[Odds]]/100*Reinvest[[#This Row],[Risk]],(Reinvest[[#This Row],[Risk]]/Reinvest[[#This Row],[Odds]]*-100)),"")))),2),"")</f>
        <v>-19.13</v>
      </c>
      <c r="J191" s="89" t="str">
        <f>IF(B191=B192,"",SUM($I$4:I191)/SUM($F$4:F191))</f>
        <v/>
      </c>
      <c r="K191"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191" s="24"/>
      <c r="O191" s="74"/>
      <c r="P191" s="27"/>
    </row>
    <row r="192" spans="1:16" x14ac:dyDescent="0.25">
      <c r="A192" s="13">
        <f t="shared" si="7"/>
        <v>21</v>
      </c>
      <c r="B192" s="17">
        <v>43717</v>
      </c>
      <c r="C192" s="17" t="s">
        <v>802</v>
      </c>
      <c r="D192" s="18" t="s">
        <v>4411</v>
      </c>
      <c r="E192" s="11" t="s">
        <v>1180</v>
      </c>
      <c r="F192" s="19">
        <v>17.170000000000002</v>
      </c>
      <c r="G192" s="37" t="s">
        <v>4412</v>
      </c>
      <c r="H192" s="37" t="s">
        <v>263</v>
      </c>
      <c r="I192" s="45">
        <f>IFERROR(ROUND(IF(Reinvest[[#This Row],[Result]]="L",0-Reinvest[[#This Row],[Risk]],IF(Reinvest[[#This Row],[Result]]="Push",0,IF(Reinvest[[#This Row],[Result]]="No Action",0,IF(Reinvest[[#This Row],[Result]]="W",IF(Reinvest[[#This Row],[Odds]]&gt;0,Reinvest[[#This Row],[Odds]]/100*Reinvest[[#This Row],[Risk]],(Reinvest[[#This Row],[Risk]]/Reinvest[[#This Row],[Odds]]*-100)),"")))),2),"")</f>
        <v>-17.170000000000002</v>
      </c>
      <c r="J192" s="89" t="str">
        <f>IF(B192=B193,"",SUM($I$4:I192)/SUM($F$4:F192))</f>
        <v/>
      </c>
      <c r="K192"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192" s="24"/>
      <c r="O192" s="74"/>
      <c r="P192" s="27"/>
    </row>
    <row r="193" spans="1:16" x14ac:dyDescent="0.25">
      <c r="A193" s="13">
        <f t="shared" si="7"/>
        <v>21</v>
      </c>
      <c r="B193" s="17">
        <v>43717</v>
      </c>
      <c r="C193" s="17" t="s">
        <v>802</v>
      </c>
      <c r="D193" s="18" t="s">
        <v>4413</v>
      </c>
      <c r="E193" s="11" t="s">
        <v>869</v>
      </c>
      <c r="F193" s="19">
        <v>23.7</v>
      </c>
      <c r="G193" s="37">
        <v>-165</v>
      </c>
      <c r="H193" s="37" t="s">
        <v>262</v>
      </c>
      <c r="I193" s="45">
        <f>IFERROR(ROUND(IF(Reinvest[[#This Row],[Result]]="L",0-Reinvest[[#This Row],[Risk]],IF(Reinvest[[#This Row],[Result]]="Push",0,IF(Reinvest[[#This Row],[Result]]="No Action",0,IF(Reinvest[[#This Row],[Result]]="W",IF(Reinvest[[#This Row],[Odds]]&gt;0,Reinvest[[#This Row],[Odds]]/100*Reinvest[[#This Row],[Risk]],(Reinvest[[#This Row],[Risk]]/Reinvest[[#This Row],[Odds]]*-100)),"")))),2),"")</f>
        <v>14.36</v>
      </c>
      <c r="J193" s="89" t="str">
        <f>IF(B193=B194,"",SUM($I$4:I193)/SUM($F$4:F193))</f>
        <v/>
      </c>
      <c r="K193"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93" s="24"/>
      <c r="O193" s="74"/>
      <c r="P193" s="27"/>
    </row>
    <row r="194" spans="1:16" x14ac:dyDescent="0.25">
      <c r="A194" s="13">
        <f t="shared" si="7"/>
        <v>21</v>
      </c>
      <c r="B194" s="17">
        <v>43717</v>
      </c>
      <c r="C194" s="17" t="s">
        <v>802</v>
      </c>
      <c r="D194" s="18" t="s">
        <v>4414</v>
      </c>
      <c r="E194" s="11" t="s">
        <v>845</v>
      </c>
      <c r="F194" s="19">
        <v>20</v>
      </c>
      <c r="G194" s="37">
        <v>-117</v>
      </c>
      <c r="H194" s="37" t="s">
        <v>262</v>
      </c>
      <c r="I194" s="45">
        <f>IFERROR(ROUND(IF(Reinvest[[#This Row],[Result]]="L",0-Reinvest[[#This Row],[Risk]],IF(Reinvest[[#This Row],[Result]]="Push",0,IF(Reinvest[[#This Row],[Result]]="No Action",0,IF(Reinvest[[#This Row],[Result]]="W",IF(Reinvest[[#This Row],[Odds]]&gt;0,Reinvest[[#This Row],[Odds]]/100*Reinvest[[#This Row],[Risk]],(Reinvest[[#This Row],[Risk]]/Reinvest[[#This Row],[Odds]]*-100)),"")))),2),"")</f>
        <v>17.09</v>
      </c>
      <c r="J194" s="89">
        <f>IF(B194=B195,"",SUM($I$4:I194)/SUM($F$4:F194))</f>
        <v>4.3526403468811849E-3</v>
      </c>
      <c r="K19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194" s="24"/>
      <c r="O194" s="74"/>
      <c r="P194" s="27"/>
    </row>
    <row r="195" spans="1:16" x14ac:dyDescent="0.25">
      <c r="A195" s="13">
        <f t="shared" si="7"/>
        <v>22</v>
      </c>
      <c r="B195" s="17">
        <v>43718</v>
      </c>
      <c r="C195" s="17" t="s">
        <v>802</v>
      </c>
      <c r="D195" s="18" t="s">
        <v>4424</v>
      </c>
      <c r="E195" s="11" t="s">
        <v>827</v>
      </c>
      <c r="F195" s="19">
        <v>21.54</v>
      </c>
      <c r="G195" s="37">
        <v>-315</v>
      </c>
      <c r="H195" s="21" t="s">
        <v>262</v>
      </c>
      <c r="I195" s="45">
        <f>IFERROR(ROUND(IF(Reinvest[[#This Row],[Result]]="L",0-Reinvest[[#This Row],[Risk]],IF(Reinvest[[#This Row],[Result]]="Push",0,IF(Reinvest[[#This Row],[Result]]="No Action",0,IF(Reinvest[[#This Row],[Result]]="W",IF(Reinvest[[#This Row],[Odds]]&gt;0,Reinvest[[#This Row],[Odds]]/100*Reinvest[[#This Row],[Risk]],(Reinvest[[#This Row],[Risk]]/Reinvest[[#This Row],[Odds]]*-100)),"")))),2),"")</f>
        <v>6.84</v>
      </c>
      <c r="J195" s="89" t="str">
        <f>IF(B195=B196,"",SUM($I$4:I195)/SUM($F$4:F195))</f>
        <v/>
      </c>
      <c r="K195"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95" s="24"/>
      <c r="O195" s="74"/>
      <c r="P195" s="27"/>
    </row>
    <row r="196" spans="1:16" x14ac:dyDescent="0.25">
      <c r="A196" s="13">
        <f t="shared" si="7"/>
        <v>22</v>
      </c>
      <c r="B196" s="17">
        <v>43718</v>
      </c>
      <c r="C196" s="17" t="s">
        <v>802</v>
      </c>
      <c r="D196" s="18" t="s">
        <v>4411</v>
      </c>
      <c r="E196" s="11" t="s">
        <v>1180</v>
      </c>
      <c r="F196" s="19">
        <v>16.510000000000002</v>
      </c>
      <c r="G196" s="37" t="s">
        <v>1449</v>
      </c>
      <c r="H196" s="21" t="s">
        <v>263</v>
      </c>
      <c r="I196" s="45">
        <f>IFERROR(ROUND(IF(Reinvest[[#This Row],[Result]]="L",0-Reinvest[[#This Row],[Risk]],IF(Reinvest[[#This Row],[Result]]="Push",0,IF(Reinvest[[#This Row],[Result]]="No Action",0,IF(Reinvest[[#This Row],[Result]]="W",IF(Reinvest[[#This Row],[Odds]]&gt;0,Reinvest[[#This Row],[Odds]]/100*Reinvest[[#This Row],[Risk]],(Reinvest[[#This Row],[Risk]]/Reinvest[[#This Row],[Odds]]*-100)),"")))),2),"")</f>
        <v>-16.510000000000002</v>
      </c>
      <c r="J196" s="89" t="str">
        <f>IF(B196=B197,"",SUM($I$4:I196)/SUM($F$4:F196))</f>
        <v/>
      </c>
      <c r="K196"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196" s="24"/>
      <c r="O196" s="74"/>
      <c r="P196" s="27"/>
    </row>
    <row r="197" spans="1:16" x14ac:dyDescent="0.25">
      <c r="A197" s="13">
        <f t="shared" ref="A197:A260" si="8">IF(B197=B196,A196,A196+1)</f>
        <v>22</v>
      </c>
      <c r="B197" s="17">
        <v>43718</v>
      </c>
      <c r="C197" s="17" t="s">
        <v>802</v>
      </c>
      <c r="D197" s="18" t="s">
        <v>4425</v>
      </c>
      <c r="E197" s="11" t="s">
        <v>899</v>
      </c>
      <c r="F197" s="19">
        <v>18.239999999999998</v>
      </c>
      <c r="G197" s="37">
        <v>-150</v>
      </c>
      <c r="H197" s="21" t="s">
        <v>263</v>
      </c>
      <c r="I197" s="45">
        <f>IFERROR(ROUND(IF(Reinvest[[#This Row],[Result]]="L",0-Reinvest[[#This Row],[Risk]],IF(Reinvest[[#This Row],[Result]]="Push",0,IF(Reinvest[[#This Row],[Result]]="No Action",0,IF(Reinvest[[#This Row],[Result]]="W",IF(Reinvest[[#This Row],[Odds]]&gt;0,Reinvest[[#This Row],[Odds]]/100*Reinvest[[#This Row],[Risk]],(Reinvest[[#This Row],[Risk]]/Reinvest[[#This Row],[Odds]]*-100)),"")))),2),"")</f>
        <v>-18.239999999999998</v>
      </c>
      <c r="J197" s="89" t="str">
        <f>IF(B197=B198,"",SUM($I$4:I197)/SUM($F$4:F197))</f>
        <v/>
      </c>
      <c r="K197"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97" s="24"/>
      <c r="O197" s="74"/>
      <c r="P197" s="27"/>
    </row>
    <row r="198" spans="1:16" x14ac:dyDescent="0.25">
      <c r="A198" s="13">
        <f t="shared" si="8"/>
        <v>22</v>
      </c>
      <c r="B198" s="17">
        <v>43718</v>
      </c>
      <c r="C198" s="17" t="s">
        <v>802</v>
      </c>
      <c r="D198" s="18" t="s">
        <v>4413</v>
      </c>
      <c r="E198" s="11" t="s">
        <v>869</v>
      </c>
      <c r="F198" s="19">
        <v>23.71</v>
      </c>
      <c r="G198" s="37">
        <v>-148</v>
      </c>
      <c r="H198" s="21" t="s">
        <v>262</v>
      </c>
      <c r="I198" s="45">
        <f>IFERROR(ROUND(IF(Reinvest[[#This Row],[Result]]="L",0-Reinvest[[#This Row],[Risk]],IF(Reinvest[[#This Row],[Result]]="Push",0,IF(Reinvest[[#This Row],[Result]]="No Action",0,IF(Reinvest[[#This Row],[Result]]="W",IF(Reinvest[[#This Row],[Odds]]&gt;0,Reinvest[[#This Row],[Odds]]/100*Reinvest[[#This Row],[Risk]],(Reinvest[[#This Row],[Risk]]/Reinvest[[#This Row],[Odds]]*-100)),"")))),2),"")</f>
        <v>16.02</v>
      </c>
      <c r="J198" s="89" t="str">
        <f>IF(B198=B199,"",SUM($I$4:I198)/SUM($F$4:F198))</f>
        <v/>
      </c>
      <c r="K198"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198" s="24"/>
      <c r="O198" s="74"/>
      <c r="P198" s="27"/>
    </row>
    <row r="199" spans="1:16" x14ac:dyDescent="0.25">
      <c r="A199" s="13">
        <f t="shared" si="8"/>
        <v>22</v>
      </c>
      <c r="B199" s="17">
        <v>43718</v>
      </c>
      <c r="C199" s="17" t="s">
        <v>802</v>
      </c>
      <c r="D199" s="18" t="s">
        <v>4425</v>
      </c>
      <c r="E199" s="11" t="s">
        <v>3729</v>
      </c>
      <c r="F199" s="19">
        <v>18.170000000000002</v>
      </c>
      <c r="G199" s="37">
        <v>-117</v>
      </c>
      <c r="H199" s="21" t="s">
        <v>262</v>
      </c>
      <c r="I199" s="45">
        <f>IFERROR(ROUND(IF(Reinvest[[#This Row],[Result]]="L",0-Reinvest[[#This Row],[Risk]],IF(Reinvest[[#This Row],[Result]]="Push",0,IF(Reinvest[[#This Row],[Result]]="No Action",0,IF(Reinvest[[#This Row],[Result]]="W",IF(Reinvest[[#This Row],[Odds]]&gt;0,Reinvest[[#This Row],[Odds]]/100*Reinvest[[#This Row],[Risk]],(Reinvest[[#This Row],[Risk]]/Reinvest[[#This Row],[Odds]]*-100)),"")))),2),"")</f>
        <v>15.53</v>
      </c>
      <c r="J199" s="89" t="str">
        <f>IF(B199=B200,"",SUM($I$4:I199)/SUM($F$4:F199))</f>
        <v/>
      </c>
      <c r="K199"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199" s="24"/>
      <c r="O199" s="74"/>
      <c r="P199" s="27"/>
    </row>
    <row r="200" spans="1:16" x14ac:dyDescent="0.25">
      <c r="A200" s="13">
        <f t="shared" si="8"/>
        <v>22</v>
      </c>
      <c r="B200" s="17">
        <v>43718</v>
      </c>
      <c r="C200" s="17" t="s">
        <v>802</v>
      </c>
      <c r="D200" s="18" t="s">
        <v>4426</v>
      </c>
      <c r="E200" s="11" t="s">
        <v>845</v>
      </c>
      <c r="F200" s="19">
        <v>22.32</v>
      </c>
      <c r="G200" s="37">
        <v>-112</v>
      </c>
      <c r="H200" s="21" t="s">
        <v>262</v>
      </c>
      <c r="I200" s="45">
        <f>IFERROR(ROUND(IF(Reinvest[[#This Row],[Result]]="L",0-Reinvest[[#This Row],[Risk]],IF(Reinvest[[#This Row],[Result]]="Push",0,IF(Reinvest[[#This Row],[Result]]="No Action",0,IF(Reinvest[[#This Row],[Result]]="W",IF(Reinvest[[#This Row],[Odds]]&gt;0,Reinvest[[#This Row],[Odds]]/100*Reinvest[[#This Row],[Risk]],(Reinvest[[#This Row],[Risk]]/Reinvest[[#This Row],[Odds]]*-100)),"")))),2),"")</f>
        <v>19.93</v>
      </c>
      <c r="J200" s="89" t="str">
        <f>IF(B200=B201,"",SUM($I$4:I200)/SUM($F$4:F200))</f>
        <v/>
      </c>
      <c r="K200"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200" s="24"/>
      <c r="O200" s="74"/>
      <c r="P200" s="27"/>
    </row>
    <row r="201" spans="1:16" x14ac:dyDescent="0.25">
      <c r="A201" s="13">
        <f t="shared" si="8"/>
        <v>22</v>
      </c>
      <c r="B201" s="17">
        <v>43718</v>
      </c>
      <c r="C201" s="17" t="s">
        <v>802</v>
      </c>
      <c r="D201" s="18" t="s">
        <v>4413</v>
      </c>
      <c r="E201" s="11" t="s">
        <v>1156</v>
      </c>
      <c r="F201" s="19">
        <v>19.510000000000002</v>
      </c>
      <c r="G201" s="37">
        <v>-115</v>
      </c>
      <c r="H201" s="21" t="s">
        <v>263</v>
      </c>
      <c r="I201" s="45">
        <f>IFERROR(ROUND(IF(Reinvest[[#This Row],[Result]]="L",0-Reinvest[[#This Row],[Risk]],IF(Reinvest[[#This Row],[Result]]="Push",0,IF(Reinvest[[#This Row],[Result]]="No Action",0,IF(Reinvest[[#This Row],[Result]]="W",IF(Reinvest[[#This Row],[Odds]]&gt;0,Reinvest[[#This Row],[Odds]]/100*Reinvest[[#This Row],[Risk]],(Reinvest[[#This Row],[Risk]]/Reinvest[[#This Row],[Odds]]*-100)),"")))),2),"")</f>
        <v>-19.510000000000002</v>
      </c>
      <c r="J201" s="89">
        <f>IF(B201=B202,"",SUM($I$4:I201)/SUM($F$4:F201))</f>
        <v>5.4489939219094239E-3</v>
      </c>
      <c r="K201"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O</v>
      </c>
      <c r="L201" s="24"/>
      <c r="O201" s="74"/>
      <c r="P201" s="27"/>
    </row>
    <row r="202" spans="1:16" x14ac:dyDescent="0.25">
      <c r="A202" s="13">
        <f t="shared" si="8"/>
        <v>23</v>
      </c>
      <c r="B202" s="17">
        <v>43719</v>
      </c>
      <c r="C202" s="17" t="s">
        <v>802</v>
      </c>
      <c r="D202" s="18" t="s">
        <v>4446</v>
      </c>
      <c r="E202" s="11" t="s">
        <v>832</v>
      </c>
      <c r="F202" s="19">
        <v>21.05</v>
      </c>
      <c r="G202" s="37">
        <v>-220</v>
      </c>
      <c r="H202" s="21" t="s">
        <v>846</v>
      </c>
      <c r="I202" s="45">
        <f>IFERROR(ROUND(IF(Reinvest[[#This Row],[Result]]="L",0-Reinvest[[#This Row],[Risk]],IF(Reinvest[[#This Row],[Result]]="Push",0,IF(Reinvest[[#This Row],[Result]]="No Action",0,IF(Reinvest[[#This Row],[Result]]="W",IF(Reinvest[[#This Row],[Odds]]&gt;0,Reinvest[[#This Row],[Odds]]/100*Reinvest[[#This Row],[Risk]],(Reinvest[[#This Row],[Risk]]/Reinvest[[#This Row],[Odds]]*-100)),"")))),2),"")</f>
        <v>0</v>
      </c>
      <c r="J202" s="89" t="str">
        <f>IF(B202=B203,"",SUM($I$4:I202)/SUM($F$4:F202))</f>
        <v/>
      </c>
      <c r="K202"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202" s="24"/>
      <c r="O202" s="74"/>
      <c r="P202" s="27"/>
    </row>
    <row r="203" spans="1:16" x14ac:dyDescent="0.25">
      <c r="A203" s="13">
        <f t="shared" si="8"/>
        <v>23</v>
      </c>
      <c r="B203" s="17">
        <v>43719</v>
      </c>
      <c r="C203" s="17" t="s">
        <v>802</v>
      </c>
      <c r="D203" s="18" t="s">
        <v>4424</v>
      </c>
      <c r="E203" s="11" t="s">
        <v>827</v>
      </c>
      <c r="F203" s="19">
        <v>20.89</v>
      </c>
      <c r="G203" s="37">
        <v>-182</v>
      </c>
      <c r="H203" s="21" t="s">
        <v>263</v>
      </c>
      <c r="I203" s="45">
        <f>IFERROR(ROUND(IF(Reinvest[[#This Row],[Result]]="L",0-Reinvest[[#This Row],[Risk]],IF(Reinvest[[#This Row],[Result]]="Push",0,IF(Reinvest[[#This Row],[Result]]="No Action",0,IF(Reinvest[[#This Row],[Result]]="W",IF(Reinvest[[#This Row],[Odds]]&gt;0,Reinvest[[#This Row],[Odds]]/100*Reinvest[[#This Row],[Risk]],(Reinvest[[#This Row],[Risk]]/Reinvest[[#This Row],[Odds]]*-100)),"")))),2),"")</f>
        <v>-20.89</v>
      </c>
      <c r="J203" s="89" t="str">
        <f>IF(B203=B204,"",SUM($I$4:I203)/SUM($F$4:F203))</f>
        <v/>
      </c>
      <c r="K203"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203" s="24"/>
      <c r="O203" s="74"/>
      <c r="P203" s="27"/>
    </row>
    <row r="204" spans="1:16" x14ac:dyDescent="0.25">
      <c r="A204" s="13">
        <f t="shared" si="8"/>
        <v>23</v>
      </c>
      <c r="B204" s="17">
        <v>43719</v>
      </c>
      <c r="C204" s="17" t="s">
        <v>802</v>
      </c>
      <c r="D204" s="18" t="s">
        <v>4447</v>
      </c>
      <c r="E204" s="11" t="s">
        <v>1178</v>
      </c>
      <c r="F204" s="19">
        <v>15.85</v>
      </c>
      <c r="G204" s="37" t="s">
        <v>825</v>
      </c>
      <c r="H204" s="21" t="s">
        <v>263</v>
      </c>
      <c r="I204" s="45">
        <f>IFERROR(ROUND(IF(Reinvest[[#This Row],[Result]]="L",0-Reinvest[[#This Row],[Risk]],IF(Reinvest[[#This Row],[Result]]="Push",0,IF(Reinvest[[#This Row],[Result]]="No Action",0,IF(Reinvest[[#This Row],[Result]]="W",IF(Reinvest[[#This Row],[Odds]]&gt;0,Reinvest[[#This Row],[Odds]]/100*Reinvest[[#This Row],[Risk]],(Reinvest[[#This Row],[Risk]]/Reinvest[[#This Row],[Odds]]*-100)),"")))),2),"")</f>
        <v>-15.85</v>
      </c>
      <c r="J204" s="89" t="str">
        <f>IF(B204=B205,"",SUM($I$4:I204)/SUM($F$4:F204))</f>
        <v/>
      </c>
      <c r="K20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204" s="24"/>
      <c r="O204" s="74"/>
      <c r="P204" s="27"/>
    </row>
    <row r="205" spans="1:16" x14ac:dyDescent="0.25">
      <c r="A205" s="13">
        <f t="shared" si="8"/>
        <v>23</v>
      </c>
      <c r="B205" s="17">
        <v>43719</v>
      </c>
      <c r="C205" s="17" t="s">
        <v>802</v>
      </c>
      <c r="D205" s="18" t="s">
        <v>4448</v>
      </c>
      <c r="E205" s="11" t="s">
        <v>819</v>
      </c>
      <c r="F205" s="19">
        <v>18.79</v>
      </c>
      <c r="G205" s="37">
        <v>-155</v>
      </c>
      <c r="H205" s="21" t="s">
        <v>263</v>
      </c>
      <c r="I205" s="45">
        <f>IFERROR(ROUND(IF(Reinvest[[#This Row],[Result]]="L",0-Reinvest[[#This Row],[Risk]],IF(Reinvest[[#This Row],[Result]]="Push",0,IF(Reinvest[[#This Row],[Result]]="No Action",0,IF(Reinvest[[#This Row],[Result]]="W",IF(Reinvest[[#This Row],[Odds]]&gt;0,Reinvest[[#This Row],[Odds]]/100*Reinvest[[#This Row],[Risk]],(Reinvest[[#This Row],[Risk]]/Reinvest[[#This Row],[Odds]]*-100)),"")))),2),"")</f>
        <v>-18.79</v>
      </c>
      <c r="J205" s="89" t="str">
        <f>IF(B205=B206,"",SUM($I$4:I205)/SUM($F$4:F205))</f>
        <v/>
      </c>
      <c r="K205"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205" s="24"/>
      <c r="O205" s="74"/>
      <c r="P205" s="27"/>
    </row>
    <row r="206" spans="1:16" x14ac:dyDescent="0.25">
      <c r="A206" s="13">
        <f t="shared" si="8"/>
        <v>23</v>
      </c>
      <c r="B206" s="17">
        <v>43719</v>
      </c>
      <c r="C206" s="17" t="s">
        <v>802</v>
      </c>
      <c r="D206" s="18" t="s">
        <v>4413</v>
      </c>
      <c r="E206" s="11" t="s">
        <v>869</v>
      </c>
      <c r="F206" s="19">
        <v>22.2</v>
      </c>
      <c r="G206" s="37">
        <v>-125</v>
      </c>
      <c r="H206" s="21" t="s">
        <v>262</v>
      </c>
      <c r="I206" s="45">
        <f>IFERROR(ROUND(IF(Reinvest[[#This Row],[Result]]="L",0-Reinvest[[#This Row],[Risk]],IF(Reinvest[[#This Row],[Result]]="Push",0,IF(Reinvest[[#This Row],[Result]]="No Action",0,IF(Reinvest[[#This Row],[Result]]="W",IF(Reinvest[[#This Row],[Odds]]&gt;0,Reinvest[[#This Row],[Odds]]/100*Reinvest[[#This Row],[Risk]],(Reinvest[[#This Row],[Risk]]/Reinvest[[#This Row],[Odds]]*-100)),"")))),2),"")</f>
        <v>17.760000000000002</v>
      </c>
      <c r="J206" s="89" t="str">
        <f>IF(B206=B207,"",SUM($I$4:I206)/SUM($F$4:F206))</f>
        <v/>
      </c>
      <c r="K206"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206" s="24"/>
      <c r="O206" s="74"/>
      <c r="P206" s="27"/>
    </row>
    <row r="207" spans="1:16" x14ac:dyDescent="0.25">
      <c r="A207" s="13">
        <f t="shared" si="8"/>
        <v>23</v>
      </c>
      <c r="B207" s="17">
        <v>43719</v>
      </c>
      <c r="C207" s="17" t="s">
        <v>802</v>
      </c>
      <c r="D207" s="18" t="s">
        <v>4425</v>
      </c>
      <c r="E207" s="11" t="s">
        <v>899</v>
      </c>
      <c r="F207" s="19">
        <v>21.21</v>
      </c>
      <c r="G207" s="37">
        <v>-150</v>
      </c>
      <c r="H207" s="21" t="s">
        <v>263</v>
      </c>
      <c r="I207" s="45">
        <f>IFERROR(ROUND(IF(Reinvest[[#This Row],[Result]]="L",0-Reinvest[[#This Row],[Risk]],IF(Reinvest[[#This Row],[Result]]="Push",0,IF(Reinvest[[#This Row],[Result]]="No Action",0,IF(Reinvest[[#This Row],[Result]]="W",IF(Reinvest[[#This Row],[Odds]]&gt;0,Reinvest[[#This Row],[Odds]]/100*Reinvest[[#This Row],[Risk]],(Reinvest[[#This Row],[Risk]]/Reinvest[[#This Row],[Odds]]*-100)),"")))),2),"")</f>
        <v>-21.21</v>
      </c>
      <c r="J207" s="89" t="str">
        <f>IF(B207=B208,"",SUM($I$4:I207)/SUM($F$4:F207))</f>
        <v/>
      </c>
      <c r="K207"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207" s="24"/>
      <c r="O207" s="74"/>
      <c r="P207" s="27"/>
    </row>
    <row r="208" spans="1:16" x14ac:dyDescent="0.25">
      <c r="A208" s="13">
        <f t="shared" si="8"/>
        <v>23</v>
      </c>
      <c r="B208" s="17">
        <v>43719</v>
      </c>
      <c r="C208" s="17" t="s">
        <v>802</v>
      </c>
      <c r="D208" s="18" t="s">
        <v>4448</v>
      </c>
      <c r="E208" s="11" t="s">
        <v>879</v>
      </c>
      <c r="F208" s="19">
        <v>17.68</v>
      </c>
      <c r="G208" s="37">
        <v>-115</v>
      </c>
      <c r="H208" s="21" t="s">
        <v>263</v>
      </c>
      <c r="I208" s="45">
        <f>IFERROR(ROUND(IF(Reinvest[[#This Row],[Result]]="L",0-Reinvest[[#This Row],[Risk]],IF(Reinvest[[#This Row],[Result]]="Push",0,IF(Reinvest[[#This Row],[Result]]="No Action",0,IF(Reinvest[[#This Row],[Result]]="W",IF(Reinvest[[#This Row],[Odds]]&gt;0,Reinvest[[#This Row],[Odds]]/100*Reinvest[[#This Row],[Risk]],(Reinvest[[#This Row],[Risk]]/Reinvest[[#This Row],[Odds]]*-100)),"")))),2),"")</f>
        <v>-17.68</v>
      </c>
      <c r="J208" s="89" t="str">
        <f>IF(B208=B209,"",SUM($I$4:I208)/SUM($F$4:F208))</f>
        <v/>
      </c>
      <c r="K208"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208" s="24"/>
      <c r="O208" s="74"/>
      <c r="P208" s="27"/>
    </row>
    <row r="209" spans="1:16" x14ac:dyDescent="0.25">
      <c r="A209" s="13">
        <f t="shared" si="8"/>
        <v>23</v>
      </c>
      <c r="B209" s="17">
        <v>43719</v>
      </c>
      <c r="C209" s="17" t="s">
        <v>802</v>
      </c>
      <c r="D209" s="18" t="s">
        <v>4425</v>
      </c>
      <c r="E209" s="11" t="s">
        <v>3729</v>
      </c>
      <c r="F209" s="19">
        <v>22.32</v>
      </c>
      <c r="G209" s="37">
        <v>-114</v>
      </c>
      <c r="H209" s="21" t="s">
        <v>262</v>
      </c>
      <c r="I209" s="45">
        <f>IFERROR(ROUND(IF(Reinvest[[#This Row],[Result]]="L",0-Reinvest[[#This Row],[Risk]],IF(Reinvest[[#This Row],[Result]]="Push",0,IF(Reinvest[[#This Row],[Result]]="No Action",0,IF(Reinvest[[#This Row],[Result]]="W",IF(Reinvest[[#This Row],[Odds]]&gt;0,Reinvest[[#This Row],[Odds]]/100*Reinvest[[#This Row],[Risk]],(Reinvest[[#This Row],[Risk]]/Reinvest[[#This Row],[Odds]]*-100)),"")))),2),"")</f>
        <v>19.579999999999998</v>
      </c>
      <c r="J209" s="89">
        <f>IF(B209=B210,"",SUM($I$4:I209)/SUM($F$4:F209))</f>
        <v>-1.2073073387838021E-2</v>
      </c>
      <c r="K209"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U</v>
      </c>
      <c r="L209" s="24"/>
      <c r="O209" s="74"/>
      <c r="P209" s="27"/>
    </row>
    <row r="210" spans="1:16" x14ac:dyDescent="0.25">
      <c r="A210" s="13">
        <f t="shared" si="8"/>
        <v>24</v>
      </c>
      <c r="B210" s="17">
        <v>43724</v>
      </c>
      <c r="C210" s="17" t="s">
        <v>802</v>
      </c>
      <c r="D210" s="18" t="s">
        <v>4563</v>
      </c>
      <c r="E210" s="11" t="s">
        <v>1178</v>
      </c>
      <c r="F210" s="19">
        <v>22.86</v>
      </c>
      <c r="G210" s="37">
        <v>-250</v>
      </c>
      <c r="H210" s="21"/>
      <c r="I210" s="45" t="str">
        <f>IFERROR(ROUND(IF(Reinvest[[#This Row],[Result]]="L",0-Reinvest[[#This Row],[Risk]],IF(Reinvest[[#This Row],[Result]]="Push",0,IF(Reinvest[[#This Row],[Result]]="No Action",0,IF(Reinvest[[#This Row],[Result]]="W",IF(Reinvest[[#This Row],[Odds]]&gt;0,Reinvest[[#This Row],[Odds]]/100*Reinvest[[#This Row],[Risk]],(Reinvest[[#This Row],[Risk]]/Reinvest[[#This Row],[Odds]]*-100)),"")))),2),"")</f>
        <v/>
      </c>
      <c r="J210" s="89" t="str">
        <f>IF(B210=B211,"",SUM($I$4:I210)/SUM($F$4:F210))</f>
        <v/>
      </c>
      <c r="K210"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210" s="24"/>
      <c r="O210" s="74"/>
      <c r="P210" s="27"/>
    </row>
    <row r="211" spans="1:16" x14ac:dyDescent="0.25">
      <c r="A211" s="13">
        <f t="shared" si="8"/>
        <v>24</v>
      </c>
      <c r="B211" s="17">
        <v>43724</v>
      </c>
      <c r="C211" s="17" t="s">
        <v>802</v>
      </c>
      <c r="D211" s="18" t="s">
        <v>4564</v>
      </c>
      <c r="E211" s="11" t="s">
        <v>899</v>
      </c>
      <c r="F211" s="19">
        <v>17.11</v>
      </c>
      <c r="G211" s="37" t="s">
        <v>868</v>
      </c>
      <c r="H211" s="21"/>
      <c r="I211" s="45" t="str">
        <f>IFERROR(ROUND(IF(Reinvest[[#This Row],[Result]]="L",0-Reinvest[[#This Row],[Risk]],IF(Reinvest[[#This Row],[Result]]="Push",0,IF(Reinvest[[#This Row],[Result]]="No Action",0,IF(Reinvest[[#This Row],[Result]]="W",IF(Reinvest[[#This Row],[Odds]]&gt;0,Reinvest[[#This Row],[Odds]]/100*Reinvest[[#This Row],[Risk]],(Reinvest[[#This Row],[Risk]]/Reinvest[[#This Row],[Odds]]*-100)),"")))),2),"")</f>
        <v/>
      </c>
      <c r="J211" s="89" t="str">
        <f>IF(B211=B212,"",SUM($I$4:I211)/SUM($F$4:F211))</f>
        <v/>
      </c>
      <c r="K211"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211" s="24"/>
      <c r="O211" s="74"/>
      <c r="P211" s="27"/>
    </row>
    <row r="212" spans="1:16" x14ac:dyDescent="0.25">
      <c r="A212" s="13">
        <f t="shared" si="8"/>
        <v>24</v>
      </c>
      <c r="B212" s="17">
        <v>43724</v>
      </c>
      <c r="C212" s="17" t="s">
        <v>802</v>
      </c>
      <c r="D212" s="18" t="s">
        <v>1502</v>
      </c>
      <c r="E212" s="11" t="s">
        <v>1166</v>
      </c>
      <c r="F212" s="19">
        <v>15.14</v>
      </c>
      <c r="G212" s="37" t="s">
        <v>4565</v>
      </c>
      <c r="H212" s="21"/>
      <c r="I212" s="45" t="str">
        <f>IFERROR(ROUND(IF(Reinvest[[#This Row],[Result]]="L",0-Reinvest[[#This Row],[Risk]],IF(Reinvest[[#This Row],[Result]]="Push",0,IF(Reinvest[[#This Row],[Result]]="No Action",0,IF(Reinvest[[#This Row],[Result]]="W",IF(Reinvest[[#This Row],[Odds]]&gt;0,Reinvest[[#This Row],[Odds]]/100*Reinvest[[#This Row],[Risk]],(Reinvest[[#This Row],[Risk]]/Reinvest[[#This Row],[Odds]]*-100)),"")))),2),"")</f>
        <v/>
      </c>
      <c r="J212" s="89" t="str">
        <f>IF(B212=B213,"",SUM($I$4:I212)/SUM($F$4:F212))</f>
        <v/>
      </c>
      <c r="K212"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MD</v>
      </c>
      <c r="L212" s="24"/>
      <c r="O212" s="74"/>
      <c r="P212" s="27"/>
    </row>
    <row r="213" spans="1:16" x14ac:dyDescent="0.25">
      <c r="A213" s="13">
        <f t="shared" si="8"/>
        <v>24</v>
      </c>
      <c r="B213" s="17">
        <v>43724</v>
      </c>
      <c r="C213" s="17" t="s">
        <v>802</v>
      </c>
      <c r="D213" s="18" t="s">
        <v>4566</v>
      </c>
      <c r="E213" s="11" t="s">
        <v>3659</v>
      </c>
      <c r="F213" s="19">
        <v>20.95</v>
      </c>
      <c r="G213" s="37">
        <v>-155</v>
      </c>
      <c r="H213" s="21"/>
      <c r="I213" s="45" t="str">
        <f>IFERROR(ROUND(IF(Reinvest[[#This Row],[Result]]="L",0-Reinvest[[#This Row],[Risk]],IF(Reinvest[[#This Row],[Result]]="Push",0,IF(Reinvest[[#This Row],[Result]]="No Action",0,IF(Reinvest[[#This Row],[Result]]="W",IF(Reinvest[[#This Row],[Odds]]&gt;0,Reinvest[[#This Row],[Odds]]/100*Reinvest[[#This Row],[Risk]],(Reinvest[[#This Row],[Risk]]/Reinvest[[#This Row],[Odds]]*-100)),"")))),2),"")</f>
        <v/>
      </c>
      <c r="J213" s="89" t="str">
        <f>IF(B213=B214,"",SUM($I$4:I213)/SUM($F$4:F213))</f>
        <v/>
      </c>
      <c r="K213"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213" s="24"/>
      <c r="O213" s="74"/>
      <c r="P213" s="27"/>
    </row>
    <row r="214" spans="1:16" x14ac:dyDescent="0.25">
      <c r="A214" s="13">
        <f t="shared" si="8"/>
        <v>24</v>
      </c>
      <c r="B214" s="17">
        <v>43724</v>
      </c>
      <c r="C214" s="17" t="s">
        <v>802</v>
      </c>
      <c r="D214" s="18" t="s">
        <v>4567</v>
      </c>
      <c r="E214" s="11" t="s">
        <v>834</v>
      </c>
      <c r="F214" s="19">
        <v>23.94</v>
      </c>
      <c r="G214" s="37">
        <v>-286</v>
      </c>
      <c r="H214" s="21"/>
      <c r="I214" s="45" t="str">
        <f>IFERROR(ROUND(IF(Reinvest[[#This Row],[Result]]="L",0-Reinvest[[#This Row],[Risk]],IF(Reinvest[[#This Row],[Result]]="Push",0,IF(Reinvest[[#This Row],[Result]]="No Action",0,IF(Reinvest[[#This Row],[Result]]="W",IF(Reinvest[[#This Row],[Odds]]&gt;0,Reinvest[[#This Row],[Odds]]/100*Reinvest[[#This Row],[Risk]],(Reinvest[[#This Row],[Risk]]/Reinvest[[#This Row],[Odds]]*-100)),"")))),2),"")</f>
        <v/>
      </c>
      <c r="J214" s="89">
        <f>IF(B214=B215,"",SUM($I$4:I214)/SUM($F$4:F214))</f>
        <v>-1.1718749999999988E-2</v>
      </c>
      <c r="K214" s="39" t="str">
        <f>IF(ISNUMBER(SEARCH(CHAR(10),Reinvest[[#This Row],[Bet]])),"P",IF(ISNUMBER(FIND("Under",Reinvest[[#This Row],[Bet]])),"U",IF(ISNUMBER(SEARCH("Over",Reinvest[[#This Row],[Bet]])),"O",IF(ISNUMBER(SEARCH("+",Reinvest[[#This Row],[Bet]])),"D",IF(ISNUMBER(SEARCH("-",Reinvest[[#This Row],[Bet]])),"F",IF(ISNUMBER(SEARCH("Moneyline",Reinvest[[#This Row],[Bet]])),IF(Reinvest[[#This Row],[Odds]]&lt;0,"MF","MD"),""))))))</f>
        <v>MF</v>
      </c>
      <c r="L214" s="24"/>
      <c r="O214" s="74"/>
      <c r="P214" s="27"/>
    </row>
    <row r="215" spans="1:16" x14ac:dyDescent="0.25">
      <c r="A215" s="13">
        <f t="shared" si="8"/>
        <v>25</v>
      </c>
      <c r="B215" s="17"/>
      <c r="C215" s="17"/>
      <c r="D215" s="18"/>
      <c r="E215" s="11"/>
      <c r="F215" s="19"/>
      <c r="G215" s="36"/>
      <c r="H215" s="21"/>
      <c r="I215" s="22"/>
      <c r="J215" s="22"/>
      <c r="K215" s="35"/>
      <c r="L215" s="24"/>
      <c r="O215" s="74"/>
      <c r="P215" s="27"/>
    </row>
    <row r="216" spans="1:16" x14ac:dyDescent="0.25">
      <c r="A216" s="13">
        <f t="shared" si="8"/>
        <v>25</v>
      </c>
      <c r="B216" s="17"/>
      <c r="C216" s="17"/>
      <c r="D216" s="18"/>
      <c r="E216" s="11"/>
      <c r="F216" s="19"/>
      <c r="G216" s="36"/>
      <c r="H216" s="21"/>
      <c r="I216" s="22"/>
      <c r="J216" s="22"/>
      <c r="K216" s="35"/>
      <c r="L216" s="24"/>
      <c r="O216" s="74"/>
      <c r="P216" s="27"/>
    </row>
    <row r="217" spans="1:16" x14ac:dyDescent="0.25">
      <c r="A217" s="13">
        <f t="shared" si="8"/>
        <v>25</v>
      </c>
      <c r="B217" s="17"/>
      <c r="C217" s="17"/>
      <c r="D217" s="18"/>
      <c r="E217" s="11"/>
      <c r="F217" s="19"/>
      <c r="G217" s="20"/>
      <c r="H217" s="21"/>
      <c r="I217" s="22"/>
      <c r="J217" s="22"/>
      <c r="K217" s="39"/>
      <c r="L217" s="24"/>
      <c r="O217" s="74"/>
      <c r="P217" s="27"/>
    </row>
    <row r="218" spans="1:16" x14ac:dyDescent="0.25">
      <c r="A218" s="13">
        <f t="shared" si="8"/>
        <v>25</v>
      </c>
      <c r="B218" s="17"/>
      <c r="C218" s="17"/>
      <c r="D218" s="18"/>
      <c r="E218" s="11"/>
      <c r="F218" s="19"/>
      <c r="G218" s="20"/>
      <c r="H218" s="21"/>
      <c r="I218" s="22"/>
      <c r="J218" s="22"/>
      <c r="K218" s="39"/>
      <c r="L218" s="24"/>
      <c r="O218" s="74"/>
      <c r="P218" s="27"/>
    </row>
    <row r="219" spans="1:16" x14ac:dyDescent="0.25">
      <c r="A219" s="13">
        <f t="shared" si="8"/>
        <v>25</v>
      </c>
      <c r="B219" s="17"/>
      <c r="C219" s="17"/>
      <c r="D219" s="18"/>
      <c r="E219" s="11"/>
      <c r="F219" s="19"/>
      <c r="G219" s="20"/>
      <c r="H219" s="21"/>
      <c r="I219" s="22"/>
      <c r="J219" s="22"/>
      <c r="K219" s="39"/>
      <c r="L219" s="24"/>
      <c r="O219" s="74"/>
      <c r="P219" s="27"/>
    </row>
    <row r="220" spans="1:16" x14ac:dyDescent="0.25">
      <c r="A220" s="13">
        <f t="shared" si="8"/>
        <v>25</v>
      </c>
      <c r="B220" s="17"/>
      <c r="C220" s="17"/>
      <c r="D220" s="18"/>
      <c r="E220" s="11"/>
      <c r="F220" s="19"/>
      <c r="G220" s="20"/>
      <c r="H220" s="21"/>
      <c r="I220" s="22"/>
      <c r="J220" s="22"/>
      <c r="K220" s="39"/>
      <c r="L220" s="24"/>
      <c r="O220" s="74"/>
      <c r="P220" s="27"/>
    </row>
    <row r="221" spans="1:16" x14ac:dyDescent="0.25">
      <c r="A221" s="13">
        <f t="shared" si="8"/>
        <v>25</v>
      </c>
      <c r="B221" s="17"/>
      <c r="C221" s="17"/>
      <c r="D221" s="18"/>
      <c r="E221" s="11"/>
      <c r="F221" s="19"/>
      <c r="G221" s="20"/>
      <c r="H221" s="21"/>
      <c r="I221" s="22"/>
      <c r="J221" s="22"/>
      <c r="K221" s="39"/>
      <c r="L221" s="24"/>
      <c r="O221" s="74"/>
      <c r="P221" s="27"/>
    </row>
    <row r="222" spans="1:16" x14ac:dyDescent="0.25">
      <c r="A222" s="13">
        <f t="shared" si="8"/>
        <v>25</v>
      </c>
      <c r="B222" s="17"/>
      <c r="C222" s="17"/>
      <c r="D222" s="18"/>
      <c r="E222" s="11"/>
      <c r="F222" s="19"/>
      <c r="G222" s="20"/>
      <c r="H222" s="21"/>
      <c r="I222" s="22"/>
      <c r="J222" s="22"/>
      <c r="K222" s="39"/>
      <c r="L222" s="24"/>
      <c r="O222" s="74"/>
      <c r="P222" s="27"/>
    </row>
    <row r="223" spans="1:16" x14ac:dyDescent="0.25">
      <c r="A223" s="13">
        <f t="shared" si="8"/>
        <v>25</v>
      </c>
      <c r="B223" s="17"/>
      <c r="C223" s="17"/>
      <c r="D223" s="18"/>
      <c r="E223" s="11"/>
      <c r="F223" s="19"/>
      <c r="G223" s="20"/>
      <c r="H223" s="21"/>
      <c r="I223" s="22"/>
      <c r="J223" s="22"/>
      <c r="K223" s="39"/>
      <c r="L223" s="24"/>
      <c r="O223" s="74"/>
      <c r="P223" s="27"/>
    </row>
    <row r="224" spans="1:16" x14ac:dyDescent="0.25">
      <c r="A224" s="13">
        <f t="shared" si="8"/>
        <v>25</v>
      </c>
      <c r="B224" s="17"/>
      <c r="C224" s="17"/>
      <c r="D224" s="18"/>
      <c r="E224" s="11"/>
      <c r="F224" s="19"/>
      <c r="G224" s="20"/>
      <c r="H224" s="21"/>
      <c r="I224" s="22"/>
      <c r="J224" s="22"/>
      <c r="K224" s="39"/>
      <c r="L224" s="24"/>
      <c r="O224" s="74"/>
      <c r="P224" s="27"/>
    </row>
    <row r="225" spans="1:16" x14ac:dyDescent="0.25">
      <c r="A225" s="13">
        <f t="shared" si="8"/>
        <v>25</v>
      </c>
      <c r="B225" s="17"/>
      <c r="C225" s="17"/>
      <c r="D225" s="18"/>
      <c r="E225" s="11"/>
      <c r="F225" s="19"/>
      <c r="G225" s="20"/>
      <c r="H225" s="21"/>
      <c r="I225" s="22"/>
      <c r="J225" s="22"/>
      <c r="K225" s="39"/>
      <c r="L225" s="24"/>
      <c r="O225" s="74"/>
      <c r="P225" s="27"/>
    </row>
    <row r="226" spans="1:16" x14ac:dyDescent="0.25">
      <c r="A226" s="13">
        <f t="shared" si="8"/>
        <v>25</v>
      </c>
      <c r="B226" s="17"/>
      <c r="C226" s="17"/>
      <c r="D226" s="18"/>
      <c r="E226" s="11"/>
      <c r="F226" s="19"/>
      <c r="G226" s="20"/>
      <c r="H226" s="21"/>
      <c r="I226" s="22"/>
      <c r="J226" s="22"/>
      <c r="K226" s="39"/>
      <c r="L226" s="24"/>
      <c r="O226" s="74"/>
      <c r="P226" s="27"/>
    </row>
    <row r="227" spans="1:16" x14ac:dyDescent="0.25">
      <c r="A227" s="13">
        <f t="shared" si="8"/>
        <v>25</v>
      </c>
      <c r="B227" s="17"/>
      <c r="C227" s="17"/>
      <c r="D227" s="18"/>
      <c r="E227" s="11"/>
      <c r="F227" s="19"/>
      <c r="G227" s="20"/>
      <c r="H227" s="21"/>
      <c r="I227" s="22"/>
      <c r="J227" s="22"/>
      <c r="K227" s="39"/>
      <c r="L227" s="24"/>
      <c r="O227" s="74"/>
      <c r="P227" s="27"/>
    </row>
    <row r="228" spans="1:16" x14ac:dyDescent="0.25">
      <c r="A228" s="13">
        <f t="shared" si="8"/>
        <v>25</v>
      </c>
      <c r="B228" s="17"/>
      <c r="C228" s="17"/>
      <c r="D228" s="18"/>
      <c r="E228" s="11"/>
      <c r="F228" s="19"/>
      <c r="G228" s="20"/>
      <c r="H228" s="21"/>
      <c r="I228" s="22"/>
      <c r="J228" s="22"/>
      <c r="K228" s="39"/>
      <c r="L228" s="24"/>
      <c r="O228" s="74"/>
      <c r="P228" s="27"/>
    </row>
    <row r="229" spans="1:16" x14ac:dyDescent="0.25">
      <c r="A229" s="13">
        <f t="shared" si="8"/>
        <v>25</v>
      </c>
      <c r="B229" s="17"/>
      <c r="C229" s="17"/>
      <c r="D229" s="18"/>
      <c r="E229" s="11"/>
      <c r="F229" s="19"/>
      <c r="G229" s="20"/>
      <c r="H229" s="21"/>
      <c r="I229" s="22"/>
      <c r="J229" s="22"/>
      <c r="K229" s="39"/>
      <c r="L229" s="24"/>
      <c r="O229" s="74"/>
      <c r="P229" s="27"/>
    </row>
    <row r="230" spans="1:16" x14ac:dyDescent="0.25">
      <c r="A230" s="13">
        <f t="shared" si="8"/>
        <v>25</v>
      </c>
      <c r="B230" s="17"/>
      <c r="C230" s="17"/>
      <c r="D230" s="18"/>
      <c r="E230" s="11"/>
      <c r="F230" s="19"/>
      <c r="G230" s="20"/>
      <c r="H230" s="21"/>
      <c r="I230" s="22"/>
      <c r="J230" s="22"/>
      <c r="K230" s="39"/>
      <c r="L230" s="24"/>
      <c r="O230" s="74"/>
      <c r="P230" s="27"/>
    </row>
    <row r="231" spans="1:16" x14ac:dyDescent="0.25">
      <c r="A231" s="13">
        <f t="shared" si="8"/>
        <v>25</v>
      </c>
      <c r="B231" s="17"/>
      <c r="C231" s="17"/>
      <c r="D231" s="18"/>
      <c r="E231" s="11"/>
      <c r="F231" s="19"/>
      <c r="G231" s="20"/>
      <c r="H231" s="21"/>
      <c r="I231" s="22"/>
      <c r="J231" s="22"/>
      <c r="K231" s="39"/>
      <c r="L231" s="24"/>
      <c r="O231" s="74"/>
      <c r="P231" s="27"/>
    </row>
    <row r="232" spans="1:16" x14ac:dyDescent="0.25">
      <c r="A232" s="13">
        <f t="shared" si="8"/>
        <v>25</v>
      </c>
      <c r="B232" s="17"/>
      <c r="C232" s="17"/>
      <c r="D232" s="18"/>
      <c r="E232" s="11"/>
      <c r="F232" s="19"/>
      <c r="G232" s="20"/>
      <c r="H232" s="21"/>
      <c r="I232" s="22"/>
      <c r="J232" s="22"/>
      <c r="K232" s="39"/>
      <c r="L232" s="24"/>
      <c r="O232" s="74"/>
      <c r="P232" s="27"/>
    </row>
    <row r="233" spans="1:16" x14ac:dyDescent="0.25">
      <c r="A233" s="13">
        <f t="shared" si="8"/>
        <v>25</v>
      </c>
      <c r="B233" s="17"/>
      <c r="C233" s="17"/>
      <c r="D233" s="18"/>
      <c r="E233" s="11"/>
      <c r="F233" s="19"/>
      <c r="G233" s="20"/>
      <c r="H233" s="21"/>
      <c r="I233" s="22"/>
      <c r="J233" s="22"/>
      <c r="K233" s="39"/>
      <c r="L233" s="24"/>
      <c r="O233" s="74"/>
      <c r="P233" s="27"/>
    </row>
    <row r="234" spans="1:16" x14ac:dyDescent="0.25">
      <c r="A234" s="13">
        <f t="shared" si="8"/>
        <v>25</v>
      </c>
      <c r="B234" s="17"/>
      <c r="C234" s="17"/>
      <c r="D234" s="18"/>
      <c r="E234" s="11"/>
      <c r="F234" s="19"/>
      <c r="G234" s="20"/>
      <c r="H234" s="21"/>
      <c r="I234" s="22"/>
      <c r="J234" s="22"/>
      <c r="K234" s="39"/>
      <c r="L234" s="24"/>
      <c r="O234" s="74"/>
      <c r="P234" s="27"/>
    </row>
    <row r="235" spans="1:16" x14ac:dyDescent="0.25">
      <c r="A235" s="13">
        <f t="shared" si="8"/>
        <v>25</v>
      </c>
      <c r="B235" s="17"/>
      <c r="C235" s="17"/>
      <c r="D235" s="18"/>
      <c r="E235" s="11"/>
      <c r="F235" s="19"/>
      <c r="G235" s="20"/>
      <c r="H235" s="21"/>
      <c r="I235" s="22"/>
      <c r="J235" s="22"/>
      <c r="K235" s="39"/>
      <c r="L235" s="24"/>
      <c r="O235" s="74"/>
      <c r="P235" s="27"/>
    </row>
    <row r="236" spans="1:16" x14ac:dyDescent="0.25">
      <c r="A236" s="13">
        <f t="shared" si="8"/>
        <v>25</v>
      </c>
      <c r="B236" s="17"/>
      <c r="C236" s="17"/>
      <c r="D236" s="18"/>
      <c r="E236" s="11"/>
      <c r="F236" s="19"/>
      <c r="G236" s="20"/>
      <c r="H236" s="21"/>
      <c r="I236" s="22"/>
      <c r="J236" s="22"/>
      <c r="K236" s="39"/>
      <c r="L236" s="24"/>
      <c r="O236" s="74"/>
      <c r="P236" s="27"/>
    </row>
    <row r="237" spans="1:16" x14ac:dyDescent="0.25">
      <c r="A237" s="13">
        <f t="shared" si="8"/>
        <v>25</v>
      </c>
      <c r="B237" s="17"/>
      <c r="C237" s="17"/>
      <c r="D237" s="18"/>
      <c r="E237" s="11"/>
      <c r="F237" s="19"/>
      <c r="G237" s="20"/>
      <c r="H237" s="21"/>
      <c r="I237" s="22"/>
      <c r="J237" s="22"/>
      <c r="K237" s="39"/>
      <c r="L237" s="24"/>
      <c r="O237" s="74"/>
      <c r="P237" s="27"/>
    </row>
    <row r="238" spans="1:16" x14ac:dyDescent="0.25">
      <c r="A238" s="13">
        <f t="shared" si="8"/>
        <v>25</v>
      </c>
      <c r="B238" s="17"/>
      <c r="C238" s="17"/>
      <c r="D238" s="18"/>
      <c r="E238" s="11"/>
      <c r="F238" s="19"/>
      <c r="G238" s="20"/>
      <c r="H238" s="21"/>
      <c r="I238" s="22"/>
      <c r="J238" s="22"/>
      <c r="K238" s="39"/>
      <c r="L238" s="24"/>
      <c r="O238" s="74"/>
      <c r="P238" s="27"/>
    </row>
    <row r="239" spans="1:16" x14ac:dyDescent="0.25">
      <c r="A239" s="13">
        <f t="shared" si="8"/>
        <v>25</v>
      </c>
      <c r="B239" s="17"/>
      <c r="C239" s="17"/>
      <c r="D239" s="18"/>
      <c r="E239" s="11"/>
      <c r="F239" s="19"/>
      <c r="G239" s="20"/>
      <c r="H239" s="21"/>
      <c r="I239" s="22"/>
      <c r="J239" s="22"/>
      <c r="K239" s="39"/>
      <c r="L239" s="24"/>
      <c r="O239" s="74"/>
      <c r="P239" s="27"/>
    </row>
    <row r="240" spans="1:16" x14ac:dyDescent="0.25">
      <c r="A240" s="13">
        <f t="shared" si="8"/>
        <v>25</v>
      </c>
      <c r="B240" s="17"/>
      <c r="C240" s="17"/>
      <c r="D240" s="18"/>
      <c r="E240" s="11"/>
      <c r="F240" s="19"/>
      <c r="G240" s="20"/>
      <c r="H240" s="21"/>
      <c r="I240" s="22"/>
      <c r="J240" s="22"/>
      <c r="K240" s="39"/>
      <c r="L240" s="24"/>
      <c r="O240" s="74"/>
      <c r="P240" s="27"/>
    </row>
    <row r="241" spans="1:16" x14ac:dyDescent="0.25">
      <c r="A241" s="13">
        <f t="shared" si="8"/>
        <v>25</v>
      </c>
      <c r="B241" s="17"/>
      <c r="C241" s="17"/>
      <c r="D241" s="18"/>
      <c r="E241" s="11"/>
      <c r="F241" s="19"/>
      <c r="G241" s="20"/>
      <c r="H241" s="21"/>
      <c r="I241" s="22"/>
      <c r="J241" s="22"/>
      <c r="K241" s="39"/>
      <c r="L241" s="24"/>
      <c r="O241" s="74"/>
      <c r="P241" s="27"/>
    </row>
    <row r="242" spans="1:16" x14ac:dyDescent="0.25">
      <c r="A242" s="13">
        <f t="shared" si="8"/>
        <v>25</v>
      </c>
      <c r="B242" s="17"/>
      <c r="C242" s="17"/>
      <c r="D242" s="18"/>
      <c r="E242" s="11"/>
      <c r="F242" s="19"/>
      <c r="G242" s="20"/>
      <c r="H242" s="21"/>
      <c r="I242" s="22"/>
      <c r="J242" s="22"/>
      <c r="K242" s="39"/>
      <c r="L242" s="24"/>
      <c r="O242" s="74"/>
      <c r="P242" s="27"/>
    </row>
    <row r="243" spans="1:16" x14ac:dyDescent="0.25">
      <c r="A243" s="13">
        <f t="shared" si="8"/>
        <v>25</v>
      </c>
      <c r="B243" s="17"/>
      <c r="C243" s="17"/>
      <c r="D243" s="18"/>
      <c r="E243" s="11"/>
      <c r="F243" s="19"/>
      <c r="G243" s="20"/>
      <c r="H243" s="21"/>
      <c r="I243" s="22"/>
      <c r="J243" s="22"/>
      <c r="K243" s="39"/>
      <c r="L243" s="24"/>
      <c r="O243" s="74"/>
      <c r="P243" s="27"/>
    </row>
    <row r="244" spans="1:16" x14ac:dyDescent="0.25">
      <c r="A244" s="13">
        <f t="shared" si="8"/>
        <v>25</v>
      </c>
      <c r="B244" s="17"/>
      <c r="C244" s="17"/>
      <c r="D244" s="18"/>
      <c r="E244" s="11"/>
      <c r="F244" s="19"/>
      <c r="G244" s="20"/>
      <c r="H244" s="21"/>
      <c r="I244" s="22"/>
      <c r="J244" s="22"/>
      <c r="K244" s="39"/>
      <c r="L244" s="24"/>
      <c r="O244" s="74"/>
      <c r="P244" s="27"/>
    </row>
    <row r="245" spans="1:16" x14ac:dyDescent="0.25">
      <c r="A245" s="13">
        <f t="shared" si="8"/>
        <v>25</v>
      </c>
      <c r="B245" s="17"/>
      <c r="C245" s="17"/>
      <c r="D245" s="18"/>
      <c r="E245" s="11"/>
      <c r="F245" s="19"/>
      <c r="G245" s="20"/>
      <c r="H245" s="21"/>
      <c r="I245" s="22"/>
      <c r="J245" s="22"/>
      <c r="K245" s="39"/>
      <c r="L245" s="24"/>
      <c r="O245" s="74"/>
      <c r="P245" s="27"/>
    </row>
    <row r="246" spans="1:16" x14ac:dyDescent="0.25">
      <c r="A246" s="13">
        <f t="shared" si="8"/>
        <v>25</v>
      </c>
      <c r="B246" s="17"/>
      <c r="C246" s="17"/>
      <c r="D246" s="18"/>
      <c r="E246" s="11"/>
      <c r="F246" s="19"/>
      <c r="G246" s="20"/>
      <c r="H246" s="21"/>
      <c r="I246" s="22"/>
      <c r="J246" s="22"/>
      <c r="K246" s="39"/>
      <c r="L246" s="24"/>
      <c r="O246" s="74"/>
      <c r="P246" s="27"/>
    </row>
    <row r="247" spans="1:16" x14ac:dyDescent="0.25">
      <c r="A247" s="13">
        <f t="shared" si="8"/>
        <v>25</v>
      </c>
      <c r="B247" s="17"/>
      <c r="C247" s="17"/>
      <c r="D247" s="18"/>
      <c r="E247" s="11"/>
      <c r="F247" s="19"/>
      <c r="G247" s="20"/>
      <c r="H247" s="21"/>
      <c r="I247" s="22"/>
      <c r="J247" s="22"/>
      <c r="K247" s="39"/>
      <c r="L247" s="24"/>
      <c r="O247" s="74"/>
      <c r="P247" s="27"/>
    </row>
    <row r="248" spans="1:16" x14ac:dyDescent="0.25">
      <c r="A248" s="13">
        <f t="shared" si="8"/>
        <v>25</v>
      </c>
      <c r="B248" s="17"/>
      <c r="C248" s="17"/>
      <c r="D248" s="18"/>
      <c r="E248" s="11"/>
      <c r="F248" s="19"/>
      <c r="G248" s="20"/>
      <c r="H248" s="21"/>
      <c r="I248" s="22"/>
      <c r="J248" s="22"/>
      <c r="K248" s="39"/>
      <c r="L248" s="24"/>
      <c r="O248" s="74"/>
      <c r="P248" s="27"/>
    </row>
    <row r="249" spans="1:16" x14ac:dyDescent="0.25">
      <c r="A249" s="13">
        <f t="shared" si="8"/>
        <v>25</v>
      </c>
      <c r="B249" s="17"/>
      <c r="C249" s="17"/>
      <c r="D249" s="18"/>
      <c r="E249" s="11"/>
      <c r="F249" s="19"/>
      <c r="G249" s="20"/>
      <c r="H249" s="21"/>
      <c r="I249" s="22"/>
      <c r="J249" s="22"/>
      <c r="K249" s="39"/>
      <c r="L249" s="24"/>
      <c r="O249" s="74"/>
      <c r="P249" s="27"/>
    </row>
    <row r="250" spans="1:16" x14ac:dyDescent="0.25">
      <c r="A250" s="13">
        <f t="shared" si="8"/>
        <v>25</v>
      </c>
      <c r="B250" s="17"/>
      <c r="C250" s="17"/>
      <c r="D250" s="18"/>
      <c r="E250" s="11"/>
      <c r="F250" s="19"/>
      <c r="G250" s="20"/>
      <c r="H250" s="21"/>
      <c r="I250" s="22"/>
      <c r="J250" s="22"/>
      <c r="K250" s="39"/>
      <c r="L250" s="24"/>
      <c r="O250" s="74"/>
      <c r="P250" s="27"/>
    </row>
    <row r="251" spans="1:16" x14ac:dyDescent="0.25">
      <c r="A251" s="13">
        <f t="shared" si="8"/>
        <v>25</v>
      </c>
      <c r="B251" s="17"/>
      <c r="C251" s="17"/>
      <c r="D251" s="18"/>
      <c r="E251" s="11"/>
      <c r="F251" s="19"/>
      <c r="G251" s="20"/>
      <c r="H251" s="21"/>
      <c r="I251" s="22"/>
      <c r="J251" s="22"/>
      <c r="K251" s="39"/>
      <c r="L251" s="24"/>
      <c r="O251" s="74"/>
      <c r="P251" s="27"/>
    </row>
    <row r="252" spans="1:16" x14ac:dyDescent="0.25">
      <c r="A252" s="13">
        <f t="shared" si="8"/>
        <v>25</v>
      </c>
      <c r="B252" s="17"/>
      <c r="C252" s="17"/>
      <c r="D252" s="18"/>
      <c r="E252" s="11"/>
      <c r="F252" s="19"/>
      <c r="G252" s="20"/>
      <c r="H252" s="21"/>
      <c r="I252" s="22"/>
      <c r="J252" s="22"/>
      <c r="K252" s="39"/>
      <c r="L252" s="24"/>
      <c r="O252" s="74"/>
      <c r="P252" s="27"/>
    </row>
    <row r="253" spans="1:16" x14ac:dyDescent="0.25">
      <c r="A253" s="13">
        <f t="shared" si="8"/>
        <v>25</v>
      </c>
      <c r="B253" s="17"/>
      <c r="C253" s="17"/>
      <c r="D253" s="18"/>
      <c r="E253" s="11"/>
      <c r="F253" s="19"/>
      <c r="G253" s="20"/>
      <c r="H253" s="21"/>
      <c r="I253" s="22"/>
      <c r="J253" s="22"/>
      <c r="K253" s="39"/>
      <c r="L253" s="24"/>
      <c r="O253" s="74"/>
      <c r="P253" s="27"/>
    </row>
    <row r="254" spans="1:16" x14ac:dyDescent="0.25">
      <c r="A254" s="13">
        <f t="shared" si="8"/>
        <v>25</v>
      </c>
      <c r="B254" s="17"/>
      <c r="C254" s="17"/>
      <c r="D254" s="18"/>
      <c r="E254" s="11"/>
      <c r="F254" s="19"/>
      <c r="G254" s="20"/>
      <c r="H254" s="21"/>
      <c r="I254" s="22"/>
      <c r="J254" s="22"/>
      <c r="K254" s="39"/>
      <c r="L254" s="24"/>
      <c r="O254" s="74"/>
      <c r="P254" s="27"/>
    </row>
    <row r="255" spans="1:16" x14ac:dyDescent="0.25">
      <c r="A255" s="13">
        <f t="shared" si="8"/>
        <v>25</v>
      </c>
      <c r="B255" s="17"/>
      <c r="C255" s="17"/>
      <c r="D255" s="18"/>
      <c r="E255" s="11"/>
      <c r="F255" s="19"/>
      <c r="G255" s="20"/>
      <c r="H255" s="21"/>
      <c r="I255" s="22"/>
      <c r="J255" s="22"/>
      <c r="K255" s="39"/>
      <c r="L255" s="24"/>
      <c r="O255" s="74"/>
      <c r="P255" s="27"/>
    </row>
    <row r="256" spans="1:16" x14ac:dyDescent="0.25">
      <c r="A256" s="13">
        <f t="shared" si="8"/>
        <v>25</v>
      </c>
      <c r="B256" s="17"/>
      <c r="C256" s="17"/>
      <c r="D256" s="18"/>
      <c r="E256" s="11"/>
      <c r="F256" s="19"/>
      <c r="G256" s="20"/>
      <c r="H256" s="21"/>
      <c r="I256" s="22"/>
      <c r="J256" s="22"/>
      <c r="K256" s="39"/>
      <c r="L256" s="24"/>
      <c r="O256" s="74"/>
      <c r="P256" s="27"/>
    </row>
    <row r="257" spans="1:16" x14ac:dyDescent="0.25">
      <c r="A257" s="13">
        <f t="shared" si="8"/>
        <v>25</v>
      </c>
      <c r="B257" s="17"/>
      <c r="C257" s="17"/>
      <c r="D257" s="18"/>
      <c r="E257" s="11"/>
      <c r="F257" s="19"/>
      <c r="G257" s="20"/>
      <c r="H257" s="21"/>
      <c r="I257" s="22"/>
      <c r="J257" s="22"/>
      <c r="K257" s="39"/>
      <c r="L257" s="24"/>
      <c r="O257" s="74"/>
      <c r="P257" s="27"/>
    </row>
    <row r="258" spans="1:16" x14ac:dyDescent="0.25">
      <c r="A258" s="13">
        <f t="shared" si="8"/>
        <v>25</v>
      </c>
      <c r="B258" s="17"/>
      <c r="C258" s="17"/>
      <c r="D258" s="18"/>
      <c r="E258" s="11"/>
      <c r="F258" s="19"/>
      <c r="G258" s="20"/>
      <c r="H258" s="21"/>
      <c r="I258" s="22"/>
      <c r="J258" s="22"/>
      <c r="K258" s="39"/>
      <c r="L258" s="24"/>
      <c r="O258" s="74"/>
      <c r="P258" s="27"/>
    </row>
    <row r="259" spans="1:16" x14ac:dyDescent="0.25">
      <c r="A259" s="13">
        <f t="shared" si="8"/>
        <v>25</v>
      </c>
      <c r="B259" s="17"/>
      <c r="C259" s="17"/>
      <c r="D259" s="18"/>
      <c r="E259" s="11"/>
      <c r="F259" s="19"/>
      <c r="G259" s="20"/>
      <c r="H259" s="21"/>
      <c r="I259" s="22"/>
      <c r="J259" s="22"/>
      <c r="K259" s="39"/>
      <c r="L259" s="24"/>
      <c r="O259" s="74"/>
      <c r="P259" s="27"/>
    </row>
    <row r="260" spans="1:16" x14ac:dyDescent="0.25">
      <c r="A260" s="13">
        <f t="shared" si="8"/>
        <v>25</v>
      </c>
      <c r="B260" s="17"/>
      <c r="C260" s="17"/>
      <c r="D260" s="18"/>
      <c r="E260" s="11"/>
      <c r="F260" s="19"/>
      <c r="G260" s="20"/>
      <c r="H260" s="21"/>
      <c r="I260" s="22"/>
      <c r="J260" s="22"/>
      <c r="K260" s="39"/>
      <c r="L260" s="24"/>
      <c r="O260" s="74"/>
      <c r="P260" s="27"/>
    </row>
    <row r="261" spans="1:16" x14ac:dyDescent="0.25">
      <c r="A261" s="13">
        <f t="shared" ref="A261:A324" si="9">IF(B261=B260,A260,A260+1)</f>
        <v>25</v>
      </c>
      <c r="B261" s="17"/>
      <c r="C261" s="17"/>
      <c r="D261" s="18"/>
      <c r="E261" s="11"/>
      <c r="F261" s="19"/>
      <c r="G261" s="20"/>
      <c r="H261" s="21"/>
      <c r="I261" s="22"/>
      <c r="J261" s="22"/>
      <c r="K261" s="39"/>
      <c r="L261" s="24"/>
      <c r="O261" s="74"/>
      <c r="P261" s="27"/>
    </row>
    <row r="262" spans="1:16" x14ac:dyDescent="0.25">
      <c r="A262" s="13">
        <f t="shared" si="9"/>
        <v>25</v>
      </c>
      <c r="B262" s="17"/>
      <c r="C262" s="17"/>
      <c r="D262" s="18"/>
      <c r="E262" s="11"/>
      <c r="F262" s="19"/>
      <c r="G262" s="20"/>
      <c r="H262" s="21"/>
      <c r="I262" s="22"/>
      <c r="J262" s="22"/>
      <c r="K262" s="39"/>
      <c r="L262" s="24"/>
      <c r="O262" s="74"/>
      <c r="P262" s="27"/>
    </row>
    <row r="263" spans="1:16" x14ac:dyDescent="0.25">
      <c r="A263" s="13">
        <f t="shared" si="9"/>
        <v>25</v>
      </c>
      <c r="B263" s="17"/>
      <c r="C263" s="17"/>
      <c r="D263" s="18"/>
      <c r="E263" s="11"/>
      <c r="F263" s="19"/>
      <c r="G263" s="20"/>
      <c r="H263" s="21"/>
      <c r="I263" s="22"/>
      <c r="J263" s="22"/>
      <c r="K263" s="39"/>
      <c r="L263" s="24"/>
      <c r="O263" s="74"/>
      <c r="P263" s="27"/>
    </row>
    <row r="264" spans="1:16" x14ac:dyDescent="0.25">
      <c r="A264" s="13">
        <f t="shared" si="9"/>
        <v>25</v>
      </c>
      <c r="B264" s="17"/>
      <c r="C264" s="17"/>
      <c r="D264" s="18"/>
      <c r="E264" s="11"/>
      <c r="F264" s="19"/>
      <c r="G264" s="20"/>
      <c r="H264" s="21"/>
      <c r="I264" s="22"/>
      <c r="J264" s="22"/>
      <c r="K264" s="39"/>
      <c r="L264" s="24"/>
      <c r="O264" s="74"/>
      <c r="P264" s="27"/>
    </row>
    <row r="265" spans="1:16" x14ac:dyDescent="0.25">
      <c r="A265" s="13">
        <f t="shared" si="9"/>
        <v>25</v>
      </c>
      <c r="B265" s="17"/>
      <c r="C265" s="17"/>
      <c r="D265" s="18"/>
      <c r="E265" s="11"/>
      <c r="F265" s="19"/>
      <c r="G265" s="20"/>
      <c r="H265" s="21"/>
      <c r="I265" s="22"/>
      <c r="J265" s="22"/>
      <c r="K265" s="39"/>
      <c r="L265" s="24"/>
      <c r="O265" s="74"/>
      <c r="P265" s="27"/>
    </row>
    <row r="266" spans="1:16" x14ac:dyDescent="0.25">
      <c r="A266" s="13">
        <f t="shared" si="9"/>
        <v>25</v>
      </c>
      <c r="B266" s="17"/>
      <c r="C266" s="17"/>
      <c r="D266" s="18"/>
      <c r="E266" s="11"/>
      <c r="F266" s="19"/>
      <c r="G266" s="20"/>
      <c r="H266" s="21"/>
      <c r="I266" s="22"/>
      <c r="J266" s="22"/>
      <c r="K266" s="39"/>
      <c r="L266" s="24"/>
      <c r="O266" s="74"/>
      <c r="P266" s="27"/>
    </row>
    <row r="267" spans="1:16" x14ac:dyDescent="0.25">
      <c r="A267" s="13">
        <f t="shared" si="9"/>
        <v>25</v>
      </c>
      <c r="B267" s="17"/>
      <c r="C267" s="17"/>
      <c r="D267" s="18"/>
      <c r="E267" s="11"/>
      <c r="F267" s="19"/>
      <c r="G267" s="20"/>
      <c r="H267" s="21"/>
      <c r="I267" s="22"/>
      <c r="J267" s="22"/>
      <c r="K267" s="39"/>
      <c r="L267" s="24"/>
      <c r="O267" s="74"/>
      <c r="P267" s="27"/>
    </row>
    <row r="268" spans="1:16" x14ac:dyDescent="0.25">
      <c r="A268" s="13">
        <f t="shared" si="9"/>
        <v>25</v>
      </c>
      <c r="B268" s="17"/>
      <c r="C268" s="17"/>
      <c r="D268" s="18"/>
      <c r="E268" s="11"/>
      <c r="F268" s="19"/>
      <c r="G268" s="20"/>
      <c r="H268" s="21"/>
      <c r="I268" s="22"/>
      <c r="J268" s="22"/>
      <c r="K268" s="39"/>
      <c r="L268" s="24"/>
      <c r="O268" s="74"/>
      <c r="P268" s="27"/>
    </row>
    <row r="269" spans="1:16" x14ac:dyDescent="0.25">
      <c r="A269" s="13">
        <f t="shared" si="9"/>
        <v>25</v>
      </c>
      <c r="B269" s="17"/>
      <c r="C269" s="17"/>
      <c r="D269" s="18"/>
      <c r="E269" s="11"/>
      <c r="F269" s="19"/>
      <c r="G269" s="20"/>
      <c r="H269" s="21"/>
      <c r="I269" s="22"/>
      <c r="J269" s="22"/>
      <c r="K269" s="23"/>
      <c r="L269" s="24"/>
      <c r="O269" s="74"/>
      <c r="P269" s="27"/>
    </row>
    <row r="270" spans="1:16" x14ac:dyDescent="0.25">
      <c r="A270" s="13">
        <f t="shared" si="9"/>
        <v>25</v>
      </c>
      <c r="B270" s="17"/>
      <c r="C270" s="17"/>
      <c r="D270" s="40"/>
      <c r="E270" s="41"/>
      <c r="F270" s="19"/>
      <c r="G270" s="20"/>
      <c r="H270" s="21"/>
      <c r="I270" s="22"/>
      <c r="J270" s="22"/>
      <c r="K270" s="23"/>
      <c r="L270" s="24"/>
      <c r="O270" s="74"/>
      <c r="P270" s="27"/>
    </row>
    <row r="271" spans="1:16" x14ac:dyDescent="0.25">
      <c r="A271" s="13">
        <f t="shared" si="9"/>
        <v>25</v>
      </c>
      <c r="B271" s="17"/>
      <c r="C271" s="17"/>
      <c r="D271" s="18"/>
      <c r="E271" s="11"/>
      <c r="F271" s="19"/>
      <c r="G271" s="20"/>
      <c r="H271" s="21"/>
      <c r="I271" s="22"/>
      <c r="J271" s="22"/>
      <c r="K271" s="23"/>
      <c r="L271" s="24"/>
      <c r="O271" s="74"/>
      <c r="P271" s="27"/>
    </row>
    <row r="272" spans="1:16" x14ac:dyDescent="0.25">
      <c r="A272" s="13">
        <f t="shared" si="9"/>
        <v>25</v>
      </c>
      <c r="B272" s="17"/>
      <c r="C272" s="17"/>
      <c r="D272" s="18"/>
      <c r="E272" s="11"/>
      <c r="F272" s="19"/>
      <c r="G272" s="20"/>
      <c r="H272" s="21"/>
      <c r="I272" s="22"/>
      <c r="J272" s="22"/>
      <c r="K272" s="23"/>
      <c r="L272" s="24"/>
      <c r="O272" s="74"/>
      <c r="P272" s="27"/>
    </row>
    <row r="273" spans="1:16" x14ac:dyDescent="0.25">
      <c r="A273" s="13">
        <f t="shared" si="9"/>
        <v>25</v>
      </c>
      <c r="B273" s="17"/>
      <c r="C273" s="17"/>
      <c r="D273" s="18"/>
      <c r="E273" s="11"/>
      <c r="F273" s="19"/>
      <c r="G273" s="20"/>
      <c r="H273" s="21"/>
      <c r="I273" s="22"/>
      <c r="J273" s="22"/>
      <c r="K273" s="23"/>
      <c r="L273" s="24"/>
      <c r="O273" s="74"/>
      <c r="P273" s="27"/>
    </row>
    <row r="274" spans="1:16" x14ac:dyDescent="0.25">
      <c r="A274" s="13">
        <f t="shared" si="9"/>
        <v>25</v>
      </c>
      <c r="B274" s="17"/>
      <c r="C274" s="17"/>
      <c r="D274" s="18"/>
      <c r="E274" s="11"/>
      <c r="F274" s="19"/>
      <c r="G274" s="20"/>
      <c r="H274" s="21"/>
      <c r="I274" s="22"/>
      <c r="J274" s="22"/>
      <c r="K274" s="39"/>
      <c r="L274" s="24"/>
      <c r="O274" s="74"/>
      <c r="P274" s="27"/>
    </row>
    <row r="275" spans="1:16" x14ac:dyDescent="0.25">
      <c r="A275" s="13">
        <f t="shared" si="9"/>
        <v>25</v>
      </c>
      <c r="B275" s="17"/>
      <c r="C275" s="17"/>
      <c r="D275" s="18"/>
      <c r="E275" s="11"/>
      <c r="F275" s="19"/>
      <c r="G275" s="20"/>
      <c r="H275" s="21"/>
      <c r="I275" s="22"/>
      <c r="J275" s="22"/>
      <c r="K275" s="39"/>
      <c r="L275" s="24"/>
      <c r="O275" s="74"/>
      <c r="P275" s="27"/>
    </row>
    <row r="276" spans="1:16" x14ac:dyDescent="0.25">
      <c r="A276" s="13">
        <f t="shared" si="9"/>
        <v>25</v>
      </c>
      <c r="B276" s="17"/>
      <c r="C276" s="17"/>
      <c r="D276" s="18"/>
      <c r="E276" s="11"/>
      <c r="F276" s="19"/>
      <c r="G276" s="20"/>
      <c r="H276" s="21"/>
      <c r="I276" s="22"/>
      <c r="J276" s="22"/>
      <c r="K276" s="39"/>
      <c r="L276" s="24"/>
      <c r="O276" s="74"/>
      <c r="P276" s="27"/>
    </row>
    <row r="277" spans="1:16" x14ac:dyDescent="0.25">
      <c r="A277" s="13">
        <f t="shared" si="9"/>
        <v>25</v>
      </c>
      <c r="B277" s="17"/>
      <c r="C277" s="17"/>
      <c r="D277" s="18"/>
      <c r="E277" s="11"/>
      <c r="F277" s="19"/>
      <c r="G277" s="20"/>
      <c r="H277" s="21"/>
      <c r="I277" s="22"/>
      <c r="J277" s="22"/>
      <c r="K277" s="39"/>
      <c r="L277" s="24"/>
      <c r="O277" s="74"/>
      <c r="P277" s="27"/>
    </row>
    <row r="278" spans="1:16" x14ac:dyDescent="0.25">
      <c r="A278" s="13">
        <f t="shared" si="9"/>
        <v>25</v>
      </c>
      <c r="B278" s="17"/>
      <c r="C278" s="17"/>
      <c r="D278" s="18"/>
      <c r="E278" s="11"/>
      <c r="F278" s="19"/>
      <c r="G278" s="20"/>
      <c r="H278" s="21"/>
      <c r="I278" s="22"/>
      <c r="J278" s="22"/>
      <c r="K278" s="39"/>
      <c r="L278" s="24"/>
      <c r="O278" s="74"/>
      <c r="P278" s="27"/>
    </row>
    <row r="279" spans="1:16" x14ac:dyDescent="0.25">
      <c r="A279" s="13">
        <f t="shared" si="9"/>
        <v>25</v>
      </c>
      <c r="B279" s="17"/>
      <c r="C279" s="17"/>
      <c r="D279" s="18"/>
      <c r="E279" s="11"/>
      <c r="F279" s="19"/>
      <c r="G279" s="20"/>
      <c r="H279" s="21"/>
      <c r="I279" s="22"/>
      <c r="J279" s="22"/>
      <c r="K279" s="39"/>
      <c r="L279" s="24"/>
      <c r="O279" s="74"/>
      <c r="P279" s="27"/>
    </row>
    <row r="280" spans="1:16" x14ac:dyDescent="0.25">
      <c r="A280" s="13">
        <f t="shared" si="9"/>
        <v>25</v>
      </c>
      <c r="B280" s="17"/>
      <c r="C280" s="17"/>
      <c r="D280" s="18"/>
      <c r="E280" s="11"/>
      <c r="F280" s="19"/>
      <c r="G280" s="20"/>
      <c r="H280" s="21"/>
      <c r="I280" s="22"/>
      <c r="J280" s="22"/>
      <c r="K280" s="39"/>
      <c r="L280" s="24"/>
      <c r="O280" s="74"/>
      <c r="P280" s="27"/>
    </row>
    <row r="281" spans="1:16" x14ac:dyDescent="0.25">
      <c r="A281" s="13">
        <f t="shared" si="9"/>
        <v>25</v>
      </c>
      <c r="B281" s="17"/>
      <c r="C281" s="17"/>
      <c r="D281" s="18"/>
      <c r="E281" s="11"/>
      <c r="F281" s="19"/>
      <c r="G281" s="20"/>
      <c r="H281" s="21"/>
      <c r="I281" s="22"/>
      <c r="J281" s="22"/>
      <c r="K281" s="39"/>
      <c r="L281" s="24"/>
      <c r="O281" s="74"/>
      <c r="P281" s="27"/>
    </row>
    <row r="282" spans="1:16" x14ac:dyDescent="0.25">
      <c r="A282" s="13">
        <f t="shared" si="9"/>
        <v>25</v>
      </c>
      <c r="B282" s="17"/>
      <c r="C282" s="17"/>
      <c r="D282" s="18"/>
      <c r="E282" s="11"/>
      <c r="F282" s="19"/>
      <c r="G282" s="20"/>
      <c r="H282" s="21"/>
      <c r="I282" s="22"/>
      <c r="J282" s="22"/>
      <c r="K282" s="39"/>
      <c r="L282" s="24"/>
      <c r="O282" s="74"/>
      <c r="P282" s="27"/>
    </row>
    <row r="283" spans="1:16" x14ac:dyDescent="0.25">
      <c r="A283" s="13">
        <f t="shared" si="9"/>
        <v>25</v>
      </c>
      <c r="B283" s="17"/>
      <c r="C283" s="17"/>
      <c r="D283" s="18"/>
      <c r="E283" s="11"/>
      <c r="F283" s="19"/>
      <c r="G283" s="20"/>
      <c r="H283" s="21"/>
      <c r="I283" s="22"/>
      <c r="J283" s="22"/>
      <c r="K283" s="39"/>
      <c r="L283" s="24"/>
      <c r="O283" s="74"/>
      <c r="P283" s="27"/>
    </row>
    <row r="284" spans="1:16" x14ac:dyDescent="0.25">
      <c r="A284" s="13">
        <f t="shared" si="9"/>
        <v>25</v>
      </c>
      <c r="B284" s="17"/>
      <c r="C284" s="17"/>
      <c r="D284" s="18"/>
      <c r="E284" s="11"/>
      <c r="F284" s="19"/>
      <c r="G284" s="20"/>
      <c r="H284" s="21"/>
      <c r="I284" s="22"/>
      <c r="J284" s="22"/>
      <c r="K284" s="39"/>
      <c r="L284" s="24"/>
      <c r="O284" s="74"/>
      <c r="P284" s="27"/>
    </row>
    <row r="285" spans="1:16" x14ac:dyDescent="0.25">
      <c r="A285" s="13">
        <f t="shared" si="9"/>
        <v>25</v>
      </c>
      <c r="B285" s="17"/>
      <c r="C285" s="17"/>
      <c r="D285" s="18"/>
      <c r="E285" s="11"/>
      <c r="F285" s="19"/>
      <c r="G285" s="20"/>
      <c r="H285" s="21"/>
      <c r="I285" s="22"/>
      <c r="J285" s="22"/>
      <c r="K285" s="39"/>
      <c r="L285" s="24"/>
      <c r="O285" s="74"/>
      <c r="P285" s="27"/>
    </row>
    <row r="286" spans="1:16" x14ac:dyDescent="0.25">
      <c r="A286" s="13">
        <f t="shared" si="9"/>
        <v>25</v>
      </c>
      <c r="B286" s="17"/>
      <c r="C286" s="17"/>
      <c r="D286" s="18"/>
      <c r="E286" s="11"/>
      <c r="F286" s="19"/>
      <c r="G286" s="20"/>
      <c r="H286" s="21"/>
      <c r="I286" s="22"/>
      <c r="J286" s="22"/>
      <c r="K286" s="39"/>
      <c r="L286" s="24"/>
      <c r="O286" s="74"/>
      <c r="P286" s="27"/>
    </row>
    <row r="287" spans="1:16" x14ac:dyDescent="0.25">
      <c r="A287" s="13">
        <f t="shared" si="9"/>
        <v>25</v>
      </c>
      <c r="B287" s="17"/>
      <c r="C287" s="17"/>
      <c r="D287" s="18"/>
      <c r="E287" s="11"/>
      <c r="F287" s="19"/>
      <c r="G287" s="20"/>
      <c r="H287" s="21"/>
      <c r="I287" s="22"/>
      <c r="J287" s="22"/>
      <c r="K287" s="39"/>
      <c r="L287" s="24"/>
      <c r="O287" s="74"/>
      <c r="P287" s="27"/>
    </row>
    <row r="288" spans="1:16" x14ac:dyDescent="0.25">
      <c r="A288" s="13">
        <f t="shared" si="9"/>
        <v>25</v>
      </c>
      <c r="B288" s="17"/>
      <c r="C288" s="17"/>
      <c r="D288" s="18"/>
      <c r="E288" s="11"/>
      <c r="F288" s="19"/>
      <c r="G288" s="20"/>
      <c r="H288" s="21"/>
      <c r="I288" s="22"/>
      <c r="J288" s="22"/>
      <c r="K288" s="39"/>
      <c r="L288" s="24"/>
      <c r="O288" s="74"/>
      <c r="P288" s="27"/>
    </row>
    <row r="289" spans="1:16" x14ac:dyDescent="0.25">
      <c r="A289" s="13">
        <f t="shared" si="9"/>
        <v>25</v>
      </c>
      <c r="B289" s="17"/>
      <c r="C289" s="17"/>
      <c r="D289" s="18"/>
      <c r="E289" s="11"/>
      <c r="F289" s="19"/>
      <c r="G289" s="36"/>
      <c r="H289" s="21"/>
      <c r="I289" s="22"/>
      <c r="J289" s="22"/>
      <c r="K289" s="35"/>
      <c r="L289" s="24"/>
      <c r="O289" s="74"/>
      <c r="P289" s="27"/>
    </row>
    <row r="290" spans="1:16" x14ac:dyDescent="0.25">
      <c r="A290" s="13">
        <f t="shared" si="9"/>
        <v>25</v>
      </c>
      <c r="B290" s="17"/>
      <c r="C290" s="17"/>
      <c r="D290" s="18"/>
      <c r="E290" s="11"/>
      <c r="F290" s="19"/>
      <c r="G290" s="36"/>
      <c r="H290" s="21"/>
      <c r="I290" s="22"/>
      <c r="J290" s="22"/>
      <c r="K290" s="35"/>
      <c r="L290" s="24"/>
      <c r="O290" s="74"/>
      <c r="P290" s="27"/>
    </row>
    <row r="291" spans="1:16" x14ac:dyDescent="0.25">
      <c r="A291" s="13">
        <f t="shared" si="9"/>
        <v>25</v>
      </c>
      <c r="B291" s="17"/>
      <c r="C291" s="17"/>
      <c r="D291" s="18"/>
      <c r="E291" s="11"/>
      <c r="F291" s="19"/>
      <c r="G291" s="36"/>
      <c r="H291" s="21"/>
      <c r="I291" s="22"/>
      <c r="J291" s="22"/>
      <c r="K291" s="35"/>
      <c r="L291" s="24"/>
      <c r="O291" s="74"/>
      <c r="P291" s="27"/>
    </row>
    <row r="292" spans="1:16" x14ac:dyDescent="0.25">
      <c r="A292" s="13">
        <f t="shared" si="9"/>
        <v>25</v>
      </c>
      <c r="B292" s="17"/>
      <c r="C292" s="17"/>
      <c r="D292" s="18"/>
      <c r="E292" s="11"/>
      <c r="F292" s="19"/>
      <c r="G292" s="36"/>
      <c r="H292" s="21"/>
      <c r="I292" s="22"/>
      <c r="J292" s="22"/>
      <c r="K292" s="35"/>
      <c r="L292" s="24"/>
      <c r="O292" s="74"/>
      <c r="P292" s="27"/>
    </row>
    <row r="293" spans="1:16" x14ac:dyDescent="0.25">
      <c r="A293" s="13">
        <f t="shared" si="9"/>
        <v>25</v>
      </c>
      <c r="B293" s="17"/>
      <c r="C293" s="17"/>
      <c r="D293" s="18"/>
      <c r="E293" s="11"/>
      <c r="F293" s="19"/>
      <c r="G293" s="36"/>
      <c r="H293" s="21"/>
      <c r="I293" s="22"/>
      <c r="J293" s="22"/>
      <c r="K293" s="35"/>
      <c r="L293" s="24"/>
      <c r="O293" s="74"/>
      <c r="P293" s="27"/>
    </row>
    <row r="294" spans="1:16" x14ac:dyDescent="0.25">
      <c r="A294" s="13">
        <f t="shared" si="9"/>
        <v>25</v>
      </c>
      <c r="B294" s="17"/>
      <c r="C294" s="17"/>
      <c r="D294" s="18"/>
      <c r="E294" s="11"/>
      <c r="F294" s="19"/>
      <c r="G294" s="36"/>
      <c r="H294" s="21"/>
      <c r="I294" s="22"/>
      <c r="J294" s="22"/>
      <c r="K294" s="35"/>
      <c r="L294" s="24"/>
      <c r="O294" s="74"/>
      <c r="P294" s="27"/>
    </row>
    <row r="295" spans="1:16" x14ac:dyDescent="0.25">
      <c r="A295" s="13">
        <f t="shared" si="9"/>
        <v>25</v>
      </c>
      <c r="B295" s="17"/>
      <c r="C295" s="17"/>
      <c r="D295" s="18"/>
      <c r="E295" s="11"/>
      <c r="F295" s="19"/>
      <c r="G295" s="36"/>
      <c r="H295" s="21"/>
      <c r="I295" s="22"/>
      <c r="J295" s="22"/>
      <c r="K295" s="35"/>
      <c r="L295" s="24"/>
      <c r="O295" s="74"/>
      <c r="P295" s="27"/>
    </row>
    <row r="296" spans="1:16" x14ac:dyDescent="0.25">
      <c r="A296" s="13">
        <f t="shared" si="9"/>
        <v>25</v>
      </c>
      <c r="B296" s="17"/>
      <c r="C296" s="17"/>
      <c r="D296" s="18"/>
      <c r="E296" s="11"/>
      <c r="F296" s="19"/>
      <c r="G296" s="36"/>
      <c r="H296" s="21"/>
      <c r="I296" s="22"/>
      <c r="J296" s="22"/>
      <c r="K296" s="35"/>
      <c r="L296" s="24"/>
      <c r="O296" s="74"/>
      <c r="P296" s="27"/>
    </row>
    <row r="297" spans="1:16" x14ac:dyDescent="0.25">
      <c r="A297" s="13">
        <f t="shared" si="9"/>
        <v>25</v>
      </c>
      <c r="B297" s="17"/>
      <c r="C297" s="17"/>
      <c r="D297" s="18"/>
      <c r="E297" s="11"/>
      <c r="F297" s="19"/>
      <c r="G297" s="36"/>
      <c r="H297" s="21"/>
      <c r="I297" s="22"/>
      <c r="J297" s="22"/>
      <c r="K297" s="35"/>
      <c r="L297" s="24"/>
      <c r="O297" s="74"/>
      <c r="P297" s="27"/>
    </row>
    <row r="298" spans="1:16" x14ac:dyDescent="0.25">
      <c r="A298" s="13">
        <f t="shared" si="9"/>
        <v>25</v>
      </c>
      <c r="B298" s="17"/>
      <c r="C298" s="17"/>
      <c r="D298" s="18"/>
      <c r="E298" s="11"/>
      <c r="F298" s="19"/>
      <c r="G298" s="36"/>
      <c r="H298" s="21"/>
      <c r="I298" s="22"/>
      <c r="J298" s="22"/>
      <c r="K298" s="35"/>
      <c r="L298" s="24"/>
      <c r="O298" s="74"/>
      <c r="P298" s="27"/>
    </row>
    <row r="299" spans="1:16" x14ac:dyDescent="0.25">
      <c r="A299" s="13">
        <f t="shared" si="9"/>
        <v>25</v>
      </c>
      <c r="B299" s="17"/>
      <c r="C299" s="17"/>
      <c r="D299" s="18"/>
      <c r="E299" s="11"/>
      <c r="F299" s="19"/>
      <c r="G299" s="36"/>
      <c r="H299" s="21"/>
      <c r="I299" s="22"/>
      <c r="J299" s="22"/>
      <c r="K299" s="35"/>
      <c r="L299" s="24"/>
      <c r="O299" s="74"/>
      <c r="P299" s="27"/>
    </row>
    <row r="300" spans="1:16" x14ac:dyDescent="0.25">
      <c r="A300" s="13">
        <f t="shared" si="9"/>
        <v>25</v>
      </c>
      <c r="B300" s="17"/>
      <c r="C300" s="17"/>
      <c r="D300" s="18"/>
      <c r="E300" s="11"/>
      <c r="F300" s="19"/>
      <c r="G300" s="36"/>
      <c r="H300" s="21"/>
      <c r="I300" s="22"/>
      <c r="J300" s="22"/>
      <c r="K300" s="35"/>
      <c r="L300" s="24"/>
      <c r="O300" s="74"/>
      <c r="P300" s="27"/>
    </row>
    <row r="301" spans="1:16" x14ac:dyDescent="0.25">
      <c r="A301" s="13">
        <f t="shared" si="9"/>
        <v>25</v>
      </c>
      <c r="B301" s="17"/>
      <c r="C301" s="17"/>
      <c r="D301" s="18"/>
      <c r="E301" s="11"/>
      <c r="F301" s="19"/>
      <c r="G301" s="36"/>
      <c r="H301" s="21"/>
      <c r="I301" s="22"/>
      <c r="J301" s="22"/>
      <c r="K301" s="35"/>
      <c r="L301" s="24"/>
      <c r="O301" s="74"/>
      <c r="P301" s="27"/>
    </row>
    <row r="302" spans="1:16" x14ac:dyDescent="0.25">
      <c r="A302" s="13">
        <f t="shared" si="9"/>
        <v>25</v>
      </c>
      <c r="B302" s="17"/>
      <c r="C302" s="17"/>
      <c r="D302" s="18"/>
      <c r="E302" s="11"/>
      <c r="F302" s="19"/>
      <c r="G302" s="36"/>
      <c r="H302" s="21"/>
      <c r="I302" s="22"/>
      <c r="J302" s="22"/>
      <c r="K302" s="35"/>
      <c r="L302" s="24"/>
      <c r="O302" s="74"/>
      <c r="P302" s="27"/>
    </row>
    <row r="303" spans="1:16" x14ac:dyDescent="0.25">
      <c r="A303" s="13">
        <f t="shared" si="9"/>
        <v>25</v>
      </c>
      <c r="B303" s="17"/>
      <c r="C303" s="17"/>
      <c r="D303" s="18"/>
      <c r="E303" s="11"/>
      <c r="F303" s="19"/>
      <c r="G303" s="20"/>
      <c r="H303" s="21"/>
      <c r="I303" s="22"/>
      <c r="J303" s="22"/>
      <c r="K303" s="39"/>
      <c r="L303" s="24"/>
      <c r="O303" s="74"/>
      <c r="P303" s="27"/>
    </row>
    <row r="304" spans="1:16" x14ac:dyDescent="0.25">
      <c r="A304" s="13">
        <f t="shared" si="9"/>
        <v>25</v>
      </c>
      <c r="B304" s="17"/>
      <c r="C304" s="17"/>
      <c r="D304" s="18"/>
      <c r="E304" s="11"/>
      <c r="F304" s="19"/>
      <c r="G304" s="20"/>
      <c r="H304" s="21"/>
      <c r="I304" s="22"/>
      <c r="J304" s="22"/>
      <c r="K304" s="39"/>
      <c r="L304" s="24"/>
      <c r="O304" s="74"/>
      <c r="P304" s="27"/>
    </row>
    <row r="305" spans="1:16" x14ac:dyDescent="0.25">
      <c r="A305" s="13">
        <f t="shared" si="9"/>
        <v>25</v>
      </c>
      <c r="B305" s="17"/>
      <c r="C305" s="17"/>
      <c r="D305" s="18"/>
      <c r="E305" s="11"/>
      <c r="F305" s="19"/>
      <c r="G305" s="20"/>
      <c r="H305" s="21"/>
      <c r="I305" s="22"/>
      <c r="J305" s="22"/>
      <c r="K305" s="39"/>
      <c r="L305" s="24"/>
      <c r="O305" s="74"/>
      <c r="P305" s="27"/>
    </row>
    <row r="306" spans="1:16" x14ac:dyDescent="0.25">
      <c r="A306" s="13">
        <f t="shared" si="9"/>
        <v>25</v>
      </c>
      <c r="B306" s="17"/>
      <c r="C306" s="17"/>
      <c r="D306" s="18"/>
      <c r="E306" s="11"/>
      <c r="F306" s="19"/>
      <c r="G306" s="20"/>
      <c r="H306" s="21"/>
      <c r="I306" s="22"/>
      <c r="J306" s="22"/>
      <c r="K306" s="39"/>
      <c r="L306" s="24"/>
      <c r="O306" s="74"/>
      <c r="P306" s="27"/>
    </row>
    <row r="307" spans="1:16" x14ac:dyDescent="0.25">
      <c r="A307" s="13">
        <f t="shared" si="9"/>
        <v>25</v>
      </c>
      <c r="B307" s="17"/>
      <c r="C307" s="17"/>
      <c r="D307" s="18"/>
      <c r="E307" s="11"/>
      <c r="F307" s="19"/>
      <c r="G307" s="20"/>
      <c r="H307" s="21"/>
      <c r="I307" s="22"/>
      <c r="J307" s="22"/>
      <c r="K307" s="39"/>
      <c r="L307" s="24"/>
      <c r="O307" s="74"/>
      <c r="P307" s="27"/>
    </row>
    <row r="308" spans="1:16" x14ac:dyDescent="0.25">
      <c r="A308" s="13">
        <f t="shared" si="9"/>
        <v>25</v>
      </c>
      <c r="B308" s="17"/>
      <c r="C308" s="17"/>
      <c r="D308" s="18"/>
      <c r="E308" s="11"/>
      <c r="F308" s="19"/>
      <c r="G308" s="20"/>
      <c r="H308" s="21"/>
      <c r="I308" s="22"/>
      <c r="J308" s="22"/>
      <c r="K308" s="39"/>
      <c r="L308" s="24"/>
      <c r="O308" s="74"/>
      <c r="P308" s="27"/>
    </row>
    <row r="309" spans="1:16" x14ac:dyDescent="0.25">
      <c r="A309" s="13">
        <f t="shared" si="9"/>
        <v>25</v>
      </c>
      <c r="B309" s="17"/>
      <c r="C309" s="17"/>
      <c r="D309" s="18"/>
      <c r="E309" s="11"/>
      <c r="F309" s="19"/>
      <c r="G309" s="20"/>
      <c r="H309" s="21"/>
      <c r="I309" s="22"/>
      <c r="J309" s="22"/>
      <c r="K309" s="39"/>
      <c r="L309" s="24"/>
      <c r="O309" s="74"/>
      <c r="P309" s="27"/>
    </row>
    <row r="310" spans="1:16" x14ac:dyDescent="0.25">
      <c r="A310" s="13">
        <f t="shared" si="9"/>
        <v>25</v>
      </c>
      <c r="B310" s="17"/>
      <c r="C310" s="17"/>
      <c r="D310" s="18"/>
      <c r="E310" s="11"/>
      <c r="F310" s="19"/>
      <c r="G310" s="20"/>
      <c r="H310" s="21"/>
      <c r="I310" s="22"/>
      <c r="J310" s="22"/>
      <c r="K310" s="39"/>
      <c r="L310" s="24"/>
      <c r="O310" s="74"/>
      <c r="P310" s="27"/>
    </row>
    <row r="311" spans="1:16" x14ac:dyDescent="0.25">
      <c r="A311" s="13">
        <f t="shared" si="9"/>
        <v>25</v>
      </c>
      <c r="B311" s="17"/>
      <c r="C311" s="17"/>
      <c r="D311" s="18"/>
      <c r="E311" s="11"/>
      <c r="F311" s="19"/>
      <c r="G311" s="20"/>
      <c r="H311" s="21"/>
      <c r="I311" s="22"/>
      <c r="J311" s="22"/>
      <c r="K311" s="39"/>
      <c r="L311" s="24"/>
      <c r="O311" s="74"/>
      <c r="P311" s="27"/>
    </row>
    <row r="312" spans="1:16" x14ac:dyDescent="0.25">
      <c r="A312" s="13">
        <f t="shared" si="9"/>
        <v>25</v>
      </c>
      <c r="B312" s="17"/>
      <c r="C312" s="17"/>
      <c r="D312" s="18"/>
      <c r="E312" s="11"/>
      <c r="F312" s="19"/>
      <c r="G312" s="20"/>
      <c r="H312" s="21"/>
      <c r="I312" s="22"/>
      <c r="J312" s="22"/>
      <c r="K312" s="39"/>
      <c r="L312" s="24"/>
      <c r="O312" s="74"/>
      <c r="P312" s="27"/>
    </row>
    <row r="313" spans="1:16" x14ac:dyDescent="0.25">
      <c r="A313" s="13">
        <f t="shared" si="9"/>
        <v>25</v>
      </c>
      <c r="B313" s="17"/>
      <c r="C313" s="17"/>
      <c r="D313" s="18"/>
      <c r="E313" s="11"/>
      <c r="F313" s="19"/>
      <c r="G313" s="20"/>
      <c r="H313" s="21"/>
      <c r="I313" s="22"/>
      <c r="J313" s="22"/>
      <c r="K313" s="39"/>
      <c r="L313" s="24"/>
      <c r="O313" s="74"/>
      <c r="P313" s="27"/>
    </row>
    <row r="314" spans="1:16" x14ac:dyDescent="0.25">
      <c r="A314" s="13">
        <f t="shared" si="9"/>
        <v>25</v>
      </c>
      <c r="B314" s="17"/>
      <c r="C314" s="17"/>
      <c r="D314" s="18"/>
      <c r="E314" s="11"/>
      <c r="F314" s="19"/>
      <c r="G314" s="20"/>
      <c r="H314" s="21"/>
      <c r="I314" s="22"/>
      <c r="J314" s="22"/>
      <c r="K314" s="39"/>
      <c r="L314" s="24"/>
      <c r="O314" s="74"/>
      <c r="P314" s="27"/>
    </row>
    <row r="315" spans="1:16" x14ac:dyDescent="0.25">
      <c r="A315" s="13">
        <f t="shared" si="9"/>
        <v>25</v>
      </c>
      <c r="B315" s="17"/>
      <c r="C315" s="17"/>
      <c r="D315" s="18"/>
      <c r="E315" s="11"/>
      <c r="F315" s="19"/>
      <c r="G315" s="20"/>
      <c r="H315" s="21"/>
      <c r="I315" s="22"/>
      <c r="J315" s="22"/>
      <c r="K315" s="39"/>
      <c r="L315" s="24"/>
      <c r="O315" s="74"/>
      <c r="P315" s="27"/>
    </row>
    <row r="316" spans="1:16" x14ac:dyDescent="0.25">
      <c r="A316" s="13">
        <f t="shared" si="9"/>
        <v>25</v>
      </c>
      <c r="B316" s="17"/>
      <c r="C316" s="17"/>
      <c r="D316" s="18"/>
      <c r="E316" s="11"/>
      <c r="F316" s="19"/>
      <c r="G316" s="20"/>
      <c r="H316" s="21"/>
      <c r="I316" s="22"/>
      <c r="J316" s="22"/>
      <c r="K316" s="39"/>
      <c r="L316" s="24"/>
      <c r="O316" s="74"/>
      <c r="P316" s="27"/>
    </row>
    <row r="317" spans="1:16" x14ac:dyDescent="0.25">
      <c r="A317" s="13">
        <f t="shared" si="9"/>
        <v>25</v>
      </c>
      <c r="B317" s="17"/>
      <c r="C317" s="17"/>
      <c r="D317" s="18"/>
      <c r="E317" s="11"/>
      <c r="F317" s="19"/>
      <c r="G317" s="20"/>
      <c r="H317" s="21"/>
      <c r="I317" s="22"/>
      <c r="J317" s="22"/>
      <c r="K317" s="39"/>
      <c r="L317" s="24"/>
      <c r="O317" s="74"/>
      <c r="P317" s="27"/>
    </row>
    <row r="318" spans="1:16" x14ac:dyDescent="0.25">
      <c r="A318" s="13">
        <f t="shared" si="9"/>
        <v>25</v>
      </c>
      <c r="B318" s="17"/>
      <c r="C318" s="17"/>
      <c r="D318" s="18"/>
      <c r="E318" s="11"/>
      <c r="F318" s="19"/>
      <c r="G318" s="20"/>
      <c r="H318" s="21"/>
      <c r="I318" s="22"/>
      <c r="J318" s="22"/>
      <c r="K318" s="39"/>
      <c r="L318" s="24"/>
      <c r="O318" s="74"/>
      <c r="P318" s="27"/>
    </row>
    <row r="319" spans="1:16" x14ac:dyDescent="0.25">
      <c r="A319" s="13">
        <f t="shared" si="9"/>
        <v>25</v>
      </c>
      <c r="B319" s="17"/>
      <c r="C319" s="17"/>
      <c r="D319" s="18"/>
      <c r="E319" s="11"/>
      <c r="F319" s="19"/>
      <c r="G319" s="36"/>
      <c r="H319" s="21"/>
      <c r="I319" s="22"/>
      <c r="J319" s="22"/>
      <c r="K319" s="35"/>
      <c r="L319" s="24"/>
      <c r="O319" s="74"/>
      <c r="P319" s="27"/>
    </row>
    <row r="320" spans="1:16" x14ac:dyDescent="0.25">
      <c r="A320" s="13">
        <f t="shared" si="9"/>
        <v>25</v>
      </c>
      <c r="B320" s="17"/>
      <c r="C320" s="17"/>
      <c r="D320" s="18"/>
      <c r="E320" s="11"/>
      <c r="F320" s="19"/>
      <c r="G320" s="36"/>
      <c r="H320" s="21"/>
      <c r="I320" s="22"/>
      <c r="J320" s="22"/>
      <c r="K320" s="35"/>
      <c r="L320" s="24"/>
      <c r="O320" s="74"/>
      <c r="P320" s="27"/>
    </row>
    <row r="321" spans="1:16" x14ac:dyDescent="0.25">
      <c r="A321" s="13">
        <f t="shared" si="9"/>
        <v>25</v>
      </c>
      <c r="B321" s="17"/>
      <c r="C321" s="17"/>
      <c r="D321" s="18"/>
      <c r="E321" s="11"/>
      <c r="F321" s="19"/>
      <c r="G321" s="36"/>
      <c r="H321" s="21"/>
      <c r="I321" s="22"/>
      <c r="J321" s="22"/>
      <c r="K321" s="35"/>
      <c r="L321" s="24"/>
      <c r="O321" s="74"/>
      <c r="P321" s="27"/>
    </row>
    <row r="322" spans="1:16" x14ac:dyDescent="0.25">
      <c r="A322" s="13">
        <f t="shared" si="9"/>
        <v>25</v>
      </c>
      <c r="B322" s="17"/>
      <c r="C322" s="17"/>
      <c r="D322" s="18"/>
      <c r="E322" s="11"/>
      <c r="F322" s="19"/>
      <c r="G322" s="36"/>
      <c r="H322" s="21"/>
      <c r="I322" s="22"/>
      <c r="J322" s="22"/>
      <c r="K322" s="35"/>
      <c r="L322" s="24"/>
      <c r="O322" s="74"/>
      <c r="P322" s="27"/>
    </row>
    <row r="323" spans="1:16" x14ac:dyDescent="0.25">
      <c r="A323" s="13">
        <f t="shared" si="9"/>
        <v>25</v>
      </c>
      <c r="B323" s="17"/>
      <c r="C323" s="17"/>
      <c r="D323" s="18"/>
      <c r="E323" s="11"/>
      <c r="F323" s="19"/>
      <c r="G323" s="36"/>
      <c r="H323" s="21"/>
      <c r="I323" s="22"/>
      <c r="J323" s="22"/>
      <c r="K323" s="35"/>
      <c r="L323" s="24"/>
      <c r="O323" s="74"/>
      <c r="P323" s="27"/>
    </row>
    <row r="324" spans="1:16" x14ac:dyDescent="0.25">
      <c r="A324" s="13">
        <f t="shared" si="9"/>
        <v>25</v>
      </c>
      <c r="B324" s="17"/>
      <c r="C324" s="17"/>
      <c r="D324" s="18"/>
      <c r="E324" s="11"/>
      <c r="F324" s="19"/>
      <c r="G324" s="36"/>
      <c r="H324" s="21"/>
      <c r="I324" s="22"/>
      <c r="J324" s="22"/>
      <c r="K324" s="35"/>
      <c r="L324" s="24"/>
      <c r="O324" s="74"/>
      <c r="P324" s="27"/>
    </row>
    <row r="325" spans="1:16" x14ac:dyDescent="0.25">
      <c r="A325" s="13">
        <f t="shared" ref="A325:A388" si="10">IF(B325=B324,A324,A324+1)</f>
        <v>25</v>
      </c>
      <c r="B325" s="17"/>
      <c r="C325" s="17"/>
      <c r="D325" s="18"/>
      <c r="E325" s="11"/>
      <c r="F325" s="19"/>
      <c r="G325" s="36"/>
      <c r="H325" s="21"/>
      <c r="I325" s="22"/>
      <c r="J325" s="22"/>
      <c r="K325" s="35"/>
      <c r="L325" s="24"/>
      <c r="O325" s="74"/>
      <c r="P325" s="27"/>
    </row>
    <row r="326" spans="1:16" x14ac:dyDescent="0.25">
      <c r="A326" s="13">
        <f t="shared" si="10"/>
        <v>25</v>
      </c>
      <c r="B326" s="17"/>
      <c r="C326" s="17"/>
      <c r="D326" s="18"/>
      <c r="E326" s="11"/>
      <c r="F326" s="19"/>
      <c r="G326" s="36"/>
      <c r="H326" s="21"/>
      <c r="I326" s="22"/>
      <c r="J326" s="22"/>
      <c r="K326" s="35"/>
      <c r="L326" s="24"/>
      <c r="O326" s="74"/>
      <c r="P326" s="27"/>
    </row>
    <row r="327" spans="1:16" x14ac:dyDescent="0.25">
      <c r="A327" s="13">
        <f t="shared" si="10"/>
        <v>25</v>
      </c>
      <c r="B327" s="17"/>
      <c r="C327" s="17"/>
      <c r="D327" s="18"/>
      <c r="E327" s="11"/>
      <c r="F327" s="19"/>
      <c r="G327" s="36"/>
      <c r="H327" s="21"/>
      <c r="I327" s="22"/>
      <c r="J327" s="22"/>
      <c r="K327" s="35"/>
      <c r="L327" s="24"/>
      <c r="O327" s="74"/>
      <c r="P327" s="27"/>
    </row>
    <row r="328" spans="1:16" x14ac:dyDescent="0.25">
      <c r="A328" s="13">
        <f t="shared" si="10"/>
        <v>25</v>
      </c>
      <c r="B328" s="17"/>
      <c r="C328" s="17"/>
      <c r="D328" s="18"/>
      <c r="E328" s="11"/>
      <c r="F328" s="19"/>
      <c r="G328" s="36"/>
      <c r="H328" s="21"/>
      <c r="I328" s="22"/>
      <c r="J328" s="22"/>
      <c r="K328" s="35"/>
      <c r="L328" s="24"/>
      <c r="O328" s="74"/>
      <c r="P328" s="27"/>
    </row>
    <row r="329" spans="1:16" x14ac:dyDescent="0.25">
      <c r="A329" s="13">
        <f t="shared" si="10"/>
        <v>25</v>
      </c>
      <c r="B329" s="17"/>
      <c r="C329" s="17"/>
      <c r="D329" s="18"/>
      <c r="E329" s="11"/>
      <c r="F329" s="19"/>
      <c r="G329" s="36"/>
      <c r="H329" s="21"/>
      <c r="I329" s="22"/>
      <c r="J329" s="22"/>
      <c r="K329" s="35"/>
      <c r="L329" s="24"/>
      <c r="O329" s="74"/>
      <c r="P329" s="27"/>
    </row>
    <row r="330" spans="1:16" x14ac:dyDescent="0.25">
      <c r="A330" s="13">
        <f t="shared" si="10"/>
        <v>25</v>
      </c>
      <c r="B330" s="17"/>
      <c r="C330" s="17"/>
      <c r="D330" s="18"/>
      <c r="E330" s="11"/>
      <c r="F330" s="19"/>
      <c r="G330" s="36"/>
      <c r="H330" s="21"/>
      <c r="I330" s="22"/>
      <c r="J330" s="22"/>
      <c r="K330" s="35"/>
      <c r="L330" s="24"/>
      <c r="O330" s="74"/>
      <c r="P330" s="27"/>
    </row>
    <row r="331" spans="1:16" x14ac:dyDescent="0.25">
      <c r="A331" s="13">
        <f t="shared" si="10"/>
        <v>25</v>
      </c>
      <c r="B331" s="17"/>
      <c r="C331" s="17"/>
      <c r="D331" s="18"/>
      <c r="E331" s="11"/>
      <c r="F331" s="19"/>
      <c r="G331" s="36"/>
      <c r="H331" s="21"/>
      <c r="I331" s="22"/>
      <c r="J331" s="22"/>
      <c r="K331" s="35"/>
      <c r="L331" s="24"/>
      <c r="O331" s="74"/>
      <c r="P331" s="27"/>
    </row>
    <row r="332" spans="1:16" x14ac:dyDescent="0.25">
      <c r="A332" s="13">
        <f t="shared" si="10"/>
        <v>25</v>
      </c>
      <c r="B332" s="17"/>
      <c r="C332" s="17"/>
      <c r="D332" s="18"/>
      <c r="E332" s="11"/>
      <c r="F332" s="19"/>
      <c r="G332" s="36"/>
      <c r="H332" s="21"/>
      <c r="I332" s="22"/>
      <c r="J332" s="22"/>
      <c r="K332" s="35"/>
      <c r="L332" s="24"/>
      <c r="O332" s="74"/>
      <c r="P332" s="27"/>
    </row>
    <row r="333" spans="1:16" x14ac:dyDescent="0.25">
      <c r="A333" s="13">
        <f t="shared" si="10"/>
        <v>25</v>
      </c>
      <c r="B333" s="17"/>
      <c r="C333" s="17"/>
      <c r="D333" s="18"/>
      <c r="E333" s="11"/>
      <c r="F333" s="19"/>
      <c r="G333" s="36"/>
      <c r="H333" s="21"/>
      <c r="I333" s="22"/>
      <c r="J333" s="22"/>
      <c r="K333" s="35"/>
      <c r="L333" s="24"/>
      <c r="O333" s="74"/>
      <c r="P333" s="27"/>
    </row>
    <row r="334" spans="1:16" x14ac:dyDescent="0.25">
      <c r="A334" s="13">
        <f t="shared" si="10"/>
        <v>25</v>
      </c>
      <c r="B334" s="17"/>
      <c r="C334" s="17"/>
      <c r="D334" s="18"/>
      <c r="E334" s="11"/>
      <c r="F334" s="19"/>
      <c r="G334" s="36"/>
      <c r="H334" s="21"/>
      <c r="I334" s="22"/>
      <c r="J334" s="22"/>
      <c r="K334" s="35"/>
      <c r="L334" s="24"/>
      <c r="O334" s="74"/>
      <c r="P334" s="27"/>
    </row>
    <row r="335" spans="1:16" x14ac:dyDescent="0.25">
      <c r="A335" s="13">
        <f t="shared" si="10"/>
        <v>25</v>
      </c>
      <c r="B335" s="17"/>
      <c r="C335" s="17"/>
      <c r="D335" s="18"/>
      <c r="E335" s="11"/>
      <c r="F335" s="19"/>
      <c r="G335" s="36"/>
      <c r="H335" s="21"/>
      <c r="I335" s="22"/>
      <c r="J335" s="22"/>
      <c r="K335" s="35"/>
      <c r="L335" s="24"/>
      <c r="O335" s="74"/>
      <c r="P335" s="27"/>
    </row>
    <row r="336" spans="1:16" x14ac:dyDescent="0.25">
      <c r="A336" s="13">
        <f t="shared" si="10"/>
        <v>25</v>
      </c>
      <c r="B336" s="17"/>
      <c r="C336" s="17"/>
      <c r="D336" s="18"/>
      <c r="E336" s="11"/>
      <c r="F336" s="19"/>
      <c r="G336" s="36"/>
      <c r="H336" s="21"/>
      <c r="I336" s="22"/>
      <c r="J336" s="22"/>
      <c r="K336" s="35"/>
      <c r="L336" s="24"/>
      <c r="O336" s="74"/>
      <c r="P336" s="27"/>
    </row>
    <row r="337" spans="1:16" x14ac:dyDescent="0.25">
      <c r="A337" s="13">
        <f t="shared" si="10"/>
        <v>25</v>
      </c>
      <c r="B337" s="17"/>
      <c r="C337" s="17"/>
      <c r="D337" s="18"/>
      <c r="E337" s="11"/>
      <c r="F337" s="19"/>
      <c r="G337" s="36"/>
      <c r="H337" s="21"/>
      <c r="I337" s="22"/>
      <c r="J337" s="22"/>
      <c r="K337" s="35"/>
      <c r="L337" s="24"/>
      <c r="O337" s="74"/>
      <c r="P337" s="27"/>
    </row>
    <row r="338" spans="1:16" x14ac:dyDescent="0.25">
      <c r="A338" s="13">
        <f t="shared" si="10"/>
        <v>25</v>
      </c>
      <c r="B338" s="17"/>
      <c r="C338" s="17"/>
      <c r="D338" s="18"/>
      <c r="E338" s="11"/>
      <c r="F338" s="19"/>
      <c r="G338" s="36"/>
      <c r="H338" s="21"/>
      <c r="I338" s="22"/>
      <c r="J338" s="22"/>
      <c r="K338" s="35"/>
      <c r="L338" s="24"/>
      <c r="O338" s="74"/>
      <c r="P338" s="27"/>
    </row>
    <row r="339" spans="1:16" x14ac:dyDescent="0.25">
      <c r="A339" s="13">
        <f t="shared" si="10"/>
        <v>25</v>
      </c>
      <c r="B339" s="17"/>
      <c r="C339" s="17"/>
      <c r="D339" s="18"/>
      <c r="E339" s="11"/>
      <c r="F339" s="19"/>
      <c r="G339" s="36"/>
      <c r="H339" s="21"/>
      <c r="I339" s="22"/>
      <c r="J339" s="22"/>
      <c r="K339" s="35"/>
      <c r="L339" s="24"/>
      <c r="O339" s="74"/>
      <c r="P339" s="27"/>
    </row>
    <row r="340" spans="1:16" x14ac:dyDescent="0.25">
      <c r="A340" s="13">
        <f t="shared" si="10"/>
        <v>25</v>
      </c>
      <c r="B340" s="17"/>
      <c r="C340" s="17"/>
      <c r="D340" s="18"/>
      <c r="E340" s="11"/>
      <c r="F340" s="19"/>
      <c r="G340" s="36"/>
      <c r="H340" s="21"/>
      <c r="I340" s="22"/>
      <c r="J340" s="22"/>
      <c r="K340" s="35"/>
      <c r="L340" s="24"/>
      <c r="O340" s="74"/>
      <c r="P340" s="27"/>
    </row>
    <row r="341" spans="1:16" x14ac:dyDescent="0.25">
      <c r="A341" s="13">
        <f t="shared" si="10"/>
        <v>25</v>
      </c>
      <c r="B341" s="17"/>
      <c r="C341" s="17"/>
      <c r="D341" s="18"/>
      <c r="E341" s="11"/>
      <c r="F341" s="19"/>
      <c r="G341" s="36"/>
      <c r="H341" s="21"/>
      <c r="I341" s="22"/>
      <c r="J341" s="22"/>
      <c r="K341" s="35"/>
      <c r="L341" s="24"/>
      <c r="O341" s="74"/>
      <c r="P341" s="27"/>
    </row>
    <row r="342" spans="1:16" x14ac:dyDescent="0.25">
      <c r="A342" s="13">
        <f t="shared" si="10"/>
        <v>25</v>
      </c>
      <c r="B342" s="17"/>
      <c r="C342" s="17"/>
      <c r="D342" s="18"/>
      <c r="E342" s="11"/>
      <c r="F342" s="19"/>
      <c r="G342" s="36"/>
      <c r="H342" s="21"/>
      <c r="I342" s="22"/>
      <c r="J342" s="22"/>
      <c r="K342" s="35"/>
      <c r="L342" s="24"/>
      <c r="O342" s="74"/>
      <c r="P342" s="27"/>
    </row>
    <row r="343" spans="1:16" x14ac:dyDescent="0.25">
      <c r="A343" s="13">
        <f t="shared" si="10"/>
        <v>25</v>
      </c>
      <c r="B343" s="17"/>
      <c r="C343" s="17"/>
      <c r="D343" s="18"/>
      <c r="E343" s="11"/>
      <c r="F343" s="19"/>
      <c r="G343" s="20"/>
      <c r="H343" s="21"/>
      <c r="I343" s="22"/>
      <c r="J343" s="22"/>
      <c r="K343" s="39"/>
      <c r="L343" s="24"/>
      <c r="O343" s="74"/>
      <c r="P343" s="27"/>
    </row>
    <row r="344" spans="1:16" x14ac:dyDescent="0.25">
      <c r="A344" s="13">
        <f t="shared" si="10"/>
        <v>25</v>
      </c>
      <c r="B344" s="17"/>
      <c r="C344" s="17"/>
      <c r="D344" s="18"/>
      <c r="E344" s="11"/>
      <c r="F344" s="19"/>
      <c r="G344" s="20"/>
      <c r="H344" s="21"/>
      <c r="I344" s="22"/>
      <c r="J344" s="22"/>
      <c r="K344" s="39"/>
      <c r="L344" s="24"/>
      <c r="O344" s="74"/>
      <c r="P344" s="27"/>
    </row>
    <row r="345" spans="1:16" x14ac:dyDescent="0.25">
      <c r="A345" s="13">
        <f t="shared" si="10"/>
        <v>25</v>
      </c>
      <c r="B345" s="17"/>
      <c r="C345" s="17"/>
      <c r="D345" s="18"/>
      <c r="E345" s="11"/>
      <c r="F345" s="19"/>
      <c r="G345" s="20"/>
      <c r="H345" s="21"/>
      <c r="I345" s="22"/>
      <c r="J345" s="22"/>
      <c r="K345" s="39"/>
      <c r="L345" s="24"/>
      <c r="O345" s="74"/>
      <c r="P345" s="27"/>
    </row>
    <row r="346" spans="1:16" x14ac:dyDescent="0.25">
      <c r="A346" s="13">
        <f t="shared" si="10"/>
        <v>25</v>
      </c>
      <c r="B346" s="17"/>
      <c r="C346" s="17"/>
      <c r="D346" s="18"/>
      <c r="E346" s="11"/>
      <c r="F346" s="19"/>
      <c r="G346" s="20"/>
      <c r="H346" s="21"/>
      <c r="I346" s="22"/>
      <c r="J346" s="22"/>
      <c r="K346" s="39"/>
      <c r="L346" s="24"/>
      <c r="O346" s="74"/>
      <c r="P346" s="27"/>
    </row>
    <row r="347" spans="1:16" x14ac:dyDescent="0.25">
      <c r="A347" s="13">
        <f t="shared" si="10"/>
        <v>25</v>
      </c>
      <c r="B347" s="17"/>
      <c r="C347" s="17"/>
      <c r="D347" s="18"/>
      <c r="E347" s="11"/>
      <c r="F347" s="19"/>
      <c r="G347" s="20"/>
      <c r="H347" s="21"/>
      <c r="I347" s="22"/>
      <c r="J347" s="22"/>
      <c r="K347" s="39"/>
      <c r="L347" s="24"/>
      <c r="O347" s="74"/>
      <c r="P347" s="27"/>
    </row>
    <row r="348" spans="1:16" x14ac:dyDescent="0.25">
      <c r="A348" s="13">
        <f t="shared" si="10"/>
        <v>25</v>
      </c>
      <c r="B348" s="17"/>
      <c r="C348" s="17"/>
      <c r="D348" s="18"/>
      <c r="E348" s="11"/>
      <c r="F348" s="19"/>
      <c r="G348" s="20"/>
      <c r="H348" s="21"/>
      <c r="I348" s="22"/>
      <c r="J348" s="22"/>
      <c r="K348" s="39"/>
      <c r="L348" s="24"/>
      <c r="O348" s="74"/>
      <c r="P348" s="27"/>
    </row>
    <row r="349" spans="1:16" x14ac:dyDescent="0.25">
      <c r="A349" s="13">
        <f t="shared" si="10"/>
        <v>25</v>
      </c>
      <c r="B349" s="17"/>
      <c r="C349" s="17"/>
      <c r="D349" s="18"/>
      <c r="E349" s="11"/>
      <c r="F349" s="19"/>
      <c r="G349" s="20"/>
      <c r="H349" s="21"/>
      <c r="I349" s="22"/>
      <c r="J349" s="22"/>
      <c r="K349" s="39"/>
      <c r="L349" s="24"/>
      <c r="O349" s="74"/>
      <c r="P349" s="27"/>
    </row>
    <row r="350" spans="1:16" x14ac:dyDescent="0.25">
      <c r="A350" s="13">
        <f t="shared" si="10"/>
        <v>25</v>
      </c>
      <c r="B350" s="17"/>
      <c r="C350" s="17"/>
      <c r="D350" s="18"/>
      <c r="E350" s="11"/>
      <c r="F350" s="19"/>
      <c r="G350" s="20"/>
      <c r="H350" s="21"/>
      <c r="I350" s="22"/>
      <c r="J350" s="22"/>
      <c r="K350" s="39"/>
      <c r="L350" s="24"/>
      <c r="O350" s="74"/>
      <c r="P350" s="27"/>
    </row>
    <row r="351" spans="1:16" x14ac:dyDescent="0.25">
      <c r="A351" s="13">
        <f t="shared" si="10"/>
        <v>25</v>
      </c>
      <c r="B351" s="17"/>
      <c r="C351" s="17"/>
      <c r="D351" s="18"/>
      <c r="E351" s="11"/>
      <c r="F351" s="19"/>
      <c r="G351" s="20"/>
      <c r="H351" s="21"/>
      <c r="I351" s="22"/>
      <c r="J351" s="22"/>
      <c r="K351" s="39"/>
      <c r="L351" s="24"/>
      <c r="O351" s="74"/>
      <c r="P351" s="27"/>
    </row>
    <row r="352" spans="1:16" x14ac:dyDescent="0.25">
      <c r="A352" s="13">
        <f t="shared" si="10"/>
        <v>25</v>
      </c>
      <c r="B352" s="17"/>
      <c r="C352" s="17"/>
      <c r="D352" s="18"/>
      <c r="E352" s="11"/>
      <c r="F352" s="19"/>
      <c r="G352" s="20"/>
      <c r="H352" s="21"/>
      <c r="I352" s="22"/>
      <c r="J352" s="22"/>
      <c r="K352" s="39"/>
      <c r="L352" s="24"/>
      <c r="O352" s="74"/>
      <c r="P352" s="27"/>
    </row>
    <row r="353" spans="1:16" x14ac:dyDescent="0.25">
      <c r="A353" s="13">
        <f t="shared" si="10"/>
        <v>25</v>
      </c>
      <c r="B353" s="17"/>
      <c r="C353" s="17"/>
      <c r="D353" s="18"/>
      <c r="E353" s="11"/>
      <c r="F353" s="19"/>
      <c r="G353" s="20"/>
      <c r="H353" s="21"/>
      <c r="I353" s="22"/>
      <c r="J353" s="22"/>
      <c r="K353" s="39"/>
      <c r="L353" s="24"/>
      <c r="O353" s="74"/>
      <c r="P353" s="27"/>
    </row>
    <row r="354" spans="1:16" x14ac:dyDescent="0.25">
      <c r="A354" s="13">
        <f t="shared" si="10"/>
        <v>25</v>
      </c>
      <c r="B354" s="17"/>
      <c r="C354" s="17"/>
      <c r="D354" s="18"/>
      <c r="E354" s="11"/>
      <c r="F354" s="19"/>
      <c r="G354" s="20"/>
      <c r="H354" s="21"/>
      <c r="I354" s="22"/>
      <c r="J354" s="22"/>
      <c r="K354" s="39"/>
      <c r="L354" s="24"/>
      <c r="O354" s="74"/>
      <c r="P354" s="27"/>
    </row>
    <row r="355" spans="1:16" x14ac:dyDescent="0.25">
      <c r="A355" s="13">
        <f t="shared" si="10"/>
        <v>25</v>
      </c>
      <c r="B355" s="17"/>
      <c r="C355" s="17"/>
      <c r="D355" s="18"/>
      <c r="E355" s="11"/>
      <c r="F355" s="19"/>
      <c r="G355" s="20"/>
      <c r="H355" s="21"/>
      <c r="I355" s="22"/>
      <c r="J355" s="22"/>
      <c r="K355" s="39"/>
      <c r="L355" s="24"/>
      <c r="O355" s="74"/>
      <c r="P355" s="27"/>
    </row>
    <row r="356" spans="1:16" x14ac:dyDescent="0.25">
      <c r="A356" s="13">
        <f t="shared" si="10"/>
        <v>25</v>
      </c>
      <c r="B356" s="17"/>
      <c r="C356" s="17"/>
      <c r="D356" s="18"/>
      <c r="E356" s="11"/>
      <c r="F356" s="19"/>
      <c r="G356" s="20"/>
      <c r="H356" s="21"/>
      <c r="I356" s="22"/>
      <c r="J356" s="22"/>
      <c r="K356" s="39"/>
      <c r="L356" s="24"/>
      <c r="O356" s="74"/>
      <c r="P356" s="27"/>
    </row>
    <row r="357" spans="1:16" x14ac:dyDescent="0.25">
      <c r="A357" s="13">
        <f t="shared" si="10"/>
        <v>25</v>
      </c>
      <c r="B357" s="17"/>
      <c r="C357" s="17"/>
      <c r="D357" s="18"/>
      <c r="E357" s="11"/>
      <c r="F357" s="19"/>
      <c r="G357" s="20"/>
      <c r="H357" s="21"/>
      <c r="I357" s="22"/>
      <c r="J357" s="22"/>
      <c r="K357" s="39"/>
      <c r="L357" s="24"/>
      <c r="O357" s="74"/>
      <c r="P357" s="27"/>
    </row>
    <row r="358" spans="1:16" x14ac:dyDescent="0.25">
      <c r="A358" s="13">
        <f t="shared" si="10"/>
        <v>25</v>
      </c>
      <c r="B358" s="17"/>
      <c r="C358" s="17"/>
      <c r="D358" s="18"/>
      <c r="E358" s="11"/>
      <c r="F358" s="19"/>
      <c r="G358" s="20"/>
      <c r="H358" s="21"/>
      <c r="I358" s="22"/>
      <c r="J358" s="22"/>
      <c r="K358" s="39"/>
      <c r="L358" s="24"/>
      <c r="O358" s="74"/>
      <c r="P358" s="27"/>
    </row>
    <row r="359" spans="1:16" x14ac:dyDescent="0.25">
      <c r="A359" s="13">
        <f t="shared" si="10"/>
        <v>25</v>
      </c>
      <c r="B359" s="17"/>
      <c r="C359" s="17"/>
      <c r="D359" s="18"/>
      <c r="E359" s="11"/>
      <c r="F359" s="19"/>
      <c r="G359" s="20"/>
      <c r="H359" s="21"/>
      <c r="I359" s="22"/>
      <c r="J359" s="22"/>
      <c r="K359" s="39"/>
      <c r="L359" s="24"/>
      <c r="O359" s="74"/>
      <c r="P359" s="27"/>
    </row>
    <row r="360" spans="1:16" x14ac:dyDescent="0.25">
      <c r="A360" s="13">
        <f t="shared" si="10"/>
        <v>25</v>
      </c>
      <c r="B360" s="17"/>
      <c r="C360" s="17"/>
      <c r="D360" s="18"/>
      <c r="E360" s="11"/>
      <c r="F360" s="19"/>
      <c r="G360" s="20"/>
      <c r="H360" s="21"/>
      <c r="I360" s="22"/>
      <c r="J360" s="22"/>
      <c r="K360" s="39"/>
      <c r="L360" s="24"/>
      <c r="O360" s="74"/>
      <c r="P360" s="27"/>
    </row>
    <row r="361" spans="1:16" x14ac:dyDescent="0.25">
      <c r="A361" s="13">
        <f t="shared" si="10"/>
        <v>25</v>
      </c>
      <c r="B361" s="17"/>
      <c r="C361" s="17"/>
      <c r="D361" s="18"/>
      <c r="E361" s="11"/>
      <c r="F361" s="19"/>
      <c r="G361" s="20"/>
      <c r="H361" s="21"/>
      <c r="I361" s="22"/>
      <c r="J361" s="22"/>
      <c r="K361" s="39"/>
      <c r="L361" s="24"/>
      <c r="O361" s="74"/>
      <c r="P361" s="27"/>
    </row>
    <row r="362" spans="1:16" x14ac:dyDescent="0.25">
      <c r="A362" s="13">
        <f t="shared" si="10"/>
        <v>25</v>
      </c>
      <c r="B362" s="17"/>
      <c r="C362" s="17"/>
      <c r="D362" s="18"/>
      <c r="E362" s="11"/>
      <c r="F362" s="19"/>
      <c r="G362" s="20"/>
      <c r="H362" s="21"/>
      <c r="I362" s="22"/>
      <c r="J362" s="22"/>
      <c r="K362" s="39"/>
      <c r="L362" s="24"/>
      <c r="O362" s="74"/>
      <c r="P362" s="27"/>
    </row>
    <row r="363" spans="1:16" x14ac:dyDescent="0.25">
      <c r="A363" s="13">
        <f t="shared" si="10"/>
        <v>25</v>
      </c>
      <c r="B363" s="17"/>
      <c r="C363" s="17"/>
      <c r="D363" s="18"/>
      <c r="E363" s="11"/>
      <c r="F363" s="19"/>
      <c r="G363" s="20"/>
      <c r="H363" s="21"/>
      <c r="I363" s="22"/>
      <c r="J363" s="22"/>
      <c r="K363" s="23"/>
      <c r="L363" s="24"/>
      <c r="O363" s="74"/>
      <c r="P363" s="27"/>
    </row>
    <row r="364" spans="1:16" x14ac:dyDescent="0.25">
      <c r="A364" s="13">
        <f t="shared" si="10"/>
        <v>25</v>
      </c>
      <c r="B364" s="17"/>
      <c r="C364" s="17"/>
      <c r="D364" s="18"/>
      <c r="E364" s="11"/>
      <c r="F364" s="19"/>
      <c r="G364" s="20"/>
      <c r="H364" s="21"/>
      <c r="I364" s="22"/>
      <c r="J364" s="22"/>
      <c r="K364" s="23"/>
      <c r="L364" s="24"/>
      <c r="O364" s="74"/>
      <c r="P364" s="27"/>
    </row>
    <row r="365" spans="1:16" x14ac:dyDescent="0.25">
      <c r="A365" s="13">
        <f t="shared" si="10"/>
        <v>25</v>
      </c>
      <c r="B365" s="17"/>
      <c r="C365" s="17"/>
      <c r="D365" s="18"/>
      <c r="E365" s="11"/>
      <c r="F365" s="19"/>
      <c r="G365" s="20"/>
      <c r="H365" s="21"/>
      <c r="I365" s="22"/>
      <c r="J365" s="22"/>
      <c r="K365" s="23"/>
      <c r="L365" s="24"/>
      <c r="O365" s="74"/>
      <c r="P365" s="27"/>
    </row>
    <row r="366" spans="1:16" x14ac:dyDescent="0.25">
      <c r="A366" s="13">
        <f t="shared" si="10"/>
        <v>25</v>
      </c>
      <c r="B366" s="17"/>
      <c r="C366" s="17"/>
      <c r="D366" s="18"/>
      <c r="E366" s="11"/>
      <c r="F366" s="19"/>
      <c r="G366" s="20"/>
      <c r="H366" s="21"/>
      <c r="I366" s="22"/>
      <c r="J366" s="22"/>
      <c r="K366" s="23"/>
      <c r="L366" s="24"/>
      <c r="O366" s="74"/>
      <c r="P366" s="27"/>
    </row>
    <row r="367" spans="1:16" x14ac:dyDescent="0.25">
      <c r="A367" s="13">
        <f t="shared" si="10"/>
        <v>25</v>
      </c>
      <c r="B367" s="17"/>
      <c r="C367" s="17"/>
      <c r="D367" s="18"/>
      <c r="E367" s="11"/>
      <c r="F367" s="19"/>
      <c r="G367" s="36"/>
      <c r="H367" s="21"/>
      <c r="I367" s="22"/>
      <c r="J367" s="22"/>
      <c r="K367" s="35"/>
      <c r="L367" s="24"/>
      <c r="O367" s="74"/>
      <c r="P367" s="27"/>
    </row>
    <row r="368" spans="1:16" x14ac:dyDescent="0.25">
      <c r="A368" s="13">
        <f t="shared" si="10"/>
        <v>25</v>
      </c>
      <c r="B368" s="17"/>
      <c r="C368" s="17"/>
      <c r="D368" s="18"/>
      <c r="E368" s="11"/>
      <c r="F368" s="19"/>
      <c r="G368" s="36"/>
      <c r="H368" s="21"/>
      <c r="I368" s="22"/>
      <c r="J368" s="22"/>
      <c r="K368" s="35"/>
      <c r="L368" s="24"/>
      <c r="O368" s="74"/>
      <c r="P368" s="27"/>
    </row>
    <row r="369" spans="1:16" x14ac:dyDescent="0.25">
      <c r="A369" s="13">
        <f t="shared" si="10"/>
        <v>25</v>
      </c>
      <c r="B369" s="17"/>
      <c r="C369" s="17"/>
      <c r="D369" s="18"/>
      <c r="E369" s="11"/>
      <c r="F369" s="19"/>
      <c r="G369" s="36"/>
      <c r="H369" s="21"/>
      <c r="I369" s="22"/>
      <c r="J369" s="22"/>
      <c r="K369" s="35"/>
      <c r="L369" s="24"/>
      <c r="O369" s="74"/>
      <c r="P369" s="27"/>
    </row>
    <row r="370" spans="1:16" x14ac:dyDescent="0.25">
      <c r="A370" s="13">
        <f t="shared" si="10"/>
        <v>25</v>
      </c>
      <c r="B370" s="17"/>
      <c r="C370" s="17"/>
      <c r="D370" s="18"/>
      <c r="E370" s="11"/>
      <c r="F370" s="19"/>
      <c r="G370" s="36"/>
      <c r="H370" s="21"/>
      <c r="I370" s="22"/>
      <c r="J370" s="22"/>
      <c r="K370" s="35"/>
      <c r="L370" s="24"/>
      <c r="O370" s="74"/>
      <c r="P370" s="27"/>
    </row>
    <row r="371" spans="1:16" x14ac:dyDescent="0.25">
      <c r="A371" s="13">
        <f t="shared" si="10"/>
        <v>25</v>
      </c>
      <c r="B371" s="17"/>
      <c r="C371" s="17"/>
      <c r="D371" s="18"/>
      <c r="E371" s="11"/>
      <c r="F371" s="19"/>
      <c r="G371" s="36"/>
      <c r="H371" s="21"/>
      <c r="I371" s="22"/>
      <c r="J371" s="22"/>
      <c r="K371" s="35"/>
      <c r="L371" s="24"/>
      <c r="O371" s="74"/>
      <c r="P371" s="27"/>
    </row>
    <row r="372" spans="1:16" x14ac:dyDescent="0.25">
      <c r="A372" s="13">
        <f t="shared" si="10"/>
        <v>25</v>
      </c>
      <c r="B372" s="17"/>
      <c r="C372" s="17"/>
      <c r="D372" s="18"/>
      <c r="E372" s="11"/>
      <c r="F372" s="19"/>
      <c r="G372" s="36"/>
      <c r="H372" s="21"/>
      <c r="I372" s="22"/>
      <c r="J372" s="22"/>
      <c r="K372" s="35"/>
      <c r="L372" s="24"/>
      <c r="O372" s="74"/>
      <c r="P372" s="27"/>
    </row>
    <row r="373" spans="1:16" x14ac:dyDescent="0.25">
      <c r="A373" s="13">
        <f t="shared" si="10"/>
        <v>25</v>
      </c>
      <c r="B373" s="17"/>
      <c r="C373" s="17"/>
      <c r="D373" s="40"/>
      <c r="E373" s="41"/>
      <c r="F373" s="19"/>
      <c r="G373" s="36"/>
      <c r="H373" s="21"/>
      <c r="I373" s="22"/>
      <c r="J373" s="22"/>
      <c r="K373" s="35"/>
      <c r="L373" s="24"/>
      <c r="O373" s="74"/>
      <c r="P373" s="27"/>
    </row>
    <row r="374" spans="1:16" x14ac:dyDescent="0.25">
      <c r="A374" s="13">
        <f t="shared" si="10"/>
        <v>25</v>
      </c>
      <c r="B374" s="17"/>
      <c r="C374" s="17"/>
      <c r="D374" s="18"/>
      <c r="E374" s="11"/>
      <c r="F374" s="19"/>
      <c r="G374" s="20"/>
      <c r="H374" s="21"/>
      <c r="I374" s="22"/>
      <c r="J374" s="22"/>
      <c r="K374" s="39"/>
      <c r="L374" s="24"/>
      <c r="O374" s="74"/>
      <c r="P374" s="27"/>
    </row>
    <row r="375" spans="1:16" x14ac:dyDescent="0.25">
      <c r="A375" s="13">
        <f t="shared" si="10"/>
        <v>25</v>
      </c>
      <c r="B375" s="17"/>
      <c r="C375" s="17"/>
      <c r="D375" s="18"/>
      <c r="E375" s="11"/>
      <c r="F375" s="19"/>
      <c r="G375" s="20"/>
      <c r="H375" s="21"/>
      <c r="I375" s="22"/>
      <c r="J375" s="22"/>
      <c r="K375" s="39"/>
      <c r="L375" s="24"/>
      <c r="O375" s="74"/>
      <c r="P375" s="27"/>
    </row>
    <row r="376" spans="1:16" x14ac:dyDescent="0.25">
      <c r="A376" s="13">
        <f t="shared" si="10"/>
        <v>25</v>
      </c>
      <c r="B376" s="17"/>
      <c r="C376" s="17"/>
      <c r="D376" s="18"/>
      <c r="E376" s="11"/>
      <c r="F376" s="19"/>
      <c r="G376" s="20"/>
      <c r="H376" s="21"/>
      <c r="I376" s="22"/>
      <c r="J376" s="22"/>
      <c r="K376" s="39"/>
      <c r="L376" s="24"/>
      <c r="O376" s="74"/>
      <c r="P376" s="27"/>
    </row>
    <row r="377" spans="1:16" x14ac:dyDescent="0.25">
      <c r="A377" s="13">
        <f t="shared" si="10"/>
        <v>25</v>
      </c>
      <c r="B377" s="17"/>
      <c r="C377" s="17"/>
      <c r="D377" s="18"/>
      <c r="E377" s="11"/>
      <c r="F377" s="19"/>
      <c r="G377" s="20"/>
      <c r="H377" s="21"/>
      <c r="I377" s="22"/>
      <c r="J377" s="22"/>
      <c r="K377" s="39"/>
      <c r="L377" s="24"/>
      <c r="O377" s="74"/>
      <c r="P377" s="27"/>
    </row>
    <row r="378" spans="1:16" x14ac:dyDescent="0.25">
      <c r="A378" s="13">
        <f t="shared" si="10"/>
        <v>25</v>
      </c>
      <c r="B378" s="17"/>
      <c r="C378" s="17"/>
      <c r="D378" s="18"/>
      <c r="E378" s="11"/>
      <c r="F378" s="19"/>
      <c r="G378" s="20"/>
      <c r="H378" s="21"/>
      <c r="I378" s="22"/>
      <c r="J378" s="22"/>
      <c r="K378" s="39"/>
      <c r="L378" s="24"/>
      <c r="O378" s="74"/>
      <c r="P378" s="27"/>
    </row>
    <row r="379" spans="1:16" x14ac:dyDescent="0.25">
      <c r="A379" s="13">
        <f t="shared" si="10"/>
        <v>25</v>
      </c>
      <c r="B379" s="17"/>
      <c r="C379" s="17"/>
      <c r="D379" s="18"/>
      <c r="E379" s="11"/>
      <c r="F379" s="19"/>
      <c r="G379" s="20"/>
      <c r="H379" s="21"/>
      <c r="I379" s="22"/>
      <c r="J379" s="22"/>
      <c r="K379" s="39"/>
      <c r="L379" s="24"/>
      <c r="O379" s="74"/>
      <c r="P379" s="27"/>
    </row>
    <row r="380" spans="1:16" x14ac:dyDescent="0.25">
      <c r="A380" s="13">
        <f t="shared" si="10"/>
        <v>25</v>
      </c>
      <c r="B380" s="17"/>
      <c r="C380" s="17"/>
      <c r="D380" s="18"/>
      <c r="E380" s="11"/>
      <c r="F380" s="19"/>
      <c r="G380" s="20"/>
      <c r="H380" s="21"/>
      <c r="I380" s="22"/>
      <c r="J380" s="22"/>
      <c r="K380" s="39"/>
      <c r="L380" s="24"/>
      <c r="O380" s="74"/>
      <c r="P380" s="27"/>
    </row>
    <row r="381" spans="1:16" x14ac:dyDescent="0.25">
      <c r="A381" s="13">
        <f t="shared" si="10"/>
        <v>25</v>
      </c>
      <c r="B381" s="17"/>
      <c r="C381" s="17"/>
      <c r="D381" s="18"/>
      <c r="E381" s="11"/>
      <c r="F381" s="19"/>
      <c r="G381" s="20"/>
      <c r="H381" s="21"/>
      <c r="I381" s="22"/>
      <c r="J381" s="22"/>
      <c r="K381" s="39"/>
      <c r="L381" s="24"/>
      <c r="O381" s="74"/>
      <c r="P381" s="27"/>
    </row>
    <row r="382" spans="1:16" x14ac:dyDescent="0.25">
      <c r="A382" s="13">
        <f t="shared" si="10"/>
        <v>25</v>
      </c>
      <c r="B382" s="17"/>
      <c r="C382" s="17"/>
      <c r="D382" s="18"/>
      <c r="E382" s="11"/>
      <c r="F382" s="19"/>
      <c r="G382" s="20"/>
      <c r="H382" s="21"/>
      <c r="I382" s="22"/>
      <c r="J382" s="22"/>
      <c r="K382" s="39"/>
      <c r="L382" s="24"/>
      <c r="O382" s="74"/>
      <c r="P382" s="27"/>
    </row>
    <row r="383" spans="1:16" x14ac:dyDescent="0.25">
      <c r="A383" s="13">
        <f t="shared" si="10"/>
        <v>25</v>
      </c>
      <c r="B383" s="17"/>
      <c r="C383" s="17"/>
      <c r="D383" s="18"/>
      <c r="E383" s="11"/>
      <c r="F383" s="19"/>
      <c r="G383" s="20"/>
      <c r="H383" s="21"/>
      <c r="I383" s="22"/>
      <c r="J383" s="22"/>
      <c r="K383" s="39"/>
      <c r="L383" s="24"/>
      <c r="O383" s="74"/>
      <c r="P383" s="27"/>
    </row>
    <row r="384" spans="1:16" x14ac:dyDescent="0.25">
      <c r="A384" s="13">
        <f t="shared" si="10"/>
        <v>25</v>
      </c>
      <c r="B384" s="17"/>
      <c r="C384" s="17"/>
      <c r="D384" s="18"/>
      <c r="E384" s="11"/>
      <c r="F384" s="19"/>
      <c r="G384" s="20"/>
      <c r="H384" s="21"/>
      <c r="I384" s="22"/>
      <c r="J384" s="22"/>
      <c r="K384" s="39"/>
      <c r="L384" s="24"/>
      <c r="O384" s="74"/>
      <c r="P384" s="27"/>
    </row>
    <row r="385" spans="1:16" x14ac:dyDescent="0.25">
      <c r="A385" s="13">
        <f t="shared" si="10"/>
        <v>25</v>
      </c>
      <c r="B385" s="17"/>
      <c r="C385" s="17"/>
      <c r="D385" s="18"/>
      <c r="E385" s="11"/>
      <c r="F385" s="19"/>
      <c r="G385" s="36"/>
      <c r="H385" s="21"/>
      <c r="I385" s="22"/>
      <c r="J385" s="22"/>
      <c r="K385" s="35"/>
      <c r="L385" s="24"/>
      <c r="O385" s="74"/>
      <c r="P385" s="27"/>
    </row>
    <row r="386" spans="1:16" x14ac:dyDescent="0.25">
      <c r="A386" s="13">
        <f t="shared" si="10"/>
        <v>25</v>
      </c>
      <c r="B386" s="17"/>
      <c r="C386" s="17"/>
      <c r="D386" s="18"/>
      <c r="E386" s="11"/>
      <c r="F386" s="19"/>
      <c r="G386" s="36"/>
      <c r="H386" s="21"/>
      <c r="I386" s="22"/>
      <c r="J386" s="22"/>
      <c r="K386" s="35"/>
      <c r="L386" s="24"/>
      <c r="O386" s="74"/>
      <c r="P386" s="27"/>
    </row>
    <row r="387" spans="1:16" x14ac:dyDescent="0.25">
      <c r="A387" s="13">
        <f t="shared" si="10"/>
        <v>25</v>
      </c>
      <c r="B387" s="17"/>
      <c r="C387" s="17"/>
      <c r="D387" s="18"/>
      <c r="E387" s="11"/>
      <c r="F387" s="19"/>
      <c r="G387" s="36"/>
      <c r="H387" s="21"/>
      <c r="I387" s="22"/>
      <c r="J387" s="22"/>
      <c r="K387" s="35"/>
      <c r="L387" s="24"/>
      <c r="O387" s="74"/>
      <c r="P387" s="27"/>
    </row>
    <row r="388" spans="1:16" x14ac:dyDescent="0.25">
      <c r="A388" s="13">
        <f t="shared" si="10"/>
        <v>25</v>
      </c>
      <c r="B388" s="17"/>
      <c r="C388" s="17"/>
      <c r="D388" s="18"/>
      <c r="E388" s="11"/>
      <c r="F388" s="19"/>
      <c r="G388" s="36"/>
      <c r="H388" s="21"/>
      <c r="I388" s="22"/>
      <c r="J388" s="22"/>
      <c r="K388" s="35"/>
      <c r="L388" s="24"/>
      <c r="O388" s="74"/>
      <c r="P388" s="27"/>
    </row>
    <row r="389" spans="1:16" x14ac:dyDescent="0.25">
      <c r="A389" s="13">
        <f t="shared" ref="A389:A452" si="11">IF(B389=B388,A388,A388+1)</f>
        <v>25</v>
      </c>
      <c r="B389" s="17"/>
      <c r="C389" s="17"/>
      <c r="D389" s="18"/>
      <c r="E389" s="11"/>
      <c r="F389" s="19"/>
      <c r="G389" s="36"/>
      <c r="H389" s="21"/>
      <c r="I389" s="22"/>
      <c r="J389" s="22"/>
      <c r="K389" s="35"/>
      <c r="L389" s="24"/>
      <c r="O389" s="74"/>
      <c r="P389" s="27"/>
    </row>
    <row r="390" spans="1:16" x14ac:dyDescent="0.25">
      <c r="A390" s="13">
        <f t="shared" si="11"/>
        <v>25</v>
      </c>
      <c r="B390" s="17"/>
      <c r="C390" s="17"/>
      <c r="D390" s="18"/>
      <c r="E390" s="11"/>
      <c r="F390" s="19"/>
      <c r="G390" s="36"/>
      <c r="H390" s="21"/>
      <c r="I390" s="22"/>
      <c r="J390" s="22"/>
      <c r="K390" s="35"/>
      <c r="L390" s="24"/>
      <c r="O390" s="74"/>
      <c r="P390" s="27"/>
    </row>
    <row r="391" spans="1:16" x14ac:dyDescent="0.25">
      <c r="A391" s="13">
        <f t="shared" si="11"/>
        <v>25</v>
      </c>
      <c r="B391" s="17"/>
      <c r="C391" s="17"/>
      <c r="D391" s="18"/>
      <c r="E391" s="11"/>
      <c r="F391" s="19"/>
      <c r="G391" s="36"/>
      <c r="H391" s="21"/>
      <c r="I391" s="22"/>
      <c r="J391" s="22"/>
      <c r="K391" s="35"/>
      <c r="L391" s="24"/>
      <c r="O391" s="74"/>
      <c r="P391" s="27"/>
    </row>
    <row r="392" spans="1:16" x14ac:dyDescent="0.25">
      <c r="A392" s="13">
        <f t="shared" si="11"/>
        <v>25</v>
      </c>
      <c r="B392" s="17"/>
      <c r="C392" s="17"/>
      <c r="D392" s="18"/>
      <c r="E392" s="11"/>
      <c r="F392" s="19"/>
      <c r="G392" s="36"/>
      <c r="H392" s="21"/>
      <c r="I392" s="22"/>
      <c r="J392" s="22"/>
      <c r="K392" s="35"/>
      <c r="L392" s="24"/>
      <c r="O392" s="74"/>
      <c r="P392" s="27"/>
    </row>
    <row r="393" spans="1:16" x14ac:dyDescent="0.25">
      <c r="A393" s="13">
        <f t="shared" si="11"/>
        <v>25</v>
      </c>
      <c r="B393" s="17"/>
      <c r="C393" s="17"/>
      <c r="D393" s="18"/>
      <c r="E393" s="11"/>
      <c r="F393" s="19"/>
      <c r="G393" s="36"/>
      <c r="H393" s="21"/>
      <c r="I393" s="22"/>
      <c r="J393" s="22"/>
      <c r="K393" s="35"/>
      <c r="L393" s="24"/>
      <c r="O393" s="74"/>
      <c r="P393" s="27"/>
    </row>
    <row r="394" spans="1:16" x14ac:dyDescent="0.25">
      <c r="A394" s="13">
        <f t="shared" si="11"/>
        <v>25</v>
      </c>
      <c r="B394" s="17"/>
      <c r="C394" s="17"/>
      <c r="D394" s="18"/>
      <c r="E394" s="11"/>
      <c r="F394" s="19"/>
      <c r="G394" s="36"/>
      <c r="H394" s="21"/>
      <c r="I394" s="22"/>
      <c r="J394" s="22"/>
      <c r="K394" s="35"/>
      <c r="L394" s="24"/>
      <c r="O394" s="74"/>
      <c r="P394" s="27"/>
    </row>
    <row r="395" spans="1:16" x14ac:dyDescent="0.25">
      <c r="A395" s="13">
        <f t="shared" si="11"/>
        <v>25</v>
      </c>
      <c r="B395" s="17"/>
      <c r="C395" s="17"/>
      <c r="D395" s="18"/>
      <c r="E395" s="11"/>
      <c r="F395" s="19"/>
      <c r="G395" s="36"/>
      <c r="H395" s="21"/>
      <c r="I395" s="22"/>
      <c r="J395" s="22"/>
      <c r="K395" s="35"/>
      <c r="L395" s="24"/>
      <c r="O395" s="74"/>
      <c r="P395" s="27"/>
    </row>
    <row r="396" spans="1:16" x14ac:dyDescent="0.25">
      <c r="A396" s="13">
        <f t="shared" si="11"/>
        <v>25</v>
      </c>
      <c r="B396" s="17"/>
      <c r="C396" s="17"/>
      <c r="D396" s="18"/>
      <c r="E396" s="11"/>
      <c r="F396" s="19"/>
      <c r="G396" s="36"/>
      <c r="H396" s="21"/>
      <c r="I396" s="22"/>
      <c r="J396" s="22"/>
      <c r="K396" s="35"/>
      <c r="L396" s="24"/>
      <c r="O396" s="74"/>
      <c r="P396" s="27"/>
    </row>
    <row r="397" spans="1:16" x14ac:dyDescent="0.25">
      <c r="A397" s="13">
        <f t="shared" si="11"/>
        <v>25</v>
      </c>
      <c r="B397" s="17"/>
      <c r="C397" s="17"/>
      <c r="D397" s="18"/>
      <c r="E397" s="11"/>
      <c r="F397" s="19"/>
      <c r="G397" s="36"/>
      <c r="H397" s="21"/>
      <c r="I397" s="22"/>
      <c r="J397" s="22"/>
      <c r="K397" s="35"/>
      <c r="L397" s="24"/>
      <c r="O397" s="74"/>
      <c r="P397" s="27"/>
    </row>
    <row r="398" spans="1:16" x14ac:dyDescent="0.25">
      <c r="A398" s="13">
        <f t="shared" si="11"/>
        <v>25</v>
      </c>
      <c r="B398" s="17"/>
      <c r="C398" s="17"/>
      <c r="D398" s="18"/>
      <c r="E398" s="11"/>
      <c r="F398" s="19"/>
      <c r="G398" s="36"/>
      <c r="H398" s="21"/>
      <c r="I398" s="22"/>
      <c r="J398" s="22"/>
      <c r="K398" s="35"/>
      <c r="L398" s="24"/>
      <c r="O398" s="74"/>
      <c r="P398" s="27"/>
    </row>
    <row r="399" spans="1:16" x14ac:dyDescent="0.25">
      <c r="A399" s="13">
        <f t="shared" si="11"/>
        <v>25</v>
      </c>
      <c r="B399" s="17"/>
      <c r="C399" s="17"/>
      <c r="D399" s="18"/>
      <c r="E399" s="11"/>
      <c r="F399" s="19"/>
      <c r="G399" s="36"/>
      <c r="H399" s="21"/>
      <c r="I399" s="22"/>
      <c r="J399" s="22"/>
      <c r="K399" s="35"/>
      <c r="L399" s="24"/>
      <c r="O399" s="74"/>
      <c r="P399" s="27"/>
    </row>
    <row r="400" spans="1:16" x14ac:dyDescent="0.25">
      <c r="A400" s="13">
        <f t="shared" si="11"/>
        <v>25</v>
      </c>
      <c r="B400" s="17"/>
      <c r="C400" s="17"/>
      <c r="D400" s="18"/>
      <c r="E400" s="11"/>
      <c r="F400" s="19"/>
      <c r="G400" s="36"/>
      <c r="H400" s="21"/>
      <c r="I400" s="22"/>
      <c r="J400" s="22"/>
      <c r="K400" s="35"/>
      <c r="L400" s="24"/>
      <c r="O400" s="74"/>
      <c r="P400" s="27"/>
    </row>
    <row r="401" spans="1:16" x14ac:dyDescent="0.25">
      <c r="A401" s="13">
        <f t="shared" si="11"/>
        <v>25</v>
      </c>
      <c r="B401" s="17"/>
      <c r="C401" s="17"/>
      <c r="D401" s="40"/>
      <c r="E401" s="41"/>
      <c r="F401" s="19"/>
      <c r="G401" s="36"/>
      <c r="H401" s="21"/>
      <c r="I401" s="22"/>
      <c r="J401" s="22"/>
      <c r="K401" s="35"/>
      <c r="L401" s="24"/>
      <c r="O401" s="74"/>
      <c r="P401" s="27"/>
    </row>
    <row r="402" spans="1:16" x14ac:dyDescent="0.25">
      <c r="A402" s="13">
        <f t="shared" si="11"/>
        <v>25</v>
      </c>
      <c r="B402" s="17"/>
      <c r="C402" s="17"/>
      <c r="D402" s="18"/>
      <c r="E402" s="11"/>
      <c r="F402" s="19"/>
      <c r="G402" s="20"/>
      <c r="H402" s="21"/>
      <c r="I402" s="22"/>
      <c r="J402" s="22"/>
      <c r="K402" s="39"/>
      <c r="L402" s="24"/>
      <c r="O402" s="74"/>
      <c r="P402" s="27"/>
    </row>
    <row r="403" spans="1:16" x14ac:dyDescent="0.25">
      <c r="A403" s="13">
        <f t="shared" si="11"/>
        <v>25</v>
      </c>
      <c r="B403" s="17"/>
      <c r="C403" s="17"/>
      <c r="D403" s="18"/>
      <c r="E403" s="11"/>
      <c r="F403" s="19"/>
      <c r="G403" s="20"/>
      <c r="H403" s="21"/>
      <c r="I403" s="22"/>
      <c r="J403" s="22"/>
      <c r="K403" s="39"/>
      <c r="L403" s="24"/>
      <c r="O403" s="74"/>
      <c r="P403" s="27"/>
    </row>
    <row r="404" spans="1:16" x14ac:dyDescent="0.25">
      <c r="A404" s="13">
        <f t="shared" si="11"/>
        <v>25</v>
      </c>
      <c r="B404" s="17"/>
      <c r="C404" s="17"/>
      <c r="D404" s="18"/>
      <c r="E404" s="11"/>
      <c r="F404" s="19"/>
      <c r="G404" s="20"/>
      <c r="H404" s="21"/>
      <c r="I404" s="22"/>
      <c r="J404" s="22"/>
      <c r="K404" s="39"/>
      <c r="L404" s="24"/>
      <c r="O404" s="74"/>
      <c r="P404" s="27"/>
    </row>
    <row r="405" spans="1:16" x14ac:dyDescent="0.25">
      <c r="A405" s="13">
        <f t="shared" si="11"/>
        <v>25</v>
      </c>
      <c r="B405" s="17"/>
      <c r="C405" s="17"/>
      <c r="D405" s="18"/>
      <c r="E405" s="11"/>
      <c r="F405" s="19"/>
      <c r="G405" s="20"/>
      <c r="H405" s="21"/>
      <c r="I405" s="22"/>
      <c r="J405" s="22"/>
      <c r="K405" s="39"/>
      <c r="L405" s="24"/>
      <c r="O405" s="74"/>
      <c r="P405" s="27"/>
    </row>
    <row r="406" spans="1:16" x14ac:dyDescent="0.25">
      <c r="A406" s="13">
        <f t="shared" si="11"/>
        <v>25</v>
      </c>
      <c r="B406" s="17"/>
      <c r="C406" s="17"/>
      <c r="D406" s="18"/>
      <c r="E406" s="11"/>
      <c r="F406" s="19"/>
      <c r="G406" s="20"/>
      <c r="H406" s="21"/>
      <c r="I406" s="22"/>
      <c r="J406" s="22"/>
      <c r="K406" s="39"/>
      <c r="L406" s="24"/>
      <c r="O406" s="74"/>
      <c r="P406" s="27"/>
    </row>
    <row r="407" spans="1:16" x14ac:dyDescent="0.25">
      <c r="A407" s="13">
        <f t="shared" si="11"/>
        <v>25</v>
      </c>
      <c r="B407" s="17"/>
      <c r="C407" s="17"/>
      <c r="D407" s="18"/>
      <c r="E407" s="11"/>
      <c r="F407" s="19"/>
      <c r="G407" s="20"/>
      <c r="H407" s="21"/>
      <c r="I407" s="22"/>
      <c r="J407" s="22"/>
      <c r="K407" s="39"/>
      <c r="L407" s="24"/>
      <c r="O407" s="74"/>
      <c r="P407" s="27"/>
    </row>
    <row r="408" spans="1:16" x14ac:dyDescent="0.25">
      <c r="A408" s="13">
        <f t="shared" si="11"/>
        <v>25</v>
      </c>
      <c r="B408" s="17"/>
      <c r="C408" s="17"/>
      <c r="D408" s="18"/>
      <c r="E408" s="11"/>
      <c r="F408" s="19"/>
      <c r="G408" s="20"/>
      <c r="H408" s="21"/>
      <c r="I408" s="22"/>
      <c r="J408" s="22"/>
      <c r="K408" s="39"/>
      <c r="L408" s="24"/>
      <c r="O408" s="74"/>
      <c r="P408" s="27"/>
    </row>
    <row r="409" spans="1:16" x14ac:dyDescent="0.25">
      <c r="A409" s="13">
        <f t="shared" si="11"/>
        <v>25</v>
      </c>
      <c r="B409" s="17"/>
      <c r="C409" s="17"/>
      <c r="D409" s="18"/>
      <c r="E409" s="11"/>
      <c r="F409" s="19"/>
      <c r="G409" s="20"/>
      <c r="H409" s="21"/>
      <c r="I409" s="22"/>
      <c r="J409" s="22"/>
      <c r="K409" s="39"/>
      <c r="L409" s="24"/>
      <c r="O409" s="74"/>
      <c r="P409" s="27"/>
    </row>
    <row r="410" spans="1:16" x14ac:dyDescent="0.25">
      <c r="A410" s="13">
        <f t="shared" si="11"/>
        <v>25</v>
      </c>
      <c r="B410" s="17"/>
      <c r="C410" s="17"/>
      <c r="D410" s="18"/>
      <c r="E410" s="11"/>
      <c r="F410" s="19"/>
      <c r="G410" s="20"/>
      <c r="H410" s="21"/>
      <c r="I410" s="22"/>
      <c r="J410" s="22"/>
      <c r="K410" s="39"/>
      <c r="L410" s="24"/>
      <c r="O410" s="74"/>
      <c r="P410" s="27"/>
    </row>
    <row r="411" spans="1:16" x14ac:dyDescent="0.25">
      <c r="A411" s="13">
        <f t="shared" si="11"/>
        <v>25</v>
      </c>
      <c r="B411" s="17"/>
      <c r="C411" s="17"/>
      <c r="D411" s="18"/>
      <c r="E411" s="11"/>
      <c r="F411" s="19"/>
      <c r="G411" s="20"/>
      <c r="H411" s="21"/>
      <c r="I411" s="22"/>
      <c r="J411" s="22"/>
      <c r="K411" s="39"/>
      <c r="L411" s="24"/>
      <c r="O411" s="74"/>
      <c r="P411" s="27"/>
    </row>
    <row r="412" spans="1:16" x14ac:dyDescent="0.25">
      <c r="A412" s="13">
        <f t="shared" si="11"/>
        <v>25</v>
      </c>
      <c r="B412" s="17"/>
      <c r="C412" s="17"/>
      <c r="D412" s="18"/>
      <c r="E412" s="11"/>
      <c r="F412" s="19"/>
      <c r="G412" s="20"/>
      <c r="H412" s="21"/>
      <c r="I412" s="22"/>
      <c r="J412" s="22"/>
      <c r="K412" s="39"/>
      <c r="L412" s="24"/>
      <c r="O412" s="74"/>
      <c r="P412" s="27"/>
    </row>
    <row r="413" spans="1:16" x14ac:dyDescent="0.25">
      <c r="A413" s="13">
        <f t="shared" si="11"/>
        <v>25</v>
      </c>
      <c r="B413" s="17"/>
      <c r="C413" s="17"/>
      <c r="D413" s="18"/>
      <c r="E413" s="11"/>
      <c r="F413" s="19"/>
      <c r="G413" s="20"/>
      <c r="H413" s="21"/>
      <c r="I413" s="22"/>
      <c r="J413" s="22"/>
      <c r="K413" s="39"/>
      <c r="L413" s="24"/>
      <c r="O413" s="74"/>
      <c r="P413" s="27"/>
    </row>
    <row r="414" spans="1:16" x14ac:dyDescent="0.25">
      <c r="A414" s="13">
        <f t="shared" si="11"/>
        <v>25</v>
      </c>
      <c r="B414" s="17"/>
      <c r="C414" s="17"/>
      <c r="D414" s="18"/>
      <c r="E414" s="11"/>
      <c r="F414" s="19"/>
      <c r="G414" s="20"/>
      <c r="H414" s="21"/>
      <c r="I414" s="22"/>
      <c r="J414" s="22"/>
      <c r="K414" s="39"/>
      <c r="L414" s="24"/>
      <c r="O414" s="74"/>
      <c r="P414" s="27"/>
    </row>
    <row r="415" spans="1:16" x14ac:dyDescent="0.25">
      <c r="A415" s="13">
        <f t="shared" si="11"/>
        <v>25</v>
      </c>
      <c r="B415" s="17"/>
      <c r="C415" s="17"/>
      <c r="D415" s="18"/>
      <c r="E415" s="11"/>
      <c r="F415" s="19"/>
      <c r="G415" s="20"/>
      <c r="H415" s="21"/>
      <c r="I415" s="22"/>
      <c r="J415" s="22"/>
      <c r="K415" s="39"/>
      <c r="L415" s="24"/>
      <c r="O415" s="74"/>
      <c r="P415" s="27"/>
    </row>
    <row r="416" spans="1:16" x14ac:dyDescent="0.25">
      <c r="A416" s="13">
        <f t="shared" si="11"/>
        <v>25</v>
      </c>
      <c r="B416" s="17"/>
      <c r="C416" s="17"/>
      <c r="D416" s="18"/>
      <c r="E416" s="11"/>
      <c r="F416" s="19"/>
      <c r="G416" s="20"/>
      <c r="H416" s="21"/>
      <c r="I416" s="22"/>
      <c r="J416" s="22"/>
      <c r="K416" s="39"/>
      <c r="L416" s="24"/>
      <c r="O416" s="74"/>
      <c r="P416" s="27"/>
    </row>
    <row r="417" spans="1:16" x14ac:dyDescent="0.25">
      <c r="A417" s="13">
        <f t="shared" si="11"/>
        <v>25</v>
      </c>
      <c r="B417" s="17"/>
      <c r="C417" s="17"/>
      <c r="D417" s="18"/>
      <c r="E417" s="11"/>
      <c r="F417" s="19"/>
      <c r="G417" s="20"/>
      <c r="H417" s="21"/>
      <c r="I417" s="22"/>
      <c r="J417" s="22"/>
      <c r="K417" s="39"/>
      <c r="L417" s="24"/>
      <c r="O417" s="74"/>
      <c r="P417" s="27"/>
    </row>
    <row r="418" spans="1:16" x14ac:dyDescent="0.25">
      <c r="A418" s="13">
        <f t="shared" si="11"/>
        <v>25</v>
      </c>
      <c r="B418" s="17"/>
      <c r="C418" s="17"/>
      <c r="D418" s="18"/>
      <c r="E418" s="11"/>
      <c r="F418" s="19"/>
      <c r="G418" s="20"/>
      <c r="H418" s="21"/>
      <c r="I418" s="22"/>
      <c r="J418" s="22"/>
      <c r="K418" s="39"/>
      <c r="L418" s="24"/>
      <c r="O418" s="74"/>
      <c r="P418" s="27"/>
    </row>
    <row r="419" spans="1:16" x14ac:dyDescent="0.25">
      <c r="A419" s="13">
        <f t="shared" si="11"/>
        <v>25</v>
      </c>
      <c r="B419" s="17"/>
      <c r="C419" s="17"/>
      <c r="D419" s="18"/>
      <c r="E419" s="11"/>
      <c r="F419" s="19"/>
      <c r="G419" s="20"/>
      <c r="H419" s="21"/>
      <c r="I419" s="22"/>
      <c r="J419" s="22"/>
      <c r="K419" s="39"/>
      <c r="L419" s="24"/>
      <c r="O419" s="74"/>
      <c r="P419" s="27"/>
    </row>
    <row r="420" spans="1:16" x14ac:dyDescent="0.25">
      <c r="A420" s="13">
        <f t="shared" si="11"/>
        <v>25</v>
      </c>
      <c r="B420" s="17"/>
      <c r="C420" s="17"/>
      <c r="D420" s="18"/>
      <c r="E420" s="11"/>
      <c r="F420" s="19"/>
      <c r="G420" s="20"/>
      <c r="H420" s="21"/>
      <c r="I420" s="22"/>
      <c r="J420" s="22"/>
      <c r="K420" s="39"/>
      <c r="L420" s="24"/>
      <c r="O420" s="74"/>
      <c r="P420" s="27"/>
    </row>
    <row r="421" spans="1:16" x14ac:dyDescent="0.25">
      <c r="A421" s="13">
        <f t="shared" si="11"/>
        <v>25</v>
      </c>
      <c r="B421" s="17"/>
      <c r="C421" s="17"/>
      <c r="D421" s="18"/>
      <c r="E421" s="11"/>
      <c r="F421" s="19"/>
      <c r="G421" s="20"/>
      <c r="H421" s="21"/>
      <c r="I421" s="22"/>
      <c r="J421" s="22"/>
      <c r="K421" s="39"/>
      <c r="L421" s="24"/>
      <c r="O421" s="74"/>
      <c r="P421" s="27"/>
    </row>
    <row r="422" spans="1:16" x14ac:dyDescent="0.25">
      <c r="A422" s="13">
        <f t="shared" si="11"/>
        <v>25</v>
      </c>
      <c r="B422" s="17"/>
      <c r="C422" s="17"/>
      <c r="D422" s="18"/>
      <c r="E422" s="11"/>
      <c r="F422" s="19"/>
      <c r="G422" s="20"/>
      <c r="H422" s="21"/>
      <c r="I422" s="22"/>
      <c r="J422" s="22"/>
      <c r="K422" s="39"/>
      <c r="L422" s="24"/>
      <c r="O422" s="74"/>
      <c r="P422" s="27"/>
    </row>
    <row r="423" spans="1:16" x14ac:dyDescent="0.25">
      <c r="A423" s="13">
        <f t="shared" si="11"/>
        <v>25</v>
      </c>
      <c r="B423" s="17"/>
      <c r="C423" s="17"/>
      <c r="D423" s="18"/>
      <c r="E423" s="11"/>
      <c r="F423" s="19"/>
      <c r="G423" s="20"/>
      <c r="H423" s="21"/>
      <c r="I423" s="22"/>
      <c r="J423" s="22"/>
      <c r="K423" s="39"/>
      <c r="L423" s="24"/>
      <c r="O423" s="74"/>
      <c r="P423" s="27"/>
    </row>
    <row r="424" spans="1:16" x14ac:dyDescent="0.25">
      <c r="A424" s="13">
        <f t="shared" si="11"/>
        <v>25</v>
      </c>
      <c r="B424" s="17"/>
      <c r="C424" s="17"/>
      <c r="D424" s="18"/>
      <c r="E424" s="11"/>
      <c r="F424" s="19"/>
      <c r="G424" s="20"/>
      <c r="H424" s="21"/>
      <c r="I424" s="22"/>
      <c r="J424" s="22"/>
      <c r="K424" s="39"/>
      <c r="L424" s="24"/>
      <c r="O424" s="74"/>
      <c r="P424" s="27"/>
    </row>
    <row r="425" spans="1:16" x14ac:dyDescent="0.25">
      <c r="A425" s="13">
        <f t="shared" si="11"/>
        <v>25</v>
      </c>
      <c r="B425" s="17"/>
      <c r="C425" s="17"/>
      <c r="D425" s="18"/>
      <c r="E425" s="11"/>
      <c r="F425" s="19"/>
      <c r="G425" s="20"/>
      <c r="H425" s="21"/>
      <c r="I425" s="22"/>
      <c r="J425" s="22"/>
      <c r="K425" s="39"/>
      <c r="L425" s="24"/>
      <c r="O425" s="74"/>
      <c r="P425" s="27"/>
    </row>
    <row r="426" spans="1:16" x14ac:dyDescent="0.25">
      <c r="A426" s="13">
        <f t="shared" si="11"/>
        <v>25</v>
      </c>
      <c r="B426" s="17"/>
      <c r="C426" s="17"/>
      <c r="D426" s="18"/>
      <c r="E426" s="11"/>
      <c r="F426" s="19"/>
      <c r="G426" s="20"/>
      <c r="H426" s="21"/>
      <c r="I426" s="22"/>
      <c r="J426" s="22"/>
      <c r="K426" s="39"/>
      <c r="L426" s="24"/>
      <c r="O426" s="74"/>
      <c r="P426" s="27"/>
    </row>
    <row r="427" spans="1:16" x14ac:dyDescent="0.25">
      <c r="A427" s="13">
        <f t="shared" si="11"/>
        <v>25</v>
      </c>
      <c r="B427" s="17"/>
      <c r="C427" s="17"/>
      <c r="D427" s="18"/>
      <c r="E427" s="11"/>
      <c r="F427" s="19"/>
      <c r="G427" s="20"/>
      <c r="H427" s="21"/>
      <c r="I427" s="22"/>
      <c r="J427" s="22"/>
      <c r="K427" s="39"/>
      <c r="L427" s="24"/>
      <c r="O427" s="74"/>
      <c r="P427" s="27"/>
    </row>
    <row r="428" spans="1:16" x14ac:dyDescent="0.25">
      <c r="A428" s="13">
        <f t="shared" si="11"/>
        <v>25</v>
      </c>
      <c r="B428" s="17"/>
      <c r="C428" s="17"/>
      <c r="D428" s="18"/>
      <c r="E428" s="11"/>
      <c r="F428" s="19"/>
      <c r="G428" s="20"/>
      <c r="H428" s="21"/>
      <c r="I428" s="22"/>
      <c r="J428" s="22"/>
      <c r="K428" s="39"/>
      <c r="L428" s="24"/>
      <c r="O428" s="74"/>
      <c r="P428" s="27"/>
    </row>
    <row r="429" spans="1:16" x14ac:dyDescent="0.25">
      <c r="A429" s="13">
        <f t="shared" si="11"/>
        <v>25</v>
      </c>
      <c r="B429" s="17"/>
      <c r="C429" s="17"/>
      <c r="D429" s="40"/>
      <c r="E429" s="41"/>
      <c r="F429" s="19"/>
      <c r="G429" s="20"/>
      <c r="H429" s="21"/>
      <c r="I429" s="22"/>
      <c r="J429" s="22"/>
      <c r="K429" s="39"/>
      <c r="L429" s="24"/>
      <c r="O429" s="74"/>
      <c r="P429" s="27"/>
    </row>
    <row r="430" spans="1:16" x14ac:dyDescent="0.25">
      <c r="A430" s="13">
        <f t="shared" si="11"/>
        <v>25</v>
      </c>
      <c r="B430" s="17"/>
      <c r="C430" s="17"/>
      <c r="D430" s="18"/>
      <c r="E430" s="11"/>
      <c r="F430" s="19"/>
      <c r="G430" s="20"/>
      <c r="H430" s="21"/>
      <c r="I430" s="22"/>
      <c r="J430" s="22"/>
      <c r="K430" s="39"/>
      <c r="L430" s="24"/>
      <c r="O430" s="74"/>
      <c r="P430" s="27"/>
    </row>
    <row r="431" spans="1:16" x14ac:dyDescent="0.25">
      <c r="A431" s="13">
        <f t="shared" si="11"/>
        <v>25</v>
      </c>
      <c r="B431" s="17"/>
      <c r="C431" s="17"/>
      <c r="D431" s="18"/>
      <c r="E431" s="11"/>
      <c r="F431" s="19"/>
      <c r="G431" s="20"/>
      <c r="H431" s="21"/>
      <c r="I431" s="22"/>
      <c r="J431" s="22"/>
      <c r="K431" s="39"/>
      <c r="L431" s="24"/>
      <c r="O431" s="74"/>
      <c r="P431" s="27"/>
    </row>
    <row r="432" spans="1:16" x14ac:dyDescent="0.25">
      <c r="A432" s="13">
        <f t="shared" si="11"/>
        <v>25</v>
      </c>
      <c r="B432" s="17"/>
      <c r="C432" s="17"/>
      <c r="D432" s="18"/>
      <c r="E432" s="11"/>
      <c r="F432" s="19"/>
      <c r="G432" s="20"/>
      <c r="H432" s="21"/>
      <c r="I432" s="22"/>
      <c r="J432" s="22"/>
      <c r="K432" s="39"/>
      <c r="L432" s="24"/>
      <c r="O432" s="74"/>
      <c r="P432" s="27"/>
    </row>
    <row r="433" spans="1:16" x14ac:dyDescent="0.25">
      <c r="A433" s="13">
        <f t="shared" si="11"/>
        <v>25</v>
      </c>
      <c r="B433" s="17"/>
      <c r="C433" s="17"/>
      <c r="D433" s="18"/>
      <c r="E433" s="11"/>
      <c r="F433" s="19"/>
      <c r="G433" s="20"/>
      <c r="H433" s="21"/>
      <c r="I433" s="22"/>
      <c r="J433" s="22"/>
      <c r="K433" s="39"/>
      <c r="L433" s="24"/>
      <c r="O433" s="74"/>
      <c r="P433" s="27"/>
    </row>
    <row r="434" spans="1:16" x14ac:dyDescent="0.25">
      <c r="A434" s="13">
        <f t="shared" si="11"/>
        <v>25</v>
      </c>
      <c r="B434" s="17"/>
      <c r="C434" s="17"/>
      <c r="D434" s="18"/>
      <c r="E434" s="11"/>
      <c r="F434" s="19"/>
      <c r="G434" s="20"/>
      <c r="H434" s="21"/>
      <c r="I434" s="22"/>
      <c r="J434" s="22"/>
      <c r="K434" s="39"/>
      <c r="L434" s="24"/>
      <c r="O434" s="74"/>
      <c r="P434" s="27"/>
    </row>
    <row r="435" spans="1:16" x14ac:dyDescent="0.25">
      <c r="A435" s="13">
        <f t="shared" si="11"/>
        <v>25</v>
      </c>
      <c r="B435" s="17"/>
      <c r="C435" s="17"/>
      <c r="D435" s="18"/>
      <c r="E435" s="11"/>
      <c r="F435" s="19"/>
      <c r="G435" s="20"/>
      <c r="H435" s="21"/>
      <c r="I435" s="22"/>
      <c r="J435" s="22"/>
      <c r="K435" s="39"/>
      <c r="L435" s="24"/>
      <c r="O435" s="74"/>
      <c r="P435" s="27"/>
    </row>
    <row r="436" spans="1:16" x14ac:dyDescent="0.25">
      <c r="A436" s="13">
        <f t="shared" si="11"/>
        <v>25</v>
      </c>
      <c r="B436" s="17"/>
      <c r="C436" s="17"/>
      <c r="D436" s="18"/>
      <c r="E436" s="11"/>
      <c r="F436" s="19"/>
      <c r="G436" s="20"/>
      <c r="H436" s="21"/>
      <c r="I436" s="22"/>
      <c r="J436" s="22"/>
      <c r="K436" s="39"/>
      <c r="L436" s="24"/>
      <c r="O436" s="74"/>
      <c r="P436" s="27"/>
    </row>
    <row r="437" spans="1:16" x14ac:dyDescent="0.25">
      <c r="A437" s="13">
        <f t="shared" si="11"/>
        <v>25</v>
      </c>
      <c r="B437" s="17"/>
      <c r="C437" s="17"/>
      <c r="D437" s="18"/>
      <c r="E437" s="11"/>
      <c r="F437" s="19"/>
      <c r="G437" s="20"/>
      <c r="H437" s="21"/>
      <c r="I437" s="22"/>
      <c r="J437" s="22"/>
      <c r="K437" s="39"/>
      <c r="L437" s="24"/>
      <c r="O437" s="74"/>
      <c r="P437" s="27"/>
    </row>
    <row r="438" spans="1:16" x14ac:dyDescent="0.25">
      <c r="A438" s="13">
        <f t="shared" si="11"/>
        <v>25</v>
      </c>
      <c r="B438" s="17"/>
      <c r="C438" s="17"/>
      <c r="D438" s="18"/>
      <c r="E438" s="11"/>
      <c r="F438" s="19"/>
      <c r="G438" s="20"/>
      <c r="H438" s="21"/>
      <c r="I438" s="22"/>
      <c r="J438" s="22"/>
      <c r="K438" s="39"/>
      <c r="L438" s="24"/>
      <c r="O438" s="74"/>
      <c r="P438" s="27"/>
    </row>
    <row r="439" spans="1:16" x14ac:dyDescent="0.25">
      <c r="A439" s="13">
        <f t="shared" si="11"/>
        <v>25</v>
      </c>
      <c r="B439" s="17"/>
      <c r="C439" s="17"/>
      <c r="D439" s="18"/>
      <c r="E439" s="11"/>
      <c r="F439" s="19"/>
      <c r="G439" s="20"/>
      <c r="H439" s="21"/>
      <c r="I439" s="22"/>
      <c r="J439" s="22"/>
      <c r="K439" s="39"/>
      <c r="L439" s="24"/>
      <c r="O439" s="74"/>
      <c r="P439" s="27"/>
    </row>
    <row r="440" spans="1:16" x14ac:dyDescent="0.25">
      <c r="A440" s="13">
        <f t="shared" si="11"/>
        <v>25</v>
      </c>
      <c r="B440" s="17"/>
      <c r="C440" s="17"/>
      <c r="D440" s="40"/>
      <c r="E440" s="41"/>
      <c r="F440" s="19"/>
      <c r="G440" s="20"/>
      <c r="H440" s="21"/>
      <c r="I440" s="22"/>
      <c r="J440" s="22"/>
      <c r="K440" s="39"/>
      <c r="L440" s="24"/>
      <c r="O440" s="74"/>
      <c r="P440" s="27"/>
    </row>
    <row r="441" spans="1:16" x14ac:dyDescent="0.25">
      <c r="A441" s="13">
        <f t="shared" si="11"/>
        <v>25</v>
      </c>
      <c r="B441" s="17"/>
      <c r="C441" s="17"/>
      <c r="D441" s="18"/>
      <c r="E441" s="11"/>
      <c r="F441" s="19"/>
      <c r="G441" s="36"/>
      <c r="H441" s="21"/>
      <c r="I441" s="22"/>
      <c r="J441" s="22"/>
      <c r="K441" s="35"/>
      <c r="L441" s="24"/>
      <c r="O441" s="74"/>
      <c r="P441" s="27"/>
    </row>
    <row r="442" spans="1:16" x14ac:dyDescent="0.25">
      <c r="A442" s="13">
        <f t="shared" si="11"/>
        <v>25</v>
      </c>
      <c r="B442" s="17"/>
      <c r="C442" s="17"/>
      <c r="D442" s="18"/>
      <c r="E442" s="11"/>
      <c r="F442" s="19"/>
      <c r="G442" s="36"/>
      <c r="H442" s="21"/>
      <c r="I442" s="22"/>
      <c r="J442" s="22"/>
      <c r="K442" s="35"/>
      <c r="L442" s="24"/>
      <c r="O442" s="74"/>
      <c r="P442" s="27"/>
    </row>
    <row r="443" spans="1:16" x14ac:dyDescent="0.25">
      <c r="A443" s="13">
        <f t="shared" si="11"/>
        <v>25</v>
      </c>
      <c r="B443" s="17"/>
      <c r="C443" s="17"/>
      <c r="D443" s="18"/>
      <c r="E443" s="11"/>
      <c r="F443" s="19"/>
      <c r="G443" s="36"/>
      <c r="H443" s="21"/>
      <c r="I443" s="22"/>
      <c r="J443" s="22"/>
      <c r="K443" s="35"/>
      <c r="L443" s="24"/>
      <c r="O443" s="74"/>
      <c r="P443" s="27"/>
    </row>
    <row r="444" spans="1:16" x14ac:dyDescent="0.25">
      <c r="A444" s="13">
        <f t="shared" si="11"/>
        <v>25</v>
      </c>
      <c r="B444" s="17"/>
      <c r="C444" s="17"/>
      <c r="D444" s="18"/>
      <c r="E444" s="11"/>
      <c r="F444" s="19"/>
      <c r="G444" s="36"/>
      <c r="H444" s="21"/>
      <c r="I444" s="22"/>
      <c r="J444" s="22"/>
      <c r="K444" s="35"/>
      <c r="L444" s="24"/>
      <c r="O444" s="74"/>
      <c r="P444" s="27"/>
    </row>
    <row r="445" spans="1:16" x14ac:dyDescent="0.25">
      <c r="A445" s="13">
        <f t="shared" si="11"/>
        <v>25</v>
      </c>
      <c r="B445" s="17"/>
      <c r="C445" s="17"/>
      <c r="D445" s="18"/>
      <c r="E445" s="11"/>
      <c r="F445" s="19"/>
      <c r="G445" s="36"/>
      <c r="H445" s="21"/>
      <c r="I445" s="22"/>
      <c r="J445" s="22"/>
      <c r="K445" s="35"/>
      <c r="L445" s="24"/>
      <c r="O445" s="74"/>
      <c r="P445" s="27"/>
    </row>
    <row r="446" spans="1:16" x14ac:dyDescent="0.25">
      <c r="A446" s="13">
        <f t="shared" si="11"/>
        <v>25</v>
      </c>
      <c r="B446" s="17"/>
      <c r="C446" s="17"/>
      <c r="D446" s="18"/>
      <c r="E446" s="11"/>
      <c r="F446" s="19"/>
      <c r="G446" s="36"/>
      <c r="H446" s="21"/>
      <c r="I446" s="22"/>
      <c r="J446" s="22"/>
      <c r="K446" s="35"/>
      <c r="L446" s="24"/>
      <c r="O446" s="74"/>
      <c r="P446" s="27"/>
    </row>
    <row r="447" spans="1:16" x14ac:dyDescent="0.25">
      <c r="A447" s="13">
        <f t="shared" si="11"/>
        <v>25</v>
      </c>
      <c r="B447" s="17"/>
      <c r="C447" s="17"/>
      <c r="D447" s="18"/>
      <c r="E447" s="11"/>
      <c r="F447" s="19"/>
      <c r="G447" s="36"/>
      <c r="H447" s="21"/>
      <c r="I447" s="22"/>
      <c r="J447" s="22"/>
      <c r="K447" s="35"/>
      <c r="L447" s="24"/>
      <c r="O447" s="74"/>
      <c r="P447" s="27"/>
    </row>
    <row r="448" spans="1:16" x14ac:dyDescent="0.25">
      <c r="A448" s="13">
        <f t="shared" si="11"/>
        <v>25</v>
      </c>
      <c r="B448" s="17"/>
      <c r="C448" s="17"/>
      <c r="D448" s="18"/>
      <c r="E448" s="11"/>
      <c r="F448" s="19"/>
      <c r="G448" s="20"/>
      <c r="H448" s="21"/>
      <c r="I448" s="22"/>
      <c r="J448" s="22"/>
      <c r="K448" s="23"/>
      <c r="L448" s="24"/>
      <c r="O448" s="74"/>
      <c r="P448" s="27"/>
    </row>
    <row r="449" spans="1:16" x14ac:dyDescent="0.25">
      <c r="A449" s="13">
        <f t="shared" si="11"/>
        <v>25</v>
      </c>
      <c r="B449" s="17"/>
      <c r="C449" s="17"/>
      <c r="D449" s="18"/>
      <c r="E449" s="11"/>
      <c r="F449" s="19"/>
      <c r="G449" s="20"/>
      <c r="H449" s="21"/>
      <c r="I449" s="22"/>
      <c r="J449" s="22"/>
      <c r="K449" s="23"/>
      <c r="L449" s="24"/>
      <c r="O449" s="74"/>
      <c r="P449" s="27"/>
    </row>
    <row r="450" spans="1:16" x14ac:dyDescent="0.25">
      <c r="A450" s="13">
        <f t="shared" si="11"/>
        <v>25</v>
      </c>
      <c r="B450" s="17"/>
      <c r="C450" s="17"/>
      <c r="D450" s="18"/>
      <c r="E450" s="11"/>
      <c r="F450" s="19"/>
      <c r="G450" s="20"/>
      <c r="H450" s="21"/>
      <c r="I450" s="22"/>
      <c r="J450" s="22"/>
      <c r="K450" s="23"/>
      <c r="L450" s="24"/>
      <c r="O450" s="74"/>
      <c r="P450" s="27"/>
    </row>
    <row r="451" spans="1:16" x14ac:dyDescent="0.25">
      <c r="A451" s="13">
        <f t="shared" si="11"/>
        <v>25</v>
      </c>
      <c r="B451" s="17"/>
      <c r="C451" s="17"/>
      <c r="D451" s="18"/>
      <c r="E451" s="11"/>
      <c r="F451" s="19"/>
      <c r="G451" s="20"/>
      <c r="H451" s="21"/>
      <c r="I451" s="22"/>
      <c r="J451" s="22"/>
      <c r="K451" s="23"/>
      <c r="L451" s="24"/>
      <c r="O451" s="74"/>
      <c r="P451" s="27"/>
    </row>
    <row r="452" spans="1:16" x14ac:dyDescent="0.25">
      <c r="A452" s="13">
        <f t="shared" si="11"/>
        <v>25</v>
      </c>
      <c r="B452" s="17"/>
      <c r="C452" s="17"/>
      <c r="D452" s="18"/>
      <c r="E452" s="11"/>
      <c r="F452" s="19"/>
      <c r="G452" s="20"/>
      <c r="H452" s="21"/>
      <c r="I452" s="22"/>
      <c r="J452" s="22"/>
      <c r="K452" s="23"/>
      <c r="L452" s="24"/>
      <c r="O452" s="74"/>
      <c r="P452" s="27"/>
    </row>
    <row r="453" spans="1:16" x14ac:dyDescent="0.25">
      <c r="A453" s="13">
        <f t="shared" ref="A453:A516" si="12">IF(B453=B452,A452,A452+1)</f>
        <v>25</v>
      </c>
      <c r="B453" s="17"/>
      <c r="C453" s="17"/>
      <c r="D453" s="18"/>
      <c r="E453" s="11"/>
      <c r="F453" s="19"/>
      <c r="G453" s="20"/>
      <c r="H453" s="21"/>
      <c r="I453" s="22"/>
      <c r="J453" s="22"/>
      <c r="K453" s="23"/>
      <c r="L453" s="24"/>
      <c r="O453" s="74"/>
      <c r="P453" s="27"/>
    </row>
    <row r="454" spans="1:16" x14ac:dyDescent="0.25">
      <c r="A454" s="13">
        <f t="shared" si="12"/>
        <v>25</v>
      </c>
      <c r="B454" s="17"/>
      <c r="C454" s="17"/>
      <c r="D454" s="18"/>
      <c r="E454" s="11"/>
      <c r="F454" s="19"/>
      <c r="G454" s="20"/>
      <c r="H454" s="21"/>
      <c r="I454" s="22"/>
      <c r="J454" s="22"/>
      <c r="K454" s="23"/>
      <c r="L454" s="24"/>
      <c r="O454" s="74"/>
      <c r="P454" s="27"/>
    </row>
    <row r="455" spans="1:16" x14ac:dyDescent="0.25">
      <c r="A455" s="13">
        <f t="shared" si="12"/>
        <v>25</v>
      </c>
      <c r="B455" s="17"/>
      <c r="C455" s="17"/>
      <c r="D455" s="18"/>
      <c r="E455" s="11"/>
      <c r="F455" s="19"/>
      <c r="G455" s="20"/>
      <c r="H455" s="21"/>
      <c r="I455" s="22"/>
      <c r="J455" s="22"/>
      <c r="K455" s="23"/>
      <c r="L455" s="24"/>
      <c r="O455" s="74"/>
      <c r="P455" s="27"/>
    </row>
    <row r="456" spans="1:16" x14ac:dyDescent="0.25">
      <c r="A456" s="13">
        <f t="shared" si="12"/>
        <v>25</v>
      </c>
      <c r="B456" s="17"/>
      <c r="C456" s="17"/>
      <c r="D456" s="18"/>
      <c r="E456" s="11"/>
      <c r="F456" s="19"/>
      <c r="G456" s="20"/>
      <c r="H456" s="21"/>
      <c r="I456" s="22"/>
      <c r="J456" s="22"/>
      <c r="K456" s="23"/>
      <c r="L456" s="24"/>
      <c r="O456" s="74"/>
      <c r="P456" s="27"/>
    </row>
    <row r="457" spans="1:16" x14ac:dyDescent="0.25">
      <c r="A457" s="13">
        <f t="shared" si="12"/>
        <v>25</v>
      </c>
      <c r="B457" s="17"/>
      <c r="C457" s="17"/>
      <c r="D457" s="18"/>
      <c r="E457" s="11"/>
      <c r="F457" s="19"/>
      <c r="G457" s="20"/>
      <c r="H457" s="21"/>
      <c r="I457" s="22"/>
      <c r="J457" s="22"/>
      <c r="K457" s="23"/>
      <c r="L457" s="24"/>
      <c r="O457" s="74"/>
      <c r="P457" s="27"/>
    </row>
    <row r="458" spans="1:16" x14ac:dyDescent="0.25">
      <c r="A458" s="13">
        <f t="shared" si="12"/>
        <v>25</v>
      </c>
      <c r="B458" s="17"/>
      <c r="C458" s="17"/>
      <c r="D458" s="18"/>
      <c r="E458" s="11"/>
      <c r="F458" s="19"/>
      <c r="G458" s="20"/>
      <c r="H458" s="21"/>
      <c r="I458" s="22"/>
      <c r="J458" s="22"/>
      <c r="K458" s="23"/>
      <c r="L458" s="24"/>
      <c r="O458" s="74"/>
      <c r="P458" s="27"/>
    </row>
    <row r="459" spans="1:16" x14ac:dyDescent="0.25">
      <c r="A459" s="13">
        <f t="shared" si="12"/>
        <v>25</v>
      </c>
      <c r="B459" s="17"/>
      <c r="C459" s="17"/>
      <c r="D459" s="18"/>
      <c r="E459" s="11"/>
      <c r="F459" s="19"/>
      <c r="G459" s="20"/>
      <c r="H459" s="21"/>
      <c r="I459" s="22"/>
      <c r="J459" s="22"/>
      <c r="K459" s="23"/>
      <c r="L459" s="24"/>
      <c r="O459" s="74"/>
      <c r="P459" s="27"/>
    </row>
    <row r="460" spans="1:16" x14ac:dyDescent="0.25">
      <c r="A460" s="13">
        <f t="shared" si="12"/>
        <v>25</v>
      </c>
      <c r="B460" s="17"/>
      <c r="C460" s="17"/>
      <c r="D460" s="18"/>
      <c r="E460" s="11"/>
      <c r="F460" s="19"/>
      <c r="G460" s="20"/>
      <c r="H460" s="21"/>
      <c r="I460" s="22"/>
      <c r="J460" s="22"/>
      <c r="K460" s="23"/>
      <c r="L460" s="24"/>
      <c r="O460" s="74"/>
      <c r="P460" s="27"/>
    </row>
    <row r="461" spans="1:16" x14ac:dyDescent="0.25">
      <c r="A461" s="13">
        <f t="shared" si="12"/>
        <v>25</v>
      </c>
      <c r="B461" s="17"/>
      <c r="C461" s="17"/>
      <c r="D461" s="18"/>
      <c r="E461" s="11"/>
      <c r="F461" s="19"/>
      <c r="G461" s="20"/>
      <c r="H461" s="21"/>
      <c r="I461" s="22"/>
      <c r="J461" s="22"/>
      <c r="K461" s="23"/>
      <c r="L461" s="24"/>
      <c r="O461" s="74"/>
      <c r="P461" s="27"/>
    </row>
    <row r="462" spans="1:16" x14ac:dyDescent="0.25">
      <c r="A462" s="13">
        <f t="shared" si="12"/>
        <v>25</v>
      </c>
      <c r="B462" s="17"/>
      <c r="C462" s="17"/>
      <c r="D462" s="40"/>
      <c r="E462" s="41"/>
      <c r="F462" s="19"/>
      <c r="G462" s="20"/>
      <c r="H462" s="21"/>
      <c r="I462" s="22"/>
      <c r="J462" s="22"/>
      <c r="K462" s="23"/>
      <c r="L462" s="24"/>
      <c r="O462" s="74"/>
      <c r="P462" s="27"/>
    </row>
    <row r="463" spans="1:16" x14ac:dyDescent="0.25">
      <c r="A463" s="13">
        <f t="shared" si="12"/>
        <v>25</v>
      </c>
      <c r="B463" s="17"/>
      <c r="C463" s="17"/>
      <c r="D463" s="18"/>
      <c r="E463" s="11"/>
      <c r="F463" s="19"/>
      <c r="G463" s="36"/>
      <c r="H463" s="21"/>
      <c r="I463" s="22"/>
      <c r="J463" s="22"/>
      <c r="K463" s="35"/>
      <c r="L463" s="24"/>
      <c r="O463" s="74"/>
      <c r="P463" s="27"/>
    </row>
    <row r="464" spans="1:16" x14ac:dyDescent="0.25">
      <c r="A464" s="13">
        <f t="shared" si="12"/>
        <v>25</v>
      </c>
      <c r="B464" s="17"/>
      <c r="C464" s="17"/>
      <c r="D464" s="18"/>
      <c r="E464" s="11"/>
      <c r="F464" s="19"/>
      <c r="G464" s="36"/>
      <c r="H464" s="21"/>
      <c r="I464" s="22"/>
      <c r="J464" s="22"/>
      <c r="K464" s="35"/>
      <c r="L464" s="24"/>
      <c r="O464" s="74"/>
      <c r="P464" s="27"/>
    </row>
    <row r="465" spans="1:16" x14ac:dyDescent="0.25">
      <c r="A465" s="13">
        <f t="shared" si="12"/>
        <v>25</v>
      </c>
      <c r="B465" s="17"/>
      <c r="C465" s="17"/>
      <c r="D465" s="18"/>
      <c r="E465" s="11"/>
      <c r="F465" s="19"/>
      <c r="G465" s="36"/>
      <c r="H465" s="21"/>
      <c r="I465" s="22"/>
      <c r="J465" s="22"/>
      <c r="K465" s="35"/>
      <c r="L465" s="24"/>
      <c r="O465" s="74"/>
      <c r="P465" s="27"/>
    </row>
    <row r="466" spans="1:16" x14ac:dyDescent="0.25">
      <c r="A466" s="13">
        <f t="shared" si="12"/>
        <v>25</v>
      </c>
      <c r="B466" s="17"/>
      <c r="C466" s="17"/>
      <c r="D466" s="18"/>
      <c r="E466" s="11"/>
      <c r="F466" s="19"/>
      <c r="G466" s="36"/>
      <c r="H466" s="21"/>
      <c r="I466" s="22"/>
      <c r="J466" s="22"/>
      <c r="K466" s="35"/>
      <c r="L466" s="24"/>
      <c r="O466" s="74"/>
      <c r="P466" s="27"/>
    </row>
    <row r="467" spans="1:16" x14ac:dyDescent="0.25">
      <c r="A467" s="13">
        <f t="shared" si="12"/>
        <v>25</v>
      </c>
      <c r="B467" s="17"/>
      <c r="C467" s="17"/>
      <c r="D467" s="18"/>
      <c r="E467" s="11"/>
      <c r="F467" s="19"/>
      <c r="G467" s="36"/>
      <c r="H467" s="21"/>
      <c r="I467" s="22"/>
      <c r="J467" s="22"/>
      <c r="K467" s="35"/>
      <c r="L467" s="24"/>
      <c r="O467" s="74"/>
      <c r="P467" s="27"/>
    </row>
    <row r="468" spans="1:16" x14ac:dyDescent="0.25">
      <c r="A468" s="13">
        <f t="shared" si="12"/>
        <v>25</v>
      </c>
      <c r="B468" s="17"/>
      <c r="C468" s="17"/>
      <c r="D468" s="18"/>
      <c r="E468" s="11"/>
      <c r="F468" s="19"/>
      <c r="G468" s="36"/>
      <c r="H468" s="21"/>
      <c r="I468" s="22"/>
      <c r="J468" s="22"/>
      <c r="K468" s="35"/>
      <c r="L468" s="24"/>
      <c r="O468" s="74"/>
      <c r="P468" s="27"/>
    </row>
    <row r="469" spans="1:16" x14ac:dyDescent="0.25">
      <c r="A469" s="13">
        <f t="shared" si="12"/>
        <v>25</v>
      </c>
      <c r="B469" s="17"/>
      <c r="C469" s="17"/>
      <c r="D469" s="18"/>
      <c r="E469" s="11"/>
      <c r="F469" s="19"/>
      <c r="G469" s="36"/>
      <c r="H469" s="21"/>
      <c r="I469" s="22"/>
      <c r="J469" s="22"/>
      <c r="K469" s="35"/>
      <c r="L469" s="24"/>
      <c r="O469" s="74"/>
      <c r="P469" s="27"/>
    </row>
    <row r="470" spans="1:16" x14ac:dyDescent="0.25">
      <c r="A470" s="13">
        <f t="shared" si="12"/>
        <v>25</v>
      </c>
      <c r="B470" s="17"/>
      <c r="C470" s="17"/>
      <c r="D470" s="18"/>
      <c r="E470" s="11"/>
      <c r="F470" s="19"/>
      <c r="G470" s="36"/>
      <c r="H470" s="21"/>
      <c r="I470" s="22"/>
      <c r="J470" s="22"/>
      <c r="K470" s="35"/>
      <c r="L470" s="24"/>
      <c r="O470" s="74"/>
      <c r="P470" s="27"/>
    </row>
    <row r="471" spans="1:16" x14ac:dyDescent="0.25">
      <c r="A471" s="13">
        <f t="shared" si="12"/>
        <v>25</v>
      </c>
      <c r="B471" s="17"/>
      <c r="C471" s="17"/>
      <c r="D471" s="18"/>
      <c r="E471" s="11"/>
      <c r="F471" s="19"/>
      <c r="G471" s="36"/>
      <c r="H471" s="21"/>
      <c r="I471" s="22"/>
      <c r="J471" s="22"/>
      <c r="K471" s="35"/>
      <c r="L471" s="24"/>
      <c r="O471" s="74"/>
      <c r="P471" s="27"/>
    </row>
    <row r="472" spans="1:16" x14ac:dyDescent="0.25">
      <c r="A472" s="13">
        <f t="shared" si="12"/>
        <v>25</v>
      </c>
      <c r="B472" s="17"/>
      <c r="C472" s="17"/>
      <c r="D472" s="40"/>
      <c r="E472" s="41"/>
      <c r="F472" s="19"/>
      <c r="G472" s="36"/>
      <c r="H472" s="21"/>
      <c r="I472" s="22"/>
      <c r="J472" s="22"/>
      <c r="K472" s="35"/>
      <c r="L472" s="24"/>
      <c r="O472" s="74"/>
      <c r="P472" s="27"/>
    </row>
    <row r="473" spans="1:16" x14ac:dyDescent="0.25">
      <c r="A473" s="13">
        <f t="shared" si="12"/>
        <v>25</v>
      </c>
      <c r="B473" s="17"/>
      <c r="C473" s="17"/>
      <c r="D473" s="18"/>
      <c r="E473" s="11"/>
      <c r="F473" s="19"/>
      <c r="G473" s="20"/>
      <c r="H473" s="21"/>
      <c r="I473" s="22"/>
      <c r="J473" s="22"/>
      <c r="K473" s="23"/>
      <c r="L473" s="24"/>
      <c r="O473" s="74"/>
      <c r="P473" s="27"/>
    </row>
    <row r="474" spans="1:16" x14ac:dyDescent="0.25">
      <c r="A474" s="13">
        <f t="shared" si="12"/>
        <v>25</v>
      </c>
      <c r="B474" s="17"/>
      <c r="C474" s="17"/>
      <c r="D474" s="18"/>
      <c r="E474" s="11"/>
      <c r="F474" s="19"/>
      <c r="G474" s="20"/>
      <c r="H474" s="21"/>
      <c r="I474" s="22"/>
      <c r="J474" s="22"/>
      <c r="K474" s="23"/>
      <c r="L474" s="24"/>
      <c r="O474" s="74"/>
      <c r="P474" s="27"/>
    </row>
    <row r="475" spans="1:16" x14ac:dyDescent="0.25">
      <c r="A475" s="13">
        <f t="shared" si="12"/>
        <v>25</v>
      </c>
      <c r="B475" s="17"/>
      <c r="C475" s="17"/>
      <c r="D475" s="18"/>
      <c r="E475" s="11"/>
      <c r="F475" s="19"/>
      <c r="G475" s="20"/>
      <c r="H475" s="21"/>
      <c r="I475" s="22"/>
      <c r="J475" s="22"/>
      <c r="K475" s="23"/>
      <c r="L475" s="24"/>
      <c r="O475" s="74"/>
      <c r="P475" s="27"/>
    </row>
    <row r="476" spans="1:16" x14ac:dyDescent="0.25">
      <c r="A476" s="13">
        <f t="shared" si="12"/>
        <v>25</v>
      </c>
      <c r="B476" s="17"/>
      <c r="C476" s="17"/>
      <c r="D476" s="18"/>
      <c r="E476" s="11"/>
      <c r="F476" s="19"/>
      <c r="G476" s="20"/>
      <c r="H476" s="21"/>
      <c r="I476" s="22"/>
      <c r="J476" s="22"/>
      <c r="K476" s="23"/>
      <c r="L476" s="24"/>
      <c r="O476" s="74"/>
      <c r="P476" s="27"/>
    </row>
    <row r="477" spans="1:16" x14ac:dyDescent="0.25">
      <c r="A477" s="13">
        <f t="shared" si="12"/>
        <v>25</v>
      </c>
      <c r="B477" s="17"/>
      <c r="C477" s="17"/>
      <c r="D477" s="18"/>
      <c r="E477" s="11"/>
      <c r="F477" s="19"/>
      <c r="G477" s="20"/>
      <c r="H477" s="21"/>
      <c r="I477" s="22"/>
      <c r="J477" s="22"/>
      <c r="K477" s="23"/>
      <c r="L477" s="24"/>
      <c r="O477" s="74"/>
      <c r="P477" s="27"/>
    </row>
    <row r="478" spans="1:16" x14ac:dyDescent="0.25">
      <c r="A478" s="13">
        <f t="shared" si="12"/>
        <v>25</v>
      </c>
      <c r="B478" s="17"/>
      <c r="C478" s="17"/>
      <c r="D478" s="18"/>
      <c r="E478" s="11"/>
      <c r="F478" s="19"/>
      <c r="G478" s="20"/>
      <c r="H478" s="21"/>
      <c r="I478" s="22"/>
      <c r="J478" s="22"/>
      <c r="K478" s="23"/>
      <c r="L478" s="24"/>
      <c r="O478" s="74"/>
      <c r="P478" s="27"/>
    </row>
    <row r="479" spans="1:16" x14ac:dyDescent="0.25">
      <c r="A479" s="13">
        <f t="shared" si="12"/>
        <v>25</v>
      </c>
      <c r="B479" s="17"/>
      <c r="C479" s="17"/>
      <c r="D479" s="18"/>
      <c r="E479" s="11"/>
      <c r="F479" s="19"/>
      <c r="G479" s="20"/>
      <c r="H479" s="21"/>
      <c r="I479" s="22"/>
      <c r="J479" s="22"/>
      <c r="K479" s="23"/>
      <c r="L479" s="24"/>
      <c r="O479" s="74"/>
      <c r="P479" s="27"/>
    </row>
    <row r="480" spans="1:16" x14ac:dyDescent="0.25">
      <c r="A480" s="13">
        <f t="shared" si="12"/>
        <v>25</v>
      </c>
      <c r="B480" s="17"/>
      <c r="C480" s="17"/>
      <c r="D480" s="18"/>
      <c r="E480" s="11"/>
      <c r="F480" s="19"/>
      <c r="G480" s="20"/>
      <c r="H480" s="21"/>
      <c r="I480" s="22"/>
      <c r="J480" s="22"/>
      <c r="K480" s="23"/>
      <c r="L480" s="24"/>
      <c r="O480" s="74"/>
      <c r="P480" s="27"/>
    </row>
    <row r="481" spans="1:16" x14ac:dyDescent="0.25">
      <c r="A481" s="13">
        <f t="shared" si="12"/>
        <v>25</v>
      </c>
      <c r="B481" s="17"/>
      <c r="C481" s="17"/>
      <c r="D481" s="18"/>
      <c r="E481" s="11"/>
      <c r="F481" s="19"/>
      <c r="G481" s="20"/>
      <c r="H481" s="21"/>
      <c r="I481" s="22"/>
      <c r="J481" s="22"/>
      <c r="K481" s="23"/>
      <c r="L481" s="24"/>
      <c r="O481" s="74"/>
      <c r="P481" s="27"/>
    </row>
    <row r="482" spans="1:16" x14ac:dyDescent="0.25">
      <c r="A482" s="13">
        <f t="shared" si="12"/>
        <v>25</v>
      </c>
      <c r="B482" s="17"/>
      <c r="C482" s="17"/>
      <c r="D482" s="18"/>
      <c r="E482" s="11"/>
      <c r="F482" s="19"/>
      <c r="G482" s="20"/>
      <c r="H482" s="21"/>
      <c r="I482" s="22"/>
      <c r="J482" s="22"/>
      <c r="K482" s="23"/>
      <c r="L482" s="24"/>
      <c r="O482" s="74"/>
      <c r="P482" s="27"/>
    </row>
    <row r="483" spans="1:16" x14ac:dyDescent="0.25">
      <c r="A483" s="13">
        <f t="shared" si="12"/>
        <v>25</v>
      </c>
      <c r="B483" s="17"/>
      <c r="C483" s="17"/>
      <c r="D483" s="18"/>
      <c r="E483" s="11"/>
      <c r="F483" s="19"/>
      <c r="G483" s="36"/>
      <c r="H483" s="21"/>
      <c r="I483" s="22"/>
      <c r="J483" s="22"/>
      <c r="K483" s="23"/>
      <c r="L483" s="24"/>
      <c r="O483" s="74"/>
      <c r="P483" s="27"/>
    </row>
    <row r="484" spans="1:16" x14ac:dyDescent="0.25">
      <c r="A484" s="13">
        <f t="shared" si="12"/>
        <v>25</v>
      </c>
      <c r="B484" s="17"/>
      <c r="C484" s="17"/>
      <c r="D484" s="18"/>
      <c r="E484" s="11"/>
      <c r="F484" s="19"/>
      <c r="G484" s="36"/>
      <c r="H484" s="21"/>
      <c r="I484" s="22"/>
      <c r="J484" s="22"/>
      <c r="K484" s="23"/>
      <c r="L484" s="24"/>
      <c r="O484" s="74"/>
      <c r="P484" s="27"/>
    </row>
    <row r="485" spans="1:16" x14ac:dyDescent="0.25">
      <c r="A485" s="13">
        <f t="shared" si="12"/>
        <v>25</v>
      </c>
      <c r="B485" s="17"/>
      <c r="C485" s="17"/>
      <c r="D485" s="18"/>
      <c r="E485" s="11"/>
      <c r="F485" s="19"/>
      <c r="G485" s="36"/>
      <c r="H485" s="21"/>
      <c r="I485" s="22"/>
      <c r="J485" s="22"/>
      <c r="K485" s="23"/>
      <c r="L485" s="24"/>
      <c r="O485" s="74"/>
      <c r="P485" s="27"/>
    </row>
    <row r="486" spans="1:16" x14ac:dyDescent="0.25">
      <c r="A486" s="13">
        <f t="shared" si="12"/>
        <v>25</v>
      </c>
      <c r="B486" s="17"/>
      <c r="C486" s="17"/>
      <c r="D486" s="18"/>
      <c r="E486" s="11"/>
      <c r="F486" s="19"/>
      <c r="G486" s="36"/>
      <c r="H486" s="21"/>
      <c r="I486" s="22"/>
      <c r="J486" s="22"/>
      <c r="K486" s="23"/>
      <c r="L486" s="24"/>
      <c r="O486" s="74"/>
      <c r="P486" s="27"/>
    </row>
    <row r="487" spans="1:16" x14ac:dyDescent="0.25">
      <c r="A487" s="13">
        <f t="shared" si="12"/>
        <v>25</v>
      </c>
      <c r="B487" s="17"/>
      <c r="C487" s="17"/>
      <c r="D487" s="18"/>
      <c r="E487" s="11"/>
      <c r="F487" s="19"/>
      <c r="G487" s="36"/>
      <c r="H487" s="21"/>
      <c r="I487" s="22"/>
      <c r="J487" s="22"/>
      <c r="K487" s="23"/>
      <c r="L487" s="24"/>
      <c r="O487" s="74"/>
      <c r="P487" s="27"/>
    </row>
    <row r="488" spans="1:16" x14ac:dyDescent="0.25">
      <c r="A488" s="13">
        <f t="shared" si="12"/>
        <v>25</v>
      </c>
      <c r="B488" s="17"/>
      <c r="C488" s="17"/>
      <c r="D488" s="18"/>
      <c r="E488" s="11"/>
      <c r="F488" s="19"/>
      <c r="G488" s="20"/>
      <c r="H488" s="21"/>
      <c r="I488" s="22"/>
      <c r="J488" s="22"/>
      <c r="K488" s="23"/>
      <c r="L488" s="24"/>
      <c r="O488" s="74"/>
      <c r="P488" s="27"/>
    </row>
    <row r="489" spans="1:16" x14ac:dyDescent="0.25">
      <c r="A489" s="13">
        <f t="shared" si="12"/>
        <v>25</v>
      </c>
      <c r="B489" s="17"/>
      <c r="C489" s="17"/>
      <c r="D489" s="18"/>
      <c r="E489" s="11"/>
      <c r="F489" s="19"/>
      <c r="G489" s="20"/>
      <c r="H489" s="21"/>
      <c r="I489" s="22"/>
      <c r="J489" s="22"/>
      <c r="K489" s="23"/>
      <c r="L489" s="24"/>
      <c r="O489" s="74"/>
      <c r="P489" s="27"/>
    </row>
    <row r="490" spans="1:16" x14ac:dyDescent="0.25">
      <c r="A490" s="13">
        <f t="shared" si="12"/>
        <v>25</v>
      </c>
      <c r="B490" s="17"/>
      <c r="C490" s="17"/>
      <c r="D490" s="18"/>
      <c r="E490" s="11"/>
      <c r="F490" s="19"/>
      <c r="G490" s="20"/>
      <c r="H490" s="21"/>
      <c r="I490" s="22"/>
      <c r="J490" s="22"/>
      <c r="K490" s="23"/>
      <c r="L490" s="24"/>
      <c r="O490" s="74"/>
      <c r="P490" s="27"/>
    </row>
    <row r="491" spans="1:16" x14ac:dyDescent="0.25">
      <c r="A491" s="13">
        <f t="shared" si="12"/>
        <v>25</v>
      </c>
      <c r="B491" s="17"/>
      <c r="C491" s="17"/>
      <c r="D491" s="18"/>
      <c r="E491" s="11"/>
      <c r="F491" s="19"/>
      <c r="G491" s="20"/>
      <c r="H491" s="21"/>
      <c r="I491" s="22"/>
      <c r="J491" s="22"/>
      <c r="K491" s="23"/>
      <c r="L491" s="24"/>
      <c r="O491" s="74"/>
      <c r="P491" s="27"/>
    </row>
    <row r="492" spans="1:16" x14ac:dyDescent="0.25">
      <c r="A492" s="13">
        <f t="shared" si="12"/>
        <v>25</v>
      </c>
      <c r="B492" s="17"/>
      <c r="C492" s="17"/>
      <c r="D492" s="18"/>
      <c r="E492" s="11"/>
      <c r="F492" s="19"/>
      <c r="G492" s="20"/>
      <c r="H492" s="21"/>
      <c r="I492" s="22"/>
      <c r="J492" s="22"/>
      <c r="K492" s="23"/>
      <c r="L492" s="24"/>
      <c r="O492" s="74"/>
      <c r="P492" s="27"/>
    </row>
    <row r="493" spans="1:16" x14ac:dyDescent="0.25">
      <c r="A493" s="13">
        <f t="shared" si="12"/>
        <v>25</v>
      </c>
      <c r="B493" s="17"/>
      <c r="C493" s="17"/>
      <c r="D493" s="18"/>
      <c r="E493" s="11"/>
      <c r="F493" s="19"/>
      <c r="G493" s="20"/>
      <c r="H493" s="21"/>
      <c r="I493" s="22"/>
      <c r="J493" s="22"/>
      <c r="K493" s="23"/>
      <c r="L493" s="24"/>
      <c r="O493" s="74"/>
      <c r="P493" s="27"/>
    </row>
    <row r="494" spans="1:16" x14ac:dyDescent="0.25">
      <c r="A494" s="13">
        <f t="shared" si="12"/>
        <v>25</v>
      </c>
      <c r="B494" s="17"/>
      <c r="C494" s="17"/>
      <c r="D494" s="18"/>
      <c r="E494" s="11"/>
      <c r="F494" s="19"/>
      <c r="G494" s="20"/>
      <c r="H494" s="21"/>
      <c r="I494" s="22"/>
      <c r="J494" s="22"/>
      <c r="K494" s="23"/>
      <c r="L494" s="24"/>
      <c r="O494" s="74"/>
      <c r="P494" s="27"/>
    </row>
    <row r="495" spans="1:16" x14ac:dyDescent="0.25">
      <c r="A495" s="13">
        <f t="shared" si="12"/>
        <v>25</v>
      </c>
      <c r="B495" s="17"/>
      <c r="C495" s="17"/>
      <c r="D495" s="18"/>
      <c r="E495" s="11"/>
      <c r="F495" s="19"/>
      <c r="G495" s="36"/>
      <c r="H495" s="21"/>
      <c r="I495" s="22"/>
      <c r="J495" s="22"/>
      <c r="K495" s="23"/>
      <c r="L495" s="24"/>
      <c r="O495" s="74"/>
      <c r="P495" s="27"/>
    </row>
    <row r="496" spans="1:16" x14ac:dyDescent="0.25">
      <c r="A496" s="13">
        <f t="shared" si="12"/>
        <v>25</v>
      </c>
      <c r="B496" s="17"/>
      <c r="C496" s="17"/>
      <c r="D496" s="18"/>
      <c r="E496" s="11"/>
      <c r="F496" s="19"/>
      <c r="G496" s="36"/>
      <c r="H496" s="21"/>
      <c r="I496" s="22"/>
      <c r="J496" s="22"/>
      <c r="K496" s="23"/>
      <c r="L496" s="24"/>
      <c r="O496" s="74"/>
      <c r="P496" s="27"/>
    </row>
    <row r="497" spans="1:16" x14ac:dyDescent="0.25">
      <c r="A497" s="13">
        <f t="shared" si="12"/>
        <v>25</v>
      </c>
      <c r="B497" s="17"/>
      <c r="C497" s="17"/>
      <c r="D497" s="18"/>
      <c r="E497" s="11"/>
      <c r="F497" s="19"/>
      <c r="G497" s="36"/>
      <c r="H497" s="21"/>
      <c r="I497" s="22"/>
      <c r="J497" s="22"/>
      <c r="K497" s="23"/>
      <c r="L497" s="24"/>
      <c r="O497" s="74"/>
      <c r="P497" s="27"/>
    </row>
    <row r="498" spans="1:16" x14ac:dyDescent="0.25">
      <c r="A498" s="13">
        <f t="shared" si="12"/>
        <v>25</v>
      </c>
      <c r="B498" s="17"/>
      <c r="C498" s="17"/>
      <c r="D498" s="18"/>
      <c r="E498" s="11"/>
      <c r="F498" s="19"/>
      <c r="G498" s="36"/>
      <c r="H498" s="21"/>
      <c r="I498" s="22"/>
      <c r="J498" s="22"/>
      <c r="K498" s="23"/>
      <c r="L498" s="24"/>
      <c r="O498" s="74"/>
      <c r="P498" s="27"/>
    </row>
    <row r="499" spans="1:16" x14ac:dyDescent="0.25">
      <c r="A499" s="13">
        <f t="shared" si="12"/>
        <v>25</v>
      </c>
      <c r="B499" s="17"/>
      <c r="C499" s="17"/>
      <c r="D499" s="18"/>
      <c r="E499" s="11"/>
      <c r="F499" s="19"/>
      <c r="G499" s="36"/>
      <c r="H499" s="21"/>
      <c r="I499" s="22"/>
      <c r="J499" s="22"/>
      <c r="K499" s="23"/>
      <c r="L499" s="24"/>
      <c r="O499" s="74"/>
      <c r="P499" s="27"/>
    </row>
    <row r="500" spans="1:16" x14ac:dyDescent="0.25">
      <c r="A500" s="13">
        <f t="shared" si="12"/>
        <v>25</v>
      </c>
      <c r="B500" s="17"/>
      <c r="C500" s="17"/>
      <c r="D500" s="18"/>
      <c r="E500" s="11"/>
      <c r="F500" s="19"/>
      <c r="G500" s="36"/>
      <c r="H500" s="21"/>
      <c r="I500" s="22"/>
      <c r="J500" s="22"/>
      <c r="K500" s="23"/>
      <c r="L500" s="24"/>
      <c r="O500" s="74"/>
      <c r="P500" s="27"/>
    </row>
    <row r="501" spans="1:16" x14ac:dyDescent="0.25">
      <c r="A501" s="13">
        <f t="shared" si="12"/>
        <v>25</v>
      </c>
      <c r="B501" s="17"/>
      <c r="C501" s="17"/>
      <c r="D501" s="18"/>
      <c r="E501" s="11"/>
      <c r="F501" s="19"/>
      <c r="G501" s="36"/>
      <c r="H501" s="21"/>
      <c r="I501" s="22"/>
      <c r="J501" s="22"/>
      <c r="K501" s="23"/>
      <c r="L501" s="24"/>
      <c r="O501" s="74"/>
      <c r="P501" s="27"/>
    </row>
    <row r="502" spans="1:16" x14ac:dyDescent="0.25">
      <c r="A502" s="13">
        <f t="shared" si="12"/>
        <v>25</v>
      </c>
      <c r="B502" s="17"/>
      <c r="C502" s="17"/>
      <c r="D502" s="18"/>
      <c r="E502" s="11"/>
      <c r="F502" s="19"/>
      <c r="G502" s="36"/>
      <c r="H502" s="21"/>
      <c r="I502" s="22"/>
      <c r="J502" s="22"/>
      <c r="K502" s="23"/>
      <c r="L502" s="24"/>
      <c r="O502" s="74"/>
      <c r="P502" s="27"/>
    </row>
    <row r="503" spans="1:16" x14ac:dyDescent="0.25">
      <c r="A503" s="13">
        <f t="shared" si="12"/>
        <v>25</v>
      </c>
      <c r="B503" s="17"/>
      <c r="C503" s="17"/>
      <c r="D503" s="18"/>
      <c r="E503" s="11"/>
      <c r="F503" s="19"/>
      <c r="G503" s="36"/>
      <c r="H503" s="21"/>
      <c r="I503" s="22"/>
      <c r="J503" s="22"/>
      <c r="K503" s="23"/>
      <c r="L503" s="24"/>
      <c r="O503" s="74"/>
      <c r="P503" s="27"/>
    </row>
    <row r="504" spans="1:16" x14ac:dyDescent="0.25">
      <c r="A504" s="13">
        <f t="shared" si="12"/>
        <v>25</v>
      </c>
      <c r="B504" s="17"/>
      <c r="C504" s="17"/>
      <c r="D504" s="18"/>
      <c r="E504" s="11"/>
      <c r="F504" s="19"/>
      <c r="G504" s="36"/>
      <c r="H504" s="21"/>
      <c r="I504" s="22"/>
      <c r="J504" s="22"/>
      <c r="K504" s="23"/>
      <c r="L504" s="24"/>
      <c r="O504" s="74"/>
      <c r="P504" s="27"/>
    </row>
    <row r="505" spans="1:16" x14ac:dyDescent="0.25">
      <c r="A505" s="13">
        <f t="shared" si="12"/>
        <v>25</v>
      </c>
      <c r="B505" s="17"/>
      <c r="C505" s="17"/>
      <c r="D505" s="18"/>
      <c r="E505" s="11"/>
      <c r="F505" s="19"/>
      <c r="G505" s="36"/>
      <c r="H505" s="21"/>
      <c r="I505" s="22"/>
      <c r="J505" s="22"/>
      <c r="K505" s="23"/>
      <c r="L505" s="24"/>
      <c r="O505" s="74"/>
      <c r="P505" s="27"/>
    </row>
    <row r="506" spans="1:16" x14ac:dyDescent="0.25">
      <c r="A506" s="13">
        <f t="shared" si="12"/>
        <v>25</v>
      </c>
      <c r="B506" s="17"/>
      <c r="C506" s="17"/>
      <c r="D506" s="18"/>
      <c r="E506" s="11"/>
      <c r="F506" s="19"/>
      <c r="G506" s="36"/>
      <c r="H506" s="21"/>
      <c r="I506" s="22"/>
      <c r="J506" s="22"/>
      <c r="K506" s="23"/>
      <c r="L506" s="24"/>
      <c r="O506" s="74"/>
      <c r="P506" s="27"/>
    </row>
    <row r="507" spans="1:16" x14ac:dyDescent="0.25">
      <c r="A507" s="13">
        <f t="shared" si="12"/>
        <v>25</v>
      </c>
      <c r="B507" s="17"/>
      <c r="C507" s="17"/>
      <c r="D507" s="18"/>
      <c r="E507" s="11"/>
      <c r="F507" s="19"/>
      <c r="G507" s="36"/>
      <c r="H507" s="21"/>
      <c r="I507" s="22"/>
      <c r="J507" s="22"/>
      <c r="K507" s="23"/>
      <c r="L507" s="24"/>
      <c r="O507" s="74"/>
      <c r="P507" s="27"/>
    </row>
    <row r="508" spans="1:16" x14ac:dyDescent="0.25">
      <c r="A508" s="13">
        <f t="shared" si="12"/>
        <v>25</v>
      </c>
      <c r="B508" s="17"/>
      <c r="C508" s="17"/>
      <c r="D508" s="18"/>
      <c r="E508" s="11"/>
      <c r="F508" s="19"/>
      <c r="G508" s="36"/>
      <c r="H508" s="21"/>
      <c r="I508" s="22"/>
      <c r="J508" s="22"/>
      <c r="K508" s="23"/>
      <c r="L508" s="24"/>
      <c r="O508" s="74"/>
      <c r="P508" s="27"/>
    </row>
    <row r="509" spans="1:16" x14ac:dyDescent="0.25">
      <c r="A509" s="13">
        <f t="shared" si="12"/>
        <v>25</v>
      </c>
      <c r="B509" s="17"/>
      <c r="C509" s="17"/>
      <c r="D509" s="18"/>
      <c r="E509" s="11"/>
      <c r="F509" s="19"/>
      <c r="G509" s="36"/>
      <c r="H509" s="21"/>
      <c r="I509" s="22"/>
      <c r="J509" s="22"/>
      <c r="K509" s="23"/>
      <c r="L509" s="24"/>
      <c r="O509" s="74"/>
      <c r="P509" s="27"/>
    </row>
    <row r="510" spans="1:16" x14ac:dyDescent="0.25">
      <c r="A510" s="13">
        <f t="shared" si="12"/>
        <v>25</v>
      </c>
      <c r="B510" s="17"/>
      <c r="C510" s="17"/>
      <c r="D510" s="18"/>
      <c r="E510" s="11"/>
      <c r="F510" s="19"/>
      <c r="G510" s="36"/>
      <c r="H510" s="21"/>
      <c r="I510" s="22"/>
      <c r="J510" s="22"/>
      <c r="K510" s="23"/>
      <c r="L510" s="24"/>
      <c r="O510" s="74"/>
      <c r="P510" s="27"/>
    </row>
    <row r="511" spans="1:16" x14ac:dyDescent="0.25">
      <c r="A511" s="13">
        <f t="shared" si="12"/>
        <v>25</v>
      </c>
      <c r="B511" s="17"/>
      <c r="C511" s="17"/>
      <c r="D511" s="18"/>
      <c r="E511" s="11"/>
      <c r="F511" s="19"/>
      <c r="G511" s="20"/>
      <c r="H511" s="21"/>
      <c r="I511" s="22"/>
      <c r="J511" s="22"/>
      <c r="K511" s="23"/>
      <c r="L511" s="24"/>
      <c r="O511" s="74"/>
      <c r="P511" s="27"/>
    </row>
    <row r="512" spans="1:16" x14ac:dyDescent="0.25">
      <c r="A512" s="13">
        <f t="shared" si="12"/>
        <v>25</v>
      </c>
      <c r="B512" s="17"/>
      <c r="C512" s="17"/>
      <c r="D512" s="18"/>
      <c r="E512" s="11"/>
      <c r="F512" s="19"/>
      <c r="G512" s="20"/>
      <c r="H512" s="21"/>
      <c r="I512" s="22"/>
      <c r="J512" s="22"/>
      <c r="K512" s="23"/>
      <c r="L512" s="24"/>
      <c r="O512" s="74"/>
      <c r="P512" s="27"/>
    </row>
    <row r="513" spans="1:16" x14ac:dyDescent="0.25">
      <c r="A513" s="13">
        <f t="shared" si="12"/>
        <v>25</v>
      </c>
      <c r="B513" s="17"/>
      <c r="C513" s="17"/>
      <c r="D513" s="18"/>
      <c r="E513" s="11"/>
      <c r="F513" s="19"/>
      <c r="G513" s="20"/>
      <c r="H513" s="21"/>
      <c r="I513" s="22"/>
      <c r="J513" s="22"/>
      <c r="K513" s="23"/>
      <c r="L513" s="24"/>
      <c r="O513" s="74"/>
      <c r="P513" s="27"/>
    </row>
    <row r="514" spans="1:16" x14ac:dyDescent="0.25">
      <c r="A514" s="13">
        <f t="shared" si="12"/>
        <v>25</v>
      </c>
      <c r="B514" s="17"/>
      <c r="C514" s="17"/>
      <c r="D514" s="18"/>
      <c r="E514" s="11"/>
      <c r="F514" s="19"/>
      <c r="G514" s="20"/>
      <c r="H514" s="21"/>
      <c r="I514" s="22"/>
      <c r="J514" s="22"/>
      <c r="K514" s="23"/>
      <c r="L514" s="24"/>
      <c r="O514" s="74"/>
      <c r="P514" s="27"/>
    </row>
    <row r="515" spans="1:16" x14ac:dyDescent="0.25">
      <c r="A515" s="13">
        <f t="shared" si="12"/>
        <v>25</v>
      </c>
      <c r="B515" s="17"/>
      <c r="C515" s="17"/>
      <c r="D515" s="18"/>
      <c r="E515" s="11"/>
      <c r="F515" s="19"/>
      <c r="G515" s="20"/>
      <c r="H515" s="21"/>
      <c r="I515" s="22"/>
      <c r="J515" s="22"/>
      <c r="K515" s="23"/>
      <c r="L515" s="24"/>
      <c r="O515" s="74"/>
      <c r="P515" s="27"/>
    </row>
    <row r="516" spans="1:16" x14ac:dyDescent="0.25">
      <c r="A516" s="13">
        <f t="shared" si="12"/>
        <v>25</v>
      </c>
      <c r="B516" s="17"/>
      <c r="C516" s="17"/>
      <c r="D516" s="18"/>
      <c r="E516" s="11"/>
      <c r="F516" s="19"/>
      <c r="G516" s="20"/>
      <c r="H516" s="21"/>
      <c r="I516" s="22"/>
      <c r="J516" s="22"/>
      <c r="K516" s="23"/>
      <c r="L516" s="24"/>
      <c r="O516" s="74"/>
      <c r="P516" s="27"/>
    </row>
    <row r="517" spans="1:16" x14ac:dyDescent="0.25">
      <c r="A517" s="13">
        <f t="shared" ref="A517:A580" si="13">IF(B517=B516,A516,A516+1)</f>
        <v>25</v>
      </c>
      <c r="B517" s="17"/>
      <c r="C517" s="17"/>
      <c r="D517" s="18"/>
      <c r="E517" s="11"/>
      <c r="F517" s="19"/>
      <c r="G517" s="20"/>
      <c r="H517" s="21"/>
      <c r="I517" s="22"/>
      <c r="J517" s="22"/>
      <c r="K517" s="23"/>
      <c r="L517" s="24"/>
      <c r="O517" s="74"/>
      <c r="P517" s="27"/>
    </row>
    <row r="518" spans="1:16" x14ac:dyDescent="0.25">
      <c r="A518" s="13">
        <f t="shared" si="13"/>
        <v>25</v>
      </c>
      <c r="B518" s="17"/>
      <c r="C518" s="17"/>
      <c r="D518" s="18"/>
      <c r="E518" s="11"/>
      <c r="F518" s="19"/>
      <c r="G518" s="20"/>
      <c r="H518" s="21"/>
      <c r="I518" s="22"/>
      <c r="J518" s="22"/>
      <c r="K518" s="23"/>
      <c r="L518" s="24"/>
      <c r="O518" s="74"/>
      <c r="P518" s="27"/>
    </row>
    <row r="519" spans="1:16" x14ac:dyDescent="0.25">
      <c r="A519" s="13">
        <f t="shared" si="13"/>
        <v>25</v>
      </c>
      <c r="B519" s="17"/>
      <c r="C519" s="17"/>
      <c r="D519" s="18"/>
      <c r="E519" s="11"/>
      <c r="F519" s="19"/>
      <c r="G519" s="20"/>
      <c r="H519" s="21"/>
      <c r="I519" s="22"/>
      <c r="J519" s="22"/>
      <c r="K519" s="23"/>
      <c r="L519" s="24"/>
      <c r="O519" s="74"/>
      <c r="P519" s="27"/>
    </row>
    <row r="520" spans="1:16" x14ac:dyDescent="0.25">
      <c r="A520" s="13">
        <f t="shared" si="13"/>
        <v>25</v>
      </c>
      <c r="B520" s="17"/>
      <c r="C520" s="17"/>
      <c r="D520" s="18"/>
      <c r="E520" s="11"/>
      <c r="F520" s="19"/>
      <c r="G520" s="20"/>
      <c r="H520" s="21"/>
      <c r="I520" s="22"/>
      <c r="J520" s="22"/>
      <c r="K520" s="23"/>
      <c r="L520" s="24"/>
      <c r="O520" s="74"/>
      <c r="P520" s="27"/>
    </row>
    <row r="521" spans="1:16" x14ac:dyDescent="0.25">
      <c r="A521" s="13">
        <f t="shared" si="13"/>
        <v>25</v>
      </c>
      <c r="B521" s="17"/>
      <c r="C521" s="17"/>
      <c r="D521" s="18"/>
      <c r="E521" s="11"/>
      <c r="F521" s="19"/>
      <c r="G521" s="20"/>
      <c r="H521" s="21"/>
      <c r="I521" s="22"/>
      <c r="J521" s="22"/>
      <c r="K521" s="23"/>
      <c r="L521" s="24"/>
      <c r="O521" s="74"/>
      <c r="P521" s="27"/>
    </row>
    <row r="522" spans="1:16" x14ac:dyDescent="0.25">
      <c r="A522" s="13">
        <f t="shared" si="13"/>
        <v>25</v>
      </c>
      <c r="B522" s="17"/>
      <c r="C522" s="17"/>
      <c r="D522" s="18"/>
      <c r="E522" s="11"/>
      <c r="F522" s="19"/>
      <c r="G522" s="20"/>
      <c r="H522" s="21"/>
      <c r="I522" s="22"/>
      <c r="J522" s="22"/>
      <c r="K522" s="23"/>
      <c r="L522" s="24"/>
      <c r="O522" s="74"/>
      <c r="P522" s="27"/>
    </row>
    <row r="523" spans="1:16" x14ac:dyDescent="0.25">
      <c r="A523" s="13">
        <f t="shared" si="13"/>
        <v>25</v>
      </c>
      <c r="B523" s="17"/>
      <c r="C523" s="17"/>
      <c r="D523" s="18"/>
      <c r="E523" s="11"/>
      <c r="F523" s="19"/>
      <c r="G523" s="20"/>
      <c r="H523" s="21"/>
      <c r="I523" s="22"/>
      <c r="J523" s="22"/>
      <c r="K523" s="23"/>
      <c r="L523" s="24"/>
      <c r="O523" s="74"/>
      <c r="P523" s="27"/>
    </row>
    <row r="524" spans="1:16" x14ac:dyDescent="0.25">
      <c r="A524" s="13">
        <f t="shared" si="13"/>
        <v>25</v>
      </c>
      <c r="B524" s="17"/>
      <c r="C524" s="17"/>
      <c r="D524" s="18"/>
      <c r="E524" s="11"/>
      <c r="F524" s="19"/>
      <c r="G524" s="20"/>
      <c r="H524" s="21"/>
      <c r="I524" s="22"/>
      <c r="J524" s="22"/>
      <c r="K524" s="23"/>
      <c r="L524" s="24"/>
      <c r="O524" s="74"/>
      <c r="P524" s="27"/>
    </row>
    <row r="525" spans="1:16" x14ac:dyDescent="0.25">
      <c r="A525" s="13">
        <f t="shared" si="13"/>
        <v>25</v>
      </c>
      <c r="B525" s="17"/>
      <c r="C525" s="17"/>
      <c r="D525" s="18"/>
      <c r="E525" s="11"/>
      <c r="F525" s="19"/>
      <c r="G525" s="20"/>
      <c r="H525" s="21"/>
      <c r="I525" s="22"/>
      <c r="J525" s="22"/>
      <c r="K525" s="23"/>
      <c r="L525" s="24"/>
      <c r="O525" s="74"/>
      <c r="P525" s="27"/>
    </row>
    <row r="526" spans="1:16" x14ac:dyDescent="0.25">
      <c r="A526" s="13">
        <f t="shared" si="13"/>
        <v>25</v>
      </c>
      <c r="B526" s="17"/>
      <c r="C526" s="17"/>
      <c r="D526" s="18"/>
      <c r="E526" s="11"/>
      <c r="F526" s="19"/>
      <c r="G526" s="20"/>
      <c r="H526" s="21"/>
      <c r="I526" s="22"/>
      <c r="J526" s="22"/>
      <c r="K526" s="23"/>
      <c r="L526" s="24"/>
      <c r="O526" s="74"/>
      <c r="P526" s="27"/>
    </row>
    <row r="527" spans="1:16" x14ac:dyDescent="0.25">
      <c r="A527" s="13">
        <f t="shared" si="13"/>
        <v>25</v>
      </c>
      <c r="B527" s="17"/>
      <c r="C527" s="17"/>
      <c r="D527" s="18"/>
      <c r="E527" s="11"/>
      <c r="F527" s="19"/>
      <c r="G527" s="20"/>
      <c r="H527" s="21"/>
      <c r="I527" s="22"/>
      <c r="J527" s="22"/>
      <c r="K527" s="23"/>
      <c r="L527" s="24"/>
      <c r="O527" s="74"/>
      <c r="P527" s="27"/>
    </row>
    <row r="528" spans="1:16" x14ac:dyDescent="0.25">
      <c r="A528" s="13">
        <f t="shared" si="13"/>
        <v>25</v>
      </c>
      <c r="B528" s="17"/>
      <c r="C528" s="17"/>
      <c r="D528" s="18"/>
      <c r="E528" s="11"/>
      <c r="F528" s="19"/>
      <c r="G528" s="20"/>
      <c r="H528" s="21"/>
      <c r="I528" s="22"/>
      <c r="J528" s="22"/>
      <c r="K528" s="23"/>
      <c r="L528" s="24"/>
      <c r="O528" s="74"/>
      <c r="P528" s="27"/>
    </row>
    <row r="529" spans="1:16" x14ac:dyDescent="0.25">
      <c r="A529" s="13">
        <f t="shared" si="13"/>
        <v>25</v>
      </c>
      <c r="B529" s="17"/>
      <c r="C529" s="17"/>
      <c r="D529" s="18"/>
      <c r="E529" s="11"/>
      <c r="F529" s="19"/>
      <c r="G529" s="20"/>
      <c r="H529" s="21"/>
      <c r="I529" s="22"/>
      <c r="J529" s="22"/>
      <c r="K529" s="23"/>
      <c r="L529" s="24"/>
      <c r="O529" s="74"/>
      <c r="P529" s="27"/>
    </row>
    <row r="530" spans="1:16" x14ac:dyDescent="0.25">
      <c r="A530" s="13">
        <f t="shared" si="13"/>
        <v>25</v>
      </c>
      <c r="B530" s="17"/>
      <c r="C530" s="17"/>
      <c r="D530" s="18"/>
      <c r="E530" s="11"/>
      <c r="F530" s="19"/>
      <c r="G530" s="36"/>
      <c r="H530" s="21"/>
      <c r="I530" s="22"/>
      <c r="J530" s="22"/>
      <c r="K530" s="23"/>
      <c r="L530" s="24"/>
      <c r="O530" s="74"/>
      <c r="P530" s="27"/>
    </row>
    <row r="531" spans="1:16" x14ac:dyDescent="0.25">
      <c r="A531" s="13">
        <f t="shared" si="13"/>
        <v>25</v>
      </c>
      <c r="B531" s="17"/>
      <c r="C531" s="17"/>
      <c r="D531" s="18"/>
      <c r="E531" s="11"/>
      <c r="F531" s="19"/>
      <c r="G531" s="36"/>
      <c r="H531" s="21"/>
      <c r="I531" s="22"/>
      <c r="J531" s="22"/>
      <c r="K531" s="23"/>
      <c r="L531" s="24"/>
      <c r="O531" s="74"/>
      <c r="P531" s="27"/>
    </row>
    <row r="532" spans="1:16" x14ac:dyDescent="0.25">
      <c r="A532" s="13">
        <f t="shared" si="13"/>
        <v>25</v>
      </c>
      <c r="B532" s="17"/>
      <c r="C532" s="17"/>
      <c r="D532" s="18"/>
      <c r="E532" s="11"/>
      <c r="F532" s="19"/>
      <c r="G532" s="36"/>
      <c r="H532" s="21"/>
      <c r="I532" s="22"/>
      <c r="J532" s="22"/>
      <c r="K532" s="23"/>
      <c r="L532" s="24"/>
      <c r="O532" s="74"/>
      <c r="P532" s="27"/>
    </row>
    <row r="533" spans="1:16" x14ac:dyDescent="0.25">
      <c r="A533" s="13">
        <f t="shared" si="13"/>
        <v>25</v>
      </c>
      <c r="B533" s="17"/>
      <c r="C533" s="17"/>
      <c r="D533" s="18"/>
      <c r="E533" s="11"/>
      <c r="F533" s="19"/>
      <c r="G533" s="36"/>
      <c r="H533" s="21"/>
      <c r="I533" s="22"/>
      <c r="J533" s="22"/>
      <c r="K533" s="23"/>
      <c r="L533" s="24"/>
      <c r="O533" s="74"/>
      <c r="P533" s="27"/>
    </row>
    <row r="534" spans="1:16" x14ac:dyDescent="0.25">
      <c r="A534" s="13">
        <f t="shared" si="13"/>
        <v>25</v>
      </c>
      <c r="B534" s="17"/>
      <c r="C534" s="17"/>
      <c r="D534" s="18"/>
      <c r="E534" s="11"/>
      <c r="F534" s="19"/>
      <c r="G534" s="36"/>
      <c r="H534" s="21"/>
      <c r="I534" s="22"/>
      <c r="J534" s="22"/>
      <c r="K534" s="23"/>
      <c r="L534" s="24"/>
      <c r="O534" s="74"/>
      <c r="P534" s="27"/>
    </row>
    <row r="535" spans="1:16" x14ac:dyDescent="0.25">
      <c r="A535" s="13">
        <f t="shared" si="13"/>
        <v>25</v>
      </c>
      <c r="B535" s="17"/>
      <c r="C535" s="17"/>
      <c r="D535" s="18"/>
      <c r="E535" s="11"/>
      <c r="F535" s="19"/>
      <c r="G535" s="36"/>
      <c r="H535" s="21"/>
      <c r="I535" s="22"/>
      <c r="J535" s="22"/>
      <c r="K535" s="23"/>
      <c r="L535" s="24"/>
      <c r="O535" s="74"/>
      <c r="P535" s="27"/>
    </row>
    <row r="536" spans="1:16" x14ac:dyDescent="0.25">
      <c r="A536" s="13">
        <f t="shared" si="13"/>
        <v>25</v>
      </c>
      <c r="B536" s="17"/>
      <c r="C536" s="17"/>
      <c r="D536" s="18"/>
      <c r="E536" s="11"/>
      <c r="F536" s="19"/>
      <c r="G536" s="36"/>
      <c r="H536" s="21"/>
      <c r="I536" s="22"/>
      <c r="J536" s="22"/>
      <c r="K536" s="23"/>
      <c r="L536" s="24"/>
      <c r="O536" s="74"/>
      <c r="P536" s="27"/>
    </row>
    <row r="537" spans="1:16" x14ac:dyDescent="0.25">
      <c r="A537" s="13">
        <f t="shared" si="13"/>
        <v>25</v>
      </c>
      <c r="B537" s="17"/>
      <c r="C537" s="17"/>
      <c r="D537" s="18"/>
      <c r="E537" s="11"/>
      <c r="F537" s="19"/>
      <c r="G537" s="36"/>
      <c r="H537" s="21"/>
      <c r="I537" s="22"/>
      <c r="J537" s="22"/>
      <c r="K537" s="23"/>
      <c r="L537" s="24"/>
      <c r="O537" s="74"/>
      <c r="P537" s="27"/>
    </row>
    <row r="538" spans="1:16" x14ac:dyDescent="0.25">
      <c r="A538" s="13">
        <f t="shared" si="13"/>
        <v>25</v>
      </c>
      <c r="B538" s="17"/>
      <c r="C538" s="17"/>
      <c r="D538" s="18"/>
      <c r="E538" s="11"/>
      <c r="F538" s="19"/>
      <c r="G538" s="36"/>
      <c r="H538" s="21"/>
      <c r="I538" s="22"/>
      <c r="J538" s="22"/>
      <c r="K538" s="23"/>
      <c r="L538" s="24"/>
      <c r="O538" s="74"/>
      <c r="P538" s="27"/>
    </row>
    <row r="539" spans="1:16" x14ac:dyDescent="0.25">
      <c r="A539" s="13">
        <f t="shared" si="13"/>
        <v>25</v>
      </c>
      <c r="B539" s="17"/>
      <c r="C539" s="17"/>
      <c r="D539" s="18"/>
      <c r="E539" s="11"/>
      <c r="F539" s="19"/>
      <c r="G539" s="36"/>
      <c r="H539" s="21"/>
      <c r="I539" s="22"/>
      <c r="J539" s="22"/>
      <c r="K539" s="23"/>
      <c r="L539" s="24"/>
      <c r="O539" s="74"/>
      <c r="P539" s="27"/>
    </row>
    <row r="540" spans="1:16" x14ac:dyDescent="0.25">
      <c r="A540" s="13">
        <f t="shared" si="13"/>
        <v>25</v>
      </c>
      <c r="B540" s="17"/>
      <c r="C540" s="17"/>
      <c r="D540" s="18"/>
      <c r="E540" s="11"/>
      <c r="F540" s="19"/>
      <c r="G540" s="36"/>
      <c r="H540" s="21"/>
      <c r="I540" s="22"/>
      <c r="J540" s="22"/>
      <c r="K540" s="23"/>
      <c r="L540" s="24"/>
      <c r="O540" s="74"/>
      <c r="P540" s="27"/>
    </row>
    <row r="541" spans="1:16" x14ac:dyDescent="0.25">
      <c r="A541" s="13">
        <f t="shared" si="13"/>
        <v>25</v>
      </c>
      <c r="B541" s="17"/>
      <c r="C541" s="17"/>
      <c r="D541" s="18"/>
      <c r="E541" s="11"/>
      <c r="F541" s="19"/>
      <c r="G541" s="36"/>
      <c r="H541" s="21"/>
      <c r="I541" s="22"/>
      <c r="J541" s="22"/>
      <c r="K541" s="23"/>
      <c r="L541" s="24"/>
      <c r="O541" s="74"/>
      <c r="P541" s="27"/>
    </row>
    <row r="542" spans="1:16" x14ac:dyDescent="0.25">
      <c r="A542" s="13">
        <f t="shared" si="13"/>
        <v>25</v>
      </c>
      <c r="B542" s="17"/>
      <c r="C542" s="17"/>
      <c r="D542" s="18"/>
      <c r="E542" s="11"/>
      <c r="F542" s="19"/>
      <c r="G542" s="36"/>
      <c r="H542" s="21"/>
      <c r="I542" s="22"/>
      <c r="J542" s="22"/>
      <c r="K542" s="23"/>
      <c r="L542" s="24"/>
      <c r="O542" s="74"/>
      <c r="P542" s="27"/>
    </row>
    <row r="543" spans="1:16" x14ac:dyDescent="0.25">
      <c r="A543" s="13">
        <f t="shared" si="13"/>
        <v>25</v>
      </c>
      <c r="B543" s="17"/>
      <c r="C543" s="17"/>
      <c r="D543" s="18"/>
      <c r="E543" s="11"/>
      <c r="F543" s="19"/>
      <c r="G543" s="36"/>
      <c r="H543" s="21"/>
      <c r="I543" s="22"/>
      <c r="J543" s="22"/>
      <c r="K543" s="23"/>
      <c r="L543" s="24"/>
      <c r="O543" s="74"/>
      <c r="P543" s="27"/>
    </row>
    <row r="544" spans="1:16" x14ac:dyDescent="0.25">
      <c r="A544" s="13">
        <f t="shared" si="13"/>
        <v>25</v>
      </c>
      <c r="B544" s="17"/>
      <c r="C544" s="17"/>
      <c r="D544" s="18"/>
      <c r="E544" s="11"/>
      <c r="F544" s="19"/>
      <c r="G544" s="36"/>
      <c r="H544" s="21"/>
      <c r="I544" s="22"/>
      <c r="J544" s="22"/>
      <c r="K544" s="23"/>
      <c r="L544" s="24"/>
      <c r="O544" s="74"/>
      <c r="P544" s="27"/>
    </row>
    <row r="545" spans="1:16" x14ac:dyDescent="0.25">
      <c r="A545" s="13">
        <f t="shared" si="13"/>
        <v>25</v>
      </c>
      <c r="B545" s="17"/>
      <c r="C545" s="17"/>
      <c r="D545" s="18"/>
      <c r="E545" s="11"/>
      <c r="F545" s="19"/>
      <c r="G545" s="36"/>
      <c r="H545" s="21"/>
      <c r="I545" s="22"/>
      <c r="J545" s="22"/>
      <c r="K545" s="23"/>
      <c r="L545" s="24"/>
      <c r="O545" s="74"/>
      <c r="P545" s="27"/>
    </row>
    <row r="546" spans="1:16" x14ac:dyDescent="0.25">
      <c r="A546" s="13">
        <f t="shared" si="13"/>
        <v>25</v>
      </c>
      <c r="B546" s="17"/>
      <c r="C546" s="17"/>
      <c r="D546" s="18"/>
      <c r="E546" s="11"/>
      <c r="F546" s="19"/>
      <c r="G546" s="36"/>
      <c r="H546" s="21"/>
      <c r="I546" s="22"/>
      <c r="J546" s="22"/>
      <c r="K546" s="23"/>
      <c r="L546" s="24"/>
      <c r="O546" s="74"/>
      <c r="P546" s="27"/>
    </row>
    <row r="547" spans="1:16" x14ac:dyDescent="0.25">
      <c r="A547" s="13">
        <f t="shared" si="13"/>
        <v>25</v>
      </c>
      <c r="B547" s="17"/>
      <c r="C547" s="17"/>
      <c r="D547" s="18"/>
      <c r="E547" s="11"/>
      <c r="F547" s="19"/>
      <c r="G547" s="20"/>
      <c r="H547" s="21"/>
      <c r="I547" s="22"/>
      <c r="J547" s="22"/>
      <c r="K547" s="23"/>
      <c r="L547" s="24"/>
      <c r="O547" s="74"/>
      <c r="P547" s="27"/>
    </row>
    <row r="548" spans="1:16" x14ac:dyDescent="0.25">
      <c r="A548" s="13">
        <f t="shared" si="13"/>
        <v>25</v>
      </c>
      <c r="B548" s="17"/>
      <c r="C548" s="17"/>
      <c r="D548" s="18"/>
      <c r="E548" s="11"/>
      <c r="F548" s="19"/>
      <c r="G548" s="20"/>
      <c r="H548" s="21"/>
      <c r="I548" s="22"/>
      <c r="J548" s="22"/>
      <c r="K548" s="23"/>
      <c r="L548" s="24"/>
      <c r="O548" s="74"/>
      <c r="P548" s="27"/>
    </row>
    <row r="549" spans="1:16" x14ac:dyDescent="0.25">
      <c r="A549" s="13">
        <f t="shared" si="13"/>
        <v>25</v>
      </c>
      <c r="B549" s="17"/>
      <c r="C549" s="17"/>
      <c r="D549" s="18"/>
      <c r="E549" s="11"/>
      <c r="F549" s="19"/>
      <c r="G549" s="20"/>
      <c r="H549" s="21"/>
      <c r="I549" s="22"/>
      <c r="J549" s="22"/>
      <c r="K549" s="23"/>
      <c r="L549" s="24"/>
      <c r="O549" s="74"/>
      <c r="P549" s="27"/>
    </row>
    <row r="550" spans="1:16" x14ac:dyDescent="0.25">
      <c r="A550" s="13">
        <f t="shared" si="13"/>
        <v>25</v>
      </c>
      <c r="B550" s="17"/>
      <c r="C550" s="17"/>
      <c r="D550" s="18"/>
      <c r="E550" s="11"/>
      <c r="F550" s="19"/>
      <c r="G550" s="20"/>
      <c r="H550" s="21"/>
      <c r="I550" s="22"/>
      <c r="J550" s="22"/>
      <c r="K550" s="23"/>
      <c r="L550" s="24"/>
      <c r="O550" s="74"/>
      <c r="P550" s="27"/>
    </row>
    <row r="551" spans="1:16" x14ac:dyDescent="0.25">
      <c r="A551" s="13">
        <f t="shared" si="13"/>
        <v>25</v>
      </c>
      <c r="B551" s="17"/>
      <c r="C551" s="17"/>
      <c r="D551" s="18"/>
      <c r="E551" s="11"/>
      <c r="F551" s="19"/>
      <c r="G551" s="20"/>
      <c r="H551" s="21"/>
      <c r="I551" s="22"/>
      <c r="J551" s="22"/>
      <c r="K551" s="23"/>
      <c r="L551" s="24"/>
      <c r="O551" s="74"/>
      <c r="P551" s="27"/>
    </row>
    <row r="552" spans="1:16" x14ac:dyDescent="0.25">
      <c r="A552" s="13">
        <f t="shared" si="13"/>
        <v>25</v>
      </c>
      <c r="B552" s="17"/>
      <c r="C552" s="17"/>
      <c r="D552" s="18"/>
      <c r="E552" s="11"/>
      <c r="F552" s="19"/>
      <c r="G552" s="20"/>
      <c r="H552" s="21"/>
      <c r="I552" s="22"/>
      <c r="J552" s="22"/>
      <c r="K552" s="23"/>
      <c r="L552" s="24"/>
      <c r="O552" s="74"/>
      <c r="P552" s="27"/>
    </row>
    <row r="553" spans="1:16" x14ac:dyDescent="0.25">
      <c r="A553" s="13">
        <f t="shared" si="13"/>
        <v>25</v>
      </c>
      <c r="B553" s="17"/>
      <c r="C553" s="17"/>
      <c r="D553" s="18"/>
      <c r="E553" s="11"/>
      <c r="F553" s="19"/>
      <c r="G553" s="20"/>
      <c r="H553" s="21"/>
      <c r="I553" s="22"/>
      <c r="J553" s="22"/>
      <c r="K553" s="23"/>
      <c r="L553" s="24"/>
      <c r="O553" s="74"/>
      <c r="P553" s="27"/>
    </row>
    <row r="554" spans="1:16" x14ac:dyDescent="0.25">
      <c r="A554" s="13">
        <f t="shared" si="13"/>
        <v>25</v>
      </c>
      <c r="B554" s="17"/>
      <c r="C554" s="17"/>
      <c r="D554" s="18"/>
      <c r="E554" s="11"/>
      <c r="F554" s="19"/>
      <c r="G554" s="20"/>
      <c r="H554" s="21"/>
      <c r="I554" s="22"/>
      <c r="J554" s="22"/>
      <c r="K554" s="23"/>
      <c r="L554" s="24"/>
      <c r="O554" s="74"/>
      <c r="P554" s="27"/>
    </row>
    <row r="555" spans="1:16" x14ac:dyDescent="0.25">
      <c r="A555" s="13">
        <f t="shared" si="13"/>
        <v>25</v>
      </c>
      <c r="B555" s="17"/>
      <c r="C555" s="17"/>
      <c r="D555" s="18"/>
      <c r="E555" s="11"/>
      <c r="F555" s="19"/>
      <c r="G555" s="36"/>
      <c r="H555" s="21"/>
      <c r="I555" s="22"/>
      <c r="J555" s="22"/>
      <c r="K555" s="23"/>
      <c r="L555" s="24"/>
      <c r="O555" s="74"/>
      <c r="P555" s="27"/>
    </row>
    <row r="556" spans="1:16" x14ac:dyDescent="0.25">
      <c r="A556" s="13">
        <f t="shared" si="13"/>
        <v>25</v>
      </c>
      <c r="B556" s="17"/>
      <c r="C556" s="17"/>
      <c r="D556" s="18"/>
      <c r="E556" s="11"/>
      <c r="F556" s="19"/>
      <c r="G556" s="36"/>
      <c r="H556" s="21"/>
      <c r="I556" s="22"/>
      <c r="J556" s="22"/>
      <c r="K556" s="23"/>
      <c r="L556" s="24"/>
      <c r="O556" s="74"/>
      <c r="P556" s="27"/>
    </row>
    <row r="557" spans="1:16" x14ac:dyDescent="0.25">
      <c r="A557" s="13">
        <f t="shared" si="13"/>
        <v>25</v>
      </c>
      <c r="B557" s="17"/>
      <c r="C557" s="17"/>
      <c r="D557" s="18"/>
      <c r="E557" s="11"/>
      <c r="F557" s="19"/>
      <c r="G557" s="36"/>
      <c r="H557" s="21"/>
      <c r="I557" s="22"/>
      <c r="J557" s="22"/>
      <c r="K557" s="23"/>
      <c r="L557" s="24"/>
      <c r="O557" s="74"/>
      <c r="P557" s="27"/>
    </row>
    <row r="558" spans="1:16" x14ac:dyDescent="0.25">
      <c r="A558" s="13">
        <f t="shared" si="13"/>
        <v>25</v>
      </c>
      <c r="B558" s="17"/>
      <c r="C558" s="17"/>
      <c r="D558" s="18"/>
      <c r="E558" s="11"/>
      <c r="F558" s="19"/>
      <c r="G558" s="36"/>
      <c r="H558" s="21"/>
      <c r="I558" s="22"/>
      <c r="J558" s="22"/>
      <c r="K558" s="23"/>
      <c r="L558" s="24"/>
      <c r="O558" s="74"/>
      <c r="P558" s="27"/>
    </row>
    <row r="559" spans="1:16" x14ac:dyDescent="0.25">
      <c r="A559" s="13">
        <f t="shared" si="13"/>
        <v>25</v>
      </c>
      <c r="B559" s="17"/>
      <c r="C559" s="17"/>
      <c r="D559" s="18"/>
      <c r="E559" s="11"/>
      <c r="F559" s="19"/>
      <c r="G559" s="36"/>
      <c r="H559" s="21"/>
      <c r="I559" s="22"/>
      <c r="J559" s="22"/>
      <c r="K559" s="23"/>
      <c r="L559" s="24"/>
      <c r="O559" s="74"/>
      <c r="P559" s="27"/>
    </row>
    <row r="560" spans="1:16" x14ac:dyDescent="0.25">
      <c r="A560" s="13">
        <f t="shared" si="13"/>
        <v>25</v>
      </c>
      <c r="B560" s="17"/>
      <c r="C560" s="17"/>
      <c r="D560" s="18"/>
      <c r="E560" s="11"/>
      <c r="F560" s="19"/>
      <c r="G560" s="36"/>
      <c r="H560" s="21"/>
      <c r="I560" s="22"/>
      <c r="J560" s="22"/>
      <c r="K560" s="23"/>
      <c r="L560" s="24"/>
      <c r="O560" s="74"/>
      <c r="P560" s="27"/>
    </row>
    <row r="561" spans="1:16" x14ac:dyDescent="0.25">
      <c r="A561" s="13">
        <f t="shared" si="13"/>
        <v>25</v>
      </c>
      <c r="B561" s="17"/>
      <c r="C561" s="17"/>
      <c r="D561" s="18"/>
      <c r="E561" s="11"/>
      <c r="F561" s="19"/>
      <c r="G561" s="36"/>
      <c r="H561" s="21"/>
      <c r="I561" s="22"/>
      <c r="J561" s="22"/>
      <c r="K561" s="23"/>
      <c r="L561" s="24"/>
      <c r="O561" s="74"/>
      <c r="P561" s="27"/>
    </row>
    <row r="562" spans="1:16" x14ac:dyDescent="0.25">
      <c r="A562" s="13">
        <f t="shared" si="13"/>
        <v>25</v>
      </c>
      <c r="B562" s="17"/>
      <c r="C562" s="17"/>
      <c r="D562" s="18"/>
      <c r="E562" s="11"/>
      <c r="F562" s="19"/>
      <c r="G562" s="36"/>
      <c r="H562" s="21"/>
      <c r="I562" s="22"/>
      <c r="J562" s="22"/>
      <c r="K562" s="23"/>
      <c r="L562" s="24"/>
      <c r="O562" s="74"/>
      <c r="P562" s="27"/>
    </row>
    <row r="563" spans="1:16" x14ac:dyDescent="0.25">
      <c r="A563" s="13">
        <f t="shared" si="13"/>
        <v>25</v>
      </c>
      <c r="B563" s="17"/>
      <c r="C563" s="17"/>
      <c r="D563" s="18"/>
      <c r="E563" s="11"/>
      <c r="F563" s="19"/>
      <c r="G563" s="36"/>
      <c r="H563" s="21"/>
      <c r="I563" s="22"/>
      <c r="J563" s="22"/>
      <c r="K563" s="23"/>
      <c r="L563" s="24"/>
      <c r="O563" s="74"/>
      <c r="P563" s="27"/>
    </row>
    <row r="564" spans="1:16" x14ac:dyDescent="0.25">
      <c r="A564" s="13">
        <f t="shared" si="13"/>
        <v>25</v>
      </c>
      <c r="B564" s="17"/>
      <c r="C564" s="17"/>
      <c r="D564" s="18"/>
      <c r="E564" s="11"/>
      <c r="F564" s="19"/>
      <c r="G564" s="36"/>
      <c r="H564" s="21"/>
      <c r="I564" s="22"/>
      <c r="J564" s="22"/>
      <c r="K564" s="23"/>
      <c r="L564" s="24"/>
      <c r="O564" s="74"/>
      <c r="P564" s="27"/>
    </row>
    <row r="565" spans="1:16" x14ac:dyDescent="0.25">
      <c r="A565" s="13">
        <f t="shared" si="13"/>
        <v>25</v>
      </c>
      <c r="B565" s="17"/>
      <c r="C565" s="17"/>
      <c r="D565" s="18"/>
      <c r="E565" s="11"/>
      <c r="F565" s="19"/>
      <c r="G565" s="36"/>
      <c r="H565" s="21"/>
      <c r="I565" s="22"/>
      <c r="J565" s="22"/>
      <c r="K565" s="23"/>
      <c r="L565" s="24"/>
      <c r="O565" s="74"/>
      <c r="P565" s="27"/>
    </row>
    <row r="566" spans="1:16" x14ac:dyDescent="0.25">
      <c r="A566" s="13">
        <f t="shared" si="13"/>
        <v>25</v>
      </c>
      <c r="B566" s="17"/>
      <c r="C566" s="17"/>
      <c r="D566" s="18"/>
      <c r="E566" s="11"/>
      <c r="F566" s="19"/>
      <c r="G566" s="36"/>
      <c r="H566" s="21"/>
      <c r="I566" s="22"/>
      <c r="J566" s="22"/>
      <c r="K566" s="23"/>
      <c r="L566" s="24"/>
      <c r="O566" s="74"/>
      <c r="P566" s="27"/>
    </row>
    <row r="567" spans="1:16" x14ac:dyDescent="0.25">
      <c r="A567" s="13">
        <f t="shared" si="13"/>
        <v>25</v>
      </c>
      <c r="B567" s="17"/>
      <c r="C567" s="17"/>
      <c r="D567" s="18"/>
      <c r="E567" s="11"/>
      <c r="F567" s="19"/>
      <c r="G567" s="36"/>
      <c r="H567" s="21"/>
      <c r="I567" s="22"/>
      <c r="J567" s="22"/>
      <c r="K567" s="23"/>
      <c r="L567" s="24"/>
      <c r="O567" s="74"/>
      <c r="P567" s="27"/>
    </row>
    <row r="568" spans="1:16" x14ac:dyDescent="0.25">
      <c r="A568" s="13">
        <f t="shared" si="13"/>
        <v>25</v>
      </c>
      <c r="B568" s="17"/>
      <c r="C568" s="17"/>
      <c r="D568" s="40"/>
      <c r="E568" s="41"/>
      <c r="F568" s="19"/>
      <c r="G568" s="36"/>
      <c r="H568" s="21"/>
      <c r="I568" s="22"/>
      <c r="J568" s="22"/>
      <c r="K568" s="23"/>
      <c r="L568" s="24"/>
      <c r="O568" s="74"/>
      <c r="P568" s="27"/>
    </row>
    <row r="569" spans="1:16" x14ac:dyDescent="0.25">
      <c r="A569" s="13">
        <f t="shared" si="13"/>
        <v>25</v>
      </c>
      <c r="B569" s="17"/>
      <c r="C569" s="17"/>
      <c r="D569" s="18"/>
      <c r="E569" s="11"/>
      <c r="F569" s="19"/>
      <c r="G569" s="20"/>
      <c r="H569" s="21"/>
      <c r="I569" s="22"/>
      <c r="J569" s="22"/>
      <c r="K569" s="23"/>
      <c r="L569" s="24"/>
      <c r="O569" s="74"/>
      <c r="P569" s="27"/>
    </row>
    <row r="570" spans="1:16" x14ac:dyDescent="0.25">
      <c r="A570" s="13">
        <f t="shared" si="13"/>
        <v>25</v>
      </c>
      <c r="B570" s="17"/>
      <c r="C570" s="17"/>
      <c r="D570" s="18"/>
      <c r="E570" s="11"/>
      <c r="F570" s="19"/>
      <c r="G570" s="20"/>
      <c r="H570" s="21"/>
      <c r="I570" s="22"/>
      <c r="J570" s="22"/>
      <c r="K570" s="23"/>
      <c r="L570" s="24"/>
      <c r="O570" s="74"/>
      <c r="P570" s="27"/>
    </row>
    <row r="571" spans="1:16" x14ac:dyDescent="0.25">
      <c r="A571" s="13">
        <f t="shared" si="13"/>
        <v>25</v>
      </c>
      <c r="B571" s="17"/>
      <c r="C571" s="17"/>
      <c r="D571" s="18"/>
      <c r="E571" s="11"/>
      <c r="F571" s="19"/>
      <c r="G571" s="20"/>
      <c r="H571" s="21"/>
      <c r="I571" s="22"/>
      <c r="J571" s="22"/>
      <c r="K571" s="23"/>
      <c r="L571" s="24"/>
      <c r="O571" s="74"/>
      <c r="P571" s="27"/>
    </row>
    <row r="572" spans="1:16" x14ac:dyDescent="0.25">
      <c r="A572" s="13">
        <f t="shared" si="13"/>
        <v>25</v>
      </c>
      <c r="B572" s="17"/>
      <c r="C572" s="17"/>
      <c r="D572" s="18"/>
      <c r="E572" s="11"/>
      <c r="F572" s="19"/>
      <c r="G572" s="20"/>
      <c r="H572" s="21"/>
      <c r="I572" s="22"/>
      <c r="J572" s="22"/>
      <c r="K572" s="23"/>
      <c r="L572" s="24"/>
      <c r="O572" s="74"/>
      <c r="P572" s="27"/>
    </row>
    <row r="573" spans="1:16" x14ac:dyDescent="0.25">
      <c r="A573" s="13">
        <f t="shared" si="13"/>
        <v>25</v>
      </c>
      <c r="B573" s="17"/>
      <c r="C573" s="17"/>
      <c r="D573" s="18"/>
      <c r="E573" s="11"/>
      <c r="F573" s="19"/>
      <c r="G573" s="20"/>
      <c r="H573" s="21"/>
      <c r="I573" s="22"/>
      <c r="J573" s="22"/>
      <c r="K573" s="23"/>
      <c r="L573" s="24"/>
      <c r="O573" s="74"/>
      <c r="P573" s="27"/>
    </row>
    <row r="574" spans="1:16" x14ac:dyDescent="0.25">
      <c r="A574" s="13">
        <f t="shared" si="13"/>
        <v>25</v>
      </c>
      <c r="B574" s="17"/>
      <c r="C574" s="17"/>
      <c r="D574" s="18"/>
      <c r="E574" s="11"/>
      <c r="F574" s="19"/>
      <c r="G574" s="20"/>
      <c r="H574" s="21"/>
      <c r="I574" s="22"/>
      <c r="J574" s="22"/>
      <c r="K574" s="23"/>
      <c r="L574" s="24"/>
      <c r="O574" s="74"/>
      <c r="P574" s="27"/>
    </row>
    <row r="575" spans="1:16" x14ac:dyDescent="0.25">
      <c r="A575" s="13">
        <f t="shared" si="13"/>
        <v>25</v>
      </c>
      <c r="B575" s="17"/>
      <c r="C575" s="17"/>
      <c r="D575" s="18"/>
      <c r="E575" s="11"/>
      <c r="F575" s="19"/>
      <c r="G575" s="20"/>
      <c r="H575" s="21"/>
      <c r="I575" s="22"/>
      <c r="J575" s="22"/>
      <c r="K575" s="23"/>
      <c r="L575" s="24"/>
      <c r="O575" s="74"/>
      <c r="P575" s="27"/>
    </row>
    <row r="576" spans="1:16" x14ac:dyDescent="0.25">
      <c r="A576" s="13">
        <f t="shared" si="13"/>
        <v>25</v>
      </c>
      <c r="B576" s="17"/>
      <c r="C576" s="17"/>
      <c r="D576" s="18"/>
      <c r="E576" s="11"/>
      <c r="F576" s="19"/>
      <c r="G576" s="20"/>
      <c r="H576" s="21"/>
      <c r="I576" s="22"/>
      <c r="J576" s="22"/>
      <c r="K576" s="23"/>
      <c r="L576" s="24"/>
      <c r="O576" s="74"/>
      <c r="P576" s="27"/>
    </row>
    <row r="577" spans="1:16" x14ac:dyDescent="0.25">
      <c r="A577" s="13">
        <f t="shared" si="13"/>
        <v>25</v>
      </c>
      <c r="B577" s="17"/>
      <c r="C577" s="17"/>
      <c r="D577" s="18"/>
      <c r="E577" s="11"/>
      <c r="F577" s="19"/>
      <c r="G577" s="20"/>
      <c r="H577" s="21"/>
      <c r="I577" s="22"/>
      <c r="J577" s="22"/>
      <c r="K577" s="23"/>
      <c r="L577" s="24"/>
      <c r="O577" s="74"/>
      <c r="P577" s="27"/>
    </row>
    <row r="578" spans="1:16" x14ac:dyDescent="0.25">
      <c r="A578" s="13">
        <f t="shared" si="13"/>
        <v>25</v>
      </c>
      <c r="B578" s="17"/>
      <c r="C578" s="17"/>
      <c r="D578" s="18"/>
      <c r="E578" s="11"/>
      <c r="F578" s="19"/>
      <c r="G578" s="20"/>
      <c r="H578" s="21"/>
      <c r="I578" s="22"/>
      <c r="J578" s="22"/>
      <c r="K578" s="23"/>
      <c r="L578" s="24"/>
      <c r="O578" s="74"/>
      <c r="P578" s="27"/>
    </row>
    <row r="579" spans="1:16" x14ac:dyDescent="0.25">
      <c r="A579" s="13">
        <f t="shared" si="13"/>
        <v>25</v>
      </c>
      <c r="B579" s="17"/>
      <c r="C579" s="17"/>
      <c r="D579" s="18"/>
      <c r="E579" s="11"/>
      <c r="F579" s="19"/>
      <c r="G579" s="20"/>
      <c r="H579" s="21"/>
      <c r="I579" s="22"/>
      <c r="J579" s="22"/>
      <c r="K579" s="23"/>
      <c r="L579" s="24"/>
      <c r="O579" s="74"/>
      <c r="P579" s="27"/>
    </row>
    <row r="580" spans="1:16" x14ac:dyDescent="0.25">
      <c r="A580" s="13">
        <f t="shared" si="13"/>
        <v>25</v>
      </c>
      <c r="B580" s="17"/>
      <c r="C580" s="17"/>
      <c r="D580" s="18"/>
      <c r="E580" s="11"/>
      <c r="F580" s="19"/>
      <c r="G580" s="20"/>
      <c r="H580" s="21"/>
      <c r="I580" s="22"/>
      <c r="J580" s="22"/>
      <c r="K580" s="23"/>
      <c r="L580" s="24"/>
      <c r="O580" s="74"/>
      <c r="P580" s="27"/>
    </row>
    <row r="581" spans="1:16" x14ac:dyDescent="0.25">
      <c r="A581" s="13">
        <f t="shared" ref="A581:A644" si="14">IF(B581=B580,A580,A580+1)</f>
        <v>25</v>
      </c>
      <c r="B581" s="17"/>
      <c r="C581" s="17"/>
      <c r="D581" s="18"/>
      <c r="E581" s="11"/>
      <c r="F581" s="19"/>
      <c r="G581" s="20"/>
      <c r="H581" s="21"/>
      <c r="I581" s="22"/>
      <c r="J581" s="22"/>
      <c r="K581" s="23"/>
      <c r="L581" s="24"/>
      <c r="O581" s="74"/>
      <c r="P581" s="27"/>
    </row>
    <row r="582" spans="1:16" x14ac:dyDescent="0.25">
      <c r="A582" s="13">
        <f t="shared" si="14"/>
        <v>25</v>
      </c>
      <c r="B582" s="17"/>
      <c r="C582" s="17"/>
      <c r="D582" s="18"/>
      <c r="E582" s="11"/>
      <c r="F582" s="19"/>
      <c r="G582" s="20"/>
      <c r="H582" s="21"/>
      <c r="I582" s="22"/>
      <c r="J582" s="22"/>
      <c r="K582" s="23"/>
      <c r="L582" s="24"/>
      <c r="O582" s="74"/>
      <c r="P582" s="27"/>
    </row>
    <row r="583" spans="1:16" x14ac:dyDescent="0.25">
      <c r="A583" s="13">
        <f t="shared" si="14"/>
        <v>25</v>
      </c>
      <c r="B583" s="17"/>
      <c r="C583" s="17"/>
      <c r="D583" s="18"/>
      <c r="E583" s="11"/>
      <c r="F583" s="19"/>
      <c r="G583" s="20"/>
      <c r="H583" s="21"/>
      <c r="I583" s="22"/>
      <c r="J583" s="22"/>
      <c r="K583" s="23"/>
      <c r="L583" s="24"/>
      <c r="O583" s="74"/>
      <c r="P583" s="27"/>
    </row>
    <row r="584" spans="1:16" x14ac:dyDescent="0.25">
      <c r="A584" s="13">
        <f t="shared" si="14"/>
        <v>25</v>
      </c>
      <c r="B584" s="17"/>
      <c r="C584" s="17"/>
      <c r="D584" s="18"/>
      <c r="E584" s="11"/>
      <c r="F584" s="19"/>
      <c r="G584" s="20"/>
      <c r="H584" s="21"/>
      <c r="I584" s="22"/>
      <c r="J584" s="22"/>
      <c r="K584" s="23"/>
      <c r="L584" s="24"/>
      <c r="O584" s="74"/>
      <c r="P584" s="27"/>
    </row>
    <row r="585" spans="1:16" x14ac:dyDescent="0.25">
      <c r="A585" s="13">
        <f t="shared" si="14"/>
        <v>25</v>
      </c>
      <c r="B585" s="17"/>
      <c r="C585" s="17"/>
      <c r="D585" s="18"/>
      <c r="E585" s="11"/>
      <c r="F585" s="19"/>
      <c r="G585" s="20"/>
      <c r="H585" s="21"/>
      <c r="I585" s="22"/>
      <c r="J585" s="22"/>
      <c r="K585" s="23"/>
      <c r="L585" s="24"/>
      <c r="O585" s="74"/>
      <c r="P585" s="27"/>
    </row>
    <row r="586" spans="1:16" x14ac:dyDescent="0.25">
      <c r="A586" s="13">
        <f t="shared" si="14"/>
        <v>25</v>
      </c>
      <c r="B586" s="17"/>
      <c r="C586" s="17"/>
      <c r="D586" s="40"/>
      <c r="E586" s="41"/>
      <c r="F586" s="19"/>
      <c r="G586" s="20"/>
      <c r="H586" s="21"/>
      <c r="I586" s="22"/>
      <c r="J586" s="22"/>
      <c r="K586" s="23"/>
      <c r="L586" s="24"/>
      <c r="O586" s="74"/>
      <c r="P586" s="27"/>
    </row>
    <row r="587" spans="1:16" x14ac:dyDescent="0.25">
      <c r="A587" s="13">
        <f t="shared" si="14"/>
        <v>25</v>
      </c>
      <c r="B587" s="17"/>
      <c r="C587" s="17"/>
      <c r="D587" s="18"/>
      <c r="E587" s="11"/>
      <c r="F587" s="19"/>
      <c r="G587" s="36"/>
      <c r="H587" s="21"/>
      <c r="I587" s="22"/>
      <c r="J587" s="22"/>
      <c r="K587" s="23"/>
      <c r="L587" s="24"/>
      <c r="O587" s="74"/>
      <c r="P587" s="27"/>
    </row>
    <row r="588" spans="1:16" x14ac:dyDescent="0.25">
      <c r="A588" s="13">
        <f t="shared" si="14"/>
        <v>25</v>
      </c>
      <c r="B588" s="17"/>
      <c r="C588" s="17"/>
      <c r="D588" s="18"/>
      <c r="E588" s="11"/>
      <c r="F588" s="19"/>
      <c r="G588" s="36"/>
      <c r="H588" s="21"/>
      <c r="I588" s="22"/>
      <c r="J588" s="22"/>
      <c r="K588" s="23"/>
      <c r="L588" s="24"/>
      <c r="O588" s="74"/>
      <c r="P588" s="27"/>
    </row>
    <row r="589" spans="1:16" x14ac:dyDescent="0.25">
      <c r="A589" s="13">
        <f t="shared" si="14"/>
        <v>25</v>
      </c>
      <c r="B589" s="17"/>
      <c r="C589" s="17"/>
      <c r="D589" s="18"/>
      <c r="E589" s="11"/>
      <c r="F589" s="19"/>
      <c r="G589" s="36"/>
      <c r="H589" s="21"/>
      <c r="I589" s="22"/>
      <c r="J589" s="22"/>
      <c r="K589" s="23"/>
      <c r="L589" s="24"/>
      <c r="O589" s="74"/>
      <c r="P589" s="27"/>
    </row>
    <row r="590" spans="1:16" x14ac:dyDescent="0.25">
      <c r="A590" s="13">
        <f t="shared" si="14"/>
        <v>25</v>
      </c>
      <c r="B590" s="17"/>
      <c r="C590" s="17"/>
      <c r="D590" s="18"/>
      <c r="E590" s="11"/>
      <c r="F590" s="19"/>
      <c r="G590" s="36"/>
      <c r="H590" s="21"/>
      <c r="I590" s="22"/>
      <c r="J590" s="22"/>
      <c r="K590" s="23"/>
      <c r="L590" s="24"/>
      <c r="O590" s="74"/>
      <c r="P590" s="27"/>
    </row>
    <row r="591" spans="1:16" x14ac:dyDescent="0.25">
      <c r="A591" s="13">
        <f t="shared" si="14"/>
        <v>25</v>
      </c>
      <c r="B591" s="17"/>
      <c r="C591" s="17"/>
      <c r="D591" s="18"/>
      <c r="E591" s="11"/>
      <c r="F591" s="19"/>
      <c r="G591" s="36"/>
      <c r="H591" s="21"/>
      <c r="I591" s="22"/>
      <c r="J591" s="22"/>
      <c r="K591" s="23"/>
      <c r="L591" s="24"/>
      <c r="O591" s="74"/>
      <c r="P591" s="27"/>
    </row>
    <row r="592" spans="1:16" x14ac:dyDescent="0.25">
      <c r="A592" s="13">
        <f t="shared" si="14"/>
        <v>25</v>
      </c>
      <c r="B592" s="17"/>
      <c r="C592" s="17"/>
      <c r="D592" s="18"/>
      <c r="E592" s="11"/>
      <c r="F592" s="19"/>
      <c r="G592" s="36"/>
      <c r="H592" s="21"/>
      <c r="I592" s="22"/>
      <c r="J592" s="22"/>
      <c r="K592" s="23"/>
      <c r="L592" s="24"/>
      <c r="O592" s="74"/>
      <c r="P592" s="27"/>
    </row>
    <row r="593" spans="1:16" x14ac:dyDescent="0.25">
      <c r="A593" s="13">
        <f t="shared" si="14"/>
        <v>25</v>
      </c>
      <c r="B593" s="17"/>
      <c r="C593" s="17"/>
      <c r="D593" s="18"/>
      <c r="E593" s="11"/>
      <c r="F593" s="19"/>
      <c r="G593" s="36"/>
      <c r="H593" s="21"/>
      <c r="I593" s="22"/>
      <c r="J593" s="22"/>
      <c r="K593" s="23"/>
      <c r="L593" s="24"/>
      <c r="O593" s="74"/>
      <c r="P593" s="27"/>
    </row>
    <row r="594" spans="1:16" x14ac:dyDescent="0.25">
      <c r="A594" s="13">
        <f t="shared" si="14"/>
        <v>25</v>
      </c>
      <c r="B594" s="17"/>
      <c r="C594" s="17"/>
      <c r="D594" s="18"/>
      <c r="E594" s="11"/>
      <c r="F594" s="19"/>
      <c r="G594" s="36"/>
      <c r="H594" s="21"/>
      <c r="I594" s="22"/>
      <c r="J594" s="22"/>
      <c r="K594" s="23"/>
      <c r="L594" s="24"/>
      <c r="O594" s="74"/>
      <c r="P594" s="27"/>
    </row>
    <row r="595" spans="1:16" x14ac:dyDescent="0.25">
      <c r="A595" s="13">
        <f t="shared" si="14"/>
        <v>25</v>
      </c>
      <c r="B595" s="17"/>
      <c r="C595" s="17"/>
      <c r="D595" s="40"/>
      <c r="E595" s="41"/>
      <c r="F595" s="19"/>
      <c r="G595" s="36"/>
      <c r="H595" s="21"/>
      <c r="I595" s="22"/>
      <c r="J595" s="22"/>
      <c r="K595" s="23"/>
      <c r="L595" s="24"/>
      <c r="O595" s="74"/>
      <c r="P595" s="27"/>
    </row>
    <row r="596" spans="1:16" x14ac:dyDescent="0.25">
      <c r="A596" s="13">
        <f t="shared" si="14"/>
        <v>25</v>
      </c>
      <c r="B596" s="17"/>
      <c r="C596" s="17"/>
      <c r="D596" s="18"/>
      <c r="E596" s="11"/>
      <c r="F596" s="19"/>
      <c r="G596" s="36"/>
      <c r="H596" s="21"/>
      <c r="I596" s="22"/>
      <c r="J596" s="22"/>
      <c r="K596" s="23"/>
      <c r="L596" s="24"/>
      <c r="O596" s="74"/>
      <c r="P596" s="27"/>
    </row>
    <row r="597" spans="1:16" x14ac:dyDescent="0.25">
      <c r="A597" s="13">
        <f t="shared" si="14"/>
        <v>25</v>
      </c>
      <c r="B597" s="17"/>
      <c r="C597" s="17"/>
      <c r="D597" s="18"/>
      <c r="E597" s="11"/>
      <c r="F597" s="19"/>
      <c r="G597" s="36"/>
      <c r="H597" s="21"/>
      <c r="I597" s="22"/>
      <c r="J597" s="22"/>
      <c r="K597" s="23"/>
      <c r="L597" s="24"/>
      <c r="O597" s="74"/>
      <c r="P597" s="27"/>
    </row>
    <row r="598" spans="1:16" x14ac:dyDescent="0.25">
      <c r="A598" s="13">
        <f t="shared" si="14"/>
        <v>25</v>
      </c>
      <c r="B598" s="17"/>
      <c r="C598" s="17"/>
      <c r="D598" s="18"/>
      <c r="E598" s="11"/>
      <c r="F598" s="19"/>
      <c r="G598" s="36"/>
      <c r="H598" s="21"/>
      <c r="I598" s="22"/>
      <c r="J598" s="22"/>
      <c r="K598" s="23"/>
      <c r="L598" s="24"/>
      <c r="O598" s="74"/>
      <c r="P598" s="27"/>
    </row>
    <row r="599" spans="1:16" x14ac:dyDescent="0.25">
      <c r="A599" s="13">
        <f t="shared" si="14"/>
        <v>25</v>
      </c>
      <c r="B599" s="17"/>
      <c r="C599" s="17"/>
      <c r="D599" s="18"/>
      <c r="E599" s="11"/>
      <c r="F599" s="19"/>
      <c r="G599" s="36"/>
      <c r="H599" s="21"/>
      <c r="I599" s="22"/>
      <c r="J599" s="22"/>
      <c r="K599" s="23"/>
      <c r="L599" s="24"/>
      <c r="O599" s="74"/>
      <c r="P599" s="27"/>
    </row>
    <row r="600" spans="1:16" x14ac:dyDescent="0.25">
      <c r="A600" s="13">
        <f t="shared" si="14"/>
        <v>25</v>
      </c>
      <c r="B600" s="17"/>
      <c r="C600" s="17"/>
      <c r="D600" s="18"/>
      <c r="E600" s="11"/>
      <c r="F600" s="19"/>
      <c r="G600" s="36"/>
      <c r="H600" s="21"/>
      <c r="I600" s="22"/>
      <c r="J600" s="22"/>
      <c r="K600" s="23"/>
      <c r="L600" s="24"/>
      <c r="O600" s="74"/>
      <c r="P600" s="27"/>
    </row>
    <row r="601" spans="1:16" x14ac:dyDescent="0.25">
      <c r="A601" s="13">
        <f t="shared" si="14"/>
        <v>25</v>
      </c>
      <c r="B601" s="17"/>
      <c r="C601" s="17"/>
      <c r="D601" s="18"/>
      <c r="E601" s="11"/>
      <c r="F601" s="19"/>
      <c r="G601" s="36"/>
      <c r="H601" s="21"/>
      <c r="I601" s="22"/>
      <c r="J601" s="22"/>
      <c r="K601" s="23"/>
      <c r="L601" s="24"/>
      <c r="O601" s="74"/>
      <c r="P601" s="27"/>
    </row>
    <row r="602" spans="1:16" x14ac:dyDescent="0.25">
      <c r="A602" s="13">
        <f t="shared" si="14"/>
        <v>25</v>
      </c>
      <c r="B602" s="17"/>
      <c r="C602" s="17"/>
      <c r="D602" s="18"/>
      <c r="E602" s="11"/>
      <c r="F602" s="19"/>
      <c r="G602" s="36"/>
      <c r="H602" s="21"/>
      <c r="I602" s="22"/>
      <c r="J602" s="22"/>
      <c r="K602" s="23"/>
      <c r="L602" s="24"/>
      <c r="O602" s="74"/>
      <c r="P602" s="27"/>
    </row>
    <row r="603" spans="1:16" x14ac:dyDescent="0.25">
      <c r="A603" s="13">
        <f t="shared" si="14"/>
        <v>25</v>
      </c>
      <c r="B603" s="17"/>
      <c r="C603" s="17"/>
      <c r="D603" s="18"/>
      <c r="E603" s="11"/>
      <c r="F603" s="19"/>
      <c r="G603" s="36"/>
      <c r="H603" s="21"/>
      <c r="I603" s="22"/>
      <c r="J603" s="22"/>
      <c r="K603" s="23"/>
      <c r="L603" s="24"/>
      <c r="O603" s="74"/>
      <c r="P603" s="27"/>
    </row>
    <row r="604" spans="1:16" x14ac:dyDescent="0.25">
      <c r="A604" s="13">
        <f t="shared" si="14"/>
        <v>25</v>
      </c>
      <c r="B604" s="17"/>
      <c r="C604" s="17"/>
      <c r="D604" s="18"/>
      <c r="E604" s="11"/>
      <c r="F604" s="19"/>
      <c r="G604" s="36"/>
      <c r="H604" s="21"/>
      <c r="I604" s="22"/>
      <c r="J604" s="22"/>
      <c r="K604" s="23"/>
      <c r="L604" s="24"/>
      <c r="O604" s="74"/>
      <c r="P604" s="27"/>
    </row>
    <row r="605" spans="1:16" x14ac:dyDescent="0.25">
      <c r="A605" s="13">
        <f t="shared" si="14"/>
        <v>25</v>
      </c>
      <c r="B605" s="17"/>
      <c r="C605" s="17"/>
      <c r="D605" s="40"/>
      <c r="E605" s="41"/>
      <c r="F605" s="19"/>
      <c r="G605" s="36"/>
      <c r="H605" s="21"/>
      <c r="I605" s="22"/>
      <c r="J605" s="22"/>
      <c r="K605" s="23"/>
      <c r="L605" s="24"/>
      <c r="O605" s="74"/>
      <c r="P605" s="27"/>
    </row>
    <row r="606" spans="1:16" x14ac:dyDescent="0.25">
      <c r="A606" s="13">
        <f t="shared" si="14"/>
        <v>25</v>
      </c>
      <c r="B606" s="17"/>
      <c r="C606" s="17"/>
      <c r="D606" s="18"/>
      <c r="E606" s="11"/>
      <c r="F606" s="19"/>
      <c r="G606" s="36"/>
      <c r="H606" s="21"/>
      <c r="I606" s="22"/>
      <c r="J606" s="22"/>
      <c r="K606" s="23"/>
      <c r="L606" s="24"/>
      <c r="O606" s="74"/>
      <c r="P606" s="27"/>
    </row>
    <row r="607" spans="1:16" x14ac:dyDescent="0.25">
      <c r="A607" s="13">
        <f t="shared" si="14"/>
        <v>25</v>
      </c>
      <c r="B607" s="17"/>
      <c r="C607" s="17"/>
      <c r="D607" s="18"/>
      <c r="E607" s="11"/>
      <c r="F607" s="19"/>
      <c r="G607" s="36"/>
      <c r="H607" s="21"/>
      <c r="I607" s="22"/>
      <c r="J607" s="22"/>
      <c r="K607" s="23"/>
      <c r="L607" s="24"/>
      <c r="O607" s="74"/>
      <c r="P607" s="27"/>
    </row>
    <row r="608" spans="1:16" x14ac:dyDescent="0.25">
      <c r="A608" s="13">
        <f t="shared" si="14"/>
        <v>25</v>
      </c>
      <c r="B608" s="17"/>
      <c r="C608" s="17"/>
      <c r="D608" s="18"/>
      <c r="E608" s="11"/>
      <c r="F608" s="19"/>
      <c r="G608" s="36"/>
      <c r="H608" s="21"/>
      <c r="I608" s="22"/>
      <c r="J608" s="22"/>
      <c r="K608" s="23"/>
      <c r="L608" s="24"/>
      <c r="O608" s="74"/>
      <c r="P608" s="27"/>
    </row>
    <row r="609" spans="1:16" x14ac:dyDescent="0.25">
      <c r="A609" s="13">
        <f t="shared" si="14"/>
        <v>25</v>
      </c>
      <c r="B609" s="17"/>
      <c r="C609" s="17"/>
      <c r="D609" s="18"/>
      <c r="E609" s="11"/>
      <c r="F609" s="19"/>
      <c r="G609" s="36"/>
      <c r="H609" s="21"/>
      <c r="I609" s="22"/>
      <c r="J609" s="22"/>
      <c r="K609" s="23"/>
      <c r="L609" s="24"/>
      <c r="O609" s="74"/>
      <c r="P609" s="27"/>
    </row>
    <row r="610" spans="1:16" x14ac:dyDescent="0.25">
      <c r="A610" s="13">
        <f t="shared" si="14"/>
        <v>25</v>
      </c>
      <c r="B610" s="17"/>
      <c r="C610" s="17"/>
      <c r="D610" s="18"/>
      <c r="E610" s="11"/>
      <c r="F610" s="19"/>
      <c r="G610" s="36"/>
      <c r="H610" s="21"/>
      <c r="I610" s="22"/>
      <c r="J610" s="22"/>
      <c r="K610" s="23"/>
      <c r="L610" s="24"/>
      <c r="O610" s="74"/>
      <c r="P610" s="27"/>
    </row>
    <row r="611" spans="1:16" x14ac:dyDescent="0.25">
      <c r="A611" s="13">
        <f t="shared" si="14"/>
        <v>25</v>
      </c>
      <c r="B611" s="17"/>
      <c r="C611" s="17"/>
      <c r="D611" s="18"/>
      <c r="E611" s="11"/>
      <c r="F611" s="19"/>
      <c r="G611" s="36"/>
      <c r="H611" s="21"/>
      <c r="I611" s="22"/>
      <c r="J611" s="22"/>
      <c r="K611" s="23"/>
      <c r="L611" s="24"/>
      <c r="O611" s="74"/>
      <c r="P611" s="27"/>
    </row>
    <row r="612" spans="1:16" x14ac:dyDescent="0.25">
      <c r="A612" s="13">
        <f t="shared" si="14"/>
        <v>25</v>
      </c>
      <c r="B612" s="17"/>
      <c r="C612" s="17"/>
      <c r="D612" s="18"/>
      <c r="E612" s="11"/>
      <c r="F612" s="19"/>
      <c r="G612" s="36"/>
      <c r="H612" s="21"/>
      <c r="I612" s="22"/>
      <c r="J612" s="22"/>
      <c r="K612" s="23"/>
      <c r="L612" s="24"/>
      <c r="O612" s="74"/>
      <c r="P612" s="27"/>
    </row>
    <row r="613" spans="1:16" x14ac:dyDescent="0.25">
      <c r="A613" s="13">
        <f t="shared" si="14"/>
        <v>25</v>
      </c>
      <c r="B613" s="17"/>
      <c r="C613" s="17"/>
      <c r="D613" s="18"/>
      <c r="E613" s="11"/>
      <c r="F613" s="19"/>
      <c r="G613" s="36"/>
      <c r="H613" s="21"/>
      <c r="I613" s="22"/>
      <c r="J613" s="22"/>
      <c r="K613" s="23"/>
      <c r="L613" s="24"/>
      <c r="O613" s="74"/>
      <c r="P613" s="27"/>
    </row>
    <row r="614" spans="1:16" x14ac:dyDescent="0.25">
      <c r="A614" s="13">
        <f t="shared" si="14"/>
        <v>25</v>
      </c>
      <c r="B614" s="17"/>
      <c r="C614" s="17"/>
      <c r="D614" s="18"/>
      <c r="E614" s="11"/>
      <c r="F614" s="19"/>
      <c r="G614" s="36"/>
      <c r="H614" s="21"/>
      <c r="I614" s="22"/>
      <c r="J614" s="22"/>
      <c r="K614" s="23"/>
      <c r="L614" s="24"/>
      <c r="O614" s="74"/>
      <c r="P614" s="27"/>
    </row>
    <row r="615" spans="1:16" x14ac:dyDescent="0.25">
      <c r="A615" s="13">
        <f t="shared" si="14"/>
        <v>25</v>
      </c>
      <c r="B615" s="17"/>
      <c r="C615" s="17"/>
      <c r="D615" s="18"/>
      <c r="E615" s="11"/>
      <c r="F615" s="19"/>
      <c r="G615" s="36"/>
      <c r="H615" s="21"/>
      <c r="I615" s="22"/>
      <c r="J615" s="22"/>
      <c r="K615" s="23"/>
      <c r="L615" s="24"/>
      <c r="O615" s="74"/>
      <c r="P615" s="27"/>
    </row>
    <row r="616" spans="1:16" x14ac:dyDescent="0.25">
      <c r="A616" s="13">
        <f t="shared" si="14"/>
        <v>25</v>
      </c>
      <c r="B616" s="17"/>
      <c r="C616" s="17"/>
      <c r="D616" s="18"/>
      <c r="E616" s="11"/>
      <c r="F616" s="19"/>
      <c r="G616" s="36"/>
      <c r="H616" s="21"/>
      <c r="I616" s="22"/>
      <c r="J616" s="22"/>
      <c r="K616" s="23"/>
      <c r="L616" s="24"/>
      <c r="O616" s="74"/>
      <c r="P616" s="27"/>
    </row>
    <row r="617" spans="1:16" x14ac:dyDescent="0.25">
      <c r="A617" s="13">
        <f t="shared" si="14"/>
        <v>25</v>
      </c>
      <c r="B617" s="17"/>
      <c r="C617" s="17"/>
      <c r="D617" s="18"/>
      <c r="E617" s="11"/>
      <c r="F617" s="19"/>
      <c r="G617" s="36"/>
      <c r="H617" s="21"/>
      <c r="I617" s="22"/>
      <c r="J617" s="22"/>
      <c r="K617" s="23"/>
      <c r="L617" s="24"/>
      <c r="O617" s="74"/>
      <c r="P617" s="27"/>
    </row>
    <row r="618" spans="1:16" x14ac:dyDescent="0.25">
      <c r="A618" s="13">
        <f t="shared" si="14"/>
        <v>25</v>
      </c>
      <c r="B618" s="17"/>
      <c r="C618" s="17"/>
      <c r="D618" s="18"/>
      <c r="E618" s="11"/>
      <c r="F618" s="19"/>
      <c r="G618" s="36"/>
      <c r="H618" s="21"/>
      <c r="I618" s="22"/>
      <c r="J618" s="22"/>
      <c r="K618" s="23"/>
      <c r="L618" s="24"/>
      <c r="O618" s="74"/>
      <c r="P618" s="27"/>
    </row>
    <row r="619" spans="1:16" x14ac:dyDescent="0.25">
      <c r="A619" s="13">
        <f t="shared" si="14"/>
        <v>25</v>
      </c>
      <c r="B619" s="17"/>
      <c r="C619" s="17"/>
      <c r="D619" s="18"/>
      <c r="E619" s="11"/>
      <c r="F619" s="19"/>
      <c r="G619" s="36"/>
      <c r="H619" s="21"/>
      <c r="I619" s="22"/>
      <c r="J619" s="22"/>
      <c r="K619" s="23"/>
      <c r="L619" s="24"/>
      <c r="O619" s="74"/>
      <c r="P619" s="27"/>
    </row>
    <row r="620" spans="1:16" x14ac:dyDescent="0.25">
      <c r="A620" s="13">
        <f t="shared" si="14"/>
        <v>25</v>
      </c>
      <c r="B620" s="17"/>
      <c r="C620" s="17"/>
      <c r="D620" s="18"/>
      <c r="E620" s="11"/>
      <c r="F620" s="19"/>
      <c r="G620" s="36"/>
      <c r="H620" s="21"/>
      <c r="I620" s="22"/>
      <c r="J620" s="22"/>
      <c r="K620" s="23"/>
      <c r="L620" s="24"/>
      <c r="O620" s="74"/>
      <c r="P620" s="27"/>
    </row>
    <row r="621" spans="1:16" x14ac:dyDescent="0.25">
      <c r="A621" s="13">
        <f t="shared" si="14"/>
        <v>25</v>
      </c>
      <c r="B621" s="17"/>
      <c r="C621" s="17"/>
      <c r="D621" s="18"/>
      <c r="E621" s="11"/>
      <c r="F621" s="19"/>
      <c r="G621" s="36"/>
      <c r="H621" s="21"/>
      <c r="I621" s="22"/>
      <c r="J621" s="22"/>
      <c r="K621" s="23"/>
      <c r="L621" s="24"/>
      <c r="O621" s="74"/>
      <c r="P621" s="27"/>
    </row>
    <row r="622" spans="1:16" x14ac:dyDescent="0.25">
      <c r="A622" s="13">
        <f t="shared" si="14"/>
        <v>25</v>
      </c>
      <c r="B622" s="17"/>
      <c r="C622" s="17"/>
      <c r="D622" s="18"/>
      <c r="E622" s="11"/>
      <c r="F622" s="19"/>
      <c r="G622" s="36"/>
      <c r="H622" s="21"/>
      <c r="I622" s="22"/>
      <c r="J622" s="22"/>
      <c r="K622" s="23"/>
      <c r="L622" s="24"/>
      <c r="O622" s="74"/>
      <c r="P622" s="27"/>
    </row>
    <row r="623" spans="1:16" x14ac:dyDescent="0.25">
      <c r="A623" s="13">
        <f t="shared" si="14"/>
        <v>25</v>
      </c>
      <c r="B623" s="17"/>
      <c r="C623" s="17"/>
      <c r="D623" s="18"/>
      <c r="E623" s="11"/>
      <c r="F623" s="19"/>
      <c r="G623" s="36"/>
      <c r="H623" s="21"/>
      <c r="I623" s="22"/>
      <c r="J623" s="22"/>
      <c r="K623" s="23"/>
      <c r="L623" s="24"/>
      <c r="O623" s="74"/>
      <c r="P623" s="27"/>
    </row>
    <row r="624" spans="1:16" x14ac:dyDescent="0.25">
      <c r="A624" s="13">
        <f t="shared" si="14"/>
        <v>25</v>
      </c>
      <c r="B624" s="17"/>
      <c r="C624" s="17"/>
      <c r="D624" s="18"/>
      <c r="E624" s="11"/>
      <c r="F624" s="19"/>
      <c r="G624" s="36"/>
      <c r="H624" s="21"/>
      <c r="I624" s="22"/>
      <c r="J624" s="22"/>
      <c r="K624" s="23"/>
      <c r="L624" s="24"/>
      <c r="O624" s="74"/>
      <c r="P624" s="27"/>
    </row>
    <row r="625" spans="1:16" x14ac:dyDescent="0.25">
      <c r="A625" s="13">
        <f t="shared" si="14"/>
        <v>25</v>
      </c>
      <c r="B625" s="17"/>
      <c r="C625" s="17"/>
      <c r="D625" s="18"/>
      <c r="E625" s="11"/>
      <c r="F625" s="19"/>
      <c r="G625" s="36"/>
      <c r="H625" s="21"/>
      <c r="I625" s="22"/>
      <c r="J625" s="22"/>
      <c r="K625" s="23"/>
      <c r="L625" s="24"/>
      <c r="O625" s="74"/>
      <c r="P625" s="27"/>
    </row>
    <row r="626" spans="1:16" x14ac:dyDescent="0.25">
      <c r="A626" s="13">
        <f t="shared" si="14"/>
        <v>25</v>
      </c>
      <c r="B626" s="17"/>
      <c r="C626" s="17"/>
      <c r="D626" s="18"/>
      <c r="E626" s="11"/>
      <c r="F626" s="19"/>
      <c r="G626" s="36"/>
      <c r="H626" s="21"/>
      <c r="I626" s="22"/>
      <c r="J626" s="22"/>
      <c r="K626" s="23"/>
      <c r="L626" s="24"/>
      <c r="O626" s="74"/>
      <c r="P626" s="27"/>
    </row>
    <row r="627" spans="1:16" x14ac:dyDescent="0.25">
      <c r="A627" s="13">
        <f t="shared" si="14"/>
        <v>25</v>
      </c>
      <c r="B627" s="17"/>
      <c r="C627" s="17"/>
      <c r="D627" s="18"/>
      <c r="E627" s="11"/>
      <c r="F627" s="19"/>
      <c r="G627" s="36"/>
      <c r="H627" s="21"/>
      <c r="I627" s="22"/>
      <c r="J627" s="22"/>
      <c r="K627" s="23"/>
      <c r="L627" s="24"/>
      <c r="O627" s="74"/>
      <c r="P627" s="27"/>
    </row>
    <row r="628" spans="1:16" x14ac:dyDescent="0.25">
      <c r="A628" s="13">
        <f t="shared" si="14"/>
        <v>25</v>
      </c>
      <c r="B628" s="17"/>
      <c r="C628" s="17"/>
      <c r="D628" s="18"/>
      <c r="E628" s="11"/>
      <c r="F628" s="19"/>
      <c r="G628" s="36"/>
      <c r="H628" s="21"/>
      <c r="I628" s="22"/>
      <c r="J628" s="22"/>
      <c r="K628" s="23"/>
      <c r="L628" s="24"/>
      <c r="O628" s="74"/>
      <c r="P628" s="27"/>
    </row>
    <row r="629" spans="1:16" x14ac:dyDescent="0.25">
      <c r="A629" s="13">
        <f t="shared" si="14"/>
        <v>25</v>
      </c>
      <c r="B629" s="17"/>
      <c r="C629" s="17"/>
      <c r="D629" s="18"/>
      <c r="E629" s="11"/>
      <c r="F629" s="19"/>
      <c r="G629" s="20"/>
      <c r="H629" s="21"/>
      <c r="I629" s="22"/>
      <c r="J629" s="22"/>
      <c r="K629" s="23"/>
      <c r="L629" s="24"/>
      <c r="O629" s="74"/>
      <c r="P629" s="27"/>
    </row>
    <row r="630" spans="1:16" x14ac:dyDescent="0.25">
      <c r="A630" s="13">
        <f t="shared" si="14"/>
        <v>25</v>
      </c>
      <c r="B630" s="17"/>
      <c r="C630" s="17"/>
      <c r="D630" s="18"/>
      <c r="E630" s="11"/>
      <c r="F630" s="19"/>
      <c r="G630" s="20"/>
      <c r="H630" s="21"/>
      <c r="I630" s="22"/>
      <c r="J630" s="22"/>
      <c r="K630" s="23"/>
      <c r="L630" s="24"/>
      <c r="O630" s="74"/>
      <c r="P630" s="27"/>
    </row>
    <row r="631" spans="1:16" x14ac:dyDescent="0.25">
      <c r="A631" s="13">
        <f t="shared" si="14"/>
        <v>25</v>
      </c>
      <c r="B631" s="17"/>
      <c r="C631" s="17"/>
      <c r="D631" s="18"/>
      <c r="E631" s="11"/>
      <c r="F631" s="19"/>
      <c r="G631" s="20"/>
      <c r="H631" s="21"/>
      <c r="I631" s="22"/>
      <c r="J631" s="22"/>
      <c r="K631" s="23"/>
      <c r="L631" s="24"/>
      <c r="O631" s="74"/>
      <c r="P631" s="27"/>
    </row>
    <row r="632" spans="1:16" x14ac:dyDescent="0.25">
      <c r="A632" s="13">
        <f t="shared" si="14"/>
        <v>25</v>
      </c>
      <c r="B632" s="17"/>
      <c r="C632" s="17"/>
      <c r="D632" s="18"/>
      <c r="E632" s="11"/>
      <c r="F632" s="19"/>
      <c r="G632" s="20"/>
      <c r="H632" s="21"/>
      <c r="I632" s="22"/>
      <c r="J632" s="22"/>
      <c r="K632" s="23"/>
      <c r="L632" s="24"/>
      <c r="O632" s="74"/>
      <c r="P632" s="27"/>
    </row>
    <row r="633" spans="1:16" x14ac:dyDescent="0.25">
      <c r="A633" s="13">
        <f t="shared" si="14"/>
        <v>25</v>
      </c>
      <c r="B633" s="17"/>
      <c r="C633" s="17"/>
      <c r="D633" s="18"/>
      <c r="E633" s="11"/>
      <c r="F633" s="19"/>
      <c r="G633" s="20"/>
      <c r="H633" s="21"/>
      <c r="I633" s="22"/>
      <c r="J633" s="22"/>
      <c r="K633" s="23"/>
      <c r="L633" s="24"/>
      <c r="O633" s="74"/>
      <c r="P633" s="27"/>
    </row>
    <row r="634" spans="1:16" x14ac:dyDescent="0.25">
      <c r="A634" s="13">
        <f t="shared" si="14"/>
        <v>25</v>
      </c>
      <c r="B634" s="17"/>
      <c r="C634" s="17"/>
      <c r="D634" s="18"/>
      <c r="E634" s="11"/>
      <c r="F634" s="19"/>
      <c r="G634" s="20"/>
      <c r="H634" s="21"/>
      <c r="I634" s="22"/>
      <c r="J634" s="22"/>
      <c r="K634" s="23"/>
      <c r="L634" s="24"/>
      <c r="O634" s="74"/>
      <c r="P634" s="27"/>
    </row>
    <row r="635" spans="1:16" x14ac:dyDescent="0.25">
      <c r="A635" s="13">
        <f t="shared" si="14"/>
        <v>25</v>
      </c>
      <c r="B635" s="17"/>
      <c r="C635" s="17"/>
      <c r="D635" s="18"/>
      <c r="E635" s="11"/>
      <c r="F635" s="19"/>
      <c r="G635" s="20"/>
      <c r="H635" s="21"/>
      <c r="I635" s="22"/>
      <c r="J635" s="22"/>
      <c r="K635" s="23"/>
      <c r="L635" s="24"/>
      <c r="O635" s="74"/>
      <c r="P635" s="27"/>
    </row>
    <row r="636" spans="1:16" x14ac:dyDescent="0.25">
      <c r="A636" s="13">
        <f t="shared" si="14"/>
        <v>25</v>
      </c>
      <c r="B636" s="17"/>
      <c r="C636" s="17"/>
      <c r="D636" s="18"/>
      <c r="E636" s="11"/>
      <c r="F636" s="19"/>
      <c r="G636" s="20"/>
      <c r="H636" s="21"/>
      <c r="I636" s="22"/>
      <c r="J636" s="22"/>
      <c r="K636" s="23"/>
      <c r="L636" s="24"/>
      <c r="O636" s="74"/>
      <c r="P636" s="27"/>
    </row>
    <row r="637" spans="1:16" x14ac:dyDescent="0.25">
      <c r="A637" s="13">
        <f t="shared" si="14"/>
        <v>25</v>
      </c>
      <c r="B637" s="17"/>
      <c r="C637" s="17"/>
      <c r="D637" s="18"/>
      <c r="E637" s="11"/>
      <c r="F637" s="19"/>
      <c r="G637" s="20"/>
      <c r="H637" s="21"/>
      <c r="I637" s="22"/>
      <c r="J637" s="22"/>
      <c r="K637" s="23"/>
      <c r="L637" s="24"/>
      <c r="O637" s="74"/>
      <c r="P637" s="27"/>
    </row>
    <row r="638" spans="1:16" x14ac:dyDescent="0.25">
      <c r="A638" s="13">
        <f t="shared" si="14"/>
        <v>25</v>
      </c>
      <c r="B638" s="17"/>
      <c r="C638" s="17"/>
      <c r="D638" s="18"/>
      <c r="E638" s="11"/>
      <c r="F638" s="19"/>
      <c r="G638" s="20"/>
      <c r="H638" s="21"/>
      <c r="I638" s="22"/>
      <c r="J638" s="22"/>
      <c r="K638" s="23"/>
      <c r="L638" s="24"/>
      <c r="O638" s="74"/>
      <c r="P638" s="27"/>
    </row>
    <row r="639" spans="1:16" x14ac:dyDescent="0.25">
      <c r="A639" s="13">
        <f t="shared" si="14"/>
        <v>25</v>
      </c>
      <c r="B639" s="17"/>
      <c r="C639" s="17"/>
      <c r="D639" s="18"/>
      <c r="E639" s="11"/>
      <c r="F639" s="19"/>
      <c r="G639" s="20"/>
      <c r="H639" s="21"/>
      <c r="I639" s="22"/>
      <c r="J639" s="22"/>
      <c r="K639" s="23"/>
      <c r="L639" s="24"/>
      <c r="O639" s="74"/>
      <c r="P639" s="27"/>
    </row>
    <row r="640" spans="1:16" x14ac:dyDescent="0.25">
      <c r="A640" s="13">
        <f t="shared" si="14"/>
        <v>25</v>
      </c>
      <c r="B640" s="17"/>
      <c r="C640" s="17"/>
      <c r="D640" s="18"/>
      <c r="E640" s="11"/>
      <c r="F640" s="19"/>
      <c r="G640" s="20"/>
      <c r="H640" s="21"/>
      <c r="I640" s="22"/>
      <c r="J640" s="22"/>
      <c r="K640" s="23"/>
      <c r="L640" s="24"/>
      <c r="O640" s="74"/>
      <c r="P640" s="27"/>
    </row>
    <row r="641" spans="1:16" x14ac:dyDescent="0.25">
      <c r="A641" s="13">
        <f t="shared" si="14"/>
        <v>25</v>
      </c>
      <c r="B641" s="17"/>
      <c r="C641" s="17"/>
      <c r="D641" s="18"/>
      <c r="E641" s="11"/>
      <c r="F641" s="19"/>
      <c r="G641" s="20"/>
      <c r="H641" s="21"/>
      <c r="I641" s="22"/>
      <c r="J641" s="22"/>
      <c r="K641" s="23"/>
      <c r="L641" s="24"/>
      <c r="O641" s="74"/>
      <c r="P641" s="27"/>
    </row>
    <row r="642" spans="1:16" x14ac:dyDescent="0.25">
      <c r="A642" s="13">
        <f t="shared" si="14"/>
        <v>25</v>
      </c>
      <c r="B642" s="17"/>
      <c r="C642" s="17"/>
      <c r="D642" s="18"/>
      <c r="E642" s="11"/>
      <c r="F642" s="19"/>
      <c r="G642" s="20"/>
      <c r="H642" s="21"/>
      <c r="I642" s="22"/>
      <c r="J642" s="22"/>
      <c r="K642" s="23"/>
      <c r="L642" s="24"/>
      <c r="O642" s="74"/>
      <c r="P642" s="27"/>
    </row>
    <row r="643" spans="1:16" x14ac:dyDescent="0.25">
      <c r="A643" s="13">
        <f t="shared" si="14"/>
        <v>25</v>
      </c>
      <c r="B643" s="17"/>
      <c r="C643" s="17"/>
      <c r="D643" s="18"/>
      <c r="E643" s="11"/>
      <c r="F643" s="19"/>
      <c r="G643" s="36"/>
      <c r="H643" s="21"/>
      <c r="I643" s="22"/>
      <c r="J643" s="22"/>
      <c r="K643" s="23"/>
      <c r="L643" s="24"/>
      <c r="O643" s="74"/>
      <c r="P643" s="27"/>
    </row>
    <row r="644" spans="1:16" x14ac:dyDescent="0.25">
      <c r="A644" s="13">
        <f t="shared" si="14"/>
        <v>25</v>
      </c>
      <c r="B644" s="17"/>
      <c r="C644" s="17"/>
      <c r="D644" s="18"/>
      <c r="E644" s="11"/>
      <c r="F644" s="19"/>
      <c r="G644" s="36"/>
      <c r="H644" s="21"/>
      <c r="I644" s="22"/>
      <c r="J644" s="22"/>
      <c r="K644" s="23"/>
      <c r="L644" s="24"/>
      <c r="O644" s="74"/>
      <c r="P644" s="27"/>
    </row>
    <row r="645" spans="1:16" x14ac:dyDescent="0.25">
      <c r="A645" s="13">
        <f t="shared" ref="A645:A708" si="15">IF(B645=B644,A644,A644+1)</f>
        <v>25</v>
      </c>
      <c r="B645" s="17"/>
      <c r="C645" s="17"/>
      <c r="D645" s="18"/>
      <c r="E645" s="11"/>
      <c r="F645" s="19"/>
      <c r="G645" s="36"/>
      <c r="H645" s="21"/>
      <c r="I645" s="22"/>
      <c r="J645" s="22"/>
      <c r="K645" s="23"/>
      <c r="L645" s="24"/>
      <c r="O645" s="74"/>
      <c r="P645" s="27"/>
    </row>
    <row r="646" spans="1:16" x14ac:dyDescent="0.25">
      <c r="A646" s="13">
        <f t="shared" si="15"/>
        <v>25</v>
      </c>
      <c r="B646" s="17"/>
      <c r="C646" s="17"/>
      <c r="D646" s="18"/>
      <c r="E646" s="11"/>
      <c r="F646" s="19"/>
      <c r="G646" s="36"/>
      <c r="H646" s="21"/>
      <c r="I646" s="22"/>
      <c r="J646" s="22"/>
      <c r="K646" s="23"/>
      <c r="L646" s="24"/>
      <c r="O646" s="74"/>
      <c r="P646" s="27"/>
    </row>
    <row r="647" spans="1:16" x14ac:dyDescent="0.25">
      <c r="A647" s="13">
        <f t="shared" si="15"/>
        <v>25</v>
      </c>
      <c r="B647" s="17"/>
      <c r="C647" s="17"/>
      <c r="D647" s="18"/>
      <c r="E647" s="11"/>
      <c r="F647" s="19"/>
      <c r="G647" s="36"/>
      <c r="H647" s="21"/>
      <c r="I647" s="22"/>
      <c r="J647" s="22"/>
      <c r="K647" s="23"/>
      <c r="L647" s="24"/>
      <c r="O647" s="74"/>
      <c r="P647" s="27"/>
    </row>
    <row r="648" spans="1:16" x14ac:dyDescent="0.25">
      <c r="A648" s="13">
        <f t="shared" si="15"/>
        <v>25</v>
      </c>
      <c r="B648" s="17"/>
      <c r="C648" s="17"/>
      <c r="D648" s="18"/>
      <c r="E648" s="11"/>
      <c r="F648" s="19"/>
      <c r="G648" s="36"/>
      <c r="H648" s="21"/>
      <c r="I648" s="22"/>
      <c r="J648" s="22"/>
      <c r="K648" s="23"/>
      <c r="L648" s="24"/>
      <c r="O648" s="74"/>
      <c r="P648" s="27"/>
    </row>
    <row r="649" spans="1:16" x14ac:dyDescent="0.25">
      <c r="A649" s="13">
        <f t="shared" si="15"/>
        <v>25</v>
      </c>
      <c r="B649" s="17"/>
      <c r="C649" s="17"/>
      <c r="D649" s="18"/>
      <c r="E649" s="11"/>
      <c r="F649" s="19"/>
      <c r="G649" s="36"/>
      <c r="H649" s="21"/>
      <c r="I649" s="22"/>
      <c r="J649" s="22"/>
      <c r="K649" s="23"/>
      <c r="L649" s="24"/>
      <c r="O649" s="74"/>
      <c r="P649" s="27"/>
    </row>
    <row r="650" spans="1:16" x14ac:dyDescent="0.25">
      <c r="A650" s="13">
        <f t="shared" si="15"/>
        <v>25</v>
      </c>
      <c r="B650" s="17"/>
      <c r="C650" s="17"/>
      <c r="D650" s="18"/>
      <c r="E650" s="11"/>
      <c r="F650" s="19"/>
      <c r="G650" s="36"/>
      <c r="H650" s="21"/>
      <c r="I650" s="22"/>
      <c r="J650" s="22"/>
      <c r="K650" s="23"/>
      <c r="L650" s="24"/>
      <c r="O650" s="74"/>
      <c r="P650" s="27"/>
    </row>
    <row r="651" spans="1:16" x14ac:dyDescent="0.25">
      <c r="A651" s="13">
        <f t="shared" si="15"/>
        <v>25</v>
      </c>
      <c r="B651" s="17"/>
      <c r="C651" s="17"/>
      <c r="D651" s="18"/>
      <c r="E651" s="11"/>
      <c r="F651" s="19"/>
      <c r="G651" s="36"/>
      <c r="H651" s="21"/>
      <c r="I651" s="22"/>
      <c r="J651" s="22"/>
      <c r="K651" s="23"/>
      <c r="L651" s="24"/>
      <c r="O651" s="74"/>
      <c r="P651" s="27"/>
    </row>
    <row r="652" spans="1:16" x14ac:dyDescent="0.25">
      <c r="A652" s="13">
        <f t="shared" si="15"/>
        <v>25</v>
      </c>
      <c r="B652" s="17"/>
      <c r="C652" s="17"/>
      <c r="D652" s="18"/>
      <c r="E652" s="11"/>
      <c r="F652" s="19"/>
      <c r="G652" s="36"/>
      <c r="H652" s="21"/>
      <c r="I652" s="22"/>
      <c r="J652" s="22"/>
      <c r="K652" s="23"/>
      <c r="L652" s="24"/>
      <c r="O652" s="74"/>
      <c r="P652" s="27"/>
    </row>
    <row r="653" spans="1:16" x14ac:dyDescent="0.25">
      <c r="A653" s="13">
        <f t="shared" si="15"/>
        <v>25</v>
      </c>
      <c r="B653" s="17"/>
      <c r="C653" s="17"/>
      <c r="D653" s="18"/>
      <c r="E653" s="11"/>
      <c r="F653" s="19"/>
      <c r="G653" s="36"/>
      <c r="H653" s="21"/>
      <c r="I653" s="22"/>
      <c r="J653" s="22"/>
      <c r="K653" s="23"/>
      <c r="L653" s="24"/>
      <c r="O653" s="74"/>
      <c r="P653" s="27"/>
    </row>
    <row r="654" spans="1:16" x14ac:dyDescent="0.25">
      <c r="A654" s="13">
        <f t="shared" si="15"/>
        <v>25</v>
      </c>
      <c r="B654" s="17"/>
      <c r="C654" s="17"/>
      <c r="D654" s="18"/>
      <c r="E654" s="11"/>
      <c r="F654" s="19"/>
      <c r="G654" s="36"/>
      <c r="H654" s="21"/>
      <c r="I654" s="22"/>
      <c r="J654" s="22"/>
      <c r="K654" s="23"/>
      <c r="L654" s="24"/>
      <c r="O654" s="74"/>
      <c r="P654" s="27"/>
    </row>
    <row r="655" spans="1:16" x14ac:dyDescent="0.25">
      <c r="A655" s="13">
        <f t="shared" si="15"/>
        <v>25</v>
      </c>
      <c r="B655" s="17"/>
      <c r="C655" s="17"/>
      <c r="D655" s="18"/>
      <c r="E655" s="11"/>
      <c r="F655" s="19"/>
      <c r="G655" s="36"/>
      <c r="H655" s="21"/>
      <c r="I655" s="22"/>
      <c r="J655" s="22"/>
      <c r="K655" s="23"/>
      <c r="L655" s="24"/>
      <c r="O655" s="74"/>
      <c r="P655" s="27"/>
    </row>
    <row r="656" spans="1:16" x14ac:dyDescent="0.25">
      <c r="A656" s="13">
        <f t="shared" si="15"/>
        <v>25</v>
      </c>
      <c r="B656" s="17"/>
      <c r="C656" s="17"/>
      <c r="D656" s="18"/>
      <c r="E656" s="11"/>
      <c r="F656" s="19"/>
      <c r="G656" s="36"/>
      <c r="H656" s="21"/>
      <c r="I656" s="22"/>
      <c r="J656" s="22"/>
      <c r="K656" s="23"/>
      <c r="L656" s="24"/>
      <c r="O656" s="74"/>
      <c r="P656" s="27"/>
    </row>
    <row r="657" spans="1:16" x14ac:dyDescent="0.25">
      <c r="A657" s="13">
        <f t="shared" si="15"/>
        <v>25</v>
      </c>
      <c r="B657" s="17"/>
      <c r="C657" s="17"/>
      <c r="D657" s="18"/>
      <c r="E657" s="11"/>
      <c r="F657" s="19"/>
      <c r="G657" s="36"/>
      <c r="H657" s="21"/>
      <c r="I657" s="22"/>
      <c r="J657" s="22"/>
      <c r="K657" s="23"/>
      <c r="L657" s="24"/>
      <c r="O657" s="74"/>
      <c r="P657" s="27"/>
    </row>
    <row r="658" spans="1:16" x14ac:dyDescent="0.25">
      <c r="A658" s="13">
        <f t="shared" si="15"/>
        <v>25</v>
      </c>
      <c r="B658" s="17"/>
      <c r="C658" s="17"/>
      <c r="D658" s="18"/>
      <c r="E658" s="11"/>
      <c r="F658" s="19"/>
      <c r="G658" s="36"/>
      <c r="H658" s="21"/>
      <c r="I658" s="22"/>
      <c r="J658" s="22"/>
      <c r="K658" s="23"/>
      <c r="L658" s="24"/>
      <c r="O658" s="74"/>
      <c r="P658" s="27"/>
    </row>
    <row r="659" spans="1:16" x14ac:dyDescent="0.25">
      <c r="A659" s="13">
        <f t="shared" si="15"/>
        <v>25</v>
      </c>
      <c r="B659" s="17"/>
      <c r="C659" s="17"/>
      <c r="D659" s="18"/>
      <c r="E659" s="11"/>
      <c r="F659" s="19"/>
      <c r="G659" s="36"/>
      <c r="H659" s="21"/>
      <c r="I659" s="22"/>
      <c r="J659" s="22"/>
      <c r="K659" s="23"/>
      <c r="L659" s="24"/>
      <c r="O659" s="74"/>
      <c r="P659" s="27"/>
    </row>
    <row r="660" spans="1:16" x14ac:dyDescent="0.25">
      <c r="A660" s="13">
        <f t="shared" si="15"/>
        <v>25</v>
      </c>
      <c r="B660" s="17"/>
      <c r="C660" s="17"/>
      <c r="D660" s="18"/>
      <c r="E660" s="11"/>
      <c r="F660" s="19"/>
      <c r="G660" s="36"/>
      <c r="H660" s="21"/>
      <c r="I660" s="22"/>
      <c r="J660" s="22"/>
      <c r="K660" s="23"/>
      <c r="L660" s="24"/>
      <c r="O660" s="74"/>
      <c r="P660" s="27"/>
    </row>
    <row r="661" spans="1:16" x14ac:dyDescent="0.25">
      <c r="A661" s="13">
        <f t="shared" si="15"/>
        <v>25</v>
      </c>
      <c r="B661" s="17"/>
      <c r="C661" s="17"/>
      <c r="D661" s="18"/>
      <c r="E661" s="11"/>
      <c r="F661" s="19"/>
      <c r="G661" s="36"/>
      <c r="H661" s="21"/>
      <c r="I661" s="22"/>
      <c r="J661" s="22"/>
      <c r="K661" s="23"/>
      <c r="L661" s="24"/>
      <c r="O661" s="74"/>
      <c r="P661" s="27"/>
    </row>
    <row r="662" spans="1:16" x14ac:dyDescent="0.25">
      <c r="A662" s="13">
        <f t="shared" si="15"/>
        <v>25</v>
      </c>
      <c r="B662" s="17"/>
      <c r="C662" s="17"/>
      <c r="D662" s="18"/>
      <c r="E662" s="11"/>
      <c r="F662" s="19"/>
      <c r="G662" s="36"/>
      <c r="H662" s="21"/>
      <c r="I662" s="22"/>
      <c r="J662" s="22"/>
      <c r="K662" s="23"/>
      <c r="L662" s="24"/>
      <c r="O662" s="74"/>
      <c r="P662" s="27"/>
    </row>
    <row r="663" spans="1:16" x14ac:dyDescent="0.25">
      <c r="A663" s="13">
        <f t="shared" si="15"/>
        <v>25</v>
      </c>
      <c r="B663" s="17"/>
      <c r="C663" s="17"/>
      <c r="D663" s="18"/>
      <c r="E663" s="11"/>
      <c r="F663" s="19"/>
      <c r="G663" s="36"/>
      <c r="H663" s="21"/>
      <c r="I663" s="22"/>
      <c r="J663" s="22"/>
      <c r="K663" s="23"/>
      <c r="L663" s="24"/>
      <c r="O663" s="74"/>
      <c r="P663" s="27"/>
    </row>
    <row r="664" spans="1:16" x14ac:dyDescent="0.25">
      <c r="A664" s="13">
        <f t="shared" si="15"/>
        <v>25</v>
      </c>
      <c r="B664" s="17"/>
      <c r="C664" s="17"/>
      <c r="D664" s="18"/>
      <c r="E664" s="11"/>
      <c r="F664" s="19"/>
      <c r="G664" s="36"/>
      <c r="H664" s="21"/>
      <c r="I664" s="22"/>
      <c r="J664" s="22"/>
      <c r="K664" s="23"/>
      <c r="L664" s="24"/>
      <c r="O664" s="74"/>
      <c r="P664" s="27"/>
    </row>
    <row r="665" spans="1:16" x14ac:dyDescent="0.25">
      <c r="A665" s="13">
        <f t="shared" si="15"/>
        <v>25</v>
      </c>
      <c r="B665" s="17"/>
      <c r="C665" s="17"/>
      <c r="D665" s="18"/>
      <c r="E665" s="11"/>
      <c r="F665" s="19"/>
      <c r="G665" s="36"/>
      <c r="H665" s="21"/>
      <c r="I665" s="22"/>
      <c r="J665" s="22"/>
      <c r="K665" s="23"/>
      <c r="L665" s="24"/>
      <c r="O665" s="74"/>
      <c r="P665" s="27"/>
    </row>
    <row r="666" spans="1:16" x14ac:dyDescent="0.25">
      <c r="A666" s="13">
        <f t="shared" si="15"/>
        <v>25</v>
      </c>
      <c r="B666" s="17"/>
      <c r="C666" s="17"/>
      <c r="D666" s="18"/>
      <c r="E666" s="11"/>
      <c r="F666" s="19"/>
      <c r="G666" s="36"/>
      <c r="H666" s="21"/>
      <c r="I666" s="22"/>
      <c r="J666" s="22"/>
      <c r="K666" s="23"/>
      <c r="L666" s="24"/>
      <c r="O666" s="74"/>
      <c r="P666" s="27"/>
    </row>
    <row r="667" spans="1:16" x14ac:dyDescent="0.25">
      <c r="A667" s="13">
        <f t="shared" si="15"/>
        <v>25</v>
      </c>
      <c r="B667" s="17"/>
      <c r="C667" s="17"/>
      <c r="D667" s="18"/>
      <c r="E667" s="11"/>
      <c r="F667" s="19"/>
      <c r="G667" s="36"/>
      <c r="H667" s="21"/>
      <c r="I667" s="22"/>
      <c r="J667" s="22"/>
      <c r="K667" s="23"/>
      <c r="L667" s="24"/>
      <c r="O667" s="74"/>
      <c r="P667" s="27"/>
    </row>
    <row r="668" spans="1:16" x14ac:dyDescent="0.25">
      <c r="A668" s="13">
        <f t="shared" si="15"/>
        <v>25</v>
      </c>
      <c r="B668" s="17"/>
      <c r="C668" s="17"/>
      <c r="D668" s="18"/>
      <c r="E668" s="11"/>
      <c r="F668" s="19"/>
      <c r="G668" s="36"/>
      <c r="H668" s="21"/>
      <c r="I668" s="22"/>
      <c r="J668" s="22"/>
      <c r="K668" s="23"/>
      <c r="L668" s="24"/>
      <c r="O668" s="74"/>
      <c r="P668" s="27"/>
    </row>
    <row r="669" spans="1:16" x14ac:dyDescent="0.25">
      <c r="A669" s="13">
        <f t="shared" si="15"/>
        <v>25</v>
      </c>
      <c r="B669" s="17"/>
      <c r="C669" s="17"/>
      <c r="D669" s="18"/>
      <c r="E669" s="11"/>
      <c r="F669" s="19"/>
      <c r="G669" s="36"/>
      <c r="H669" s="21"/>
      <c r="I669" s="22"/>
      <c r="J669" s="22"/>
      <c r="K669" s="23"/>
      <c r="L669" s="24"/>
      <c r="O669" s="74"/>
      <c r="P669" s="27"/>
    </row>
    <row r="670" spans="1:16" x14ac:dyDescent="0.25">
      <c r="A670" s="13">
        <f t="shared" si="15"/>
        <v>25</v>
      </c>
      <c r="B670" s="17"/>
      <c r="C670" s="17"/>
      <c r="D670" s="42"/>
      <c r="E670" s="43"/>
      <c r="F670" s="19"/>
      <c r="G670" s="20"/>
      <c r="H670" s="21"/>
      <c r="I670" s="22"/>
      <c r="J670" s="22"/>
      <c r="K670" s="23"/>
      <c r="L670" s="24"/>
      <c r="O670" s="74"/>
      <c r="P670" s="27"/>
    </row>
    <row r="671" spans="1:16" x14ac:dyDescent="0.25">
      <c r="A671" s="13">
        <f t="shared" si="15"/>
        <v>25</v>
      </c>
      <c r="B671" s="17"/>
      <c r="C671" s="17"/>
      <c r="D671" s="18"/>
      <c r="E671" s="11"/>
      <c r="F671" s="19"/>
      <c r="G671" s="20"/>
      <c r="H671" s="21"/>
      <c r="I671" s="22"/>
      <c r="J671" s="22"/>
      <c r="K671" s="23"/>
      <c r="L671" s="24"/>
      <c r="O671" s="74"/>
      <c r="P671" s="27"/>
    </row>
    <row r="672" spans="1:16" x14ac:dyDescent="0.25">
      <c r="A672" s="13">
        <f t="shared" si="15"/>
        <v>25</v>
      </c>
      <c r="B672" s="17"/>
      <c r="C672" s="17"/>
      <c r="D672" s="18"/>
      <c r="E672" s="11"/>
      <c r="F672" s="19"/>
      <c r="G672" s="20"/>
      <c r="H672" s="21"/>
      <c r="I672" s="22"/>
      <c r="J672" s="22"/>
      <c r="K672" s="23"/>
      <c r="L672" s="24"/>
      <c r="O672" s="74"/>
      <c r="P672" s="27"/>
    </row>
    <row r="673" spans="1:16" x14ac:dyDescent="0.25">
      <c r="A673" s="13">
        <f t="shared" si="15"/>
        <v>25</v>
      </c>
      <c r="B673" s="17"/>
      <c r="C673" s="17"/>
      <c r="D673" s="18"/>
      <c r="E673" s="11"/>
      <c r="F673" s="19"/>
      <c r="G673" s="20"/>
      <c r="H673" s="21"/>
      <c r="I673" s="22"/>
      <c r="J673" s="22"/>
      <c r="K673" s="23"/>
      <c r="L673" s="24"/>
      <c r="O673" s="74"/>
      <c r="P673" s="27"/>
    </row>
    <row r="674" spans="1:16" x14ac:dyDescent="0.25">
      <c r="A674" s="13">
        <f t="shared" si="15"/>
        <v>25</v>
      </c>
      <c r="B674" s="17"/>
      <c r="C674" s="17"/>
      <c r="D674" s="18"/>
      <c r="E674" s="11"/>
      <c r="F674" s="19"/>
      <c r="G674" s="20"/>
      <c r="H674" s="21"/>
      <c r="I674" s="22"/>
      <c r="J674" s="22"/>
      <c r="K674" s="23"/>
      <c r="L674" s="24"/>
      <c r="O674" s="74"/>
      <c r="P674" s="27"/>
    </row>
    <row r="675" spans="1:16" x14ac:dyDescent="0.25">
      <c r="A675" s="13">
        <f t="shared" si="15"/>
        <v>25</v>
      </c>
      <c r="B675" s="17"/>
      <c r="C675" s="17"/>
      <c r="D675" s="18"/>
      <c r="E675" s="11"/>
      <c r="F675" s="19"/>
      <c r="G675" s="20"/>
      <c r="H675" s="21"/>
      <c r="I675" s="22"/>
      <c r="J675" s="22"/>
      <c r="K675" s="23"/>
      <c r="L675" s="24"/>
      <c r="O675" s="74"/>
      <c r="P675" s="27"/>
    </row>
    <row r="676" spans="1:16" x14ac:dyDescent="0.25">
      <c r="A676" s="13">
        <f t="shared" si="15"/>
        <v>25</v>
      </c>
      <c r="B676" s="17"/>
      <c r="C676" s="17"/>
      <c r="D676" s="18"/>
      <c r="E676" s="11"/>
      <c r="F676" s="19"/>
      <c r="G676" s="20"/>
      <c r="H676" s="21"/>
      <c r="I676" s="22"/>
      <c r="J676" s="22"/>
      <c r="K676" s="23"/>
      <c r="L676" s="24"/>
      <c r="O676" s="74"/>
      <c r="P676" s="27"/>
    </row>
    <row r="677" spans="1:16" x14ac:dyDescent="0.25">
      <c r="A677" s="13">
        <f t="shared" si="15"/>
        <v>25</v>
      </c>
      <c r="B677" s="17"/>
      <c r="C677" s="17"/>
      <c r="D677" s="18"/>
      <c r="E677" s="11"/>
      <c r="F677" s="19"/>
      <c r="G677" s="20"/>
      <c r="H677" s="21"/>
      <c r="I677" s="22"/>
      <c r="J677" s="22"/>
      <c r="K677" s="23"/>
      <c r="L677" s="24"/>
      <c r="O677" s="74"/>
      <c r="P677" s="27"/>
    </row>
    <row r="678" spans="1:16" x14ac:dyDescent="0.25">
      <c r="A678" s="13">
        <f t="shared" si="15"/>
        <v>25</v>
      </c>
      <c r="B678" s="17"/>
      <c r="C678" s="17"/>
      <c r="D678" s="40"/>
      <c r="E678" s="41"/>
      <c r="F678" s="19"/>
      <c r="G678" s="20"/>
      <c r="H678" s="21"/>
      <c r="I678" s="22"/>
      <c r="J678" s="22"/>
      <c r="K678" s="23"/>
      <c r="L678" s="24"/>
      <c r="O678" s="74"/>
      <c r="P678" s="27"/>
    </row>
    <row r="679" spans="1:16" x14ac:dyDescent="0.25">
      <c r="A679" s="13">
        <f t="shared" si="15"/>
        <v>25</v>
      </c>
      <c r="B679" s="17"/>
      <c r="C679" s="17"/>
      <c r="D679" s="18"/>
      <c r="E679" s="11"/>
      <c r="F679" s="19"/>
      <c r="G679" s="20"/>
      <c r="H679" s="21"/>
      <c r="I679" s="22"/>
      <c r="J679" s="22"/>
      <c r="K679" s="23"/>
      <c r="L679" s="24"/>
      <c r="O679" s="74"/>
      <c r="P679" s="27"/>
    </row>
    <row r="680" spans="1:16" x14ac:dyDescent="0.25">
      <c r="A680" s="13">
        <f t="shared" si="15"/>
        <v>25</v>
      </c>
      <c r="B680" s="17"/>
      <c r="C680" s="17"/>
      <c r="D680" s="18"/>
      <c r="E680" s="11"/>
      <c r="F680" s="19"/>
      <c r="G680" s="20"/>
      <c r="H680" s="21"/>
      <c r="I680" s="22"/>
      <c r="J680" s="22"/>
      <c r="K680" s="23"/>
      <c r="L680" s="24"/>
      <c r="O680" s="74"/>
      <c r="P680" s="27"/>
    </row>
    <row r="681" spans="1:16" x14ac:dyDescent="0.25">
      <c r="A681" s="13">
        <f t="shared" si="15"/>
        <v>25</v>
      </c>
      <c r="B681" s="17"/>
      <c r="C681" s="17"/>
      <c r="D681" s="18"/>
      <c r="E681" s="11"/>
      <c r="F681" s="19"/>
      <c r="G681" s="36"/>
      <c r="H681" s="21"/>
      <c r="I681" s="22"/>
      <c r="J681" s="22"/>
      <c r="K681" s="23"/>
      <c r="L681" s="24"/>
      <c r="O681" s="74"/>
      <c r="P681" s="27"/>
    </row>
    <row r="682" spans="1:16" x14ac:dyDescent="0.25">
      <c r="A682" s="13">
        <f t="shared" si="15"/>
        <v>25</v>
      </c>
      <c r="B682" s="17"/>
      <c r="C682" s="17"/>
      <c r="D682" s="18"/>
      <c r="E682" s="11"/>
      <c r="F682" s="19"/>
      <c r="G682" s="36"/>
      <c r="H682" s="21"/>
      <c r="I682" s="22"/>
      <c r="J682" s="22"/>
      <c r="K682" s="23"/>
      <c r="L682" s="24"/>
      <c r="O682" s="74"/>
      <c r="P682" s="27"/>
    </row>
    <row r="683" spans="1:16" x14ac:dyDescent="0.25">
      <c r="A683" s="13">
        <f t="shared" si="15"/>
        <v>25</v>
      </c>
      <c r="B683" s="17"/>
      <c r="C683" s="17"/>
      <c r="D683" s="18"/>
      <c r="E683" s="11"/>
      <c r="F683" s="19"/>
      <c r="G683" s="36"/>
      <c r="H683" s="21"/>
      <c r="I683" s="22"/>
      <c r="J683" s="22"/>
      <c r="K683" s="23"/>
      <c r="L683" s="24"/>
      <c r="O683" s="74"/>
      <c r="P683" s="27"/>
    </row>
    <row r="684" spans="1:16" x14ac:dyDescent="0.25">
      <c r="A684" s="13">
        <f t="shared" si="15"/>
        <v>25</v>
      </c>
      <c r="B684" s="17"/>
      <c r="C684" s="17"/>
      <c r="D684" s="18"/>
      <c r="E684" s="11"/>
      <c r="F684" s="19"/>
      <c r="G684" s="36"/>
      <c r="H684" s="21"/>
      <c r="I684" s="22"/>
      <c r="J684" s="22"/>
      <c r="K684" s="23"/>
      <c r="L684" s="24"/>
      <c r="O684" s="74"/>
      <c r="P684" s="27"/>
    </row>
    <row r="685" spans="1:16" x14ac:dyDescent="0.25">
      <c r="A685" s="13">
        <f t="shared" si="15"/>
        <v>25</v>
      </c>
      <c r="B685" s="17"/>
      <c r="C685" s="17"/>
      <c r="D685" s="18"/>
      <c r="E685" s="11"/>
      <c r="F685" s="19"/>
      <c r="G685" s="36"/>
      <c r="H685" s="21"/>
      <c r="I685" s="22"/>
      <c r="J685" s="22"/>
      <c r="K685" s="23"/>
      <c r="L685" s="24"/>
      <c r="O685" s="74"/>
      <c r="P685" s="27"/>
    </row>
    <row r="686" spans="1:16" x14ac:dyDescent="0.25">
      <c r="A686" s="13">
        <f t="shared" si="15"/>
        <v>25</v>
      </c>
      <c r="B686" s="17"/>
      <c r="C686" s="17"/>
      <c r="D686" s="18"/>
      <c r="E686" s="11"/>
      <c r="F686" s="19"/>
      <c r="G686" s="36"/>
      <c r="H686" s="21"/>
      <c r="I686" s="22"/>
      <c r="J686" s="22"/>
      <c r="K686" s="23"/>
      <c r="L686" s="24"/>
      <c r="O686" s="74"/>
      <c r="P686" s="27"/>
    </row>
    <row r="687" spans="1:16" x14ac:dyDescent="0.25">
      <c r="A687" s="13">
        <f t="shared" si="15"/>
        <v>25</v>
      </c>
      <c r="B687" s="17"/>
      <c r="C687" s="17"/>
      <c r="D687" s="18"/>
      <c r="E687" s="11"/>
      <c r="F687" s="19"/>
      <c r="G687" s="36"/>
      <c r="H687" s="21"/>
      <c r="I687" s="22"/>
      <c r="J687" s="22"/>
      <c r="K687" s="23"/>
      <c r="L687" s="24"/>
      <c r="O687" s="74"/>
      <c r="P687" s="27"/>
    </row>
    <row r="688" spans="1:16" x14ac:dyDescent="0.25">
      <c r="A688" s="13">
        <f t="shared" si="15"/>
        <v>25</v>
      </c>
      <c r="B688" s="17"/>
      <c r="C688" s="17"/>
      <c r="D688" s="18"/>
      <c r="E688" s="11"/>
      <c r="F688" s="19"/>
      <c r="G688" s="36"/>
      <c r="H688" s="21"/>
      <c r="I688" s="22"/>
      <c r="J688" s="22"/>
      <c r="K688" s="23"/>
      <c r="L688" s="24"/>
      <c r="O688" s="74"/>
      <c r="P688" s="27"/>
    </row>
    <row r="689" spans="1:16" x14ac:dyDescent="0.25">
      <c r="A689" s="13">
        <f t="shared" si="15"/>
        <v>25</v>
      </c>
      <c r="B689" s="17"/>
      <c r="C689" s="17"/>
      <c r="D689" s="18"/>
      <c r="E689" s="11"/>
      <c r="F689" s="19"/>
      <c r="G689" s="36"/>
      <c r="H689" s="21"/>
      <c r="I689" s="22"/>
      <c r="J689" s="22"/>
      <c r="K689" s="23"/>
      <c r="L689" s="24"/>
      <c r="O689" s="74"/>
      <c r="P689" s="27"/>
    </row>
    <row r="690" spans="1:16" x14ac:dyDescent="0.25">
      <c r="A690" s="13">
        <f t="shared" si="15"/>
        <v>25</v>
      </c>
      <c r="B690" s="17"/>
      <c r="C690" s="17"/>
      <c r="D690" s="18"/>
      <c r="E690" s="11"/>
      <c r="F690" s="19"/>
      <c r="G690" s="36"/>
      <c r="H690" s="21"/>
      <c r="I690" s="22"/>
      <c r="J690" s="22"/>
      <c r="K690" s="23"/>
      <c r="L690" s="24"/>
      <c r="O690" s="74"/>
      <c r="P690" s="27"/>
    </row>
    <row r="691" spans="1:16" x14ac:dyDescent="0.25">
      <c r="A691" s="13">
        <f t="shared" si="15"/>
        <v>25</v>
      </c>
      <c r="B691" s="17"/>
      <c r="C691" s="17"/>
      <c r="D691" s="18"/>
      <c r="E691" s="11"/>
      <c r="F691" s="19"/>
      <c r="G691" s="36"/>
      <c r="H691" s="21"/>
      <c r="I691" s="22"/>
      <c r="J691" s="22"/>
      <c r="K691" s="23"/>
      <c r="L691" s="24"/>
      <c r="O691" s="74"/>
      <c r="P691" s="27"/>
    </row>
    <row r="692" spans="1:16" x14ac:dyDescent="0.25">
      <c r="A692" s="13">
        <f t="shared" si="15"/>
        <v>25</v>
      </c>
      <c r="B692" s="17"/>
      <c r="C692" s="17"/>
      <c r="D692" s="18"/>
      <c r="E692" s="11"/>
      <c r="F692" s="19"/>
      <c r="G692" s="36"/>
      <c r="H692" s="21"/>
      <c r="I692" s="22"/>
      <c r="J692" s="22"/>
      <c r="K692" s="23"/>
      <c r="L692" s="24"/>
      <c r="O692" s="74"/>
      <c r="P692" s="27"/>
    </row>
    <row r="693" spans="1:16" x14ac:dyDescent="0.25">
      <c r="A693" s="13">
        <f t="shared" si="15"/>
        <v>25</v>
      </c>
      <c r="B693" s="17"/>
      <c r="C693" s="17"/>
      <c r="D693" s="18"/>
      <c r="E693" s="11"/>
      <c r="F693" s="19"/>
      <c r="G693" s="36"/>
      <c r="H693" s="21"/>
      <c r="I693" s="22"/>
      <c r="J693" s="22"/>
      <c r="K693" s="23"/>
      <c r="L693" s="24"/>
      <c r="O693" s="74"/>
      <c r="P693" s="27"/>
    </row>
    <row r="694" spans="1:16" x14ac:dyDescent="0.25">
      <c r="A694" s="13">
        <f t="shared" si="15"/>
        <v>25</v>
      </c>
      <c r="B694" s="17"/>
      <c r="C694" s="17"/>
      <c r="D694" s="18"/>
      <c r="E694" s="11"/>
      <c r="F694" s="19"/>
      <c r="G694" s="36"/>
      <c r="H694" s="21"/>
      <c r="I694" s="22"/>
      <c r="J694" s="22"/>
      <c r="K694" s="23"/>
      <c r="L694" s="24"/>
      <c r="O694" s="74"/>
      <c r="P694" s="27"/>
    </row>
    <row r="695" spans="1:16" x14ac:dyDescent="0.25">
      <c r="A695" s="13">
        <f t="shared" si="15"/>
        <v>25</v>
      </c>
      <c r="B695" s="17"/>
      <c r="C695" s="17"/>
      <c r="D695" s="18"/>
      <c r="E695" s="11"/>
      <c r="F695" s="19"/>
      <c r="G695" s="36"/>
      <c r="H695" s="21"/>
      <c r="I695" s="22"/>
      <c r="J695" s="22"/>
      <c r="K695" s="23"/>
      <c r="L695" s="24"/>
      <c r="O695" s="74"/>
      <c r="P695" s="27"/>
    </row>
    <row r="696" spans="1:16" x14ac:dyDescent="0.25">
      <c r="A696" s="13">
        <f t="shared" si="15"/>
        <v>25</v>
      </c>
      <c r="B696" s="17"/>
      <c r="C696" s="17"/>
      <c r="D696" s="18"/>
      <c r="E696" s="44"/>
      <c r="F696" s="19"/>
      <c r="G696" s="36"/>
      <c r="H696" s="21"/>
      <c r="I696" s="22"/>
      <c r="J696" s="22"/>
      <c r="K696" s="23"/>
      <c r="L696" s="24"/>
      <c r="O696" s="74"/>
      <c r="P696" s="27"/>
    </row>
    <row r="697" spans="1:16" x14ac:dyDescent="0.25">
      <c r="A697" s="13">
        <f t="shared" si="15"/>
        <v>25</v>
      </c>
      <c r="B697" s="17"/>
      <c r="C697" s="17"/>
      <c r="D697" s="18"/>
      <c r="E697" s="11"/>
      <c r="F697" s="19"/>
      <c r="G697" s="36"/>
      <c r="H697" s="21"/>
      <c r="I697" s="22"/>
      <c r="J697" s="22"/>
      <c r="K697" s="23"/>
      <c r="L697" s="24"/>
      <c r="O697" s="74"/>
      <c r="P697" s="27"/>
    </row>
    <row r="698" spans="1:16" x14ac:dyDescent="0.25">
      <c r="A698" s="13">
        <f t="shared" si="15"/>
        <v>25</v>
      </c>
      <c r="B698" s="17"/>
      <c r="C698" s="17"/>
      <c r="D698" s="18"/>
      <c r="E698" s="11"/>
      <c r="F698" s="19"/>
      <c r="G698" s="36"/>
      <c r="H698" s="21"/>
      <c r="I698" s="22"/>
      <c r="J698" s="22"/>
      <c r="K698" s="23"/>
      <c r="L698" s="24"/>
      <c r="O698" s="74"/>
      <c r="P698" s="27"/>
    </row>
    <row r="699" spans="1:16" x14ac:dyDescent="0.25">
      <c r="A699" s="13">
        <f t="shared" si="15"/>
        <v>25</v>
      </c>
      <c r="B699" s="17"/>
      <c r="C699" s="17"/>
      <c r="D699" s="18"/>
      <c r="E699" s="11"/>
      <c r="F699" s="19"/>
      <c r="G699" s="36"/>
      <c r="H699" s="21"/>
      <c r="I699" s="22"/>
      <c r="J699" s="22"/>
      <c r="K699" s="23"/>
      <c r="L699" s="24"/>
      <c r="O699" s="74"/>
      <c r="P699" s="27"/>
    </row>
    <row r="700" spans="1:16" x14ac:dyDescent="0.25">
      <c r="A700" s="13">
        <f t="shared" si="15"/>
        <v>25</v>
      </c>
      <c r="B700" s="17"/>
      <c r="C700" s="17"/>
      <c r="D700" s="18"/>
      <c r="E700" s="11"/>
      <c r="F700" s="19"/>
      <c r="G700" s="36"/>
      <c r="H700" s="21"/>
      <c r="I700" s="22"/>
      <c r="J700" s="22"/>
      <c r="K700" s="23"/>
      <c r="L700" s="24"/>
      <c r="O700" s="74"/>
      <c r="P700" s="27"/>
    </row>
    <row r="701" spans="1:16" x14ac:dyDescent="0.25">
      <c r="A701" s="13">
        <f t="shared" si="15"/>
        <v>25</v>
      </c>
      <c r="B701" s="17"/>
      <c r="C701" s="17"/>
      <c r="D701" s="18"/>
      <c r="E701" s="11"/>
      <c r="F701" s="19"/>
      <c r="G701" s="36"/>
      <c r="H701" s="21"/>
      <c r="I701" s="22"/>
      <c r="J701" s="22"/>
      <c r="K701" s="23"/>
      <c r="L701" s="24"/>
      <c r="O701" s="74"/>
      <c r="P701" s="27"/>
    </row>
    <row r="702" spans="1:16" x14ac:dyDescent="0.25">
      <c r="A702" s="13">
        <f t="shared" si="15"/>
        <v>25</v>
      </c>
      <c r="B702" s="17"/>
      <c r="C702" s="17"/>
      <c r="D702" s="18"/>
      <c r="E702" s="11"/>
      <c r="F702" s="19"/>
      <c r="G702" s="36"/>
      <c r="H702" s="21"/>
      <c r="I702" s="22"/>
      <c r="J702" s="22"/>
      <c r="K702" s="23"/>
      <c r="L702" s="24"/>
      <c r="O702" s="74"/>
      <c r="P702" s="27"/>
    </row>
    <row r="703" spans="1:16" x14ac:dyDescent="0.25">
      <c r="A703" s="13">
        <f t="shared" si="15"/>
        <v>25</v>
      </c>
      <c r="B703" s="17"/>
      <c r="C703" s="17"/>
      <c r="D703" s="18"/>
      <c r="E703" s="11"/>
      <c r="F703" s="19"/>
      <c r="G703" s="36"/>
      <c r="H703" s="21"/>
      <c r="I703" s="22"/>
      <c r="J703" s="22"/>
      <c r="K703" s="23"/>
      <c r="L703" s="24"/>
      <c r="O703" s="74"/>
      <c r="P703" s="27"/>
    </row>
    <row r="704" spans="1:16" x14ac:dyDescent="0.25">
      <c r="A704" s="13">
        <f t="shared" si="15"/>
        <v>25</v>
      </c>
      <c r="B704" s="17"/>
      <c r="C704" s="17"/>
      <c r="D704" s="18"/>
      <c r="E704" s="11"/>
      <c r="F704" s="19"/>
      <c r="G704" s="36"/>
      <c r="H704" s="21"/>
      <c r="I704" s="22"/>
      <c r="J704" s="22"/>
      <c r="K704" s="23"/>
      <c r="L704" s="24"/>
      <c r="O704" s="74"/>
      <c r="P704" s="27"/>
    </row>
    <row r="705" spans="1:16" x14ac:dyDescent="0.25">
      <c r="A705" s="13">
        <f t="shared" si="15"/>
        <v>25</v>
      </c>
      <c r="B705" s="17"/>
      <c r="C705" s="17"/>
      <c r="D705" s="18"/>
      <c r="E705" s="11"/>
      <c r="F705" s="19"/>
      <c r="G705" s="36"/>
      <c r="H705" s="21"/>
      <c r="I705" s="22"/>
      <c r="J705" s="22"/>
      <c r="K705" s="23"/>
      <c r="L705" s="24"/>
      <c r="O705" s="74"/>
      <c r="P705" s="27"/>
    </row>
    <row r="706" spans="1:16" x14ac:dyDescent="0.25">
      <c r="A706" s="13">
        <f t="shared" si="15"/>
        <v>25</v>
      </c>
      <c r="B706" s="17"/>
      <c r="C706" s="17"/>
      <c r="D706" s="18"/>
      <c r="E706" s="11"/>
      <c r="F706" s="19"/>
      <c r="G706" s="36"/>
      <c r="H706" s="21"/>
      <c r="I706" s="22"/>
      <c r="J706" s="22"/>
      <c r="K706" s="23"/>
      <c r="L706" s="24"/>
      <c r="O706" s="74"/>
      <c r="P706" s="27"/>
    </row>
    <row r="707" spans="1:16" x14ac:dyDescent="0.25">
      <c r="A707" s="13">
        <f t="shared" si="15"/>
        <v>25</v>
      </c>
      <c r="B707" s="17"/>
      <c r="C707" s="17"/>
      <c r="D707" s="18"/>
      <c r="E707" s="11"/>
      <c r="F707" s="19"/>
      <c r="G707" s="36"/>
      <c r="H707" s="21"/>
      <c r="I707" s="22"/>
      <c r="J707" s="22"/>
      <c r="K707" s="23"/>
      <c r="L707" s="24"/>
      <c r="O707" s="74"/>
      <c r="P707" s="27"/>
    </row>
    <row r="708" spans="1:16" x14ac:dyDescent="0.25">
      <c r="A708" s="13">
        <f t="shared" si="15"/>
        <v>25</v>
      </c>
      <c r="B708" s="17"/>
      <c r="C708" s="17"/>
      <c r="D708" s="18"/>
      <c r="E708" s="11"/>
      <c r="F708" s="19"/>
      <c r="G708" s="36"/>
      <c r="H708" s="21"/>
      <c r="I708" s="22"/>
      <c r="J708" s="22"/>
      <c r="K708" s="23"/>
      <c r="L708" s="24"/>
      <c r="O708" s="74"/>
      <c r="P708" s="27"/>
    </row>
    <row r="709" spans="1:16" x14ac:dyDescent="0.25">
      <c r="A709" s="13">
        <f t="shared" ref="A709:A772" si="16">IF(B709=B708,A708,A708+1)</f>
        <v>25</v>
      </c>
      <c r="B709" s="17"/>
      <c r="C709" s="17"/>
      <c r="D709" s="18"/>
      <c r="E709" s="11"/>
      <c r="F709" s="19"/>
      <c r="G709" s="36"/>
      <c r="H709" s="21"/>
      <c r="I709" s="22"/>
      <c r="J709" s="22"/>
      <c r="K709" s="23"/>
      <c r="L709" s="24"/>
      <c r="O709" s="74"/>
      <c r="P709" s="27"/>
    </row>
    <row r="710" spans="1:16" x14ac:dyDescent="0.25">
      <c r="A710" s="13">
        <f t="shared" si="16"/>
        <v>25</v>
      </c>
      <c r="B710" s="17"/>
      <c r="C710" s="17"/>
      <c r="D710" s="18"/>
      <c r="E710" s="11"/>
      <c r="F710" s="19"/>
      <c r="G710" s="36"/>
      <c r="H710" s="21"/>
      <c r="I710" s="22"/>
      <c r="J710" s="22"/>
      <c r="K710" s="23"/>
      <c r="L710" s="24"/>
      <c r="O710" s="74"/>
      <c r="P710" s="27"/>
    </row>
    <row r="711" spans="1:16" x14ac:dyDescent="0.25">
      <c r="A711" s="13">
        <f t="shared" si="16"/>
        <v>25</v>
      </c>
      <c r="B711" s="17"/>
      <c r="C711" s="17"/>
      <c r="D711" s="18"/>
      <c r="E711" s="11"/>
      <c r="F711" s="19"/>
      <c r="G711" s="36"/>
      <c r="H711" s="21"/>
      <c r="I711" s="22"/>
      <c r="J711" s="22"/>
      <c r="K711" s="23"/>
      <c r="L711" s="24"/>
      <c r="O711" s="74"/>
      <c r="P711" s="27"/>
    </row>
    <row r="712" spans="1:16" x14ac:dyDescent="0.25">
      <c r="A712" s="13">
        <f t="shared" si="16"/>
        <v>25</v>
      </c>
      <c r="B712" s="17"/>
      <c r="C712" s="17"/>
      <c r="D712" s="18"/>
      <c r="E712" s="11"/>
      <c r="F712" s="19"/>
      <c r="G712" s="20"/>
      <c r="H712" s="21"/>
      <c r="I712" s="45"/>
      <c r="J712" s="45"/>
      <c r="K712" s="23"/>
      <c r="L712" s="24"/>
      <c r="O712" s="74"/>
      <c r="P712" s="27"/>
    </row>
    <row r="713" spans="1:16" x14ac:dyDescent="0.25">
      <c r="A713" s="13">
        <f t="shared" si="16"/>
        <v>25</v>
      </c>
      <c r="B713" s="17"/>
      <c r="C713" s="17"/>
      <c r="D713" s="18"/>
      <c r="E713" s="11"/>
      <c r="F713" s="19"/>
      <c r="G713" s="20"/>
      <c r="H713" s="21"/>
      <c r="I713" s="45"/>
      <c r="J713" s="45"/>
      <c r="K713" s="23"/>
      <c r="L713" s="24"/>
      <c r="O713" s="74"/>
      <c r="P713" s="27"/>
    </row>
    <row r="714" spans="1:16" x14ac:dyDescent="0.25">
      <c r="A714" s="13">
        <f t="shared" si="16"/>
        <v>25</v>
      </c>
      <c r="B714" s="17"/>
      <c r="C714" s="17"/>
      <c r="D714" s="18"/>
      <c r="E714" s="11"/>
      <c r="F714" s="19"/>
      <c r="G714" s="20"/>
      <c r="H714" s="21"/>
      <c r="I714" s="45"/>
      <c r="J714" s="45"/>
      <c r="K714" s="23"/>
      <c r="L714" s="24"/>
      <c r="O714" s="74"/>
      <c r="P714" s="27"/>
    </row>
    <row r="715" spans="1:16" x14ac:dyDescent="0.25">
      <c r="A715" s="13">
        <f t="shared" si="16"/>
        <v>25</v>
      </c>
      <c r="B715" s="17"/>
      <c r="C715" s="17"/>
      <c r="D715" s="18"/>
      <c r="E715" s="11"/>
      <c r="F715" s="19"/>
      <c r="G715" s="36"/>
      <c r="H715" s="21"/>
      <c r="I715" s="45"/>
      <c r="J715" s="45"/>
      <c r="K715" s="23"/>
      <c r="L715" s="24"/>
      <c r="O715" s="74"/>
      <c r="P715" s="27"/>
    </row>
    <row r="716" spans="1:16" x14ac:dyDescent="0.25">
      <c r="A716" s="13">
        <f t="shared" si="16"/>
        <v>25</v>
      </c>
      <c r="B716" s="17"/>
      <c r="C716" s="17"/>
      <c r="D716" s="18"/>
      <c r="E716" s="11"/>
      <c r="F716" s="19"/>
      <c r="G716" s="36"/>
      <c r="H716" s="21"/>
      <c r="I716" s="45"/>
      <c r="J716" s="45"/>
      <c r="K716" s="23"/>
      <c r="L716" s="24"/>
      <c r="O716" s="74"/>
      <c r="P716" s="27"/>
    </row>
    <row r="717" spans="1:16" x14ac:dyDescent="0.25">
      <c r="A717" s="13">
        <f t="shared" si="16"/>
        <v>25</v>
      </c>
      <c r="B717" s="17"/>
      <c r="C717" s="17"/>
      <c r="D717" s="18"/>
      <c r="E717" s="11"/>
      <c r="F717" s="19"/>
      <c r="G717" s="36"/>
      <c r="H717" s="21"/>
      <c r="I717" s="45"/>
      <c r="J717" s="45"/>
      <c r="K717" s="23"/>
      <c r="L717" s="24"/>
      <c r="O717" s="74"/>
      <c r="P717" s="27"/>
    </row>
    <row r="718" spans="1:16" x14ac:dyDescent="0.25">
      <c r="A718" s="13">
        <f t="shared" si="16"/>
        <v>25</v>
      </c>
      <c r="B718" s="17"/>
      <c r="C718" s="17"/>
      <c r="D718" s="18"/>
      <c r="E718" s="11"/>
      <c r="F718" s="19"/>
      <c r="G718" s="36"/>
      <c r="H718" s="21"/>
      <c r="I718" s="45"/>
      <c r="J718" s="45"/>
      <c r="K718" s="23"/>
      <c r="L718" s="24"/>
      <c r="O718" s="74"/>
      <c r="P718" s="27"/>
    </row>
    <row r="719" spans="1:16" x14ac:dyDescent="0.25">
      <c r="A719" s="13">
        <f t="shared" si="16"/>
        <v>25</v>
      </c>
      <c r="K719" s="24"/>
      <c r="L719" s="24"/>
      <c r="O719" s="74"/>
      <c r="P719" s="27"/>
    </row>
    <row r="720" spans="1:16" x14ac:dyDescent="0.25">
      <c r="A720" s="13">
        <f t="shared" si="16"/>
        <v>25</v>
      </c>
      <c r="K720" s="24"/>
      <c r="L720" s="24"/>
      <c r="O720" s="74"/>
      <c r="P720" s="27"/>
    </row>
    <row r="721" spans="1:16" x14ac:dyDescent="0.25">
      <c r="A721" s="13">
        <f t="shared" si="16"/>
        <v>25</v>
      </c>
      <c r="K721" s="24"/>
      <c r="L721" s="24"/>
      <c r="O721" s="74"/>
      <c r="P721" s="27"/>
    </row>
    <row r="722" spans="1:16" x14ac:dyDescent="0.25">
      <c r="A722" s="13">
        <f t="shared" si="16"/>
        <v>25</v>
      </c>
      <c r="K722" s="24"/>
      <c r="L722" s="24"/>
      <c r="O722" s="74"/>
      <c r="P722" s="27"/>
    </row>
    <row r="723" spans="1:16" x14ac:dyDescent="0.25">
      <c r="A723" s="13">
        <f t="shared" si="16"/>
        <v>25</v>
      </c>
      <c r="K723" s="24"/>
      <c r="L723" s="24"/>
      <c r="O723" s="74"/>
      <c r="P723" s="27"/>
    </row>
    <row r="724" spans="1:16" x14ac:dyDescent="0.25">
      <c r="A724" s="13">
        <f t="shared" si="16"/>
        <v>25</v>
      </c>
      <c r="K724" s="24"/>
      <c r="L724" s="24"/>
      <c r="O724" s="74"/>
      <c r="P724" s="27"/>
    </row>
    <row r="725" spans="1:16" x14ac:dyDescent="0.25">
      <c r="A725" s="13">
        <f t="shared" si="16"/>
        <v>25</v>
      </c>
      <c r="K725" s="24"/>
      <c r="L725" s="24"/>
      <c r="O725" s="74"/>
      <c r="P725" s="27"/>
    </row>
    <row r="726" spans="1:16" x14ac:dyDescent="0.25">
      <c r="A726" s="13">
        <f t="shared" si="16"/>
        <v>25</v>
      </c>
      <c r="K726" s="24"/>
      <c r="L726" s="24"/>
      <c r="O726" s="74"/>
      <c r="P726" s="27"/>
    </row>
    <row r="727" spans="1:16" x14ac:dyDescent="0.25">
      <c r="A727" s="13">
        <f t="shared" si="16"/>
        <v>25</v>
      </c>
      <c r="K727" s="24"/>
      <c r="L727" s="24"/>
      <c r="O727" s="74"/>
      <c r="P727" s="27"/>
    </row>
    <row r="728" spans="1:16" x14ac:dyDescent="0.25">
      <c r="A728" s="13">
        <f t="shared" si="16"/>
        <v>25</v>
      </c>
      <c r="K728" s="24"/>
      <c r="L728" s="24"/>
      <c r="O728" s="74"/>
      <c r="P728" s="27"/>
    </row>
    <row r="729" spans="1:16" x14ac:dyDescent="0.25">
      <c r="A729" s="13">
        <f t="shared" si="16"/>
        <v>25</v>
      </c>
      <c r="K729" s="24"/>
      <c r="L729" s="24"/>
      <c r="O729" s="74"/>
      <c r="P729" s="27"/>
    </row>
    <row r="730" spans="1:16" x14ac:dyDescent="0.25">
      <c r="A730" s="13">
        <f t="shared" si="16"/>
        <v>25</v>
      </c>
      <c r="K730" s="24"/>
      <c r="L730" s="24"/>
      <c r="O730" s="74"/>
      <c r="P730" s="27"/>
    </row>
    <row r="731" spans="1:16" x14ac:dyDescent="0.25">
      <c r="A731" s="13">
        <f t="shared" si="16"/>
        <v>25</v>
      </c>
      <c r="K731" s="24"/>
      <c r="L731" s="24"/>
      <c r="O731" s="74"/>
      <c r="P731" s="27"/>
    </row>
    <row r="732" spans="1:16" x14ac:dyDescent="0.25">
      <c r="A732" s="13">
        <f t="shared" si="16"/>
        <v>25</v>
      </c>
      <c r="K732" s="24"/>
      <c r="L732" s="24"/>
      <c r="O732" s="74"/>
      <c r="P732" s="27"/>
    </row>
    <row r="733" spans="1:16" x14ac:dyDescent="0.25">
      <c r="A733" s="13">
        <f t="shared" si="16"/>
        <v>25</v>
      </c>
      <c r="K733" s="24"/>
      <c r="L733" s="24"/>
      <c r="O733" s="74"/>
      <c r="P733" s="27"/>
    </row>
    <row r="734" spans="1:16" x14ac:dyDescent="0.25">
      <c r="A734" s="13">
        <f t="shared" si="16"/>
        <v>25</v>
      </c>
      <c r="K734" s="24"/>
      <c r="L734" s="24"/>
      <c r="O734" s="74"/>
      <c r="P734" s="27"/>
    </row>
    <row r="735" spans="1:16" x14ac:dyDescent="0.25">
      <c r="A735" s="13">
        <f t="shared" si="16"/>
        <v>25</v>
      </c>
      <c r="K735" s="24"/>
      <c r="L735" s="24"/>
      <c r="O735" s="74"/>
      <c r="P735" s="27"/>
    </row>
    <row r="736" spans="1:16" x14ac:dyDescent="0.25">
      <c r="A736" s="13">
        <f t="shared" si="16"/>
        <v>25</v>
      </c>
      <c r="K736" s="24"/>
      <c r="L736" s="24"/>
      <c r="O736" s="74"/>
      <c r="P736" s="27"/>
    </row>
    <row r="737" spans="1:16" x14ac:dyDescent="0.25">
      <c r="A737" s="13">
        <f t="shared" si="16"/>
        <v>25</v>
      </c>
      <c r="K737" s="24"/>
      <c r="L737" s="24"/>
      <c r="O737" s="74"/>
      <c r="P737" s="27"/>
    </row>
    <row r="738" spans="1:16" x14ac:dyDescent="0.25">
      <c r="A738" s="13">
        <f t="shared" si="16"/>
        <v>25</v>
      </c>
      <c r="K738" s="24"/>
      <c r="L738" s="24"/>
      <c r="O738" s="74"/>
      <c r="P738" s="27"/>
    </row>
    <row r="739" spans="1:16" x14ac:dyDescent="0.25">
      <c r="A739" s="13">
        <f t="shared" si="16"/>
        <v>25</v>
      </c>
      <c r="K739" s="24"/>
      <c r="L739" s="24"/>
      <c r="O739" s="74"/>
      <c r="P739" s="27"/>
    </row>
    <row r="740" spans="1:16" x14ac:dyDescent="0.25">
      <c r="A740" s="13">
        <f t="shared" si="16"/>
        <v>25</v>
      </c>
      <c r="K740" s="24"/>
      <c r="L740" s="24"/>
      <c r="O740" s="74"/>
      <c r="P740" s="27"/>
    </row>
    <row r="741" spans="1:16" x14ac:dyDescent="0.25">
      <c r="A741" s="13">
        <f t="shared" si="16"/>
        <v>25</v>
      </c>
      <c r="K741" s="24"/>
      <c r="L741" s="24"/>
      <c r="O741" s="74"/>
      <c r="P741" s="27"/>
    </row>
    <row r="742" spans="1:16" x14ac:dyDescent="0.25">
      <c r="A742" s="13">
        <f t="shared" si="16"/>
        <v>25</v>
      </c>
      <c r="K742" s="24"/>
      <c r="L742" s="24"/>
      <c r="O742" s="74"/>
      <c r="P742" s="27"/>
    </row>
    <row r="743" spans="1:16" x14ac:dyDescent="0.25">
      <c r="A743" s="13">
        <f t="shared" si="16"/>
        <v>25</v>
      </c>
      <c r="K743" s="24"/>
      <c r="L743" s="24"/>
      <c r="O743" s="74"/>
      <c r="P743" s="27"/>
    </row>
    <row r="744" spans="1:16" x14ac:dyDescent="0.25">
      <c r="A744" s="13">
        <f t="shared" si="16"/>
        <v>25</v>
      </c>
      <c r="K744" s="24"/>
      <c r="L744" s="24"/>
      <c r="O744" s="74"/>
      <c r="P744" s="27"/>
    </row>
    <row r="745" spans="1:16" x14ac:dyDescent="0.25">
      <c r="A745" s="13">
        <f t="shared" si="16"/>
        <v>25</v>
      </c>
      <c r="K745" s="24"/>
      <c r="L745" s="24"/>
      <c r="O745" s="74"/>
      <c r="P745" s="27"/>
    </row>
    <row r="746" spans="1:16" x14ac:dyDescent="0.25">
      <c r="A746" s="13">
        <f t="shared" si="16"/>
        <v>25</v>
      </c>
      <c r="K746" s="24"/>
      <c r="L746" s="24"/>
      <c r="O746" s="74"/>
      <c r="P746" s="27"/>
    </row>
    <row r="747" spans="1:16" x14ac:dyDescent="0.25">
      <c r="A747" s="13">
        <f t="shared" si="16"/>
        <v>25</v>
      </c>
      <c r="K747" s="24"/>
      <c r="L747" s="24"/>
      <c r="O747" s="74"/>
      <c r="P747" s="27"/>
    </row>
    <row r="748" spans="1:16" x14ac:dyDescent="0.25">
      <c r="A748" s="13">
        <f t="shared" si="16"/>
        <v>25</v>
      </c>
      <c r="K748" s="24"/>
      <c r="L748" s="24"/>
      <c r="O748" s="74"/>
      <c r="P748" s="27"/>
    </row>
    <row r="749" spans="1:16" x14ac:dyDescent="0.25">
      <c r="A749" s="13">
        <f t="shared" si="16"/>
        <v>25</v>
      </c>
      <c r="K749" s="24"/>
      <c r="L749" s="24"/>
      <c r="O749" s="74"/>
      <c r="P749" s="27"/>
    </row>
    <row r="750" spans="1:16" x14ac:dyDescent="0.25">
      <c r="A750" s="13">
        <f t="shared" si="16"/>
        <v>25</v>
      </c>
      <c r="K750" s="24"/>
      <c r="L750" s="24"/>
      <c r="O750" s="74"/>
      <c r="P750" s="27"/>
    </row>
    <row r="751" spans="1:16" x14ac:dyDescent="0.25">
      <c r="A751" s="13">
        <f t="shared" si="16"/>
        <v>25</v>
      </c>
      <c r="K751" s="24"/>
      <c r="L751" s="24"/>
      <c r="O751" s="74"/>
      <c r="P751" s="27"/>
    </row>
    <row r="752" spans="1:16" x14ac:dyDescent="0.25">
      <c r="A752" s="13">
        <f t="shared" si="16"/>
        <v>25</v>
      </c>
      <c r="K752" s="24"/>
      <c r="L752" s="24"/>
      <c r="O752" s="74"/>
      <c r="P752" s="27"/>
    </row>
    <row r="753" spans="1:16" x14ac:dyDescent="0.25">
      <c r="A753" s="13">
        <f t="shared" si="16"/>
        <v>25</v>
      </c>
      <c r="K753" s="24"/>
      <c r="L753" s="24"/>
      <c r="O753" s="74"/>
      <c r="P753" s="27"/>
    </row>
    <row r="754" spans="1:16" x14ac:dyDescent="0.25">
      <c r="A754" s="13">
        <f t="shared" si="16"/>
        <v>25</v>
      </c>
      <c r="K754" s="24"/>
      <c r="L754" s="24"/>
      <c r="O754" s="74"/>
      <c r="P754" s="27"/>
    </row>
    <row r="755" spans="1:16" x14ac:dyDescent="0.25">
      <c r="A755" s="13">
        <f t="shared" si="16"/>
        <v>25</v>
      </c>
      <c r="K755" s="24"/>
      <c r="L755" s="24"/>
      <c r="O755" s="74"/>
      <c r="P755" s="27"/>
    </row>
    <row r="756" spans="1:16" x14ac:dyDescent="0.25">
      <c r="A756" s="13">
        <f t="shared" si="16"/>
        <v>25</v>
      </c>
      <c r="K756" s="24"/>
      <c r="L756" s="24"/>
      <c r="O756" s="74"/>
      <c r="P756" s="27"/>
    </row>
    <row r="757" spans="1:16" x14ac:dyDescent="0.25">
      <c r="A757" s="13">
        <f t="shared" si="16"/>
        <v>25</v>
      </c>
      <c r="K757" s="24"/>
      <c r="L757" s="24"/>
      <c r="O757" s="74"/>
      <c r="P757" s="27"/>
    </row>
    <row r="758" spans="1:16" x14ac:dyDescent="0.25">
      <c r="A758" s="13">
        <f t="shared" si="16"/>
        <v>25</v>
      </c>
      <c r="K758" s="24"/>
      <c r="L758" s="24"/>
      <c r="O758" s="74"/>
      <c r="P758" s="27"/>
    </row>
    <row r="759" spans="1:16" x14ac:dyDescent="0.25">
      <c r="A759" s="13">
        <f t="shared" si="16"/>
        <v>25</v>
      </c>
      <c r="K759" s="24"/>
      <c r="L759" s="24"/>
      <c r="O759" s="74"/>
      <c r="P759" s="27"/>
    </row>
    <row r="760" spans="1:16" x14ac:dyDescent="0.25">
      <c r="A760" s="13">
        <f t="shared" si="16"/>
        <v>25</v>
      </c>
      <c r="K760" s="24"/>
      <c r="L760" s="24"/>
      <c r="O760" s="74"/>
      <c r="P760" s="27"/>
    </row>
    <row r="761" spans="1:16" x14ac:dyDescent="0.25">
      <c r="A761" s="13">
        <f t="shared" si="16"/>
        <v>25</v>
      </c>
      <c r="K761" s="24"/>
      <c r="L761" s="24"/>
      <c r="O761" s="74"/>
      <c r="P761" s="27"/>
    </row>
    <row r="762" spans="1:16" x14ac:dyDescent="0.25">
      <c r="A762" s="13">
        <f t="shared" si="16"/>
        <v>25</v>
      </c>
      <c r="K762" s="24"/>
      <c r="L762" s="24"/>
      <c r="O762" s="74"/>
      <c r="P762" s="27"/>
    </row>
    <row r="763" spans="1:16" x14ac:dyDescent="0.25">
      <c r="A763" s="13">
        <f t="shared" si="16"/>
        <v>25</v>
      </c>
      <c r="K763" s="24"/>
      <c r="L763" s="24"/>
      <c r="O763" s="74"/>
      <c r="P763" s="27"/>
    </row>
    <row r="764" spans="1:16" x14ac:dyDescent="0.25">
      <c r="A764" s="13">
        <f t="shared" si="16"/>
        <v>25</v>
      </c>
      <c r="K764" s="24"/>
      <c r="L764" s="24"/>
      <c r="O764" s="74"/>
      <c r="P764" s="27"/>
    </row>
    <row r="765" spans="1:16" x14ac:dyDescent="0.25">
      <c r="A765" s="13">
        <f t="shared" si="16"/>
        <v>25</v>
      </c>
      <c r="K765" s="24"/>
      <c r="L765" s="24"/>
      <c r="O765" s="74"/>
      <c r="P765" s="27"/>
    </row>
    <row r="766" spans="1:16" x14ac:dyDescent="0.25">
      <c r="A766" s="13">
        <f t="shared" si="16"/>
        <v>25</v>
      </c>
      <c r="K766" s="24"/>
      <c r="L766" s="24"/>
      <c r="O766" s="74"/>
      <c r="P766" s="27"/>
    </row>
    <row r="767" spans="1:16" x14ac:dyDescent="0.25">
      <c r="A767" s="13">
        <f t="shared" si="16"/>
        <v>25</v>
      </c>
      <c r="K767" s="24"/>
      <c r="L767" s="24"/>
      <c r="O767" s="74"/>
      <c r="P767" s="27"/>
    </row>
    <row r="768" spans="1:16" x14ac:dyDescent="0.25">
      <c r="A768" s="13">
        <f t="shared" si="16"/>
        <v>25</v>
      </c>
      <c r="K768" s="24"/>
      <c r="L768" s="24"/>
      <c r="O768" s="74"/>
      <c r="P768" s="27"/>
    </row>
    <row r="769" spans="1:16" x14ac:dyDescent="0.25">
      <c r="A769" s="13">
        <f t="shared" si="16"/>
        <v>25</v>
      </c>
      <c r="K769" s="24"/>
      <c r="L769" s="24"/>
      <c r="O769" s="74"/>
      <c r="P769" s="27"/>
    </row>
    <row r="770" spans="1:16" x14ac:dyDescent="0.25">
      <c r="A770" s="13">
        <f t="shared" si="16"/>
        <v>25</v>
      </c>
      <c r="K770" s="24"/>
      <c r="L770" s="24"/>
      <c r="O770" s="74"/>
      <c r="P770" s="27"/>
    </row>
    <row r="771" spans="1:16" x14ac:dyDescent="0.25">
      <c r="A771" s="13">
        <f t="shared" si="16"/>
        <v>25</v>
      </c>
      <c r="K771" s="24"/>
      <c r="L771" s="24"/>
      <c r="O771" s="74"/>
      <c r="P771" s="27"/>
    </row>
    <row r="772" spans="1:16" x14ac:dyDescent="0.25">
      <c r="A772" s="13">
        <f t="shared" si="16"/>
        <v>25</v>
      </c>
      <c r="K772" s="24"/>
      <c r="L772" s="24"/>
      <c r="O772" s="74"/>
      <c r="P772" s="27"/>
    </row>
    <row r="773" spans="1:16" x14ac:dyDescent="0.25">
      <c r="A773" s="13">
        <f t="shared" ref="A773:A836" si="17">IF(B773=B772,A772,A772+1)</f>
        <v>25</v>
      </c>
      <c r="K773" s="24"/>
      <c r="L773" s="24"/>
      <c r="O773" s="74"/>
      <c r="P773" s="27"/>
    </row>
    <row r="774" spans="1:16" x14ac:dyDescent="0.25">
      <c r="A774" s="13">
        <f t="shared" si="17"/>
        <v>25</v>
      </c>
      <c r="K774" s="24"/>
      <c r="L774" s="24"/>
      <c r="O774" s="74"/>
      <c r="P774" s="27"/>
    </row>
    <row r="775" spans="1:16" x14ac:dyDescent="0.25">
      <c r="A775" s="13">
        <f t="shared" si="17"/>
        <v>25</v>
      </c>
      <c r="K775" s="24"/>
      <c r="L775" s="24"/>
      <c r="O775" s="74"/>
      <c r="P775" s="27"/>
    </row>
    <row r="776" spans="1:16" x14ac:dyDescent="0.25">
      <c r="A776" s="13">
        <f t="shared" si="17"/>
        <v>25</v>
      </c>
      <c r="K776" s="24"/>
      <c r="L776" s="24"/>
      <c r="O776" s="74"/>
      <c r="P776" s="27"/>
    </row>
    <row r="777" spans="1:16" x14ac:dyDescent="0.25">
      <c r="A777" s="13">
        <f t="shared" si="17"/>
        <v>25</v>
      </c>
      <c r="K777" s="24"/>
      <c r="L777" s="24"/>
      <c r="O777" s="74"/>
      <c r="P777" s="27"/>
    </row>
    <row r="778" spans="1:16" x14ac:dyDescent="0.25">
      <c r="A778" s="13">
        <f t="shared" si="17"/>
        <v>25</v>
      </c>
      <c r="K778" s="24"/>
      <c r="L778" s="24"/>
      <c r="O778" s="74"/>
      <c r="P778" s="27"/>
    </row>
    <row r="779" spans="1:16" x14ac:dyDescent="0.25">
      <c r="A779" s="13">
        <f t="shared" si="17"/>
        <v>25</v>
      </c>
      <c r="K779" s="24"/>
      <c r="L779" s="24"/>
      <c r="O779" s="74"/>
      <c r="P779" s="27"/>
    </row>
    <row r="780" spans="1:16" x14ac:dyDescent="0.25">
      <c r="A780" s="13">
        <f t="shared" si="17"/>
        <v>25</v>
      </c>
      <c r="K780" s="24"/>
      <c r="L780" s="24"/>
      <c r="O780" s="74"/>
      <c r="P780" s="27"/>
    </row>
    <row r="781" spans="1:16" x14ac:dyDescent="0.25">
      <c r="A781" s="13">
        <f t="shared" si="17"/>
        <v>25</v>
      </c>
      <c r="K781" s="24"/>
      <c r="L781" s="24"/>
      <c r="O781" s="74"/>
      <c r="P781" s="27"/>
    </row>
    <row r="782" spans="1:16" x14ac:dyDescent="0.25">
      <c r="A782" s="13">
        <f t="shared" si="17"/>
        <v>25</v>
      </c>
      <c r="K782" s="24"/>
      <c r="L782" s="24"/>
      <c r="O782" s="74"/>
      <c r="P782" s="27"/>
    </row>
    <row r="783" spans="1:16" x14ac:dyDescent="0.25">
      <c r="A783" s="13">
        <f t="shared" si="17"/>
        <v>25</v>
      </c>
      <c r="K783" s="24"/>
      <c r="L783" s="24"/>
      <c r="O783" s="74"/>
      <c r="P783" s="27"/>
    </row>
    <row r="784" spans="1:16" x14ac:dyDescent="0.25">
      <c r="A784" s="13">
        <f t="shared" si="17"/>
        <v>25</v>
      </c>
      <c r="K784" s="24"/>
      <c r="L784" s="24"/>
      <c r="O784" s="74"/>
      <c r="P784" s="27"/>
    </row>
    <row r="785" spans="1:16" x14ac:dyDescent="0.25">
      <c r="A785" s="13">
        <f t="shared" si="17"/>
        <v>25</v>
      </c>
      <c r="K785" s="24"/>
      <c r="L785" s="24"/>
      <c r="O785" s="74"/>
      <c r="P785" s="27"/>
    </row>
    <row r="786" spans="1:16" x14ac:dyDescent="0.25">
      <c r="A786" s="13">
        <f t="shared" si="17"/>
        <v>25</v>
      </c>
      <c r="K786" s="24"/>
      <c r="L786" s="24"/>
      <c r="O786" s="74"/>
      <c r="P786" s="27"/>
    </row>
    <row r="787" spans="1:16" x14ac:dyDescent="0.25">
      <c r="A787" s="13">
        <f t="shared" si="17"/>
        <v>25</v>
      </c>
      <c r="K787" s="24"/>
      <c r="L787" s="24"/>
      <c r="O787" s="74"/>
      <c r="P787" s="27"/>
    </row>
    <row r="788" spans="1:16" x14ac:dyDescent="0.25">
      <c r="A788" s="13">
        <f t="shared" si="17"/>
        <v>25</v>
      </c>
      <c r="K788" s="24"/>
      <c r="L788" s="24"/>
      <c r="O788" s="74"/>
      <c r="P788" s="27"/>
    </row>
    <row r="789" spans="1:16" x14ac:dyDescent="0.25">
      <c r="A789" s="13">
        <f t="shared" si="17"/>
        <v>25</v>
      </c>
      <c r="K789" s="24"/>
      <c r="L789" s="24"/>
      <c r="O789" s="74"/>
      <c r="P789" s="27"/>
    </row>
    <row r="790" spans="1:16" x14ac:dyDescent="0.25">
      <c r="A790" s="13">
        <f t="shared" si="17"/>
        <v>25</v>
      </c>
      <c r="K790" s="24"/>
      <c r="L790" s="24"/>
      <c r="O790" s="74"/>
      <c r="P790" s="27"/>
    </row>
    <row r="791" spans="1:16" x14ac:dyDescent="0.25">
      <c r="A791" s="13">
        <f t="shared" si="17"/>
        <v>25</v>
      </c>
      <c r="K791" s="24"/>
      <c r="L791" s="24"/>
      <c r="O791" s="74"/>
      <c r="P791" s="27"/>
    </row>
    <row r="792" spans="1:16" x14ac:dyDescent="0.25">
      <c r="A792" s="13">
        <f t="shared" si="17"/>
        <v>25</v>
      </c>
      <c r="K792" s="24"/>
      <c r="L792" s="24"/>
      <c r="O792" s="74"/>
      <c r="P792" s="27"/>
    </row>
    <row r="793" spans="1:16" x14ac:dyDescent="0.25">
      <c r="A793" s="13">
        <f t="shared" si="17"/>
        <v>25</v>
      </c>
      <c r="K793" s="24"/>
      <c r="L793" s="24"/>
      <c r="O793" s="74"/>
      <c r="P793" s="27"/>
    </row>
    <row r="794" spans="1:16" x14ac:dyDescent="0.25">
      <c r="A794" s="13">
        <f t="shared" si="17"/>
        <v>25</v>
      </c>
      <c r="K794" s="24"/>
      <c r="L794" s="24"/>
      <c r="O794" s="74"/>
      <c r="P794" s="27"/>
    </row>
    <row r="795" spans="1:16" x14ac:dyDescent="0.25">
      <c r="A795" s="13">
        <f t="shared" si="17"/>
        <v>25</v>
      </c>
      <c r="K795" s="24"/>
      <c r="L795" s="24"/>
      <c r="O795" s="74"/>
      <c r="P795" s="27"/>
    </row>
    <row r="796" spans="1:16" x14ac:dyDescent="0.25">
      <c r="A796" s="13">
        <f t="shared" si="17"/>
        <v>25</v>
      </c>
      <c r="K796" s="24"/>
      <c r="L796" s="24"/>
      <c r="O796" s="74"/>
      <c r="P796" s="27"/>
    </row>
    <row r="797" spans="1:16" x14ac:dyDescent="0.25">
      <c r="A797" s="13">
        <f t="shared" si="17"/>
        <v>25</v>
      </c>
      <c r="K797" s="24"/>
      <c r="L797" s="24"/>
      <c r="O797" s="74"/>
      <c r="P797" s="27"/>
    </row>
    <row r="798" spans="1:16" x14ac:dyDescent="0.25">
      <c r="A798" s="13">
        <f t="shared" si="17"/>
        <v>25</v>
      </c>
      <c r="K798" s="24"/>
      <c r="L798" s="24"/>
      <c r="O798" s="74"/>
      <c r="P798" s="27"/>
    </row>
    <row r="799" spans="1:16" x14ac:dyDescent="0.25">
      <c r="A799" s="13">
        <f t="shared" si="17"/>
        <v>25</v>
      </c>
      <c r="K799" s="24"/>
      <c r="L799" s="24"/>
      <c r="O799" s="74"/>
      <c r="P799" s="27"/>
    </row>
    <row r="800" spans="1:16" x14ac:dyDescent="0.25">
      <c r="A800" s="13">
        <f t="shared" si="17"/>
        <v>25</v>
      </c>
      <c r="K800" s="24"/>
      <c r="L800" s="24"/>
      <c r="O800" s="74"/>
      <c r="P800" s="27"/>
    </row>
    <row r="801" spans="1:16" x14ac:dyDescent="0.25">
      <c r="A801" s="13">
        <f t="shared" si="17"/>
        <v>25</v>
      </c>
      <c r="K801" s="24"/>
      <c r="L801" s="24"/>
      <c r="O801" s="74"/>
      <c r="P801" s="27"/>
    </row>
    <row r="802" spans="1:16" x14ac:dyDescent="0.25">
      <c r="A802" s="13">
        <f t="shared" si="17"/>
        <v>25</v>
      </c>
      <c r="K802" s="24"/>
      <c r="L802" s="24"/>
      <c r="O802" s="74"/>
      <c r="P802" s="27"/>
    </row>
    <row r="803" spans="1:16" x14ac:dyDescent="0.25">
      <c r="A803" s="13">
        <f t="shared" si="17"/>
        <v>25</v>
      </c>
      <c r="K803" s="24"/>
      <c r="L803" s="24"/>
      <c r="O803" s="74"/>
      <c r="P803" s="27"/>
    </row>
    <row r="804" spans="1:16" x14ac:dyDescent="0.25">
      <c r="A804" s="13">
        <f t="shared" si="17"/>
        <v>25</v>
      </c>
      <c r="K804" s="24"/>
      <c r="L804" s="24"/>
      <c r="O804" s="74"/>
      <c r="P804" s="27"/>
    </row>
    <row r="805" spans="1:16" x14ac:dyDescent="0.25">
      <c r="A805" s="13">
        <f t="shared" si="17"/>
        <v>25</v>
      </c>
      <c r="K805" s="24"/>
      <c r="L805" s="24"/>
      <c r="O805" s="74"/>
      <c r="P805" s="27"/>
    </row>
    <row r="806" spans="1:16" x14ac:dyDescent="0.25">
      <c r="A806" s="13">
        <f t="shared" si="17"/>
        <v>25</v>
      </c>
      <c r="K806" s="24"/>
      <c r="L806" s="24"/>
      <c r="O806" s="74"/>
      <c r="P806" s="27"/>
    </row>
    <row r="807" spans="1:16" x14ac:dyDescent="0.25">
      <c r="A807" s="13">
        <f t="shared" si="17"/>
        <v>25</v>
      </c>
      <c r="K807" s="24"/>
      <c r="L807" s="24"/>
      <c r="O807" s="74"/>
      <c r="P807" s="27"/>
    </row>
    <row r="808" spans="1:16" x14ac:dyDescent="0.25">
      <c r="A808" s="13">
        <f t="shared" si="17"/>
        <v>25</v>
      </c>
      <c r="K808" s="24"/>
      <c r="L808" s="24"/>
      <c r="O808" s="74"/>
      <c r="P808" s="27"/>
    </row>
    <row r="809" spans="1:16" x14ac:dyDescent="0.25">
      <c r="A809" s="13">
        <f t="shared" si="17"/>
        <v>25</v>
      </c>
      <c r="K809" s="24"/>
      <c r="L809" s="24"/>
      <c r="O809" s="74"/>
      <c r="P809" s="27"/>
    </row>
    <row r="810" spans="1:16" x14ac:dyDescent="0.25">
      <c r="A810" s="13">
        <f t="shared" si="17"/>
        <v>25</v>
      </c>
      <c r="K810" s="24"/>
      <c r="L810" s="24"/>
      <c r="O810" s="74"/>
      <c r="P810" s="27"/>
    </row>
    <row r="811" spans="1:16" x14ac:dyDescent="0.25">
      <c r="A811" s="13">
        <f t="shared" si="17"/>
        <v>25</v>
      </c>
      <c r="K811" s="24"/>
      <c r="L811" s="24"/>
      <c r="O811" s="74"/>
      <c r="P811" s="27"/>
    </row>
    <row r="812" spans="1:16" x14ac:dyDescent="0.25">
      <c r="A812" s="13">
        <f t="shared" si="17"/>
        <v>25</v>
      </c>
      <c r="K812" s="24"/>
      <c r="L812" s="24"/>
      <c r="O812" s="74"/>
      <c r="P812" s="27"/>
    </row>
    <row r="813" spans="1:16" x14ac:dyDescent="0.25">
      <c r="A813" s="13">
        <f t="shared" si="17"/>
        <v>25</v>
      </c>
      <c r="K813" s="24"/>
      <c r="L813" s="24"/>
      <c r="O813" s="74"/>
      <c r="P813" s="27"/>
    </row>
    <row r="814" spans="1:16" x14ac:dyDescent="0.25">
      <c r="A814" s="13">
        <f t="shared" si="17"/>
        <v>25</v>
      </c>
      <c r="K814" s="24"/>
      <c r="L814" s="24"/>
      <c r="O814" s="74"/>
      <c r="P814" s="27"/>
    </row>
    <row r="815" spans="1:16" x14ac:dyDescent="0.25">
      <c r="A815" s="13">
        <f t="shared" si="17"/>
        <v>25</v>
      </c>
      <c r="K815" s="24"/>
      <c r="L815" s="24"/>
      <c r="O815" s="74"/>
      <c r="P815" s="27"/>
    </row>
    <row r="816" spans="1:16" x14ac:dyDescent="0.25">
      <c r="A816" s="13">
        <f t="shared" si="17"/>
        <v>25</v>
      </c>
      <c r="K816" s="24"/>
      <c r="L816" s="24"/>
      <c r="O816" s="74"/>
      <c r="P816" s="27"/>
    </row>
    <row r="817" spans="1:16" x14ac:dyDescent="0.25">
      <c r="A817" s="13">
        <f t="shared" si="17"/>
        <v>25</v>
      </c>
      <c r="K817" s="24"/>
      <c r="L817" s="24"/>
      <c r="O817" s="74"/>
      <c r="P817" s="27"/>
    </row>
    <row r="818" spans="1:16" x14ac:dyDescent="0.25">
      <c r="A818" s="13">
        <f t="shared" si="17"/>
        <v>25</v>
      </c>
      <c r="K818" s="24"/>
      <c r="L818" s="24"/>
      <c r="O818" s="74"/>
      <c r="P818" s="27"/>
    </row>
    <row r="819" spans="1:16" x14ac:dyDescent="0.25">
      <c r="A819" s="13">
        <f t="shared" si="17"/>
        <v>25</v>
      </c>
      <c r="K819" s="24"/>
      <c r="L819" s="24"/>
      <c r="O819" s="74"/>
      <c r="P819" s="27"/>
    </row>
    <row r="820" spans="1:16" x14ac:dyDescent="0.25">
      <c r="A820" s="13">
        <f t="shared" si="17"/>
        <v>25</v>
      </c>
      <c r="K820" s="24"/>
      <c r="L820" s="24"/>
      <c r="O820" s="74"/>
      <c r="P820" s="27"/>
    </row>
    <row r="821" spans="1:16" x14ac:dyDescent="0.25">
      <c r="A821" s="13">
        <f t="shared" si="17"/>
        <v>25</v>
      </c>
      <c r="K821" s="24"/>
      <c r="L821" s="24"/>
      <c r="O821" s="74"/>
      <c r="P821" s="27"/>
    </row>
    <row r="822" spans="1:16" x14ac:dyDescent="0.25">
      <c r="A822" s="13">
        <f t="shared" si="17"/>
        <v>25</v>
      </c>
      <c r="K822" s="24"/>
      <c r="L822" s="24"/>
      <c r="O822" s="74"/>
      <c r="P822" s="27"/>
    </row>
    <row r="823" spans="1:16" x14ac:dyDescent="0.25">
      <c r="A823" s="13">
        <f t="shared" si="17"/>
        <v>25</v>
      </c>
      <c r="K823" s="24"/>
      <c r="L823" s="24"/>
      <c r="O823" s="74"/>
      <c r="P823" s="27"/>
    </row>
    <row r="824" spans="1:16" x14ac:dyDescent="0.25">
      <c r="A824" s="13">
        <f t="shared" si="17"/>
        <v>25</v>
      </c>
      <c r="K824" s="24"/>
      <c r="L824" s="24"/>
      <c r="O824" s="74"/>
      <c r="P824" s="27"/>
    </row>
    <row r="825" spans="1:16" x14ac:dyDescent="0.25">
      <c r="A825" s="13">
        <f t="shared" si="17"/>
        <v>25</v>
      </c>
      <c r="K825" s="24"/>
      <c r="L825" s="24"/>
      <c r="O825" s="74"/>
      <c r="P825" s="27"/>
    </row>
    <row r="826" spans="1:16" x14ac:dyDescent="0.25">
      <c r="A826" s="13">
        <f t="shared" si="17"/>
        <v>25</v>
      </c>
      <c r="K826" s="24"/>
      <c r="L826" s="24"/>
      <c r="O826" s="74"/>
      <c r="P826" s="27"/>
    </row>
    <row r="827" spans="1:16" x14ac:dyDescent="0.25">
      <c r="A827" s="13">
        <f t="shared" si="17"/>
        <v>25</v>
      </c>
      <c r="K827" s="24"/>
      <c r="L827" s="24"/>
      <c r="O827" s="74"/>
      <c r="P827" s="27"/>
    </row>
    <row r="828" spans="1:16" x14ac:dyDescent="0.25">
      <c r="A828" s="13">
        <f t="shared" si="17"/>
        <v>25</v>
      </c>
      <c r="K828" s="24"/>
      <c r="L828" s="24"/>
      <c r="O828" s="74"/>
      <c r="P828" s="27"/>
    </row>
    <row r="829" spans="1:16" x14ac:dyDescent="0.25">
      <c r="A829" s="13">
        <f t="shared" si="17"/>
        <v>25</v>
      </c>
      <c r="K829" s="24"/>
      <c r="L829" s="24"/>
      <c r="O829" s="74"/>
      <c r="P829" s="27"/>
    </row>
    <row r="830" spans="1:16" x14ac:dyDescent="0.25">
      <c r="A830" s="13">
        <f t="shared" si="17"/>
        <v>25</v>
      </c>
      <c r="K830" s="24"/>
      <c r="L830" s="24"/>
      <c r="O830" s="74"/>
      <c r="P830" s="27"/>
    </row>
    <row r="831" spans="1:16" x14ac:dyDescent="0.25">
      <c r="A831" s="13">
        <f t="shared" si="17"/>
        <v>25</v>
      </c>
      <c r="K831" s="24"/>
      <c r="L831" s="24"/>
      <c r="O831" s="74"/>
      <c r="P831" s="27"/>
    </row>
    <row r="832" spans="1:16" x14ac:dyDescent="0.25">
      <c r="A832" s="13">
        <f t="shared" si="17"/>
        <v>25</v>
      </c>
      <c r="K832" s="24"/>
      <c r="L832" s="24"/>
      <c r="O832" s="74"/>
      <c r="P832" s="27"/>
    </row>
    <row r="833" spans="1:16" x14ac:dyDescent="0.25">
      <c r="A833" s="13">
        <f t="shared" si="17"/>
        <v>25</v>
      </c>
      <c r="K833" s="24"/>
      <c r="L833" s="24"/>
      <c r="O833" s="74"/>
      <c r="P833" s="27"/>
    </row>
    <row r="834" spans="1:16" x14ac:dyDescent="0.25">
      <c r="A834" s="13">
        <f t="shared" si="17"/>
        <v>25</v>
      </c>
      <c r="K834" s="24"/>
      <c r="L834" s="24"/>
      <c r="O834" s="74"/>
      <c r="P834" s="27"/>
    </row>
    <row r="835" spans="1:16" x14ac:dyDescent="0.25">
      <c r="A835" s="13">
        <f t="shared" si="17"/>
        <v>25</v>
      </c>
      <c r="K835" s="24"/>
      <c r="L835" s="24"/>
      <c r="O835" s="74"/>
      <c r="P835" s="27"/>
    </row>
    <row r="836" spans="1:16" x14ac:dyDescent="0.25">
      <c r="A836" s="13">
        <f t="shared" si="17"/>
        <v>25</v>
      </c>
      <c r="K836" s="24"/>
      <c r="L836" s="24"/>
      <c r="O836" s="74"/>
      <c r="P836" s="27"/>
    </row>
    <row r="837" spans="1:16" x14ac:dyDescent="0.25">
      <c r="A837" s="13">
        <f t="shared" ref="A837:A900" si="18">IF(B837=B836,A836,A836+1)</f>
        <v>25</v>
      </c>
      <c r="K837" s="24"/>
      <c r="L837" s="24"/>
      <c r="O837" s="74"/>
      <c r="P837" s="27"/>
    </row>
    <row r="838" spans="1:16" x14ac:dyDescent="0.25">
      <c r="A838" s="13">
        <f t="shared" si="18"/>
        <v>25</v>
      </c>
      <c r="K838" s="24"/>
      <c r="L838" s="24"/>
      <c r="O838" s="74"/>
      <c r="P838" s="27"/>
    </row>
    <row r="839" spans="1:16" x14ac:dyDescent="0.25">
      <c r="A839" s="13">
        <f t="shared" si="18"/>
        <v>25</v>
      </c>
      <c r="K839" s="24"/>
      <c r="L839" s="24"/>
      <c r="O839" s="74"/>
      <c r="P839" s="27"/>
    </row>
    <row r="840" spans="1:16" x14ac:dyDescent="0.25">
      <c r="A840" s="13">
        <f t="shared" si="18"/>
        <v>25</v>
      </c>
      <c r="K840" s="24"/>
      <c r="L840" s="24"/>
      <c r="O840" s="74"/>
      <c r="P840" s="27"/>
    </row>
    <row r="841" spans="1:16" x14ac:dyDescent="0.25">
      <c r="A841" s="13">
        <f t="shared" si="18"/>
        <v>25</v>
      </c>
      <c r="K841" s="24"/>
      <c r="L841" s="24"/>
      <c r="O841" s="74"/>
      <c r="P841" s="27"/>
    </row>
    <row r="842" spans="1:16" x14ac:dyDescent="0.25">
      <c r="A842" s="13">
        <f t="shared" si="18"/>
        <v>25</v>
      </c>
      <c r="K842" s="24"/>
      <c r="L842" s="24"/>
      <c r="O842" s="74"/>
      <c r="P842" s="27"/>
    </row>
    <row r="843" spans="1:16" x14ac:dyDescent="0.25">
      <c r="A843" s="13">
        <f t="shared" si="18"/>
        <v>25</v>
      </c>
      <c r="K843" s="24"/>
      <c r="L843" s="24"/>
      <c r="O843" s="74"/>
      <c r="P843" s="27"/>
    </row>
    <row r="844" spans="1:16" x14ac:dyDescent="0.25">
      <c r="A844" s="13">
        <f t="shared" si="18"/>
        <v>25</v>
      </c>
      <c r="K844" s="24"/>
      <c r="L844" s="24"/>
      <c r="O844" s="74"/>
      <c r="P844" s="27"/>
    </row>
    <row r="845" spans="1:16" x14ac:dyDescent="0.25">
      <c r="A845" s="13">
        <f t="shared" si="18"/>
        <v>25</v>
      </c>
      <c r="K845" s="24"/>
      <c r="L845" s="24"/>
      <c r="O845" s="74"/>
      <c r="P845" s="27"/>
    </row>
    <row r="846" spans="1:16" x14ac:dyDescent="0.25">
      <c r="A846" s="13">
        <f t="shared" si="18"/>
        <v>25</v>
      </c>
      <c r="K846" s="24"/>
      <c r="L846" s="24"/>
      <c r="O846" s="74"/>
      <c r="P846" s="27"/>
    </row>
    <row r="847" spans="1:16" x14ac:dyDescent="0.25">
      <c r="A847" s="13">
        <f t="shared" si="18"/>
        <v>25</v>
      </c>
      <c r="K847" s="24"/>
      <c r="L847" s="24"/>
      <c r="O847" s="74"/>
      <c r="P847" s="27"/>
    </row>
    <row r="848" spans="1:16" x14ac:dyDescent="0.25">
      <c r="A848" s="13">
        <f t="shared" si="18"/>
        <v>25</v>
      </c>
      <c r="K848" s="24"/>
      <c r="L848" s="24"/>
      <c r="O848" s="74"/>
      <c r="P848" s="27"/>
    </row>
    <row r="849" spans="1:16" x14ac:dyDescent="0.25">
      <c r="A849" s="13">
        <f t="shared" si="18"/>
        <v>25</v>
      </c>
      <c r="K849" s="24"/>
      <c r="L849" s="24"/>
      <c r="O849" s="74"/>
      <c r="P849" s="27"/>
    </row>
    <row r="850" spans="1:16" x14ac:dyDescent="0.25">
      <c r="A850" s="13">
        <f t="shared" si="18"/>
        <v>25</v>
      </c>
      <c r="K850" s="24"/>
      <c r="L850" s="24"/>
      <c r="O850" s="74"/>
      <c r="P850" s="27"/>
    </row>
    <row r="851" spans="1:16" x14ac:dyDescent="0.25">
      <c r="A851" s="13">
        <f t="shared" si="18"/>
        <v>25</v>
      </c>
      <c r="K851" s="24"/>
      <c r="L851" s="24"/>
      <c r="O851" s="74"/>
      <c r="P851" s="27"/>
    </row>
    <row r="852" spans="1:16" x14ac:dyDescent="0.25">
      <c r="A852" s="13">
        <f t="shared" si="18"/>
        <v>25</v>
      </c>
      <c r="K852" s="24"/>
      <c r="L852" s="24"/>
      <c r="O852" s="74"/>
      <c r="P852" s="27"/>
    </row>
    <row r="853" spans="1:16" x14ac:dyDescent="0.25">
      <c r="A853" s="13">
        <f t="shared" si="18"/>
        <v>25</v>
      </c>
      <c r="K853" s="24"/>
      <c r="L853" s="24"/>
      <c r="O853" s="74"/>
      <c r="P853" s="27"/>
    </row>
    <row r="854" spans="1:16" x14ac:dyDescent="0.25">
      <c r="A854" s="13">
        <f t="shared" si="18"/>
        <v>25</v>
      </c>
      <c r="K854" s="24"/>
      <c r="L854" s="24"/>
      <c r="O854" s="74"/>
      <c r="P854" s="27"/>
    </row>
    <row r="855" spans="1:16" x14ac:dyDescent="0.25">
      <c r="A855" s="13">
        <f t="shared" si="18"/>
        <v>25</v>
      </c>
      <c r="K855" s="24"/>
      <c r="L855" s="24"/>
      <c r="O855" s="74"/>
      <c r="P855" s="27"/>
    </row>
    <row r="856" spans="1:16" x14ac:dyDescent="0.25">
      <c r="A856" s="13">
        <f t="shared" si="18"/>
        <v>25</v>
      </c>
      <c r="K856" s="24"/>
      <c r="L856" s="24"/>
      <c r="O856" s="74"/>
      <c r="P856" s="27"/>
    </row>
    <row r="857" spans="1:16" x14ac:dyDescent="0.25">
      <c r="A857" s="13">
        <f t="shared" si="18"/>
        <v>25</v>
      </c>
      <c r="K857" s="24"/>
      <c r="L857" s="24"/>
      <c r="O857" s="74"/>
      <c r="P857" s="27"/>
    </row>
    <row r="858" spans="1:16" x14ac:dyDescent="0.25">
      <c r="A858" s="13">
        <f t="shared" si="18"/>
        <v>25</v>
      </c>
      <c r="K858" s="24"/>
      <c r="L858" s="24"/>
      <c r="O858" s="74"/>
      <c r="P858" s="27"/>
    </row>
    <row r="859" spans="1:16" x14ac:dyDescent="0.25">
      <c r="A859" s="13">
        <f t="shared" si="18"/>
        <v>25</v>
      </c>
      <c r="K859" s="24"/>
      <c r="L859" s="24"/>
      <c r="O859" s="74"/>
      <c r="P859" s="27"/>
    </row>
    <row r="860" spans="1:16" x14ac:dyDescent="0.25">
      <c r="A860" s="13">
        <f t="shared" si="18"/>
        <v>25</v>
      </c>
      <c r="K860" s="24"/>
      <c r="L860" s="24"/>
      <c r="O860" s="74"/>
      <c r="P860" s="27"/>
    </row>
    <row r="861" spans="1:16" x14ac:dyDescent="0.25">
      <c r="A861" s="13">
        <f t="shared" si="18"/>
        <v>25</v>
      </c>
      <c r="K861" s="24"/>
      <c r="L861" s="24"/>
      <c r="O861" s="74"/>
      <c r="P861" s="27"/>
    </row>
    <row r="862" spans="1:16" x14ac:dyDescent="0.25">
      <c r="A862" s="13">
        <f t="shared" si="18"/>
        <v>25</v>
      </c>
      <c r="K862" s="24"/>
      <c r="L862" s="24"/>
      <c r="O862" s="74"/>
      <c r="P862" s="27"/>
    </row>
    <row r="863" spans="1:16" x14ac:dyDescent="0.25">
      <c r="A863" s="13">
        <f t="shared" si="18"/>
        <v>25</v>
      </c>
      <c r="K863" s="24"/>
      <c r="L863" s="24"/>
      <c r="O863" s="74"/>
      <c r="P863" s="27"/>
    </row>
    <row r="864" spans="1:16" x14ac:dyDescent="0.25">
      <c r="A864" s="13">
        <f t="shared" si="18"/>
        <v>25</v>
      </c>
      <c r="K864" s="24"/>
      <c r="L864" s="24"/>
      <c r="O864" s="74"/>
      <c r="P864" s="27"/>
    </row>
    <row r="865" spans="1:16" x14ac:dyDescent="0.25">
      <c r="A865" s="13">
        <f t="shared" si="18"/>
        <v>25</v>
      </c>
      <c r="K865" s="24"/>
      <c r="L865" s="24"/>
      <c r="O865" s="74"/>
      <c r="P865" s="27"/>
    </row>
    <row r="866" spans="1:16" x14ac:dyDescent="0.25">
      <c r="A866" s="13">
        <f t="shared" si="18"/>
        <v>25</v>
      </c>
      <c r="K866" s="24"/>
      <c r="L866" s="24"/>
      <c r="O866" s="74"/>
      <c r="P866" s="27"/>
    </row>
    <row r="867" spans="1:16" x14ac:dyDescent="0.25">
      <c r="A867" s="13">
        <f t="shared" si="18"/>
        <v>25</v>
      </c>
      <c r="K867" s="24"/>
      <c r="L867" s="24"/>
      <c r="O867" s="74"/>
      <c r="P867" s="27"/>
    </row>
    <row r="868" spans="1:16" x14ac:dyDescent="0.25">
      <c r="A868" s="13">
        <f t="shared" si="18"/>
        <v>25</v>
      </c>
      <c r="K868" s="24"/>
      <c r="L868" s="24"/>
      <c r="O868" s="74"/>
      <c r="P868" s="27"/>
    </row>
    <row r="869" spans="1:16" x14ac:dyDescent="0.25">
      <c r="A869" s="13">
        <f t="shared" si="18"/>
        <v>25</v>
      </c>
      <c r="K869" s="24"/>
      <c r="L869" s="24"/>
      <c r="O869" s="74"/>
      <c r="P869" s="27"/>
    </row>
    <row r="870" spans="1:16" x14ac:dyDescent="0.25">
      <c r="A870" s="13">
        <f t="shared" si="18"/>
        <v>25</v>
      </c>
      <c r="K870" s="24"/>
      <c r="L870" s="24"/>
      <c r="O870" s="74"/>
      <c r="P870" s="27"/>
    </row>
    <row r="871" spans="1:16" x14ac:dyDescent="0.25">
      <c r="A871" s="13">
        <f t="shared" si="18"/>
        <v>25</v>
      </c>
      <c r="K871" s="24"/>
      <c r="L871" s="24"/>
      <c r="O871" s="74"/>
      <c r="P871" s="27"/>
    </row>
    <row r="872" spans="1:16" x14ac:dyDescent="0.25">
      <c r="A872" s="13">
        <f t="shared" si="18"/>
        <v>25</v>
      </c>
      <c r="K872" s="24"/>
      <c r="L872" s="24"/>
      <c r="O872" s="74"/>
      <c r="P872" s="27"/>
    </row>
    <row r="873" spans="1:16" x14ac:dyDescent="0.25">
      <c r="A873" s="13">
        <f t="shared" si="18"/>
        <v>25</v>
      </c>
      <c r="K873" s="24"/>
      <c r="L873"/>
      <c r="O873" s="74"/>
      <c r="P873" s="27"/>
    </row>
    <row r="874" spans="1:16" x14ac:dyDescent="0.25">
      <c r="A874" s="13">
        <f t="shared" si="18"/>
        <v>25</v>
      </c>
      <c r="K874" s="24"/>
      <c r="L874"/>
      <c r="O874" s="74"/>
      <c r="P874" s="27"/>
    </row>
    <row r="875" spans="1:16" x14ac:dyDescent="0.25">
      <c r="A875" s="13">
        <f t="shared" si="18"/>
        <v>25</v>
      </c>
      <c r="K875" s="24"/>
      <c r="L875"/>
      <c r="O875" s="74"/>
      <c r="P875" s="27"/>
    </row>
    <row r="876" spans="1:16" x14ac:dyDescent="0.25">
      <c r="A876" s="13">
        <f t="shared" si="18"/>
        <v>25</v>
      </c>
      <c r="K876" s="24"/>
      <c r="L876"/>
      <c r="O876" s="74"/>
      <c r="P876" s="27"/>
    </row>
    <row r="877" spans="1:16" x14ac:dyDescent="0.25">
      <c r="A877" s="13">
        <f t="shared" si="18"/>
        <v>25</v>
      </c>
      <c r="K877" s="24"/>
      <c r="L877"/>
      <c r="O877" s="74"/>
      <c r="P877" s="27"/>
    </row>
    <row r="878" spans="1:16" x14ac:dyDescent="0.25">
      <c r="A878" s="13">
        <f t="shared" si="18"/>
        <v>25</v>
      </c>
      <c r="K878" s="24"/>
      <c r="L878"/>
      <c r="O878" s="74"/>
      <c r="P878" s="27"/>
    </row>
    <row r="879" spans="1:16" x14ac:dyDescent="0.25">
      <c r="A879" s="13">
        <f t="shared" si="18"/>
        <v>25</v>
      </c>
      <c r="K879" s="24"/>
      <c r="L879"/>
      <c r="O879" s="74"/>
      <c r="P879" s="27"/>
    </row>
    <row r="880" spans="1:16" x14ac:dyDescent="0.25">
      <c r="A880" s="13">
        <f t="shared" si="18"/>
        <v>25</v>
      </c>
      <c r="K880" s="24"/>
      <c r="L880"/>
      <c r="O880" s="74"/>
      <c r="P880" s="27"/>
    </row>
    <row r="881" spans="1:16" x14ac:dyDescent="0.25">
      <c r="A881" s="13">
        <f t="shared" si="18"/>
        <v>25</v>
      </c>
      <c r="K881" s="24"/>
      <c r="L881"/>
      <c r="O881" s="74"/>
      <c r="P881" s="27"/>
    </row>
    <row r="882" spans="1:16" x14ac:dyDescent="0.25">
      <c r="A882" s="13">
        <f t="shared" si="18"/>
        <v>25</v>
      </c>
      <c r="K882" s="24"/>
      <c r="L882"/>
      <c r="O882" s="74"/>
      <c r="P882" s="27"/>
    </row>
    <row r="883" spans="1:16" x14ac:dyDescent="0.25">
      <c r="A883" s="13">
        <f t="shared" si="18"/>
        <v>25</v>
      </c>
      <c r="K883" s="24"/>
      <c r="L883"/>
      <c r="O883" s="74"/>
      <c r="P883" s="27"/>
    </row>
    <row r="884" spans="1:16" x14ac:dyDescent="0.25">
      <c r="A884" s="13">
        <f t="shared" si="18"/>
        <v>25</v>
      </c>
      <c r="K884" s="24"/>
      <c r="L884"/>
      <c r="O884" s="74"/>
      <c r="P884" s="27"/>
    </row>
    <row r="885" spans="1:16" x14ac:dyDescent="0.25">
      <c r="A885" s="13">
        <f t="shared" si="18"/>
        <v>25</v>
      </c>
      <c r="K885" s="24"/>
      <c r="L885"/>
      <c r="O885" s="74"/>
      <c r="P885" s="27"/>
    </row>
    <row r="886" spans="1:16" x14ac:dyDescent="0.25">
      <c r="A886" s="13">
        <f t="shared" si="18"/>
        <v>25</v>
      </c>
      <c r="K886" s="24"/>
      <c r="L886"/>
      <c r="O886" s="74"/>
      <c r="P886" s="27"/>
    </row>
    <row r="887" spans="1:16" x14ac:dyDescent="0.25">
      <c r="A887" s="13">
        <f t="shared" si="18"/>
        <v>25</v>
      </c>
      <c r="K887" s="24"/>
      <c r="L887"/>
      <c r="O887" s="74"/>
      <c r="P887" s="27"/>
    </row>
    <row r="888" spans="1:16" x14ac:dyDescent="0.25">
      <c r="A888" s="13">
        <f t="shared" si="18"/>
        <v>25</v>
      </c>
      <c r="K888" s="24"/>
      <c r="L888" s="24"/>
      <c r="O888" s="74"/>
      <c r="P888" s="27"/>
    </row>
    <row r="889" spans="1:16" x14ac:dyDescent="0.25">
      <c r="A889" s="13">
        <f t="shared" si="18"/>
        <v>25</v>
      </c>
      <c r="K889" s="24"/>
      <c r="L889" s="24"/>
      <c r="O889" s="74"/>
      <c r="P889" s="27"/>
    </row>
    <row r="890" spans="1:16" x14ac:dyDescent="0.25">
      <c r="A890" s="13">
        <f t="shared" si="18"/>
        <v>25</v>
      </c>
      <c r="K890" s="24"/>
      <c r="L890" s="24"/>
      <c r="O890" s="74"/>
      <c r="P890" s="27"/>
    </row>
    <row r="891" spans="1:16" x14ac:dyDescent="0.25">
      <c r="A891" s="13">
        <f t="shared" si="18"/>
        <v>25</v>
      </c>
      <c r="K891" s="24"/>
      <c r="L891" s="24"/>
      <c r="O891" s="74"/>
      <c r="P891" s="27"/>
    </row>
    <row r="892" spans="1:16" x14ac:dyDescent="0.25">
      <c r="A892" s="13">
        <f t="shared" si="18"/>
        <v>25</v>
      </c>
      <c r="K892" s="24"/>
      <c r="L892" s="24"/>
      <c r="O892" s="74"/>
      <c r="P892" s="27"/>
    </row>
    <row r="893" spans="1:16" x14ac:dyDescent="0.25">
      <c r="A893" s="13">
        <f t="shared" si="18"/>
        <v>25</v>
      </c>
      <c r="K893" s="24"/>
      <c r="L893" s="24"/>
      <c r="O893" s="74"/>
      <c r="P893" s="27"/>
    </row>
    <row r="894" spans="1:16" x14ac:dyDescent="0.25">
      <c r="A894" s="13">
        <f t="shared" si="18"/>
        <v>25</v>
      </c>
      <c r="K894" s="24"/>
      <c r="L894" s="24"/>
      <c r="O894" s="74"/>
      <c r="P894" s="27"/>
    </row>
    <row r="895" spans="1:16" x14ac:dyDescent="0.25">
      <c r="A895" s="13">
        <f t="shared" si="18"/>
        <v>25</v>
      </c>
      <c r="K895" s="24"/>
      <c r="L895" s="24"/>
      <c r="O895" s="74"/>
      <c r="P895" s="27"/>
    </row>
    <row r="896" spans="1:16" x14ac:dyDescent="0.25">
      <c r="A896" s="13">
        <f t="shared" si="18"/>
        <v>25</v>
      </c>
      <c r="K896" s="24"/>
      <c r="L896" s="24"/>
      <c r="O896" s="74"/>
      <c r="P896" s="27"/>
    </row>
    <row r="897" spans="1:16" x14ac:dyDescent="0.25">
      <c r="A897" s="13">
        <f t="shared" si="18"/>
        <v>25</v>
      </c>
      <c r="K897" s="24"/>
      <c r="L897" s="24"/>
      <c r="O897" s="74"/>
      <c r="P897" s="27"/>
    </row>
    <row r="898" spans="1:16" x14ac:dyDescent="0.25">
      <c r="A898" s="13">
        <f t="shared" si="18"/>
        <v>25</v>
      </c>
      <c r="K898" s="24"/>
      <c r="L898" s="24"/>
      <c r="O898" s="74"/>
      <c r="P898" s="27"/>
    </row>
    <row r="899" spans="1:16" x14ac:dyDescent="0.25">
      <c r="A899" s="13">
        <f t="shared" si="18"/>
        <v>25</v>
      </c>
      <c r="K899" s="24"/>
      <c r="L899" s="24"/>
      <c r="O899" s="74"/>
      <c r="P899" s="27"/>
    </row>
    <row r="900" spans="1:16" x14ac:dyDescent="0.25">
      <c r="A900" s="13">
        <f t="shared" si="18"/>
        <v>25</v>
      </c>
      <c r="K900" s="24"/>
      <c r="L900" s="24"/>
      <c r="O900" s="74"/>
      <c r="P900" s="27"/>
    </row>
    <row r="901" spans="1:16" x14ac:dyDescent="0.25">
      <c r="A901" s="13">
        <f t="shared" ref="A901:A964" si="19">IF(B901=B900,A900,A900+1)</f>
        <v>25</v>
      </c>
      <c r="K901" s="24"/>
      <c r="O901" s="27"/>
    </row>
    <row r="902" spans="1:16" x14ac:dyDescent="0.25">
      <c r="A902" s="13">
        <f t="shared" si="19"/>
        <v>25</v>
      </c>
      <c r="K902" s="24"/>
      <c r="O902" s="27"/>
    </row>
    <row r="903" spans="1:16" x14ac:dyDescent="0.25">
      <c r="A903" s="13">
        <f t="shared" si="19"/>
        <v>25</v>
      </c>
      <c r="K903" s="24"/>
      <c r="O903" s="27"/>
    </row>
    <row r="904" spans="1:16" x14ac:dyDescent="0.25">
      <c r="A904" s="13">
        <f t="shared" si="19"/>
        <v>25</v>
      </c>
      <c r="K904" s="24"/>
      <c r="O904" s="27"/>
    </row>
    <row r="905" spans="1:16" x14ac:dyDescent="0.25">
      <c r="A905" s="13">
        <f t="shared" si="19"/>
        <v>25</v>
      </c>
      <c r="K905" s="24"/>
      <c r="O905" s="27"/>
    </row>
    <row r="906" spans="1:16" x14ac:dyDescent="0.25">
      <c r="A906" s="13">
        <f t="shared" si="19"/>
        <v>25</v>
      </c>
      <c r="K906" s="24"/>
      <c r="O906" s="27"/>
    </row>
    <row r="907" spans="1:16" x14ac:dyDescent="0.25">
      <c r="A907" s="13">
        <f t="shared" si="19"/>
        <v>25</v>
      </c>
      <c r="K907" s="24"/>
      <c r="O907" s="27"/>
    </row>
    <row r="908" spans="1:16" x14ac:dyDescent="0.25">
      <c r="A908" s="13">
        <f t="shared" si="19"/>
        <v>25</v>
      </c>
      <c r="K908" s="24"/>
      <c r="O908" s="27"/>
    </row>
    <row r="909" spans="1:16" x14ac:dyDescent="0.25">
      <c r="A909" s="13">
        <f t="shared" si="19"/>
        <v>25</v>
      </c>
      <c r="K909" s="24"/>
      <c r="O909" s="27"/>
    </row>
    <row r="910" spans="1:16" x14ac:dyDescent="0.25">
      <c r="A910" s="13">
        <f t="shared" si="19"/>
        <v>25</v>
      </c>
      <c r="K910" s="24"/>
      <c r="O910" s="27"/>
    </row>
    <row r="911" spans="1:16" x14ac:dyDescent="0.25">
      <c r="A911" s="13">
        <f t="shared" si="19"/>
        <v>25</v>
      </c>
      <c r="K911" s="24"/>
      <c r="O911" s="27"/>
    </row>
    <row r="912" spans="1:16" x14ac:dyDescent="0.25">
      <c r="A912" s="13">
        <f t="shared" si="19"/>
        <v>25</v>
      </c>
      <c r="K912" s="24"/>
      <c r="O912" s="27"/>
    </row>
    <row r="913" spans="1:15" x14ac:dyDescent="0.25">
      <c r="A913" s="13">
        <f t="shared" si="19"/>
        <v>25</v>
      </c>
      <c r="K913" s="24"/>
      <c r="O913" s="27"/>
    </row>
    <row r="914" spans="1:15" x14ac:dyDescent="0.25">
      <c r="A914" s="13">
        <f t="shared" si="19"/>
        <v>25</v>
      </c>
      <c r="K914" s="24"/>
      <c r="O914" s="27"/>
    </row>
    <row r="915" spans="1:15" x14ac:dyDescent="0.25">
      <c r="A915" s="13">
        <f t="shared" si="19"/>
        <v>25</v>
      </c>
      <c r="K915" s="24"/>
      <c r="O915" s="27"/>
    </row>
    <row r="916" spans="1:15" x14ac:dyDescent="0.25">
      <c r="A916" s="13">
        <f t="shared" si="19"/>
        <v>25</v>
      </c>
      <c r="K916" s="24"/>
      <c r="O916" s="27"/>
    </row>
    <row r="917" spans="1:15" x14ac:dyDescent="0.25">
      <c r="A917" s="13">
        <f t="shared" si="19"/>
        <v>25</v>
      </c>
      <c r="K917" s="24"/>
      <c r="O917" s="27"/>
    </row>
    <row r="918" spans="1:15" x14ac:dyDescent="0.25">
      <c r="A918" s="13">
        <f t="shared" si="19"/>
        <v>25</v>
      </c>
      <c r="K918" s="24"/>
      <c r="O918" s="27"/>
    </row>
    <row r="919" spans="1:15" x14ac:dyDescent="0.25">
      <c r="A919" s="13">
        <f t="shared" si="19"/>
        <v>25</v>
      </c>
      <c r="K919" s="24"/>
      <c r="O919" s="27"/>
    </row>
    <row r="920" spans="1:15" x14ac:dyDescent="0.25">
      <c r="A920" s="13">
        <f t="shared" si="19"/>
        <v>25</v>
      </c>
      <c r="K920" s="24"/>
      <c r="O920" s="27"/>
    </row>
    <row r="921" spans="1:15" x14ac:dyDescent="0.25">
      <c r="A921" s="13">
        <f t="shared" si="19"/>
        <v>25</v>
      </c>
      <c r="K921" s="24"/>
      <c r="O921" s="27"/>
    </row>
    <row r="922" spans="1:15" x14ac:dyDescent="0.25">
      <c r="A922" s="13">
        <f t="shared" si="19"/>
        <v>25</v>
      </c>
      <c r="K922" s="24"/>
      <c r="O922" s="27"/>
    </row>
    <row r="923" spans="1:15" x14ac:dyDescent="0.25">
      <c r="A923" s="13">
        <f t="shared" si="19"/>
        <v>25</v>
      </c>
      <c r="K923" s="24"/>
      <c r="O923" s="27"/>
    </row>
    <row r="924" spans="1:15" x14ac:dyDescent="0.25">
      <c r="A924" s="13">
        <f t="shared" si="19"/>
        <v>25</v>
      </c>
      <c r="K924" s="24"/>
      <c r="O924" s="27"/>
    </row>
    <row r="925" spans="1:15" x14ac:dyDescent="0.25">
      <c r="A925" s="13">
        <f t="shared" si="19"/>
        <v>25</v>
      </c>
      <c r="K925" s="24"/>
      <c r="O925" s="27"/>
    </row>
    <row r="926" spans="1:15" x14ac:dyDescent="0.25">
      <c r="A926" s="13">
        <f t="shared" si="19"/>
        <v>25</v>
      </c>
      <c r="K926" s="24"/>
      <c r="O926" s="27"/>
    </row>
    <row r="927" spans="1:15" x14ac:dyDescent="0.25">
      <c r="A927" s="13">
        <f t="shared" si="19"/>
        <v>25</v>
      </c>
      <c r="K927" s="24"/>
      <c r="O927" s="27"/>
    </row>
    <row r="928" spans="1:15" x14ac:dyDescent="0.25">
      <c r="A928" s="13">
        <f t="shared" si="19"/>
        <v>25</v>
      </c>
      <c r="K928" s="24"/>
      <c r="O928" s="27"/>
    </row>
    <row r="929" spans="1:15" x14ac:dyDescent="0.25">
      <c r="A929" s="13">
        <f t="shared" si="19"/>
        <v>25</v>
      </c>
      <c r="K929" s="24"/>
      <c r="O929" s="27"/>
    </row>
    <row r="930" spans="1:15" x14ac:dyDescent="0.25">
      <c r="A930" s="13">
        <f t="shared" si="19"/>
        <v>25</v>
      </c>
      <c r="K930" s="24"/>
      <c r="O930" s="27"/>
    </row>
    <row r="931" spans="1:15" x14ac:dyDescent="0.25">
      <c r="A931" s="13">
        <f t="shared" si="19"/>
        <v>25</v>
      </c>
      <c r="K931" s="24"/>
      <c r="O931" s="27"/>
    </row>
    <row r="932" spans="1:15" x14ac:dyDescent="0.25">
      <c r="A932" s="13">
        <f t="shared" si="19"/>
        <v>25</v>
      </c>
      <c r="K932" s="24"/>
      <c r="O932" s="27"/>
    </row>
    <row r="933" spans="1:15" x14ac:dyDescent="0.25">
      <c r="A933" s="13">
        <f t="shared" si="19"/>
        <v>25</v>
      </c>
      <c r="K933" s="24"/>
      <c r="O933" s="27"/>
    </row>
    <row r="934" spans="1:15" x14ac:dyDescent="0.25">
      <c r="A934" s="13">
        <f t="shared" si="19"/>
        <v>25</v>
      </c>
      <c r="K934" s="24"/>
      <c r="O934" s="27"/>
    </row>
    <row r="935" spans="1:15" x14ac:dyDescent="0.25">
      <c r="A935" s="13">
        <f t="shared" si="19"/>
        <v>25</v>
      </c>
      <c r="K935" s="24"/>
      <c r="O935" s="27"/>
    </row>
    <row r="936" spans="1:15" x14ac:dyDescent="0.25">
      <c r="A936" s="13">
        <f t="shared" si="19"/>
        <v>25</v>
      </c>
      <c r="K936" s="24"/>
      <c r="O936" s="27"/>
    </row>
    <row r="937" spans="1:15" x14ac:dyDescent="0.25">
      <c r="A937" s="13">
        <f t="shared" si="19"/>
        <v>25</v>
      </c>
      <c r="K937" s="24"/>
      <c r="O937" s="27"/>
    </row>
    <row r="938" spans="1:15" x14ac:dyDescent="0.25">
      <c r="A938" s="13">
        <f t="shared" si="19"/>
        <v>25</v>
      </c>
      <c r="K938" s="24"/>
      <c r="O938" s="27"/>
    </row>
    <row r="939" spans="1:15" x14ac:dyDescent="0.25">
      <c r="A939" s="13">
        <f t="shared" si="19"/>
        <v>25</v>
      </c>
      <c r="K939" s="24"/>
      <c r="O939" s="27"/>
    </row>
    <row r="940" spans="1:15" x14ac:dyDescent="0.25">
      <c r="A940" s="13">
        <f t="shared" si="19"/>
        <v>25</v>
      </c>
      <c r="K940" s="24"/>
      <c r="O940" s="27"/>
    </row>
    <row r="941" spans="1:15" x14ac:dyDescent="0.25">
      <c r="A941" s="13">
        <f t="shared" si="19"/>
        <v>25</v>
      </c>
      <c r="K941" s="24"/>
      <c r="O941" s="27"/>
    </row>
    <row r="942" spans="1:15" x14ac:dyDescent="0.25">
      <c r="A942" s="13">
        <f t="shared" si="19"/>
        <v>25</v>
      </c>
      <c r="K942" s="24"/>
      <c r="O942" s="27"/>
    </row>
    <row r="943" spans="1:15" x14ac:dyDescent="0.25">
      <c r="A943" s="13">
        <f t="shared" si="19"/>
        <v>25</v>
      </c>
      <c r="K943" s="24"/>
      <c r="O943" s="27"/>
    </row>
    <row r="944" spans="1:15" x14ac:dyDescent="0.25">
      <c r="A944" s="13">
        <f t="shared" si="19"/>
        <v>25</v>
      </c>
      <c r="K944" s="24"/>
      <c r="O944" s="27"/>
    </row>
    <row r="945" spans="1:15" x14ac:dyDescent="0.25">
      <c r="A945" s="13">
        <f t="shared" si="19"/>
        <v>25</v>
      </c>
      <c r="K945" s="24"/>
      <c r="O945" s="27"/>
    </row>
    <row r="946" spans="1:15" x14ac:dyDescent="0.25">
      <c r="A946" s="13">
        <f t="shared" si="19"/>
        <v>25</v>
      </c>
      <c r="K946" s="24"/>
      <c r="O946" s="27"/>
    </row>
    <row r="947" spans="1:15" x14ac:dyDescent="0.25">
      <c r="A947" s="13">
        <f t="shared" si="19"/>
        <v>25</v>
      </c>
      <c r="K947" s="24"/>
      <c r="O947" s="27"/>
    </row>
    <row r="948" spans="1:15" x14ac:dyDescent="0.25">
      <c r="A948" s="13">
        <f t="shared" si="19"/>
        <v>25</v>
      </c>
      <c r="K948" s="24"/>
      <c r="O948" s="27"/>
    </row>
    <row r="949" spans="1:15" x14ac:dyDescent="0.25">
      <c r="A949" s="13">
        <f t="shared" si="19"/>
        <v>25</v>
      </c>
      <c r="K949" s="24"/>
      <c r="O949" s="27"/>
    </row>
    <row r="950" spans="1:15" x14ac:dyDescent="0.25">
      <c r="A950" s="13">
        <f t="shared" si="19"/>
        <v>25</v>
      </c>
      <c r="K950" s="24"/>
      <c r="O950" s="27"/>
    </row>
    <row r="951" spans="1:15" x14ac:dyDescent="0.25">
      <c r="A951" s="13">
        <f t="shared" si="19"/>
        <v>25</v>
      </c>
      <c r="K951" s="24"/>
      <c r="O951" s="27"/>
    </row>
    <row r="952" spans="1:15" x14ac:dyDescent="0.25">
      <c r="A952" s="13">
        <f t="shared" si="19"/>
        <v>25</v>
      </c>
      <c r="K952" s="24"/>
      <c r="O952" s="27"/>
    </row>
    <row r="953" spans="1:15" x14ac:dyDescent="0.25">
      <c r="A953" s="13">
        <f t="shared" si="19"/>
        <v>25</v>
      </c>
      <c r="K953" s="24"/>
      <c r="O953" s="27"/>
    </row>
    <row r="954" spans="1:15" x14ac:dyDescent="0.25">
      <c r="A954" s="13">
        <f t="shared" si="19"/>
        <v>25</v>
      </c>
      <c r="K954" s="24"/>
      <c r="O954" s="27"/>
    </row>
    <row r="955" spans="1:15" x14ac:dyDescent="0.25">
      <c r="A955" s="13">
        <f t="shared" si="19"/>
        <v>25</v>
      </c>
      <c r="K955" s="24"/>
      <c r="O955" s="27"/>
    </row>
    <row r="956" spans="1:15" x14ac:dyDescent="0.25">
      <c r="A956" s="13">
        <f t="shared" si="19"/>
        <v>25</v>
      </c>
      <c r="K956" s="24"/>
      <c r="O956" s="27"/>
    </row>
    <row r="957" spans="1:15" x14ac:dyDescent="0.25">
      <c r="A957" s="13">
        <f t="shared" si="19"/>
        <v>25</v>
      </c>
      <c r="K957" s="24"/>
      <c r="O957" s="27"/>
    </row>
    <row r="958" spans="1:15" x14ac:dyDescent="0.25">
      <c r="A958" s="13">
        <f t="shared" si="19"/>
        <v>25</v>
      </c>
      <c r="K958" s="24"/>
      <c r="O958" s="27"/>
    </row>
    <row r="959" spans="1:15" x14ac:dyDescent="0.25">
      <c r="A959" s="13">
        <f t="shared" si="19"/>
        <v>25</v>
      </c>
      <c r="K959" s="24"/>
      <c r="O959" s="27"/>
    </row>
    <row r="960" spans="1:15" x14ac:dyDescent="0.25">
      <c r="A960" s="13">
        <f t="shared" si="19"/>
        <v>25</v>
      </c>
      <c r="K960" s="24"/>
      <c r="O960" s="27"/>
    </row>
    <row r="961" spans="1:15" x14ac:dyDescent="0.25">
      <c r="A961" s="13">
        <f t="shared" si="19"/>
        <v>25</v>
      </c>
      <c r="K961" s="24"/>
      <c r="O961" s="27"/>
    </row>
    <row r="962" spans="1:15" x14ac:dyDescent="0.25">
      <c r="A962" s="13">
        <f t="shared" si="19"/>
        <v>25</v>
      </c>
      <c r="K962" s="24"/>
      <c r="O962" s="27"/>
    </row>
    <row r="963" spans="1:15" x14ac:dyDescent="0.25">
      <c r="A963" s="13">
        <f t="shared" si="19"/>
        <v>25</v>
      </c>
      <c r="K963" s="24"/>
      <c r="O963" s="27"/>
    </row>
    <row r="964" spans="1:15" x14ac:dyDescent="0.25">
      <c r="A964" s="13">
        <f t="shared" si="19"/>
        <v>25</v>
      </c>
      <c r="K964" s="24"/>
      <c r="O964" s="27"/>
    </row>
    <row r="965" spans="1:15" x14ac:dyDescent="0.25">
      <c r="A965" s="13">
        <f t="shared" ref="A965:A1028" si="20">IF(B965=B964,A964,A964+1)</f>
        <v>25</v>
      </c>
      <c r="K965" s="24"/>
      <c r="O965" s="27"/>
    </row>
    <row r="966" spans="1:15" x14ac:dyDescent="0.25">
      <c r="A966" s="13">
        <f t="shared" si="20"/>
        <v>25</v>
      </c>
      <c r="K966" s="24"/>
      <c r="O966" s="27"/>
    </row>
    <row r="967" spans="1:15" x14ac:dyDescent="0.25">
      <c r="A967" s="13">
        <f t="shared" si="20"/>
        <v>25</v>
      </c>
      <c r="K967" s="24"/>
      <c r="O967" s="27"/>
    </row>
    <row r="968" spans="1:15" x14ac:dyDescent="0.25">
      <c r="A968" s="13">
        <f t="shared" si="20"/>
        <v>25</v>
      </c>
      <c r="K968" s="24"/>
      <c r="O968" s="27"/>
    </row>
    <row r="969" spans="1:15" x14ac:dyDescent="0.25">
      <c r="A969" s="13">
        <f t="shared" si="20"/>
        <v>25</v>
      </c>
      <c r="K969" s="24"/>
      <c r="O969" s="27"/>
    </row>
    <row r="970" spans="1:15" x14ac:dyDescent="0.25">
      <c r="A970" s="13">
        <f t="shared" si="20"/>
        <v>25</v>
      </c>
      <c r="K970" s="24"/>
      <c r="O970" s="27"/>
    </row>
    <row r="971" spans="1:15" x14ac:dyDescent="0.25">
      <c r="A971" s="13">
        <f t="shared" si="20"/>
        <v>25</v>
      </c>
      <c r="K971" s="24"/>
      <c r="O971" s="27"/>
    </row>
    <row r="972" spans="1:15" x14ac:dyDescent="0.25">
      <c r="A972" s="13">
        <f t="shared" si="20"/>
        <v>25</v>
      </c>
      <c r="K972" s="24"/>
      <c r="O972" s="27"/>
    </row>
    <row r="973" spans="1:15" x14ac:dyDescent="0.25">
      <c r="A973" s="13">
        <f t="shared" si="20"/>
        <v>25</v>
      </c>
      <c r="K973" s="24"/>
      <c r="O973" s="27"/>
    </row>
    <row r="974" spans="1:15" x14ac:dyDescent="0.25">
      <c r="A974" s="13">
        <f t="shared" si="20"/>
        <v>25</v>
      </c>
      <c r="K974" s="24"/>
      <c r="O974" s="27"/>
    </row>
    <row r="975" spans="1:15" x14ac:dyDescent="0.25">
      <c r="A975" s="13">
        <f t="shared" si="20"/>
        <v>25</v>
      </c>
      <c r="K975" s="24"/>
      <c r="O975" s="27"/>
    </row>
    <row r="976" spans="1:15" x14ac:dyDescent="0.25">
      <c r="A976" s="13">
        <f t="shared" si="20"/>
        <v>25</v>
      </c>
      <c r="K976" s="24"/>
      <c r="O976" s="27"/>
    </row>
    <row r="977" spans="1:15" x14ac:dyDescent="0.25">
      <c r="A977" s="13">
        <f t="shared" si="20"/>
        <v>25</v>
      </c>
      <c r="K977" s="24"/>
      <c r="O977" s="27"/>
    </row>
    <row r="978" spans="1:15" x14ac:dyDescent="0.25">
      <c r="A978" s="13">
        <f t="shared" si="20"/>
        <v>25</v>
      </c>
      <c r="K978" s="24"/>
      <c r="O978" s="27"/>
    </row>
    <row r="979" spans="1:15" x14ac:dyDescent="0.25">
      <c r="A979" s="13">
        <f t="shared" si="20"/>
        <v>25</v>
      </c>
      <c r="K979" s="24"/>
      <c r="O979" s="27"/>
    </row>
    <row r="980" spans="1:15" x14ac:dyDescent="0.25">
      <c r="A980" s="13">
        <f t="shared" si="20"/>
        <v>25</v>
      </c>
      <c r="K980" s="24"/>
      <c r="O980" s="27"/>
    </row>
    <row r="981" spans="1:15" x14ac:dyDescent="0.25">
      <c r="A981" s="13">
        <f t="shared" si="20"/>
        <v>25</v>
      </c>
      <c r="K981" s="24"/>
      <c r="O981" s="27"/>
    </row>
    <row r="982" spans="1:15" x14ac:dyDescent="0.25">
      <c r="A982" s="13">
        <f t="shared" si="20"/>
        <v>25</v>
      </c>
      <c r="K982" s="24"/>
      <c r="O982" s="27"/>
    </row>
    <row r="983" spans="1:15" x14ac:dyDescent="0.25">
      <c r="A983" s="13">
        <f t="shared" si="20"/>
        <v>25</v>
      </c>
      <c r="K983" s="24"/>
      <c r="O983" s="27"/>
    </row>
    <row r="984" spans="1:15" x14ac:dyDescent="0.25">
      <c r="A984" s="13">
        <f t="shared" si="20"/>
        <v>25</v>
      </c>
      <c r="K984" s="24"/>
      <c r="O984" s="27"/>
    </row>
    <row r="985" spans="1:15" x14ac:dyDescent="0.25">
      <c r="A985" s="13">
        <f t="shared" si="20"/>
        <v>25</v>
      </c>
      <c r="K985" s="24"/>
      <c r="O985" s="27"/>
    </row>
    <row r="986" spans="1:15" x14ac:dyDescent="0.25">
      <c r="A986" s="13">
        <f t="shared" si="20"/>
        <v>25</v>
      </c>
      <c r="K986" s="24"/>
      <c r="O986" s="27"/>
    </row>
    <row r="987" spans="1:15" x14ac:dyDescent="0.25">
      <c r="A987" s="13">
        <f t="shared" si="20"/>
        <v>25</v>
      </c>
      <c r="K987" s="24"/>
      <c r="O987" s="27"/>
    </row>
    <row r="988" spans="1:15" x14ac:dyDescent="0.25">
      <c r="A988" s="13">
        <f t="shared" si="20"/>
        <v>25</v>
      </c>
      <c r="K988" s="24"/>
      <c r="O988" s="27"/>
    </row>
    <row r="989" spans="1:15" x14ac:dyDescent="0.25">
      <c r="A989" s="13">
        <f t="shared" si="20"/>
        <v>25</v>
      </c>
      <c r="K989" s="24"/>
      <c r="O989" s="27"/>
    </row>
    <row r="990" spans="1:15" x14ac:dyDescent="0.25">
      <c r="A990" s="13">
        <f t="shared" si="20"/>
        <v>25</v>
      </c>
      <c r="K990" s="24"/>
      <c r="O990" s="27"/>
    </row>
    <row r="991" spans="1:15" x14ac:dyDescent="0.25">
      <c r="A991" s="13">
        <f t="shared" si="20"/>
        <v>25</v>
      </c>
      <c r="K991" s="24"/>
      <c r="O991" s="27"/>
    </row>
    <row r="992" spans="1:15" x14ac:dyDescent="0.25">
      <c r="A992" s="13">
        <f t="shared" si="20"/>
        <v>25</v>
      </c>
      <c r="K992" s="24"/>
      <c r="O992" s="27"/>
    </row>
    <row r="993" spans="1:15" x14ac:dyDescent="0.25">
      <c r="A993" s="13">
        <f t="shared" si="20"/>
        <v>25</v>
      </c>
      <c r="K993" s="24"/>
      <c r="O993" s="27"/>
    </row>
    <row r="994" spans="1:15" x14ac:dyDescent="0.25">
      <c r="A994" s="13">
        <f t="shared" si="20"/>
        <v>25</v>
      </c>
      <c r="K994" s="24"/>
      <c r="O994" s="27"/>
    </row>
    <row r="995" spans="1:15" x14ac:dyDescent="0.25">
      <c r="A995" s="13">
        <f t="shared" si="20"/>
        <v>25</v>
      </c>
      <c r="K995" s="24"/>
      <c r="O995" s="27"/>
    </row>
    <row r="996" spans="1:15" x14ac:dyDescent="0.25">
      <c r="A996" s="13">
        <f t="shared" si="20"/>
        <v>25</v>
      </c>
      <c r="K996" s="24"/>
      <c r="O996" s="27"/>
    </row>
    <row r="997" spans="1:15" x14ac:dyDescent="0.25">
      <c r="A997" s="13">
        <f t="shared" si="20"/>
        <v>25</v>
      </c>
      <c r="K997" s="24"/>
      <c r="O997" s="27"/>
    </row>
    <row r="998" spans="1:15" x14ac:dyDescent="0.25">
      <c r="A998" s="13">
        <f t="shared" si="20"/>
        <v>25</v>
      </c>
      <c r="K998" s="24"/>
      <c r="O998" s="27"/>
    </row>
    <row r="999" spans="1:15" x14ac:dyDescent="0.25">
      <c r="A999" s="13">
        <f t="shared" si="20"/>
        <v>25</v>
      </c>
      <c r="K999" s="24"/>
      <c r="O999" s="27"/>
    </row>
    <row r="1000" spans="1:15" x14ac:dyDescent="0.25">
      <c r="A1000" s="13">
        <f t="shared" si="20"/>
        <v>25</v>
      </c>
      <c r="K1000" s="24"/>
      <c r="O1000" s="27"/>
    </row>
    <row r="1001" spans="1:15" x14ac:dyDescent="0.25">
      <c r="A1001" s="13">
        <f t="shared" si="20"/>
        <v>25</v>
      </c>
      <c r="K1001" s="24"/>
      <c r="O1001" s="27"/>
    </row>
    <row r="1002" spans="1:15" x14ac:dyDescent="0.25">
      <c r="A1002" s="13">
        <f t="shared" si="20"/>
        <v>25</v>
      </c>
      <c r="K1002" s="24"/>
      <c r="O1002" s="27"/>
    </row>
    <row r="1003" spans="1:15" x14ac:dyDescent="0.25">
      <c r="A1003" s="13">
        <f t="shared" si="20"/>
        <v>25</v>
      </c>
      <c r="K1003" s="24"/>
      <c r="O1003" s="27"/>
    </row>
    <row r="1004" spans="1:15" x14ac:dyDescent="0.25">
      <c r="A1004" s="13">
        <f t="shared" si="20"/>
        <v>25</v>
      </c>
      <c r="K1004" s="24"/>
      <c r="O1004" s="27"/>
    </row>
    <row r="1005" spans="1:15" x14ac:dyDescent="0.25">
      <c r="A1005" s="13">
        <f t="shared" si="20"/>
        <v>25</v>
      </c>
      <c r="K1005" s="24"/>
      <c r="O1005" s="27"/>
    </row>
    <row r="1006" spans="1:15" x14ac:dyDescent="0.25">
      <c r="A1006" s="13">
        <f t="shared" si="20"/>
        <v>25</v>
      </c>
      <c r="K1006" s="24"/>
      <c r="O1006" s="27"/>
    </row>
    <row r="1007" spans="1:15" x14ac:dyDescent="0.25">
      <c r="A1007" s="13">
        <f t="shared" si="20"/>
        <v>25</v>
      </c>
      <c r="K1007" s="24"/>
      <c r="O1007" s="27"/>
    </row>
    <row r="1008" spans="1:15" x14ac:dyDescent="0.25">
      <c r="A1008" s="13">
        <f t="shared" si="20"/>
        <v>25</v>
      </c>
      <c r="K1008" s="24"/>
      <c r="O1008" s="27"/>
    </row>
    <row r="1009" spans="1:15" x14ac:dyDescent="0.25">
      <c r="A1009" s="13">
        <f t="shared" si="20"/>
        <v>25</v>
      </c>
      <c r="K1009" s="24"/>
      <c r="O1009" s="27"/>
    </row>
    <row r="1010" spans="1:15" x14ac:dyDescent="0.25">
      <c r="A1010" s="13">
        <f t="shared" si="20"/>
        <v>25</v>
      </c>
      <c r="K1010" s="24"/>
      <c r="O1010" s="27"/>
    </row>
    <row r="1011" spans="1:15" x14ac:dyDescent="0.25">
      <c r="A1011" s="13">
        <f t="shared" si="20"/>
        <v>25</v>
      </c>
      <c r="K1011" s="24"/>
      <c r="O1011" s="27"/>
    </row>
    <row r="1012" spans="1:15" x14ac:dyDescent="0.25">
      <c r="A1012" s="13">
        <f t="shared" si="20"/>
        <v>25</v>
      </c>
      <c r="K1012" s="24"/>
      <c r="O1012" s="27"/>
    </row>
    <row r="1013" spans="1:15" x14ac:dyDescent="0.25">
      <c r="A1013" s="13">
        <f t="shared" si="20"/>
        <v>25</v>
      </c>
      <c r="K1013" s="24"/>
      <c r="O1013" s="27"/>
    </row>
    <row r="1014" spans="1:15" x14ac:dyDescent="0.25">
      <c r="A1014" s="13">
        <f t="shared" si="20"/>
        <v>25</v>
      </c>
      <c r="K1014" s="24"/>
      <c r="O1014" s="27"/>
    </row>
    <row r="1015" spans="1:15" x14ac:dyDescent="0.25">
      <c r="A1015" s="13">
        <f t="shared" si="20"/>
        <v>25</v>
      </c>
      <c r="K1015" s="24"/>
      <c r="O1015" s="27"/>
    </row>
    <row r="1016" spans="1:15" x14ac:dyDescent="0.25">
      <c r="A1016" s="13">
        <f t="shared" si="20"/>
        <v>25</v>
      </c>
      <c r="K1016" s="24"/>
      <c r="O1016" s="27"/>
    </row>
    <row r="1017" spans="1:15" x14ac:dyDescent="0.25">
      <c r="A1017" s="13">
        <f t="shared" si="20"/>
        <v>25</v>
      </c>
      <c r="K1017" s="24"/>
      <c r="O1017" s="27"/>
    </row>
    <row r="1018" spans="1:15" x14ac:dyDescent="0.25">
      <c r="A1018" s="13">
        <f t="shared" si="20"/>
        <v>25</v>
      </c>
      <c r="K1018" s="24"/>
      <c r="O1018" s="27"/>
    </row>
    <row r="1019" spans="1:15" x14ac:dyDescent="0.25">
      <c r="A1019" s="13">
        <f t="shared" si="20"/>
        <v>25</v>
      </c>
      <c r="K1019" s="24"/>
      <c r="O1019" s="27"/>
    </row>
    <row r="1020" spans="1:15" x14ac:dyDescent="0.25">
      <c r="A1020" s="13">
        <f t="shared" si="20"/>
        <v>25</v>
      </c>
      <c r="K1020" s="24"/>
      <c r="O1020" s="27"/>
    </row>
    <row r="1021" spans="1:15" x14ac:dyDescent="0.25">
      <c r="A1021" s="13">
        <f t="shared" si="20"/>
        <v>25</v>
      </c>
      <c r="K1021" s="24"/>
      <c r="O1021" s="27"/>
    </row>
    <row r="1022" spans="1:15" x14ac:dyDescent="0.25">
      <c r="A1022" s="13">
        <f t="shared" si="20"/>
        <v>25</v>
      </c>
      <c r="K1022" s="24"/>
      <c r="O1022" s="27"/>
    </row>
    <row r="1023" spans="1:15" x14ac:dyDescent="0.25">
      <c r="A1023" s="13">
        <f t="shared" si="20"/>
        <v>25</v>
      </c>
      <c r="O1023" s="27"/>
    </row>
    <row r="1024" spans="1:15" x14ac:dyDescent="0.25">
      <c r="A1024" s="13">
        <f t="shared" si="20"/>
        <v>25</v>
      </c>
      <c r="O1024" s="27"/>
    </row>
    <row r="1025" spans="1:15" x14ac:dyDescent="0.25">
      <c r="A1025" s="13">
        <f t="shared" si="20"/>
        <v>25</v>
      </c>
      <c r="O1025" s="27"/>
    </row>
    <row r="1026" spans="1:15" x14ac:dyDescent="0.25">
      <c r="A1026" s="13">
        <f t="shared" si="20"/>
        <v>25</v>
      </c>
      <c r="O1026" s="27"/>
    </row>
    <row r="1027" spans="1:15" x14ac:dyDescent="0.25">
      <c r="A1027" s="13">
        <f t="shared" si="20"/>
        <v>25</v>
      </c>
      <c r="O1027" s="27"/>
    </row>
    <row r="1028" spans="1:15" x14ac:dyDescent="0.25">
      <c r="A1028" s="13">
        <f t="shared" si="20"/>
        <v>25</v>
      </c>
      <c r="O1028" s="27"/>
    </row>
    <row r="1029" spans="1:15" x14ac:dyDescent="0.25">
      <c r="A1029" s="13">
        <f t="shared" ref="A1029:A1092" si="21">IF(B1029=B1028,A1028,A1028+1)</f>
        <v>25</v>
      </c>
      <c r="O1029" s="27"/>
    </row>
    <row r="1030" spans="1:15" x14ac:dyDescent="0.25">
      <c r="A1030" s="13">
        <f t="shared" si="21"/>
        <v>25</v>
      </c>
      <c r="O1030" s="27"/>
    </row>
    <row r="1031" spans="1:15" x14ac:dyDescent="0.25">
      <c r="A1031" s="13">
        <f t="shared" si="21"/>
        <v>25</v>
      </c>
      <c r="O1031" s="27"/>
    </row>
    <row r="1032" spans="1:15" x14ac:dyDescent="0.25">
      <c r="A1032" s="13">
        <f t="shared" si="21"/>
        <v>25</v>
      </c>
      <c r="O1032" s="27"/>
    </row>
    <row r="1033" spans="1:15" x14ac:dyDescent="0.25">
      <c r="A1033" s="13">
        <f t="shared" si="21"/>
        <v>25</v>
      </c>
      <c r="O1033" s="27"/>
    </row>
    <row r="1034" spans="1:15" x14ac:dyDescent="0.25">
      <c r="A1034" s="13">
        <f t="shared" si="21"/>
        <v>25</v>
      </c>
      <c r="O1034" s="27"/>
    </row>
    <row r="1035" spans="1:15" x14ac:dyDescent="0.25">
      <c r="A1035" s="13">
        <f t="shared" si="21"/>
        <v>25</v>
      </c>
      <c r="O1035" s="27"/>
    </row>
    <row r="1036" spans="1:15" x14ac:dyDescent="0.25">
      <c r="A1036" s="13">
        <f t="shared" si="21"/>
        <v>25</v>
      </c>
      <c r="O1036" s="27"/>
    </row>
    <row r="1037" spans="1:15" x14ac:dyDescent="0.25">
      <c r="A1037" s="13">
        <f t="shared" si="21"/>
        <v>25</v>
      </c>
      <c r="O1037" s="27"/>
    </row>
    <row r="1038" spans="1:15" x14ac:dyDescent="0.25">
      <c r="A1038" s="13">
        <f t="shared" si="21"/>
        <v>25</v>
      </c>
      <c r="O1038" s="27"/>
    </row>
    <row r="1039" spans="1:15" x14ac:dyDescent="0.25">
      <c r="A1039" s="13">
        <f t="shared" si="21"/>
        <v>25</v>
      </c>
      <c r="O1039" s="27"/>
    </row>
    <row r="1040" spans="1:15" x14ac:dyDescent="0.25">
      <c r="A1040" s="13">
        <f t="shared" si="21"/>
        <v>25</v>
      </c>
      <c r="O1040" s="27"/>
    </row>
    <row r="1041" spans="1:15" x14ac:dyDescent="0.25">
      <c r="A1041" s="13">
        <f t="shared" si="21"/>
        <v>25</v>
      </c>
      <c r="O1041" s="27"/>
    </row>
    <row r="1042" spans="1:15" x14ac:dyDescent="0.25">
      <c r="A1042" s="13">
        <f t="shared" si="21"/>
        <v>25</v>
      </c>
      <c r="O1042" s="27"/>
    </row>
    <row r="1043" spans="1:15" x14ac:dyDescent="0.25">
      <c r="A1043" s="13">
        <f t="shared" si="21"/>
        <v>25</v>
      </c>
      <c r="O1043" s="27"/>
    </row>
    <row r="1044" spans="1:15" x14ac:dyDescent="0.25">
      <c r="A1044" s="13">
        <f t="shared" si="21"/>
        <v>25</v>
      </c>
      <c r="O1044" s="27"/>
    </row>
    <row r="1045" spans="1:15" x14ac:dyDescent="0.25">
      <c r="A1045" s="13">
        <f t="shared" si="21"/>
        <v>25</v>
      </c>
      <c r="O1045" s="27"/>
    </row>
    <row r="1046" spans="1:15" x14ac:dyDescent="0.25">
      <c r="A1046" s="13">
        <f t="shared" si="21"/>
        <v>25</v>
      </c>
      <c r="O1046" s="27"/>
    </row>
    <row r="1047" spans="1:15" x14ac:dyDescent="0.25">
      <c r="A1047" s="13">
        <f t="shared" si="21"/>
        <v>25</v>
      </c>
      <c r="O1047" s="27"/>
    </row>
    <row r="1048" spans="1:15" x14ac:dyDescent="0.25">
      <c r="A1048" s="13">
        <f t="shared" si="21"/>
        <v>25</v>
      </c>
      <c r="O1048" s="27"/>
    </row>
    <row r="1049" spans="1:15" x14ac:dyDescent="0.25">
      <c r="A1049" s="13">
        <f t="shared" si="21"/>
        <v>25</v>
      </c>
      <c r="O1049" s="27"/>
    </row>
    <row r="1050" spans="1:15" x14ac:dyDescent="0.25">
      <c r="A1050" s="13">
        <f t="shared" si="21"/>
        <v>25</v>
      </c>
      <c r="O1050" s="27"/>
    </row>
    <row r="1051" spans="1:15" x14ac:dyDescent="0.25">
      <c r="A1051" s="13">
        <f t="shared" si="21"/>
        <v>25</v>
      </c>
      <c r="O1051" s="27"/>
    </row>
    <row r="1052" spans="1:15" x14ac:dyDescent="0.25">
      <c r="A1052" s="13">
        <f t="shared" si="21"/>
        <v>25</v>
      </c>
      <c r="O1052" s="27"/>
    </row>
    <row r="1053" spans="1:15" x14ac:dyDescent="0.25">
      <c r="A1053" s="13">
        <f t="shared" si="21"/>
        <v>25</v>
      </c>
      <c r="O1053" s="27"/>
    </row>
    <row r="1054" spans="1:15" x14ac:dyDescent="0.25">
      <c r="A1054" s="13">
        <f t="shared" si="21"/>
        <v>25</v>
      </c>
      <c r="O1054" s="27"/>
    </row>
    <row r="1055" spans="1:15" x14ac:dyDescent="0.25">
      <c r="A1055" s="13">
        <f t="shared" si="21"/>
        <v>25</v>
      </c>
      <c r="O1055" s="27"/>
    </row>
    <row r="1056" spans="1:15" x14ac:dyDescent="0.25">
      <c r="A1056" s="13">
        <f t="shared" si="21"/>
        <v>25</v>
      </c>
      <c r="O1056" s="27"/>
    </row>
    <row r="1057" spans="1:15" x14ac:dyDescent="0.25">
      <c r="A1057" s="13">
        <f t="shared" si="21"/>
        <v>25</v>
      </c>
      <c r="O1057" s="27"/>
    </row>
    <row r="1058" spans="1:15" x14ac:dyDescent="0.25">
      <c r="A1058" s="13">
        <f t="shared" si="21"/>
        <v>25</v>
      </c>
      <c r="O1058" s="27"/>
    </row>
    <row r="1059" spans="1:15" x14ac:dyDescent="0.25">
      <c r="A1059" s="13">
        <f t="shared" si="21"/>
        <v>25</v>
      </c>
      <c r="O1059" s="27"/>
    </row>
    <row r="1060" spans="1:15" x14ac:dyDescent="0.25">
      <c r="A1060" s="13">
        <f t="shared" si="21"/>
        <v>25</v>
      </c>
      <c r="O1060" s="27"/>
    </row>
    <row r="1061" spans="1:15" x14ac:dyDescent="0.25">
      <c r="A1061" s="13">
        <f t="shared" si="21"/>
        <v>25</v>
      </c>
      <c r="O1061" s="27"/>
    </row>
    <row r="1062" spans="1:15" x14ac:dyDescent="0.25">
      <c r="A1062" s="13">
        <f t="shared" si="21"/>
        <v>25</v>
      </c>
      <c r="O1062" s="27"/>
    </row>
    <row r="1063" spans="1:15" x14ac:dyDescent="0.25">
      <c r="A1063" s="13">
        <f t="shared" si="21"/>
        <v>25</v>
      </c>
      <c r="O1063" s="27"/>
    </row>
    <row r="1064" spans="1:15" x14ac:dyDescent="0.25">
      <c r="A1064" s="13">
        <f t="shared" si="21"/>
        <v>25</v>
      </c>
      <c r="O1064" s="27"/>
    </row>
    <row r="1065" spans="1:15" x14ac:dyDescent="0.25">
      <c r="A1065" s="13">
        <f t="shared" si="21"/>
        <v>25</v>
      </c>
      <c r="O1065" s="27"/>
    </row>
    <row r="1066" spans="1:15" x14ac:dyDescent="0.25">
      <c r="A1066" s="13">
        <f t="shared" si="21"/>
        <v>25</v>
      </c>
      <c r="O1066" s="27"/>
    </row>
    <row r="1067" spans="1:15" x14ac:dyDescent="0.25">
      <c r="A1067" s="13">
        <f t="shared" si="21"/>
        <v>25</v>
      </c>
      <c r="O1067" s="27"/>
    </row>
    <row r="1068" spans="1:15" x14ac:dyDescent="0.25">
      <c r="A1068" s="13">
        <f t="shared" si="21"/>
        <v>25</v>
      </c>
      <c r="O1068" s="27"/>
    </row>
    <row r="1069" spans="1:15" x14ac:dyDescent="0.25">
      <c r="A1069" s="13">
        <f t="shared" si="21"/>
        <v>25</v>
      </c>
      <c r="O1069" s="27"/>
    </row>
    <row r="1070" spans="1:15" x14ac:dyDescent="0.25">
      <c r="A1070" s="13">
        <f t="shared" si="21"/>
        <v>25</v>
      </c>
      <c r="O1070" s="27"/>
    </row>
    <row r="1071" spans="1:15" x14ac:dyDescent="0.25">
      <c r="A1071" s="13">
        <f t="shared" si="21"/>
        <v>25</v>
      </c>
      <c r="O1071" s="27"/>
    </row>
    <row r="1072" spans="1:15" x14ac:dyDescent="0.25">
      <c r="A1072" s="13">
        <f t="shared" si="21"/>
        <v>25</v>
      </c>
      <c r="O1072" s="27"/>
    </row>
    <row r="1073" spans="1:15" x14ac:dyDescent="0.25">
      <c r="A1073" s="13">
        <f t="shared" si="21"/>
        <v>25</v>
      </c>
      <c r="O1073" s="27"/>
    </row>
    <row r="1074" spans="1:15" x14ac:dyDescent="0.25">
      <c r="A1074" s="13">
        <f t="shared" si="21"/>
        <v>25</v>
      </c>
      <c r="O1074" s="27"/>
    </row>
    <row r="1075" spans="1:15" x14ac:dyDescent="0.25">
      <c r="A1075" s="13">
        <f t="shared" si="21"/>
        <v>25</v>
      </c>
      <c r="O1075" s="27"/>
    </row>
    <row r="1076" spans="1:15" x14ac:dyDescent="0.25">
      <c r="A1076" s="13">
        <f t="shared" si="21"/>
        <v>25</v>
      </c>
      <c r="O1076" s="27"/>
    </row>
    <row r="1077" spans="1:15" x14ac:dyDescent="0.25">
      <c r="A1077" s="13">
        <f t="shared" si="21"/>
        <v>25</v>
      </c>
      <c r="O1077" s="27"/>
    </row>
    <row r="1078" spans="1:15" x14ac:dyDescent="0.25">
      <c r="A1078" s="13">
        <f t="shared" si="21"/>
        <v>25</v>
      </c>
      <c r="O1078" s="27"/>
    </row>
    <row r="1079" spans="1:15" x14ac:dyDescent="0.25">
      <c r="A1079" s="13">
        <f t="shared" si="21"/>
        <v>25</v>
      </c>
      <c r="O1079" s="27"/>
    </row>
    <row r="1080" spans="1:15" x14ac:dyDescent="0.25">
      <c r="A1080" s="13">
        <f t="shared" si="21"/>
        <v>25</v>
      </c>
      <c r="O1080" s="27"/>
    </row>
    <row r="1081" spans="1:15" x14ac:dyDescent="0.25">
      <c r="A1081" s="13">
        <f t="shared" si="21"/>
        <v>25</v>
      </c>
      <c r="O1081" s="27"/>
    </row>
    <row r="1082" spans="1:15" x14ac:dyDescent="0.25">
      <c r="A1082" s="13">
        <f t="shared" si="21"/>
        <v>25</v>
      </c>
      <c r="O1082" s="27"/>
    </row>
    <row r="1083" spans="1:15" x14ac:dyDescent="0.25">
      <c r="A1083" s="13">
        <f t="shared" si="21"/>
        <v>25</v>
      </c>
      <c r="O1083" s="27"/>
    </row>
    <row r="1084" spans="1:15" x14ac:dyDescent="0.25">
      <c r="A1084" s="13">
        <f t="shared" si="21"/>
        <v>25</v>
      </c>
      <c r="O1084" s="27"/>
    </row>
    <row r="1085" spans="1:15" x14ac:dyDescent="0.25">
      <c r="A1085" s="13">
        <f t="shared" si="21"/>
        <v>25</v>
      </c>
      <c r="O1085" s="27"/>
    </row>
    <row r="1086" spans="1:15" x14ac:dyDescent="0.25">
      <c r="A1086" s="13">
        <f t="shared" si="21"/>
        <v>25</v>
      </c>
      <c r="O1086" s="27"/>
    </row>
    <row r="1087" spans="1:15" x14ac:dyDescent="0.25">
      <c r="A1087" s="13">
        <f t="shared" si="21"/>
        <v>25</v>
      </c>
      <c r="O1087" s="27"/>
    </row>
    <row r="1088" spans="1:15" x14ac:dyDescent="0.25">
      <c r="A1088" s="13">
        <f t="shared" si="21"/>
        <v>25</v>
      </c>
      <c r="O1088" s="27"/>
    </row>
    <row r="1089" spans="1:15" x14ac:dyDescent="0.25">
      <c r="A1089" s="13">
        <f t="shared" si="21"/>
        <v>25</v>
      </c>
      <c r="O1089" s="27"/>
    </row>
    <row r="1090" spans="1:15" x14ac:dyDescent="0.25">
      <c r="A1090" s="13">
        <f t="shared" si="21"/>
        <v>25</v>
      </c>
      <c r="O1090" s="27"/>
    </row>
    <row r="1091" spans="1:15" x14ac:dyDescent="0.25">
      <c r="A1091" s="13">
        <f t="shared" si="21"/>
        <v>25</v>
      </c>
      <c r="O1091" s="27"/>
    </row>
    <row r="1092" spans="1:15" x14ac:dyDescent="0.25">
      <c r="A1092" s="13">
        <f t="shared" si="21"/>
        <v>25</v>
      </c>
      <c r="O1092" s="27"/>
    </row>
    <row r="1093" spans="1:15" x14ac:dyDescent="0.25">
      <c r="A1093" s="13">
        <f t="shared" ref="A1093:A1156" si="22">IF(B1093=B1092,A1092,A1092+1)</f>
        <v>25</v>
      </c>
      <c r="O1093" s="27"/>
    </row>
    <row r="1094" spans="1:15" x14ac:dyDescent="0.25">
      <c r="A1094" s="13">
        <f t="shared" si="22"/>
        <v>25</v>
      </c>
      <c r="O1094" s="27"/>
    </row>
    <row r="1095" spans="1:15" x14ac:dyDescent="0.25">
      <c r="A1095" s="13">
        <f t="shared" si="22"/>
        <v>25</v>
      </c>
      <c r="O1095" s="27"/>
    </row>
    <row r="1096" spans="1:15" x14ac:dyDescent="0.25">
      <c r="A1096" s="13">
        <f t="shared" si="22"/>
        <v>25</v>
      </c>
      <c r="O1096" s="27"/>
    </row>
    <row r="1097" spans="1:15" x14ac:dyDescent="0.25">
      <c r="A1097" s="13">
        <f t="shared" si="22"/>
        <v>25</v>
      </c>
      <c r="O1097" s="27"/>
    </row>
    <row r="1098" spans="1:15" x14ac:dyDescent="0.25">
      <c r="A1098" s="13">
        <f t="shared" si="22"/>
        <v>25</v>
      </c>
      <c r="O1098" s="27"/>
    </row>
    <row r="1099" spans="1:15" x14ac:dyDescent="0.25">
      <c r="A1099" s="13">
        <f t="shared" si="22"/>
        <v>25</v>
      </c>
      <c r="O1099" s="27"/>
    </row>
    <row r="1100" spans="1:15" x14ac:dyDescent="0.25">
      <c r="A1100" s="13">
        <f t="shared" si="22"/>
        <v>25</v>
      </c>
      <c r="O1100" s="27"/>
    </row>
    <row r="1101" spans="1:15" x14ac:dyDescent="0.25">
      <c r="A1101" s="13">
        <f t="shared" si="22"/>
        <v>25</v>
      </c>
      <c r="O1101" s="27"/>
    </row>
    <row r="1102" spans="1:15" x14ac:dyDescent="0.25">
      <c r="A1102" s="13">
        <f t="shared" si="22"/>
        <v>25</v>
      </c>
      <c r="O1102" s="27"/>
    </row>
    <row r="1103" spans="1:15" x14ac:dyDescent="0.25">
      <c r="A1103" s="13">
        <f t="shared" si="22"/>
        <v>25</v>
      </c>
      <c r="O1103" s="27"/>
    </row>
    <row r="1104" spans="1:15" x14ac:dyDescent="0.25">
      <c r="A1104" s="13">
        <f t="shared" si="22"/>
        <v>25</v>
      </c>
      <c r="O1104" s="27"/>
    </row>
    <row r="1105" spans="1:15" x14ac:dyDescent="0.25">
      <c r="A1105" s="13">
        <f t="shared" si="22"/>
        <v>25</v>
      </c>
      <c r="O1105" s="27"/>
    </row>
    <row r="1106" spans="1:15" x14ac:dyDescent="0.25">
      <c r="A1106" s="13">
        <f t="shared" si="22"/>
        <v>25</v>
      </c>
      <c r="O1106" s="27"/>
    </row>
    <row r="1107" spans="1:15" x14ac:dyDescent="0.25">
      <c r="A1107" s="13">
        <f t="shared" si="22"/>
        <v>25</v>
      </c>
      <c r="O1107" s="27"/>
    </row>
    <row r="1108" spans="1:15" x14ac:dyDescent="0.25">
      <c r="A1108" s="13">
        <f t="shared" si="22"/>
        <v>25</v>
      </c>
      <c r="O1108" s="27"/>
    </row>
    <row r="1109" spans="1:15" x14ac:dyDescent="0.25">
      <c r="A1109" s="13">
        <f t="shared" si="22"/>
        <v>25</v>
      </c>
      <c r="O1109" s="27"/>
    </row>
    <row r="1110" spans="1:15" x14ac:dyDescent="0.25">
      <c r="A1110" s="13">
        <f t="shared" si="22"/>
        <v>25</v>
      </c>
      <c r="O1110" s="27"/>
    </row>
    <row r="1111" spans="1:15" x14ac:dyDescent="0.25">
      <c r="A1111" s="13">
        <f t="shared" si="22"/>
        <v>25</v>
      </c>
      <c r="O1111" s="27"/>
    </row>
    <row r="1112" spans="1:15" x14ac:dyDescent="0.25">
      <c r="A1112" s="13">
        <f t="shared" si="22"/>
        <v>25</v>
      </c>
      <c r="O1112" s="27"/>
    </row>
    <row r="1113" spans="1:15" x14ac:dyDescent="0.25">
      <c r="A1113" s="13">
        <f t="shared" si="22"/>
        <v>25</v>
      </c>
      <c r="O1113" s="27"/>
    </row>
    <row r="1114" spans="1:15" x14ac:dyDescent="0.25">
      <c r="A1114" s="13">
        <f t="shared" si="22"/>
        <v>25</v>
      </c>
      <c r="O1114" s="27"/>
    </row>
    <row r="1115" spans="1:15" x14ac:dyDescent="0.25">
      <c r="A1115" s="13">
        <f t="shared" si="22"/>
        <v>25</v>
      </c>
      <c r="O1115" s="27"/>
    </row>
    <row r="1116" spans="1:15" x14ac:dyDescent="0.25">
      <c r="A1116" s="13">
        <f t="shared" si="22"/>
        <v>25</v>
      </c>
      <c r="O1116" s="27"/>
    </row>
    <row r="1117" spans="1:15" x14ac:dyDescent="0.25">
      <c r="A1117" s="13">
        <f t="shared" si="22"/>
        <v>25</v>
      </c>
      <c r="O1117" s="27"/>
    </row>
    <row r="1118" spans="1:15" x14ac:dyDescent="0.25">
      <c r="A1118" s="13">
        <f t="shared" si="22"/>
        <v>25</v>
      </c>
      <c r="O1118" s="27"/>
    </row>
    <row r="1119" spans="1:15" x14ac:dyDescent="0.25">
      <c r="A1119" s="13">
        <f t="shared" si="22"/>
        <v>25</v>
      </c>
      <c r="O1119" s="27"/>
    </row>
    <row r="1120" spans="1:15" x14ac:dyDescent="0.25">
      <c r="A1120" s="13">
        <f t="shared" si="22"/>
        <v>25</v>
      </c>
      <c r="O1120" s="27"/>
    </row>
    <row r="1121" spans="1:15" x14ac:dyDescent="0.25">
      <c r="A1121" s="13">
        <f t="shared" si="22"/>
        <v>25</v>
      </c>
      <c r="O1121" s="27"/>
    </row>
    <row r="1122" spans="1:15" x14ac:dyDescent="0.25">
      <c r="A1122" s="13">
        <f t="shared" si="22"/>
        <v>25</v>
      </c>
      <c r="O1122" s="27"/>
    </row>
    <row r="1123" spans="1:15" x14ac:dyDescent="0.25">
      <c r="A1123" s="13">
        <f t="shared" si="22"/>
        <v>25</v>
      </c>
      <c r="O1123" s="27"/>
    </row>
    <row r="1124" spans="1:15" x14ac:dyDescent="0.25">
      <c r="A1124" s="13">
        <f t="shared" si="22"/>
        <v>25</v>
      </c>
      <c r="O1124" s="27"/>
    </row>
    <row r="1125" spans="1:15" x14ac:dyDescent="0.25">
      <c r="A1125" s="13">
        <f t="shared" si="22"/>
        <v>25</v>
      </c>
      <c r="O1125" s="27"/>
    </row>
    <row r="1126" spans="1:15" x14ac:dyDescent="0.25">
      <c r="A1126" s="13">
        <f t="shared" si="22"/>
        <v>25</v>
      </c>
      <c r="O1126" s="27"/>
    </row>
    <row r="1127" spans="1:15" x14ac:dyDescent="0.25">
      <c r="A1127" s="13">
        <f t="shared" si="22"/>
        <v>25</v>
      </c>
      <c r="O1127" s="27"/>
    </row>
    <row r="1128" spans="1:15" x14ac:dyDescent="0.25">
      <c r="A1128" s="13">
        <f t="shared" si="22"/>
        <v>25</v>
      </c>
      <c r="O1128" s="27"/>
    </row>
    <row r="1129" spans="1:15" x14ac:dyDescent="0.25">
      <c r="A1129" s="13">
        <f t="shared" si="22"/>
        <v>25</v>
      </c>
      <c r="O1129" s="27"/>
    </row>
    <row r="1130" spans="1:15" x14ac:dyDescent="0.25">
      <c r="A1130" s="13">
        <f t="shared" si="22"/>
        <v>25</v>
      </c>
      <c r="O1130" s="27"/>
    </row>
    <row r="1131" spans="1:15" x14ac:dyDescent="0.25">
      <c r="A1131" s="13">
        <f t="shared" si="22"/>
        <v>25</v>
      </c>
      <c r="O1131" s="27"/>
    </row>
    <row r="1132" spans="1:15" x14ac:dyDescent="0.25">
      <c r="A1132" s="13">
        <f t="shared" si="22"/>
        <v>25</v>
      </c>
      <c r="O1132" s="27"/>
    </row>
    <row r="1133" spans="1:15" x14ac:dyDescent="0.25">
      <c r="A1133" s="13">
        <f t="shared" si="22"/>
        <v>25</v>
      </c>
      <c r="O1133" s="27"/>
    </row>
    <row r="1134" spans="1:15" x14ac:dyDescent="0.25">
      <c r="A1134" s="13">
        <f t="shared" si="22"/>
        <v>25</v>
      </c>
      <c r="O1134" s="27"/>
    </row>
    <row r="1135" spans="1:15" x14ac:dyDescent="0.25">
      <c r="A1135" s="13">
        <f t="shared" si="22"/>
        <v>25</v>
      </c>
      <c r="O1135" s="27"/>
    </row>
    <row r="1136" spans="1:15" x14ac:dyDescent="0.25">
      <c r="A1136" s="13">
        <f t="shared" si="22"/>
        <v>25</v>
      </c>
      <c r="O1136" s="27"/>
    </row>
    <row r="1137" spans="1:15" x14ac:dyDescent="0.25">
      <c r="A1137" s="13">
        <f t="shared" si="22"/>
        <v>25</v>
      </c>
      <c r="O1137" s="27"/>
    </row>
    <row r="1138" spans="1:15" x14ac:dyDescent="0.25">
      <c r="A1138" s="13">
        <f t="shared" si="22"/>
        <v>25</v>
      </c>
      <c r="O1138" s="27"/>
    </row>
    <row r="1139" spans="1:15" x14ac:dyDescent="0.25">
      <c r="A1139" s="13">
        <f t="shared" si="22"/>
        <v>25</v>
      </c>
      <c r="O1139" s="27"/>
    </row>
    <row r="1140" spans="1:15" x14ac:dyDescent="0.25">
      <c r="A1140" s="13">
        <f t="shared" si="22"/>
        <v>25</v>
      </c>
      <c r="O1140" s="27"/>
    </row>
    <row r="1141" spans="1:15" x14ac:dyDescent="0.25">
      <c r="A1141" s="13">
        <f t="shared" si="22"/>
        <v>25</v>
      </c>
      <c r="O1141" s="27"/>
    </row>
    <row r="1142" spans="1:15" x14ac:dyDescent="0.25">
      <c r="A1142" s="13">
        <f t="shared" si="22"/>
        <v>25</v>
      </c>
      <c r="O1142" s="27"/>
    </row>
    <row r="1143" spans="1:15" x14ac:dyDescent="0.25">
      <c r="A1143" s="13">
        <f t="shared" si="22"/>
        <v>25</v>
      </c>
      <c r="O1143" s="27"/>
    </row>
    <row r="1144" spans="1:15" x14ac:dyDescent="0.25">
      <c r="A1144" s="13">
        <f t="shared" si="22"/>
        <v>25</v>
      </c>
      <c r="O1144" s="27"/>
    </row>
    <row r="1145" spans="1:15" x14ac:dyDescent="0.25">
      <c r="A1145" s="13">
        <f t="shared" si="22"/>
        <v>25</v>
      </c>
      <c r="O1145" s="27"/>
    </row>
    <row r="1146" spans="1:15" x14ac:dyDescent="0.25">
      <c r="A1146" s="13">
        <f t="shared" si="22"/>
        <v>25</v>
      </c>
      <c r="O1146" s="27"/>
    </row>
    <row r="1147" spans="1:15" x14ac:dyDescent="0.25">
      <c r="A1147" s="13">
        <f t="shared" si="22"/>
        <v>25</v>
      </c>
      <c r="O1147" s="27"/>
    </row>
    <row r="1148" spans="1:15" x14ac:dyDescent="0.25">
      <c r="A1148" s="13">
        <f t="shared" si="22"/>
        <v>25</v>
      </c>
      <c r="O1148" s="27"/>
    </row>
    <row r="1149" spans="1:15" x14ac:dyDescent="0.25">
      <c r="A1149" s="13">
        <f t="shared" si="22"/>
        <v>25</v>
      </c>
      <c r="O1149" s="27"/>
    </row>
    <row r="1150" spans="1:15" x14ac:dyDescent="0.25">
      <c r="A1150" s="13">
        <f t="shared" si="22"/>
        <v>25</v>
      </c>
      <c r="O1150" s="27"/>
    </row>
    <row r="1151" spans="1:15" x14ac:dyDescent="0.25">
      <c r="A1151" s="13">
        <f t="shared" si="22"/>
        <v>25</v>
      </c>
      <c r="O1151" s="27"/>
    </row>
    <row r="1152" spans="1:15" x14ac:dyDescent="0.25">
      <c r="A1152" s="13">
        <f t="shared" si="22"/>
        <v>25</v>
      </c>
      <c r="O1152" s="27"/>
    </row>
    <row r="1153" spans="1:15" x14ac:dyDescent="0.25">
      <c r="A1153" s="13">
        <f t="shared" si="22"/>
        <v>25</v>
      </c>
      <c r="O1153" s="27"/>
    </row>
    <row r="1154" spans="1:15" x14ac:dyDescent="0.25">
      <c r="A1154" s="13">
        <f t="shared" si="22"/>
        <v>25</v>
      </c>
      <c r="O1154" s="27"/>
    </row>
    <row r="1155" spans="1:15" x14ac:dyDescent="0.25">
      <c r="A1155" s="13">
        <f t="shared" si="22"/>
        <v>25</v>
      </c>
      <c r="O1155" s="27"/>
    </row>
    <row r="1156" spans="1:15" x14ac:dyDescent="0.25">
      <c r="A1156" s="13">
        <f t="shared" si="22"/>
        <v>25</v>
      </c>
      <c r="O1156" s="27"/>
    </row>
    <row r="1157" spans="1:15" x14ac:dyDescent="0.25">
      <c r="A1157" s="13">
        <f t="shared" ref="A1157:A1220" si="23">IF(B1157=B1156,A1156,A1156+1)</f>
        <v>25</v>
      </c>
      <c r="O1157" s="27"/>
    </row>
    <row r="1158" spans="1:15" x14ac:dyDescent="0.25">
      <c r="A1158" s="13">
        <f t="shared" si="23"/>
        <v>25</v>
      </c>
      <c r="O1158" s="27"/>
    </row>
    <row r="1159" spans="1:15" x14ac:dyDescent="0.25">
      <c r="A1159" s="13">
        <f t="shared" si="23"/>
        <v>25</v>
      </c>
      <c r="O1159" s="27"/>
    </row>
    <row r="1160" spans="1:15" x14ac:dyDescent="0.25">
      <c r="A1160" s="13">
        <f t="shared" si="23"/>
        <v>25</v>
      </c>
      <c r="O1160" s="27"/>
    </row>
    <row r="1161" spans="1:15" x14ac:dyDescent="0.25">
      <c r="A1161" s="13">
        <f t="shared" si="23"/>
        <v>25</v>
      </c>
      <c r="O1161" s="27"/>
    </row>
    <row r="1162" spans="1:15" x14ac:dyDescent="0.25">
      <c r="A1162" s="13">
        <f t="shared" si="23"/>
        <v>25</v>
      </c>
      <c r="O1162" s="27"/>
    </row>
    <row r="1163" spans="1:15" x14ac:dyDescent="0.25">
      <c r="A1163" s="13">
        <f t="shared" si="23"/>
        <v>25</v>
      </c>
      <c r="O1163" s="27"/>
    </row>
    <row r="1164" spans="1:15" x14ac:dyDescent="0.25">
      <c r="A1164" s="13">
        <f t="shared" si="23"/>
        <v>25</v>
      </c>
      <c r="O1164" s="27"/>
    </row>
    <row r="1165" spans="1:15" x14ac:dyDescent="0.25">
      <c r="A1165" s="13">
        <f t="shared" si="23"/>
        <v>25</v>
      </c>
      <c r="O1165" s="27"/>
    </row>
    <row r="1166" spans="1:15" x14ac:dyDescent="0.25">
      <c r="A1166" s="13">
        <f t="shared" si="23"/>
        <v>25</v>
      </c>
      <c r="O1166" s="27"/>
    </row>
    <row r="1167" spans="1:15" x14ac:dyDescent="0.25">
      <c r="A1167" s="13">
        <f t="shared" si="23"/>
        <v>25</v>
      </c>
      <c r="O1167" s="27"/>
    </row>
    <row r="1168" spans="1:15" x14ac:dyDescent="0.25">
      <c r="A1168" s="13">
        <f t="shared" si="23"/>
        <v>25</v>
      </c>
      <c r="O1168" s="27"/>
    </row>
    <row r="1169" spans="1:15" x14ac:dyDescent="0.25">
      <c r="A1169" s="13">
        <f t="shared" si="23"/>
        <v>25</v>
      </c>
      <c r="O1169" s="27"/>
    </row>
    <row r="1170" spans="1:15" x14ac:dyDescent="0.25">
      <c r="A1170" s="13">
        <f t="shared" si="23"/>
        <v>25</v>
      </c>
      <c r="O1170" s="27"/>
    </row>
    <row r="1171" spans="1:15" x14ac:dyDescent="0.25">
      <c r="A1171" s="13">
        <f t="shared" si="23"/>
        <v>25</v>
      </c>
      <c r="O1171" s="27"/>
    </row>
    <row r="1172" spans="1:15" x14ac:dyDescent="0.25">
      <c r="A1172" s="13">
        <f t="shared" si="23"/>
        <v>25</v>
      </c>
      <c r="O1172" s="27"/>
    </row>
    <row r="1173" spans="1:15" x14ac:dyDescent="0.25">
      <c r="A1173" s="13">
        <f t="shared" si="23"/>
        <v>25</v>
      </c>
      <c r="O1173" s="27"/>
    </row>
    <row r="1174" spans="1:15" x14ac:dyDescent="0.25">
      <c r="A1174" s="13">
        <f t="shared" si="23"/>
        <v>25</v>
      </c>
      <c r="O1174" s="27"/>
    </row>
    <row r="1175" spans="1:15" x14ac:dyDescent="0.25">
      <c r="A1175" s="13">
        <f t="shared" si="23"/>
        <v>25</v>
      </c>
      <c r="O1175" s="27"/>
    </row>
    <row r="1176" spans="1:15" x14ac:dyDescent="0.25">
      <c r="A1176" s="13">
        <f t="shared" si="23"/>
        <v>25</v>
      </c>
      <c r="O1176" s="27"/>
    </row>
    <row r="1177" spans="1:15" x14ac:dyDescent="0.25">
      <c r="A1177" s="13">
        <f t="shared" si="23"/>
        <v>25</v>
      </c>
      <c r="O1177" s="27"/>
    </row>
    <row r="1178" spans="1:15" x14ac:dyDescent="0.25">
      <c r="A1178" s="13">
        <f t="shared" si="23"/>
        <v>25</v>
      </c>
      <c r="O1178" s="27"/>
    </row>
    <row r="1179" spans="1:15" x14ac:dyDescent="0.25">
      <c r="A1179" s="13">
        <f t="shared" si="23"/>
        <v>25</v>
      </c>
      <c r="O1179" s="27"/>
    </row>
    <row r="1180" spans="1:15" x14ac:dyDescent="0.25">
      <c r="A1180" s="13">
        <f t="shared" si="23"/>
        <v>25</v>
      </c>
      <c r="O1180" s="27"/>
    </row>
    <row r="1181" spans="1:15" x14ac:dyDescent="0.25">
      <c r="A1181" s="13">
        <f t="shared" si="23"/>
        <v>25</v>
      </c>
      <c r="O1181" s="27"/>
    </row>
    <row r="1182" spans="1:15" x14ac:dyDescent="0.25">
      <c r="A1182" s="13">
        <f t="shared" si="23"/>
        <v>25</v>
      </c>
      <c r="O1182" s="27"/>
    </row>
    <row r="1183" spans="1:15" x14ac:dyDescent="0.25">
      <c r="A1183" s="13">
        <f t="shared" si="23"/>
        <v>25</v>
      </c>
      <c r="O1183" s="27"/>
    </row>
    <row r="1184" spans="1:15" x14ac:dyDescent="0.25">
      <c r="A1184" s="13">
        <f t="shared" si="23"/>
        <v>25</v>
      </c>
      <c r="O1184" s="27"/>
    </row>
    <row r="1185" spans="1:15" x14ac:dyDescent="0.25">
      <c r="A1185" s="13">
        <f t="shared" si="23"/>
        <v>25</v>
      </c>
      <c r="O1185" s="27"/>
    </row>
    <row r="1186" spans="1:15" x14ac:dyDescent="0.25">
      <c r="A1186" s="13">
        <f t="shared" si="23"/>
        <v>25</v>
      </c>
      <c r="O1186" s="27"/>
    </row>
    <row r="1187" spans="1:15" x14ac:dyDescent="0.25">
      <c r="A1187" s="13">
        <f t="shared" si="23"/>
        <v>25</v>
      </c>
      <c r="O1187" s="27"/>
    </row>
    <row r="1188" spans="1:15" x14ac:dyDescent="0.25">
      <c r="A1188" s="13">
        <f t="shared" si="23"/>
        <v>25</v>
      </c>
      <c r="O1188" s="27"/>
    </row>
    <row r="1189" spans="1:15" x14ac:dyDescent="0.25">
      <c r="A1189" s="13">
        <f t="shared" si="23"/>
        <v>25</v>
      </c>
      <c r="O1189" s="27"/>
    </row>
    <row r="1190" spans="1:15" x14ac:dyDescent="0.25">
      <c r="A1190" s="13">
        <f t="shared" si="23"/>
        <v>25</v>
      </c>
      <c r="O1190" s="27"/>
    </row>
    <row r="1191" spans="1:15" x14ac:dyDescent="0.25">
      <c r="A1191" s="13">
        <f t="shared" si="23"/>
        <v>25</v>
      </c>
      <c r="O1191" s="27"/>
    </row>
    <row r="1192" spans="1:15" x14ac:dyDescent="0.25">
      <c r="A1192" s="13">
        <f t="shared" si="23"/>
        <v>25</v>
      </c>
      <c r="O1192" s="27"/>
    </row>
    <row r="1193" spans="1:15" x14ac:dyDescent="0.25">
      <c r="A1193" s="13">
        <f t="shared" si="23"/>
        <v>25</v>
      </c>
      <c r="O1193" s="27"/>
    </row>
    <row r="1194" spans="1:15" x14ac:dyDescent="0.25">
      <c r="A1194" s="13">
        <f t="shared" si="23"/>
        <v>25</v>
      </c>
      <c r="O1194" s="27"/>
    </row>
    <row r="1195" spans="1:15" x14ac:dyDescent="0.25">
      <c r="A1195" s="13">
        <f t="shared" si="23"/>
        <v>25</v>
      </c>
      <c r="O1195" s="27"/>
    </row>
    <row r="1196" spans="1:15" x14ac:dyDescent="0.25">
      <c r="A1196" s="13">
        <f t="shared" si="23"/>
        <v>25</v>
      </c>
      <c r="O1196" s="27"/>
    </row>
    <row r="1197" spans="1:15" x14ac:dyDescent="0.25">
      <c r="A1197" s="13">
        <f t="shared" si="23"/>
        <v>25</v>
      </c>
      <c r="O1197" s="27"/>
    </row>
    <row r="1198" spans="1:15" x14ac:dyDescent="0.25">
      <c r="A1198" s="13">
        <f t="shared" si="23"/>
        <v>25</v>
      </c>
      <c r="O1198" s="27"/>
    </row>
    <row r="1199" spans="1:15" x14ac:dyDescent="0.25">
      <c r="A1199" s="13">
        <f t="shared" si="23"/>
        <v>25</v>
      </c>
      <c r="O1199" s="27"/>
    </row>
    <row r="1200" spans="1:15" x14ac:dyDescent="0.25">
      <c r="A1200" s="13">
        <f t="shared" si="23"/>
        <v>25</v>
      </c>
      <c r="O1200" s="27"/>
    </row>
    <row r="1201" spans="1:15" x14ac:dyDescent="0.25">
      <c r="A1201" s="13">
        <f t="shared" si="23"/>
        <v>25</v>
      </c>
      <c r="O1201" s="27"/>
    </row>
    <row r="1202" spans="1:15" x14ac:dyDescent="0.25">
      <c r="A1202" s="13">
        <f t="shared" si="23"/>
        <v>25</v>
      </c>
      <c r="O1202" s="27"/>
    </row>
    <row r="1203" spans="1:15" x14ac:dyDescent="0.25">
      <c r="A1203" s="13">
        <f t="shared" si="23"/>
        <v>25</v>
      </c>
      <c r="O1203" s="27"/>
    </row>
    <row r="1204" spans="1:15" x14ac:dyDescent="0.25">
      <c r="A1204" s="13">
        <f t="shared" si="23"/>
        <v>25</v>
      </c>
      <c r="O1204" s="27"/>
    </row>
    <row r="1205" spans="1:15" x14ac:dyDescent="0.25">
      <c r="A1205" s="13">
        <f t="shared" si="23"/>
        <v>25</v>
      </c>
      <c r="O1205" s="27"/>
    </row>
    <row r="1206" spans="1:15" x14ac:dyDescent="0.25">
      <c r="A1206" s="13">
        <f t="shared" si="23"/>
        <v>25</v>
      </c>
      <c r="O1206" s="27"/>
    </row>
    <row r="1207" spans="1:15" x14ac:dyDescent="0.25">
      <c r="A1207" s="13">
        <f t="shared" si="23"/>
        <v>25</v>
      </c>
      <c r="O1207" s="27"/>
    </row>
    <row r="1208" spans="1:15" x14ac:dyDescent="0.25">
      <c r="A1208" s="13">
        <f t="shared" si="23"/>
        <v>25</v>
      </c>
      <c r="O1208" s="27"/>
    </row>
    <row r="1209" spans="1:15" x14ac:dyDescent="0.25">
      <c r="A1209" s="13">
        <f t="shared" si="23"/>
        <v>25</v>
      </c>
      <c r="O1209" s="27"/>
    </row>
    <row r="1210" spans="1:15" x14ac:dyDescent="0.25">
      <c r="A1210" s="13">
        <f t="shared" si="23"/>
        <v>25</v>
      </c>
      <c r="O1210" s="27"/>
    </row>
    <row r="1211" spans="1:15" x14ac:dyDescent="0.25">
      <c r="A1211" s="13">
        <f t="shared" si="23"/>
        <v>25</v>
      </c>
      <c r="O1211" s="27"/>
    </row>
    <row r="1212" spans="1:15" x14ac:dyDescent="0.25">
      <c r="A1212" s="13">
        <f t="shared" si="23"/>
        <v>25</v>
      </c>
      <c r="O1212" s="27"/>
    </row>
    <row r="1213" spans="1:15" x14ac:dyDescent="0.25">
      <c r="A1213" s="13">
        <f t="shared" si="23"/>
        <v>25</v>
      </c>
      <c r="O1213" s="27"/>
    </row>
    <row r="1214" spans="1:15" x14ac:dyDescent="0.25">
      <c r="A1214" s="13">
        <f t="shared" si="23"/>
        <v>25</v>
      </c>
      <c r="O1214" s="27"/>
    </row>
    <row r="1215" spans="1:15" x14ac:dyDescent="0.25">
      <c r="A1215" s="13">
        <f t="shared" si="23"/>
        <v>25</v>
      </c>
    </row>
    <row r="1216" spans="1:15" x14ac:dyDescent="0.25">
      <c r="A1216" s="13">
        <f t="shared" si="23"/>
        <v>25</v>
      </c>
    </row>
    <row r="1217" spans="1:1" x14ac:dyDescent="0.25">
      <c r="A1217" s="13">
        <f t="shared" si="23"/>
        <v>25</v>
      </c>
    </row>
    <row r="1218" spans="1:1" x14ac:dyDescent="0.25">
      <c r="A1218" s="13">
        <f t="shared" si="23"/>
        <v>25</v>
      </c>
    </row>
    <row r="1219" spans="1:1" x14ac:dyDescent="0.25">
      <c r="A1219" s="13">
        <f t="shared" si="23"/>
        <v>25</v>
      </c>
    </row>
    <row r="1220" spans="1:1" x14ac:dyDescent="0.25">
      <c r="A1220" s="13">
        <f t="shared" si="23"/>
        <v>25</v>
      </c>
    </row>
    <row r="1221" spans="1:1" x14ac:dyDescent="0.25">
      <c r="A1221" s="13">
        <f t="shared" ref="A1221:A1284" si="24">IF(B1221=B1220,A1220,A1220+1)</f>
        <v>25</v>
      </c>
    </row>
    <row r="1222" spans="1:1" x14ac:dyDescent="0.25">
      <c r="A1222" s="13">
        <f t="shared" si="24"/>
        <v>25</v>
      </c>
    </row>
    <row r="1223" spans="1:1" x14ac:dyDescent="0.25">
      <c r="A1223" s="13">
        <f t="shared" si="24"/>
        <v>25</v>
      </c>
    </row>
    <row r="1224" spans="1:1" x14ac:dyDescent="0.25">
      <c r="A1224" s="13">
        <f t="shared" si="24"/>
        <v>25</v>
      </c>
    </row>
    <row r="1225" spans="1:1" x14ac:dyDescent="0.25">
      <c r="A1225" s="13">
        <f t="shared" si="24"/>
        <v>25</v>
      </c>
    </row>
    <row r="1226" spans="1:1" x14ac:dyDescent="0.25">
      <c r="A1226" s="13">
        <f t="shared" si="24"/>
        <v>25</v>
      </c>
    </row>
    <row r="1227" spans="1:1" x14ac:dyDescent="0.25">
      <c r="A1227" s="13">
        <f t="shared" si="24"/>
        <v>25</v>
      </c>
    </row>
    <row r="1228" spans="1:1" x14ac:dyDescent="0.25">
      <c r="A1228" s="13">
        <f t="shared" si="24"/>
        <v>25</v>
      </c>
    </row>
    <row r="1229" spans="1:1" x14ac:dyDescent="0.25">
      <c r="A1229" s="13">
        <f t="shared" si="24"/>
        <v>25</v>
      </c>
    </row>
    <row r="1230" spans="1:1" x14ac:dyDescent="0.25">
      <c r="A1230" s="13">
        <f t="shared" si="24"/>
        <v>25</v>
      </c>
    </row>
    <row r="1231" spans="1:1" x14ac:dyDescent="0.25">
      <c r="A1231" s="13">
        <f t="shared" si="24"/>
        <v>25</v>
      </c>
    </row>
    <row r="1232" spans="1:1" x14ac:dyDescent="0.25">
      <c r="A1232" s="13">
        <f t="shared" si="24"/>
        <v>25</v>
      </c>
    </row>
    <row r="1233" spans="1:1" x14ac:dyDescent="0.25">
      <c r="A1233" s="13">
        <f t="shared" si="24"/>
        <v>25</v>
      </c>
    </row>
    <row r="1234" spans="1:1" x14ac:dyDescent="0.25">
      <c r="A1234" s="13">
        <f t="shared" si="24"/>
        <v>25</v>
      </c>
    </row>
    <row r="1235" spans="1:1" x14ac:dyDescent="0.25">
      <c r="A1235" s="13">
        <f t="shared" si="24"/>
        <v>25</v>
      </c>
    </row>
    <row r="1236" spans="1:1" x14ac:dyDescent="0.25">
      <c r="A1236" s="13">
        <f t="shared" si="24"/>
        <v>25</v>
      </c>
    </row>
    <row r="1237" spans="1:1" x14ac:dyDescent="0.25">
      <c r="A1237" s="13">
        <f t="shared" si="24"/>
        <v>25</v>
      </c>
    </row>
    <row r="1238" spans="1:1" x14ac:dyDescent="0.25">
      <c r="A1238" s="13">
        <f t="shared" si="24"/>
        <v>25</v>
      </c>
    </row>
    <row r="1239" spans="1:1" x14ac:dyDescent="0.25">
      <c r="A1239" s="13">
        <f t="shared" si="24"/>
        <v>25</v>
      </c>
    </row>
    <row r="1240" spans="1:1" x14ac:dyDescent="0.25">
      <c r="A1240" s="13">
        <f t="shared" si="24"/>
        <v>25</v>
      </c>
    </row>
    <row r="1241" spans="1:1" x14ac:dyDescent="0.25">
      <c r="A1241" s="13">
        <f t="shared" si="24"/>
        <v>25</v>
      </c>
    </row>
    <row r="1242" spans="1:1" x14ac:dyDescent="0.25">
      <c r="A1242" s="13">
        <f t="shared" si="24"/>
        <v>25</v>
      </c>
    </row>
    <row r="1243" spans="1:1" x14ac:dyDescent="0.25">
      <c r="A1243" s="13">
        <f t="shared" si="24"/>
        <v>25</v>
      </c>
    </row>
    <row r="1244" spans="1:1" x14ac:dyDescent="0.25">
      <c r="A1244" s="13">
        <f t="shared" si="24"/>
        <v>25</v>
      </c>
    </row>
    <row r="1245" spans="1:1" x14ac:dyDescent="0.25">
      <c r="A1245" s="13">
        <f t="shared" si="24"/>
        <v>25</v>
      </c>
    </row>
    <row r="1246" spans="1:1" x14ac:dyDescent="0.25">
      <c r="A1246" s="13">
        <f t="shared" si="24"/>
        <v>25</v>
      </c>
    </row>
    <row r="1247" spans="1:1" x14ac:dyDescent="0.25">
      <c r="A1247" s="13">
        <f t="shared" si="24"/>
        <v>25</v>
      </c>
    </row>
    <row r="1248" spans="1:1" x14ac:dyDescent="0.25">
      <c r="A1248" s="13">
        <f t="shared" si="24"/>
        <v>25</v>
      </c>
    </row>
    <row r="1249" spans="1:1" x14ac:dyDescent="0.25">
      <c r="A1249" s="13">
        <f t="shared" si="24"/>
        <v>25</v>
      </c>
    </row>
    <row r="1250" spans="1:1" x14ac:dyDescent="0.25">
      <c r="A1250" s="13">
        <f t="shared" si="24"/>
        <v>25</v>
      </c>
    </row>
    <row r="1251" spans="1:1" x14ac:dyDescent="0.25">
      <c r="A1251" s="13">
        <f t="shared" si="24"/>
        <v>25</v>
      </c>
    </row>
    <row r="1252" spans="1:1" x14ac:dyDescent="0.25">
      <c r="A1252" s="13">
        <f t="shared" si="24"/>
        <v>25</v>
      </c>
    </row>
    <row r="1253" spans="1:1" x14ac:dyDescent="0.25">
      <c r="A1253" s="13">
        <f t="shared" si="24"/>
        <v>25</v>
      </c>
    </row>
    <row r="1254" spans="1:1" x14ac:dyDescent="0.25">
      <c r="A1254" s="13">
        <f t="shared" si="24"/>
        <v>25</v>
      </c>
    </row>
    <row r="1255" spans="1:1" x14ac:dyDescent="0.25">
      <c r="A1255" s="13">
        <f t="shared" si="24"/>
        <v>25</v>
      </c>
    </row>
    <row r="1256" spans="1:1" x14ac:dyDescent="0.25">
      <c r="A1256" s="13">
        <f t="shared" si="24"/>
        <v>25</v>
      </c>
    </row>
    <row r="1257" spans="1:1" x14ac:dyDescent="0.25">
      <c r="A1257" s="13">
        <f t="shared" si="24"/>
        <v>25</v>
      </c>
    </row>
    <row r="1258" spans="1:1" x14ac:dyDescent="0.25">
      <c r="A1258" s="13">
        <f t="shared" si="24"/>
        <v>25</v>
      </c>
    </row>
    <row r="1259" spans="1:1" x14ac:dyDescent="0.25">
      <c r="A1259" s="13">
        <f t="shared" si="24"/>
        <v>25</v>
      </c>
    </row>
    <row r="1260" spans="1:1" x14ac:dyDescent="0.25">
      <c r="A1260" s="13">
        <f t="shared" si="24"/>
        <v>25</v>
      </c>
    </row>
    <row r="1261" spans="1:1" x14ac:dyDescent="0.25">
      <c r="A1261" s="13">
        <f t="shared" si="24"/>
        <v>25</v>
      </c>
    </row>
    <row r="1262" spans="1:1" x14ac:dyDescent="0.25">
      <c r="A1262" s="13">
        <f t="shared" si="24"/>
        <v>25</v>
      </c>
    </row>
    <row r="1263" spans="1:1" x14ac:dyDescent="0.25">
      <c r="A1263" s="13">
        <f t="shared" si="24"/>
        <v>25</v>
      </c>
    </row>
    <row r="1264" spans="1:1" x14ac:dyDescent="0.25">
      <c r="A1264" s="13">
        <f t="shared" si="24"/>
        <v>25</v>
      </c>
    </row>
    <row r="1265" spans="1:1" x14ac:dyDescent="0.25">
      <c r="A1265" s="13">
        <f t="shared" si="24"/>
        <v>25</v>
      </c>
    </row>
    <row r="1266" spans="1:1" x14ac:dyDescent="0.25">
      <c r="A1266" s="13">
        <f t="shared" si="24"/>
        <v>25</v>
      </c>
    </row>
    <row r="1267" spans="1:1" x14ac:dyDescent="0.25">
      <c r="A1267" s="13">
        <f t="shared" si="24"/>
        <v>25</v>
      </c>
    </row>
    <row r="1268" spans="1:1" x14ac:dyDescent="0.25">
      <c r="A1268" s="13">
        <f t="shared" si="24"/>
        <v>25</v>
      </c>
    </row>
    <row r="1269" spans="1:1" x14ac:dyDescent="0.25">
      <c r="A1269" s="13">
        <f t="shared" si="24"/>
        <v>25</v>
      </c>
    </row>
    <row r="1270" spans="1:1" x14ac:dyDescent="0.25">
      <c r="A1270" s="13">
        <f t="shared" si="24"/>
        <v>25</v>
      </c>
    </row>
    <row r="1271" spans="1:1" x14ac:dyDescent="0.25">
      <c r="A1271" s="13">
        <f t="shared" si="24"/>
        <v>25</v>
      </c>
    </row>
    <row r="1272" spans="1:1" x14ac:dyDescent="0.25">
      <c r="A1272" s="13">
        <f t="shared" si="24"/>
        <v>25</v>
      </c>
    </row>
    <row r="1273" spans="1:1" x14ac:dyDescent="0.25">
      <c r="A1273" s="13">
        <f t="shared" si="24"/>
        <v>25</v>
      </c>
    </row>
    <row r="1274" spans="1:1" x14ac:dyDescent="0.25">
      <c r="A1274" s="13">
        <f t="shared" si="24"/>
        <v>25</v>
      </c>
    </row>
    <row r="1275" spans="1:1" x14ac:dyDescent="0.25">
      <c r="A1275" s="13">
        <f t="shared" si="24"/>
        <v>25</v>
      </c>
    </row>
    <row r="1276" spans="1:1" x14ac:dyDescent="0.25">
      <c r="A1276" s="13">
        <f t="shared" si="24"/>
        <v>25</v>
      </c>
    </row>
    <row r="1277" spans="1:1" x14ac:dyDescent="0.25">
      <c r="A1277" s="13">
        <f t="shared" si="24"/>
        <v>25</v>
      </c>
    </row>
    <row r="1278" spans="1:1" x14ac:dyDescent="0.25">
      <c r="A1278" s="13">
        <f t="shared" si="24"/>
        <v>25</v>
      </c>
    </row>
    <row r="1279" spans="1:1" x14ac:dyDescent="0.25">
      <c r="A1279" s="13">
        <f t="shared" si="24"/>
        <v>25</v>
      </c>
    </row>
    <row r="1280" spans="1:1" x14ac:dyDescent="0.25">
      <c r="A1280" s="13">
        <f t="shared" si="24"/>
        <v>25</v>
      </c>
    </row>
    <row r="1281" spans="1:1" x14ac:dyDescent="0.25">
      <c r="A1281" s="13">
        <f t="shared" si="24"/>
        <v>25</v>
      </c>
    </row>
    <row r="1282" spans="1:1" x14ac:dyDescent="0.25">
      <c r="A1282" s="13">
        <f t="shared" si="24"/>
        <v>25</v>
      </c>
    </row>
    <row r="1283" spans="1:1" x14ac:dyDescent="0.25">
      <c r="A1283" s="13">
        <f t="shared" si="24"/>
        <v>25</v>
      </c>
    </row>
    <row r="1284" spans="1:1" x14ac:dyDescent="0.25">
      <c r="A1284" s="13">
        <f t="shared" si="24"/>
        <v>25</v>
      </c>
    </row>
    <row r="1285" spans="1:1" x14ac:dyDescent="0.25">
      <c r="A1285" s="13">
        <f t="shared" ref="A1285:A1348" si="25">IF(B1285=B1284,A1284,A1284+1)</f>
        <v>25</v>
      </c>
    </row>
    <row r="1286" spans="1:1" x14ac:dyDescent="0.25">
      <c r="A1286" s="13">
        <f t="shared" si="25"/>
        <v>25</v>
      </c>
    </row>
    <row r="1287" spans="1:1" x14ac:dyDescent="0.25">
      <c r="A1287" s="13">
        <f t="shared" si="25"/>
        <v>25</v>
      </c>
    </row>
    <row r="1288" spans="1:1" x14ac:dyDescent="0.25">
      <c r="A1288" s="13">
        <f t="shared" si="25"/>
        <v>25</v>
      </c>
    </row>
    <row r="1289" spans="1:1" x14ac:dyDescent="0.25">
      <c r="A1289" s="13">
        <f t="shared" si="25"/>
        <v>25</v>
      </c>
    </row>
    <row r="1290" spans="1:1" x14ac:dyDescent="0.25">
      <c r="A1290" s="13">
        <f t="shared" si="25"/>
        <v>25</v>
      </c>
    </row>
    <row r="1291" spans="1:1" x14ac:dyDescent="0.25">
      <c r="A1291" s="13">
        <f t="shared" si="25"/>
        <v>25</v>
      </c>
    </row>
    <row r="1292" spans="1:1" x14ac:dyDescent="0.25">
      <c r="A1292" s="13">
        <f t="shared" si="25"/>
        <v>25</v>
      </c>
    </row>
    <row r="1293" spans="1:1" x14ac:dyDescent="0.25">
      <c r="A1293" s="13">
        <f t="shared" si="25"/>
        <v>25</v>
      </c>
    </row>
    <row r="1294" spans="1:1" x14ac:dyDescent="0.25">
      <c r="A1294" s="13">
        <f t="shared" si="25"/>
        <v>25</v>
      </c>
    </row>
    <row r="1295" spans="1:1" x14ac:dyDescent="0.25">
      <c r="A1295" s="13">
        <f t="shared" si="25"/>
        <v>25</v>
      </c>
    </row>
    <row r="1296" spans="1:1" x14ac:dyDescent="0.25">
      <c r="A1296" s="13">
        <f t="shared" si="25"/>
        <v>25</v>
      </c>
    </row>
    <row r="1297" spans="1:1" x14ac:dyDescent="0.25">
      <c r="A1297" s="13">
        <f t="shared" si="25"/>
        <v>25</v>
      </c>
    </row>
    <row r="1298" spans="1:1" x14ac:dyDescent="0.25">
      <c r="A1298" s="13">
        <f t="shared" si="25"/>
        <v>25</v>
      </c>
    </row>
    <row r="1299" spans="1:1" x14ac:dyDescent="0.25">
      <c r="A1299" s="13">
        <f t="shared" si="25"/>
        <v>25</v>
      </c>
    </row>
    <row r="1300" spans="1:1" x14ac:dyDescent="0.25">
      <c r="A1300" s="13">
        <f t="shared" si="25"/>
        <v>25</v>
      </c>
    </row>
    <row r="1301" spans="1:1" x14ac:dyDescent="0.25">
      <c r="A1301" s="13">
        <f t="shared" si="25"/>
        <v>25</v>
      </c>
    </row>
    <row r="1302" spans="1:1" x14ac:dyDescent="0.25">
      <c r="A1302" s="13">
        <f t="shared" si="25"/>
        <v>25</v>
      </c>
    </row>
    <row r="1303" spans="1:1" x14ac:dyDescent="0.25">
      <c r="A1303" s="13">
        <f t="shared" si="25"/>
        <v>25</v>
      </c>
    </row>
    <row r="1304" spans="1:1" x14ac:dyDescent="0.25">
      <c r="A1304" s="13">
        <f t="shared" si="25"/>
        <v>25</v>
      </c>
    </row>
    <row r="1305" spans="1:1" x14ac:dyDescent="0.25">
      <c r="A1305" s="13">
        <f t="shared" si="25"/>
        <v>25</v>
      </c>
    </row>
    <row r="1306" spans="1:1" x14ac:dyDescent="0.25">
      <c r="A1306" s="13">
        <f t="shared" si="25"/>
        <v>25</v>
      </c>
    </row>
    <row r="1307" spans="1:1" x14ac:dyDescent="0.25">
      <c r="A1307" s="13">
        <f t="shared" si="25"/>
        <v>25</v>
      </c>
    </row>
    <row r="1308" spans="1:1" x14ac:dyDescent="0.25">
      <c r="A1308" s="13">
        <f t="shared" si="25"/>
        <v>25</v>
      </c>
    </row>
    <row r="1309" spans="1:1" x14ac:dyDescent="0.25">
      <c r="A1309" s="13">
        <f t="shared" si="25"/>
        <v>25</v>
      </c>
    </row>
    <row r="1310" spans="1:1" x14ac:dyDescent="0.25">
      <c r="A1310" s="13">
        <f t="shared" si="25"/>
        <v>25</v>
      </c>
    </row>
    <row r="1311" spans="1:1" x14ac:dyDescent="0.25">
      <c r="A1311" s="13">
        <f t="shared" si="25"/>
        <v>25</v>
      </c>
    </row>
    <row r="1312" spans="1:1" x14ac:dyDescent="0.25">
      <c r="A1312" s="13">
        <f t="shared" si="25"/>
        <v>25</v>
      </c>
    </row>
    <row r="1313" spans="1:1" x14ac:dyDescent="0.25">
      <c r="A1313" s="13">
        <f t="shared" si="25"/>
        <v>25</v>
      </c>
    </row>
    <row r="1314" spans="1:1" x14ac:dyDescent="0.25">
      <c r="A1314" s="13">
        <f t="shared" si="25"/>
        <v>25</v>
      </c>
    </row>
    <row r="1315" spans="1:1" x14ac:dyDescent="0.25">
      <c r="A1315" s="13">
        <f t="shared" si="25"/>
        <v>25</v>
      </c>
    </row>
    <row r="1316" spans="1:1" x14ac:dyDescent="0.25">
      <c r="A1316" s="13">
        <f t="shared" si="25"/>
        <v>25</v>
      </c>
    </row>
    <row r="1317" spans="1:1" x14ac:dyDescent="0.25">
      <c r="A1317" s="13">
        <f t="shared" si="25"/>
        <v>25</v>
      </c>
    </row>
    <row r="1318" spans="1:1" x14ac:dyDescent="0.25">
      <c r="A1318" s="13">
        <f t="shared" si="25"/>
        <v>25</v>
      </c>
    </row>
    <row r="1319" spans="1:1" x14ac:dyDescent="0.25">
      <c r="A1319" s="13">
        <f t="shared" si="25"/>
        <v>25</v>
      </c>
    </row>
    <row r="1320" spans="1:1" x14ac:dyDescent="0.25">
      <c r="A1320" s="13">
        <f t="shared" si="25"/>
        <v>25</v>
      </c>
    </row>
    <row r="1321" spans="1:1" x14ac:dyDescent="0.25">
      <c r="A1321" s="13">
        <f t="shared" si="25"/>
        <v>25</v>
      </c>
    </row>
    <row r="1322" spans="1:1" x14ac:dyDescent="0.25">
      <c r="A1322" s="13">
        <f t="shared" si="25"/>
        <v>25</v>
      </c>
    </row>
    <row r="1323" spans="1:1" x14ac:dyDescent="0.25">
      <c r="A1323" s="13">
        <f t="shared" si="25"/>
        <v>25</v>
      </c>
    </row>
    <row r="1324" spans="1:1" x14ac:dyDescent="0.25">
      <c r="A1324" s="13">
        <f t="shared" si="25"/>
        <v>25</v>
      </c>
    </row>
    <row r="1325" spans="1:1" x14ac:dyDescent="0.25">
      <c r="A1325" s="13">
        <f t="shared" si="25"/>
        <v>25</v>
      </c>
    </row>
    <row r="1326" spans="1:1" x14ac:dyDescent="0.25">
      <c r="A1326" s="13">
        <f t="shared" si="25"/>
        <v>25</v>
      </c>
    </row>
    <row r="1327" spans="1:1" x14ac:dyDescent="0.25">
      <c r="A1327" s="13">
        <f t="shared" si="25"/>
        <v>25</v>
      </c>
    </row>
    <row r="1328" spans="1:1" x14ac:dyDescent="0.25">
      <c r="A1328" s="13">
        <f t="shared" si="25"/>
        <v>25</v>
      </c>
    </row>
    <row r="1329" spans="1:1" x14ac:dyDescent="0.25">
      <c r="A1329" s="13">
        <f t="shared" si="25"/>
        <v>25</v>
      </c>
    </row>
    <row r="1330" spans="1:1" x14ac:dyDescent="0.25">
      <c r="A1330" s="13">
        <f t="shared" si="25"/>
        <v>25</v>
      </c>
    </row>
    <row r="1331" spans="1:1" x14ac:dyDescent="0.25">
      <c r="A1331" s="13">
        <f t="shared" si="25"/>
        <v>25</v>
      </c>
    </row>
    <row r="1332" spans="1:1" x14ac:dyDescent="0.25">
      <c r="A1332" s="13">
        <f t="shared" si="25"/>
        <v>25</v>
      </c>
    </row>
    <row r="1333" spans="1:1" x14ac:dyDescent="0.25">
      <c r="A1333" s="13">
        <f t="shared" si="25"/>
        <v>25</v>
      </c>
    </row>
    <row r="1334" spans="1:1" x14ac:dyDescent="0.25">
      <c r="A1334" s="13">
        <f t="shared" si="25"/>
        <v>25</v>
      </c>
    </row>
    <row r="1335" spans="1:1" x14ac:dyDescent="0.25">
      <c r="A1335" s="13">
        <f t="shared" si="25"/>
        <v>25</v>
      </c>
    </row>
    <row r="1336" spans="1:1" x14ac:dyDescent="0.25">
      <c r="A1336" s="13">
        <f t="shared" si="25"/>
        <v>25</v>
      </c>
    </row>
    <row r="1337" spans="1:1" x14ac:dyDescent="0.25">
      <c r="A1337" s="13">
        <f t="shared" si="25"/>
        <v>25</v>
      </c>
    </row>
    <row r="1338" spans="1:1" x14ac:dyDescent="0.25">
      <c r="A1338" s="13">
        <f t="shared" si="25"/>
        <v>25</v>
      </c>
    </row>
    <row r="1339" spans="1:1" x14ac:dyDescent="0.25">
      <c r="A1339" s="13">
        <f t="shared" si="25"/>
        <v>25</v>
      </c>
    </row>
    <row r="1340" spans="1:1" x14ac:dyDescent="0.25">
      <c r="A1340" s="13">
        <f t="shared" si="25"/>
        <v>25</v>
      </c>
    </row>
    <row r="1341" spans="1:1" x14ac:dyDescent="0.25">
      <c r="A1341" s="13">
        <f t="shared" si="25"/>
        <v>25</v>
      </c>
    </row>
    <row r="1342" spans="1:1" x14ac:dyDescent="0.25">
      <c r="A1342" s="13">
        <f t="shared" si="25"/>
        <v>25</v>
      </c>
    </row>
    <row r="1343" spans="1:1" x14ac:dyDescent="0.25">
      <c r="A1343" s="13">
        <f t="shared" si="25"/>
        <v>25</v>
      </c>
    </row>
    <row r="1344" spans="1:1" x14ac:dyDescent="0.25">
      <c r="A1344" s="13">
        <f t="shared" si="25"/>
        <v>25</v>
      </c>
    </row>
    <row r="1345" spans="1:1" x14ac:dyDescent="0.25">
      <c r="A1345" s="13">
        <f t="shared" si="25"/>
        <v>25</v>
      </c>
    </row>
    <row r="1346" spans="1:1" x14ac:dyDescent="0.25">
      <c r="A1346" s="13">
        <f t="shared" si="25"/>
        <v>25</v>
      </c>
    </row>
    <row r="1347" spans="1:1" x14ac:dyDescent="0.25">
      <c r="A1347" s="13">
        <f t="shared" si="25"/>
        <v>25</v>
      </c>
    </row>
    <row r="1348" spans="1:1" x14ac:dyDescent="0.25">
      <c r="A1348" s="13">
        <f t="shared" si="25"/>
        <v>25</v>
      </c>
    </row>
    <row r="1349" spans="1:1" x14ac:dyDescent="0.25">
      <c r="A1349" s="13">
        <f t="shared" ref="A1349:A1412" si="26">IF(B1349=B1348,A1348,A1348+1)</f>
        <v>25</v>
      </c>
    </row>
    <row r="1350" spans="1:1" x14ac:dyDescent="0.25">
      <c r="A1350" s="13">
        <f t="shared" si="26"/>
        <v>25</v>
      </c>
    </row>
    <row r="1351" spans="1:1" x14ac:dyDescent="0.25">
      <c r="A1351" s="13">
        <f t="shared" si="26"/>
        <v>25</v>
      </c>
    </row>
    <row r="1352" spans="1:1" x14ac:dyDescent="0.25">
      <c r="A1352" s="13">
        <f t="shared" si="26"/>
        <v>25</v>
      </c>
    </row>
    <row r="1353" spans="1:1" x14ac:dyDescent="0.25">
      <c r="A1353" s="13">
        <f t="shared" si="26"/>
        <v>25</v>
      </c>
    </row>
    <row r="1354" spans="1:1" x14ac:dyDescent="0.25">
      <c r="A1354" s="13">
        <f t="shared" si="26"/>
        <v>25</v>
      </c>
    </row>
    <row r="1355" spans="1:1" x14ac:dyDescent="0.25">
      <c r="A1355" s="13">
        <f t="shared" si="26"/>
        <v>25</v>
      </c>
    </row>
    <row r="1356" spans="1:1" x14ac:dyDescent="0.25">
      <c r="A1356" s="13">
        <f t="shared" si="26"/>
        <v>25</v>
      </c>
    </row>
    <row r="1357" spans="1:1" x14ac:dyDescent="0.25">
      <c r="A1357" s="13">
        <f t="shared" si="26"/>
        <v>25</v>
      </c>
    </row>
    <row r="1358" spans="1:1" x14ac:dyDescent="0.25">
      <c r="A1358" s="13">
        <f t="shared" si="26"/>
        <v>25</v>
      </c>
    </row>
    <row r="1359" spans="1:1" x14ac:dyDescent="0.25">
      <c r="A1359" s="13">
        <f t="shared" si="26"/>
        <v>25</v>
      </c>
    </row>
    <row r="1360" spans="1:1" x14ac:dyDescent="0.25">
      <c r="A1360" s="13">
        <f t="shared" si="26"/>
        <v>25</v>
      </c>
    </row>
    <row r="1361" spans="1:1" x14ac:dyDescent="0.25">
      <c r="A1361" s="13">
        <f t="shared" si="26"/>
        <v>25</v>
      </c>
    </row>
    <row r="1362" spans="1:1" x14ac:dyDescent="0.25">
      <c r="A1362" s="13">
        <f t="shared" si="26"/>
        <v>25</v>
      </c>
    </row>
    <row r="1363" spans="1:1" x14ac:dyDescent="0.25">
      <c r="A1363" s="13">
        <f t="shared" si="26"/>
        <v>25</v>
      </c>
    </row>
    <row r="1364" spans="1:1" x14ac:dyDescent="0.25">
      <c r="A1364" s="13">
        <f t="shared" si="26"/>
        <v>25</v>
      </c>
    </row>
    <row r="1365" spans="1:1" x14ac:dyDescent="0.25">
      <c r="A1365" s="13">
        <f t="shared" si="26"/>
        <v>25</v>
      </c>
    </row>
    <row r="1366" spans="1:1" x14ac:dyDescent="0.25">
      <c r="A1366" s="13">
        <f t="shared" si="26"/>
        <v>25</v>
      </c>
    </row>
    <row r="1367" spans="1:1" x14ac:dyDescent="0.25">
      <c r="A1367" s="13">
        <f t="shared" si="26"/>
        <v>25</v>
      </c>
    </row>
    <row r="1368" spans="1:1" x14ac:dyDescent="0.25">
      <c r="A1368" s="13">
        <f t="shared" si="26"/>
        <v>25</v>
      </c>
    </row>
    <row r="1369" spans="1:1" x14ac:dyDescent="0.25">
      <c r="A1369" s="13">
        <f t="shared" si="26"/>
        <v>25</v>
      </c>
    </row>
    <row r="1370" spans="1:1" x14ac:dyDescent="0.25">
      <c r="A1370" s="13">
        <f t="shared" si="26"/>
        <v>25</v>
      </c>
    </row>
    <row r="1371" spans="1:1" x14ac:dyDescent="0.25">
      <c r="A1371" s="13">
        <f t="shared" si="26"/>
        <v>25</v>
      </c>
    </row>
    <row r="1372" spans="1:1" x14ac:dyDescent="0.25">
      <c r="A1372" s="13">
        <f t="shared" si="26"/>
        <v>25</v>
      </c>
    </row>
    <row r="1373" spans="1:1" x14ac:dyDescent="0.25">
      <c r="A1373" s="13">
        <f t="shared" si="26"/>
        <v>25</v>
      </c>
    </row>
    <row r="1374" spans="1:1" x14ac:dyDescent="0.25">
      <c r="A1374" s="13">
        <f t="shared" si="26"/>
        <v>25</v>
      </c>
    </row>
    <row r="1375" spans="1:1" x14ac:dyDescent="0.25">
      <c r="A1375" s="13">
        <f t="shared" si="26"/>
        <v>25</v>
      </c>
    </row>
    <row r="1376" spans="1:1" x14ac:dyDescent="0.25">
      <c r="A1376" s="13">
        <f t="shared" si="26"/>
        <v>25</v>
      </c>
    </row>
    <row r="1377" spans="1:1" x14ac:dyDescent="0.25">
      <c r="A1377" s="13">
        <f t="shared" si="26"/>
        <v>25</v>
      </c>
    </row>
    <row r="1378" spans="1:1" x14ac:dyDescent="0.25">
      <c r="A1378" s="13">
        <f t="shared" si="26"/>
        <v>25</v>
      </c>
    </row>
    <row r="1379" spans="1:1" x14ac:dyDescent="0.25">
      <c r="A1379" s="13">
        <f t="shared" si="26"/>
        <v>25</v>
      </c>
    </row>
    <row r="1380" spans="1:1" x14ac:dyDescent="0.25">
      <c r="A1380" s="13">
        <f t="shared" si="26"/>
        <v>25</v>
      </c>
    </row>
    <row r="1381" spans="1:1" x14ac:dyDescent="0.25">
      <c r="A1381" s="13">
        <f t="shared" si="26"/>
        <v>25</v>
      </c>
    </row>
    <row r="1382" spans="1:1" x14ac:dyDescent="0.25">
      <c r="A1382" s="13">
        <f t="shared" si="26"/>
        <v>25</v>
      </c>
    </row>
    <row r="1383" spans="1:1" x14ac:dyDescent="0.25">
      <c r="A1383" s="13">
        <f t="shared" si="26"/>
        <v>25</v>
      </c>
    </row>
    <row r="1384" spans="1:1" x14ac:dyDescent="0.25">
      <c r="A1384" s="13">
        <f t="shared" si="26"/>
        <v>25</v>
      </c>
    </row>
    <row r="1385" spans="1:1" x14ac:dyDescent="0.25">
      <c r="A1385" s="13">
        <f t="shared" si="26"/>
        <v>25</v>
      </c>
    </row>
    <row r="1386" spans="1:1" x14ac:dyDescent="0.25">
      <c r="A1386" s="13">
        <f t="shared" si="26"/>
        <v>25</v>
      </c>
    </row>
    <row r="1387" spans="1:1" x14ac:dyDescent="0.25">
      <c r="A1387" s="13">
        <f t="shared" si="26"/>
        <v>25</v>
      </c>
    </row>
    <row r="1388" spans="1:1" x14ac:dyDescent="0.25">
      <c r="A1388" s="13">
        <f t="shared" si="26"/>
        <v>25</v>
      </c>
    </row>
    <row r="1389" spans="1:1" x14ac:dyDescent="0.25">
      <c r="A1389" s="13">
        <f t="shared" si="26"/>
        <v>25</v>
      </c>
    </row>
    <row r="1390" spans="1:1" x14ac:dyDescent="0.25">
      <c r="A1390" s="13">
        <f t="shared" si="26"/>
        <v>25</v>
      </c>
    </row>
    <row r="1391" spans="1:1" x14ac:dyDescent="0.25">
      <c r="A1391" s="13">
        <f t="shared" si="26"/>
        <v>25</v>
      </c>
    </row>
    <row r="1392" spans="1:1" x14ac:dyDescent="0.25">
      <c r="A1392" s="13">
        <f t="shared" si="26"/>
        <v>25</v>
      </c>
    </row>
    <row r="1393" spans="1:1" x14ac:dyDescent="0.25">
      <c r="A1393" s="13">
        <f t="shared" si="26"/>
        <v>25</v>
      </c>
    </row>
    <row r="1394" spans="1:1" x14ac:dyDescent="0.25">
      <c r="A1394" s="13">
        <f t="shared" si="26"/>
        <v>25</v>
      </c>
    </row>
    <row r="1395" spans="1:1" x14ac:dyDescent="0.25">
      <c r="A1395" s="13">
        <f t="shared" si="26"/>
        <v>25</v>
      </c>
    </row>
    <row r="1396" spans="1:1" x14ac:dyDescent="0.25">
      <c r="A1396" s="13">
        <f t="shared" si="26"/>
        <v>25</v>
      </c>
    </row>
    <row r="1397" spans="1:1" x14ac:dyDescent="0.25">
      <c r="A1397" s="13">
        <f t="shared" si="26"/>
        <v>25</v>
      </c>
    </row>
    <row r="1398" spans="1:1" x14ac:dyDescent="0.25">
      <c r="A1398" s="13">
        <f t="shared" si="26"/>
        <v>25</v>
      </c>
    </row>
    <row r="1399" spans="1:1" x14ac:dyDescent="0.25">
      <c r="A1399" s="13">
        <f t="shared" si="26"/>
        <v>25</v>
      </c>
    </row>
    <row r="1400" spans="1:1" x14ac:dyDescent="0.25">
      <c r="A1400" s="13">
        <f t="shared" si="26"/>
        <v>25</v>
      </c>
    </row>
    <row r="1401" spans="1:1" x14ac:dyDescent="0.25">
      <c r="A1401" s="13">
        <f t="shared" si="26"/>
        <v>25</v>
      </c>
    </row>
    <row r="1402" spans="1:1" x14ac:dyDescent="0.25">
      <c r="A1402" s="13">
        <f t="shared" si="26"/>
        <v>25</v>
      </c>
    </row>
    <row r="1403" spans="1:1" x14ac:dyDescent="0.25">
      <c r="A1403" s="13">
        <f t="shared" si="26"/>
        <v>25</v>
      </c>
    </row>
    <row r="1404" spans="1:1" x14ac:dyDescent="0.25">
      <c r="A1404" s="13">
        <f t="shared" si="26"/>
        <v>25</v>
      </c>
    </row>
    <row r="1405" spans="1:1" x14ac:dyDescent="0.25">
      <c r="A1405" s="13">
        <f t="shared" si="26"/>
        <v>25</v>
      </c>
    </row>
    <row r="1406" spans="1:1" x14ac:dyDescent="0.25">
      <c r="A1406" s="13">
        <f t="shared" si="26"/>
        <v>25</v>
      </c>
    </row>
    <row r="1407" spans="1:1" x14ac:dyDescent="0.25">
      <c r="A1407" s="13">
        <f t="shared" si="26"/>
        <v>25</v>
      </c>
    </row>
    <row r="1408" spans="1:1" x14ac:dyDescent="0.25">
      <c r="A1408" s="13">
        <f t="shared" si="26"/>
        <v>25</v>
      </c>
    </row>
    <row r="1409" spans="1:1" x14ac:dyDescent="0.25">
      <c r="A1409" s="13">
        <f t="shared" si="26"/>
        <v>25</v>
      </c>
    </row>
    <row r="1410" spans="1:1" x14ac:dyDescent="0.25">
      <c r="A1410" s="13">
        <f t="shared" si="26"/>
        <v>25</v>
      </c>
    </row>
    <row r="1411" spans="1:1" x14ac:dyDescent="0.25">
      <c r="A1411" s="13">
        <f t="shared" si="26"/>
        <v>25</v>
      </c>
    </row>
    <row r="1412" spans="1:1" x14ac:dyDescent="0.25">
      <c r="A1412" s="13">
        <f t="shared" si="26"/>
        <v>25</v>
      </c>
    </row>
    <row r="1413" spans="1:1" x14ac:dyDescent="0.25">
      <c r="A1413" s="13">
        <f t="shared" ref="A1413:A1476" si="27">IF(B1413=B1412,A1412,A1412+1)</f>
        <v>25</v>
      </c>
    </row>
    <row r="1414" spans="1:1" x14ac:dyDescent="0.25">
      <c r="A1414" s="13">
        <f t="shared" si="27"/>
        <v>25</v>
      </c>
    </row>
    <row r="1415" spans="1:1" x14ac:dyDescent="0.25">
      <c r="A1415" s="13">
        <f t="shared" si="27"/>
        <v>25</v>
      </c>
    </row>
    <row r="1416" spans="1:1" x14ac:dyDescent="0.25">
      <c r="A1416" s="13">
        <f t="shared" si="27"/>
        <v>25</v>
      </c>
    </row>
    <row r="1417" spans="1:1" x14ac:dyDescent="0.25">
      <c r="A1417" s="13">
        <f t="shared" si="27"/>
        <v>25</v>
      </c>
    </row>
    <row r="1418" spans="1:1" x14ac:dyDescent="0.25">
      <c r="A1418" s="13">
        <f t="shared" si="27"/>
        <v>25</v>
      </c>
    </row>
    <row r="1419" spans="1:1" x14ac:dyDescent="0.25">
      <c r="A1419" s="13">
        <f t="shared" si="27"/>
        <v>25</v>
      </c>
    </row>
    <row r="1420" spans="1:1" x14ac:dyDescent="0.25">
      <c r="A1420" s="13">
        <f t="shared" si="27"/>
        <v>25</v>
      </c>
    </row>
    <row r="1421" spans="1:1" x14ac:dyDescent="0.25">
      <c r="A1421" s="13">
        <f t="shared" si="27"/>
        <v>25</v>
      </c>
    </row>
    <row r="1422" spans="1:1" x14ac:dyDescent="0.25">
      <c r="A1422" s="13">
        <f t="shared" si="27"/>
        <v>25</v>
      </c>
    </row>
    <row r="1423" spans="1:1" x14ac:dyDescent="0.25">
      <c r="A1423" s="13">
        <f t="shared" si="27"/>
        <v>25</v>
      </c>
    </row>
    <row r="1424" spans="1:1" x14ac:dyDescent="0.25">
      <c r="A1424" s="13">
        <f t="shared" si="27"/>
        <v>25</v>
      </c>
    </row>
    <row r="1425" spans="1:1" x14ac:dyDescent="0.25">
      <c r="A1425" s="13">
        <f t="shared" si="27"/>
        <v>25</v>
      </c>
    </row>
    <row r="1426" spans="1:1" x14ac:dyDescent="0.25">
      <c r="A1426" s="13">
        <f t="shared" si="27"/>
        <v>25</v>
      </c>
    </row>
    <row r="1427" spans="1:1" x14ac:dyDescent="0.25">
      <c r="A1427" s="13">
        <f t="shared" si="27"/>
        <v>25</v>
      </c>
    </row>
    <row r="1428" spans="1:1" x14ac:dyDescent="0.25">
      <c r="A1428" s="13">
        <f t="shared" si="27"/>
        <v>25</v>
      </c>
    </row>
    <row r="1429" spans="1:1" x14ac:dyDescent="0.25">
      <c r="A1429" s="13">
        <f t="shared" si="27"/>
        <v>25</v>
      </c>
    </row>
    <row r="1430" spans="1:1" x14ac:dyDescent="0.25">
      <c r="A1430" s="13">
        <f t="shared" si="27"/>
        <v>25</v>
      </c>
    </row>
    <row r="1431" spans="1:1" x14ac:dyDescent="0.25">
      <c r="A1431" s="13">
        <f t="shared" si="27"/>
        <v>25</v>
      </c>
    </row>
    <row r="1432" spans="1:1" x14ac:dyDescent="0.25">
      <c r="A1432" s="13">
        <f t="shared" si="27"/>
        <v>25</v>
      </c>
    </row>
    <row r="1433" spans="1:1" x14ac:dyDescent="0.25">
      <c r="A1433" s="13">
        <f t="shared" si="27"/>
        <v>25</v>
      </c>
    </row>
    <row r="1434" spans="1:1" x14ac:dyDescent="0.25">
      <c r="A1434" s="13">
        <f t="shared" si="27"/>
        <v>25</v>
      </c>
    </row>
    <row r="1435" spans="1:1" x14ac:dyDescent="0.25">
      <c r="A1435" s="13">
        <f t="shared" si="27"/>
        <v>25</v>
      </c>
    </row>
    <row r="1436" spans="1:1" x14ac:dyDescent="0.25">
      <c r="A1436" s="13">
        <f t="shared" si="27"/>
        <v>25</v>
      </c>
    </row>
    <row r="1437" spans="1:1" x14ac:dyDescent="0.25">
      <c r="A1437" s="13">
        <f t="shared" si="27"/>
        <v>25</v>
      </c>
    </row>
    <row r="1438" spans="1:1" x14ac:dyDescent="0.25">
      <c r="A1438" s="13">
        <f t="shared" si="27"/>
        <v>25</v>
      </c>
    </row>
    <row r="1439" spans="1:1" x14ac:dyDescent="0.25">
      <c r="A1439" s="13">
        <f t="shared" si="27"/>
        <v>25</v>
      </c>
    </row>
    <row r="1440" spans="1:1" x14ac:dyDescent="0.25">
      <c r="A1440" s="13">
        <f t="shared" si="27"/>
        <v>25</v>
      </c>
    </row>
    <row r="1441" spans="1:1" x14ac:dyDescent="0.25">
      <c r="A1441" s="13">
        <f t="shared" si="27"/>
        <v>25</v>
      </c>
    </row>
    <row r="1442" spans="1:1" x14ac:dyDescent="0.25">
      <c r="A1442" s="13">
        <f t="shared" si="27"/>
        <v>25</v>
      </c>
    </row>
    <row r="1443" spans="1:1" x14ac:dyDescent="0.25">
      <c r="A1443" s="13">
        <f t="shared" si="27"/>
        <v>25</v>
      </c>
    </row>
    <row r="1444" spans="1:1" x14ac:dyDescent="0.25">
      <c r="A1444" s="13">
        <f t="shared" si="27"/>
        <v>25</v>
      </c>
    </row>
    <row r="1445" spans="1:1" x14ac:dyDescent="0.25">
      <c r="A1445" s="13">
        <f t="shared" si="27"/>
        <v>25</v>
      </c>
    </row>
    <row r="1446" spans="1:1" x14ac:dyDescent="0.25">
      <c r="A1446" s="13">
        <f t="shared" si="27"/>
        <v>25</v>
      </c>
    </row>
    <row r="1447" spans="1:1" x14ac:dyDescent="0.25">
      <c r="A1447" s="13">
        <f t="shared" si="27"/>
        <v>25</v>
      </c>
    </row>
    <row r="1448" spans="1:1" x14ac:dyDescent="0.25">
      <c r="A1448" s="13">
        <f t="shared" si="27"/>
        <v>25</v>
      </c>
    </row>
    <row r="1449" spans="1:1" x14ac:dyDescent="0.25">
      <c r="A1449" s="13">
        <f t="shared" si="27"/>
        <v>25</v>
      </c>
    </row>
    <row r="1450" spans="1:1" x14ac:dyDescent="0.25">
      <c r="A1450" s="13">
        <f t="shared" si="27"/>
        <v>25</v>
      </c>
    </row>
    <row r="1451" spans="1:1" x14ac:dyDescent="0.25">
      <c r="A1451" s="13">
        <f t="shared" si="27"/>
        <v>25</v>
      </c>
    </row>
    <row r="1452" spans="1:1" x14ac:dyDescent="0.25">
      <c r="A1452" s="13">
        <f t="shared" si="27"/>
        <v>25</v>
      </c>
    </row>
    <row r="1453" spans="1:1" x14ac:dyDescent="0.25">
      <c r="A1453" s="13">
        <f t="shared" si="27"/>
        <v>25</v>
      </c>
    </row>
    <row r="1454" spans="1:1" x14ac:dyDescent="0.25">
      <c r="A1454" s="13">
        <f t="shared" si="27"/>
        <v>25</v>
      </c>
    </row>
    <row r="1455" spans="1:1" x14ac:dyDescent="0.25">
      <c r="A1455" s="13">
        <f t="shared" si="27"/>
        <v>25</v>
      </c>
    </row>
    <row r="1456" spans="1:1" x14ac:dyDescent="0.25">
      <c r="A1456" s="13">
        <f t="shared" si="27"/>
        <v>25</v>
      </c>
    </row>
    <row r="1457" spans="1:1" x14ac:dyDescent="0.25">
      <c r="A1457" s="13">
        <f t="shared" si="27"/>
        <v>25</v>
      </c>
    </row>
    <row r="1458" spans="1:1" x14ac:dyDescent="0.25">
      <c r="A1458" s="13">
        <f t="shared" si="27"/>
        <v>25</v>
      </c>
    </row>
    <row r="1459" spans="1:1" x14ac:dyDescent="0.25">
      <c r="A1459" s="13">
        <f t="shared" si="27"/>
        <v>25</v>
      </c>
    </row>
    <row r="1460" spans="1:1" x14ac:dyDescent="0.25">
      <c r="A1460" s="13">
        <f t="shared" si="27"/>
        <v>25</v>
      </c>
    </row>
    <row r="1461" spans="1:1" x14ac:dyDescent="0.25">
      <c r="A1461" s="13">
        <f t="shared" si="27"/>
        <v>25</v>
      </c>
    </row>
    <row r="1462" spans="1:1" x14ac:dyDescent="0.25">
      <c r="A1462" s="13">
        <f t="shared" si="27"/>
        <v>25</v>
      </c>
    </row>
    <row r="1463" spans="1:1" x14ac:dyDescent="0.25">
      <c r="A1463" s="13">
        <f t="shared" si="27"/>
        <v>25</v>
      </c>
    </row>
    <row r="1464" spans="1:1" x14ac:dyDescent="0.25">
      <c r="A1464" s="13">
        <f t="shared" si="27"/>
        <v>25</v>
      </c>
    </row>
    <row r="1465" spans="1:1" x14ac:dyDescent="0.25">
      <c r="A1465" s="13">
        <f t="shared" si="27"/>
        <v>25</v>
      </c>
    </row>
    <row r="1466" spans="1:1" x14ac:dyDescent="0.25">
      <c r="A1466" s="13">
        <f t="shared" si="27"/>
        <v>25</v>
      </c>
    </row>
    <row r="1467" spans="1:1" x14ac:dyDescent="0.25">
      <c r="A1467" s="13">
        <f t="shared" si="27"/>
        <v>25</v>
      </c>
    </row>
    <row r="1468" spans="1:1" x14ac:dyDescent="0.25">
      <c r="A1468" s="13">
        <f t="shared" si="27"/>
        <v>25</v>
      </c>
    </row>
    <row r="1469" spans="1:1" x14ac:dyDescent="0.25">
      <c r="A1469" s="13">
        <f t="shared" si="27"/>
        <v>25</v>
      </c>
    </row>
    <row r="1470" spans="1:1" x14ac:dyDescent="0.25">
      <c r="A1470" s="13">
        <f t="shared" si="27"/>
        <v>25</v>
      </c>
    </row>
    <row r="1471" spans="1:1" x14ac:dyDescent="0.25">
      <c r="A1471" s="13">
        <f t="shared" si="27"/>
        <v>25</v>
      </c>
    </row>
    <row r="1472" spans="1:1" x14ac:dyDescent="0.25">
      <c r="A1472" s="13">
        <f t="shared" si="27"/>
        <v>25</v>
      </c>
    </row>
    <row r="1473" spans="1:1" x14ac:dyDescent="0.25">
      <c r="A1473" s="13">
        <f t="shared" si="27"/>
        <v>25</v>
      </c>
    </row>
    <row r="1474" spans="1:1" x14ac:dyDescent="0.25">
      <c r="A1474" s="13">
        <f t="shared" si="27"/>
        <v>25</v>
      </c>
    </row>
    <row r="1475" spans="1:1" x14ac:dyDescent="0.25">
      <c r="A1475" s="13">
        <f t="shared" si="27"/>
        <v>25</v>
      </c>
    </row>
    <row r="1476" spans="1:1" x14ac:dyDescent="0.25">
      <c r="A1476" s="13">
        <f t="shared" si="27"/>
        <v>25</v>
      </c>
    </row>
    <row r="1477" spans="1:1" x14ac:dyDescent="0.25">
      <c r="A1477" s="13">
        <f t="shared" ref="A1477:A1540" si="28">IF(B1477=B1476,A1476,A1476+1)</f>
        <v>25</v>
      </c>
    </row>
    <row r="1478" spans="1:1" x14ac:dyDescent="0.25">
      <c r="A1478" s="13">
        <f t="shared" si="28"/>
        <v>25</v>
      </c>
    </row>
    <row r="1479" spans="1:1" x14ac:dyDescent="0.25">
      <c r="A1479" s="13">
        <f t="shared" si="28"/>
        <v>25</v>
      </c>
    </row>
    <row r="1480" spans="1:1" x14ac:dyDescent="0.25">
      <c r="A1480" s="13">
        <f t="shared" si="28"/>
        <v>25</v>
      </c>
    </row>
    <row r="1481" spans="1:1" x14ac:dyDescent="0.25">
      <c r="A1481" s="13">
        <f t="shared" si="28"/>
        <v>25</v>
      </c>
    </row>
    <row r="1482" spans="1:1" x14ac:dyDescent="0.25">
      <c r="A1482" s="13">
        <f t="shared" si="28"/>
        <v>25</v>
      </c>
    </row>
    <row r="1483" spans="1:1" x14ac:dyDescent="0.25">
      <c r="A1483" s="13">
        <f t="shared" si="28"/>
        <v>25</v>
      </c>
    </row>
    <row r="1484" spans="1:1" x14ac:dyDescent="0.25">
      <c r="A1484" s="13">
        <f t="shared" si="28"/>
        <v>25</v>
      </c>
    </row>
    <row r="1485" spans="1:1" x14ac:dyDescent="0.25">
      <c r="A1485" s="13">
        <f t="shared" si="28"/>
        <v>25</v>
      </c>
    </row>
    <row r="1486" spans="1:1" x14ac:dyDescent="0.25">
      <c r="A1486" s="13">
        <f t="shared" si="28"/>
        <v>25</v>
      </c>
    </row>
    <row r="1487" spans="1:1" x14ac:dyDescent="0.25">
      <c r="A1487" s="13">
        <f t="shared" si="28"/>
        <v>25</v>
      </c>
    </row>
    <row r="1488" spans="1:1" x14ac:dyDescent="0.25">
      <c r="A1488" s="13">
        <f t="shared" si="28"/>
        <v>25</v>
      </c>
    </row>
    <row r="1489" spans="1:1" x14ac:dyDescent="0.25">
      <c r="A1489" s="13">
        <f t="shared" si="28"/>
        <v>25</v>
      </c>
    </row>
    <row r="1490" spans="1:1" x14ac:dyDescent="0.25">
      <c r="A1490" s="13">
        <f t="shared" si="28"/>
        <v>25</v>
      </c>
    </row>
    <row r="1491" spans="1:1" x14ac:dyDescent="0.25">
      <c r="A1491" s="13">
        <f t="shared" si="28"/>
        <v>25</v>
      </c>
    </row>
    <row r="1492" spans="1:1" x14ac:dyDescent="0.25">
      <c r="A1492" s="13">
        <f t="shared" si="28"/>
        <v>25</v>
      </c>
    </row>
    <row r="1493" spans="1:1" x14ac:dyDescent="0.25">
      <c r="A1493" s="13">
        <f t="shared" si="28"/>
        <v>25</v>
      </c>
    </row>
    <row r="1494" spans="1:1" x14ac:dyDescent="0.25">
      <c r="A1494" s="13">
        <f t="shared" si="28"/>
        <v>25</v>
      </c>
    </row>
    <row r="1495" spans="1:1" x14ac:dyDescent="0.25">
      <c r="A1495" s="13">
        <f t="shared" si="28"/>
        <v>25</v>
      </c>
    </row>
    <row r="1496" spans="1:1" x14ac:dyDescent="0.25">
      <c r="A1496" s="13">
        <f t="shared" si="28"/>
        <v>25</v>
      </c>
    </row>
    <row r="1497" spans="1:1" x14ac:dyDescent="0.25">
      <c r="A1497" s="13">
        <f t="shared" si="28"/>
        <v>25</v>
      </c>
    </row>
    <row r="1498" spans="1:1" x14ac:dyDescent="0.25">
      <c r="A1498" s="13">
        <f t="shared" si="28"/>
        <v>25</v>
      </c>
    </row>
    <row r="1499" spans="1:1" x14ac:dyDescent="0.25">
      <c r="A1499" s="13">
        <f t="shared" si="28"/>
        <v>25</v>
      </c>
    </row>
    <row r="1500" spans="1:1" x14ac:dyDescent="0.25">
      <c r="A1500" s="13">
        <f t="shared" si="28"/>
        <v>25</v>
      </c>
    </row>
    <row r="1501" spans="1:1" x14ac:dyDescent="0.25">
      <c r="A1501" s="13">
        <f t="shared" si="28"/>
        <v>25</v>
      </c>
    </row>
    <row r="1502" spans="1:1" x14ac:dyDescent="0.25">
      <c r="A1502" s="13">
        <f t="shared" si="28"/>
        <v>25</v>
      </c>
    </row>
    <row r="1503" spans="1:1" x14ac:dyDescent="0.25">
      <c r="A1503" s="13">
        <f t="shared" si="28"/>
        <v>25</v>
      </c>
    </row>
    <row r="1504" spans="1:1" x14ac:dyDescent="0.25">
      <c r="A1504" s="13">
        <f t="shared" si="28"/>
        <v>25</v>
      </c>
    </row>
    <row r="1505" spans="1:1" x14ac:dyDescent="0.25">
      <c r="A1505" s="13">
        <f t="shared" si="28"/>
        <v>25</v>
      </c>
    </row>
    <row r="1506" spans="1:1" x14ac:dyDescent="0.25">
      <c r="A1506" s="13">
        <f t="shared" si="28"/>
        <v>25</v>
      </c>
    </row>
    <row r="1507" spans="1:1" x14ac:dyDescent="0.25">
      <c r="A1507" s="13">
        <f t="shared" si="28"/>
        <v>25</v>
      </c>
    </row>
    <row r="1508" spans="1:1" x14ac:dyDescent="0.25">
      <c r="A1508" s="13">
        <f t="shared" si="28"/>
        <v>25</v>
      </c>
    </row>
    <row r="1509" spans="1:1" x14ac:dyDescent="0.25">
      <c r="A1509" s="13">
        <f t="shared" si="28"/>
        <v>25</v>
      </c>
    </row>
    <row r="1510" spans="1:1" x14ac:dyDescent="0.25">
      <c r="A1510" s="13">
        <f t="shared" si="28"/>
        <v>25</v>
      </c>
    </row>
    <row r="1511" spans="1:1" x14ac:dyDescent="0.25">
      <c r="A1511" s="13">
        <f t="shared" si="28"/>
        <v>25</v>
      </c>
    </row>
    <row r="1512" spans="1:1" x14ac:dyDescent="0.25">
      <c r="A1512" s="13">
        <f t="shared" si="28"/>
        <v>25</v>
      </c>
    </row>
    <row r="1513" spans="1:1" x14ac:dyDescent="0.25">
      <c r="A1513" s="13">
        <f t="shared" si="28"/>
        <v>25</v>
      </c>
    </row>
    <row r="1514" spans="1:1" x14ac:dyDescent="0.25">
      <c r="A1514" s="13">
        <f t="shared" si="28"/>
        <v>25</v>
      </c>
    </row>
    <row r="1515" spans="1:1" x14ac:dyDescent="0.25">
      <c r="A1515" s="13">
        <f t="shared" si="28"/>
        <v>25</v>
      </c>
    </row>
    <row r="1516" spans="1:1" x14ac:dyDescent="0.25">
      <c r="A1516" s="13">
        <f t="shared" si="28"/>
        <v>25</v>
      </c>
    </row>
    <row r="1517" spans="1:1" x14ac:dyDescent="0.25">
      <c r="A1517" s="13">
        <f t="shared" si="28"/>
        <v>25</v>
      </c>
    </row>
    <row r="1518" spans="1:1" x14ac:dyDescent="0.25">
      <c r="A1518" s="13">
        <f t="shared" si="28"/>
        <v>25</v>
      </c>
    </row>
    <row r="1519" spans="1:1" x14ac:dyDescent="0.25">
      <c r="A1519" s="13">
        <f t="shared" si="28"/>
        <v>25</v>
      </c>
    </row>
    <row r="1520" spans="1:1" x14ac:dyDescent="0.25">
      <c r="A1520" s="13">
        <f t="shared" si="28"/>
        <v>25</v>
      </c>
    </row>
    <row r="1521" spans="1:1" x14ac:dyDescent="0.25">
      <c r="A1521" s="13">
        <f t="shared" si="28"/>
        <v>25</v>
      </c>
    </row>
    <row r="1522" spans="1:1" x14ac:dyDescent="0.25">
      <c r="A1522" s="13">
        <f t="shared" si="28"/>
        <v>25</v>
      </c>
    </row>
    <row r="1523" spans="1:1" x14ac:dyDescent="0.25">
      <c r="A1523" s="13">
        <f t="shared" si="28"/>
        <v>25</v>
      </c>
    </row>
    <row r="1524" spans="1:1" x14ac:dyDescent="0.25">
      <c r="A1524" s="13">
        <f t="shared" si="28"/>
        <v>25</v>
      </c>
    </row>
    <row r="1525" spans="1:1" x14ac:dyDescent="0.25">
      <c r="A1525" s="13">
        <f t="shared" si="28"/>
        <v>25</v>
      </c>
    </row>
    <row r="1526" spans="1:1" x14ac:dyDescent="0.25">
      <c r="A1526" s="13">
        <f t="shared" si="28"/>
        <v>25</v>
      </c>
    </row>
    <row r="1527" spans="1:1" x14ac:dyDescent="0.25">
      <c r="A1527" s="13">
        <f t="shared" si="28"/>
        <v>25</v>
      </c>
    </row>
    <row r="1528" spans="1:1" x14ac:dyDescent="0.25">
      <c r="A1528" s="13">
        <f t="shared" si="28"/>
        <v>25</v>
      </c>
    </row>
    <row r="1529" spans="1:1" x14ac:dyDescent="0.25">
      <c r="A1529" s="13">
        <f t="shared" si="28"/>
        <v>25</v>
      </c>
    </row>
    <row r="1530" spans="1:1" x14ac:dyDescent="0.25">
      <c r="A1530" s="13">
        <f t="shared" si="28"/>
        <v>25</v>
      </c>
    </row>
    <row r="1531" spans="1:1" x14ac:dyDescent="0.25">
      <c r="A1531" s="13">
        <f t="shared" si="28"/>
        <v>25</v>
      </c>
    </row>
    <row r="1532" spans="1:1" x14ac:dyDescent="0.25">
      <c r="A1532" s="13">
        <f t="shared" si="28"/>
        <v>25</v>
      </c>
    </row>
    <row r="1533" spans="1:1" x14ac:dyDescent="0.25">
      <c r="A1533" s="13">
        <f t="shared" si="28"/>
        <v>25</v>
      </c>
    </row>
    <row r="1534" spans="1:1" x14ac:dyDescent="0.25">
      <c r="A1534" s="13">
        <f t="shared" si="28"/>
        <v>25</v>
      </c>
    </row>
    <row r="1535" spans="1:1" x14ac:dyDescent="0.25">
      <c r="A1535" s="13">
        <f t="shared" si="28"/>
        <v>25</v>
      </c>
    </row>
    <row r="1536" spans="1:1" x14ac:dyDescent="0.25">
      <c r="A1536" s="13">
        <f t="shared" si="28"/>
        <v>25</v>
      </c>
    </row>
    <row r="1537" spans="1:1" x14ac:dyDescent="0.25">
      <c r="A1537" s="13">
        <f t="shared" si="28"/>
        <v>25</v>
      </c>
    </row>
    <row r="1538" spans="1:1" x14ac:dyDescent="0.25">
      <c r="A1538" s="13">
        <f t="shared" si="28"/>
        <v>25</v>
      </c>
    </row>
    <row r="1539" spans="1:1" x14ac:dyDescent="0.25">
      <c r="A1539" s="13">
        <f t="shared" si="28"/>
        <v>25</v>
      </c>
    </row>
    <row r="1540" spans="1:1" x14ac:dyDescent="0.25">
      <c r="A1540" s="13">
        <f t="shared" si="28"/>
        <v>25</v>
      </c>
    </row>
    <row r="1541" spans="1:1" x14ac:dyDescent="0.25">
      <c r="A1541" s="13">
        <f t="shared" ref="A1541:A1604" si="29">IF(B1541=B1540,A1540,A1540+1)</f>
        <v>25</v>
      </c>
    </row>
    <row r="1542" spans="1:1" x14ac:dyDescent="0.25">
      <c r="A1542" s="13">
        <f t="shared" si="29"/>
        <v>25</v>
      </c>
    </row>
    <row r="1543" spans="1:1" x14ac:dyDescent="0.25">
      <c r="A1543" s="13">
        <f t="shared" si="29"/>
        <v>25</v>
      </c>
    </row>
    <row r="1544" spans="1:1" x14ac:dyDescent="0.25">
      <c r="A1544" s="13">
        <f t="shared" si="29"/>
        <v>25</v>
      </c>
    </row>
    <row r="1545" spans="1:1" x14ac:dyDescent="0.25">
      <c r="A1545" s="13">
        <f t="shared" si="29"/>
        <v>25</v>
      </c>
    </row>
    <row r="1546" spans="1:1" x14ac:dyDescent="0.25">
      <c r="A1546" s="13">
        <f t="shared" si="29"/>
        <v>25</v>
      </c>
    </row>
    <row r="1547" spans="1:1" x14ac:dyDescent="0.25">
      <c r="A1547" s="13">
        <f t="shared" si="29"/>
        <v>25</v>
      </c>
    </row>
    <row r="1548" spans="1:1" x14ac:dyDescent="0.25">
      <c r="A1548" s="13">
        <f t="shared" si="29"/>
        <v>25</v>
      </c>
    </row>
    <row r="1549" spans="1:1" x14ac:dyDescent="0.25">
      <c r="A1549" s="13">
        <f t="shared" si="29"/>
        <v>25</v>
      </c>
    </row>
    <row r="1550" spans="1:1" x14ac:dyDescent="0.25">
      <c r="A1550" s="13">
        <f t="shared" si="29"/>
        <v>25</v>
      </c>
    </row>
    <row r="1551" spans="1:1" x14ac:dyDescent="0.25">
      <c r="A1551" s="13">
        <f t="shared" si="29"/>
        <v>25</v>
      </c>
    </row>
    <row r="1552" spans="1:1" x14ac:dyDescent="0.25">
      <c r="A1552" s="13">
        <f t="shared" si="29"/>
        <v>25</v>
      </c>
    </row>
    <row r="1553" spans="1:1" x14ac:dyDescent="0.25">
      <c r="A1553" s="13">
        <f t="shared" si="29"/>
        <v>25</v>
      </c>
    </row>
    <row r="1554" spans="1:1" x14ac:dyDescent="0.25">
      <c r="A1554" s="13">
        <f t="shared" si="29"/>
        <v>25</v>
      </c>
    </row>
    <row r="1555" spans="1:1" x14ac:dyDescent="0.25">
      <c r="A1555" s="13">
        <f t="shared" si="29"/>
        <v>25</v>
      </c>
    </row>
    <row r="1556" spans="1:1" x14ac:dyDescent="0.25">
      <c r="A1556" s="13">
        <f t="shared" si="29"/>
        <v>25</v>
      </c>
    </row>
    <row r="1557" spans="1:1" x14ac:dyDescent="0.25">
      <c r="A1557" s="13">
        <f t="shared" si="29"/>
        <v>25</v>
      </c>
    </row>
    <row r="1558" spans="1:1" x14ac:dyDescent="0.25">
      <c r="A1558" s="13">
        <f t="shared" si="29"/>
        <v>25</v>
      </c>
    </row>
    <row r="1559" spans="1:1" x14ac:dyDescent="0.25">
      <c r="A1559" s="13">
        <f t="shared" si="29"/>
        <v>25</v>
      </c>
    </row>
    <row r="1560" spans="1:1" x14ac:dyDescent="0.25">
      <c r="A1560" s="13">
        <f t="shared" si="29"/>
        <v>25</v>
      </c>
    </row>
    <row r="1561" spans="1:1" x14ac:dyDescent="0.25">
      <c r="A1561" s="13">
        <f t="shared" si="29"/>
        <v>25</v>
      </c>
    </row>
    <row r="1562" spans="1:1" x14ac:dyDescent="0.25">
      <c r="A1562" s="13">
        <f t="shared" si="29"/>
        <v>25</v>
      </c>
    </row>
    <row r="1563" spans="1:1" x14ac:dyDescent="0.25">
      <c r="A1563" s="13">
        <f t="shared" si="29"/>
        <v>25</v>
      </c>
    </row>
    <row r="1564" spans="1:1" x14ac:dyDescent="0.25">
      <c r="A1564" s="13">
        <f t="shared" si="29"/>
        <v>25</v>
      </c>
    </row>
    <row r="1565" spans="1:1" x14ac:dyDescent="0.25">
      <c r="A1565" s="13">
        <f t="shared" si="29"/>
        <v>25</v>
      </c>
    </row>
    <row r="1566" spans="1:1" x14ac:dyDescent="0.25">
      <c r="A1566" s="13">
        <f t="shared" si="29"/>
        <v>25</v>
      </c>
    </row>
    <row r="1567" spans="1:1" x14ac:dyDescent="0.25">
      <c r="A1567" s="13">
        <f t="shared" si="29"/>
        <v>25</v>
      </c>
    </row>
    <row r="1568" spans="1:1" x14ac:dyDescent="0.25">
      <c r="A1568" s="13">
        <f t="shared" si="29"/>
        <v>25</v>
      </c>
    </row>
    <row r="1569" spans="1:1" x14ac:dyDescent="0.25">
      <c r="A1569" s="13">
        <f t="shared" si="29"/>
        <v>25</v>
      </c>
    </row>
    <row r="1570" spans="1:1" x14ac:dyDescent="0.25">
      <c r="A1570" s="13">
        <f t="shared" si="29"/>
        <v>25</v>
      </c>
    </row>
    <row r="1571" spans="1:1" x14ac:dyDescent="0.25">
      <c r="A1571" s="13">
        <f t="shared" si="29"/>
        <v>25</v>
      </c>
    </row>
    <row r="1572" spans="1:1" x14ac:dyDescent="0.25">
      <c r="A1572" s="13">
        <f t="shared" si="29"/>
        <v>25</v>
      </c>
    </row>
    <row r="1573" spans="1:1" x14ac:dyDescent="0.25">
      <c r="A1573" s="13">
        <f t="shared" si="29"/>
        <v>25</v>
      </c>
    </row>
    <row r="1574" spans="1:1" x14ac:dyDescent="0.25">
      <c r="A1574" s="13">
        <f t="shared" si="29"/>
        <v>25</v>
      </c>
    </row>
    <row r="1575" spans="1:1" x14ac:dyDescent="0.25">
      <c r="A1575" s="13">
        <f t="shared" si="29"/>
        <v>25</v>
      </c>
    </row>
    <row r="1576" spans="1:1" x14ac:dyDescent="0.25">
      <c r="A1576" s="13">
        <f t="shared" si="29"/>
        <v>25</v>
      </c>
    </row>
    <row r="1577" spans="1:1" x14ac:dyDescent="0.25">
      <c r="A1577" s="13">
        <f t="shared" si="29"/>
        <v>25</v>
      </c>
    </row>
    <row r="1578" spans="1:1" x14ac:dyDescent="0.25">
      <c r="A1578" s="13">
        <f t="shared" si="29"/>
        <v>25</v>
      </c>
    </row>
    <row r="1579" spans="1:1" x14ac:dyDescent="0.25">
      <c r="A1579" s="13">
        <f t="shared" si="29"/>
        <v>25</v>
      </c>
    </row>
    <row r="1580" spans="1:1" x14ac:dyDescent="0.25">
      <c r="A1580" s="13">
        <f t="shared" si="29"/>
        <v>25</v>
      </c>
    </row>
    <row r="1581" spans="1:1" x14ac:dyDescent="0.25">
      <c r="A1581" s="13">
        <f t="shared" si="29"/>
        <v>25</v>
      </c>
    </row>
    <row r="1582" spans="1:1" x14ac:dyDescent="0.25">
      <c r="A1582" s="13">
        <f t="shared" si="29"/>
        <v>25</v>
      </c>
    </row>
    <row r="1583" spans="1:1" x14ac:dyDescent="0.25">
      <c r="A1583" s="13">
        <f t="shared" si="29"/>
        <v>25</v>
      </c>
    </row>
    <row r="1584" spans="1:1" x14ac:dyDescent="0.25">
      <c r="A1584" s="13">
        <f t="shared" si="29"/>
        <v>25</v>
      </c>
    </row>
    <row r="1585" spans="1:1" x14ac:dyDescent="0.25">
      <c r="A1585" s="13">
        <f t="shared" si="29"/>
        <v>25</v>
      </c>
    </row>
    <row r="1586" spans="1:1" x14ac:dyDescent="0.25">
      <c r="A1586" s="13">
        <f t="shared" si="29"/>
        <v>25</v>
      </c>
    </row>
    <row r="1587" spans="1:1" x14ac:dyDescent="0.25">
      <c r="A1587" s="13">
        <f t="shared" si="29"/>
        <v>25</v>
      </c>
    </row>
    <row r="1588" spans="1:1" x14ac:dyDescent="0.25">
      <c r="A1588" s="13">
        <f t="shared" si="29"/>
        <v>25</v>
      </c>
    </row>
    <row r="1589" spans="1:1" x14ac:dyDescent="0.25">
      <c r="A1589" s="13">
        <f t="shared" si="29"/>
        <v>25</v>
      </c>
    </row>
    <row r="1590" spans="1:1" x14ac:dyDescent="0.25">
      <c r="A1590" s="13">
        <f t="shared" si="29"/>
        <v>25</v>
      </c>
    </row>
    <row r="1591" spans="1:1" x14ac:dyDescent="0.25">
      <c r="A1591" s="13">
        <f t="shared" si="29"/>
        <v>25</v>
      </c>
    </row>
    <row r="1592" spans="1:1" x14ac:dyDescent="0.25">
      <c r="A1592" s="13">
        <f t="shared" si="29"/>
        <v>25</v>
      </c>
    </row>
    <row r="1593" spans="1:1" x14ac:dyDescent="0.25">
      <c r="A1593" s="13">
        <f t="shared" si="29"/>
        <v>25</v>
      </c>
    </row>
    <row r="1594" spans="1:1" x14ac:dyDescent="0.25">
      <c r="A1594" s="13">
        <f t="shared" si="29"/>
        <v>25</v>
      </c>
    </row>
    <row r="1595" spans="1:1" x14ac:dyDescent="0.25">
      <c r="A1595" s="13">
        <f t="shared" si="29"/>
        <v>25</v>
      </c>
    </row>
    <row r="1596" spans="1:1" x14ac:dyDescent="0.25">
      <c r="A1596" s="13">
        <f t="shared" si="29"/>
        <v>25</v>
      </c>
    </row>
    <row r="1597" spans="1:1" x14ac:dyDescent="0.25">
      <c r="A1597" s="13">
        <f t="shared" si="29"/>
        <v>25</v>
      </c>
    </row>
    <row r="1598" spans="1:1" x14ac:dyDescent="0.25">
      <c r="A1598" s="13">
        <f t="shared" si="29"/>
        <v>25</v>
      </c>
    </row>
    <row r="1599" spans="1:1" x14ac:dyDescent="0.25">
      <c r="A1599" s="13">
        <f t="shared" si="29"/>
        <v>25</v>
      </c>
    </row>
    <row r="1600" spans="1:1" x14ac:dyDescent="0.25">
      <c r="A1600" s="13">
        <f t="shared" si="29"/>
        <v>25</v>
      </c>
    </row>
    <row r="1601" spans="1:1" x14ac:dyDescent="0.25">
      <c r="A1601" s="13">
        <f t="shared" si="29"/>
        <v>25</v>
      </c>
    </row>
    <row r="1602" spans="1:1" x14ac:dyDescent="0.25">
      <c r="A1602" s="13">
        <f t="shared" si="29"/>
        <v>25</v>
      </c>
    </row>
    <row r="1603" spans="1:1" x14ac:dyDescent="0.25">
      <c r="A1603" s="13">
        <f t="shared" si="29"/>
        <v>25</v>
      </c>
    </row>
    <row r="1604" spans="1:1" x14ac:dyDescent="0.25">
      <c r="A1604" s="13">
        <f t="shared" si="29"/>
        <v>25</v>
      </c>
    </row>
    <row r="1605" spans="1:1" x14ac:dyDescent="0.25">
      <c r="A1605" s="13">
        <f t="shared" ref="A1605:A1668" si="30">IF(B1605=B1604,A1604,A1604+1)</f>
        <v>25</v>
      </c>
    </row>
    <row r="1606" spans="1:1" x14ac:dyDescent="0.25">
      <c r="A1606" s="13">
        <f t="shared" si="30"/>
        <v>25</v>
      </c>
    </row>
    <row r="1607" spans="1:1" x14ac:dyDescent="0.25">
      <c r="A1607" s="13">
        <f t="shared" si="30"/>
        <v>25</v>
      </c>
    </row>
    <row r="1608" spans="1:1" x14ac:dyDescent="0.25">
      <c r="A1608" s="13">
        <f t="shared" si="30"/>
        <v>25</v>
      </c>
    </row>
    <row r="1609" spans="1:1" x14ac:dyDescent="0.25">
      <c r="A1609" s="13">
        <f t="shared" si="30"/>
        <v>25</v>
      </c>
    </row>
    <row r="1610" spans="1:1" x14ac:dyDescent="0.25">
      <c r="A1610" s="13">
        <f t="shared" si="30"/>
        <v>25</v>
      </c>
    </row>
    <row r="1611" spans="1:1" x14ac:dyDescent="0.25">
      <c r="A1611" s="13">
        <f t="shared" si="30"/>
        <v>25</v>
      </c>
    </row>
    <row r="1612" spans="1:1" x14ac:dyDescent="0.25">
      <c r="A1612" s="13">
        <f t="shared" si="30"/>
        <v>25</v>
      </c>
    </row>
    <row r="1613" spans="1:1" x14ac:dyDescent="0.25">
      <c r="A1613" s="13">
        <f t="shared" si="30"/>
        <v>25</v>
      </c>
    </row>
    <row r="1614" spans="1:1" x14ac:dyDescent="0.25">
      <c r="A1614" s="13">
        <f t="shared" si="30"/>
        <v>25</v>
      </c>
    </row>
    <row r="1615" spans="1:1" x14ac:dyDescent="0.25">
      <c r="A1615" s="13">
        <f t="shared" si="30"/>
        <v>25</v>
      </c>
    </row>
    <row r="1616" spans="1:1" x14ac:dyDescent="0.25">
      <c r="A1616" s="13">
        <f t="shared" si="30"/>
        <v>25</v>
      </c>
    </row>
    <row r="1617" spans="1:1" x14ac:dyDescent="0.25">
      <c r="A1617" s="13">
        <f t="shared" si="30"/>
        <v>25</v>
      </c>
    </row>
    <row r="1618" spans="1:1" x14ac:dyDescent="0.25">
      <c r="A1618" s="13">
        <f t="shared" si="30"/>
        <v>25</v>
      </c>
    </row>
    <row r="1619" spans="1:1" x14ac:dyDescent="0.25">
      <c r="A1619" s="13">
        <f t="shared" si="30"/>
        <v>25</v>
      </c>
    </row>
    <row r="1620" spans="1:1" x14ac:dyDescent="0.25">
      <c r="A1620" s="13">
        <f t="shared" si="30"/>
        <v>25</v>
      </c>
    </row>
    <row r="1621" spans="1:1" x14ac:dyDescent="0.25">
      <c r="A1621" s="13">
        <f t="shared" si="30"/>
        <v>25</v>
      </c>
    </row>
    <row r="1622" spans="1:1" x14ac:dyDescent="0.25">
      <c r="A1622" s="13">
        <f t="shared" si="30"/>
        <v>25</v>
      </c>
    </row>
    <row r="1623" spans="1:1" x14ac:dyDescent="0.25">
      <c r="A1623" s="13">
        <f t="shared" si="30"/>
        <v>25</v>
      </c>
    </row>
    <row r="1624" spans="1:1" x14ac:dyDescent="0.25">
      <c r="A1624" s="13">
        <f t="shared" si="30"/>
        <v>25</v>
      </c>
    </row>
    <row r="1625" spans="1:1" x14ac:dyDescent="0.25">
      <c r="A1625" s="13">
        <f t="shared" si="30"/>
        <v>25</v>
      </c>
    </row>
    <row r="1626" spans="1:1" x14ac:dyDescent="0.25">
      <c r="A1626" s="13">
        <f t="shared" si="30"/>
        <v>25</v>
      </c>
    </row>
    <row r="1627" spans="1:1" x14ac:dyDescent="0.25">
      <c r="A1627" s="13">
        <f t="shared" si="30"/>
        <v>25</v>
      </c>
    </row>
    <row r="1628" spans="1:1" x14ac:dyDescent="0.25">
      <c r="A1628" s="13">
        <f t="shared" si="30"/>
        <v>25</v>
      </c>
    </row>
    <row r="1629" spans="1:1" x14ac:dyDescent="0.25">
      <c r="A1629" s="13">
        <f t="shared" si="30"/>
        <v>25</v>
      </c>
    </row>
    <row r="1630" spans="1:1" x14ac:dyDescent="0.25">
      <c r="A1630" s="13">
        <f t="shared" si="30"/>
        <v>25</v>
      </c>
    </row>
    <row r="1631" spans="1:1" x14ac:dyDescent="0.25">
      <c r="A1631" s="13">
        <f t="shared" si="30"/>
        <v>25</v>
      </c>
    </row>
    <row r="1632" spans="1:1" x14ac:dyDescent="0.25">
      <c r="A1632" s="13">
        <f t="shared" si="30"/>
        <v>25</v>
      </c>
    </row>
    <row r="1633" spans="1:1" x14ac:dyDescent="0.25">
      <c r="A1633" s="13">
        <f t="shared" si="30"/>
        <v>25</v>
      </c>
    </row>
    <row r="1634" spans="1:1" x14ac:dyDescent="0.25">
      <c r="A1634" s="13">
        <f t="shared" si="30"/>
        <v>25</v>
      </c>
    </row>
    <row r="1635" spans="1:1" x14ac:dyDescent="0.25">
      <c r="A1635" s="13">
        <f t="shared" si="30"/>
        <v>25</v>
      </c>
    </row>
    <row r="1636" spans="1:1" x14ac:dyDescent="0.25">
      <c r="A1636" s="13">
        <f t="shared" si="30"/>
        <v>25</v>
      </c>
    </row>
    <row r="1637" spans="1:1" x14ac:dyDescent="0.25">
      <c r="A1637" s="13">
        <f t="shared" si="30"/>
        <v>25</v>
      </c>
    </row>
    <row r="1638" spans="1:1" x14ac:dyDescent="0.25">
      <c r="A1638" s="13">
        <f t="shared" si="30"/>
        <v>25</v>
      </c>
    </row>
    <row r="1639" spans="1:1" x14ac:dyDescent="0.25">
      <c r="A1639" s="13">
        <f t="shared" si="30"/>
        <v>25</v>
      </c>
    </row>
    <row r="1640" spans="1:1" x14ac:dyDescent="0.25">
      <c r="A1640" s="13">
        <f t="shared" si="30"/>
        <v>25</v>
      </c>
    </row>
    <row r="1641" spans="1:1" x14ac:dyDescent="0.25">
      <c r="A1641" s="13">
        <f t="shared" si="30"/>
        <v>25</v>
      </c>
    </row>
    <row r="1642" spans="1:1" x14ac:dyDescent="0.25">
      <c r="A1642" s="13">
        <f t="shared" si="30"/>
        <v>25</v>
      </c>
    </row>
    <row r="1643" spans="1:1" x14ac:dyDescent="0.25">
      <c r="A1643" s="13">
        <f t="shared" si="30"/>
        <v>25</v>
      </c>
    </row>
    <row r="1644" spans="1:1" x14ac:dyDescent="0.25">
      <c r="A1644" s="13">
        <f t="shared" si="30"/>
        <v>25</v>
      </c>
    </row>
    <row r="1645" spans="1:1" x14ac:dyDescent="0.25">
      <c r="A1645" s="13">
        <f t="shared" si="30"/>
        <v>25</v>
      </c>
    </row>
    <row r="1646" spans="1:1" x14ac:dyDescent="0.25">
      <c r="A1646" s="13">
        <f t="shared" si="30"/>
        <v>25</v>
      </c>
    </row>
    <row r="1647" spans="1:1" x14ac:dyDescent="0.25">
      <c r="A1647" s="13">
        <f t="shared" si="30"/>
        <v>25</v>
      </c>
    </row>
    <row r="1648" spans="1:1" x14ac:dyDescent="0.25">
      <c r="A1648" s="13">
        <f t="shared" si="30"/>
        <v>25</v>
      </c>
    </row>
    <row r="1649" spans="1:1" x14ac:dyDescent="0.25">
      <c r="A1649" s="13">
        <f t="shared" si="30"/>
        <v>25</v>
      </c>
    </row>
    <row r="1650" spans="1:1" x14ac:dyDescent="0.25">
      <c r="A1650" s="13">
        <f t="shared" si="30"/>
        <v>25</v>
      </c>
    </row>
    <row r="1651" spans="1:1" x14ac:dyDescent="0.25">
      <c r="A1651" s="13">
        <f t="shared" si="30"/>
        <v>25</v>
      </c>
    </row>
    <row r="1652" spans="1:1" x14ac:dyDescent="0.25">
      <c r="A1652" s="13">
        <f t="shared" si="30"/>
        <v>25</v>
      </c>
    </row>
    <row r="1653" spans="1:1" x14ac:dyDescent="0.25">
      <c r="A1653" s="13">
        <f t="shared" si="30"/>
        <v>25</v>
      </c>
    </row>
    <row r="1654" spans="1:1" x14ac:dyDescent="0.25">
      <c r="A1654" s="13">
        <f t="shared" si="30"/>
        <v>25</v>
      </c>
    </row>
    <row r="1655" spans="1:1" x14ac:dyDescent="0.25">
      <c r="A1655" s="13">
        <f t="shared" si="30"/>
        <v>25</v>
      </c>
    </row>
    <row r="1656" spans="1:1" x14ac:dyDescent="0.25">
      <c r="A1656" s="13">
        <f t="shared" si="30"/>
        <v>25</v>
      </c>
    </row>
    <row r="1657" spans="1:1" x14ac:dyDescent="0.25">
      <c r="A1657" s="13">
        <f t="shared" si="30"/>
        <v>25</v>
      </c>
    </row>
    <row r="1658" spans="1:1" x14ac:dyDescent="0.25">
      <c r="A1658" s="13">
        <f t="shared" si="30"/>
        <v>25</v>
      </c>
    </row>
    <row r="1659" spans="1:1" x14ac:dyDescent="0.25">
      <c r="A1659" s="13">
        <f t="shared" si="30"/>
        <v>25</v>
      </c>
    </row>
    <row r="1660" spans="1:1" x14ac:dyDescent="0.25">
      <c r="A1660" s="13">
        <f t="shared" si="30"/>
        <v>25</v>
      </c>
    </row>
    <row r="1661" spans="1:1" x14ac:dyDescent="0.25">
      <c r="A1661" s="13">
        <f t="shared" si="30"/>
        <v>25</v>
      </c>
    </row>
    <row r="1662" spans="1:1" x14ac:dyDescent="0.25">
      <c r="A1662" s="13">
        <f t="shared" si="30"/>
        <v>25</v>
      </c>
    </row>
    <row r="1663" spans="1:1" x14ac:dyDescent="0.25">
      <c r="A1663" s="13">
        <f t="shared" si="30"/>
        <v>25</v>
      </c>
    </row>
    <row r="1664" spans="1:1" x14ac:dyDescent="0.25">
      <c r="A1664" s="13">
        <f t="shared" si="30"/>
        <v>25</v>
      </c>
    </row>
    <row r="1665" spans="1:1" x14ac:dyDescent="0.25">
      <c r="A1665" s="13">
        <f t="shared" si="30"/>
        <v>25</v>
      </c>
    </row>
    <row r="1666" spans="1:1" x14ac:dyDescent="0.25">
      <c r="A1666" s="13">
        <f t="shared" si="30"/>
        <v>25</v>
      </c>
    </row>
    <row r="1667" spans="1:1" x14ac:dyDescent="0.25">
      <c r="A1667" s="13">
        <f t="shared" si="30"/>
        <v>25</v>
      </c>
    </row>
    <row r="1668" spans="1:1" x14ac:dyDescent="0.25">
      <c r="A1668" s="13">
        <f t="shared" si="30"/>
        <v>25</v>
      </c>
    </row>
    <row r="1669" spans="1:1" x14ac:dyDescent="0.25">
      <c r="A1669" s="13">
        <f t="shared" ref="A1669:A1732" si="31">IF(B1669=B1668,A1668,A1668+1)</f>
        <v>25</v>
      </c>
    </row>
    <row r="1670" spans="1:1" x14ac:dyDescent="0.25">
      <c r="A1670" s="13">
        <f t="shared" si="31"/>
        <v>25</v>
      </c>
    </row>
    <row r="1671" spans="1:1" x14ac:dyDescent="0.25">
      <c r="A1671" s="13">
        <f t="shared" si="31"/>
        <v>25</v>
      </c>
    </row>
    <row r="1672" spans="1:1" x14ac:dyDescent="0.25">
      <c r="A1672" s="13">
        <f t="shared" si="31"/>
        <v>25</v>
      </c>
    </row>
    <row r="1673" spans="1:1" x14ac:dyDescent="0.25">
      <c r="A1673" s="13">
        <f t="shared" si="31"/>
        <v>25</v>
      </c>
    </row>
    <row r="1674" spans="1:1" x14ac:dyDescent="0.25">
      <c r="A1674" s="13">
        <f t="shared" si="31"/>
        <v>25</v>
      </c>
    </row>
    <row r="1675" spans="1:1" x14ac:dyDescent="0.25">
      <c r="A1675" s="13">
        <f t="shared" si="31"/>
        <v>25</v>
      </c>
    </row>
    <row r="1676" spans="1:1" x14ac:dyDescent="0.25">
      <c r="A1676" s="13">
        <f t="shared" si="31"/>
        <v>25</v>
      </c>
    </row>
    <row r="1677" spans="1:1" x14ac:dyDescent="0.25">
      <c r="A1677" s="13">
        <f t="shared" si="31"/>
        <v>25</v>
      </c>
    </row>
    <row r="1678" spans="1:1" x14ac:dyDescent="0.25">
      <c r="A1678" s="13">
        <f t="shared" si="31"/>
        <v>25</v>
      </c>
    </row>
    <row r="1679" spans="1:1" x14ac:dyDescent="0.25">
      <c r="A1679" s="13">
        <f t="shared" si="31"/>
        <v>25</v>
      </c>
    </row>
    <row r="1680" spans="1:1" x14ac:dyDescent="0.25">
      <c r="A1680" s="13">
        <f t="shared" si="31"/>
        <v>25</v>
      </c>
    </row>
    <row r="1681" spans="1:1" x14ac:dyDescent="0.25">
      <c r="A1681" s="13">
        <f t="shared" si="31"/>
        <v>25</v>
      </c>
    </row>
    <row r="1682" spans="1:1" x14ac:dyDescent="0.25">
      <c r="A1682" s="13">
        <f t="shared" si="31"/>
        <v>25</v>
      </c>
    </row>
    <row r="1683" spans="1:1" x14ac:dyDescent="0.25">
      <c r="A1683" s="13">
        <f t="shared" si="31"/>
        <v>25</v>
      </c>
    </row>
    <row r="1684" spans="1:1" x14ac:dyDescent="0.25">
      <c r="A1684" s="13">
        <f t="shared" si="31"/>
        <v>25</v>
      </c>
    </row>
    <row r="1685" spans="1:1" x14ac:dyDescent="0.25">
      <c r="A1685" s="13">
        <f t="shared" si="31"/>
        <v>25</v>
      </c>
    </row>
    <row r="1686" spans="1:1" x14ac:dyDescent="0.25">
      <c r="A1686" s="13">
        <f t="shared" si="31"/>
        <v>25</v>
      </c>
    </row>
    <row r="1687" spans="1:1" x14ac:dyDescent="0.25">
      <c r="A1687" s="13">
        <f t="shared" si="31"/>
        <v>25</v>
      </c>
    </row>
    <row r="1688" spans="1:1" x14ac:dyDescent="0.25">
      <c r="A1688" s="13">
        <f t="shared" si="31"/>
        <v>25</v>
      </c>
    </row>
    <row r="1689" spans="1:1" x14ac:dyDescent="0.25">
      <c r="A1689" s="13">
        <f t="shared" si="31"/>
        <v>25</v>
      </c>
    </row>
    <row r="1690" spans="1:1" x14ac:dyDescent="0.25">
      <c r="A1690" s="13">
        <f t="shared" si="31"/>
        <v>25</v>
      </c>
    </row>
    <row r="1691" spans="1:1" x14ac:dyDescent="0.25">
      <c r="A1691" s="13">
        <f t="shared" si="31"/>
        <v>25</v>
      </c>
    </row>
    <row r="1692" spans="1:1" x14ac:dyDescent="0.25">
      <c r="A1692" s="13">
        <f t="shared" si="31"/>
        <v>25</v>
      </c>
    </row>
    <row r="1693" spans="1:1" x14ac:dyDescent="0.25">
      <c r="A1693" s="13">
        <f t="shared" si="31"/>
        <v>25</v>
      </c>
    </row>
    <row r="1694" spans="1:1" x14ac:dyDescent="0.25">
      <c r="A1694" s="13">
        <f t="shared" si="31"/>
        <v>25</v>
      </c>
    </row>
    <row r="1695" spans="1:1" x14ac:dyDescent="0.25">
      <c r="A1695" s="13">
        <f t="shared" si="31"/>
        <v>25</v>
      </c>
    </row>
    <row r="1696" spans="1:1" x14ac:dyDescent="0.25">
      <c r="A1696" s="13">
        <f t="shared" si="31"/>
        <v>25</v>
      </c>
    </row>
    <row r="1697" spans="1:1" x14ac:dyDescent="0.25">
      <c r="A1697" s="13">
        <f t="shared" si="31"/>
        <v>25</v>
      </c>
    </row>
    <row r="1698" spans="1:1" x14ac:dyDescent="0.25">
      <c r="A1698" s="13">
        <f t="shared" si="31"/>
        <v>25</v>
      </c>
    </row>
    <row r="1699" spans="1:1" x14ac:dyDescent="0.25">
      <c r="A1699" s="13">
        <f t="shared" si="31"/>
        <v>25</v>
      </c>
    </row>
    <row r="1700" spans="1:1" x14ac:dyDescent="0.25">
      <c r="A1700" s="13">
        <f t="shared" si="31"/>
        <v>25</v>
      </c>
    </row>
    <row r="1701" spans="1:1" x14ac:dyDescent="0.25">
      <c r="A1701" s="13">
        <f t="shared" si="31"/>
        <v>25</v>
      </c>
    </row>
    <row r="1702" spans="1:1" x14ac:dyDescent="0.25">
      <c r="A1702" s="13">
        <f t="shared" si="31"/>
        <v>25</v>
      </c>
    </row>
    <row r="1703" spans="1:1" x14ac:dyDescent="0.25">
      <c r="A1703" s="13">
        <f t="shared" si="31"/>
        <v>25</v>
      </c>
    </row>
    <row r="1704" spans="1:1" x14ac:dyDescent="0.25">
      <c r="A1704" s="13">
        <f t="shared" si="31"/>
        <v>25</v>
      </c>
    </row>
    <row r="1705" spans="1:1" x14ac:dyDescent="0.25">
      <c r="A1705" s="13">
        <f t="shared" si="31"/>
        <v>25</v>
      </c>
    </row>
    <row r="1706" spans="1:1" x14ac:dyDescent="0.25">
      <c r="A1706" s="13">
        <f t="shared" si="31"/>
        <v>25</v>
      </c>
    </row>
    <row r="1707" spans="1:1" x14ac:dyDescent="0.25">
      <c r="A1707" s="13">
        <f t="shared" si="31"/>
        <v>25</v>
      </c>
    </row>
    <row r="1708" spans="1:1" x14ac:dyDescent="0.25">
      <c r="A1708" s="13">
        <f t="shared" si="31"/>
        <v>25</v>
      </c>
    </row>
    <row r="1709" spans="1:1" x14ac:dyDescent="0.25">
      <c r="A1709" s="13">
        <f t="shared" si="31"/>
        <v>25</v>
      </c>
    </row>
    <row r="1710" spans="1:1" x14ac:dyDescent="0.25">
      <c r="A1710" s="13">
        <f t="shared" si="31"/>
        <v>25</v>
      </c>
    </row>
    <row r="1711" spans="1:1" x14ac:dyDescent="0.25">
      <c r="A1711" s="13">
        <f t="shared" si="31"/>
        <v>25</v>
      </c>
    </row>
    <row r="1712" spans="1:1" x14ac:dyDescent="0.25">
      <c r="A1712" s="13">
        <f t="shared" si="31"/>
        <v>25</v>
      </c>
    </row>
    <row r="1713" spans="1:1" x14ac:dyDescent="0.25">
      <c r="A1713" s="13">
        <f t="shared" si="31"/>
        <v>25</v>
      </c>
    </row>
    <row r="1714" spans="1:1" x14ac:dyDescent="0.25">
      <c r="A1714" s="13">
        <f t="shared" si="31"/>
        <v>25</v>
      </c>
    </row>
    <row r="1715" spans="1:1" x14ac:dyDescent="0.25">
      <c r="A1715" s="13">
        <f t="shared" si="31"/>
        <v>25</v>
      </c>
    </row>
    <row r="1716" spans="1:1" x14ac:dyDescent="0.25">
      <c r="A1716" s="13">
        <f t="shared" si="31"/>
        <v>25</v>
      </c>
    </row>
    <row r="1717" spans="1:1" x14ac:dyDescent="0.25">
      <c r="A1717" s="13">
        <f t="shared" si="31"/>
        <v>25</v>
      </c>
    </row>
    <row r="1718" spans="1:1" x14ac:dyDescent="0.25">
      <c r="A1718" s="13">
        <f t="shared" si="31"/>
        <v>25</v>
      </c>
    </row>
    <row r="1719" spans="1:1" x14ac:dyDescent="0.25">
      <c r="A1719" s="13">
        <f t="shared" si="31"/>
        <v>25</v>
      </c>
    </row>
    <row r="1720" spans="1:1" x14ac:dyDescent="0.25">
      <c r="A1720" s="13">
        <f t="shared" si="31"/>
        <v>25</v>
      </c>
    </row>
    <row r="1721" spans="1:1" x14ac:dyDescent="0.25">
      <c r="A1721" s="13">
        <f t="shared" si="31"/>
        <v>25</v>
      </c>
    </row>
    <row r="1722" spans="1:1" x14ac:dyDescent="0.25">
      <c r="A1722" s="13">
        <f t="shared" si="31"/>
        <v>25</v>
      </c>
    </row>
    <row r="1723" spans="1:1" x14ac:dyDescent="0.25">
      <c r="A1723" s="13">
        <f t="shared" si="31"/>
        <v>25</v>
      </c>
    </row>
    <row r="1724" spans="1:1" x14ac:dyDescent="0.25">
      <c r="A1724" s="13">
        <f t="shared" si="31"/>
        <v>25</v>
      </c>
    </row>
    <row r="1725" spans="1:1" x14ac:dyDescent="0.25">
      <c r="A1725" s="13">
        <f t="shared" si="31"/>
        <v>25</v>
      </c>
    </row>
    <row r="1726" spans="1:1" x14ac:dyDescent="0.25">
      <c r="A1726" s="13">
        <f t="shared" si="31"/>
        <v>25</v>
      </c>
    </row>
    <row r="1727" spans="1:1" x14ac:dyDescent="0.25">
      <c r="A1727" s="13">
        <f t="shared" si="31"/>
        <v>25</v>
      </c>
    </row>
    <row r="1728" spans="1:1" x14ac:dyDescent="0.25">
      <c r="A1728" s="13">
        <f t="shared" si="31"/>
        <v>25</v>
      </c>
    </row>
    <row r="1729" spans="1:1" x14ac:dyDescent="0.25">
      <c r="A1729" s="13">
        <f t="shared" si="31"/>
        <v>25</v>
      </c>
    </row>
    <row r="1730" spans="1:1" x14ac:dyDescent="0.25">
      <c r="A1730" s="13">
        <f t="shared" si="31"/>
        <v>25</v>
      </c>
    </row>
    <row r="1731" spans="1:1" x14ac:dyDescent="0.25">
      <c r="A1731" s="13">
        <f t="shared" si="31"/>
        <v>25</v>
      </c>
    </row>
    <row r="1732" spans="1:1" x14ac:dyDescent="0.25">
      <c r="A1732" s="13">
        <f t="shared" si="31"/>
        <v>25</v>
      </c>
    </row>
    <row r="1733" spans="1:1" x14ac:dyDescent="0.25">
      <c r="A1733" s="13">
        <f t="shared" ref="A1733:A1748" si="32">IF(B1733=B1732,A1732,A1732+1)</f>
        <v>25</v>
      </c>
    </row>
    <row r="1734" spans="1:1" x14ac:dyDescent="0.25">
      <c r="A1734" s="13">
        <f t="shared" si="32"/>
        <v>25</v>
      </c>
    </row>
    <row r="1735" spans="1:1" x14ac:dyDescent="0.25">
      <c r="A1735" s="13">
        <f t="shared" si="32"/>
        <v>25</v>
      </c>
    </row>
    <row r="1736" spans="1:1" x14ac:dyDescent="0.25">
      <c r="A1736" s="13">
        <f t="shared" si="32"/>
        <v>25</v>
      </c>
    </row>
    <row r="1737" spans="1:1" x14ac:dyDescent="0.25">
      <c r="A1737" s="13">
        <f t="shared" si="32"/>
        <v>25</v>
      </c>
    </row>
    <row r="1738" spans="1:1" x14ac:dyDescent="0.25">
      <c r="A1738" s="13">
        <f t="shared" si="32"/>
        <v>25</v>
      </c>
    </row>
    <row r="1739" spans="1:1" x14ac:dyDescent="0.25">
      <c r="A1739" s="13">
        <f t="shared" si="32"/>
        <v>25</v>
      </c>
    </row>
    <row r="1740" spans="1:1" x14ac:dyDescent="0.25">
      <c r="A1740" s="13">
        <f t="shared" si="32"/>
        <v>25</v>
      </c>
    </row>
    <row r="1741" spans="1:1" x14ac:dyDescent="0.25">
      <c r="A1741" s="13">
        <f t="shared" si="32"/>
        <v>25</v>
      </c>
    </row>
    <row r="1742" spans="1:1" x14ac:dyDescent="0.25">
      <c r="A1742" s="13">
        <f t="shared" si="32"/>
        <v>25</v>
      </c>
    </row>
    <row r="1743" spans="1:1" x14ac:dyDescent="0.25">
      <c r="A1743" s="13">
        <f t="shared" si="32"/>
        <v>25</v>
      </c>
    </row>
    <row r="1744" spans="1:1" x14ac:dyDescent="0.25">
      <c r="A1744" s="13">
        <f t="shared" si="32"/>
        <v>25</v>
      </c>
    </row>
    <row r="1745" spans="1:1" x14ac:dyDescent="0.25">
      <c r="A1745" s="13">
        <f t="shared" si="32"/>
        <v>25</v>
      </c>
    </row>
    <row r="1746" spans="1:1" x14ac:dyDescent="0.25">
      <c r="A1746" s="13">
        <f t="shared" si="32"/>
        <v>25</v>
      </c>
    </row>
    <row r="1747" spans="1:1" x14ac:dyDescent="0.25">
      <c r="A1747" s="13">
        <f t="shared" si="32"/>
        <v>25</v>
      </c>
    </row>
    <row r="1748" spans="1:1" x14ac:dyDescent="0.25">
      <c r="A1748" s="13">
        <f t="shared" si="32"/>
        <v>25</v>
      </c>
    </row>
  </sheetData>
  <mergeCells count="3">
    <mergeCell ref="N3:O3"/>
    <mergeCell ref="P3:Q3"/>
    <mergeCell ref="U3:V3"/>
  </mergeCells>
  <conditionalFormatting sqref="B95:I131 B215:K4519 B143:I150 B132:G142 I132:I142 K95:K150 B152:I166 B167:G181 I167:I181 K152:K214 B182:I214">
    <cfRule type="expression" dxfId="135" priority="17">
      <formula>IF($B95=$B94,0,1)</formula>
    </cfRule>
  </conditionalFormatting>
  <conditionalFormatting sqref="K706:K1038">
    <cfRule type="expression" dxfId="134" priority="16">
      <formula>IF($K706=0,1,0)</formula>
    </cfRule>
  </conditionalFormatting>
  <conditionalFormatting sqref="L888:M900 M873:M887 L159:M872 P159:P900">
    <cfRule type="expression" dxfId="133" priority="15">
      <formula>IF($L159=0,0,1)</formula>
    </cfRule>
  </conditionalFormatting>
  <conditionalFormatting sqref="O901:O1214">
    <cfRule type="expression" dxfId="132" priority="14">
      <formula>IF(ISNUMBER(CODE($O901)),1,0)</formula>
    </cfRule>
  </conditionalFormatting>
  <conditionalFormatting sqref="M4:Q4 N46:O900 P46:Q464 N5:Q45 M5:M464">
    <cfRule type="expression" dxfId="131" priority="18">
      <formula>IF($M4=0,1,0)</formula>
    </cfRule>
    <cfRule type="expression" dxfId="130" priority="19">
      <formula>IF($M4=0,0,1)</formula>
    </cfRule>
  </conditionalFormatting>
  <conditionalFormatting sqref="P4:Q158">
    <cfRule type="expression" dxfId="129" priority="20">
      <formula>IF(ISNUMBER(CODE($Q4)),1,0)</formula>
    </cfRule>
  </conditionalFormatting>
  <conditionalFormatting sqref="L888:M900 M873:M887 P159:P900 L159:M872">
    <cfRule type="expression" dxfId="128" priority="21">
      <formula>IF($L159=0,1,0)</formula>
    </cfRule>
  </conditionalFormatting>
  <conditionalFormatting sqref="P159:P900">
    <cfRule type="expression" dxfId="127" priority="22">
      <formula>IF(ISNUMBER(CODE($P159)),1,0)</formula>
    </cfRule>
  </conditionalFormatting>
  <conditionalFormatting sqref="M901:N1214">
    <cfRule type="expression" dxfId="126" priority="23">
      <formula>IF($L901=0,1,0)</formula>
    </cfRule>
    <cfRule type="expression" dxfId="125" priority="24">
      <formula>IF($L901=0,0,1)</formula>
    </cfRule>
  </conditionalFormatting>
  <conditionalFormatting sqref="L1215:O1230 L901:L1214 O901:O1214">
    <cfRule type="expression" dxfId="124" priority="25">
      <formula>IF($K709=0,1,0)</formula>
    </cfRule>
  </conditionalFormatting>
  <conditionalFormatting sqref="B4:K5 B143:I150 B132:G142 I132:I142 B6:I131 K6:K150 J6:J214">
    <cfRule type="expression" dxfId="123" priority="3">
      <formula>IF($A4&lt;&gt;$A3,1,0)</formula>
    </cfRule>
  </conditionalFormatting>
  <conditionalFormatting sqref="B151:I151 K151">
    <cfRule type="expression" dxfId="122" priority="40">
      <formula>IF($B151=$B147,0,1)</formula>
    </cfRule>
  </conditionalFormatting>
  <conditionalFormatting sqref="H132:H142">
    <cfRule type="expression" dxfId="121" priority="2">
      <formula>IF($B132=$B131,0,1)</formula>
    </cfRule>
  </conditionalFormatting>
  <conditionalFormatting sqref="H167:H181">
    <cfRule type="expression" dxfId="120" priority="1">
      <formula>IF($B167=$B166,0,1)</formula>
    </cfRule>
  </conditionalFormatting>
  <dataValidations disablePrompts="1" count="1">
    <dataValidation type="list" allowBlank="1" showInputMessage="1" showErrorMessage="1" sqref="S2">
      <formula1>$X$4:$X$10</formula1>
    </dataValidation>
  </dataValidation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A1748"/>
  <sheetViews>
    <sheetView topLeftCell="B321" zoomScaleNormal="100" workbookViewId="0">
      <selection activeCell="F333" sqref="F333"/>
    </sheetView>
  </sheetViews>
  <sheetFormatPr defaultRowHeight="15" x14ac:dyDescent="0.25"/>
  <cols>
    <col min="1" max="1" width="1.28515625" style="13" customWidth="1"/>
    <col min="2" max="2" width="9.7109375" bestFit="1" customWidth="1"/>
    <col min="3" max="3" width="12.7109375" bestFit="1" customWidth="1"/>
    <col min="4" max="4" width="25.7109375" style="14" bestFit="1" customWidth="1"/>
    <col min="5" max="5" width="21.5703125" customWidth="1"/>
    <col min="6" max="6" width="9.7109375" bestFit="1" customWidth="1"/>
    <col min="7" max="7" width="11.140625" bestFit="1" customWidth="1"/>
    <col min="10" max="10" width="15.5703125" style="70" bestFit="1" customWidth="1"/>
    <col min="11" max="12" width="10.7109375" style="70" bestFit="1" customWidth="1"/>
    <col min="13" max="13" width="7.140625" style="70" customWidth="1"/>
    <col min="14" max="14" width="8.28515625" bestFit="1" customWidth="1"/>
    <col min="15" max="15" width="7.7109375" bestFit="1" customWidth="1"/>
    <col min="17" max="18" width="8.85546875" bestFit="1" customWidth="1"/>
    <col min="19" max="19" width="12" bestFit="1" customWidth="1"/>
    <col min="20" max="20" width="17.140625" bestFit="1" customWidth="1"/>
    <col min="21" max="21" width="14.5703125" bestFit="1" customWidth="1"/>
    <col min="22" max="22" width="12.7109375" bestFit="1" customWidth="1"/>
    <col min="26" max="26" width="11" bestFit="1" customWidth="1"/>
  </cols>
  <sheetData>
    <row r="2" spans="1:27" ht="18" customHeight="1" x14ac:dyDescent="0.25">
      <c r="T2" t="s">
        <v>802</v>
      </c>
    </row>
    <row r="3" spans="1:27" x14ac:dyDescent="0.25">
      <c r="B3" s="70" t="s">
        <v>786</v>
      </c>
      <c r="C3" s="70" t="s">
        <v>785</v>
      </c>
      <c r="D3" s="70" t="s">
        <v>787</v>
      </c>
      <c r="E3" s="70" t="s">
        <v>782</v>
      </c>
      <c r="F3" s="70" t="s">
        <v>788</v>
      </c>
      <c r="G3" s="70" t="s">
        <v>789</v>
      </c>
      <c r="H3" s="70" t="s">
        <v>790</v>
      </c>
      <c r="I3" s="70" t="s">
        <v>791</v>
      </c>
      <c r="J3" s="70" t="s">
        <v>792</v>
      </c>
      <c r="K3"/>
      <c r="L3" s="15" t="s">
        <v>786</v>
      </c>
      <c r="M3" s="93" t="s">
        <v>793</v>
      </c>
      <c r="N3" s="93"/>
      <c r="O3" s="93" t="s">
        <v>794</v>
      </c>
      <c r="P3" s="94"/>
      <c r="Q3" t="s">
        <v>1346</v>
      </c>
      <c r="R3" t="s">
        <v>1346</v>
      </c>
      <c r="T3" s="16" t="s">
        <v>795</v>
      </c>
      <c r="U3" s="16" t="s">
        <v>793</v>
      </c>
      <c r="V3" s="93" t="s">
        <v>794</v>
      </c>
      <c r="W3" s="94"/>
    </row>
    <row r="4" spans="1:27" x14ac:dyDescent="0.25">
      <c r="A4" s="13">
        <f t="shared" ref="A4:A67" si="0">IF(B4=B3,A3,A3+1)</f>
        <v>1</v>
      </c>
      <c r="B4" s="17">
        <v>43578</v>
      </c>
      <c r="C4" s="17" t="s">
        <v>802</v>
      </c>
      <c r="D4" s="18" t="s">
        <v>811</v>
      </c>
      <c r="E4" s="11" t="s">
        <v>812</v>
      </c>
      <c r="F4" s="19">
        <f>IF(Bets35[[#This Row],[Odds]]&lt;0,Bets35[[#This Row],[Odds]]/-10,10)</f>
        <v>10</v>
      </c>
      <c r="G4" s="46" t="s">
        <v>813</v>
      </c>
      <c r="H4" s="21" t="s">
        <v>262</v>
      </c>
      <c r="I4" s="22">
        <f>IF(Bets35[[#This Row],[Result]]="L",0-Bets35[[#This Row],[Risk]],IF(Bets35[[#This Row],[Result]]="Push",0,IF(Bets35[[#This Row],[Result]]="No Action",0,IF(Bets35[[#This Row],[Result]]="W",IF(Bets35[[#This Row],[Odds]]&gt;0,Bets35[[#This Row],[Odds]]/100*Bets35[[#This Row],[Risk]],(Bets35[[#This Row],[Risk]]/Bets35[[#This Row],[Odds]]*-100)),""))))</f>
        <v>21</v>
      </c>
      <c r="J4" s="23" t="str">
        <f>IF(ISNUMBER(SEARCH(CHAR(10),Bets35[[#This Row],[Bet]])),"P",IF(ISNUMBER(FIND("Under",Bets35[[#This Row],[Bet]])),"U",IF(ISNUMBER(SEARCH("Over",Bets35[[#This Row],[Bet]])),"O",IF(ISNUMBER(SEARCH("+",Bets35[[#This Row],[Bet]])),"D",IF(ISNUMBER(SEARCH("-",Bets35[[#This Row],[Bet]])),"F",IF(ISNUMBER(SEARCH("Moneyline",Bets35[[#This Row],[Bet]])),IF(Bets35[[#This Row],[Odds]]&lt;0,"MF","MD"),""))))))</f>
        <v>MD</v>
      </c>
      <c r="K4"/>
      <c r="L4" s="24">
        <f t="shared" ref="L4:L35" si="1">IFERROR(VLOOKUP(ROW()-3,A:B,2,0),0)</f>
        <v>43578</v>
      </c>
      <c r="M4" s="1" t="str">
        <f>COUNTIFS(Bets35[Date],L4,Bets35[Result],"W")&amp;"-"&amp;COUNTIFS(Bets35[Date],L4,Bets35[Result],"L")&amp;IF(COUNTIFS(Bets35[Date],L4,Bets35[Result],"Push")&gt;0,"-"&amp;COUNTIFS(Bets35[Date],L4,Bets35[Result],"Push"),"")</f>
        <v>11-7-1</v>
      </c>
      <c r="N4" s="25">
        <f>IFERROR(COUNTIFS(Bets35[Date],L4,Bets35[Result],"W")/(COUNTIFS(Bets35[Date],L4,Bets35[Result],"W")+COUNTIFS(Bets35[Date],L4,Bets35[Result],"L")),"")</f>
        <v>0.61111111111111116</v>
      </c>
      <c r="O4" s="26">
        <f>SUMIF(Bets35[Date],L4,Bets35[Net])</f>
        <v>50</v>
      </c>
      <c r="P4" s="27" t="str">
        <f>IFERROR("("&amp;ROUND(SUMIF(Bets35[Date],L4,Bets35[Net])/SUMIF(Bets35[Date],L4,Bets35[Risk]),2)*100&amp;"%)","")</f>
        <v>(22%)</v>
      </c>
      <c r="Q4" s="72">
        <f>O4</f>
        <v>50</v>
      </c>
      <c r="R4" s="73">
        <f>IFERROR(SUMIF(Bets35[Date],"&lt;="&amp;L4,Bets35[Net])/SUMIF(Bets35[Date],"&lt;="&amp;L4,Bets35[Risk]),"")</f>
        <v>0.22075055187637968</v>
      </c>
      <c r="S4" s="28" t="s">
        <v>796</v>
      </c>
      <c r="T4" s="29" t="s">
        <v>797</v>
      </c>
      <c r="U4" s="16" t="str">
        <f>IFERROR(IF($T$2="All",COUNTIFS(Bets35[Bet Type],S4,Bets35[Result],"W")&amp;"-"&amp;COUNTIFS(Bets35[Bet Type],S4,Bets35[Result],"L")&amp;IF(COUNTIFS(Bets35[Bet Type],S4,Bets35[Result],"Push")&gt;0,"-"&amp;COUNTIFS(Bets35[Bet Type],S4,Bets35[Result],"Push"),"")&amp;" ("&amp;ROUND(COUNTIFS(Bets35[Bet Type],S4,Bets35[Result],"W")/(COUNTIFS(Bets35[Bet Type],S4,Bets35[Result],"W")+COUNTIFS(Bets35[Bet Type],S4,Bets35[Result],"L"))*100,1)&amp;"%)",COUNTIFS(Bets35[Sport],$T$2,Bets35[Bet Type],S4,Bets35[Result],"W")&amp;"-"&amp;COUNTIFS(Bets35[Sport],$T$2,Bets35[Bet Type],S4,Bets35[Result],"L")&amp;IF(COUNTIFS(Bets35[Sport],$T$2,Bets35[Bet Type],S4,Bets35[Result],"Push")&gt;0,"-"&amp;COUNTIFS(Bets35[Sport],$T$2,Bets35[Bet Type],S4,Bets35[Result],"Push"),"")&amp;" ("&amp;ROUND(COUNTIFS(Bets35[Sport],$T$2,Bets35[Bet Type],S4,Bets35[Result],"W")/(COUNTIFS(Bets35[Sport],$T$2,Bets35[Bet Type],S4,Bets35[Result],"W")+COUNTIFS(Bets35[Sport],$T$2,Bets35[Bet Type],S4,Bets35[Result],"L"))*100,1)&amp;"%)"),"No Bets")</f>
        <v>40-31-3 (56.3%)</v>
      </c>
      <c r="V4" s="30">
        <f>IF($T$2="All",SUMIF(Bets35[Bet Type],S4,Bets35[Net]),SUMIFS(Bets35[Net],Bets35[Bet Type],S4,Bets35[Sport],$T$2))</f>
        <v>58.2</v>
      </c>
      <c r="W4" s="31" t="str">
        <f>IF($T$2="All",IFERROR("("&amp;ROUND((SUMIF(Bets35[Bet Type],S4,Bets35[Net]))/SUMIF(Bets35[Bet Type],S4,Bets35[Risk]),2)*100&amp;"%)",""),IFERROR("("&amp;ROUND((SUMIFS(Bets35[Net],Bets35[Bet Type],S4,Bets35[Sport],$T$2))/SUMIFS(Bets35[Risk],Bets35[Bet Type],S4,Bets35[Sport],$T$2),2)*100&amp;"%)",""))</f>
        <v>(7%)</v>
      </c>
    </row>
    <row r="5" spans="1:27" x14ac:dyDescent="0.25">
      <c r="A5" s="13">
        <f t="shared" si="0"/>
        <v>1</v>
      </c>
      <c r="B5" s="17">
        <v>43578</v>
      </c>
      <c r="C5" s="17" t="s">
        <v>802</v>
      </c>
      <c r="D5" s="18" t="s">
        <v>814</v>
      </c>
      <c r="E5" s="11" t="s">
        <v>815</v>
      </c>
      <c r="F5" s="19">
        <f>IF(Bets35[[#This Row],[Odds]]&lt;0,Bets35[[#This Row],[Odds]]/-10,10)</f>
        <v>11.5</v>
      </c>
      <c r="G5" s="46">
        <v>-115</v>
      </c>
      <c r="H5" s="21" t="s">
        <v>263</v>
      </c>
      <c r="I5" s="22">
        <f>IF(Bets35[[#This Row],[Result]]="L",0-Bets35[[#This Row],[Risk]],IF(Bets35[[#This Row],[Result]]="Push",0,IF(Bets35[[#This Row],[Result]]="No Action",0,IF(Bets35[[#This Row],[Result]]="W",IF(Bets35[[#This Row],[Odds]]&gt;0,Bets35[[#This Row],[Odds]]/100*Bets35[[#This Row],[Risk]],(Bets35[[#This Row],[Risk]]/Bets35[[#This Row],[Odds]]*-100)),""))))</f>
        <v>-11.5</v>
      </c>
      <c r="J5" s="23" t="str">
        <f>IF(ISNUMBER(SEARCH(CHAR(10),Bets35[[#This Row],[Bet]])),"P",IF(ISNUMBER(FIND("Under",Bets35[[#This Row],[Bet]])),"U",IF(ISNUMBER(SEARCH("Over",Bets35[[#This Row],[Bet]])),"O",IF(ISNUMBER(SEARCH("+",Bets35[[#This Row],[Bet]])),"D",IF(ISNUMBER(SEARCH("-",Bets35[[#This Row],[Bet]])),"F",IF(ISNUMBER(SEARCH("Moneyline",Bets35[[#This Row],[Bet]])),IF(Bets35[[#This Row],[Odds]]&lt;0,"MF","MD"),""))))))</f>
        <v>MF</v>
      </c>
      <c r="K5"/>
      <c r="L5" s="24">
        <f t="shared" si="1"/>
        <v>43579</v>
      </c>
      <c r="M5" s="1" t="str">
        <f>COUNTIFS(Bets35[Date],L5,Bets35[Result],"W")&amp;"-"&amp;COUNTIFS(Bets35[Date],L5,Bets35[Result],"L")&amp;IF(COUNTIFS(Bets35[Date],L5,Bets35[Result],"Push")&gt;0,"-"&amp;COUNTIFS(Bets35[Date],L5,Bets35[Result],"Push"),"")</f>
        <v>11-9</v>
      </c>
      <c r="N5" s="25">
        <f>IFERROR(COUNTIFS(Bets35[Date],L5,Bets35[Result],"W")/(COUNTIFS(Bets35[Date],L5,Bets35[Result],"W")+COUNTIFS(Bets35[Date],L5,Bets35[Result],"L")),"")</f>
        <v>0.55000000000000004</v>
      </c>
      <c r="O5" s="26">
        <f>SUMIF(Bets35[Date],L5,Bets35[Net])</f>
        <v>2</v>
      </c>
      <c r="P5" s="27" t="str">
        <f>IFERROR("("&amp;ROUND(SUMIF(Bets35[Date],L5,Bets35[Net])/SUMIF(Bets35[Date],L5,Bets35[Risk]),2)*100&amp;"%)","")</f>
        <v>(1%)</v>
      </c>
      <c r="Q5" s="72">
        <f>IF(L5&lt;&gt;0,Q4+O5,"")</f>
        <v>52</v>
      </c>
      <c r="R5" s="73">
        <f>IFERROR(SUMIF(Bets35[Date],"&lt;="&amp;L5,Bets35[Net])/SUMIF(Bets35[Date],"&lt;="&amp;L5,Bets35[Risk]),"")</f>
        <v>0.11052072263549416</v>
      </c>
      <c r="S5" s="28" t="s">
        <v>798</v>
      </c>
      <c r="T5" s="29" t="s">
        <v>799</v>
      </c>
      <c r="U5" s="16" t="str">
        <f>IFERROR(IF($T$2="All",COUNTIFS(Bets35[Bet Type],S5,Bets35[Result],"W")&amp;"-"&amp;COUNTIFS(Bets35[Bet Type],S5,Bets35[Result],"L")&amp;IF(COUNTIFS(Bets35[Bet Type],S5,Bets35[Result],"Push")&gt;0,"-"&amp;COUNTIFS(Bets35[Bet Type],S5,Bets35[Result],"Push"),"")&amp;" ("&amp;ROUND(COUNTIFS(Bets35[Bet Type],S5,Bets35[Result],"W")/(COUNTIFS(Bets35[Bet Type],S5,Bets35[Result],"W")+COUNTIFS(Bets35[Bet Type],S5,Bets35[Result],"L"))*100,1)&amp;"%)",COUNTIFS(Bets35[Sport],$T$2,Bets35[Bet Type],S5,Bets35[Result],"W")&amp;"-"&amp;COUNTIFS(Bets35[Sport],$T$2,Bets35[Bet Type],S5,Bets35[Result],"L")&amp;IF(COUNTIFS(Bets35[Sport],$T$2,Bets35[Bet Type],S5,Bets35[Result],"Push")&gt;0,"-"&amp;COUNTIFS(Bets35[Sport],$T$2,Bets35[Bet Type],S5,Bets35[Result],"Push"),"")&amp;" ("&amp;ROUND(COUNTIFS(Bets35[Sport],$T$2,Bets35[Bet Type],S5,Bets35[Result],"W")/(COUNTIFS(Bets35[Sport],$T$2,Bets35[Bet Type],S5,Bets35[Result],"W")+COUNTIFS(Bets35[Sport],$T$2,Bets35[Bet Type],S5,Bets35[Result],"L"))*100,1)&amp;"%)"),"No Bets")</f>
        <v>34-28-6 (54.8%)</v>
      </c>
      <c r="V5" s="30">
        <f>IF($T$2="All",SUMIF(Bets35[Bet Type],S5,Bets35[Net]),SUMIFS(Bets35[Net],Bets35[Bet Type],S5,Bets35[Sport],$T$2))</f>
        <v>31.200000000000003</v>
      </c>
      <c r="W5" s="31" t="str">
        <f>IF($T$2="All",IFERROR("("&amp;ROUND((SUMIF(Bets35[Bet Type],S5,Bets35[Net]))/SUMIF(Bets35[Bet Type],S5,Bets35[Risk]),2)*100&amp;"%)",""),IFERROR("("&amp;ROUND((SUMIFS(Bets35[Net],Bets35[Bet Type],S5,Bets35[Sport],$T$2))/SUMIFS(Bets35[Risk],Bets35[Bet Type],S5,Bets35[Sport],$T$2),2)*100&amp;"%)",""))</f>
        <v>(4%)</v>
      </c>
    </row>
    <row r="6" spans="1:27" x14ac:dyDescent="0.25">
      <c r="A6" s="13">
        <f t="shared" si="0"/>
        <v>1</v>
      </c>
      <c r="B6" s="17">
        <v>43578</v>
      </c>
      <c r="C6" s="17" t="s">
        <v>802</v>
      </c>
      <c r="D6" s="18" t="s">
        <v>816</v>
      </c>
      <c r="E6" s="11" t="s">
        <v>810</v>
      </c>
      <c r="F6" s="19">
        <f>IF(Bets35[[#This Row],[Odds]]&lt;0,Bets35[[#This Row],[Odds]]/-10,10)</f>
        <v>10</v>
      </c>
      <c r="G6" s="47" t="s">
        <v>817</v>
      </c>
      <c r="H6" s="21" t="s">
        <v>262</v>
      </c>
      <c r="I6" s="45">
        <f>IF(Bets35[[#This Row],[Result]]="L",0-Bets35[[#This Row],[Risk]],IF(Bets35[[#This Row],[Result]]="Push",0,IF(Bets35[[#This Row],[Result]]="No Action",0,IF(Bets35[[#This Row],[Result]]="W",IF(Bets35[[#This Row],[Odds]]&gt;0,Bets35[[#This Row],[Odds]]/100*Bets35[[#This Row],[Risk]],(Bets35[[#This Row],[Risk]]/Bets35[[#This Row],[Odds]]*-100)),""))))</f>
        <v>12</v>
      </c>
      <c r="J6" s="23" t="str">
        <f>IF(ISNUMBER(SEARCH(CHAR(10),Bets35[[#This Row],[Bet]])),"P",IF(ISNUMBER(FIND("Under",Bets35[[#This Row],[Bet]])),"U",IF(ISNUMBER(SEARCH("Over",Bets35[[#This Row],[Bet]])),"O",IF(ISNUMBER(SEARCH("+",Bets35[[#This Row],[Bet]])),"D",IF(ISNUMBER(SEARCH("-",Bets35[[#This Row],[Bet]])),"F",IF(ISNUMBER(SEARCH("Moneyline",Bets35[[#This Row],[Bet]])),IF(Bets35[[#This Row],[Odds]]&lt;0,"MF","MD"),""))))))</f>
        <v>MD</v>
      </c>
      <c r="K6"/>
      <c r="L6" s="24">
        <f t="shared" si="1"/>
        <v>43580</v>
      </c>
      <c r="M6" s="1" t="str">
        <f>COUNTIFS(Bets35[Date],L6,Bets35[Result],"W")&amp;"-"&amp;COUNTIFS(Bets35[Date],L6,Bets35[Result],"L")&amp;IF(COUNTIFS(Bets35[Date],L6,Bets35[Result],"Push")&gt;0,"-"&amp;COUNTIFS(Bets35[Date],L6,Bets35[Result],"Push"),"")</f>
        <v>3-2</v>
      </c>
      <c r="N6" s="25">
        <f>IFERROR(COUNTIFS(Bets35[Date],L6,Bets35[Result],"W")/(COUNTIFS(Bets35[Date],L6,Bets35[Result],"W")+COUNTIFS(Bets35[Date],L6,Bets35[Result],"L")),"")</f>
        <v>0.6</v>
      </c>
      <c r="O6" s="26">
        <f>SUMIF(Bets35[Date],L6,Bets35[Net])</f>
        <v>21</v>
      </c>
      <c r="P6" s="27" t="str">
        <f>IFERROR("("&amp;ROUND(SUMIF(Bets35[Date],L6,Bets35[Net])/SUMIF(Bets35[Date],L6,Bets35[Risk]),2)*100&amp;"%)","")</f>
        <v>(41%)</v>
      </c>
      <c r="Q6" s="72">
        <f t="shared" ref="Q6:Q69" si="2">IF(L6&lt;&gt;0,Q5+O6,"")</f>
        <v>73</v>
      </c>
      <c r="R6" s="73">
        <f>IFERROR(SUMIF(Bets35[Date],"&lt;="&amp;L6,Bets35[Net])/SUMIF(Bets35[Date],"&lt;="&amp;L6,Bets35[Risk]),"")</f>
        <v>0.13998082454458294</v>
      </c>
      <c r="S6" s="28" t="s">
        <v>800</v>
      </c>
      <c r="T6" s="29" t="s">
        <v>1211</v>
      </c>
      <c r="U6" s="16" t="str">
        <f>IFERROR(IF($T$2="All",COUNTIFS(Bets35[Bet Type],S6,Bets35[Result],"W")&amp;"-"&amp;COUNTIFS(Bets35[Bet Type],S6,Bets35[Result],"L")&amp;IF(COUNTIFS(Bets35[Bet Type],S6,Bets35[Result],"Push")&gt;0,"-"&amp;COUNTIFS(Bets35[Bet Type],S6,Bets35[Result],"Push"),"")&amp;" ("&amp;ROUND(COUNTIFS(Bets35[Bet Type],S6,Bets35[Result],"W")/(COUNTIFS(Bets35[Bet Type],S6,Bets35[Result],"W")+COUNTIFS(Bets35[Bet Type],S6,Bets35[Result],"L"))*100,1)&amp;"%)",COUNTIFS(Bets35[Sport],$T$2,Bets35[Bet Type],S6,Bets35[Result],"W")&amp;"-"&amp;COUNTIFS(Bets35[Sport],$T$2,Bets35[Bet Type],S6,Bets35[Result],"L")&amp;IF(COUNTIFS(Bets35[Sport],$T$2,Bets35[Bet Type],S6,Bets35[Result],"Push")&gt;0,"-"&amp;COUNTIFS(Bets35[Sport],$T$2,Bets35[Bet Type],S6,Bets35[Result],"Push"),"")&amp;" ("&amp;ROUND(COUNTIFS(Bets35[Sport],$T$2,Bets35[Bet Type],S6,Bets35[Result],"W")/(COUNTIFS(Bets35[Sport],$T$2,Bets35[Bet Type],S6,Bets35[Result],"W")+COUNTIFS(Bets35[Sport],$T$2,Bets35[Bet Type],S6,Bets35[Result],"L"))*100,1)&amp;"%)"),"No Bets")</f>
        <v>0-1 (0%)</v>
      </c>
      <c r="V6" s="30">
        <f>IF($T$2="All",SUMIF(Bets35[Bet Type],S6,Bets35[Net]),SUMIFS(Bets35[Net],Bets35[Bet Type],S6,Bets35[Sport],$T$2))</f>
        <v>-10</v>
      </c>
      <c r="W6" s="31" t="str">
        <f>IF($T$2="All",IFERROR("("&amp;ROUND((SUMIF(Bets35[Bet Type],S6,Bets35[Net]))/SUMIF(Bets35[Bet Type],S6,Bets35[Risk]),2)*100&amp;"%)",""),IFERROR("("&amp;ROUND((SUMIFS(Bets35[Net],Bets35[Bet Type],S6,Bets35[Sport],$T$2))/SUMIFS(Bets35[Risk],Bets35[Bet Type],S6,Bets35[Sport],$T$2),2)*100&amp;"%)",""))</f>
        <v>(-100%)</v>
      </c>
    </row>
    <row r="7" spans="1:27" x14ac:dyDescent="0.25">
      <c r="A7" s="13">
        <f t="shared" si="0"/>
        <v>1</v>
      </c>
      <c r="B7" s="17">
        <v>43578</v>
      </c>
      <c r="C7" s="17" t="s">
        <v>802</v>
      </c>
      <c r="D7" s="18" t="s">
        <v>818</v>
      </c>
      <c r="E7" s="11" t="s">
        <v>819</v>
      </c>
      <c r="F7" s="19">
        <f>IF(Bets35[[#This Row],[Odds]]&lt;0,Bets35[[#This Row],[Odds]]/-10,10)</f>
        <v>20</v>
      </c>
      <c r="G7" s="47">
        <v>-200</v>
      </c>
      <c r="H7" s="21" t="s">
        <v>262</v>
      </c>
      <c r="I7" s="45">
        <f>IF(Bets35[[#This Row],[Result]]="L",0-Bets35[[#This Row],[Risk]],IF(Bets35[[#This Row],[Result]]="Push",0,IF(Bets35[[#This Row],[Result]]="No Action",0,IF(Bets35[[#This Row],[Result]]="W",IF(Bets35[[#This Row],[Odds]]&gt;0,Bets35[[#This Row],[Odds]]/100*Bets35[[#This Row],[Risk]],(Bets35[[#This Row],[Risk]]/Bets35[[#This Row],[Odds]]*-100)),""))))</f>
        <v>10</v>
      </c>
      <c r="J7" s="23" t="str">
        <f>IF(ISNUMBER(SEARCH(CHAR(10),Bets35[[#This Row],[Bet]])),"P",IF(ISNUMBER(FIND("Under",Bets35[[#This Row],[Bet]])),"U",IF(ISNUMBER(SEARCH("Over",Bets35[[#This Row],[Bet]])),"O",IF(ISNUMBER(SEARCH("+",Bets35[[#This Row],[Bet]])),"D",IF(ISNUMBER(SEARCH("-",Bets35[[#This Row],[Bet]])),"F",IF(ISNUMBER(SEARCH("Moneyline",Bets35[[#This Row],[Bet]])),IF(Bets35[[#This Row],[Odds]]&lt;0,"MF","MD"),""))))))</f>
        <v>MF</v>
      </c>
      <c r="K7"/>
      <c r="L7" s="24">
        <f t="shared" si="1"/>
        <v>43581</v>
      </c>
      <c r="M7" s="1" t="str">
        <f>COUNTIFS(Bets35[Date],L7,Bets35[Result],"W")&amp;"-"&amp;COUNTIFS(Bets35[Date],L7,Bets35[Result],"L")&amp;IF(COUNTIFS(Bets35[Date],L7,Bets35[Result],"Push")&gt;0,"-"&amp;COUNTIFS(Bets35[Date],L7,Bets35[Result],"Push"),"")</f>
        <v>4-4-2</v>
      </c>
      <c r="N7" s="25">
        <f>IFERROR(COUNTIFS(Bets35[Date],L7,Bets35[Result],"W")/(COUNTIFS(Bets35[Date],L7,Bets35[Result],"W")+COUNTIFS(Bets35[Date],L7,Bets35[Result],"L")),"")</f>
        <v>0.5</v>
      </c>
      <c r="O7" s="26">
        <f>SUMIF(Bets35[Date],L7,Bets35[Net])</f>
        <v>-16.799999999999997</v>
      </c>
      <c r="P7" s="27" t="str">
        <f>IFERROR("("&amp;ROUND(SUMIF(Bets35[Date],L7,Bets35[Net])/SUMIF(Bets35[Date],L7,Bets35[Risk]),2)*100&amp;"%)","")</f>
        <v>(-12%)</v>
      </c>
      <c r="Q7" s="72">
        <f t="shared" si="2"/>
        <v>56.2</v>
      </c>
      <c r="R7" s="73">
        <f>IFERROR(SUMIF(Bets35[Date],"&lt;="&amp;L7,Bets35[Net])/SUMIF(Bets35[Date],"&lt;="&amp;L7,Bets35[Risk]),"")</f>
        <v>8.5449292990725234E-2</v>
      </c>
      <c r="S7" s="28" t="s">
        <v>801</v>
      </c>
      <c r="T7" s="29" t="s">
        <v>1212</v>
      </c>
      <c r="U7" s="16" t="str">
        <f>IFERROR(IF($T$2="All",COUNTIFS(Bets35[Bet Type],S7,Bets35[Result],"W")&amp;"-"&amp;COUNTIFS(Bets35[Bet Type],S7,Bets35[Result],"L")&amp;IF(COUNTIFS(Bets35[Bet Type],S7,Bets35[Result],"Push")&gt;0,"-"&amp;COUNTIFS(Bets35[Bet Type],S7,Bets35[Result],"Push"),"")&amp;" ("&amp;ROUND(COUNTIFS(Bets35[Bet Type],S7,Bets35[Result],"W")/(COUNTIFS(Bets35[Bet Type],S7,Bets35[Result],"W")+COUNTIFS(Bets35[Bet Type],S7,Bets35[Result],"L"))*100,1)&amp;"%)",COUNTIFS(Bets35[Sport],$T$2,Bets35[Bet Type],S7,Bets35[Result],"W")&amp;"-"&amp;COUNTIFS(Bets35[Sport],$T$2,Bets35[Bet Type],S7,Bets35[Result],"L")&amp;IF(COUNTIFS(Bets35[Sport],$T$2,Bets35[Bet Type],S7,Bets35[Result],"Push")&gt;0,"-"&amp;COUNTIFS(Bets35[Sport],$T$2,Bets35[Bet Type],S7,Bets35[Result],"Push"),"")&amp;" ("&amp;ROUND(COUNTIFS(Bets35[Sport],$T$2,Bets35[Bet Type],S7,Bets35[Result],"W")/(COUNTIFS(Bets35[Sport],$T$2,Bets35[Bet Type],S7,Bets35[Result],"W")+COUNTIFS(Bets35[Sport],$T$2,Bets35[Bet Type],S7,Bets35[Result],"L"))*100,1)&amp;"%)"),"No Bets")</f>
        <v>No Bets</v>
      </c>
      <c r="V7" s="30">
        <f>IF($T$2="All",SUMIF(Bets35[Bet Type],S7,Bets35[Net]),SUMIFS(Bets35[Net],Bets35[Bet Type],S7,Bets35[Sport],$T$2))</f>
        <v>0</v>
      </c>
      <c r="W7" s="31" t="str">
        <f>IF($T$2="All",IFERROR("("&amp;ROUND((SUMIF(Bets35[Bet Type],S7,Bets35[Net]))/SUMIF(Bets35[Bet Type],S7,Bets35[Risk]),2)*100&amp;"%)",""),IFERROR("("&amp;ROUND((SUMIFS(Bets35[Net],Bets35[Bet Type],S7,Bets35[Sport],$T$2))/SUMIFS(Bets35[Risk],Bets35[Bet Type],S7,Bets35[Sport],$T$2),2)*100&amp;"%)",""))</f>
        <v/>
      </c>
    </row>
    <row r="8" spans="1:27" x14ac:dyDescent="0.25">
      <c r="A8" s="13">
        <f t="shared" si="0"/>
        <v>1</v>
      </c>
      <c r="B8" s="17">
        <v>43578</v>
      </c>
      <c r="C8" s="17" t="s">
        <v>802</v>
      </c>
      <c r="D8" s="18" t="s">
        <v>811</v>
      </c>
      <c r="E8" s="11" t="s">
        <v>812</v>
      </c>
      <c r="F8" s="19">
        <f>IF(Bets35[[#This Row],[Odds]]&lt;0,Bets35[[#This Row],[Odds]]/-10,10)</f>
        <v>10</v>
      </c>
      <c r="G8" s="47" t="s">
        <v>820</v>
      </c>
      <c r="H8" s="21" t="s">
        <v>262</v>
      </c>
      <c r="I8" s="45">
        <f>IF(Bets35[[#This Row],[Result]]="L",0-Bets35[[#This Row],[Risk]],IF(Bets35[[#This Row],[Result]]="Push",0,IF(Bets35[[#This Row],[Result]]="No Action",0,IF(Bets35[[#This Row],[Result]]="W",IF(Bets35[[#This Row],[Odds]]&gt;0,Bets35[[#This Row],[Odds]]/100*Bets35[[#This Row],[Risk]],(Bets35[[#This Row],[Risk]]/Bets35[[#This Row],[Odds]]*-100)),""))))</f>
        <v>18.5</v>
      </c>
      <c r="J8" s="23" t="str">
        <f>IF(ISNUMBER(SEARCH(CHAR(10),Bets35[[#This Row],[Bet]])),"P",IF(ISNUMBER(FIND("Under",Bets35[[#This Row],[Bet]])),"U",IF(ISNUMBER(SEARCH("Over",Bets35[[#This Row],[Bet]])),"O",IF(ISNUMBER(SEARCH("+",Bets35[[#This Row],[Bet]])),"D",IF(ISNUMBER(SEARCH("-",Bets35[[#This Row],[Bet]])),"F",IF(ISNUMBER(SEARCH("Moneyline",Bets35[[#This Row],[Bet]])),IF(Bets35[[#This Row],[Odds]]&lt;0,"MF","MD"),""))))))</f>
        <v>MD</v>
      </c>
      <c r="K8"/>
      <c r="L8" s="24">
        <f t="shared" si="1"/>
        <v>43584</v>
      </c>
      <c r="M8" s="1" t="str">
        <f>COUNTIFS(Bets35[Date],L8,Bets35[Result],"W")&amp;"-"&amp;COUNTIFS(Bets35[Date],L8,Bets35[Result],"L")&amp;IF(COUNTIFS(Bets35[Date],L8,Bets35[Result],"Push")&gt;0,"-"&amp;COUNTIFS(Bets35[Date],L8,Bets35[Result],"Push"),"")</f>
        <v>6-3</v>
      </c>
      <c r="N8" s="25">
        <f>IFERROR(COUNTIFS(Bets35[Date],L8,Bets35[Result],"W")/(COUNTIFS(Bets35[Date],L8,Bets35[Result],"W")+COUNTIFS(Bets35[Date],L8,Bets35[Result],"L")),"")</f>
        <v>0.66666666666666663</v>
      </c>
      <c r="O8" s="26">
        <f>SUMIF(Bets35[Date],L8,Bets35[Net])</f>
        <v>34.5</v>
      </c>
      <c r="P8" s="27" t="str">
        <f>IFERROR("("&amp;ROUND(SUMIF(Bets35[Date],L8,Bets35[Net])/SUMIF(Bets35[Date],L8,Bets35[Risk]),2)*100&amp;"%)","")</f>
        <v>(36%)</v>
      </c>
      <c r="Q8" s="72">
        <f t="shared" si="2"/>
        <v>90.7</v>
      </c>
      <c r="R8" s="73">
        <f>IFERROR(SUMIF(Bets35[Date],"&lt;="&amp;L8,Bets35[Net])/SUMIF(Bets35[Date],"&lt;="&amp;L8,Bets35[Risk]),"")</f>
        <v>0.12033965768873554</v>
      </c>
      <c r="S8" s="28" t="s">
        <v>803</v>
      </c>
      <c r="T8" s="29" t="s">
        <v>804</v>
      </c>
      <c r="U8" s="16" t="str">
        <f>IFERROR(IF($T$2="All",COUNTIFS(Bets35[Bet Type],S8,Bets35[Result],"W")&amp;"-"&amp;COUNTIFS(Bets35[Bet Type],S8,Bets35[Result],"L")&amp;IF(COUNTIFS(Bets35[Bet Type],S8,Bets35[Result],"Push")&gt;0,"-"&amp;COUNTIFS(Bets35[Bet Type],S8,Bets35[Result],"Push"),"")&amp;" ("&amp;ROUND(COUNTIFS(Bets35[Bet Type],S8,Bets35[Result],"W")/(COUNTIFS(Bets35[Bet Type],S8,Bets35[Result],"W")+COUNTIFS(Bets35[Bet Type],S8,Bets35[Result],"L"))*100,1)&amp;"%)",COUNTIFS(Bets35[Sport],$T$2,Bets35[Bet Type],S8,Bets35[Result],"W")&amp;"-"&amp;COUNTIFS(Bets35[Sport],$T$2,Bets35[Bet Type],S8,Bets35[Result],"L")&amp;IF(COUNTIFS(Bets35[Sport],$T$2,Bets35[Bet Type],S8,Bets35[Result],"Push")&gt;0,"-"&amp;COUNTIFS(Bets35[Sport],$T$2,Bets35[Bet Type],S8,Bets35[Result],"Push"),"")&amp;" ("&amp;ROUND(COUNTIFS(Bets35[Sport],$T$2,Bets35[Bet Type],S8,Bets35[Result],"W")/(COUNTIFS(Bets35[Sport],$T$2,Bets35[Bet Type],S8,Bets35[Result],"W")+COUNTIFS(Bets35[Sport],$T$2,Bets35[Bet Type],S8,Bets35[Result],"L"))*100,1)&amp;"%)"),"No Bets")</f>
        <v>78-45-1 (63.4%)</v>
      </c>
      <c r="V8" s="30">
        <f>IF($T$2="All",SUMIF(Bets35[Bet Type],S8,Bets35[Net]),SUMIFS(Bets35[Net],Bets35[Bet Type],S8,Bets35[Sport],$T$2))</f>
        <v>133.6</v>
      </c>
      <c r="W8" s="31" t="str">
        <f>IF($T$2="All",IFERROR("("&amp;ROUND((SUMIF(Bets35[Bet Type],S8,Bets35[Net]))/SUMIF(Bets35[Bet Type],S8,Bets35[Risk]),2)*100&amp;"%)",""),IFERROR("("&amp;ROUND((SUMIFS(Bets35[Net],Bets35[Bet Type],S8,Bets35[Sport],$T$2))/SUMIFS(Bets35[Risk],Bets35[Bet Type],S8,Bets35[Sport],$T$2),2)*100&amp;"%)",""))</f>
        <v>(6%)</v>
      </c>
    </row>
    <row r="9" spans="1:27" x14ac:dyDescent="0.25">
      <c r="A9" s="13">
        <f t="shared" si="0"/>
        <v>1</v>
      </c>
      <c r="B9" s="17">
        <v>43578</v>
      </c>
      <c r="C9" s="17" t="s">
        <v>802</v>
      </c>
      <c r="D9" s="18" t="s">
        <v>821</v>
      </c>
      <c r="E9" s="11" t="s">
        <v>822</v>
      </c>
      <c r="F9" s="19">
        <f>IF(Bets35[[#This Row],[Odds]]&lt;0,Bets35[[#This Row],[Odds]]/-10,10)</f>
        <v>10</v>
      </c>
      <c r="G9" s="47" t="s">
        <v>823</v>
      </c>
      <c r="H9" s="21" t="s">
        <v>263</v>
      </c>
      <c r="I9" s="45">
        <f>IF(Bets35[[#This Row],[Result]]="L",0-Bets35[[#This Row],[Risk]],IF(Bets35[[#This Row],[Result]]="Push",0,IF(Bets35[[#This Row],[Result]]="No Action",0,IF(Bets35[[#This Row],[Result]]="W",IF(Bets35[[#This Row],[Odds]]&gt;0,Bets35[[#This Row],[Odds]]/100*Bets35[[#This Row],[Risk]],(Bets35[[#This Row],[Risk]]/Bets35[[#This Row],[Odds]]*-100)),""))))</f>
        <v>-10</v>
      </c>
      <c r="J9" s="23" t="str">
        <f>IF(ISNUMBER(SEARCH(CHAR(10),Bets35[[#This Row],[Bet]])),"P",IF(ISNUMBER(FIND("Under",Bets35[[#This Row],[Bet]])),"U",IF(ISNUMBER(SEARCH("Over",Bets35[[#This Row],[Bet]])),"O",IF(ISNUMBER(SEARCH("+",Bets35[[#This Row],[Bet]])),"D",IF(ISNUMBER(SEARCH("-",Bets35[[#This Row],[Bet]])),"F",IF(ISNUMBER(SEARCH("Moneyline",Bets35[[#This Row],[Bet]])),IF(Bets35[[#This Row],[Odds]]&lt;0,"MF","MD"),""))))))</f>
        <v>MD</v>
      </c>
      <c r="K9"/>
      <c r="L9" s="24">
        <f t="shared" si="1"/>
        <v>43585</v>
      </c>
      <c r="M9" s="1" t="str">
        <f>COUNTIFS(Bets35[Date],L9,Bets35[Result],"W")&amp;"-"&amp;COUNTIFS(Bets35[Date],L9,Bets35[Result],"L")&amp;IF(COUNTIFS(Bets35[Date],L9,Bets35[Result],"Push")&gt;0,"-"&amp;COUNTIFS(Bets35[Date],L9,Bets35[Result],"Push"),"")</f>
        <v>9-5-3</v>
      </c>
      <c r="N9" s="25">
        <f>IFERROR(COUNTIFS(Bets35[Date],L9,Bets35[Result],"W")/(COUNTIFS(Bets35[Date],L9,Bets35[Result],"W")+COUNTIFS(Bets35[Date],L9,Bets35[Result],"L")),"")</f>
        <v>0.6428571428571429</v>
      </c>
      <c r="O9" s="26">
        <f>SUMIF(Bets35[Date],L9,Bets35[Net])</f>
        <v>24</v>
      </c>
      <c r="P9" s="27" t="str">
        <f>IFERROR("("&amp;ROUND(SUMIF(Bets35[Date],L9,Bets35[Net])/SUMIF(Bets35[Date],L9,Bets35[Risk]),2)*100&amp;"%)","")</f>
        <v>(11%)</v>
      </c>
      <c r="Q9" s="72">
        <f t="shared" si="2"/>
        <v>114.7</v>
      </c>
      <c r="R9" s="73">
        <f>IFERROR(SUMIF(Bets35[Date],"&lt;="&amp;L9,Bets35[Net])/SUMIF(Bets35[Date],"&lt;="&amp;L9,Bets35[Risk]),"")</f>
        <v>0.11802840090553611</v>
      </c>
      <c r="S9" s="28" t="s">
        <v>805</v>
      </c>
      <c r="T9" s="29" t="s">
        <v>806</v>
      </c>
      <c r="U9" s="16" t="str">
        <f>IFERROR(IF($T$2="All",COUNTIFS(Bets35[Bet Type],S9,Bets35[Result],"W")&amp;"-"&amp;COUNTIFS(Bets35[Bet Type],S9,Bets35[Result],"L")&amp;IF(COUNTIFS(Bets35[Bet Type],S9,Bets35[Result],"Push")&gt;0,"-"&amp;COUNTIFS(Bets35[Bet Type],S9,Bets35[Result],"Push"),"")&amp;" ("&amp;ROUND(COUNTIFS(Bets35[Bet Type],S9,Bets35[Result],"W")/(COUNTIFS(Bets35[Bet Type],S9,Bets35[Result],"W")+COUNTIFS(Bets35[Bet Type],S9,Bets35[Result],"L"))*100,1)&amp;"%)",COUNTIFS(Bets35[Sport],$T$2,Bets35[Bet Type],S9,Bets35[Result],"W")&amp;"-"&amp;COUNTIFS(Bets35[Sport],$T$2,Bets35[Bet Type],S9,Bets35[Result],"L")&amp;IF(COUNTIFS(Bets35[Sport],$T$2,Bets35[Bet Type],S9,Bets35[Result],"Push")&gt;0,"-"&amp;COUNTIFS(Bets35[Sport],$T$2,Bets35[Bet Type],S9,Bets35[Result],"Push"),"")&amp;" ("&amp;ROUND(COUNTIFS(Bets35[Sport],$T$2,Bets35[Bet Type],S9,Bets35[Result],"W")/(COUNTIFS(Bets35[Sport],$T$2,Bets35[Bet Type],S9,Bets35[Result],"W")+COUNTIFS(Bets35[Sport],$T$2,Bets35[Bet Type],S9,Bets35[Result],"L"))*100,1)&amp;"%)"),"No Bets")</f>
        <v>33-39-1 (45.8%)</v>
      </c>
      <c r="V9" s="30">
        <f>IF($T$2="All",SUMIF(Bets35[Bet Type],S9,Bets35[Net]),SUMIFS(Bets35[Net],Bets35[Bet Type],S9,Bets35[Sport],$T$2))</f>
        <v>78.599999999999994</v>
      </c>
      <c r="W9" s="31" t="str">
        <f>IF($T$2="All",IFERROR("("&amp;ROUND((SUMIF(Bets35[Bet Type],S9,Bets35[Net]))/SUMIF(Bets35[Bet Type],S9,Bets35[Risk]),2)*100&amp;"%)",""),IFERROR("("&amp;ROUND((SUMIFS(Bets35[Net],Bets35[Bet Type],S9,Bets35[Sport],$T$2))/SUMIFS(Bets35[Risk],Bets35[Bet Type],S9,Bets35[Sport],$T$2),2)*100&amp;"%)",""))</f>
        <v>(10%)</v>
      </c>
    </row>
    <row r="10" spans="1:27" x14ac:dyDescent="0.25">
      <c r="A10" s="13">
        <f t="shared" si="0"/>
        <v>1</v>
      </c>
      <c r="B10" s="17">
        <v>43578</v>
      </c>
      <c r="C10" s="17" t="s">
        <v>802</v>
      </c>
      <c r="D10" s="18" t="s">
        <v>824</v>
      </c>
      <c r="E10" s="11" t="s">
        <v>809</v>
      </c>
      <c r="F10" s="19">
        <f>IF(Bets35[[#This Row],[Odds]]&lt;0,Bets35[[#This Row],[Odds]]/-10,10)</f>
        <v>10</v>
      </c>
      <c r="G10" s="47" t="s">
        <v>825</v>
      </c>
      <c r="H10" s="21" t="s">
        <v>263</v>
      </c>
      <c r="I10" s="45">
        <f>IF(Bets35[[#This Row],[Result]]="L",0-Bets35[[#This Row],[Risk]],IF(Bets35[[#This Row],[Result]]="Push",0,IF(Bets35[[#This Row],[Result]]="No Action",0,IF(Bets35[[#This Row],[Result]]="W",IF(Bets35[[#This Row],[Odds]]&gt;0,Bets35[[#This Row],[Odds]]/100*Bets35[[#This Row],[Risk]],(Bets35[[#This Row],[Risk]]/Bets35[[#This Row],[Odds]]*-100)),""))))</f>
        <v>-10</v>
      </c>
      <c r="J10" s="23" t="str">
        <f>IF(ISNUMBER(SEARCH(CHAR(10),Bets35[[#This Row],[Bet]])),"P",IF(ISNUMBER(FIND("Under",Bets35[[#This Row],[Bet]])),"U",IF(ISNUMBER(SEARCH("Over",Bets35[[#This Row],[Bet]])),"O",IF(ISNUMBER(SEARCH("+",Bets35[[#This Row],[Bet]])),"D",IF(ISNUMBER(SEARCH("-",Bets35[[#This Row],[Bet]])),"F",IF(ISNUMBER(SEARCH("Moneyline",Bets35[[#This Row],[Bet]])),IF(Bets35[[#This Row],[Odds]]&lt;0,"MF","MD"),""))))))</f>
        <v>MD</v>
      </c>
      <c r="K10"/>
      <c r="L10" s="24">
        <f t="shared" si="1"/>
        <v>43586</v>
      </c>
      <c r="M10" s="1" t="str">
        <f>COUNTIFS(Bets35[Date],L10,Bets35[Result],"W")&amp;"-"&amp;COUNTIFS(Bets35[Date],L10,Bets35[Result],"L")&amp;IF(COUNTIFS(Bets35[Date],L10,Bets35[Result],"Push")&gt;0,"-"&amp;COUNTIFS(Bets35[Date],L10,Bets35[Result],"Push"),"")</f>
        <v>7-6-1</v>
      </c>
      <c r="N10" s="25">
        <f>IFERROR(COUNTIFS(Bets35[Date],L10,Bets35[Result],"W")/(COUNTIFS(Bets35[Date],L10,Bets35[Result],"W")+COUNTIFS(Bets35[Date],L10,Bets35[Result],"L")),"")</f>
        <v>0.53846153846153844</v>
      </c>
      <c r="O10" s="26">
        <f>SUMIF(Bets35[Date],L10,Bets35[Net])</f>
        <v>7.8999999999999986</v>
      </c>
      <c r="P10" s="27" t="str">
        <f>IFERROR("("&amp;ROUND(SUMIF(Bets35[Date],L10,Bets35[Net])/SUMIF(Bets35[Date],L10,Bets35[Risk]),2)*100&amp;"%)","")</f>
        <v>(5%)</v>
      </c>
      <c r="Q10" s="72">
        <f t="shared" si="2"/>
        <v>122.6</v>
      </c>
      <c r="R10" s="73">
        <f>IFERROR(SUMIF(Bets35[Date],"&lt;="&amp;L10,Bets35[Net])/SUMIF(Bets35[Date],"&lt;="&amp;L10,Bets35[Risk]),"")</f>
        <v>0.10712101354303187</v>
      </c>
      <c r="S10" s="28" t="s">
        <v>807</v>
      </c>
      <c r="T10" s="29" t="s">
        <v>808</v>
      </c>
      <c r="U10" s="16" t="str">
        <f>IFERROR(IF($T$2="All",COUNTIFS(Bets35[Bet Type],S10,Bets35[Result],"W")&amp;"-"&amp;COUNTIFS(Bets35[Bet Type],S10,Bets35[Result],"L")&amp;IF(COUNTIFS(Bets35[Bet Type],S10,Bets35[Result],"Push")&gt;0,"-"&amp;COUNTIFS(Bets35[Bet Type],S10,Bets35[Result],"Push"),"")&amp;" ("&amp;ROUND(COUNTIFS(Bets35[Bet Type],S10,Bets35[Result],"W")/(COUNTIFS(Bets35[Bet Type],S10,Bets35[Result],"W")+COUNTIFS(Bets35[Bet Type],S10,Bets35[Result],"L"))*100,1)&amp;"%)",COUNTIFS(Bets35[Sport],$T$2,Bets35[Bet Type],S10,Bets35[Result],"W")&amp;"-"&amp;COUNTIFS(Bets35[Sport],$T$2,Bets35[Bet Type],S10,Bets35[Result],"L")&amp;IF(COUNTIFS(Bets35[Sport],$T$2,Bets35[Bet Type],S10,Bets35[Result],"Push")&gt;0,"-"&amp;COUNTIFS(Bets35[Sport],$T$2,Bets35[Bet Type],S10,Bets35[Result],"Push"),"")&amp;" ("&amp;ROUND(COUNTIFS(Bets35[Sport],$T$2,Bets35[Bet Type],S10,Bets35[Result],"W")/(COUNTIFS(Bets35[Sport],$T$2,Bets35[Bet Type],S10,Bets35[Result],"W")+COUNTIFS(Bets35[Sport],$T$2,Bets35[Bet Type],S10,Bets35[Result],"L"))*100,1)&amp;"%)"),"No Bets")</f>
        <v>No Bets</v>
      </c>
      <c r="V10" s="30">
        <f>IF($T$2="All",SUMIF(Bets35[Bet Type],S10,Bets35[Net]),SUMIFS(Bets35[Net],Bets35[Bet Type],S10,Bets35[Sport],$T$2))</f>
        <v>0</v>
      </c>
      <c r="W10" s="31" t="str">
        <f>IF($T$2="All",IFERROR("("&amp;ROUND((SUMIF(Bets35[Bet Type],S10,Bets35[Net]))/SUMIF(Bets35[Bet Type],S10,Bets35[Risk]),2)*100&amp;"%)",""),IFERROR("("&amp;ROUND((SUMIFS(Bets35[Net],Bets35[Bet Type],S10,Bets35[Sport],$T$2))/SUMIFS(Bets35[Risk],Bets35[Bet Type],S10,Bets35[Sport],$T$2),2)*100&amp;"%)",""))</f>
        <v/>
      </c>
    </row>
    <row r="11" spans="1:27" x14ac:dyDescent="0.25">
      <c r="A11" s="13">
        <f t="shared" si="0"/>
        <v>1</v>
      </c>
      <c r="B11" s="17">
        <v>43578</v>
      </c>
      <c r="C11" s="17" t="s">
        <v>802</v>
      </c>
      <c r="D11" s="18" t="s">
        <v>826</v>
      </c>
      <c r="E11" s="11" t="s">
        <v>827</v>
      </c>
      <c r="F11" s="19">
        <f>IF(Bets35[[#This Row],[Odds]]&lt;0,Bets35[[#This Row],[Odds]]/-10,10)</f>
        <v>10</v>
      </c>
      <c r="G11" s="47" t="s">
        <v>828</v>
      </c>
      <c r="H11" s="21" t="s">
        <v>263</v>
      </c>
      <c r="I11" s="45">
        <f>IF(Bets35[[#This Row],[Result]]="L",0-Bets35[[#This Row],[Risk]],IF(Bets35[[#This Row],[Result]]="Push",0,IF(Bets35[[#This Row],[Result]]="No Action",0,IF(Bets35[[#This Row],[Result]]="W",IF(Bets35[[#This Row],[Odds]]&gt;0,Bets35[[#This Row],[Odds]]/100*Bets35[[#This Row],[Risk]],(Bets35[[#This Row],[Risk]]/Bets35[[#This Row],[Odds]]*-100)),""))))</f>
        <v>-10</v>
      </c>
      <c r="J11" s="23" t="str">
        <f>IF(ISNUMBER(SEARCH(CHAR(10),Bets35[[#This Row],[Bet]])),"P",IF(ISNUMBER(FIND("Under",Bets35[[#This Row],[Bet]])),"U",IF(ISNUMBER(SEARCH("Over",Bets35[[#This Row],[Bet]])),"O",IF(ISNUMBER(SEARCH("+",Bets35[[#This Row],[Bet]])),"D",IF(ISNUMBER(SEARCH("-",Bets35[[#This Row],[Bet]])),"F",IF(ISNUMBER(SEARCH("Moneyline",Bets35[[#This Row],[Bet]])),IF(Bets35[[#This Row],[Odds]]&lt;0,"MF","MD"),""))))))</f>
        <v>MD</v>
      </c>
      <c r="K11"/>
      <c r="L11" s="24">
        <f t="shared" si="1"/>
        <v>43587</v>
      </c>
      <c r="M11" s="1" t="str">
        <f>COUNTIFS(Bets35[Date],L11,Bets35[Result],"W")&amp;"-"&amp;COUNTIFS(Bets35[Date],L11,Bets35[Result],"L")&amp;IF(COUNTIFS(Bets35[Date],L11,Bets35[Result],"Push")&gt;0,"-"&amp;COUNTIFS(Bets35[Date],L11,Bets35[Result],"Push"),"")</f>
        <v>2-2</v>
      </c>
      <c r="N11" s="25">
        <f>IFERROR(COUNTIFS(Bets35[Date],L11,Bets35[Result],"W")/(COUNTIFS(Bets35[Date],L11,Bets35[Result],"W")+COUNTIFS(Bets35[Date],L11,Bets35[Result],"L")),"")</f>
        <v>0.5</v>
      </c>
      <c r="O11" s="26">
        <f>SUMIF(Bets35[Date],L11,Bets35[Net])</f>
        <v>-2</v>
      </c>
      <c r="P11" s="27" t="str">
        <f>IFERROR("("&amp;ROUND(SUMIF(Bets35[Date],L11,Bets35[Net])/SUMIF(Bets35[Date],L11,Bets35[Risk]),2)*100&amp;"%)","")</f>
        <v>(-4%)</v>
      </c>
      <c r="Q11" s="72">
        <f t="shared" si="2"/>
        <v>120.6</v>
      </c>
      <c r="R11" s="73">
        <f>IFERROR(SUMIF(Bets35[Date],"&lt;="&amp;L11,Bets35[Net])/SUMIF(Bets35[Date],"&lt;="&amp;L11,Bets35[Risk]),"")</f>
        <v>0.10086142008865097</v>
      </c>
      <c r="AA11" s="32"/>
    </row>
    <row r="12" spans="1:27" x14ac:dyDescent="0.25">
      <c r="A12" s="13">
        <f t="shared" si="0"/>
        <v>1</v>
      </c>
      <c r="B12" s="17">
        <v>43578</v>
      </c>
      <c r="C12" s="17" t="s">
        <v>802</v>
      </c>
      <c r="D12" s="18" t="s">
        <v>829</v>
      </c>
      <c r="E12" s="11" t="s">
        <v>830</v>
      </c>
      <c r="F12" s="19">
        <f>IF(Bets35[[#This Row],[Odds]]&lt;0,Bets35[[#This Row],[Odds]]/-10,10)</f>
        <v>13</v>
      </c>
      <c r="G12" s="47">
        <v>-130</v>
      </c>
      <c r="H12" s="21" t="s">
        <v>262</v>
      </c>
      <c r="I12" s="45">
        <f>IF(Bets35[[#This Row],[Result]]="L",0-Bets35[[#This Row],[Risk]],IF(Bets35[[#This Row],[Result]]="Push",0,IF(Bets35[[#This Row],[Result]]="No Action",0,IF(Bets35[[#This Row],[Result]]="W",IF(Bets35[[#This Row],[Odds]]&gt;0,Bets35[[#This Row],[Odds]]/100*Bets35[[#This Row],[Risk]],(Bets35[[#This Row],[Risk]]/Bets35[[#This Row],[Odds]]*-100)),""))))</f>
        <v>10</v>
      </c>
      <c r="J12" s="23" t="str">
        <f>IF(ISNUMBER(SEARCH(CHAR(10),Bets35[[#This Row],[Bet]])),"P",IF(ISNUMBER(FIND("Under",Bets35[[#This Row],[Bet]])),"U",IF(ISNUMBER(SEARCH("Over",Bets35[[#This Row],[Bet]])),"O",IF(ISNUMBER(SEARCH("+",Bets35[[#This Row],[Bet]])),"D",IF(ISNUMBER(SEARCH("-",Bets35[[#This Row],[Bet]])),"F",IF(ISNUMBER(SEARCH("Moneyline",Bets35[[#This Row],[Bet]])),IF(Bets35[[#This Row],[Odds]]&lt;0,"MF","MD"),""))))))</f>
        <v>MF</v>
      </c>
      <c r="K12"/>
      <c r="L12" s="24">
        <f t="shared" si="1"/>
        <v>43592</v>
      </c>
      <c r="M12" s="1" t="str">
        <f>COUNTIFS(Bets35[Date],L12,Bets35[Result],"W")&amp;"-"&amp;COUNTIFS(Bets35[Date],L12,Bets35[Result],"L")&amp;IF(COUNTIFS(Bets35[Date],L12,Bets35[Result],"Push")&gt;0,"-"&amp;COUNTIFS(Bets35[Date],L12,Bets35[Result],"Push"),"")</f>
        <v>7-9</v>
      </c>
      <c r="N12" s="25">
        <f>IFERROR(COUNTIFS(Bets35[Date],L12,Bets35[Result],"W")/(COUNTIFS(Bets35[Date],L12,Bets35[Result],"W")+COUNTIFS(Bets35[Date],L12,Bets35[Result],"L")),"")</f>
        <v>0.4375</v>
      </c>
      <c r="O12" s="26">
        <f>SUMIF(Bets35[Date],L12,Bets35[Net])</f>
        <v>-29.700000000000003</v>
      </c>
      <c r="P12" s="27" t="str">
        <f>IFERROR("("&amp;ROUND(SUMIF(Bets35[Date],L12,Bets35[Net])/SUMIF(Bets35[Date],L12,Bets35[Risk]),2)*100&amp;"%)","")</f>
        <v>(-16%)</v>
      </c>
      <c r="Q12" s="72">
        <f t="shared" si="2"/>
        <v>90.899999999999991</v>
      </c>
      <c r="R12" s="73">
        <f>IFERROR(SUMIF(Bets35[Date],"&lt;="&amp;L12,Bets35[Net])/SUMIF(Bets35[Date],"&lt;="&amp;L12,Bets35[Risk]),"")</f>
        <v>6.5845708076783763E-2</v>
      </c>
      <c r="AA12" s="32"/>
    </row>
    <row r="13" spans="1:27" x14ac:dyDescent="0.25">
      <c r="A13" s="13">
        <f t="shared" si="0"/>
        <v>1</v>
      </c>
      <c r="B13" s="17">
        <v>43578</v>
      </c>
      <c r="C13" s="17" t="s">
        <v>802</v>
      </c>
      <c r="D13" s="18" t="s">
        <v>831</v>
      </c>
      <c r="E13" s="11" t="s">
        <v>832</v>
      </c>
      <c r="F13" s="19">
        <f>IF(Bets35[[#This Row],[Odds]]&lt;0,Bets35[[#This Row],[Odds]]/-10,10)</f>
        <v>12</v>
      </c>
      <c r="G13" s="47">
        <v>-120</v>
      </c>
      <c r="H13" s="21" t="s">
        <v>262</v>
      </c>
      <c r="I13" s="45">
        <f>IF(Bets35[[#This Row],[Result]]="L",0-Bets35[[#This Row],[Risk]],IF(Bets35[[#This Row],[Result]]="Push",0,IF(Bets35[[#This Row],[Result]]="No Action",0,IF(Bets35[[#This Row],[Result]]="W",IF(Bets35[[#This Row],[Odds]]&gt;0,Bets35[[#This Row],[Odds]]/100*Bets35[[#This Row],[Risk]],(Bets35[[#This Row],[Risk]]/Bets35[[#This Row],[Odds]]*-100)),""))))</f>
        <v>10</v>
      </c>
      <c r="J13" s="23" t="str">
        <f>IF(ISNUMBER(SEARCH(CHAR(10),Bets35[[#This Row],[Bet]])),"P",IF(ISNUMBER(FIND("Under",Bets35[[#This Row],[Bet]])),"U",IF(ISNUMBER(SEARCH("Over",Bets35[[#This Row],[Bet]])),"O",IF(ISNUMBER(SEARCH("+",Bets35[[#This Row],[Bet]])),"D",IF(ISNUMBER(SEARCH("-",Bets35[[#This Row],[Bet]])),"F",IF(ISNUMBER(SEARCH("Moneyline",Bets35[[#This Row],[Bet]])),IF(Bets35[[#This Row],[Odds]]&lt;0,"MF","MD"),""))))))</f>
        <v>MF</v>
      </c>
      <c r="K13"/>
      <c r="L13" s="24">
        <f t="shared" si="1"/>
        <v>43593</v>
      </c>
      <c r="M13" s="1" t="str">
        <f>COUNTIFS(Bets35[Date],L13,Bets35[Result],"W")&amp;"-"&amp;COUNTIFS(Bets35[Date],L13,Bets35[Result],"L")&amp;IF(COUNTIFS(Bets35[Date],L13,Bets35[Result],"Push")&gt;0,"-"&amp;COUNTIFS(Bets35[Date],L13,Bets35[Result],"Push"),"")</f>
        <v>8-4-1</v>
      </c>
      <c r="N13" s="25">
        <f>IFERROR(COUNTIFS(Bets35[Date],L13,Bets35[Result],"W")/(COUNTIFS(Bets35[Date],L13,Bets35[Result],"W")+COUNTIFS(Bets35[Date],L13,Bets35[Result],"L")),"")</f>
        <v>0.66666666666666663</v>
      </c>
      <c r="O13" s="26">
        <f>SUMIF(Bets35[Date],L13,Bets35[Net])</f>
        <v>39.900000000000006</v>
      </c>
      <c r="P13" s="27" t="str">
        <f>IFERROR("("&amp;ROUND(SUMIF(Bets35[Date],L13,Bets35[Net])/SUMIF(Bets35[Date],L13,Bets35[Risk]),2)*100&amp;"%)","")</f>
        <v>(20%)</v>
      </c>
      <c r="Q13" s="72">
        <f t="shared" si="2"/>
        <v>130.80000000000001</v>
      </c>
      <c r="R13" s="73">
        <f>IFERROR(SUMIF(Bets35[Date],"&lt;="&amp;L13,Bets35[Net])/SUMIF(Bets35[Date],"&lt;="&amp;L13,Bets35[Risk]),"")</f>
        <v>8.2565332660017671E-2</v>
      </c>
      <c r="AA13" s="32"/>
    </row>
    <row r="14" spans="1:27" x14ac:dyDescent="0.25">
      <c r="A14" s="13">
        <f t="shared" si="0"/>
        <v>1</v>
      </c>
      <c r="B14" s="17">
        <v>43578</v>
      </c>
      <c r="C14" s="17" t="s">
        <v>802</v>
      </c>
      <c r="D14" s="18" t="s">
        <v>833</v>
      </c>
      <c r="E14" s="11" t="s">
        <v>834</v>
      </c>
      <c r="F14" s="19">
        <f>IF(Bets35[[#This Row],[Odds]]&lt;0,Bets35[[#This Row],[Odds]]/-10,10)</f>
        <v>15</v>
      </c>
      <c r="G14" s="47">
        <v>-150</v>
      </c>
      <c r="H14" s="21" t="s">
        <v>262</v>
      </c>
      <c r="I14" s="45">
        <f>IF(Bets35[[#This Row],[Result]]="L",0-Bets35[[#This Row],[Risk]],IF(Bets35[[#This Row],[Result]]="Push",0,IF(Bets35[[#This Row],[Result]]="No Action",0,IF(Bets35[[#This Row],[Result]]="W",IF(Bets35[[#This Row],[Odds]]&gt;0,Bets35[[#This Row],[Odds]]/100*Bets35[[#This Row],[Risk]],(Bets35[[#This Row],[Risk]]/Bets35[[#This Row],[Odds]]*-100)),""))))</f>
        <v>10</v>
      </c>
      <c r="J14" s="23" t="str">
        <f>IF(ISNUMBER(SEARCH(CHAR(10),Bets35[[#This Row],[Bet]])),"P",IF(ISNUMBER(FIND("Under",Bets35[[#This Row],[Bet]])),"U",IF(ISNUMBER(SEARCH("Over",Bets35[[#This Row],[Bet]])),"O",IF(ISNUMBER(SEARCH("+",Bets35[[#This Row],[Bet]])),"D",IF(ISNUMBER(SEARCH("-",Bets35[[#This Row],[Bet]])),"F",IF(ISNUMBER(SEARCH("Moneyline",Bets35[[#This Row],[Bet]])),IF(Bets35[[#This Row],[Odds]]&lt;0,"MF","MD"),""))))))</f>
        <v>MF</v>
      </c>
      <c r="K14"/>
      <c r="L14" s="24">
        <f t="shared" si="1"/>
        <v>43594</v>
      </c>
      <c r="M14" s="1" t="str">
        <f>COUNTIFS(Bets35[Date],L14,Bets35[Result],"W")&amp;"-"&amp;COUNTIFS(Bets35[Date],L14,Bets35[Result],"L")&amp;IF(COUNTIFS(Bets35[Date],L14,Bets35[Result],"Push")&gt;0,"-"&amp;COUNTIFS(Bets35[Date],L14,Bets35[Result],"Push"),"")</f>
        <v>3-5</v>
      </c>
      <c r="N14" s="25">
        <f>IFERROR(COUNTIFS(Bets35[Date],L14,Bets35[Result],"W")/(COUNTIFS(Bets35[Date],L14,Bets35[Result],"W")+COUNTIFS(Bets35[Date],L14,Bets35[Result],"L")),"")</f>
        <v>0.375</v>
      </c>
      <c r="O14" s="26">
        <f>SUMIF(Bets35[Date],L14,Bets35[Net])</f>
        <v>-28.2</v>
      </c>
      <c r="P14" s="27" t="str">
        <f>IFERROR("("&amp;ROUND(SUMIF(Bets35[Date],L14,Bets35[Net])/SUMIF(Bets35[Date],L14,Bets35[Risk]),2)*100&amp;"%)","")</f>
        <v>(-28%)</v>
      </c>
      <c r="Q14" s="72">
        <f t="shared" si="2"/>
        <v>102.60000000000001</v>
      </c>
      <c r="R14" s="73">
        <f>IFERROR(SUMIF(Bets35[Date],"&lt;="&amp;L14,Bets35[Net])/SUMIF(Bets35[Date],"&lt;="&amp;L14,Bets35[Risk]),"")</f>
        <v>6.0857702117563313E-2</v>
      </c>
      <c r="T14" s="29" t="s">
        <v>782</v>
      </c>
      <c r="U14" s="55">
        <f ca="1">SUMIF(Bets35[Date],"&lt;"&amp;TODAY(),Bets35[Risk])</f>
        <v>4428.1000000000004</v>
      </c>
      <c r="AA14" s="32"/>
    </row>
    <row r="15" spans="1:27" x14ac:dyDescent="0.25">
      <c r="A15" s="13">
        <f t="shared" si="0"/>
        <v>1</v>
      </c>
      <c r="B15" s="17">
        <v>43578</v>
      </c>
      <c r="C15" s="17" t="s">
        <v>802</v>
      </c>
      <c r="D15" s="18" t="s">
        <v>835</v>
      </c>
      <c r="E15" s="11" t="s">
        <v>836</v>
      </c>
      <c r="F15" s="19">
        <f>IF(Bets35[[#This Row],[Odds]]&lt;0,Bets35[[#This Row],[Odds]]/-10,10)</f>
        <v>18</v>
      </c>
      <c r="G15" s="47">
        <v>-180</v>
      </c>
      <c r="H15" s="21" t="s">
        <v>263</v>
      </c>
      <c r="I15" s="45">
        <f>IF(Bets35[[#This Row],[Result]]="L",0-Bets35[[#This Row],[Risk]],IF(Bets35[[#This Row],[Result]]="Push",0,IF(Bets35[[#This Row],[Result]]="No Action",0,IF(Bets35[[#This Row],[Result]]="W",IF(Bets35[[#This Row],[Odds]]&gt;0,Bets35[[#This Row],[Odds]]/100*Bets35[[#This Row],[Risk]],(Bets35[[#This Row],[Risk]]/Bets35[[#This Row],[Odds]]*-100)),""))))</f>
        <v>-18</v>
      </c>
      <c r="J15" s="23" t="str">
        <f>IF(ISNUMBER(SEARCH(CHAR(10),Bets35[[#This Row],[Bet]])),"P",IF(ISNUMBER(FIND("Under",Bets35[[#This Row],[Bet]])),"U",IF(ISNUMBER(SEARCH("Over",Bets35[[#This Row],[Bet]])),"O",IF(ISNUMBER(SEARCH("+",Bets35[[#This Row],[Bet]])),"D",IF(ISNUMBER(SEARCH("-",Bets35[[#This Row],[Bet]])),"F",IF(ISNUMBER(SEARCH("Moneyline",Bets35[[#This Row],[Bet]])),IF(Bets35[[#This Row],[Odds]]&lt;0,"MF","MD"),""))))))</f>
        <v>MF</v>
      </c>
      <c r="K15"/>
      <c r="L15" s="24">
        <f t="shared" si="1"/>
        <v>43595</v>
      </c>
      <c r="M15" s="1" t="str">
        <f>COUNTIFS(Bets35[Date],L15,Bets35[Result],"W")&amp;"-"&amp;COUNTIFS(Bets35[Date],L15,Bets35[Result],"L")&amp;IF(COUNTIFS(Bets35[Date],L15,Bets35[Result],"Push")&gt;0,"-"&amp;COUNTIFS(Bets35[Date],L15,Bets35[Result],"Push"),"")</f>
        <v>3-7</v>
      </c>
      <c r="N15" s="25">
        <f>IFERROR(COUNTIFS(Bets35[Date],L15,Bets35[Result],"W")/(COUNTIFS(Bets35[Date],L15,Bets35[Result],"W")+COUNTIFS(Bets35[Date],L15,Bets35[Result],"L")),"")</f>
        <v>0.3</v>
      </c>
      <c r="O15" s="26">
        <f>SUMIF(Bets35[Date],L15,Bets35[Net])</f>
        <v>-49</v>
      </c>
      <c r="P15" s="27" t="str">
        <f>IFERROR("("&amp;ROUND(SUMIF(Bets35[Date],L15,Bets35[Net])/SUMIF(Bets35[Date],L15,Bets35[Risk]),2)*100&amp;"%)","")</f>
        <v>(-37%)</v>
      </c>
      <c r="Q15" s="72">
        <f t="shared" si="2"/>
        <v>53.600000000000009</v>
      </c>
      <c r="R15" s="73">
        <f>IFERROR(SUMIF(Bets35[Date],"&lt;="&amp;L15,Bets35[Net])/SUMIF(Bets35[Date],"&lt;="&amp;L15,Bets35[Risk]),"")</f>
        <v>2.9484570108366796E-2</v>
      </c>
      <c r="T15" s="29" t="s">
        <v>882</v>
      </c>
      <c r="U15" s="56">
        <f>SUM(Bets35[Net])</f>
        <v>291.60000000000008</v>
      </c>
    </row>
    <row r="16" spans="1:27" x14ac:dyDescent="0.25">
      <c r="A16" s="13">
        <f t="shared" si="0"/>
        <v>1</v>
      </c>
      <c r="B16" s="17">
        <v>43578</v>
      </c>
      <c r="C16" s="17" t="s">
        <v>802</v>
      </c>
      <c r="D16" s="18" t="s">
        <v>811</v>
      </c>
      <c r="E16" s="11" t="s">
        <v>839</v>
      </c>
      <c r="F16" s="19">
        <f>IF(Bets35[[#This Row],[Odds]]&lt;0,Bets35[[#This Row],[Odds]]/-10,10)</f>
        <v>11</v>
      </c>
      <c r="G16" s="37">
        <v>-110</v>
      </c>
      <c r="H16" s="21" t="s">
        <v>262</v>
      </c>
      <c r="I16" s="45">
        <f>IF(Bets35[[#This Row],[Result]]="L",0-Bets35[[#This Row],[Risk]],IF(Bets35[[#This Row],[Result]]="Push",0,IF(Bets35[[#This Row],[Result]]="No Action",0,IF(Bets35[[#This Row],[Result]]="W",IF(Bets35[[#This Row],[Odds]]&gt;0,Bets35[[#This Row],[Odds]]/100*Bets35[[#This Row],[Risk]],(Bets35[[#This Row],[Risk]]/Bets35[[#This Row],[Odds]]*-100)),""))))</f>
        <v>10</v>
      </c>
      <c r="J16" s="23" t="str">
        <f>IF(ISNUMBER(SEARCH(CHAR(10),Bets35[[#This Row],[Bet]])),"P",IF(ISNUMBER(FIND("Under",Bets35[[#This Row],[Bet]])),"U",IF(ISNUMBER(SEARCH("Over",Bets35[[#This Row],[Bet]])),"O",IF(ISNUMBER(SEARCH("+",Bets35[[#This Row],[Bet]])),"D",IF(ISNUMBER(SEARCH("-",Bets35[[#This Row],[Bet]])),"F",IF(ISNUMBER(SEARCH("Moneyline",Bets35[[#This Row],[Bet]])),IF(Bets35[[#This Row],[Odds]]&lt;0,"MF","MD"),""))))))</f>
        <v>O</v>
      </c>
      <c r="K16"/>
      <c r="L16" s="24">
        <f t="shared" si="1"/>
        <v>43598</v>
      </c>
      <c r="M16" s="1" t="str">
        <f>COUNTIFS(Bets35[Date],L16,Bets35[Result],"W")&amp;"-"&amp;COUNTIFS(Bets35[Date],L16,Bets35[Result],"L")&amp;IF(COUNTIFS(Bets35[Date],L16,Bets35[Result],"Push")&gt;0,"-"&amp;COUNTIFS(Bets35[Date],L16,Bets35[Result],"Push"),"")</f>
        <v>5-3</v>
      </c>
      <c r="N16" s="25">
        <f>IFERROR(COUNTIFS(Bets35[Date],L16,Bets35[Result],"W")/(COUNTIFS(Bets35[Date],L16,Bets35[Result],"W")+COUNTIFS(Bets35[Date],L16,Bets35[Result],"L")),"")</f>
        <v>0.625</v>
      </c>
      <c r="O16" s="26">
        <f>SUMIF(Bets35[Date],L16,Bets35[Net])</f>
        <v>10.100000000000001</v>
      </c>
      <c r="P16" s="27" t="str">
        <f>IFERROR("("&amp;ROUND(SUMIF(Bets35[Date],L16,Bets35[Net])/SUMIF(Bets35[Date],L16,Bets35[Risk]),2)*100&amp;"%)","")</f>
        <v>(10%)</v>
      </c>
      <c r="Q16" s="72">
        <f t="shared" si="2"/>
        <v>63.70000000000001</v>
      </c>
      <c r="R16" s="73">
        <f>IFERROR(SUMIF(Bets35[Date],"&lt;="&amp;L16,Bets35[Net])/SUMIF(Bets35[Date],"&lt;="&amp;L16,Bets35[Risk]),"")</f>
        <v>3.312188019966722E-2</v>
      </c>
      <c r="T16" s="29" t="s">
        <v>883</v>
      </c>
      <c r="U16" s="57">
        <f ca="1">U15/U14</f>
        <v>6.585217136017707E-2</v>
      </c>
    </row>
    <row r="17" spans="1:21" x14ac:dyDescent="0.25">
      <c r="A17" s="13">
        <f t="shared" si="0"/>
        <v>1</v>
      </c>
      <c r="B17" s="17">
        <v>43578</v>
      </c>
      <c r="C17" s="17" t="s">
        <v>802</v>
      </c>
      <c r="D17" s="18" t="s">
        <v>840</v>
      </c>
      <c r="E17" s="11" t="s">
        <v>841</v>
      </c>
      <c r="F17" s="19">
        <f>IF(Bets35[[#This Row],[Odds]]&lt;0,Bets35[[#This Row],[Odds]]/-10,10)</f>
        <v>11</v>
      </c>
      <c r="G17" s="37">
        <v>-110</v>
      </c>
      <c r="H17" s="21" t="s">
        <v>263</v>
      </c>
      <c r="I17" s="45">
        <f>IF(Bets35[[#This Row],[Result]]="L",0-Bets35[[#This Row],[Risk]],IF(Bets35[[#This Row],[Result]]="Push",0,IF(Bets35[[#This Row],[Result]]="No Action",0,IF(Bets35[[#This Row],[Result]]="W",IF(Bets35[[#This Row],[Odds]]&gt;0,Bets35[[#This Row],[Odds]]/100*Bets35[[#This Row],[Risk]],(Bets35[[#This Row],[Risk]]/Bets35[[#This Row],[Odds]]*-100)),""))))</f>
        <v>-11</v>
      </c>
      <c r="J17" s="23" t="str">
        <f>IF(ISNUMBER(SEARCH(CHAR(10),Bets35[[#This Row],[Bet]])),"P",IF(ISNUMBER(FIND("Under",Bets35[[#This Row],[Bet]])),"U",IF(ISNUMBER(SEARCH("Over",Bets35[[#This Row],[Bet]])),"O",IF(ISNUMBER(SEARCH("+",Bets35[[#This Row],[Bet]])),"D",IF(ISNUMBER(SEARCH("-",Bets35[[#This Row],[Bet]])),"F",IF(ISNUMBER(SEARCH("Moneyline",Bets35[[#This Row],[Bet]])),IF(Bets35[[#This Row],[Odds]]&lt;0,"MF","MD"),""))))))</f>
        <v>O</v>
      </c>
      <c r="K17"/>
      <c r="L17" s="24">
        <f t="shared" si="1"/>
        <v>43599</v>
      </c>
      <c r="M17" s="1" t="str">
        <f>COUNTIFS(Bets35[Date],L17,Bets35[Result],"W")&amp;"-"&amp;COUNTIFS(Bets35[Date],L17,Bets35[Result],"L")&amp;IF(COUNTIFS(Bets35[Date],L17,Bets35[Result],"Push")&gt;0,"-"&amp;COUNTIFS(Bets35[Date],L17,Bets35[Result],"Push"),"")</f>
        <v>6-3</v>
      </c>
      <c r="N17" s="25">
        <f>IFERROR(COUNTIFS(Bets35[Date],L17,Bets35[Result],"W")/(COUNTIFS(Bets35[Date],L17,Bets35[Result],"W")+COUNTIFS(Bets35[Date],L17,Bets35[Result],"L")),"")</f>
        <v>0.66666666666666663</v>
      </c>
      <c r="O17" s="26">
        <f>SUMIF(Bets35[Date],L17,Bets35[Net])</f>
        <v>25.5</v>
      </c>
      <c r="P17" s="27" t="str">
        <f>IFERROR("("&amp;ROUND(SUMIF(Bets35[Date],L17,Bets35[Net])/SUMIF(Bets35[Date],L17,Bets35[Risk]),2)*100&amp;"%)","")</f>
        <v>(21%)</v>
      </c>
      <c r="Q17" s="72">
        <f t="shared" si="2"/>
        <v>89.200000000000017</v>
      </c>
      <c r="R17" s="73">
        <f>IFERROR(SUMIF(Bets35[Date],"&lt;="&amp;L17,Bets35[Net])/SUMIF(Bets35[Date],"&lt;="&amp;L17,Bets35[Risk]),"")</f>
        <v>4.3624981659901203E-2</v>
      </c>
      <c r="T17" s="29" t="s">
        <v>793</v>
      </c>
      <c r="U17" s="58" t="str">
        <f>COUNTIFS(Bets35[Result],"W")&amp;"-"&amp;COUNTIFS(Bets35[Result],"L")&amp;IF(COUNTIFS(Bets35[Result],"Push")&gt;0,"-"&amp;COUNTIFS(Bets35[Result],"Push"),"")</f>
        <v>185-144-11</v>
      </c>
    </row>
    <row r="18" spans="1:21" x14ac:dyDescent="0.25">
      <c r="A18" s="13">
        <f t="shared" si="0"/>
        <v>1</v>
      </c>
      <c r="B18" s="17">
        <v>43578</v>
      </c>
      <c r="C18" s="17" t="s">
        <v>802</v>
      </c>
      <c r="D18" s="18" t="s">
        <v>814</v>
      </c>
      <c r="E18" s="11" t="s">
        <v>842</v>
      </c>
      <c r="F18" s="19">
        <f>IF(Bets35[[#This Row],[Odds]]&lt;0,Bets35[[#This Row],[Odds]]/-10,10)</f>
        <v>11</v>
      </c>
      <c r="G18" s="37">
        <v>-110</v>
      </c>
      <c r="H18" s="21" t="s">
        <v>263</v>
      </c>
      <c r="I18" s="45">
        <f>IF(Bets35[[#This Row],[Result]]="L",0-Bets35[[#This Row],[Risk]],IF(Bets35[[#This Row],[Result]]="Push",0,IF(Bets35[[#This Row],[Result]]="No Action",0,IF(Bets35[[#This Row],[Result]]="W",IF(Bets35[[#This Row],[Odds]]&gt;0,Bets35[[#This Row],[Odds]]/100*Bets35[[#This Row],[Risk]],(Bets35[[#This Row],[Risk]]/Bets35[[#This Row],[Odds]]*-100)),""))))</f>
        <v>-11</v>
      </c>
      <c r="J18" s="23" t="str">
        <f>IF(ISNUMBER(SEARCH(CHAR(10),Bets35[[#This Row],[Bet]])),"P",IF(ISNUMBER(FIND("Under",Bets35[[#This Row],[Bet]])),"U",IF(ISNUMBER(SEARCH("Over",Bets35[[#This Row],[Bet]])),"O",IF(ISNUMBER(SEARCH("+",Bets35[[#This Row],[Bet]])),"D",IF(ISNUMBER(SEARCH("-",Bets35[[#This Row],[Bet]])),"F",IF(ISNUMBER(SEARCH("Moneyline",Bets35[[#This Row],[Bet]])),IF(Bets35[[#This Row],[Odds]]&lt;0,"MF","MD"),""))))))</f>
        <v>U</v>
      </c>
      <c r="K18"/>
      <c r="L18" s="24">
        <f t="shared" si="1"/>
        <v>43600</v>
      </c>
      <c r="M18" s="1" t="str">
        <f>COUNTIFS(Bets35[Date],L18,Bets35[Result],"W")&amp;"-"&amp;COUNTIFS(Bets35[Date],L18,Bets35[Result],"L")&amp;IF(COUNTIFS(Bets35[Date],L18,Bets35[Result],"Push")&gt;0,"-"&amp;COUNTIFS(Bets35[Date],L18,Bets35[Result],"Push"),"")</f>
        <v>6-1</v>
      </c>
      <c r="N18" s="25">
        <f>IFERROR(COUNTIFS(Bets35[Date],L18,Bets35[Result],"W")/(COUNTIFS(Bets35[Date],L18,Bets35[Result],"W")+COUNTIFS(Bets35[Date],L18,Bets35[Result],"L")),"")</f>
        <v>0.8571428571428571</v>
      </c>
      <c r="O18" s="26">
        <f>SUMIF(Bets35[Date],L18,Bets35[Net])</f>
        <v>50</v>
      </c>
      <c r="P18" s="27" t="str">
        <f>IFERROR("("&amp;ROUND(SUMIF(Bets35[Date],L18,Bets35[Net])/SUMIF(Bets35[Date],L18,Bets35[Risk]),2)*100&amp;"%)","")</f>
        <v>(43%)</v>
      </c>
      <c r="Q18" s="72">
        <f t="shared" si="2"/>
        <v>139.20000000000002</v>
      </c>
      <c r="R18" s="73">
        <f>IFERROR(SUMIF(Bets35[Date],"&lt;="&amp;L18,Bets35[Net])/SUMIF(Bets35[Date],"&lt;="&amp;L18,Bets35[Risk]),"")</f>
        <v>6.4423566436802873E-2</v>
      </c>
      <c r="T18" s="29" t="s">
        <v>884</v>
      </c>
      <c r="U18" s="59">
        <f>COUNTIFS(Bets35[Result],"W")/(COUNTIFS(Bets35[Result],"L")+COUNTIFS(Bets35[Result],"W"))</f>
        <v>0.56231003039513683</v>
      </c>
    </row>
    <row r="19" spans="1:21" x14ac:dyDescent="0.25">
      <c r="A19" s="13">
        <f t="shared" si="0"/>
        <v>1</v>
      </c>
      <c r="B19" s="17">
        <v>43578</v>
      </c>
      <c r="C19" s="17" t="s">
        <v>802</v>
      </c>
      <c r="D19" s="18" t="s">
        <v>843</v>
      </c>
      <c r="E19" s="11" t="s">
        <v>844</v>
      </c>
      <c r="F19" s="19">
        <f>IF(Bets35[[#This Row],[Odds]]&lt;0,Bets35[[#This Row],[Odds]]/-10,10)</f>
        <v>11</v>
      </c>
      <c r="G19" s="37">
        <v>-110</v>
      </c>
      <c r="H19" s="21" t="s">
        <v>846</v>
      </c>
      <c r="I19" s="45">
        <f>IF(Bets35[[#This Row],[Result]]="L",0-Bets35[[#This Row],[Risk]],IF(Bets35[[#This Row],[Result]]="Push",0,IF(Bets35[[#This Row],[Result]]="No Action",0,IF(Bets35[[#This Row],[Result]]="W",IF(Bets35[[#This Row],[Odds]]&gt;0,Bets35[[#This Row],[Odds]]/100*Bets35[[#This Row],[Risk]],(Bets35[[#This Row],[Risk]]/Bets35[[#This Row],[Odds]]*-100)),""))))</f>
        <v>0</v>
      </c>
      <c r="J19" s="23" t="str">
        <f>IF(ISNUMBER(SEARCH(CHAR(10),Bets35[[#This Row],[Bet]])),"P",IF(ISNUMBER(FIND("Under",Bets35[[#This Row],[Bet]])),"U",IF(ISNUMBER(SEARCH("Over",Bets35[[#This Row],[Bet]])),"O",IF(ISNUMBER(SEARCH("+",Bets35[[#This Row],[Bet]])),"D",IF(ISNUMBER(SEARCH("-",Bets35[[#This Row],[Bet]])),"F",IF(ISNUMBER(SEARCH("Moneyline",Bets35[[#This Row],[Bet]])),IF(Bets35[[#This Row],[Odds]]&lt;0,"MF","MD"),""))))))</f>
        <v>O</v>
      </c>
      <c r="K19" s="22"/>
      <c r="L19" s="24">
        <f t="shared" si="1"/>
        <v>43601</v>
      </c>
      <c r="M19" s="1" t="str">
        <f>COUNTIFS(Bets35[Date],L19,Bets35[Result],"W")&amp;"-"&amp;COUNTIFS(Bets35[Date],L19,Bets35[Result],"L")&amp;IF(COUNTIFS(Bets35[Date],L19,Bets35[Result],"Push")&gt;0,"-"&amp;COUNTIFS(Bets35[Date],L19,Bets35[Result],"Push"),"")</f>
        <v>2-4</v>
      </c>
      <c r="N19" s="25">
        <f>IFERROR(COUNTIFS(Bets35[Date],L19,Bets35[Result],"W")/(COUNTIFS(Bets35[Date],L19,Bets35[Result],"W")+COUNTIFS(Bets35[Date],L19,Bets35[Result],"L")),"")</f>
        <v>0.33333333333333331</v>
      </c>
      <c r="O19" s="26">
        <f>SUMIF(Bets35[Date],L19,Bets35[Net])</f>
        <v>-22.5</v>
      </c>
      <c r="P19" s="27" t="str">
        <f>IFERROR("("&amp;ROUND(SUMIF(Bets35[Date],L19,Bets35[Net])/SUMIF(Bets35[Date],L19,Bets35[Risk]),2)*100&amp;"%)","")</f>
        <v>(-35%)</v>
      </c>
      <c r="Q19" s="72">
        <f t="shared" si="2"/>
        <v>116.70000000000002</v>
      </c>
      <c r="R19" s="73">
        <f>IFERROR(SUMIF(Bets35[Date],"&lt;="&amp;L19,Bets35[Net])/SUMIF(Bets35[Date],"&lt;="&amp;L19,Bets35[Risk]),"")</f>
        <v>5.2456510990245869E-2</v>
      </c>
      <c r="T19" s="33"/>
      <c r="U19" s="34"/>
    </row>
    <row r="20" spans="1:21" x14ac:dyDescent="0.25">
      <c r="A20" s="13">
        <f t="shared" si="0"/>
        <v>1</v>
      </c>
      <c r="B20" s="17">
        <v>43578</v>
      </c>
      <c r="C20" s="17" t="s">
        <v>802</v>
      </c>
      <c r="D20" s="18" t="s">
        <v>821</v>
      </c>
      <c r="E20" s="11" t="s">
        <v>845</v>
      </c>
      <c r="F20" s="19">
        <f>IF(Bets35[[#This Row],[Odds]]&lt;0,Bets35[[#This Row],[Odds]]/-10,10)</f>
        <v>11</v>
      </c>
      <c r="G20" s="37">
        <v>-110</v>
      </c>
      <c r="H20" s="21" t="s">
        <v>262</v>
      </c>
      <c r="I20" s="45">
        <f>IF(Bets35[[#This Row],[Result]]="L",0-Bets35[[#This Row],[Risk]],IF(Bets35[[#This Row],[Result]]="Push",0,IF(Bets35[[#This Row],[Result]]="No Action",0,IF(Bets35[[#This Row],[Result]]="W",IF(Bets35[[#This Row],[Odds]]&gt;0,Bets35[[#This Row],[Odds]]/100*Bets35[[#This Row],[Risk]],(Bets35[[#This Row],[Risk]]/Bets35[[#This Row],[Odds]]*-100)),""))))</f>
        <v>10</v>
      </c>
      <c r="J20" s="23" t="str">
        <f>IF(ISNUMBER(SEARCH(CHAR(10),Bets35[[#This Row],[Bet]])),"P",IF(ISNUMBER(FIND("Under",Bets35[[#This Row],[Bet]])),"U",IF(ISNUMBER(SEARCH("Over",Bets35[[#This Row],[Bet]])),"O",IF(ISNUMBER(SEARCH("+",Bets35[[#This Row],[Bet]])),"D",IF(ISNUMBER(SEARCH("-",Bets35[[#This Row],[Bet]])),"F",IF(ISNUMBER(SEARCH("Moneyline",Bets35[[#This Row],[Bet]])),IF(Bets35[[#This Row],[Odds]]&lt;0,"MF","MD"),""))))))</f>
        <v>O</v>
      </c>
      <c r="K20" s="22"/>
      <c r="L20" s="24">
        <f t="shared" si="1"/>
        <v>43602</v>
      </c>
      <c r="M20" s="1" t="str">
        <f>COUNTIFS(Bets35[Date],L20,Bets35[Result],"W")&amp;"-"&amp;COUNTIFS(Bets35[Date],L20,Bets35[Result],"L")&amp;IF(COUNTIFS(Bets35[Date],L20,Bets35[Result],"Push")&gt;0,"-"&amp;COUNTIFS(Bets35[Date],L20,Bets35[Result],"Push"),"")</f>
        <v>5-1-1</v>
      </c>
      <c r="N20" s="25">
        <f>IFERROR(COUNTIFS(Bets35[Date],L20,Bets35[Result],"W")/(COUNTIFS(Bets35[Date],L20,Bets35[Result],"W")+COUNTIFS(Bets35[Date],L20,Bets35[Result],"L")),"")</f>
        <v>0.83333333333333337</v>
      </c>
      <c r="O20" s="26">
        <f>SUMIF(Bets35[Date],L20,Bets35[Net])</f>
        <v>40.1</v>
      </c>
      <c r="P20" s="27" t="str">
        <f>IFERROR("("&amp;ROUND(SUMIF(Bets35[Date],L20,Bets35[Net])/SUMIF(Bets35[Date],L20,Bets35[Risk]),2)*100&amp;"%)","")</f>
        <v>(47%)</v>
      </c>
      <c r="Q20" s="72">
        <f t="shared" si="2"/>
        <v>156.80000000000001</v>
      </c>
      <c r="R20" s="73">
        <f>IFERROR(SUMIF(Bets35[Date],"&lt;="&amp;L20,Bets35[Net])/SUMIF(Bets35[Date],"&lt;="&amp;L20,Bets35[Risk]),"")</f>
        <v>6.7896423313414736E-2</v>
      </c>
      <c r="T20" s="33"/>
    </row>
    <row r="21" spans="1:21" x14ac:dyDescent="0.25">
      <c r="A21" s="13">
        <f t="shared" si="0"/>
        <v>1</v>
      </c>
      <c r="B21" s="17">
        <v>43578</v>
      </c>
      <c r="C21" s="17" t="s">
        <v>802</v>
      </c>
      <c r="D21" s="18" t="s">
        <v>826</v>
      </c>
      <c r="E21" s="11" t="s">
        <v>839</v>
      </c>
      <c r="F21" s="19">
        <f>IF(Bets35[[#This Row],[Odds]]&lt;0,Bets35[[#This Row],[Odds]]/-10,10)</f>
        <v>11</v>
      </c>
      <c r="G21" s="37">
        <v>-110</v>
      </c>
      <c r="H21" s="21" t="s">
        <v>262</v>
      </c>
      <c r="I21" s="45">
        <f>IF(Bets35[[#This Row],[Result]]="L",0-Bets35[[#This Row],[Risk]],IF(Bets35[[#This Row],[Result]]="Push",0,IF(Bets35[[#This Row],[Result]]="No Action",0,IF(Bets35[[#This Row],[Result]]="W",IF(Bets35[[#This Row],[Odds]]&gt;0,Bets35[[#This Row],[Odds]]/100*Bets35[[#This Row],[Risk]],(Bets35[[#This Row],[Risk]]/Bets35[[#This Row],[Odds]]*-100)),""))))</f>
        <v>10</v>
      </c>
      <c r="J21" s="23" t="str">
        <f>IF(ISNUMBER(SEARCH(CHAR(10),Bets35[[#This Row],[Bet]])),"P",IF(ISNUMBER(FIND("Under",Bets35[[#This Row],[Bet]])),"U",IF(ISNUMBER(SEARCH("Over",Bets35[[#This Row],[Bet]])),"O",IF(ISNUMBER(SEARCH("+",Bets35[[#This Row],[Bet]])),"D",IF(ISNUMBER(SEARCH("-",Bets35[[#This Row],[Bet]])),"F",IF(ISNUMBER(SEARCH("Moneyline",Bets35[[#This Row],[Bet]])),IF(Bets35[[#This Row],[Odds]]&lt;0,"MF","MD"),""))))))</f>
        <v>O</v>
      </c>
      <c r="K21" s="22"/>
      <c r="L21" s="24">
        <f t="shared" si="1"/>
        <v>43606</v>
      </c>
      <c r="M21" s="1" t="str">
        <f>COUNTIFS(Bets35[Date],L21,Bets35[Result],"W")&amp;"-"&amp;COUNTIFS(Bets35[Date],L21,Bets35[Result],"L")&amp;IF(COUNTIFS(Bets35[Date],L21,Bets35[Result],"Push")&gt;0,"-"&amp;COUNTIFS(Bets35[Date],L21,Bets35[Result],"Push"),"")</f>
        <v>5-6</v>
      </c>
      <c r="N21" s="25">
        <f>IFERROR(COUNTIFS(Bets35[Date],L21,Bets35[Result],"W")/(COUNTIFS(Bets35[Date],L21,Bets35[Result],"W")+COUNTIFS(Bets35[Date],L21,Bets35[Result],"L")),"")</f>
        <v>0.45454545454545453</v>
      </c>
      <c r="O21" s="26">
        <f>SUMIF(Bets35[Date],L21,Bets35[Net])</f>
        <v>-15.899999999999999</v>
      </c>
      <c r="P21" s="27" t="str">
        <f>IFERROR("("&amp;ROUND(SUMIF(Bets35[Date],L21,Bets35[Net])/SUMIF(Bets35[Date],L21,Bets35[Risk]),2)*100&amp;"%)","")</f>
        <v>(-13%)</v>
      </c>
      <c r="Q21" s="72">
        <f t="shared" si="2"/>
        <v>140.9</v>
      </c>
      <c r="R21" s="73">
        <f>IFERROR(SUMIF(Bets35[Date],"&lt;="&amp;L21,Bets35[Net])/SUMIF(Bets35[Date],"&lt;="&amp;L21,Bets35[Risk]),"")</f>
        <v>5.7921565403272236E-2</v>
      </c>
    </row>
    <row r="22" spans="1:21" x14ac:dyDescent="0.25">
      <c r="A22" s="13">
        <f t="shared" si="0"/>
        <v>1</v>
      </c>
      <c r="B22" s="17">
        <v>43578</v>
      </c>
      <c r="C22" s="17" t="s">
        <v>802</v>
      </c>
      <c r="D22" s="18" t="s">
        <v>833</v>
      </c>
      <c r="E22" s="11" t="s">
        <v>839</v>
      </c>
      <c r="F22" s="19">
        <f>IF(Bets35[[#This Row],[Odds]]&lt;0,Bets35[[#This Row],[Odds]]/-10,10)</f>
        <v>11</v>
      </c>
      <c r="G22" s="37">
        <v>-110</v>
      </c>
      <c r="H22" s="21" t="s">
        <v>262</v>
      </c>
      <c r="I22" s="45">
        <f>IF(Bets35[[#This Row],[Result]]="L",0-Bets35[[#This Row],[Risk]],IF(Bets35[[#This Row],[Result]]="Push",0,IF(Bets35[[#This Row],[Result]]="No Action",0,IF(Bets35[[#This Row],[Result]]="W",IF(Bets35[[#This Row],[Odds]]&gt;0,Bets35[[#This Row],[Odds]]/100*Bets35[[#This Row],[Risk]],(Bets35[[#This Row],[Risk]]/Bets35[[#This Row],[Odds]]*-100)),""))))</f>
        <v>10</v>
      </c>
      <c r="J22" s="23" t="str">
        <f>IF(ISNUMBER(SEARCH(CHAR(10),Bets35[[#This Row],[Bet]])),"P",IF(ISNUMBER(FIND("Under",Bets35[[#This Row],[Bet]])),"U",IF(ISNUMBER(SEARCH("Over",Bets35[[#This Row],[Bet]])),"O",IF(ISNUMBER(SEARCH("+",Bets35[[#This Row],[Bet]])),"D",IF(ISNUMBER(SEARCH("-",Bets35[[#This Row],[Bet]])),"F",IF(ISNUMBER(SEARCH("Moneyline",Bets35[[#This Row],[Bet]])),IF(Bets35[[#This Row],[Odds]]&lt;0,"MF","MD"),""))))))</f>
        <v>O</v>
      </c>
      <c r="K22" s="22"/>
      <c r="L22" s="24">
        <f t="shared" si="1"/>
        <v>43608</v>
      </c>
      <c r="M22" s="1" t="str">
        <f>COUNTIFS(Bets35[Date],L22,Bets35[Result],"W")&amp;"-"&amp;COUNTIFS(Bets35[Date],L22,Bets35[Result],"L")&amp;IF(COUNTIFS(Bets35[Date],L22,Bets35[Result],"Push")&gt;0,"-"&amp;COUNTIFS(Bets35[Date],L22,Bets35[Result],"Push"),"")</f>
        <v>4-3-1</v>
      </c>
      <c r="N22" s="25">
        <f>IFERROR(COUNTIFS(Bets35[Date],L22,Bets35[Result],"W")/(COUNTIFS(Bets35[Date],L22,Bets35[Result],"W")+COUNTIFS(Bets35[Date],L22,Bets35[Result],"L")),"")</f>
        <v>0.5714285714285714</v>
      </c>
      <c r="O22" s="26">
        <f>SUMIF(Bets35[Date],L22,Bets35[Net])</f>
        <v>6</v>
      </c>
      <c r="P22" s="27" t="str">
        <f>IFERROR("("&amp;ROUND(SUMIF(Bets35[Date],L22,Bets35[Net])/SUMIF(Bets35[Date],L22,Bets35[Risk]),2)*100&amp;"%)","")</f>
        <v>(6%)</v>
      </c>
      <c r="Q22" s="72">
        <f t="shared" si="2"/>
        <v>146.9</v>
      </c>
      <c r="R22" s="73">
        <f>IFERROR(SUMIF(Bets35[Date],"&lt;="&amp;L22,Bets35[Net])/SUMIF(Bets35[Date],"&lt;="&amp;L22,Bets35[Risk]),"")</f>
        <v>5.8175913825195061E-2</v>
      </c>
    </row>
    <row r="23" spans="1:21" x14ac:dyDescent="0.25">
      <c r="A23" s="13">
        <f t="shared" si="0"/>
        <v>2</v>
      </c>
      <c r="B23" s="17">
        <v>43579</v>
      </c>
      <c r="C23" s="17" t="s">
        <v>802</v>
      </c>
      <c r="D23" s="18" t="s">
        <v>826</v>
      </c>
      <c r="E23" s="11" t="s">
        <v>867</v>
      </c>
      <c r="F23" s="19">
        <f>IF(Bets35[[#This Row],[Odds]]&lt;0,Bets35[[#This Row],[Odds]]/-10,10)</f>
        <v>10</v>
      </c>
      <c r="G23" s="37" t="s">
        <v>868</v>
      </c>
      <c r="H23" s="21" t="s">
        <v>262</v>
      </c>
      <c r="I23" s="45">
        <f>IF(Bets35[[#This Row],[Result]]="L",0-Bets35[[#This Row],[Risk]],IF(Bets35[[#This Row],[Result]]="Push",0,IF(Bets35[[#This Row],[Result]]="No Action",0,IF(Bets35[[#This Row],[Result]]="W",IF(Bets35[[#This Row],[Odds]]&gt;0,Bets35[[#This Row],[Odds]]/100*Bets35[[#This Row],[Risk]],(Bets35[[#This Row],[Risk]]/Bets35[[#This Row],[Odds]]*-100)),""))))</f>
        <v>12.5</v>
      </c>
      <c r="J23" s="23" t="str">
        <f>IF(ISNUMBER(SEARCH(CHAR(10),Bets35[[#This Row],[Bet]])),"P",IF(ISNUMBER(FIND("Under",Bets35[[#This Row],[Bet]])),"U",IF(ISNUMBER(SEARCH("Over",Bets35[[#This Row],[Bet]])),"O",IF(ISNUMBER(SEARCH("+",Bets35[[#This Row],[Bet]])),"D",IF(ISNUMBER(SEARCH("-",Bets35[[#This Row],[Bet]])),"F",IF(ISNUMBER(SEARCH("Moneyline",Bets35[[#This Row],[Bet]])),IF(Bets35[[#This Row],[Odds]]&lt;0,"MF","MD"),""))))))</f>
        <v>MD</v>
      </c>
      <c r="K23" s="22"/>
      <c r="L23" s="24">
        <f t="shared" si="1"/>
        <v>43613</v>
      </c>
      <c r="M23" s="1" t="str">
        <f>COUNTIFS(Bets35[Date],L23,Bets35[Result],"W")&amp;"-"&amp;COUNTIFS(Bets35[Date],L23,Bets35[Result],"L")&amp;IF(COUNTIFS(Bets35[Date],L23,Bets35[Result],"Push")&gt;0,"-"&amp;COUNTIFS(Bets35[Date],L23,Bets35[Result],"Push"),"")</f>
        <v>4-4</v>
      </c>
      <c r="N23" s="25">
        <f>IFERROR(COUNTIFS(Bets35[Date],L23,Bets35[Result],"W")/(COUNTIFS(Bets35[Date],L23,Bets35[Result],"W")+COUNTIFS(Bets35[Date],L23,Bets35[Result],"L")),"")</f>
        <v>0.5</v>
      </c>
      <c r="O23" s="26">
        <f>SUMIF(Bets35[Date],L23,Bets35[Net])</f>
        <v>-2</v>
      </c>
      <c r="P23" s="27" t="str">
        <f>IFERROR("("&amp;ROUND(SUMIF(Bets35[Date],L23,Bets35[Net])/SUMIF(Bets35[Date],L23,Bets35[Risk]),2)*100&amp;"%)","")</f>
        <v>(-2%)</v>
      </c>
      <c r="Q23" s="72">
        <f t="shared" si="2"/>
        <v>144.9</v>
      </c>
      <c r="R23" s="73">
        <f>IFERROR(SUMIF(Bets35[Date],"&lt;="&amp;L23,Bets35[Net])/SUMIF(Bets35[Date],"&lt;="&amp;L23,Bets35[Risk]),"")</f>
        <v>5.5461991885478082E-2</v>
      </c>
    </row>
    <row r="24" spans="1:21" x14ac:dyDescent="0.25">
      <c r="A24" s="13">
        <f t="shared" si="0"/>
        <v>2</v>
      </c>
      <c r="B24" s="17">
        <v>43579</v>
      </c>
      <c r="C24" s="17" t="s">
        <v>802</v>
      </c>
      <c r="D24" s="18" t="s">
        <v>831</v>
      </c>
      <c r="E24" s="11" t="s">
        <v>832</v>
      </c>
      <c r="F24" s="19">
        <f>IF(Bets35[[#This Row],[Odds]]&lt;0,Bets35[[#This Row],[Odds]]/-10,10)</f>
        <v>10</v>
      </c>
      <c r="G24" s="37" t="s">
        <v>828</v>
      </c>
      <c r="H24" s="21" t="s">
        <v>262</v>
      </c>
      <c r="I24" s="45">
        <f>IF(Bets35[[#This Row],[Result]]="L",0-Bets35[[#This Row],[Risk]],IF(Bets35[[#This Row],[Result]]="Push",0,IF(Bets35[[#This Row],[Result]]="No Action",0,IF(Bets35[[#This Row],[Result]]="W",IF(Bets35[[#This Row],[Odds]]&gt;0,Bets35[[#This Row],[Odds]]/100*Bets35[[#This Row],[Risk]],(Bets35[[#This Row],[Risk]]/Bets35[[#This Row],[Odds]]*-100)),""))))</f>
        <v>11.5</v>
      </c>
      <c r="J24" s="23" t="str">
        <f>IF(ISNUMBER(SEARCH(CHAR(10),Bets35[[#This Row],[Bet]])),"P",IF(ISNUMBER(FIND("Under",Bets35[[#This Row],[Bet]])),"U",IF(ISNUMBER(SEARCH("Over",Bets35[[#This Row],[Bet]])),"O",IF(ISNUMBER(SEARCH("+",Bets35[[#This Row],[Bet]])),"D",IF(ISNUMBER(SEARCH("-",Bets35[[#This Row],[Bet]])),"F",IF(ISNUMBER(SEARCH("Moneyline",Bets35[[#This Row],[Bet]])),IF(Bets35[[#This Row],[Odds]]&lt;0,"MF","MD"),""))))))</f>
        <v>MD</v>
      </c>
      <c r="K24" s="22"/>
      <c r="L24" s="24">
        <f t="shared" si="1"/>
        <v>43614</v>
      </c>
      <c r="M24" s="1" t="str">
        <f>COUNTIFS(Bets35[Date],L24,Bets35[Result],"W")&amp;"-"&amp;COUNTIFS(Bets35[Date],L24,Bets35[Result],"L")&amp;IF(COUNTIFS(Bets35[Date],L24,Bets35[Result],"Push")&gt;0,"-"&amp;COUNTIFS(Bets35[Date],L24,Bets35[Result],"Push"),"")</f>
        <v>2-5</v>
      </c>
      <c r="N24" s="25">
        <f>IFERROR(COUNTIFS(Bets35[Date],L24,Bets35[Result],"W")/(COUNTIFS(Bets35[Date],L24,Bets35[Result],"W")+COUNTIFS(Bets35[Date],L24,Bets35[Result],"L")),"")</f>
        <v>0.2857142857142857</v>
      </c>
      <c r="O24" s="26">
        <f>SUMIF(Bets35[Date],L24,Bets35[Net])</f>
        <v>-41.5</v>
      </c>
      <c r="P24" s="27" t="str">
        <f>IFERROR("("&amp;ROUND(SUMIF(Bets35[Date],L24,Bets35[Net])/SUMIF(Bets35[Date],L24,Bets35[Risk]),2)*100&amp;"%)","")</f>
        <v>(-50%)</v>
      </c>
      <c r="Q24" s="72">
        <f t="shared" si="2"/>
        <v>103.4</v>
      </c>
      <c r="R24" s="73">
        <f>IFERROR(SUMIF(Bets35[Date],"&lt;="&amp;L24,Bets35[Net])/SUMIF(Bets35[Date],"&lt;="&amp;L24,Bets35[Risk]),"")</f>
        <v>3.8351693186454532E-2</v>
      </c>
    </row>
    <row r="25" spans="1:21" x14ac:dyDescent="0.25">
      <c r="A25" s="13">
        <f t="shared" si="0"/>
        <v>2</v>
      </c>
      <c r="B25" s="17">
        <v>43579</v>
      </c>
      <c r="C25" s="17" t="s">
        <v>802</v>
      </c>
      <c r="D25" s="18" t="s">
        <v>840</v>
      </c>
      <c r="E25" s="11" t="s">
        <v>869</v>
      </c>
      <c r="F25" s="19">
        <f>IF(Bets35[[#This Row],[Odds]]&lt;0,Bets35[[#This Row],[Odds]]/-10,10)</f>
        <v>18</v>
      </c>
      <c r="G25" s="37">
        <v>-180</v>
      </c>
      <c r="H25" s="21" t="s">
        <v>262</v>
      </c>
      <c r="I25" s="45">
        <f>IF(Bets35[[#This Row],[Result]]="L",0-Bets35[[#This Row],[Risk]],IF(Bets35[[#This Row],[Result]]="Push",0,IF(Bets35[[#This Row],[Result]]="No Action",0,IF(Bets35[[#This Row],[Result]]="W",IF(Bets35[[#This Row],[Odds]]&gt;0,Bets35[[#This Row],[Odds]]/100*Bets35[[#This Row],[Risk]],(Bets35[[#This Row],[Risk]]/Bets35[[#This Row],[Odds]]*-100)),""))))</f>
        <v>10</v>
      </c>
      <c r="J25" s="23" t="str">
        <f>IF(ISNUMBER(SEARCH(CHAR(10),Bets35[[#This Row],[Bet]])),"P",IF(ISNUMBER(FIND("Under",Bets35[[#This Row],[Bet]])),"U",IF(ISNUMBER(SEARCH("Over",Bets35[[#This Row],[Bet]])),"O",IF(ISNUMBER(SEARCH("+",Bets35[[#This Row],[Bet]])),"D",IF(ISNUMBER(SEARCH("-",Bets35[[#This Row],[Bet]])),"F",IF(ISNUMBER(SEARCH("Moneyline",Bets35[[#This Row],[Bet]])),IF(Bets35[[#This Row],[Odds]]&lt;0,"MF","MD"),""))))))</f>
        <v>MF</v>
      </c>
      <c r="K25" s="22"/>
      <c r="L25" s="24">
        <f t="shared" si="1"/>
        <v>43616</v>
      </c>
      <c r="M25" s="1" t="str">
        <f>COUNTIFS(Bets35[Date],L25,Bets35[Result],"W")&amp;"-"&amp;COUNTIFS(Bets35[Date],L25,Bets35[Result],"L")&amp;IF(COUNTIFS(Bets35[Date],L25,Bets35[Result],"Push")&gt;0,"-"&amp;COUNTIFS(Bets35[Date],L25,Bets35[Result],"Push"),"")</f>
        <v>3-4</v>
      </c>
      <c r="N25" s="25">
        <f>IFERROR(COUNTIFS(Bets35[Date],L25,Bets35[Result],"W")/(COUNTIFS(Bets35[Date],L25,Bets35[Result],"W")+COUNTIFS(Bets35[Date],L25,Bets35[Result],"L")),"")</f>
        <v>0.42857142857142855</v>
      </c>
      <c r="O25" s="26">
        <f>SUMIF(Bets35[Date],L25,Bets35[Net])</f>
        <v>-23.599999999999994</v>
      </c>
      <c r="P25" s="27" t="str">
        <f>IFERROR("("&amp;ROUND(SUMIF(Bets35[Date],L25,Bets35[Net])/SUMIF(Bets35[Date],L25,Bets35[Risk]),2)*100&amp;"%)","")</f>
        <v>(-25%)</v>
      </c>
      <c r="Q25" s="72">
        <f t="shared" si="2"/>
        <v>79.800000000000011</v>
      </c>
      <c r="R25" s="73">
        <f>IFERROR(SUMIF(Bets35[Date],"&lt;="&amp;L25,Bets35[Net])/SUMIF(Bets35[Date],"&lt;="&amp;L25,Bets35[Risk]),"")</f>
        <v>2.86011254076915E-2</v>
      </c>
    </row>
    <row r="26" spans="1:21" x14ac:dyDescent="0.25">
      <c r="A26" s="13">
        <f t="shared" si="0"/>
        <v>2</v>
      </c>
      <c r="B26" s="17">
        <v>43579</v>
      </c>
      <c r="C26" s="17" t="s">
        <v>802</v>
      </c>
      <c r="D26" s="18" t="s">
        <v>818</v>
      </c>
      <c r="E26" s="11" t="s">
        <v>819</v>
      </c>
      <c r="F26" s="19">
        <f>IF(Bets35[[#This Row],[Odds]]&lt;0,Bets35[[#This Row],[Odds]]/-10,10)</f>
        <v>27</v>
      </c>
      <c r="G26" s="37">
        <v>-270</v>
      </c>
      <c r="H26" s="21" t="s">
        <v>263</v>
      </c>
      <c r="I26" s="45">
        <f>IF(Bets35[[#This Row],[Result]]="L",0-Bets35[[#This Row],[Risk]],IF(Bets35[[#This Row],[Result]]="Push",0,IF(Bets35[[#This Row],[Result]]="No Action",0,IF(Bets35[[#This Row],[Result]]="W",IF(Bets35[[#This Row],[Odds]]&gt;0,Bets35[[#This Row],[Odds]]/100*Bets35[[#This Row],[Risk]],(Bets35[[#This Row],[Risk]]/Bets35[[#This Row],[Odds]]*-100)),""))))</f>
        <v>-27</v>
      </c>
      <c r="J26" s="23" t="str">
        <f>IF(ISNUMBER(SEARCH(CHAR(10),Bets35[[#This Row],[Bet]])),"P",IF(ISNUMBER(FIND("Under",Bets35[[#This Row],[Bet]])),"U",IF(ISNUMBER(SEARCH("Over",Bets35[[#This Row],[Bet]])),"O",IF(ISNUMBER(SEARCH("+",Bets35[[#This Row],[Bet]])),"D",IF(ISNUMBER(SEARCH("-",Bets35[[#This Row],[Bet]])),"F",IF(ISNUMBER(SEARCH("Moneyline",Bets35[[#This Row],[Bet]])),IF(Bets35[[#This Row],[Odds]]&lt;0,"MF","MD"),""))))))</f>
        <v>MF</v>
      </c>
      <c r="K26" s="22"/>
      <c r="L26" s="24">
        <f t="shared" si="1"/>
        <v>43643</v>
      </c>
      <c r="M26" s="1" t="str">
        <f>COUNTIFS(Bets35[Date],L26,Bets35[Result],"W")&amp;"-"&amp;COUNTIFS(Bets35[Date],L26,Bets35[Result],"L")&amp;IF(COUNTIFS(Bets35[Date],L26,Bets35[Result],"Push")&gt;0,"-"&amp;COUNTIFS(Bets35[Date],L26,Bets35[Result],"Push"),"")</f>
        <v>2-1</v>
      </c>
      <c r="N26" s="25">
        <f>IFERROR(COUNTIFS(Bets35[Date],L26,Bets35[Result],"W")/(COUNTIFS(Bets35[Date],L26,Bets35[Result],"W")+COUNTIFS(Bets35[Date],L26,Bets35[Result],"L")),"")</f>
        <v>0.66666666666666663</v>
      </c>
      <c r="O26" s="26">
        <f>SUMIF(Bets35[Date],L26,Bets35[Net])</f>
        <v>10</v>
      </c>
      <c r="P26" s="27" t="str">
        <f>IFERROR("("&amp;ROUND(SUMIF(Bets35[Date],L26,Bets35[Net])/SUMIF(Bets35[Date],L26,Bets35[Risk]),2)*100&amp;"%)","")</f>
        <v>(24%)</v>
      </c>
      <c r="Q26" s="72">
        <f t="shared" si="2"/>
        <v>89.800000000000011</v>
      </c>
      <c r="R26" s="73">
        <f>IFERROR(SUMIF(Bets35[Date],"&lt;="&amp;L26,Bets35[Net])/SUMIF(Bets35[Date],"&lt;="&amp;L26,Bets35[Risk]),"")</f>
        <v>3.1719119776765232E-2</v>
      </c>
    </row>
    <row r="27" spans="1:21" x14ac:dyDescent="0.25">
      <c r="A27" s="13">
        <f t="shared" si="0"/>
        <v>2</v>
      </c>
      <c r="B27" s="17">
        <v>43579</v>
      </c>
      <c r="C27" s="17" t="s">
        <v>802</v>
      </c>
      <c r="D27" s="18" t="s">
        <v>833</v>
      </c>
      <c r="E27" s="11" t="s">
        <v>870</v>
      </c>
      <c r="F27" s="19">
        <f>IF(Bets35[[#This Row],[Odds]]&lt;0,Bets35[[#This Row],[Odds]]/-10,10)</f>
        <v>10</v>
      </c>
      <c r="G27" s="37" t="s">
        <v>871</v>
      </c>
      <c r="H27" s="21" t="s">
        <v>263</v>
      </c>
      <c r="I27" s="45">
        <f>IF(Bets35[[#This Row],[Result]]="L",0-Bets35[[#This Row],[Risk]],IF(Bets35[[#This Row],[Result]]="Push",0,IF(Bets35[[#This Row],[Result]]="No Action",0,IF(Bets35[[#This Row],[Result]]="W",IF(Bets35[[#This Row],[Odds]]&gt;0,Bets35[[#This Row],[Odds]]/100*Bets35[[#This Row],[Risk]],(Bets35[[#This Row],[Risk]]/Bets35[[#This Row],[Odds]]*-100)),""))))</f>
        <v>-10</v>
      </c>
      <c r="J27" s="23" t="str">
        <f>IF(ISNUMBER(SEARCH(CHAR(10),Bets35[[#This Row],[Bet]])),"P",IF(ISNUMBER(FIND("Under",Bets35[[#This Row],[Bet]])),"U",IF(ISNUMBER(SEARCH("Over",Bets35[[#This Row],[Bet]])),"O",IF(ISNUMBER(SEARCH("+",Bets35[[#This Row],[Bet]])),"D",IF(ISNUMBER(SEARCH("-",Bets35[[#This Row],[Bet]])),"F",IF(ISNUMBER(SEARCH("Moneyline",Bets35[[#This Row],[Bet]])),IF(Bets35[[#This Row],[Odds]]&lt;0,"MF","MD"),""))))))</f>
        <v>MD</v>
      </c>
      <c r="K27" s="22"/>
      <c r="L27" s="24">
        <f t="shared" si="1"/>
        <v>43644</v>
      </c>
      <c r="M27" s="1" t="str">
        <f>COUNTIFS(Bets35[Date],L27,Bets35[Result],"W")&amp;"-"&amp;COUNTIFS(Bets35[Date],L27,Bets35[Result],"L")&amp;IF(COUNTIFS(Bets35[Date],L27,Bets35[Result],"Push")&gt;0,"-"&amp;COUNTIFS(Bets35[Date],L27,Bets35[Result],"Push"),"")</f>
        <v>2-3</v>
      </c>
      <c r="N27" s="25">
        <f>IFERROR(COUNTIFS(Bets35[Date],L27,Bets35[Result],"W")/(COUNTIFS(Bets35[Date],L27,Bets35[Result],"W")+COUNTIFS(Bets35[Date],L27,Bets35[Result],"L")),"")</f>
        <v>0.4</v>
      </c>
      <c r="O27" s="26">
        <f>SUMIF(Bets35[Date],L27,Bets35[Net])</f>
        <v>-22.9</v>
      </c>
      <c r="P27" s="27" t="str">
        <f>IFERROR("("&amp;ROUND(SUMIF(Bets35[Date],L27,Bets35[Net])/SUMIF(Bets35[Date],L27,Bets35[Risk]),2)*100&amp;"%)","")</f>
        <v>(-33%)</v>
      </c>
      <c r="Q27" s="72">
        <f t="shared" si="2"/>
        <v>66.900000000000006</v>
      </c>
      <c r="R27" s="73">
        <f>IFERROR(SUMIF(Bets35[Date],"&lt;="&amp;L27,Bets35[Net])/SUMIF(Bets35[Date],"&lt;="&amp;L27,Bets35[Risk]),"")</f>
        <v>2.3061808404288339E-2</v>
      </c>
    </row>
    <row r="28" spans="1:21" x14ac:dyDescent="0.25">
      <c r="A28" s="13">
        <f t="shared" si="0"/>
        <v>2</v>
      </c>
      <c r="B28" s="17">
        <v>43579</v>
      </c>
      <c r="C28" s="17" t="s">
        <v>802</v>
      </c>
      <c r="D28" s="18" t="s">
        <v>835</v>
      </c>
      <c r="E28" s="11" t="s">
        <v>836</v>
      </c>
      <c r="F28" s="19">
        <f>IF(Bets35[[#This Row],[Odds]]&lt;0,Bets35[[#This Row],[Odds]]/-10,10)</f>
        <v>10</v>
      </c>
      <c r="G28" s="37" t="s">
        <v>872</v>
      </c>
      <c r="H28" s="21" t="s">
        <v>263</v>
      </c>
      <c r="I28" s="45">
        <f>IF(Bets35[[#This Row],[Result]]="L",0-Bets35[[#This Row],[Risk]],IF(Bets35[[#This Row],[Result]]="Push",0,IF(Bets35[[#This Row],[Result]]="No Action",0,IF(Bets35[[#This Row],[Result]]="W",IF(Bets35[[#This Row],[Odds]]&gt;0,Bets35[[#This Row],[Odds]]/100*Bets35[[#This Row],[Risk]],(Bets35[[#This Row],[Risk]]/Bets35[[#This Row],[Odds]]*-100)),""))))</f>
        <v>-10</v>
      </c>
      <c r="J28" s="23" t="str">
        <f>IF(ISNUMBER(SEARCH(CHAR(10),Bets35[[#This Row],[Bet]])),"P",IF(ISNUMBER(FIND("Under",Bets35[[#This Row],[Bet]])),"U",IF(ISNUMBER(SEARCH("Over",Bets35[[#This Row],[Bet]])),"O",IF(ISNUMBER(SEARCH("+",Bets35[[#This Row],[Bet]])),"D",IF(ISNUMBER(SEARCH("-",Bets35[[#This Row],[Bet]])),"F",IF(ISNUMBER(SEARCH("Moneyline",Bets35[[#This Row],[Bet]])),IF(Bets35[[#This Row],[Odds]]&lt;0,"MF","MD"),""))))))</f>
        <v>MD</v>
      </c>
      <c r="K28" s="22"/>
      <c r="L28" s="24">
        <f t="shared" si="1"/>
        <v>43647</v>
      </c>
      <c r="M28" s="1" t="str">
        <f>COUNTIFS(Bets35[Date],L28,Bets35[Result],"W")&amp;"-"&amp;COUNTIFS(Bets35[Date],L28,Bets35[Result],"L")&amp;IF(COUNTIFS(Bets35[Date],L28,Bets35[Result],"Push")&gt;0,"-"&amp;COUNTIFS(Bets35[Date],L28,Bets35[Result],"Push"),"")</f>
        <v>0-1</v>
      </c>
      <c r="N28" s="25">
        <f>IFERROR(COUNTIFS(Bets35[Date],L28,Bets35[Result],"W")/(COUNTIFS(Bets35[Date],L28,Bets35[Result],"W")+COUNTIFS(Bets35[Date],L28,Bets35[Result],"L")),"")</f>
        <v>0</v>
      </c>
      <c r="O28" s="26">
        <f>SUMIF(Bets35[Date],L28,Bets35[Net])</f>
        <v>-10</v>
      </c>
      <c r="P28" s="27" t="str">
        <f>IFERROR("("&amp;ROUND(SUMIF(Bets35[Date],L28,Bets35[Net])/SUMIF(Bets35[Date],L28,Bets35[Risk]),2)*100&amp;"%)","")</f>
        <v>(-100%)</v>
      </c>
      <c r="Q28" s="72">
        <f t="shared" si="2"/>
        <v>56.900000000000006</v>
      </c>
      <c r="R28" s="73">
        <f>IFERROR(SUMIF(Bets35[Date],"&lt;="&amp;L28,Bets35[Net])/SUMIF(Bets35[Date],"&lt;="&amp;L28,Bets35[Risk]),"")</f>
        <v>1.9547219073138909E-2</v>
      </c>
    </row>
    <row r="29" spans="1:21" x14ac:dyDescent="0.25">
      <c r="A29" s="13">
        <f t="shared" si="0"/>
        <v>2</v>
      </c>
      <c r="B29" s="17">
        <v>43579</v>
      </c>
      <c r="C29" s="17" t="s">
        <v>802</v>
      </c>
      <c r="D29" s="18" t="s">
        <v>816</v>
      </c>
      <c r="E29" s="11" t="s">
        <v>873</v>
      </c>
      <c r="F29" s="19">
        <f>IF(Bets35[[#This Row],[Odds]]&lt;0,Bets35[[#This Row],[Odds]]/-10,10)</f>
        <v>10</v>
      </c>
      <c r="G29" s="37" t="s">
        <v>825</v>
      </c>
      <c r="H29" s="21" t="s">
        <v>263</v>
      </c>
      <c r="I29" s="45">
        <f>IF(Bets35[[#This Row],[Result]]="L",0-Bets35[[#This Row],[Risk]],IF(Bets35[[#This Row],[Result]]="Push",0,IF(Bets35[[#This Row],[Result]]="No Action",0,IF(Bets35[[#This Row],[Result]]="W",IF(Bets35[[#This Row],[Odds]]&gt;0,Bets35[[#This Row],[Odds]]/100*Bets35[[#This Row],[Risk]],(Bets35[[#This Row],[Risk]]/Bets35[[#This Row],[Odds]]*-100)),""))))</f>
        <v>-10</v>
      </c>
      <c r="J29" s="23" t="str">
        <f>IF(ISNUMBER(SEARCH(CHAR(10),Bets35[[#This Row],[Bet]])),"P",IF(ISNUMBER(FIND("Under",Bets35[[#This Row],[Bet]])),"U",IF(ISNUMBER(SEARCH("Over",Bets35[[#This Row],[Bet]])),"O",IF(ISNUMBER(SEARCH("+",Bets35[[#This Row],[Bet]])),"D",IF(ISNUMBER(SEARCH("-",Bets35[[#This Row],[Bet]])),"F",IF(ISNUMBER(SEARCH("Moneyline",Bets35[[#This Row],[Bet]])),IF(Bets35[[#This Row],[Odds]]&lt;0,"MF","MD"),""))))))</f>
        <v>MD</v>
      </c>
      <c r="K29" s="22"/>
      <c r="L29" s="24">
        <f t="shared" si="1"/>
        <v>43662</v>
      </c>
      <c r="M29" s="1" t="str">
        <f>COUNTIFS(Bets35[Date],L29,Bets35[Result],"W")&amp;"-"&amp;COUNTIFS(Bets35[Date],L29,Bets35[Result],"L")&amp;IF(COUNTIFS(Bets35[Date],L29,Bets35[Result],"Push")&gt;0,"-"&amp;COUNTIFS(Bets35[Date],L29,Bets35[Result],"Push"),"")</f>
        <v>11-8</v>
      </c>
      <c r="N29" s="25">
        <f>IFERROR(COUNTIFS(Bets35[Date],L29,Bets35[Result],"W")/(COUNTIFS(Bets35[Date],L29,Bets35[Result],"W")+COUNTIFS(Bets35[Date],L29,Bets35[Result],"L")),"")</f>
        <v>0.57894736842105265</v>
      </c>
      <c r="O29" s="26">
        <f>SUMIF(Bets35[Date],L29,Bets35[Net])</f>
        <v>31</v>
      </c>
      <c r="P29" s="27" t="str">
        <f>IFERROR("("&amp;ROUND(SUMIF(Bets35[Date],L29,Bets35[Net])/SUMIF(Bets35[Date],L29,Bets35[Risk]),2)*100&amp;"%)","")</f>
        <v>(14%)</v>
      </c>
      <c r="Q29" s="72">
        <f t="shared" si="2"/>
        <v>87.9</v>
      </c>
      <c r="R29" s="73">
        <f>IFERROR(SUMIF(Bets35[Date],"&lt;="&amp;L29,Bets35[Net])/SUMIF(Bets35[Date],"&lt;="&amp;L29,Bets35[Risk]),"")</f>
        <v>2.8061550249010359E-2</v>
      </c>
    </row>
    <row r="30" spans="1:21" x14ac:dyDescent="0.25">
      <c r="A30" s="13">
        <f t="shared" si="0"/>
        <v>2</v>
      </c>
      <c r="B30" s="17">
        <v>43579</v>
      </c>
      <c r="C30" s="17" t="s">
        <v>802</v>
      </c>
      <c r="D30" s="18" t="s">
        <v>814</v>
      </c>
      <c r="E30" s="11" t="s">
        <v>815</v>
      </c>
      <c r="F30" s="19">
        <f>IF(Bets35[[#This Row],[Odds]]&lt;0,Bets35[[#This Row],[Odds]]/-10,10)</f>
        <v>13</v>
      </c>
      <c r="G30" s="37">
        <v>-130</v>
      </c>
      <c r="H30" s="21" t="s">
        <v>262</v>
      </c>
      <c r="I30" s="45">
        <f>IF(Bets35[[#This Row],[Result]]="L",0-Bets35[[#This Row],[Risk]],IF(Bets35[[#This Row],[Result]]="Push",0,IF(Bets35[[#This Row],[Result]]="No Action",0,IF(Bets35[[#This Row],[Result]]="W",IF(Bets35[[#This Row],[Odds]]&gt;0,Bets35[[#This Row],[Odds]]/100*Bets35[[#This Row],[Risk]],(Bets35[[#This Row],[Risk]]/Bets35[[#This Row],[Odds]]*-100)),""))))</f>
        <v>10</v>
      </c>
      <c r="J30" s="23" t="str">
        <f>IF(ISNUMBER(SEARCH(CHAR(10),Bets35[[#This Row],[Bet]])),"P",IF(ISNUMBER(FIND("Under",Bets35[[#This Row],[Bet]])),"U",IF(ISNUMBER(SEARCH("Over",Bets35[[#This Row],[Bet]])),"O",IF(ISNUMBER(SEARCH("+",Bets35[[#This Row],[Bet]])),"D",IF(ISNUMBER(SEARCH("-",Bets35[[#This Row],[Bet]])),"F",IF(ISNUMBER(SEARCH("Moneyline",Bets35[[#This Row],[Bet]])),IF(Bets35[[#This Row],[Odds]]&lt;0,"MF","MD"),""))))))</f>
        <v>MF</v>
      </c>
      <c r="K30" s="22"/>
      <c r="L30" s="24">
        <f t="shared" si="1"/>
        <v>43663</v>
      </c>
      <c r="M30" s="1" t="str">
        <f>COUNTIFS(Bets35[Date],L30,Bets35[Result],"W")&amp;"-"&amp;COUNTIFS(Bets35[Date],L30,Bets35[Result],"L")&amp;IF(COUNTIFS(Bets35[Date],L30,Bets35[Result],"Push")&gt;0,"-"&amp;COUNTIFS(Bets35[Date],L30,Bets35[Result],"Push"),"")</f>
        <v>9-6-1</v>
      </c>
      <c r="N30" s="25">
        <f>IFERROR(COUNTIFS(Bets35[Date],L30,Bets35[Result],"W")/(COUNTIFS(Bets35[Date],L30,Bets35[Result],"W")+COUNTIFS(Bets35[Date],L30,Bets35[Result],"L")),"")</f>
        <v>0.6</v>
      </c>
      <c r="O30" s="26">
        <f>SUMIF(Bets35[Date],L30,Bets35[Net])</f>
        <v>26.5</v>
      </c>
      <c r="P30" s="27" t="str">
        <f>IFERROR("("&amp;ROUND(SUMIF(Bets35[Date],L30,Bets35[Net])/SUMIF(Bets35[Date],L30,Bets35[Risk]),2)*100&amp;"%)","")</f>
        <v>(13%)</v>
      </c>
      <c r="Q30" s="72">
        <f t="shared" si="2"/>
        <v>114.4</v>
      </c>
      <c r="R30" s="73">
        <f>IFERROR(SUMIF(Bets35[Date],"&lt;="&amp;L30,Bets35[Net])/SUMIF(Bets35[Date],"&lt;="&amp;L30,Bets35[Risk]),"")</f>
        <v>3.4332703100147063E-2</v>
      </c>
    </row>
    <row r="31" spans="1:21" x14ac:dyDescent="0.25">
      <c r="A31" s="13">
        <f t="shared" si="0"/>
        <v>2</v>
      </c>
      <c r="B31" s="17">
        <v>43579</v>
      </c>
      <c r="C31" s="17" t="s">
        <v>802</v>
      </c>
      <c r="D31" s="18" t="s">
        <v>843</v>
      </c>
      <c r="E31" s="11" t="s">
        <v>874</v>
      </c>
      <c r="F31" s="19">
        <f>IF(Bets35[[#This Row],[Odds]]&lt;0,Bets35[[#This Row],[Odds]]/-10,10)</f>
        <v>13</v>
      </c>
      <c r="G31" s="37">
        <v>-130</v>
      </c>
      <c r="H31" s="21" t="s">
        <v>262</v>
      </c>
      <c r="I31" s="45">
        <f>IF(Bets35[[#This Row],[Result]]="L",0-Bets35[[#This Row],[Risk]],IF(Bets35[[#This Row],[Result]]="Push",0,IF(Bets35[[#This Row],[Result]]="No Action",0,IF(Bets35[[#This Row],[Result]]="W",IF(Bets35[[#This Row],[Odds]]&gt;0,Bets35[[#This Row],[Odds]]/100*Bets35[[#This Row],[Risk]],(Bets35[[#This Row],[Risk]]/Bets35[[#This Row],[Odds]]*-100)),""))))</f>
        <v>10</v>
      </c>
      <c r="J31" s="23" t="str">
        <f>IF(ISNUMBER(SEARCH(CHAR(10),Bets35[[#This Row],[Bet]])),"P",IF(ISNUMBER(FIND("Under",Bets35[[#This Row],[Bet]])),"U",IF(ISNUMBER(SEARCH("Over",Bets35[[#This Row],[Bet]])),"O",IF(ISNUMBER(SEARCH("+",Bets35[[#This Row],[Bet]])),"D",IF(ISNUMBER(SEARCH("-",Bets35[[#This Row],[Bet]])),"F",IF(ISNUMBER(SEARCH("Moneyline",Bets35[[#This Row],[Bet]])),IF(Bets35[[#This Row],[Odds]]&lt;0,"MF","MD"),""))))))</f>
        <v>MF</v>
      </c>
      <c r="K31" s="22"/>
      <c r="L31" s="24">
        <f t="shared" si="1"/>
        <v>0</v>
      </c>
      <c r="M31" s="1" t="str">
        <f>COUNTIFS(Bets35[Date],L31,Bets35[Result],"W")&amp;"-"&amp;COUNTIFS(Bets35[Date],L31,Bets35[Result],"L")&amp;IF(COUNTIFS(Bets35[Date],L31,Bets35[Result],"Push")&gt;0,"-"&amp;COUNTIFS(Bets35[Date],L31,Bets35[Result],"Push"),"")</f>
        <v>0-0</v>
      </c>
      <c r="N31" s="25" t="str">
        <f>IFERROR(COUNTIFS(Bets35[Date],L31,Bets35[Result],"W")/(COUNTIFS(Bets35[Date],L31,Bets35[Result],"W")+COUNTIFS(Bets35[Date],L31,Bets35[Result],"L")),"")</f>
        <v/>
      </c>
      <c r="O31" s="26">
        <f>SUMIF(Bets35[Date],L31,Bets35[Net])</f>
        <v>0</v>
      </c>
      <c r="P31" s="27" t="str">
        <f>IFERROR("("&amp;ROUND(SUMIF(Bets35[Date],L31,Bets35[Net])/SUMIF(Bets35[Date],L31,Bets35[Risk]),2)*100&amp;"%)","")</f>
        <v/>
      </c>
      <c r="Q31" s="72" t="str">
        <f t="shared" si="2"/>
        <v/>
      </c>
      <c r="R31" s="73" t="str">
        <f>IFERROR(SUMIF(Bets35[Date],"&lt;="&amp;L31,Bets35[Net])/SUMIF(Bets35[Date],"&lt;="&amp;L31,Bets35[Risk]),"")</f>
        <v/>
      </c>
    </row>
    <row r="32" spans="1:21" x14ac:dyDescent="0.25">
      <c r="A32" s="13">
        <f t="shared" si="0"/>
        <v>2</v>
      </c>
      <c r="B32" s="17">
        <v>43579</v>
      </c>
      <c r="C32" s="17" t="s">
        <v>802</v>
      </c>
      <c r="D32" s="18" t="s">
        <v>875</v>
      </c>
      <c r="E32" s="11" t="s">
        <v>876</v>
      </c>
      <c r="F32" s="19">
        <f>IF(Bets35[[#This Row],[Odds]]&lt;0,Bets35[[#This Row],[Odds]]/-10,10)</f>
        <v>12</v>
      </c>
      <c r="G32" s="37">
        <v>-120</v>
      </c>
      <c r="H32" s="21" t="s">
        <v>263</v>
      </c>
      <c r="I32" s="45">
        <f>IF(Bets35[[#This Row],[Result]]="L",0-Bets35[[#This Row],[Risk]],IF(Bets35[[#This Row],[Result]]="Push",0,IF(Bets35[[#This Row],[Result]]="No Action",0,IF(Bets35[[#This Row],[Result]]="W",IF(Bets35[[#This Row],[Odds]]&gt;0,Bets35[[#This Row],[Odds]]/100*Bets35[[#This Row],[Risk]],(Bets35[[#This Row],[Risk]]/Bets35[[#This Row],[Odds]]*-100)),""))))</f>
        <v>-12</v>
      </c>
      <c r="J32" s="23" t="str">
        <f>IF(ISNUMBER(SEARCH(CHAR(10),Bets35[[#This Row],[Bet]])),"P",IF(ISNUMBER(FIND("Under",Bets35[[#This Row],[Bet]])),"U",IF(ISNUMBER(SEARCH("Over",Bets35[[#This Row],[Bet]])),"O",IF(ISNUMBER(SEARCH("+",Bets35[[#This Row],[Bet]])),"D",IF(ISNUMBER(SEARCH("-",Bets35[[#This Row],[Bet]])),"F",IF(ISNUMBER(SEARCH("Moneyline",Bets35[[#This Row],[Bet]])),IF(Bets35[[#This Row],[Odds]]&lt;0,"MF","MD"),""))))))</f>
        <v>MF</v>
      </c>
      <c r="K32" s="22"/>
      <c r="L32" s="24">
        <f t="shared" si="1"/>
        <v>0</v>
      </c>
      <c r="M32" s="1" t="str">
        <f>COUNTIFS(Bets35[Date],L32,Bets35[Result],"W")&amp;"-"&amp;COUNTIFS(Bets35[Date],L32,Bets35[Result],"L")&amp;IF(COUNTIFS(Bets35[Date],L32,Bets35[Result],"Push")&gt;0,"-"&amp;COUNTIFS(Bets35[Date],L32,Bets35[Result],"Push"),"")</f>
        <v>0-0</v>
      </c>
      <c r="N32" s="25" t="str">
        <f>IFERROR(COUNTIFS(Bets35[Date],L32,Bets35[Result],"W")/(COUNTIFS(Bets35[Date],L32,Bets35[Result],"W")+COUNTIFS(Bets35[Date],L32,Bets35[Result],"L")),"")</f>
        <v/>
      </c>
      <c r="O32" s="26">
        <f>SUMIF(Bets35[Date],L32,Bets35[Net])</f>
        <v>0</v>
      </c>
      <c r="P32" s="27" t="str">
        <f>IFERROR("("&amp;ROUND(SUMIF(Bets35[Date],L32,Bets35[Net])/SUMIF(Bets35[Date],L32,Bets35[Risk]),2)*100&amp;"%)","")</f>
        <v/>
      </c>
      <c r="Q32" s="72" t="str">
        <f t="shared" si="2"/>
        <v/>
      </c>
      <c r="R32" s="73" t="str">
        <f>IFERROR(SUMIF(Bets35[Date],"&lt;="&amp;L32,Bets35[Net])/SUMIF(Bets35[Date],"&lt;="&amp;L32,Bets35[Risk]),"")</f>
        <v/>
      </c>
    </row>
    <row r="33" spans="1:18" x14ac:dyDescent="0.25">
      <c r="A33" s="13">
        <f t="shared" si="0"/>
        <v>2</v>
      </c>
      <c r="B33" s="17">
        <v>43579</v>
      </c>
      <c r="C33" s="17" t="s">
        <v>802</v>
      </c>
      <c r="D33" s="18" t="s">
        <v>811</v>
      </c>
      <c r="E33" s="11" t="s">
        <v>812</v>
      </c>
      <c r="F33" s="19">
        <f>IF(Bets35[[#This Row],[Odds]]&lt;0,Bets35[[#This Row],[Odds]]/-10,10)</f>
        <v>10</v>
      </c>
      <c r="G33" s="37" t="s">
        <v>813</v>
      </c>
      <c r="H33" s="21" t="s">
        <v>263</v>
      </c>
      <c r="I33" s="45">
        <f>IF(Bets35[[#This Row],[Result]]="L",0-Bets35[[#This Row],[Risk]],IF(Bets35[[#This Row],[Result]]="Push",0,IF(Bets35[[#This Row],[Result]]="No Action",0,IF(Bets35[[#This Row],[Result]]="W",IF(Bets35[[#This Row],[Odds]]&gt;0,Bets35[[#This Row],[Odds]]/100*Bets35[[#This Row],[Risk]],(Bets35[[#This Row],[Risk]]/Bets35[[#This Row],[Odds]]*-100)),""))))</f>
        <v>-10</v>
      </c>
      <c r="J33" s="23" t="str">
        <f>IF(ISNUMBER(SEARCH(CHAR(10),Bets35[[#This Row],[Bet]])),"P",IF(ISNUMBER(FIND("Under",Bets35[[#This Row],[Bet]])),"U",IF(ISNUMBER(SEARCH("Over",Bets35[[#This Row],[Bet]])),"O",IF(ISNUMBER(SEARCH("+",Bets35[[#This Row],[Bet]])),"D",IF(ISNUMBER(SEARCH("-",Bets35[[#This Row],[Bet]])),"F",IF(ISNUMBER(SEARCH("Moneyline",Bets35[[#This Row],[Bet]])),IF(Bets35[[#This Row],[Odds]]&lt;0,"MF","MD"),""))))))</f>
        <v>MD</v>
      </c>
      <c r="K33" s="22"/>
      <c r="L33" s="24">
        <f t="shared" si="1"/>
        <v>0</v>
      </c>
      <c r="M33" s="1" t="str">
        <f>COUNTIFS(Bets35[Date],L33,Bets35[Result],"W")&amp;"-"&amp;COUNTIFS(Bets35[Date],L33,Bets35[Result],"L")&amp;IF(COUNTIFS(Bets35[Date],L33,Bets35[Result],"Push")&gt;0,"-"&amp;COUNTIFS(Bets35[Date],L33,Bets35[Result],"Push"),"")</f>
        <v>0-0</v>
      </c>
      <c r="N33" s="25" t="str">
        <f>IFERROR(COUNTIFS(Bets35[Date],L33,Bets35[Result],"W")/(COUNTIFS(Bets35[Date],L33,Bets35[Result],"W")+COUNTIFS(Bets35[Date],L33,Bets35[Result],"L")),"")</f>
        <v/>
      </c>
      <c r="O33" s="26">
        <f>SUMIF(Bets35[Date],L33,Bets35[Net])</f>
        <v>0</v>
      </c>
      <c r="P33" s="27" t="str">
        <f>IFERROR("("&amp;ROUND(SUMIF(Bets35[Date],L33,Bets35[Net])/SUMIF(Bets35[Date],L33,Bets35[Risk]),2)*100&amp;"%)","")</f>
        <v/>
      </c>
      <c r="Q33" s="72" t="str">
        <f t="shared" si="2"/>
        <v/>
      </c>
      <c r="R33" s="73" t="str">
        <f>IFERROR(SUMIF(Bets35[Date],"&lt;="&amp;L33,Bets35[Net])/SUMIF(Bets35[Date],"&lt;="&amp;L33,Bets35[Risk]),"")</f>
        <v/>
      </c>
    </row>
    <row r="34" spans="1:18" x14ac:dyDescent="0.25">
      <c r="A34" s="13">
        <f t="shared" si="0"/>
        <v>2</v>
      </c>
      <c r="B34" s="17">
        <v>43579</v>
      </c>
      <c r="C34" s="17" t="s">
        <v>802</v>
      </c>
      <c r="D34" s="18" t="s">
        <v>821</v>
      </c>
      <c r="E34" s="11" t="s">
        <v>822</v>
      </c>
      <c r="F34" s="19">
        <f>IF(Bets35[[#This Row],[Odds]]&lt;0,Bets35[[#This Row],[Odds]]/-10,10)</f>
        <v>13</v>
      </c>
      <c r="G34" s="37">
        <v>-130</v>
      </c>
      <c r="H34" s="21" t="s">
        <v>262</v>
      </c>
      <c r="I34" s="45">
        <f>IF(Bets35[[#This Row],[Result]]="L",0-Bets35[[#This Row],[Risk]],IF(Bets35[[#This Row],[Result]]="Push",0,IF(Bets35[[#This Row],[Result]]="No Action",0,IF(Bets35[[#This Row],[Result]]="W",IF(Bets35[[#This Row],[Odds]]&gt;0,Bets35[[#This Row],[Odds]]/100*Bets35[[#This Row],[Risk]],(Bets35[[#This Row],[Risk]]/Bets35[[#This Row],[Odds]]*-100)),""))))</f>
        <v>10</v>
      </c>
      <c r="J34" s="23" t="str">
        <f>IF(ISNUMBER(SEARCH(CHAR(10),Bets35[[#This Row],[Bet]])),"P",IF(ISNUMBER(FIND("Under",Bets35[[#This Row],[Bet]])),"U",IF(ISNUMBER(SEARCH("Over",Bets35[[#This Row],[Bet]])),"O",IF(ISNUMBER(SEARCH("+",Bets35[[#This Row],[Bet]])),"D",IF(ISNUMBER(SEARCH("-",Bets35[[#This Row],[Bet]])),"F",IF(ISNUMBER(SEARCH("Moneyline",Bets35[[#This Row],[Bet]])),IF(Bets35[[#This Row],[Odds]]&lt;0,"MF","MD"),""))))))</f>
        <v>MF</v>
      </c>
      <c r="K34" s="22"/>
      <c r="L34" s="24">
        <f t="shared" si="1"/>
        <v>0</v>
      </c>
      <c r="M34" s="1" t="str">
        <f>COUNTIFS(Bets35[Date],L34,Bets35[Result],"W")&amp;"-"&amp;COUNTIFS(Bets35[Date],L34,Bets35[Result],"L")&amp;IF(COUNTIFS(Bets35[Date],L34,Bets35[Result],"Push")&gt;0,"-"&amp;COUNTIFS(Bets35[Date],L34,Bets35[Result],"Push"),"")</f>
        <v>0-0</v>
      </c>
      <c r="N34" s="25" t="str">
        <f>IFERROR(COUNTIFS(Bets35[Date],L34,Bets35[Result],"W")/(COUNTIFS(Bets35[Date],L34,Bets35[Result],"W")+COUNTIFS(Bets35[Date],L34,Bets35[Result],"L")),"")</f>
        <v/>
      </c>
      <c r="O34" s="26">
        <f>SUMIF(Bets35[Date],L34,Bets35[Net])</f>
        <v>0</v>
      </c>
      <c r="P34" s="27" t="str">
        <f>IFERROR("("&amp;ROUND(SUMIF(Bets35[Date],L34,Bets35[Net])/SUMIF(Bets35[Date],L34,Bets35[Risk]),2)*100&amp;"%)","")</f>
        <v/>
      </c>
      <c r="Q34" s="72" t="str">
        <f t="shared" si="2"/>
        <v/>
      </c>
      <c r="R34" s="73" t="str">
        <f>IFERROR(SUMIF(Bets35[Date],"&lt;="&amp;L34,Bets35[Net])/SUMIF(Bets35[Date],"&lt;="&amp;L34,Bets35[Risk]),"")</f>
        <v/>
      </c>
    </row>
    <row r="35" spans="1:18" x14ac:dyDescent="0.25">
      <c r="A35" s="13">
        <f t="shared" si="0"/>
        <v>2</v>
      </c>
      <c r="B35" s="17">
        <v>43579</v>
      </c>
      <c r="C35" s="17" t="s">
        <v>802</v>
      </c>
      <c r="D35" s="18" t="s">
        <v>826</v>
      </c>
      <c r="E35" s="11" t="s">
        <v>839</v>
      </c>
      <c r="F35" s="19">
        <f>IF(Bets35[[#This Row],[Odds]]&lt;0,Bets35[[#This Row],[Odds]]/-10,10)</f>
        <v>11</v>
      </c>
      <c r="G35" s="37">
        <v>-110</v>
      </c>
      <c r="H35" s="21" t="s">
        <v>262</v>
      </c>
      <c r="I35" s="45">
        <f>IF(Bets35[[#This Row],[Result]]="L",0-Bets35[[#This Row],[Risk]],IF(Bets35[[#This Row],[Result]]="Push",0,IF(Bets35[[#This Row],[Result]]="No Action",0,IF(Bets35[[#This Row],[Result]]="W",IF(Bets35[[#This Row],[Odds]]&gt;0,Bets35[[#This Row],[Odds]]/100*Bets35[[#This Row],[Risk]],(Bets35[[#This Row],[Risk]]/Bets35[[#This Row],[Odds]]*-100)),""))))</f>
        <v>10</v>
      </c>
      <c r="J35" s="23" t="str">
        <f>IF(ISNUMBER(SEARCH(CHAR(10),Bets35[[#This Row],[Bet]])),"P",IF(ISNUMBER(FIND("Under",Bets35[[#This Row],[Bet]])),"U",IF(ISNUMBER(SEARCH("Over",Bets35[[#This Row],[Bet]])),"O",IF(ISNUMBER(SEARCH("+",Bets35[[#This Row],[Bet]])),"D",IF(ISNUMBER(SEARCH("-",Bets35[[#This Row],[Bet]])),"F",IF(ISNUMBER(SEARCH("Moneyline",Bets35[[#This Row],[Bet]])),IF(Bets35[[#This Row],[Odds]]&lt;0,"MF","MD"),""))))))</f>
        <v>O</v>
      </c>
      <c r="K35" s="22"/>
      <c r="L35" s="24">
        <f t="shared" si="1"/>
        <v>0</v>
      </c>
      <c r="M35" s="1" t="str">
        <f>COUNTIFS(Bets35[Date],L35,Bets35[Result],"W")&amp;"-"&amp;COUNTIFS(Bets35[Date],L35,Bets35[Result],"L")&amp;IF(COUNTIFS(Bets35[Date],L35,Bets35[Result],"Push")&gt;0,"-"&amp;COUNTIFS(Bets35[Date],L35,Bets35[Result],"Push"),"")</f>
        <v>0-0</v>
      </c>
      <c r="N35" s="25" t="str">
        <f>IFERROR(COUNTIFS(Bets35[Date],L35,Bets35[Result],"W")/(COUNTIFS(Bets35[Date],L35,Bets35[Result],"W")+COUNTIFS(Bets35[Date],L35,Bets35[Result],"L")),"")</f>
        <v/>
      </c>
      <c r="O35" s="26">
        <f>SUMIF(Bets35[Date],L35,Bets35[Net])</f>
        <v>0</v>
      </c>
      <c r="P35" s="27" t="str">
        <f>IFERROR("("&amp;ROUND(SUMIF(Bets35[Date],L35,Bets35[Net])/SUMIF(Bets35[Date],L35,Bets35[Risk]),2)*100&amp;"%)","")</f>
        <v/>
      </c>
      <c r="Q35" s="72" t="str">
        <f t="shared" si="2"/>
        <v/>
      </c>
      <c r="R35" s="73" t="str">
        <f>IFERROR(SUMIF(Bets35[Date],"&lt;="&amp;L35,Bets35[Net])/SUMIF(Bets35[Date],"&lt;="&amp;L35,Bets35[Risk]),"")</f>
        <v/>
      </c>
    </row>
    <row r="36" spans="1:18" x14ac:dyDescent="0.25">
      <c r="A36" s="13">
        <f t="shared" si="0"/>
        <v>2</v>
      </c>
      <c r="B36" s="17">
        <v>43579</v>
      </c>
      <c r="C36" s="17" t="s">
        <v>802</v>
      </c>
      <c r="D36" s="18" t="s">
        <v>840</v>
      </c>
      <c r="E36" s="11" t="s">
        <v>877</v>
      </c>
      <c r="F36" s="19">
        <f>IF(Bets35[[#This Row],[Odds]]&lt;0,Bets35[[#This Row],[Odds]]/-10,10)</f>
        <v>11</v>
      </c>
      <c r="G36" s="37">
        <v>-110</v>
      </c>
      <c r="H36" s="21" t="s">
        <v>262</v>
      </c>
      <c r="I36" s="45">
        <f>IF(Bets35[[#This Row],[Result]]="L",0-Bets35[[#This Row],[Risk]],IF(Bets35[[#This Row],[Result]]="Push",0,IF(Bets35[[#This Row],[Result]]="No Action",0,IF(Bets35[[#This Row],[Result]]="W",IF(Bets35[[#This Row],[Odds]]&gt;0,Bets35[[#This Row],[Odds]]/100*Bets35[[#This Row],[Risk]],(Bets35[[#This Row],[Risk]]/Bets35[[#This Row],[Odds]]*-100)),""))))</f>
        <v>10</v>
      </c>
      <c r="J36" s="23" t="str">
        <f>IF(ISNUMBER(SEARCH(CHAR(10),Bets35[[#This Row],[Bet]])),"P",IF(ISNUMBER(FIND("Under",Bets35[[#This Row],[Bet]])),"U",IF(ISNUMBER(SEARCH("Over",Bets35[[#This Row],[Bet]])),"O",IF(ISNUMBER(SEARCH("+",Bets35[[#This Row],[Bet]])),"D",IF(ISNUMBER(SEARCH("-",Bets35[[#This Row],[Bet]])),"F",IF(ISNUMBER(SEARCH("Moneyline",Bets35[[#This Row],[Bet]])),IF(Bets35[[#This Row],[Odds]]&lt;0,"MF","MD"),""))))))</f>
        <v>U</v>
      </c>
      <c r="K36" s="22"/>
      <c r="L36" s="24">
        <f t="shared" ref="L36:L67" si="3">IFERROR(VLOOKUP(ROW()-3,A:B,2,0),0)</f>
        <v>0</v>
      </c>
      <c r="M36" s="1" t="str">
        <f>COUNTIFS(Bets35[Date],L36,Bets35[Result],"W")&amp;"-"&amp;COUNTIFS(Bets35[Date],L36,Bets35[Result],"L")&amp;IF(COUNTIFS(Bets35[Date],L36,Bets35[Result],"Push")&gt;0,"-"&amp;COUNTIFS(Bets35[Date],L36,Bets35[Result],"Push"),"")</f>
        <v>0-0</v>
      </c>
      <c r="N36" s="25" t="str">
        <f>IFERROR(COUNTIFS(Bets35[Date],L36,Bets35[Result],"W")/(COUNTIFS(Bets35[Date],L36,Bets35[Result],"W")+COUNTIFS(Bets35[Date],L36,Bets35[Result],"L")),"")</f>
        <v/>
      </c>
      <c r="O36" s="26">
        <f>SUMIF(Bets35[Date],L36,Bets35[Net])</f>
        <v>0</v>
      </c>
      <c r="P36" s="27" t="str">
        <f>IFERROR("("&amp;ROUND(SUMIF(Bets35[Date],L36,Bets35[Net])/SUMIF(Bets35[Date],L36,Bets35[Risk]),2)*100&amp;"%)","")</f>
        <v/>
      </c>
      <c r="Q36" s="72" t="str">
        <f t="shared" si="2"/>
        <v/>
      </c>
      <c r="R36" s="73" t="str">
        <f>IFERROR(SUMIF(Bets35[Date],"&lt;="&amp;L36,Bets35[Net])/SUMIF(Bets35[Date],"&lt;="&amp;L36,Bets35[Risk]),"")</f>
        <v/>
      </c>
    </row>
    <row r="37" spans="1:18" x14ac:dyDescent="0.25">
      <c r="A37" s="13">
        <f t="shared" si="0"/>
        <v>2</v>
      </c>
      <c r="B37" s="17">
        <v>43579</v>
      </c>
      <c r="C37" s="17" t="s">
        <v>802</v>
      </c>
      <c r="D37" s="18" t="s">
        <v>818</v>
      </c>
      <c r="E37" s="11" t="s">
        <v>878</v>
      </c>
      <c r="F37" s="19">
        <f>IF(Bets35[[#This Row],[Odds]]&lt;0,Bets35[[#This Row],[Odds]]/-10,10)</f>
        <v>11</v>
      </c>
      <c r="G37" s="37">
        <v>-110</v>
      </c>
      <c r="H37" s="21" t="s">
        <v>262</v>
      </c>
      <c r="I37" s="45">
        <f>IF(Bets35[[#This Row],[Result]]="L",0-Bets35[[#This Row],[Risk]],IF(Bets35[[#This Row],[Result]]="Push",0,IF(Bets35[[#This Row],[Result]]="No Action",0,IF(Bets35[[#This Row],[Result]]="W",IF(Bets35[[#This Row],[Odds]]&gt;0,Bets35[[#This Row],[Odds]]/100*Bets35[[#This Row],[Risk]],(Bets35[[#This Row],[Risk]]/Bets35[[#This Row],[Odds]]*-100)),""))))</f>
        <v>10</v>
      </c>
      <c r="J37" s="23" t="str">
        <f>IF(ISNUMBER(SEARCH(CHAR(10),Bets35[[#This Row],[Bet]])),"P",IF(ISNUMBER(FIND("Under",Bets35[[#This Row],[Bet]])),"U",IF(ISNUMBER(SEARCH("Over",Bets35[[#This Row],[Bet]])),"O",IF(ISNUMBER(SEARCH("+",Bets35[[#This Row],[Bet]])),"D",IF(ISNUMBER(SEARCH("-",Bets35[[#This Row],[Bet]])),"F",IF(ISNUMBER(SEARCH("Moneyline",Bets35[[#This Row],[Bet]])),IF(Bets35[[#This Row],[Odds]]&lt;0,"MF","MD"),""))))))</f>
        <v>O</v>
      </c>
      <c r="K37" s="22"/>
      <c r="L37" s="24">
        <f t="shared" si="3"/>
        <v>0</v>
      </c>
      <c r="M37" s="1" t="str">
        <f>COUNTIFS(Bets35[Date],L37,Bets35[Result],"W")&amp;"-"&amp;COUNTIFS(Bets35[Date],L37,Bets35[Result],"L")&amp;IF(COUNTIFS(Bets35[Date],L37,Bets35[Result],"Push")&gt;0,"-"&amp;COUNTIFS(Bets35[Date],L37,Bets35[Result],"Push"),"")</f>
        <v>0-0</v>
      </c>
      <c r="N37" s="25" t="str">
        <f>IFERROR(COUNTIFS(Bets35[Date],L37,Bets35[Result],"W")/(COUNTIFS(Bets35[Date],L37,Bets35[Result],"W")+COUNTIFS(Bets35[Date],L37,Bets35[Result],"L")),"")</f>
        <v/>
      </c>
      <c r="O37" s="26">
        <f>SUMIF(Bets35[Date],L37,Bets35[Net])</f>
        <v>0</v>
      </c>
      <c r="P37" s="27" t="str">
        <f>IFERROR("("&amp;ROUND(SUMIF(Bets35[Date],L37,Bets35[Net])/SUMIF(Bets35[Date],L37,Bets35[Risk]),2)*100&amp;"%)","")</f>
        <v/>
      </c>
      <c r="Q37" s="72" t="str">
        <f t="shared" si="2"/>
        <v/>
      </c>
      <c r="R37" s="73" t="str">
        <f>IFERROR(SUMIF(Bets35[Date],"&lt;="&amp;L37,Bets35[Net])/SUMIF(Bets35[Date],"&lt;="&amp;L37,Bets35[Risk]),"")</f>
        <v/>
      </c>
    </row>
    <row r="38" spans="1:18" x14ac:dyDescent="0.25">
      <c r="A38" s="13">
        <f t="shared" si="0"/>
        <v>2</v>
      </c>
      <c r="B38" s="17">
        <v>43579</v>
      </c>
      <c r="C38" s="17" t="s">
        <v>802</v>
      </c>
      <c r="D38" s="18" t="s">
        <v>824</v>
      </c>
      <c r="E38" s="11" t="s">
        <v>845</v>
      </c>
      <c r="F38" s="19">
        <f>IF(Bets35[[#This Row],[Odds]]&lt;0,Bets35[[#This Row],[Odds]]/-10,10)</f>
        <v>11</v>
      </c>
      <c r="G38" s="37">
        <v>-110</v>
      </c>
      <c r="H38" s="21" t="s">
        <v>263</v>
      </c>
      <c r="I38" s="45">
        <f>IF(Bets35[[#This Row],[Result]]="L",0-Bets35[[#This Row],[Risk]],IF(Bets35[[#This Row],[Result]]="Push",0,IF(Bets35[[#This Row],[Result]]="No Action",0,IF(Bets35[[#This Row],[Result]]="W",IF(Bets35[[#This Row],[Odds]]&gt;0,Bets35[[#This Row],[Odds]]/100*Bets35[[#This Row],[Risk]],(Bets35[[#This Row],[Risk]]/Bets35[[#This Row],[Odds]]*-100)),""))))</f>
        <v>-11</v>
      </c>
      <c r="J38" s="23" t="str">
        <f>IF(ISNUMBER(SEARCH(CHAR(10),Bets35[[#This Row],[Bet]])),"P",IF(ISNUMBER(FIND("Under",Bets35[[#This Row],[Bet]])),"U",IF(ISNUMBER(SEARCH("Over",Bets35[[#This Row],[Bet]])),"O",IF(ISNUMBER(SEARCH("+",Bets35[[#This Row],[Bet]])),"D",IF(ISNUMBER(SEARCH("-",Bets35[[#This Row],[Bet]])),"F",IF(ISNUMBER(SEARCH("Moneyline",Bets35[[#This Row],[Bet]])),IF(Bets35[[#This Row],[Odds]]&lt;0,"MF","MD"),""))))))</f>
        <v>O</v>
      </c>
      <c r="K38" s="22"/>
      <c r="L38" s="24">
        <f t="shared" si="3"/>
        <v>0</v>
      </c>
      <c r="M38" s="1" t="str">
        <f>COUNTIFS(Bets35[Date],L38,Bets35[Result],"W")&amp;"-"&amp;COUNTIFS(Bets35[Date],L38,Bets35[Result],"L")&amp;IF(COUNTIFS(Bets35[Date],L38,Bets35[Result],"Push")&gt;0,"-"&amp;COUNTIFS(Bets35[Date],L38,Bets35[Result],"Push"),"")</f>
        <v>0-0</v>
      </c>
      <c r="N38" s="25" t="str">
        <f>IFERROR(COUNTIFS(Bets35[Date],L38,Bets35[Result],"W")/(COUNTIFS(Bets35[Date],L38,Bets35[Result],"W")+COUNTIFS(Bets35[Date],L38,Bets35[Result],"L")),"")</f>
        <v/>
      </c>
      <c r="O38" s="26">
        <f>SUMIF(Bets35[Date],L38,Bets35[Net])</f>
        <v>0</v>
      </c>
      <c r="P38" s="27" t="str">
        <f>IFERROR("("&amp;ROUND(SUMIF(Bets35[Date],L38,Bets35[Net])/SUMIF(Bets35[Date],L38,Bets35[Risk]),2)*100&amp;"%)","")</f>
        <v/>
      </c>
      <c r="Q38" s="72" t="str">
        <f t="shared" si="2"/>
        <v/>
      </c>
      <c r="R38" s="73" t="str">
        <f>IFERROR(SUMIF(Bets35[Date],"&lt;="&amp;L38,Bets35[Net])/SUMIF(Bets35[Date],"&lt;="&amp;L38,Bets35[Risk]),"")</f>
        <v/>
      </c>
    </row>
    <row r="39" spans="1:18" x14ac:dyDescent="0.25">
      <c r="A39" s="13">
        <f t="shared" si="0"/>
        <v>2</v>
      </c>
      <c r="B39" s="17">
        <v>43579</v>
      </c>
      <c r="C39" s="17" t="s">
        <v>802</v>
      </c>
      <c r="D39" s="18" t="s">
        <v>829</v>
      </c>
      <c r="E39" s="11" t="s">
        <v>879</v>
      </c>
      <c r="F39" s="19">
        <f>IF(Bets35[[#This Row],[Odds]]&lt;0,Bets35[[#This Row],[Odds]]/-10,10)</f>
        <v>11</v>
      </c>
      <c r="G39" s="37">
        <v>-110</v>
      </c>
      <c r="H39" s="21" t="s">
        <v>263</v>
      </c>
      <c r="I39" s="45">
        <f>IF(Bets35[[#This Row],[Result]]="L",0-Bets35[[#This Row],[Risk]],IF(Bets35[[#This Row],[Result]]="Push",0,IF(Bets35[[#This Row],[Result]]="No Action",0,IF(Bets35[[#This Row],[Result]]="W",IF(Bets35[[#This Row],[Odds]]&gt;0,Bets35[[#This Row],[Odds]]/100*Bets35[[#This Row],[Risk]],(Bets35[[#This Row],[Risk]]/Bets35[[#This Row],[Odds]]*-100)),""))))</f>
        <v>-11</v>
      </c>
      <c r="J39" s="23" t="str">
        <f>IF(ISNUMBER(SEARCH(CHAR(10),Bets35[[#This Row],[Bet]])),"P",IF(ISNUMBER(FIND("Under",Bets35[[#This Row],[Bet]])),"U",IF(ISNUMBER(SEARCH("Over",Bets35[[#This Row],[Bet]])),"O",IF(ISNUMBER(SEARCH("+",Bets35[[#This Row],[Bet]])),"D",IF(ISNUMBER(SEARCH("-",Bets35[[#This Row],[Bet]])),"F",IF(ISNUMBER(SEARCH("Moneyline",Bets35[[#This Row],[Bet]])),IF(Bets35[[#This Row],[Odds]]&lt;0,"MF","MD"),""))))))</f>
        <v>U</v>
      </c>
      <c r="K39" s="22"/>
      <c r="L39" s="24">
        <f t="shared" si="3"/>
        <v>0</v>
      </c>
      <c r="M39" s="1" t="str">
        <f>COUNTIFS(Bets35[Date],L39,Bets35[Result],"W")&amp;"-"&amp;COUNTIFS(Bets35[Date],L39,Bets35[Result],"L")&amp;IF(COUNTIFS(Bets35[Date],L39,Bets35[Result],"Push")&gt;0,"-"&amp;COUNTIFS(Bets35[Date],L39,Bets35[Result],"Push"),"")</f>
        <v>0-0</v>
      </c>
      <c r="N39" s="25" t="str">
        <f>IFERROR(COUNTIFS(Bets35[Date],L39,Bets35[Result],"W")/(COUNTIFS(Bets35[Date],L39,Bets35[Result],"W")+COUNTIFS(Bets35[Date],L39,Bets35[Result],"L")),"")</f>
        <v/>
      </c>
      <c r="O39" s="26">
        <f>SUMIF(Bets35[Date],L39,Bets35[Net])</f>
        <v>0</v>
      </c>
      <c r="P39" s="27" t="str">
        <f>IFERROR("("&amp;ROUND(SUMIF(Bets35[Date],L39,Bets35[Net])/SUMIF(Bets35[Date],L39,Bets35[Risk]),2)*100&amp;"%)","")</f>
        <v/>
      </c>
      <c r="Q39" s="72" t="str">
        <f t="shared" si="2"/>
        <v/>
      </c>
      <c r="R39" s="73" t="str">
        <f>IFERROR(SUMIF(Bets35[Date],"&lt;="&amp;L39,Bets35[Net])/SUMIF(Bets35[Date],"&lt;="&amp;L39,Bets35[Risk]),"")</f>
        <v/>
      </c>
    </row>
    <row r="40" spans="1:18" x14ac:dyDescent="0.25">
      <c r="A40" s="13">
        <f t="shared" si="0"/>
        <v>2</v>
      </c>
      <c r="B40" s="17">
        <v>43579</v>
      </c>
      <c r="C40" s="17" t="s">
        <v>802</v>
      </c>
      <c r="D40" s="18" t="s">
        <v>816</v>
      </c>
      <c r="E40" s="11" t="s">
        <v>877</v>
      </c>
      <c r="F40" s="19">
        <f>IF(Bets35[[#This Row],[Odds]]&lt;0,Bets35[[#This Row],[Odds]]/-10,10)</f>
        <v>11</v>
      </c>
      <c r="G40" s="37">
        <v>-110</v>
      </c>
      <c r="H40" s="21" t="s">
        <v>262</v>
      </c>
      <c r="I40" s="45">
        <f>IF(Bets35[[#This Row],[Result]]="L",0-Bets35[[#This Row],[Risk]],IF(Bets35[[#This Row],[Result]]="Push",0,IF(Bets35[[#This Row],[Result]]="No Action",0,IF(Bets35[[#This Row],[Result]]="W",IF(Bets35[[#This Row],[Odds]]&gt;0,Bets35[[#This Row],[Odds]]/100*Bets35[[#This Row],[Risk]],(Bets35[[#This Row],[Risk]]/Bets35[[#This Row],[Odds]]*-100)),""))))</f>
        <v>10</v>
      </c>
      <c r="J40" s="23" t="str">
        <f>IF(ISNUMBER(SEARCH(CHAR(10),Bets35[[#This Row],[Bet]])),"P",IF(ISNUMBER(FIND("Under",Bets35[[#This Row],[Bet]])),"U",IF(ISNUMBER(SEARCH("Over",Bets35[[#This Row],[Bet]])),"O",IF(ISNUMBER(SEARCH("+",Bets35[[#This Row],[Bet]])),"D",IF(ISNUMBER(SEARCH("-",Bets35[[#This Row],[Bet]])),"F",IF(ISNUMBER(SEARCH("Moneyline",Bets35[[#This Row],[Bet]])),IF(Bets35[[#This Row],[Odds]]&lt;0,"MF","MD"),""))))))</f>
        <v>U</v>
      </c>
      <c r="K40" s="22"/>
      <c r="L40" s="24">
        <f t="shared" si="3"/>
        <v>0</v>
      </c>
      <c r="M40" s="1" t="str">
        <f>COUNTIFS(Bets35[Date],L40,Bets35[Result],"W")&amp;"-"&amp;COUNTIFS(Bets35[Date],L40,Bets35[Result],"L")&amp;IF(COUNTIFS(Bets35[Date],L40,Bets35[Result],"Push")&gt;0,"-"&amp;COUNTIFS(Bets35[Date],L40,Bets35[Result],"Push"),"")</f>
        <v>0-0</v>
      </c>
      <c r="N40" s="25" t="str">
        <f>IFERROR(COUNTIFS(Bets35[Date],L40,Bets35[Result],"W")/(COUNTIFS(Bets35[Date],L40,Bets35[Result],"W")+COUNTIFS(Bets35[Date],L40,Bets35[Result],"L")),"")</f>
        <v/>
      </c>
      <c r="O40" s="26">
        <f>SUMIF(Bets35[Date],L40,Bets35[Net])</f>
        <v>0</v>
      </c>
      <c r="P40" s="27" t="str">
        <f>IFERROR("("&amp;ROUND(SUMIF(Bets35[Date],L40,Bets35[Net])/SUMIF(Bets35[Date],L40,Bets35[Risk]),2)*100&amp;"%)","")</f>
        <v/>
      </c>
      <c r="Q40" s="72" t="str">
        <f t="shared" si="2"/>
        <v/>
      </c>
      <c r="R40" s="73" t="str">
        <f>IFERROR(SUMIF(Bets35[Date],"&lt;="&amp;L40,Bets35[Net])/SUMIF(Bets35[Date],"&lt;="&amp;L40,Bets35[Risk]),"")</f>
        <v/>
      </c>
    </row>
    <row r="41" spans="1:18" x14ac:dyDescent="0.25">
      <c r="A41" s="13">
        <f t="shared" si="0"/>
        <v>2</v>
      </c>
      <c r="B41" s="17">
        <v>43579</v>
      </c>
      <c r="C41" s="17" t="s">
        <v>802</v>
      </c>
      <c r="D41" s="18" t="s">
        <v>814</v>
      </c>
      <c r="E41" s="11" t="s">
        <v>880</v>
      </c>
      <c r="F41" s="19">
        <f>IF(Bets35[[#This Row],[Odds]]&lt;0,Bets35[[#This Row],[Odds]]/-10,10)</f>
        <v>11</v>
      </c>
      <c r="G41" s="37">
        <v>-110</v>
      </c>
      <c r="H41" s="21" t="s">
        <v>262</v>
      </c>
      <c r="I41" s="45">
        <f>IF(Bets35[[#This Row],[Result]]="L",0-Bets35[[#This Row],[Risk]],IF(Bets35[[#This Row],[Result]]="Push",0,IF(Bets35[[#This Row],[Result]]="No Action",0,IF(Bets35[[#This Row],[Result]]="W",IF(Bets35[[#This Row],[Odds]]&gt;0,Bets35[[#This Row],[Odds]]/100*Bets35[[#This Row],[Risk]],(Bets35[[#This Row],[Risk]]/Bets35[[#This Row],[Odds]]*-100)),""))))</f>
        <v>10</v>
      </c>
      <c r="J41" s="23" t="str">
        <f>IF(ISNUMBER(SEARCH(CHAR(10),Bets35[[#This Row],[Bet]])),"P",IF(ISNUMBER(FIND("Under",Bets35[[#This Row],[Bet]])),"U",IF(ISNUMBER(SEARCH("Over",Bets35[[#This Row],[Bet]])),"O",IF(ISNUMBER(SEARCH("+",Bets35[[#This Row],[Bet]])),"D",IF(ISNUMBER(SEARCH("-",Bets35[[#This Row],[Bet]])),"F",IF(ISNUMBER(SEARCH("Moneyline",Bets35[[#This Row],[Bet]])),IF(Bets35[[#This Row],[Odds]]&lt;0,"MF","MD"),""))))))</f>
        <v>U</v>
      </c>
      <c r="K41" s="22"/>
      <c r="L41" s="24">
        <f t="shared" si="3"/>
        <v>0</v>
      </c>
      <c r="M41" s="1" t="str">
        <f>COUNTIFS(Bets35[Date],L41,Bets35[Result],"W")&amp;"-"&amp;COUNTIFS(Bets35[Date],L41,Bets35[Result],"L")&amp;IF(COUNTIFS(Bets35[Date],L41,Bets35[Result],"Push")&gt;0,"-"&amp;COUNTIFS(Bets35[Date],L41,Bets35[Result],"Push"),"")</f>
        <v>0-0</v>
      </c>
      <c r="N41" s="25" t="str">
        <f>IFERROR(COUNTIFS(Bets35[Date],L41,Bets35[Result],"W")/(COUNTIFS(Bets35[Date],L41,Bets35[Result],"W")+COUNTIFS(Bets35[Date],L41,Bets35[Result],"L")),"")</f>
        <v/>
      </c>
      <c r="O41" s="26">
        <f>SUMIF(Bets35[Date],L41,Bets35[Net])</f>
        <v>0</v>
      </c>
      <c r="P41" s="27" t="str">
        <f>IFERROR("("&amp;ROUND(SUMIF(Bets35[Date],L41,Bets35[Net])/SUMIF(Bets35[Date],L41,Bets35[Risk]),2)*100&amp;"%)","")</f>
        <v/>
      </c>
      <c r="Q41" s="72" t="str">
        <f t="shared" si="2"/>
        <v/>
      </c>
      <c r="R41" s="73" t="str">
        <f>IFERROR(SUMIF(Bets35[Date],"&lt;="&amp;L41,Bets35[Net])/SUMIF(Bets35[Date],"&lt;="&amp;L41,Bets35[Risk]),"")</f>
        <v/>
      </c>
    </row>
    <row r="42" spans="1:18" x14ac:dyDescent="0.25">
      <c r="A42" s="13">
        <f t="shared" si="0"/>
        <v>2</v>
      </c>
      <c r="B42" s="17">
        <v>43579</v>
      </c>
      <c r="C42" s="17" t="s">
        <v>802</v>
      </c>
      <c r="D42" s="18" t="s">
        <v>821</v>
      </c>
      <c r="E42" s="11" t="s">
        <v>881</v>
      </c>
      <c r="F42" s="19">
        <f>IF(Bets35[[#This Row],[Odds]]&lt;0,Bets35[[#This Row],[Odds]]/-10,10)</f>
        <v>11</v>
      </c>
      <c r="G42" s="37">
        <v>-110</v>
      </c>
      <c r="H42" s="21" t="s">
        <v>263</v>
      </c>
      <c r="I42" s="45">
        <f>IF(Bets35[[#This Row],[Result]]="L",0-Bets35[[#This Row],[Risk]],IF(Bets35[[#This Row],[Result]]="Push",0,IF(Bets35[[#This Row],[Result]]="No Action",0,IF(Bets35[[#This Row],[Result]]="W",IF(Bets35[[#This Row],[Odds]]&gt;0,Bets35[[#This Row],[Odds]]/100*Bets35[[#This Row],[Risk]],(Bets35[[#This Row],[Risk]]/Bets35[[#This Row],[Odds]]*-100)),""))))</f>
        <v>-11</v>
      </c>
      <c r="J42" s="23" t="str">
        <f>IF(ISNUMBER(SEARCH(CHAR(10),Bets35[[#This Row],[Bet]])),"P",IF(ISNUMBER(FIND("Under",Bets35[[#This Row],[Bet]])),"U",IF(ISNUMBER(SEARCH("Over",Bets35[[#This Row],[Bet]])),"O",IF(ISNUMBER(SEARCH("+",Bets35[[#This Row],[Bet]])),"D",IF(ISNUMBER(SEARCH("-",Bets35[[#This Row],[Bet]])),"F",IF(ISNUMBER(SEARCH("Moneyline",Bets35[[#This Row],[Bet]])),IF(Bets35[[#This Row],[Odds]]&lt;0,"MF","MD"),""))))))</f>
        <v>O</v>
      </c>
      <c r="K42" s="22"/>
      <c r="L42" s="24">
        <f t="shared" si="3"/>
        <v>0</v>
      </c>
      <c r="M42" s="1" t="str">
        <f>COUNTIFS(Bets35[Date],L42,Bets35[Result],"W")&amp;"-"&amp;COUNTIFS(Bets35[Date],L42,Bets35[Result],"L")&amp;IF(COUNTIFS(Bets35[Date],L42,Bets35[Result],"Push")&gt;0,"-"&amp;COUNTIFS(Bets35[Date],L42,Bets35[Result],"Push"),"")</f>
        <v>0-0</v>
      </c>
      <c r="N42" s="25" t="str">
        <f>IFERROR(COUNTIFS(Bets35[Date],L42,Bets35[Result],"W")/(COUNTIFS(Bets35[Date],L42,Bets35[Result],"W")+COUNTIFS(Bets35[Date],L42,Bets35[Result],"L")),"")</f>
        <v/>
      </c>
      <c r="O42" s="26">
        <f>SUMIF(Bets35[Date],L42,Bets35[Net])</f>
        <v>0</v>
      </c>
      <c r="P42" s="27" t="str">
        <f>IFERROR("("&amp;ROUND(SUMIF(Bets35[Date],L42,Bets35[Net])/SUMIF(Bets35[Date],L42,Bets35[Risk]),2)*100&amp;"%)","")</f>
        <v/>
      </c>
      <c r="Q42" s="72" t="str">
        <f t="shared" si="2"/>
        <v/>
      </c>
      <c r="R42" s="73" t="str">
        <f>IFERROR(SUMIF(Bets35[Date],"&lt;="&amp;L42,Bets35[Net])/SUMIF(Bets35[Date],"&lt;="&amp;L42,Bets35[Risk]),"")</f>
        <v/>
      </c>
    </row>
    <row r="43" spans="1:18" x14ac:dyDescent="0.25">
      <c r="A43" s="13">
        <f t="shared" si="0"/>
        <v>3</v>
      </c>
      <c r="B43" s="17">
        <v>43580</v>
      </c>
      <c r="C43" s="17" t="s">
        <v>802</v>
      </c>
      <c r="D43" s="18" t="s">
        <v>831</v>
      </c>
      <c r="E43" s="11" t="s">
        <v>832</v>
      </c>
      <c r="F43" s="19">
        <f>IF(Bets35[[#This Row],[Odds]]&lt;0,Bets35[[#This Row],[Odds]]/-10,10)</f>
        <v>10</v>
      </c>
      <c r="G43" s="37" t="s">
        <v>828</v>
      </c>
      <c r="H43" s="21" t="s">
        <v>263</v>
      </c>
      <c r="I43" s="45">
        <f>IF(Bets35[[#This Row],[Result]]="L",0-Bets35[[#This Row],[Risk]],IF(Bets35[[#This Row],[Result]]="Push",0,IF(Bets35[[#This Row],[Result]]="No Action",0,IF(Bets35[[#This Row],[Result]]="W",IF(Bets35[[#This Row],[Odds]]&gt;0,Bets35[[#This Row],[Odds]]/100*Bets35[[#This Row],[Risk]],(Bets35[[#This Row],[Risk]]/Bets35[[#This Row],[Odds]]*-100)),""))))</f>
        <v>-10</v>
      </c>
      <c r="J43" s="23" t="str">
        <f>IF(ISNUMBER(SEARCH(CHAR(10),Bets35[[#This Row],[Bet]])),"P",IF(ISNUMBER(FIND("Under",Bets35[[#This Row],[Bet]])),"U",IF(ISNUMBER(SEARCH("Over",Bets35[[#This Row],[Bet]])),"O",IF(ISNUMBER(SEARCH("+",Bets35[[#This Row],[Bet]])),"D",IF(ISNUMBER(SEARCH("-",Bets35[[#This Row],[Bet]])),"F",IF(ISNUMBER(SEARCH("Moneyline",Bets35[[#This Row],[Bet]])),IF(Bets35[[#This Row],[Odds]]&lt;0,"MF","MD"),""))))))</f>
        <v>MD</v>
      </c>
      <c r="K43" s="22"/>
      <c r="L43" s="24">
        <f t="shared" si="3"/>
        <v>0</v>
      </c>
      <c r="M43" s="1" t="str">
        <f>COUNTIFS(Bets35[Date],L43,Bets35[Result],"W")&amp;"-"&amp;COUNTIFS(Bets35[Date],L43,Bets35[Result],"L")&amp;IF(COUNTIFS(Bets35[Date],L43,Bets35[Result],"Push")&gt;0,"-"&amp;COUNTIFS(Bets35[Date],L43,Bets35[Result],"Push"),"")</f>
        <v>0-0</v>
      </c>
      <c r="N43" s="25" t="str">
        <f>IFERROR(COUNTIFS(Bets35[Date],L43,Bets35[Result],"W")/(COUNTIFS(Bets35[Date],L43,Bets35[Result],"W")+COUNTIFS(Bets35[Date],L43,Bets35[Result],"L")),"")</f>
        <v/>
      </c>
      <c r="O43" s="26">
        <f>SUMIF(Bets35[Date],L43,Bets35[Net])</f>
        <v>0</v>
      </c>
      <c r="P43" s="27" t="str">
        <f>IFERROR("("&amp;ROUND(SUMIF(Bets35[Date],L43,Bets35[Net])/SUMIF(Bets35[Date],L43,Bets35[Risk]),2)*100&amp;"%)","")</f>
        <v/>
      </c>
      <c r="Q43" s="72" t="str">
        <f t="shared" si="2"/>
        <v/>
      </c>
      <c r="R43" s="73" t="str">
        <f>IFERROR(SUMIF(Bets35[Date],"&lt;="&amp;L43,Bets35[Net])/SUMIF(Bets35[Date],"&lt;="&amp;L43,Bets35[Risk]),"")</f>
        <v/>
      </c>
    </row>
    <row r="44" spans="1:18" x14ac:dyDescent="0.25">
      <c r="A44" s="13">
        <f t="shared" si="0"/>
        <v>3</v>
      </c>
      <c r="B44" s="17">
        <v>43580</v>
      </c>
      <c r="C44" s="17" t="s">
        <v>802</v>
      </c>
      <c r="D44" s="18" t="s">
        <v>826</v>
      </c>
      <c r="E44" s="11" t="s">
        <v>827</v>
      </c>
      <c r="F44" s="19">
        <f>IF(Bets35[[#This Row],[Odds]]&lt;0,Bets35[[#This Row],[Odds]]/-10,10)</f>
        <v>10</v>
      </c>
      <c r="G44" s="37" t="s">
        <v>886</v>
      </c>
      <c r="H44" s="21" t="s">
        <v>262</v>
      </c>
      <c r="I44" s="45">
        <f>IF(Bets35[[#This Row],[Result]]="L",0-Bets35[[#This Row],[Risk]],IF(Bets35[[#This Row],[Result]]="Push",0,IF(Bets35[[#This Row],[Result]]="No Action",0,IF(Bets35[[#This Row],[Result]]="W",IF(Bets35[[#This Row],[Odds]]&gt;0,Bets35[[#This Row],[Odds]]/100*Bets35[[#This Row],[Risk]],(Bets35[[#This Row],[Risk]]/Bets35[[#This Row],[Odds]]*-100)),""))))</f>
        <v>11</v>
      </c>
      <c r="J44" s="23" t="str">
        <f>IF(ISNUMBER(SEARCH(CHAR(10),Bets35[[#This Row],[Bet]])),"P",IF(ISNUMBER(FIND("Under",Bets35[[#This Row],[Bet]])),"U",IF(ISNUMBER(SEARCH("Over",Bets35[[#This Row],[Bet]])),"O",IF(ISNUMBER(SEARCH("+",Bets35[[#This Row],[Bet]])),"D",IF(ISNUMBER(SEARCH("-",Bets35[[#This Row],[Bet]])),"F",IF(ISNUMBER(SEARCH("Moneyline",Bets35[[#This Row],[Bet]])),IF(Bets35[[#This Row],[Odds]]&lt;0,"MF","MD"),""))))))</f>
        <v>MD</v>
      </c>
      <c r="K44" s="22"/>
      <c r="L44" s="24">
        <f t="shared" si="3"/>
        <v>0</v>
      </c>
      <c r="M44" s="1" t="str">
        <f>COUNTIFS(Bets35[Date],L44,Bets35[Result],"W")&amp;"-"&amp;COUNTIFS(Bets35[Date],L44,Bets35[Result],"L")&amp;IF(COUNTIFS(Bets35[Date],L44,Bets35[Result],"Push")&gt;0,"-"&amp;COUNTIFS(Bets35[Date],L44,Bets35[Result],"Push"),"")</f>
        <v>0-0</v>
      </c>
      <c r="N44" s="25" t="str">
        <f>IFERROR(COUNTIFS(Bets35[Date],L44,Bets35[Result],"W")/(COUNTIFS(Bets35[Date],L44,Bets35[Result],"W")+COUNTIFS(Bets35[Date],L44,Bets35[Result],"L")),"")</f>
        <v/>
      </c>
      <c r="O44" s="26">
        <f>SUMIF(Bets35[Date],L44,Bets35[Net])</f>
        <v>0</v>
      </c>
      <c r="P44" s="27" t="str">
        <f>IFERROR("("&amp;ROUND(SUMIF(Bets35[Date],L44,Bets35[Net])/SUMIF(Bets35[Date],L44,Bets35[Risk]),2)*100&amp;"%)","")</f>
        <v/>
      </c>
      <c r="Q44" s="72" t="str">
        <f t="shared" si="2"/>
        <v/>
      </c>
      <c r="R44" s="73" t="str">
        <f>IFERROR(SUMIF(Bets35[Date],"&lt;="&amp;L44,Bets35[Net])/SUMIF(Bets35[Date],"&lt;="&amp;L44,Bets35[Risk]),"")</f>
        <v/>
      </c>
    </row>
    <row r="45" spans="1:18" x14ac:dyDescent="0.25">
      <c r="A45" s="13">
        <f t="shared" si="0"/>
        <v>3</v>
      </c>
      <c r="B45" s="17">
        <v>43580</v>
      </c>
      <c r="C45" s="17" t="s">
        <v>802</v>
      </c>
      <c r="D45" s="18" t="s">
        <v>887</v>
      </c>
      <c r="E45" s="11" t="s">
        <v>888</v>
      </c>
      <c r="F45" s="19">
        <f>IF(Bets35[[#This Row],[Odds]]&lt;0,Bets35[[#This Row],[Odds]]/-10,10)</f>
        <v>10</v>
      </c>
      <c r="G45" s="37" t="s">
        <v>889</v>
      </c>
      <c r="H45" s="21" t="s">
        <v>262</v>
      </c>
      <c r="I45" s="45">
        <f>IF(Bets35[[#This Row],[Result]]="L",0-Bets35[[#This Row],[Risk]],IF(Bets35[[#This Row],[Result]]="Push",0,IF(Bets35[[#This Row],[Result]]="No Action",0,IF(Bets35[[#This Row],[Result]]="W",IF(Bets35[[#This Row],[Odds]]&gt;0,Bets35[[#This Row],[Odds]]/100*Bets35[[#This Row],[Risk]],(Bets35[[#This Row],[Risk]]/Bets35[[#This Row],[Odds]]*-100)),""))))</f>
        <v>20</v>
      </c>
      <c r="J45" s="23" t="str">
        <f>IF(ISNUMBER(SEARCH(CHAR(10),Bets35[[#This Row],[Bet]])),"P",IF(ISNUMBER(FIND("Under",Bets35[[#This Row],[Bet]])),"U",IF(ISNUMBER(SEARCH("Over",Bets35[[#This Row],[Bet]])),"O",IF(ISNUMBER(SEARCH("+",Bets35[[#This Row],[Bet]])),"D",IF(ISNUMBER(SEARCH("-",Bets35[[#This Row],[Bet]])),"F",IF(ISNUMBER(SEARCH("Moneyline",Bets35[[#This Row],[Bet]])),IF(Bets35[[#This Row],[Odds]]&lt;0,"MF","MD"),""))))))</f>
        <v>MD</v>
      </c>
      <c r="K45" s="22"/>
      <c r="L45" s="24">
        <f t="shared" si="3"/>
        <v>0</v>
      </c>
      <c r="M45" s="1" t="str">
        <f>COUNTIFS(Bets35[Date],L45,Bets35[Result],"W")&amp;"-"&amp;COUNTIFS(Bets35[Date],L45,Bets35[Result],"L")&amp;IF(COUNTIFS(Bets35[Date],L45,Bets35[Result],"Push")&gt;0,"-"&amp;COUNTIFS(Bets35[Date],L45,Bets35[Result],"Push"),"")</f>
        <v>0-0</v>
      </c>
      <c r="N45" s="25" t="str">
        <f>IFERROR(COUNTIFS(Bets35[Date],L45,Bets35[Result],"W")/(COUNTIFS(Bets35[Date],L45,Bets35[Result],"W")+COUNTIFS(Bets35[Date],L45,Bets35[Result],"L")),"")</f>
        <v/>
      </c>
      <c r="O45" s="26">
        <f>SUMIF(Bets35[Date],L45,Bets35[Net])</f>
        <v>0</v>
      </c>
      <c r="P45" s="27" t="str">
        <f>IFERROR("("&amp;ROUND(SUMIF(Bets35[Date],L45,Bets35[Net])/SUMIF(Bets35[Date],L45,Bets35[Risk]),2)*100&amp;"%)","")</f>
        <v/>
      </c>
      <c r="Q45" s="72" t="str">
        <f t="shared" si="2"/>
        <v/>
      </c>
      <c r="R45" s="73" t="str">
        <f>IFERROR(SUMIF(Bets35[Date],"&lt;="&amp;L45,Bets35[Net])/SUMIF(Bets35[Date],"&lt;="&amp;L45,Bets35[Risk]),"")</f>
        <v/>
      </c>
    </row>
    <row r="46" spans="1:18" x14ac:dyDescent="0.25">
      <c r="A46" s="13">
        <f t="shared" si="0"/>
        <v>3</v>
      </c>
      <c r="B46" s="17">
        <v>43580</v>
      </c>
      <c r="C46" s="17" t="s">
        <v>802</v>
      </c>
      <c r="D46" s="18" t="s">
        <v>811</v>
      </c>
      <c r="E46" s="11" t="s">
        <v>812</v>
      </c>
      <c r="F46" s="19">
        <f>IF(Bets35[[#This Row],[Odds]]&lt;0,Bets35[[#This Row],[Odds]]/-10,10)</f>
        <v>10</v>
      </c>
      <c r="G46" s="37" t="s">
        <v>890</v>
      </c>
      <c r="H46" s="21" t="s">
        <v>263</v>
      </c>
      <c r="I46" s="45">
        <f>IF(Bets35[[#This Row],[Result]]="L",0-Bets35[[#This Row],[Risk]],IF(Bets35[[#This Row],[Result]]="Push",0,IF(Bets35[[#This Row],[Result]]="No Action",0,IF(Bets35[[#This Row],[Result]]="W",IF(Bets35[[#This Row],[Odds]]&gt;0,Bets35[[#This Row],[Odds]]/100*Bets35[[#This Row],[Risk]],(Bets35[[#This Row],[Risk]]/Bets35[[#This Row],[Odds]]*-100)),""))))</f>
        <v>-10</v>
      </c>
      <c r="J46" s="23" t="str">
        <f>IF(ISNUMBER(SEARCH(CHAR(10),Bets35[[#This Row],[Bet]])),"P",IF(ISNUMBER(FIND("Under",Bets35[[#This Row],[Bet]])),"U",IF(ISNUMBER(SEARCH("Over",Bets35[[#This Row],[Bet]])),"O",IF(ISNUMBER(SEARCH("+",Bets35[[#This Row],[Bet]])),"D",IF(ISNUMBER(SEARCH("-",Bets35[[#This Row],[Bet]])),"F",IF(ISNUMBER(SEARCH("Moneyline",Bets35[[#This Row],[Bet]])),IF(Bets35[[#This Row],[Odds]]&lt;0,"MF","MD"),""))))))</f>
        <v>MD</v>
      </c>
      <c r="K46" s="22"/>
      <c r="L46" s="24">
        <f t="shared" si="3"/>
        <v>0</v>
      </c>
      <c r="M46" s="1" t="str">
        <f>COUNTIFS(Bets35[Date],L46,Bets35[Result],"W")&amp;"-"&amp;COUNTIFS(Bets35[Date],L46,Bets35[Result],"L")&amp;IF(COUNTIFS(Bets35[Date],L46,Bets35[Result],"Push")&gt;0,"-"&amp;COUNTIFS(Bets35[Date],L46,Bets35[Result],"Push"),"")</f>
        <v>0-0</v>
      </c>
      <c r="N46" s="25" t="str">
        <f>IFERROR(COUNTIFS(Bets35[Date],L46,Bets35[Result],"W")/(COUNTIFS(Bets35[Date],L46,Bets35[Result],"W")+COUNTIFS(Bets35[Date],L46,Bets35[Result],"L")),"")</f>
        <v/>
      </c>
      <c r="O46" s="26">
        <f>SUMIF(Bets35[Date],L46,Bets35[Net])</f>
        <v>0</v>
      </c>
      <c r="P46" s="27" t="str">
        <f>IFERROR("("&amp;ROUND(SUMIF(Bets35[Date],L46,Bets35[Net])/SUMIF(Bets35[Date],L46,Bets35[Risk]),2)*100&amp;"%)","")</f>
        <v/>
      </c>
      <c r="Q46" s="72" t="str">
        <f t="shared" si="2"/>
        <v/>
      </c>
      <c r="R46" s="73" t="str">
        <f>IFERROR(SUMIF(Bets35[Date],"&lt;="&amp;L46,Bets35[Net])/SUMIF(Bets35[Date],"&lt;="&amp;L46,Bets35[Risk]),"")</f>
        <v/>
      </c>
    </row>
    <row r="47" spans="1:18" x14ac:dyDescent="0.25">
      <c r="A47" s="13">
        <f t="shared" si="0"/>
        <v>3</v>
      </c>
      <c r="B47" s="17">
        <v>43580</v>
      </c>
      <c r="C47" s="17" t="s">
        <v>802</v>
      </c>
      <c r="D47" s="18" t="s">
        <v>891</v>
      </c>
      <c r="E47" s="11" t="s">
        <v>845</v>
      </c>
      <c r="F47" s="19">
        <f>IF(Bets35[[#This Row],[Odds]]&lt;0,Bets35[[#This Row],[Odds]]/-10,10)</f>
        <v>11</v>
      </c>
      <c r="G47" s="37">
        <v>-110</v>
      </c>
      <c r="H47" s="21" t="s">
        <v>262</v>
      </c>
      <c r="I47" s="45">
        <f>IF(Bets35[[#This Row],[Result]]="L",0-Bets35[[#This Row],[Risk]],IF(Bets35[[#This Row],[Result]]="Push",0,IF(Bets35[[#This Row],[Result]]="No Action",0,IF(Bets35[[#This Row],[Result]]="W",IF(Bets35[[#This Row],[Odds]]&gt;0,Bets35[[#This Row],[Odds]]/100*Bets35[[#This Row],[Risk]],(Bets35[[#This Row],[Risk]]/Bets35[[#This Row],[Odds]]*-100)),""))))</f>
        <v>10</v>
      </c>
      <c r="J47" s="23" t="str">
        <f>IF(ISNUMBER(SEARCH(CHAR(10),Bets35[[#This Row],[Bet]])),"P",IF(ISNUMBER(FIND("Under",Bets35[[#This Row],[Bet]])),"U",IF(ISNUMBER(SEARCH("Over",Bets35[[#This Row],[Bet]])),"O",IF(ISNUMBER(SEARCH("+",Bets35[[#This Row],[Bet]])),"D",IF(ISNUMBER(SEARCH("-",Bets35[[#This Row],[Bet]])),"F",IF(ISNUMBER(SEARCH("Moneyline",Bets35[[#This Row],[Bet]])),IF(Bets35[[#This Row],[Odds]]&lt;0,"MF","MD"),""))))))</f>
        <v>O</v>
      </c>
      <c r="K47" s="22"/>
      <c r="L47" s="24">
        <f t="shared" si="3"/>
        <v>0</v>
      </c>
      <c r="M47" s="1" t="str">
        <f>COUNTIFS(Bets35[Date],L47,Bets35[Result],"W")&amp;"-"&amp;COUNTIFS(Bets35[Date],L47,Bets35[Result],"L")&amp;IF(COUNTIFS(Bets35[Date],L47,Bets35[Result],"Push")&gt;0,"-"&amp;COUNTIFS(Bets35[Date],L47,Bets35[Result],"Push"),"")</f>
        <v>0-0</v>
      </c>
      <c r="N47" s="25" t="str">
        <f>IFERROR(COUNTIFS(Bets35[Date],L47,Bets35[Result],"W")/(COUNTIFS(Bets35[Date],L47,Bets35[Result],"W")+COUNTIFS(Bets35[Date],L47,Bets35[Result],"L")),"")</f>
        <v/>
      </c>
      <c r="O47" s="26">
        <f>SUMIF(Bets35[Date],L47,Bets35[Net])</f>
        <v>0</v>
      </c>
      <c r="P47" s="27" t="str">
        <f>IFERROR("("&amp;ROUND(SUMIF(Bets35[Date],L47,Bets35[Net])/SUMIF(Bets35[Date],L47,Bets35[Risk]),2)*100&amp;"%)","")</f>
        <v/>
      </c>
      <c r="Q47" s="72" t="str">
        <f t="shared" si="2"/>
        <v/>
      </c>
      <c r="R47" s="73" t="str">
        <f>IFERROR(SUMIF(Bets35[Date],"&lt;="&amp;L47,Bets35[Net])/SUMIF(Bets35[Date],"&lt;="&amp;L47,Bets35[Risk]),"")</f>
        <v/>
      </c>
    </row>
    <row r="48" spans="1:18" x14ac:dyDescent="0.25">
      <c r="A48" s="13">
        <f t="shared" si="0"/>
        <v>4</v>
      </c>
      <c r="B48" s="17">
        <v>43581</v>
      </c>
      <c r="C48" s="17" t="s">
        <v>802</v>
      </c>
      <c r="D48" s="18" t="s">
        <v>887</v>
      </c>
      <c r="E48" s="11" t="s">
        <v>822</v>
      </c>
      <c r="F48" s="19">
        <f>IF(Bets35[[#This Row],[Odds]]&lt;0,Bets35[[#This Row],[Odds]]/-10,10)</f>
        <v>17.2</v>
      </c>
      <c r="G48" s="37">
        <v>-172</v>
      </c>
      <c r="H48" s="21" t="s">
        <v>262</v>
      </c>
      <c r="I48" s="45">
        <f>IF(Bets35[[#This Row],[Result]]="L",0-Bets35[[#This Row],[Risk]],IF(Bets35[[#This Row],[Result]]="Push",0,IF(Bets35[[#This Row],[Result]]="No Action",0,IF(Bets35[[#This Row],[Result]]="W",IF(Bets35[[#This Row],[Odds]]&gt;0,Bets35[[#This Row],[Odds]]/100*Bets35[[#This Row],[Risk]],(Bets35[[#This Row],[Risk]]/Bets35[[#This Row],[Odds]]*-100)),""))))</f>
        <v>10</v>
      </c>
      <c r="J48" s="23" t="str">
        <f>IF(ISNUMBER(SEARCH(CHAR(10),Bets35[[#This Row],[Bet]])),"P",IF(ISNUMBER(FIND("Under",Bets35[[#This Row],[Bet]])),"U",IF(ISNUMBER(SEARCH("Over",Bets35[[#This Row],[Bet]])),"O",IF(ISNUMBER(SEARCH("+",Bets35[[#This Row],[Bet]])),"D",IF(ISNUMBER(SEARCH("-",Bets35[[#This Row],[Bet]])),"F",IF(ISNUMBER(SEARCH("Moneyline",Bets35[[#This Row],[Bet]])),IF(Bets35[[#This Row],[Odds]]&lt;0,"MF","MD"),""))))))</f>
        <v>MF</v>
      </c>
      <c r="K48" s="22"/>
      <c r="L48" s="24">
        <f t="shared" si="3"/>
        <v>0</v>
      </c>
      <c r="M48" s="1" t="str">
        <f>COUNTIFS(Bets35[Date],L48,Bets35[Result],"W")&amp;"-"&amp;COUNTIFS(Bets35[Date],L48,Bets35[Result],"L")&amp;IF(COUNTIFS(Bets35[Date],L48,Bets35[Result],"Push")&gt;0,"-"&amp;COUNTIFS(Bets35[Date],L48,Bets35[Result],"Push"),"")</f>
        <v>0-0</v>
      </c>
      <c r="N48" s="25" t="str">
        <f>IFERROR(COUNTIFS(Bets35[Date],L48,Bets35[Result],"W")/(COUNTIFS(Bets35[Date],L48,Bets35[Result],"W")+COUNTIFS(Bets35[Date],L48,Bets35[Result],"L")),"")</f>
        <v/>
      </c>
      <c r="O48" s="26">
        <f>SUMIF(Bets35[Date],L48,Bets35[Net])</f>
        <v>0</v>
      </c>
      <c r="P48" s="27" t="str">
        <f>IFERROR("("&amp;ROUND(SUMIF(Bets35[Date],L48,Bets35[Net])/SUMIF(Bets35[Date],L48,Bets35[Risk]),2)*100&amp;"%)","")</f>
        <v/>
      </c>
      <c r="Q48" s="72" t="str">
        <f t="shared" si="2"/>
        <v/>
      </c>
      <c r="R48" s="73" t="str">
        <f>IFERROR(SUMIF(Bets35[Date],"&lt;="&amp;L48,Bets35[Net])/SUMIF(Bets35[Date],"&lt;="&amp;L48,Bets35[Risk]),"")</f>
        <v/>
      </c>
    </row>
    <row r="49" spans="1:18" x14ac:dyDescent="0.25">
      <c r="A49" s="13">
        <f t="shared" si="0"/>
        <v>4</v>
      </c>
      <c r="B49" s="17">
        <v>43581</v>
      </c>
      <c r="C49" s="17" t="s">
        <v>802</v>
      </c>
      <c r="D49" s="18" t="s">
        <v>895</v>
      </c>
      <c r="E49" s="11" t="s">
        <v>815</v>
      </c>
      <c r="F49" s="19">
        <f>IF(Bets35[[#This Row],[Odds]]&lt;0,Bets35[[#This Row],[Odds]]/-10,10)</f>
        <v>17.2</v>
      </c>
      <c r="G49" s="37">
        <v>-172</v>
      </c>
      <c r="H49" s="21" t="s">
        <v>263</v>
      </c>
      <c r="I49" s="45">
        <f>IF(Bets35[[#This Row],[Result]]="L",0-Bets35[[#This Row],[Risk]],IF(Bets35[[#This Row],[Result]]="Push",0,IF(Bets35[[#This Row],[Result]]="No Action",0,IF(Bets35[[#This Row],[Result]]="W",IF(Bets35[[#This Row],[Odds]]&gt;0,Bets35[[#This Row],[Odds]]/100*Bets35[[#This Row],[Risk]],(Bets35[[#This Row],[Risk]]/Bets35[[#This Row],[Odds]]*-100)),""))))</f>
        <v>-17.2</v>
      </c>
      <c r="J49" s="23" t="str">
        <f>IF(ISNUMBER(SEARCH(CHAR(10),Bets35[[#This Row],[Bet]])),"P",IF(ISNUMBER(FIND("Under",Bets35[[#This Row],[Bet]])),"U",IF(ISNUMBER(SEARCH("Over",Bets35[[#This Row],[Bet]])),"O",IF(ISNUMBER(SEARCH("+",Bets35[[#This Row],[Bet]])),"D",IF(ISNUMBER(SEARCH("-",Bets35[[#This Row],[Bet]])),"F",IF(ISNUMBER(SEARCH("Moneyline",Bets35[[#This Row],[Bet]])),IF(Bets35[[#This Row],[Odds]]&lt;0,"MF","MD"),""))))))</f>
        <v>MF</v>
      </c>
      <c r="K49" s="22"/>
      <c r="L49" s="24">
        <f t="shared" si="3"/>
        <v>0</v>
      </c>
      <c r="M49" s="1" t="str">
        <f>COUNTIFS(Bets35[Date],L49,Bets35[Result],"W")&amp;"-"&amp;COUNTIFS(Bets35[Date],L49,Bets35[Result],"L")&amp;IF(COUNTIFS(Bets35[Date],L49,Bets35[Result],"Push")&gt;0,"-"&amp;COUNTIFS(Bets35[Date],L49,Bets35[Result],"Push"),"")</f>
        <v>0-0</v>
      </c>
      <c r="N49" s="25" t="str">
        <f>IFERROR(COUNTIFS(Bets35[Date],L49,Bets35[Result],"W")/(COUNTIFS(Bets35[Date],L49,Bets35[Result],"W")+COUNTIFS(Bets35[Date],L49,Bets35[Result],"L")),"")</f>
        <v/>
      </c>
      <c r="O49" s="26">
        <f>SUMIF(Bets35[Date],L49,Bets35[Net])</f>
        <v>0</v>
      </c>
      <c r="P49" s="27" t="str">
        <f>IFERROR("("&amp;ROUND(SUMIF(Bets35[Date],L49,Bets35[Net])/SUMIF(Bets35[Date],L49,Bets35[Risk]),2)*100&amp;"%)","")</f>
        <v/>
      </c>
      <c r="Q49" s="72" t="str">
        <f t="shared" si="2"/>
        <v/>
      </c>
      <c r="R49" s="73" t="str">
        <f>IFERROR(SUMIF(Bets35[Date],"&lt;="&amp;L49,Bets35[Net])/SUMIF(Bets35[Date],"&lt;="&amp;L49,Bets35[Risk]),"")</f>
        <v/>
      </c>
    </row>
    <row r="50" spans="1:18" x14ac:dyDescent="0.25">
      <c r="A50" s="13">
        <f t="shared" si="0"/>
        <v>4</v>
      </c>
      <c r="B50" s="17">
        <v>43581</v>
      </c>
      <c r="C50" s="17" t="s">
        <v>802</v>
      </c>
      <c r="D50" s="18" t="s">
        <v>896</v>
      </c>
      <c r="E50" s="11" t="s">
        <v>897</v>
      </c>
      <c r="F50" s="19">
        <f>IF(Bets35[[#This Row],[Odds]]&lt;0,Bets35[[#This Row],[Odds]]/-10,10)</f>
        <v>12.4</v>
      </c>
      <c r="G50" s="37">
        <v>-124</v>
      </c>
      <c r="H50" s="21" t="s">
        <v>263</v>
      </c>
      <c r="I50" s="45">
        <f>IF(Bets35[[#This Row],[Result]]="L",0-Bets35[[#This Row],[Risk]],IF(Bets35[[#This Row],[Result]]="Push",0,IF(Bets35[[#This Row],[Result]]="No Action",0,IF(Bets35[[#This Row],[Result]]="W",IF(Bets35[[#This Row],[Odds]]&gt;0,Bets35[[#This Row],[Odds]]/100*Bets35[[#This Row],[Risk]],(Bets35[[#This Row],[Risk]]/Bets35[[#This Row],[Odds]]*-100)),""))))</f>
        <v>-12.4</v>
      </c>
      <c r="J50" s="23" t="str">
        <f>IF(ISNUMBER(SEARCH(CHAR(10),Bets35[[#This Row],[Bet]])),"P",IF(ISNUMBER(FIND("Under",Bets35[[#This Row],[Bet]])),"U",IF(ISNUMBER(SEARCH("Over",Bets35[[#This Row],[Bet]])),"O",IF(ISNUMBER(SEARCH("+",Bets35[[#This Row],[Bet]])),"D",IF(ISNUMBER(SEARCH("-",Bets35[[#This Row],[Bet]])),"F",IF(ISNUMBER(SEARCH("Moneyline",Bets35[[#This Row],[Bet]])),IF(Bets35[[#This Row],[Odds]]&lt;0,"MF","MD"),""))))))</f>
        <v>MF</v>
      </c>
      <c r="K50" s="22"/>
      <c r="L50" s="24">
        <f t="shared" si="3"/>
        <v>0</v>
      </c>
      <c r="M50" s="1" t="str">
        <f>COUNTIFS(Bets35[Date],L50,Bets35[Result],"W")&amp;"-"&amp;COUNTIFS(Bets35[Date],L50,Bets35[Result],"L")&amp;IF(COUNTIFS(Bets35[Date],L50,Bets35[Result],"Push")&gt;0,"-"&amp;COUNTIFS(Bets35[Date],L50,Bets35[Result],"Push"),"")</f>
        <v>0-0</v>
      </c>
      <c r="N50" s="25" t="str">
        <f>IFERROR(COUNTIFS(Bets35[Date],L50,Bets35[Result],"W")/(COUNTIFS(Bets35[Date],L50,Bets35[Result],"W")+COUNTIFS(Bets35[Date],L50,Bets35[Result],"L")),"")</f>
        <v/>
      </c>
      <c r="O50" s="26">
        <f>SUMIF(Bets35[Date],L50,Bets35[Net])</f>
        <v>0</v>
      </c>
      <c r="P50" s="27" t="str">
        <f>IFERROR("("&amp;ROUND(SUMIF(Bets35[Date],L50,Bets35[Net])/SUMIF(Bets35[Date],L50,Bets35[Risk]),2)*100&amp;"%)","")</f>
        <v/>
      </c>
      <c r="Q50" s="72" t="str">
        <f t="shared" si="2"/>
        <v/>
      </c>
      <c r="R50" s="73" t="str">
        <f>IFERROR(SUMIF(Bets35[Date],"&lt;="&amp;L50,Bets35[Net])/SUMIF(Bets35[Date],"&lt;="&amp;L50,Bets35[Risk]),"")</f>
        <v/>
      </c>
    </row>
    <row r="51" spans="1:18" x14ac:dyDescent="0.25">
      <c r="A51" s="13">
        <f t="shared" si="0"/>
        <v>4</v>
      </c>
      <c r="B51" s="17">
        <v>43581</v>
      </c>
      <c r="C51" s="17" t="s">
        <v>802</v>
      </c>
      <c r="D51" s="18" t="s">
        <v>898</v>
      </c>
      <c r="E51" s="11" t="s">
        <v>899</v>
      </c>
      <c r="F51" s="19">
        <f>IF(Bets35[[#This Row],[Odds]]&lt;0,Bets35[[#This Row],[Odds]]/-10,10)</f>
        <v>15.2</v>
      </c>
      <c r="G51" s="37">
        <v>-152</v>
      </c>
      <c r="H51" s="21" t="s">
        <v>263</v>
      </c>
      <c r="I51" s="45">
        <f>IF(Bets35[[#This Row],[Result]]="L",0-Bets35[[#This Row],[Risk]],IF(Bets35[[#This Row],[Result]]="Push",0,IF(Bets35[[#This Row],[Result]]="No Action",0,IF(Bets35[[#This Row],[Result]]="W",IF(Bets35[[#This Row],[Odds]]&gt;0,Bets35[[#This Row],[Odds]]/100*Bets35[[#This Row],[Risk]],(Bets35[[#This Row],[Risk]]/Bets35[[#This Row],[Odds]]*-100)),""))))</f>
        <v>-15.2</v>
      </c>
      <c r="J51" s="23" t="str">
        <f>IF(ISNUMBER(SEARCH(CHAR(10),Bets35[[#This Row],[Bet]])),"P",IF(ISNUMBER(FIND("Under",Bets35[[#This Row],[Bet]])),"U",IF(ISNUMBER(SEARCH("Over",Bets35[[#This Row],[Bet]])),"O",IF(ISNUMBER(SEARCH("+",Bets35[[#This Row],[Bet]])),"D",IF(ISNUMBER(SEARCH("-",Bets35[[#This Row],[Bet]])),"F",IF(ISNUMBER(SEARCH("Moneyline",Bets35[[#This Row],[Bet]])),IF(Bets35[[#This Row],[Odds]]&lt;0,"MF","MD"),""))))))</f>
        <v>MF</v>
      </c>
      <c r="K51" s="22"/>
      <c r="L51" s="24">
        <f t="shared" si="3"/>
        <v>0</v>
      </c>
      <c r="M51" s="1" t="str">
        <f>COUNTIFS(Bets35[Date],L51,Bets35[Result],"W")&amp;"-"&amp;COUNTIFS(Bets35[Date],L51,Bets35[Result],"L")&amp;IF(COUNTIFS(Bets35[Date],L51,Bets35[Result],"Push")&gt;0,"-"&amp;COUNTIFS(Bets35[Date],L51,Bets35[Result],"Push"),"")</f>
        <v>0-0</v>
      </c>
      <c r="N51" s="25" t="str">
        <f>IFERROR(COUNTIFS(Bets35[Date],L51,Bets35[Result],"W")/(COUNTIFS(Bets35[Date],L51,Bets35[Result],"W")+COUNTIFS(Bets35[Date],L51,Bets35[Result],"L")),"")</f>
        <v/>
      </c>
      <c r="O51" s="26">
        <f>SUMIF(Bets35[Date],L51,Bets35[Net])</f>
        <v>0</v>
      </c>
      <c r="P51" s="27" t="str">
        <f>IFERROR("("&amp;ROUND(SUMIF(Bets35[Date],L51,Bets35[Net])/SUMIF(Bets35[Date],L51,Bets35[Risk]),2)*100&amp;"%)","")</f>
        <v/>
      </c>
      <c r="Q51" s="72" t="str">
        <f t="shared" si="2"/>
        <v/>
      </c>
      <c r="R51" s="73" t="str">
        <f>IFERROR(SUMIF(Bets35[Date],"&lt;="&amp;L51,Bets35[Net])/SUMIF(Bets35[Date],"&lt;="&amp;L51,Bets35[Risk]),"")</f>
        <v/>
      </c>
    </row>
    <row r="52" spans="1:18" x14ac:dyDescent="0.25">
      <c r="A52" s="13">
        <f t="shared" si="0"/>
        <v>4</v>
      </c>
      <c r="B52" s="17">
        <v>43581</v>
      </c>
      <c r="C52" s="17" t="s">
        <v>802</v>
      </c>
      <c r="D52" s="18" t="s">
        <v>891</v>
      </c>
      <c r="E52" s="11" t="s">
        <v>836</v>
      </c>
      <c r="F52" s="19">
        <f>IF(Bets35[[#This Row],[Odds]]&lt;0,Bets35[[#This Row],[Odds]]/-10,10)</f>
        <v>15.7</v>
      </c>
      <c r="G52" s="37">
        <v>-157</v>
      </c>
      <c r="H52" s="21" t="s">
        <v>262</v>
      </c>
      <c r="I52" s="45">
        <f>IF(Bets35[[#This Row],[Result]]="L",0-Bets35[[#This Row],[Risk]],IF(Bets35[[#This Row],[Result]]="Push",0,IF(Bets35[[#This Row],[Result]]="No Action",0,IF(Bets35[[#This Row],[Result]]="W",IF(Bets35[[#This Row],[Odds]]&gt;0,Bets35[[#This Row],[Odds]]/100*Bets35[[#This Row],[Risk]],(Bets35[[#This Row],[Risk]]/Bets35[[#This Row],[Odds]]*-100)),""))))</f>
        <v>10</v>
      </c>
      <c r="J52" s="23" t="str">
        <f>IF(ISNUMBER(SEARCH(CHAR(10),Bets35[[#This Row],[Bet]])),"P",IF(ISNUMBER(FIND("Under",Bets35[[#This Row],[Bet]])),"U",IF(ISNUMBER(SEARCH("Over",Bets35[[#This Row],[Bet]])),"O",IF(ISNUMBER(SEARCH("+",Bets35[[#This Row],[Bet]])),"D",IF(ISNUMBER(SEARCH("-",Bets35[[#This Row],[Bet]])),"F",IF(ISNUMBER(SEARCH("Moneyline",Bets35[[#This Row],[Bet]])),IF(Bets35[[#This Row],[Odds]]&lt;0,"MF","MD"),""))))))</f>
        <v>MF</v>
      </c>
      <c r="K52" s="22"/>
      <c r="L52" s="24">
        <f t="shared" si="3"/>
        <v>0</v>
      </c>
      <c r="M52" s="1" t="str">
        <f>COUNTIFS(Bets35[Date],L52,Bets35[Result],"W")&amp;"-"&amp;COUNTIFS(Bets35[Date],L52,Bets35[Result],"L")&amp;IF(COUNTIFS(Bets35[Date],L52,Bets35[Result],"Push")&gt;0,"-"&amp;COUNTIFS(Bets35[Date],L52,Bets35[Result],"Push"),"")</f>
        <v>0-0</v>
      </c>
      <c r="N52" s="25" t="str">
        <f>IFERROR(COUNTIFS(Bets35[Date],L52,Bets35[Result],"W")/(COUNTIFS(Bets35[Date],L52,Bets35[Result],"W")+COUNTIFS(Bets35[Date],L52,Bets35[Result],"L")),"")</f>
        <v/>
      </c>
      <c r="O52" s="26">
        <f>SUMIF(Bets35[Date],L52,Bets35[Net])</f>
        <v>0</v>
      </c>
      <c r="P52" s="27" t="str">
        <f>IFERROR("("&amp;ROUND(SUMIF(Bets35[Date],L52,Bets35[Net])/SUMIF(Bets35[Date],L52,Bets35[Risk]),2)*100&amp;"%)","")</f>
        <v/>
      </c>
      <c r="Q52" s="72" t="str">
        <f t="shared" si="2"/>
        <v/>
      </c>
      <c r="R52" s="73" t="str">
        <f>IFERROR(SUMIF(Bets35[Date],"&lt;="&amp;L52,Bets35[Net])/SUMIF(Bets35[Date],"&lt;="&amp;L52,Bets35[Risk]),"")</f>
        <v/>
      </c>
    </row>
    <row r="53" spans="1:18" x14ac:dyDescent="0.25">
      <c r="A53" s="13">
        <f t="shared" si="0"/>
        <v>4</v>
      </c>
      <c r="B53" s="17">
        <v>43581</v>
      </c>
      <c r="C53" s="17" t="s">
        <v>802</v>
      </c>
      <c r="D53" s="18" t="s">
        <v>900</v>
      </c>
      <c r="E53" s="11" t="s">
        <v>832</v>
      </c>
      <c r="F53" s="19">
        <f>IF(Bets35[[#This Row],[Odds]]&lt;0,Bets35[[#This Row],[Odds]]/-10,10)</f>
        <v>13</v>
      </c>
      <c r="G53" s="37">
        <v>-130</v>
      </c>
      <c r="H53" s="21" t="s">
        <v>262</v>
      </c>
      <c r="I53" s="45">
        <f>IF(Bets35[[#This Row],[Result]]="L",0-Bets35[[#This Row],[Risk]],IF(Bets35[[#This Row],[Result]]="Push",0,IF(Bets35[[#This Row],[Result]]="No Action",0,IF(Bets35[[#This Row],[Result]]="W",IF(Bets35[[#This Row],[Odds]]&gt;0,Bets35[[#This Row],[Odds]]/100*Bets35[[#This Row],[Risk]],(Bets35[[#This Row],[Risk]]/Bets35[[#This Row],[Odds]]*-100)),""))))</f>
        <v>10</v>
      </c>
      <c r="J53" s="23" t="str">
        <f>IF(ISNUMBER(SEARCH(CHAR(10),Bets35[[#This Row],[Bet]])),"P",IF(ISNUMBER(FIND("Under",Bets35[[#This Row],[Bet]])),"U",IF(ISNUMBER(SEARCH("Over",Bets35[[#This Row],[Bet]])),"O",IF(ISNUMBER(SEARCH("+",Bets35[[#This Row],[Bet]])),"D",IF(ISNUMBER(SEARCH("-",Bets35[[#This Row],[Bet]])),"F",IF(ISNUMBER(SEARCH("Moneyline",Bets35[[#This Row],[Bet]])),IF(Bets35[[#This Row],[Odds]]&lt;0,"MF","MD"),""))))))</f>
        <v>MF</v>
      </c>
      <c r="K53" s="22"/>
      <c r="L53" s="24">
        <f t="shared" si="3"/>
        <v>0</v>
      </c>
      <c r="M53" s="1" t="str">
        <f>COUNTIFS(Bets35[Date],L53,Bets35[Result],"W")&amp;"-"&amp;COUNTIFS(Bets35[Date],L53,Bets35[Result],"L")&amp;IF(COUNTIFS(Bets35[Date],L53,Bets35[Result],"Push")&gt;0,"-"&amp;COUNTIFS(Bets35[Date],L53,Bets35[Result],"Push"),"")</f>
        <v>0-0</v>
      </c>
      <c r="N53" s="25" t="str">
        <f>IFERROR(COUNTIFS(Bets35[Date],L53,Bets35[Result],"W")/(COUNTIFS(Bets35[Date],L53,Bets35[Result],"W")+COUNTIFS(Bets35[Date],L53,Bets35[Result],"L")),"")</f>
        <v/>
      </c>
      <c r="O53" s="26">
        <f>SUMIF(Bets35[Date],L53,Bets35[Net])</f>
        <v>0</v>
      </c>
      <c r="P53" s="27" t="str">
        <f>IFERROR("("&amp;ROUND(SUMIF(Bets35[Date],L53,Bets35[Net])/SUMIF(Bets35[Date],L53,Bets35[Risk]),2)*100&amp;"%)","")</f>
        <v/>
      </c>
      <c r="Q53" s="72" t="str">
        <f t="shared" si="2"/>
        <v/>
      </c>
      <c r="R53" s="73" t="str">
        <f>IFERROR(SUMIF(Bets35[Date],"&lt;="&amp;L53,Bets35[Net])/SUMIF(Bets35[Date],"&lt;="&amp;L53,Bets35[Risk]),"")</f>
        <v/>
      </c>
    </row>
    <row r="54" spans="1:18" x14ac:dyDescent="0.25">
      <c r="A54" s="13">
        <f t="shared" si="0"/>
        <v>4</v>
      </c>
      <c r="B54" s="17">
        <v>43581</v>
      </c>
      <c r="C54" s="17" t="s">
        <v>802</v>
      </c>
      <c r="D54" s="18" t="s">
        <v>901</v>
      </c>
      <c r="E54" s="11" t="s">
        <v>902</v>
      </c>
      <c r="F54" s="19">
        <f>IF(Bets35[[#This Row],[Odds]]&lt;0,Bets35[[#This Row],[Odds]]/-10,10)</f>
        <v>11.5</v>
      </c>
      <c r="G54" s="37">
        <v>-115</v>
      </c>
      <c r="H54" s="21" t="s">
        <v>846</v>
      </c>
      <c r="I54" s="45">
        <f>IF(Bets35[[#This Row],[Result]]="L",0-Bets35[[#This Row],[Risk]],IF(Bets35[[#This Row],[Result]]="Push",0,IF(Bets35[[#This Row],[Result]]="No Action",0,IF(Bets35[[#This Row],[Result]]="W",IF(Bets35[[#This Row],[Odds]]&gt;0,Bets35[[#This Row],[Odds]]/100*Bets35[[#This Row],[Risk]],(Bets35[[#This Row],[Risk]]/Bets35[[#This Row],[Odds]]*-100)),""))))</f>
        <v>0</v>
      </c>
      <c r="J54" s="23" t="str">
        <f>IF(ISNUMBER(SEARCH(CHAR(10),Bets35[[#This Row],[Bet]])),"P",IF(ISNUMBER(FIND("Under",Bets35[[#This Row],[Bet]])),"U",IF(ISNUMBER(SEARCH("Over",Bets35[[#This Row],[Bet]])),"O",IF(ISNUMBER(SEARCH("+",Bets35[[#This Row],[Bet]])),"D",IF(ISNUMBER(SEARCH("-",Bets35[[#This Row],[Bet]])),"F",IF(ISNUMBER(SEARCH("Moneyline",Bets35[[#This Row],[Bet]])),IF(Bets35[[#This Row],[Odds]]&lt;0,"MF","MD"),""))))))</f>
        <v>O</v>
      </c>
      <c r="K54" s="22"/>
      <c r="L54" s="24">
        <f t="shared" si="3"/>
        <v>0</v>
      </c>
      <c r="M54" s="1" t="str">
        <f>COUNTIFS(Bets35[Date],L54,Bets35[Result],"W")&amp;"-"&amp;COUNTIFS(Bets35[Date],L54,Bets35[Result],"L")&amp;IF(COUNTIFS(Bets35[Date],L54,Bets35[Result],"Push")&gt;0,"-"&amp;COUNTIFS(Bets35[Date],L54,Bets35[Result],"Push"),"")</f>
        <v>0-0</v>
      </c>
      <c r="N54" s="25" t="str">
        <f>IFERROR(COUNTIFS(Bets35[Date],L54,Bets35[Result],"W")/(COUNTIFS(Bets35[Date],L54,Bets35[Result],"W")+COUNTIFS(Bets35[Date],L54,Bets35[Result],"L")),"")</f>
        <v/>
      </c>
      <c r="O54" s="26">
        <f>SUMIF(Bets35[Date],L54,Bets35[Net])</f>
        <v>0</v>
      </c>
      <c r="P54" s="27" t="str">
        <f>IFERROR("("&amp;ROUND(SUMIF(Bets35[Date],L54,Bets35[Net])/SUMIF(Bets35[Date],L54,Bets35[Risk]),2)*100&amp;"%)","")</f>
        <v/>
      </c>
      <c r="Q54" s="72" t="str">
        <f t="shared" si="2"/>
        <v/>
      </c>
      <c r="R54" s="73" t="str">
        <f>IFERROR(SUMIF(Bets35[Date],"&lt;="&amp;L54,Bets35[Net])/SUMIF(Bets35[Date],"&lt;="&amp;L54,Bets35[Risk]),"")</f>
        <v/>
      </c>
    </row>
    <row r="55" spans="1:18" x14ac:dyDescent="0.25">
      <c r="A55" s="13">
        <f t="shared" si="0"/>
        <v>4</v>
      </c>
      <c r="B55" s="17">
        <v>43581</v>
      </c>
      <c r="C55" s="17" t="s">
        <v>802</v>
      </c>
      <c r="D55" s="18" t="s">
        <v>903</v>
      </c>
      <c r="E55" s="11" t="s">
        <v>841</v>
      </c>
      <c r="F55" s="19">
        <f>IF(Bets35[[#This Row],[Odds]]&lt;0,Bets35[[#This Row],[Odds]]/-10,10)</f>
        <v>10</v>
      </c>
      <c r="G55" s="37">
        <v>105</v>
      </c>
      <c r="H55" s="21" t="s">
        <v>262</v>
      </c>
      <c r="I55" s="45">
        <f>IF(Bets35[[#This Row],[Result]]="L",0-Bets35[[#This Row],[Risk]],IF(Bets35[[#This Row],[Result]]="Push",0,IF(Bets35[[#This Row],[Result]]="No Action",0,IF(Bets35[[#This Row],[Result]]="W",IF(Bets35[[#This Row],[Odds]]&gt;0,Bets35[[#This Row],[Odds]]/100*Bets35[[#This Row],[Risk]],(Bets35[[#This Row],[Risk]]/Bets35[[#This Row],[Odds]]*-100)),""))))</f>
        <v>10.5</v>
      </c>
      <c r="J55" s="23" t="str">
        <f>IF(ISNUMBER(SEARCH(CHAR(10),Bets35[[#This Row],[Bet]])),"P",IF(ISNUMBER(FIND("Under",Bets35[[#This Row],[Bet]])),"U",IF(ISNUMBER(SEARCH("Over",Bets35[[#This Row],[Bet]])),"O",IF(ISNUMBER(SEARCH("+",Bets35[[#This Row],[Bet]])),"D",IF(ISNUMBER(SEARCH("-",Bets35[[#This Row],[Bet]])),"F",IF(ISNUMBER(SEARCH("Moneyline",Bets35[[#This Row],[Bet]])),IF(Bets35[[#This Row],[Odds]]&lt;0,"MF","MD"),""))))))</f>
        <v>O</v>
      </c>
      <c r="K55" s="22"/>
      <c r="L55" s="24">
        <f t="shared" si="3"/>
        <v>0</v>
      </c>
      <c r="M55" s="1" t="str">
        <f>COUNTIFS(Bets35[Date],L55,Bets35[Result],"W")&amp;"-"&amp;COUNTIFS(Bets35[Date],L55,Bets35[Result],"L")&amp;IF(COUNTIFS(Bets35[Date],L55,Bets35[Result],"Push")&gt;0,"-"&amp;COUNTIFS(Bets35[Date],L55,Bets35[Result],"Push"),"")</f>
        <v>0-0</v>
      </c>
      <c r="N55" s="25" t="str">
        <f>IFERROR(COUNTIFS(Bets35[Date],L55,Bets35[Result],"W")/(COUNTIFS(Bets35[Date],L55,Bets35[Result],"W")+COUNTIFS(Bets35[Date],L55,Bets35[Result],"L")),"")</f>
        <v/>
      </c>
      <c r="O55" s="26">
        <f>SUMIF(Bets35[Date],L55,Bets35[Net])</f>
        <v>0</v>
      </c>
      <c r="P55" s="27" t="str">
        <f>IFERROR("("&amp;ROUND(SUMIF(Bets35[Date],L55,Bets35[Net])/SUMIF(Bets35[Date],L55,Bets35[Risk]),2)*100&amp;"%)","")</f>
        <v/>
      </c>
      <c r="Q55" s="72" t="str">
        <f t="shared" si="2"/>
        <v/>
      </c>
      <c r="R55" s="73" t="str">
        <f>IFERROR(SUMIF(Bets35[Date],"&lt;="&amp;L55,Bets35[Net])/SUMIF(Bets35[Date],"&lt;="&amp;L55,Bets35[Risk]),"")</f>
        <v/>
      </c>
    </row>
    <row r="56" spans="1:18" x14ac:dyDescent="0.25">
      <c r="A56" s="13">
        <f t="shared" si="0"/>
        <v>4</v>
      </c>
      <c r="B56" s="17">
        <v>43581</v>
      </c>
      <c r="C56" s="17" t="s">
        <v>802</v>
      </c>
      <c r="D56" s="18" t="s">
        <v>904</v>
      </c>
      <c r="E56" s="11" t="s">
        <v>905</v>
      </c>
      <c r="F56" s="19">
        <f>IF(Bets35[[#This Row],[Odds]]&lt;0,Bets35[[#This Row],[Odds]]/-10,10)</f>
        <v>12.5</v>
      </c>
      <c r="G56" s="37">
        <v>-125</v>
      </c>
      <c r="H56" s="21" t="s">
        <v>263</v>
      </c>
      <c r="I56" s="45">
        <f>IF(Bets35[[#This Row],[Result]]="L",0-Bets35[[#This Row],[Risk]],IF(Bets35[[#This Row],[Result]]="Push",0,IF(Bets35[[#This Row],[Result]]="No Action",0,IF(Bets35[[#This Row],[Result]]="W",IF(Bets35[[#This Row],[Odds]]&gt;0,Bets35[[#This Row],[Odds]]/100*Bets35[[#This Row],[Risk]],(Bets35[[#This Row],[Risk]]/Bets35[[#This Row],[Odds]]*-100)),""))))</f>
        <v>-12.5</v>
      </c>
      <c r="J56" s="23" t="str">
        <f>IF(ISNUMBER(SEARCH(CHAR(10),Bets35[[#This Row],[Bet]])),"P",IF(ISNUMBER(FIND("Under",Bets35[[#This Row],[Bet]])),"U",IF(ISNUMBER(SEARCH("Over",Bets35[[#This Row],[Bet]])),"O",IF(ISNUMBER(SEARCH("+",Bets35[[#This Row],[Bet]])),"D",IF(ISNUMBER(SEARCH("-",Bets35[[#This Row],[Bet]])),"F",IF(ISNUMBER(SEARCH("Moneyline",Bets35[[#This Row],[Bet]])),IF(Bets35[[#This Row],[Odds]]&lt;0,"MF","MD"),""))))))</f>
        <v>O</v>
      </c>
      <c r="K56" s="22"/>
      <c r="L56" s="24">
        <f t="shared" si="3"/>
        <v>0</v>
      </c>
      <c r="M56" s="1" t="str">
        <f>COUNTIFS(Bets35[Date],L56,Bets35[Result],"W")&amp;"-"&amp;COUNTIFS(Bets35[Date],L56,Bets35[Result],"L")&amp;IF(COUNTIFS(Bets35[Date],L56,Bets35[Result],"Push")&gt;0,"-"&amp;COUNTIFS(Bets35[Date],L56,Bets35[Result],"Push"),"")</f>
        <v>0-0</v>
      </c>
      <c r="N56" s="25" t="str">
        <f>IFERROR(COUNTIFS(Bets35[Date],L56,Bets35[Result],"W")/(COUNTIFS(Bets35[Date],L56,Bets35[Result],"W")+COUNTIFS(Bets35[Date],L56,Bets35[Result],"L")),"")</f>
        <v/>
      </c>
      <c r="O56" s="26">
        <f>SUMIF(Bets35[Date],L56,Bets35[Net])</f>
        <v>0</v>
      </c>
      <c r="P56" s="27" t="str">
        <f>IFERROR("("&amp;ROUND(SUMIF(Bets35[Date],L56,Bets35[Net])/SUMIF(Bets35[Date],L56,Bets35[Risk]),2)*100&amp;"%)","")</f>
        <v/>
      </c>
      <c r="Q56" s="72" t="str">
        <f t="shared" si="2"/>
        <v/>
      </c>
      <c r="R56" s="73" t="str">
        <f>IFERROR(SUMIF(Bets35[Date],"&lt;="&amp;L56,Bets35[Net])/SUMIF(Bets35[Date],"&lt;="&amp;L56,Bets35[Risk]),"")</f>
        <v/>
      </c>
    </row>
    <row r="57" spans="1:18" x14ac:dyDescent="0.25">
      <c r="A57" s="13">
        <f t="shared" si="0"/>
        <v>4</v>
      </c>
      <c r="B57" s="17">
        <v>43581</v>
      </c>
      <c r="C57" s="17" t="s">
        <v>802</v>
      </c>
      <c r="D57" s="18" t="s">
        <v>891</v>
      </c>
      <c r="E57" s="11" t="s">
        <v>905</v>
      </c>
      <c r="F57" s="19">
        <f>IF(Bets35[[#This Row],[Odds]]&lt;0,Bets35[[#This Row],[Odds]]/-10,10)</f>
        <v>11.5</v>
      </c>
      <c r="G57" s="37">
        <v>-115</v>
      </c>
      <c r="H57" s="21" t="s">
        <v>846</v>
      </c>
      <c r="I57" s="45">
        <f>IF(Bets35[[#This Row],[Result]]="L",0-Bets35[[#This Row],[Risk]],IF(Bets35[[#This Row],[Result]]="Push",0,IF(Bets35[[#This Row],[Result]]="No Action",0,IF(Bets35[[#This Row],[Result]]="W",IF(Bets35[[#This Row],[Odds]]&gt;0,Bets35[[#This Row],[Odds]]/100*Bets35[[#This Row],[Risk]],(Bets35[[#This Row],[Risk]]/Bets35[[#This Row],[Odds]]*-100)),""))))</f>
        <v>0</v>
      </c>
      <c r="J57" s="23" t="str">
        <f>IF(ISNUMBER(SEARCH(CHAR(10),Bets35[[#This Row],[Bet]])),"P",IF(ISNUMBER(FIND("Under",Bets35[[#This Row],[Bet]])),"U",IF(ISNUMBER(SEARCH("Over",Bets35[[#This Row],[Bet]])),"O",IF(ISNUMBER(SEARCH("+",Bets35[[#This Row],[Bet]])),"D",IF(ISNUMBER(SEARCH("-",Bets35[[#This Row],[Bet]])),"F",IF(ISNUMBER(SEARCH("Moneyline",Bets35[[#This Row],[Bet]])),IF(Bets35[[#This Row],[Odds]]&lt;0,"MF","MD"),""))))))</f>
        <v>O</v>
      </c>
      <c r="K57" s="22"/>
      <c r="L57" s="24">
        <f t="shared" si="3"/>
        <v>0</v>
      </c>
      <c r="M57" s="1" t="str">
        <f>COUNTIFS(Bets35[Date],L57,Bets35[Result],"W")&amp;"-"&amp;COUNTIFS(Bets35[Date],L57,Bets35[Result],"L")&amp;IF(COUNTIFS(Bets35[Date],L57,Bets35[Result],"Push")&gt;0,"-"&amp;COUNTIFS(Bets35[Date],L57,Bets35[Result],"Push"),"")</f>
        <v>0-0</v>
      </c>
      <c r="N57" s="25" t="str">
        <f>IFERROR(COUNTIFS(Bets35[Date],L57,Bets35[Result],"W")/(COUNTIFS(Bets35[Date],L57,Bets35[Result],"W")+COUNTIFS(Bets35[Date],L57,Bets35[Result],"L")),"")</f>
        <v/>
      </c>
      <c r="O57" s="26">
        <f>SUMIF(Bets35[Date],L57,Bets35[Net])</f>
        <v>0</v>
      </c>
      <c r="P57" s="27" t="str">
        <f>IFERROR("("&amp;ROUND(SUMIF(Bets35[Date],L57,Bets35[Net])/SUMIF(Bets35[Date],L57,Bets35[Risk]),2)*100&amp;"%)","")</f>
        <v/>
      </c>
      <c r="Q57" s="72" t="str">
        <f t="shared" si="2"/>
        <v/>
      </c>
      <c r="R57" s="73" t="str">
        <f>IFERROR(SUMIF(Bets35[Date],"&lt;="&amp;L57,Bets35[Net])/SUMIF(Bets35[Date],"&lt;="&amp;L57,Bets35[Risk]),"")</f>
        <v/>
      </c>
    </row>
    <row r="58" spans="1:18" x14ac:dyDescent="0.25">
      <c r="A58" s="13">
        <f t="shared" si="0"/>
        <v>5</v>
      </c>
      <c r="B58" s="17">
        <v>43584</v>
      </c>
      <c r="C58" s="17" t="s">
        <v>802</v>
      </c>
      <c r="D58" s="18" t="s">
        <v>926</v>
      </c>
      <c r="E58" s="11" t="s">
        <v>830</v>
      </c>
      <c r="F58" s="19">
        <f>IF(Bets35[[#This Row],[Odds]]&lt;0,Bets35[[#This Row],[Odds]]/-10,10)</f>
        <v>10</v>
      </c>
      <c r="G58" s="37" t="s">
        <v>934</v>
      </c>
      <c r="H58" s="21" t="s">
        <v>263</v>
      </c>
      <c r="I58" s="45">
        <f>IF(Bets35[[#This Row],[Result]]="L",0-Bets35[[#This Row],[Risk]],IF(Bets35[[#This Row],[Result]]="Push",0,IF(Bets35[[#This Row],[Result]]="No Action",0,IF(Bets35[[#This Row],[Result]]="W",IF(Bets35[[#This Row],[Odds]]&gt;0,Bets35[[#This Row],[Odds]]/100*Bets35[[#This Row],[Risk]],(Bets35[[#This Row],[Risk]]/Bets35[[#This Row],[Odds]]*-100)),""))))</f>
        <v>-10</v>
      </c>
      <c r="J58" s="23" t="str">
        <f>IF(ISNUMBER(SEARCH(CHAR(10),Bets35[[#This Row],[Bet]])),"P",IF(ISNUMBER(FIND("Under",Bets35[[#This Row],[Bet]])),"U",IF(ISNUMBER(SEARCH("Over",Bets35[[#This Row],[Bet]])),"O",IF(ISNUMBER(SEARCH("+",Bets35[[#This Row],[Bet]])),"D",IF(ISNUMBER(SEARCH("-",Bets35[[#This Row],[Bet]])),"F",IF(ISNUMBER(SEARCH("Moneyline",Bets35[[#This Row],[Bet]])),IF(Bets35[[#This Row],[Odds]]&lt;0,"MF","MD"),""))))))</f>
        <v>MD</v>
      </c>
      <c r="K58" s="22"/>
      <c r="L58" s="24">
        <f t="shared" si="3"/>
        <v>0</v>
      </c>
      <c r="M58" s="1" t="str">
        <f>COUNTIFS(Bets35[Date],L58,Bets35[Result],"W")&amp;"-"&amp;COUNTIFS(Bets35[Date],L58,Bets35[Result],"L")&amp;IF(COUNTIFS(Bets35[Date],L58,Bets35[Result],"Push")&gt;0,"-"&amp;COUNTIFS(Bets35[Date],L58,Bets35[Result],"Push"),"")</f>
        <v>0-0</v>
      </c>
      <c r="N58" s="25" t="str">
        <f>IFERROR(COUNTIFS(Bets35[Date],L58,Bets35[Result],"W")/(COUNTIFS(Bets35[Date],L58,Bets35[Result],"W")+COUNTIFS(Bets35[Date],L58,Bets35[Result],"L")),"")</f>
        <v/>
      </c>
      <c r="O58" s="26">
        <f>SUMIF(Bets35[Date],L58,Bets35[Net])</f>
        <v>0</v>
      </c>
      <c r="P58" s="27" t="str">
        <f>IFERROR("("&amp;ROUND(SUMIF(Bets35[Date],L58,Bets35[Net])/SUMIF(Bets35[Date],L58,Bets35[Risk]),2)*100&amp;"%)","")</f>
        <v/>
      </c>
      <c r="Q58" s="72" t="str">
        <f t="shared" si="2"/>
        <v/>
      </c>
      <c r="R58" s="73" t="str">
        <f>IFERROR(SUMIF(Bets35[Date],"&lt;="&amp;L58,Bets35[Net])/SUMIF(Bets35[Date],"&lt;="&amp;L58,Bets35[Risk]),"")</f>
        <v/>
      </c>
    </row>
    <row r="59" spans="1:18" x14ac:dyDescent="0.25">
      <c r="A59" s="13">
        <f t="shared" si="0"/>
        <v>5</v>
      </c>
      <c r="B59" s="17">
        <v>43584</v>
      </c>
      <c r="C59" s="17" t="s">
        <v>802</v>
      </c>
      <c r="D59" s="18" t="s">
        <v>925</v>
      </c>
      <c r="E59" s="11" t="s">
        <v>834</v>
      </c>
      <c r="F59" s="19">
        <f>IF(Bets35[[#This Row],[Odds]]&lt;0,Bets35[[#This Row],[Odds]]/-10,10)</f>
        <v>15.5</v>
      </c>
      <c r="G59" s="37">
        <v>-155</v>
      </c>
      <c r="H59" s="21" t="s">
        <v>263</v>
      </c>
      <c r="I59" s="45">
        <f>IF(Bets35[[#This Row],[Result]]="L",0-Bets35[[#This Row],[Risk]],IF(Bets35[[#This Row],[Result]]="Push",0,IF(Bets35[[#This Row],[Result]]="No Action",0,IF(Bets35[[#This Row],[Result]]="W",IF(Bets35[[#This Row],[Odds]]&gt;0,Bets35[[#This Row],[Odds]]/100*Bets35[[#This Row],[Risk]],(Bets35[[#This Row],[Risk]]/Bets35[[#This Row],[Odds]]*-100)),""))))</f>
        <v>-15.5</v>
      </c>
      <c r="J59" s="23" t="str">
        <f>IF(ISNUMBER(SEARCH(CHAR(10),Bets35[[#This Row],[Bet]])),"P",IF(ISNUMBER(FIND("Under",Bets35[[#This Row],[Bet]])),"U",IF(ISNUMBER(SEARCH("Over",Bets35[[#This Row],[Bet]])),"O",IF(ISNUMBER(SEARCH("+",Bets35[[#This Row],[Bet]])),"D",IF(ISNUMBER(SEARCH("-",Bets35[[#This Row],[Bet]])),"F",IF(ISNUMBER(SEARCH("Moneyline",Bets35[[#This Row],[Bet]])),IF(Bets35[[#This Row],[Odds]]&lt;0,"MF","MD"),""))))))</f>
        <v>MF</v>
      </c>
      <c r="K59" s="22"/>
      <c r="L59" s="24">
        <f t="shared" si="3"/>
        <v>0</v>
      </c>
      <c r="M59" s="1" t="str">
        <f>COUNTIFS(Bets35[Date],L59,Bets35[Result],"W")&amp;"-"&amp;COUNTIFS(Bets35[Date],L59,Bets35[Result],"L")&amp;IF(COUNTIFS(Bets35[Date],L59,Bets35[Result],"Push")&gt;0,"-"&amp;COUNTIFS(Bets35[Date],L59,Bets35[Result],"Push"),"")</f>
        <v>0-0</v>
      </c>
      <c r="N59" s="25" t="str">
        <f>IFERROR(COUNTIFS(Bets35[Date],L59,Bets35[Result],"W")/(COUNTIFS(Bets35[Date],L59,Bets35[Result],"W")+COUNTIFS(Bets35[Date],L59,Bets35[Result],"L")),"")</f>
        <v/>
      </c>
      <c r="O59" s="26">
        <f>SUMIF(Bets35[Date],L59,Bets35[Net])</f>
        <v>0</v>
      </c>
      <c r="P59" s="27" t="str">
        <f>IFERROR("("&amp;ROUND(SUMIF(Bets35[Date],L59,Bets35[Net])/SUMIF(Bets35[Date],L59,Bets35[Risk]),2)*100&amp;"%)","")</f>
        <v/>
      </c>
      <c r="Q59" s="72" t="str">
        <f t="shared" si="2"/>
        <v/>
      </c>
      <c r="R59" s="73" t="str">
        <f>IFERROR(SUMIF(Bets35[Date],"&lt;="&amp;L59,Bets35[Net])/SUMIF(Bets35[Date],"&lt;="&amp;L59,Bets35[Risk]),"")</f>
        <v/>
      </c>
    </row>
    <row r="60" spans="1:18" x14ac:dyDescent="0.25">
      <c r="A60" s="13">
        <f t="shared" si="0"/>
        <v>5</v>
      </c>
      <c r="B60" s="17">
        <v>43584</v>
      </c>
      <c r="C60" s="17" t="s">
        <v>802</v>
      </c>
      <c r="D60" s="18" t="s">
        <v>932</v>
      </c>
      <c r="E60" s="11" t="s">
        <v>815</v>
      </c>
      <c r="F60" s="19">
        <f>IF(Bets35[[#This Row],[Odds]]&lt;0,Bets35[[#This Row],[Odds]]/-10,10)</f>
        <v>10</v>
      </c>
      <c r="G60" s="37" t="s">
        <v>817</v>
      </c>
      <c r="H60" s="21" t="s">
        <v>262</v>
      </c>
      <c r="I60" s="45">
        <f>IF(Bets35[[#This Row],[Result]]="L",0-Bets35[[#This Row],[Risk]],IF(Bets35[[#This Row],[Result]]="Push",0,IF(Bets35[[#This Row],[Result]]="No Action",0,IF(Bets35[[#This Row],[Result]]="W",IF(Bets35[[#This Row],[Odds]]&gt;0,Bets35[[#This Row],[Odds]]/100*Bets35[[#This Row],[Risk]],(Bets35[[#This Row],[Risk]]/Bets35[[#This Row],[Odds]]*-100)),""))))</f>
        <v>12</v>
      </c>
      <c r="J60" s="23" t="str">
        <f>IF(ISNUMBER(SEARCH(CHAR(10),Bets35[[#This Row],[Bet]])),"P",IF(ISNUMBER(FIND("Under",Bets35[[#This Row],[Bet]])),"U",IF(ISNUMBER(SEARCH("Over",Bets35[[#This Row],[Bet]])),"O",IF(ISNUMBER(SEARCH("+",Bets35[[#This Row],[Bet]])),"D",IF(ISNUMBER(SEARCH("-",Bets35[[#This Row],[Bet]])),"F",IF(ISNUMBER(SEARCH("Moneyline",Bets35[[#This Row],[Bet]])),IF(Bets35[[#This Row],[Odds]]&lt;0,"MF","MD"),""))))))</f>
        <v>MD</v>
      </c>
      <c r="K60" s="22"/>
      <c r="L60" s="24">
        <f t="shared" si="3"/>
        <v>0</v>
      </c>
      <c r="M60" s="1" t="str">
        <f>COUNTIFS(Bets35[Date],L60,Bets35[Result],"W")&amp;"-"&amp;COUNTIFS(Bets35[Date],L60,Bets35[Result],"L")&amp;IF(COUNTIFS(Bets35[Date],L60,Bets35[Result],"Push")&gt;0,"-"&amp;COUNTIFS(Bets35[Date],L60,Bets35[Result],"Push"),"")</f>
        <v>0-0</v>
      </c>
      <c r="N60" s="25" t="str">
        <f>IFERROR(COUNTIFS(Bets35[Date],L60,Bets35[Result],"W")/(COUNTIFS(Bets35[Date],L60,Bets35[Result],"W")+COUNTIFS(Bets35[Date],L60,Bets35[Result],"L")),"")</f>
        <v/>
      </c>
      <c r="O60" s="26">
        <f>SUMIF(Bets35[Date],L60,Bets35[Net])</f>
        <v>0</v>
      </c>
      <c r="P60" s="27" t="str">
        <f>IFERROR("("&amp;ROUND(SUMIF(Bets35[Date],L60,Bets35[Net])/SUMIF(Bets35[Date],L60,Bets35[Risk]),2)*100&amp;"%)","")</f>
        <v/>
      </c>
      <c r="Q60" s="72" t="str">
        <f t="shared" si="2"/>
        <v/>
      </c>
      <c r="R60" s="73" t="str">
        <f>IFERROR(SUMIF(Bets35[Date],"&lt;="&amp;L60,Bets35[Net])/SUMIF(Bets35[Date],"&lt;="&amp;L60,Bets35[Risk]),"")</f>
        <v/>
      </c>
    </row>
    <row r="61" spans="1:18" x14ac:dyDescent="0.25">
      <c r="A61" s="13">
        <f t="shared" si="0"/>
        <v>5</v>
      </c>
      <c r="B61" s="17">
        <v>43584</v>
      </c>
      <c r="C61" s="17" t="s">
        <v>802</v>
      </c>
      <c r="D61" s="18" t="s">
        <v>928</v>
      </c>
      <c r="E61" s="11" t="s">
        <v>809</v>
      </c>
      <c r="F61" s="19">
        <f>IF(Bets35[[#This Row],[Odds]]&lt;0,Bets35[[#This Row],[Odds]]/-10,10)</f>
        <v>10</v>
      </c>
      <c r="G61" s="37" t="s">
        <v>871</v>
      </c>
      <c r="H61" s="21" t="s">
        <v>262</v>
      </c>
      <c r="I61" s="45">
        <f>IF(Bets35[[#This Row],[Result]]="L",0-Bets35[[#This Row],[Risk]],IF(Bets35[[#This Row],[Result]]="Push",0,IF(Bets35[[#This Row],[Result]]="No Action",0,IF(Bets35[[#This Row],[Result]]="W",IF(Bets35[[#This Row],[Odds]]&gt;0,Bets35[[#This Row],[Odds]]/100*Bets35[[#This Row],[Risk]],(Bets35[[#This Row],[Risk]]/Bets35[[#This Row],[Odds]]*-100)),""))))</f>
        <v>16.5</v>
      </c>
      <c r="J61" s="23" t="str">
        <f>IF(ISNUMBER(SEARCH(CHAR(10),Bets35[[#This Row],[Bet]])),"P",IF(ISNUMBER(FIND("Under",Bets35[[#This Row],[Bet]])),"U",IF(ISNUMBER(SEARCH("Over",Bets35[[#This Row],[Bet]])),"O",IF(ISNUMBER(SEARCH("+",Bets35[[#This Row],[Bet]])),"D",IF(ISNUMBER(SEARCH("-",Bets35[[#This Row],[Bet]])),"F",IF(ISNUMBER(SEARCH("Moneyline",Bets35[[#This Row],[Bet]])),IF(Bets35[[#This Row],[Odds]]&lt;0,"MF","MD"),""))))))</f>
        <v>MD</v>
      </c>
      <c r="K61" s="22"/>
      <c r="L61" s="24">
        <f t="shared" si="3"/>
        <v>0</v>
      </c>
      <c r="M61" s="1" t="str">
        <f>COUNTIFS(Bets35[Date],L61,Bets35[Result],"W")&amp;"-"&amp;COUNTIFS(Bets35[Date],L61,Bets35[Result],"L")&amp;IF(COUNTIFS(Bets35[Date],L61,Bets35[Result],"Push")&gt;0,"-"&amp;COUNTIFS(Bets35[Date],L61,Bets35[Result],"Push"),"")</f>
        <v>0-0</v>
      </c>
      <c r="N61" s="25" t="str">
        <f>IFERROR(COUNTIFS(Bets35[Date],L61,Bets35[Result],"W")/(COUNTIFS(Bets35[Date],L61,Bets35[Result],"W")+COUNTIFS(Bets35[Date],L61,Bets35[Result],"L")),"")</f>
        <v/>
      </c>
      <c r="O61" s="26">
        <f>SUMIF(Bets35[Date],L61,Bets35[Net])</f>
        <v>0</v>
      </c>
      <c r="P61" s="27" t="str">
        <f>IFERROR("("&amp;ROUND(SUMIF(Bets35[Date],L61,Bets35[Net])/SUMIF(Bets35[Date],L61,Bets35[Risk]),2)*100&amp;"%)","")</f>
        <v/>
      </c>
      <c r="Q61" s="72" t="str">
        <f t="shared" si="2"/>
        <v/>
      </c>
      <c r="R61" s="73" t="str">
        <f>IFERROR(SUMIF(Bets35[Date],"&lt;="&amp;L61,Bets35[Net])/SUMIF(Bets35[Date],"&lt;="&amp;L61,Bets35[Risk]),"")</f>
        <v/>
      </c>
    </row>
    <row r="62" spans="1:18" x14ac:dyDescent="0.25">
      <c r="A62" s="13">
        <f t="shared" si="0"/>
        <v>5</v>
      </c>
      <c r="B62" s="17">
        <v>43584</v>
      </c>
      <c r="C62" s="17" t="s">
        <v>802</v>
      </c>
      <c r="D62" s="18" t="s">
        <v>930</v>
      </c>
      <c r="E62" s="11" t="s">
        <v>819</v>
      </c>
      <c r="F62" s="19">
        <f>IF(Bets35[[#This Row],[Odds]]&lt;0,Bets35[[#This Row],[Odds]]/-10,10)</f>
        <v>10</v>
      </c>
      <c r="G62" s="37" t="s">
        <v>828</v>
      </c>
      <c r="H62" s="21" t="s">
        <v>262</v>
      </c>
      <c r="I62" s="45">
        <f>IF(Bets35[[#This Row],[Result]]="L",0-Bets35[[#This Row],[Risk]],IF(Bets35[[#This Row],[Result]]="Push",0,IF(Bets35[[#This Row],[Result]]="No Action",0,IF(Bets35[[#This Row],[Result]]="W",IF(Bets35[[#This Row],[Odds]]&gt;0,Bets35[[#This Row],[Odds]]/100*Bets35[[#This Row],[Risk]],(Bets35[[#This Row],[Risk]]/Bets35[[#This Row],[Odds]]*-100)),""))))</f>
        <v>11.5</v>
      </c>
      <c r="J62" s="23" t="str">
        <f>IF(ISNUMBER(SEARCH(CHAR(10),Bets35[[#This Row],[Bet]])),"P",IF(ISNUMBER(FIND("Under",Bets35[[#This Row],[Bet]])),"U",IF(ISNUMBER(SEARCH("Over",Bets35[[#This Row],[Bet]])),"O",IF(ISNUMBER(SEARCH("+",Bets35[[#This Row],[Bet]])),"D",IF(ISNUMBER(SEARCH("-",Bets35[[#This Row],[Bet]])),"F",IF(ISNUMBER(SEARCH("Moneyline",Bets35[[#This Row],[Bet]])),IF(Bets35[[#This Row],[Odds]]&lt;0,"MF","MD"),""))))))</f>
        <v>MD</v>
      </c>
      <c r="K62" s="22"/>
      <c r="L62" s="24">
        <f t="shared" si="3"/>
        <v>0</v>
      </c>
      <c r="M62" s="1" t="str">
        <f>COUNTIFS(Bets35[Date],L62,Bets35[Result],"W")&amp;"-"&amp;COUNTIFS(Bets35[Date],L62,Bets35[Result],"L")&amp;IF(COUNTIFS(Bets35[Date],L62,Bets35[Result],"Push")&gt;0,"-"&amp;COUNTIFS(Bets35[Date],L62,Bets35[Result],"Push"),"")</f>
        <v>0-0</v>
      </c>
      <c r="N62" s="25" t="str">
        <f>IFERROR(COUNTIFS(Bets35[Date],L62,Bets35[Result],"W")/(COUNTIFS(Bets35[Date],L62,Bets35[Result],"W")+COUNTIFS(Bets35[Date],L62,Bets35[Result],"L")),"")</f>
        <v/>
      </c>
      <c r="O62" s="26">
        <f>SUMIF(Bets35[Date],L62,Bets35[Net])</f>
        <v>0</v>
      </c>
      <c r="P62" s="27" t="str">
        <f>IFERROR("("&amp;ROUND(SUMIF(Bets35[Date],L62,Bets35[Net])/SUMIF(Bets35[Date],L62,Bets35[Risk]),2)*100&amp;"%)","")</f>
        <v/>
      </c>
      <c r="Q62" s="72" t="str">
        <f t="shared" si="2"/>
        <v/>
      </c>
      <c r="R62" s="73" t="str">
        <f>IFERROR(SUMIF(Bets35[Date],"&lt;="&amp;L62,Bets35[Net])/SUMIF(Bets35[Date],"&lt;="&amp;L62,Bets35[Risk]),"")</f>
        <v/>
      </c>
    </row>
    <row r="63" spans="1:18" x14ac:dyDescent="0.25">
      <c r="A63" s="13">
        <f t="shared" si="0"/>
        <v>5</v>
      </c>
      <c r="B63" s="17">
        <v>43584</v>
      </c>
      <c r="C63" s="17" t="s">
        <v>802</v>
      </c>
      <c r="D63" s="18" t="s">
        <v>935</v>
      </c>
      <c r="E63" s="11" t="s">
        <v>827</v>
      </c>
      <c r="F63" s="19">
        <f>IF(Bets35[[#This Row],[Odds]]&lt;0,Bets35[[#This Row],[Odds]]/-10,10)</f>
        <v>10</v>
      </c>
      <c r="G63" s="37" t="s">
        <v>886</v>
      </c>
      <c r="H63" s="21" t="s">
        <v>263</v>
      </c>
      <c r="I63" s="45">
        <f>IF(Bets35[[#This Row],[Result]]="L",0-Bets35[[#This Row],[Risk]],IF(Bets35[[#This Row],[Result]]="Push",0,IF(Bets35[[#This Row],[Result]]="No Action",0,IF(Bets35[[#This Row],[Result]]="W",IF(Bets35[[#This Row],[Odds]]&gt;0,Bets35[[#This Row],[Odds]]/100*Bets35[[#This Row],[Risk]],(Bets35[[#This Row],[Risk]]/Bets35[[#This Row],[Odds]]*-100)),""))))</f>
        <v>-10</v>
      </c>
      <c r="J63" s="23" t="str">
        <f>IF(ISNUMBER(SEARCH(CHAR(10),Bets35[[#This Row],[Bet]])),"P",IF(ISNUMBER(FIND("Under",Bets35[[#This Row],[Bet]])),"U",IF(ISNUMBER(SEARCH("Over",Bets35[[#This Row],[Bet]])),"O",IF(ISNUMBER(SEARCH("+",Bets35[[#This Row],[Bet]])),"D",IF(ISNUMBER(SEARCH("-",Bets35[[#This Row],[Bet]])),"F",IF(ISNUMBER(SEARCH("Moneyline",Bets35[[#This Row],[Bet]])),IF(Bets35[[#This Row],[Odds]]&lt;0,"MF","MD"),""))))))</f>
        <v>MD</v>
      </c>
      <c r="K63" s="22"/>
      <c r="L63" s="24">
        <f t="shared" si="3"/>
        <v>0</v>
      </c>
      <c r="M63" s="1" t="str">
        <f>COUNTIFS(Bets35[Date],L63,Bets35[Result],"W")&amp;"-"&amp;COUNTIFS(Bets35[Date],L63,Bets35[Result],"L")&amp;IF(COUNTIFS(Bets35[Date],L63,Bets35[Result],"Push")&gt;0,"-"&amp;COUNTIFS(Bets35[Date],L63,Bets35[Result],"Push"),"")</f>
        <v>0-0</v>
      </c>
      <c r="N63" s="25" t="str">
        <f>IFERROR(COUNTIFS(Bets35[Date],L63,Bets35[Result],"W")/(COUNTIFS(Bets35[Date],L63,Bets35[Result],"W")+COUNTIFS(Bets35[Date],L63,Bets35[Result],"L")),"")</f>
        <v/>
      </c>
      <c r="O63" s="26">
        <f>SUMIF(Bets35[Date],L63,Bets35[Net])</f>
        <v>0</v>
      </c>
      <c r="P63" s="27" t="str">
        <f>IFERROR("("&amp;ROUND(SUMIF(Bets35[Date],L63,Bets35[Net])/SUMIF(Bets35[Date],L63,Bets35[Risk]),2)*100&amp;"%)","")</f>
        <v/>
      </c>
      <c r="Q63" s="72" t="str">
        <f t="shared" si="2"/>
        <v/>
      </c>
      <c r="R63" s="73" t="str">
        <f>IFERROR(SUMIF(Bets35[Date],"&lt;="&amp;L63,Bets35[Net])/SUMIF(Bets35[Date],"&lt;="&amp;L63,Bets35[Risk]),"")</f>
        <v/>
      </c>
    </row>
    <row r="64" spans="1:18" x14ac:dyDescent="0.25">
      <c r="A64" s="13">
        <f t="shared" si="0"/>
        <v>5</v>
      </c>
      <c r="B64" s="17">
        <v>43584</v>
      </c>
      <c r="C64" s="17" t="s">
        <v>802</v>
      </c>
      <c r="D64" s="18" t="s">
        <v>926</v>
      </c>
      <c r="E64" s="11" t="s">
        <v>845</v>
      </c>
      <c r="F64" s="19">
        <f>IF(Bets35[[#This Row],[Odds]]&lt;0,Bets35[[#This Row],[Odds]]/-10,10)</f>
        <v>10</v>
      </c>
      <c r="G64" s="37">
        <v>100</v>
      </c>
      <c r="H64" s="21" t="s">
        <v>262</v>
      </c>
      <c r="I64" s="45">
        <f>IF(Bets35[[#This Row],[Result]]="L",0-Bets35[[#This Row],[Risk]],IF(Bets35[[#This Row],[Result]]="Push",0,IF(Bets35[[#This Row],[Result]]="No Action",0,IF(Bets35[[#This Row],[Result]]="W",IF(Bets35[[#This Row],[Odds]]&gt;0,Bets35[[#This Row],[Odds]]/100*Bets35[[#This Row],[Risk]],(Bets35[[#This Row],[Risk]]/Bets35[[#This Row],[Odds]]*-100)),""))))</f>
        <v>10</v>
      </c>
      <c r="J64" s="23" t="str">
        <f>IF(ISNUMBER(SEARCH(CHAR(10),Bets35[[#This Row],[Bet]])),"P",IF(ISNUMBER(FIND("Under",Bets35[[#This Row],[Bet]])),"U",IF(ISNUMBER(SEARCH("Over",Bets35[[#This Row],[Bet]])),"O",IF(ISNUMBER(SEARCH("+",Bets35[[#This Row],[Bet]])),"D",IF(ISNUMBER(SEARCH("-",Bets35[[#This Row],[Bet]])),"F",IF(ISNUMBER(SEARCH("Moneyline",Bets35[[#This Row],[Bet]])),IF(Bets35[[#This Row],[Odds]]&lt;0,"MF","MD"),""))))))</f>
        <v>O</v>
      </c>
      <c r="K64" s="22"/>
      <c r="L64" s="24">
        <f t="shared" si="3"/>
        <v>0</v>
      </c>
      <c r="M64" s="1" t="str">
        <f>COUNTIFS(Bets35[Date],L64,Bets35[Result],"W")&amp;"-"&amp;COUNTIFS(Bets35[Date],L64,Bets35[Result],"L")&amp;IF(COUNTIFS(Bets35[Date],L64,Bets35[Result],"Push")&gt;0,"-"&amp;COUNTIFS(Bets35[Date],L64,Bets35[Result],"Push"),"")</f>
        <v>0-0</v>
      </c>
      <c r="N64" s="25" t="str">
        <f>IFERROR(COUNTIFS(Bets35[Date],L64,Bets35[Result],"W")/(COUNTIFS(Bets35[Date],L64,Bets35[Result],"W")+COUNTIFS(Bets35[Date],L64,Bets35[Result],"L")),"")</f>
        <v/>
      </c>
      <c r="O64" s="26">
        <f>SUMIF(Bets35[Date],L64,Bets35[Net])</f>
        <v>0</v>
      </c>
      <c r="P64" s="27" t="str">
        <f>IFERROR("("&amp;ROUND(SUMIF(Bets35[Date],L64,Bets35[Net])/SUMIF(Bets35[Date],L64,Bets35[Risk]),2)*100&amp;"%)","")</f>
        <v/>
      </c>
      <c r="Q64" s="72" t="str">
        <f t="shared" si="2"/>
        <v/>
      </c>
      <c r="R64" s="73" t="str">
        <f>IFERROR(SUMIF(Bets35[Date],"&lt;="&amp;L64,Bets35[Net])/SUMIF(Bets35[Date],"&lt;="&amp;L64,Bets35[Risk]),"")</f>
        <v/>
      </c>
    </row>
    <row r="65" spans="1:18" x14ac:dyDescent="0.25">
      <c r="A65" s="13">
        <f t="shared" si="0"/>
        <v>5</v>
      </c>
      <c r="B65" s="17">
        <v>43584</v>
      </c>
      <c r="C65" s="17" t="s">
        <v>802</v>
      </c>
      <c r="D65" s="18" t="s">
        <v>927</v>
      </c>
      <c r="E65" s="11" t="s">
        <v>931</v>
      </c>
      <c r="F65" s="19">
        <f>IF(Bets35[[#This Row],[Odds]]&lt;0,Bets35[[#This Row],[Odds]]/-10,10)</f>
        <v>10.5</v>
      </c>
      <c r="G65" s="37">
        <v>-105</v>
      </c>
      <c r="H65" s="21" t="s">
        <v>262</v>
      </c>
      <c r="I65" s="45">
        <f>IF(Bets35[[#This Row],[Result]]="L",0-Bets35[[#This Row],[Risk]],IF(Bets35[[#This Row],[Result]]="Push",0,IF(Bets35[[#This Row],[Result]]="No Action",0,IF(Bets35[[#This Row],[Result]]="W",IF(Bets35[[#This Row],[Odds]]&gt;0,Bets35[[#This Row],[Odds]]/100*Bets35[[#This Row],[Risk]],(Bets35[[#This Row],[Risk]]/Bets35[[#This Row],[Odds]]*-100)),""))))</f>
        <v>10</v>
      </c>
      <c r="J65" s="23" t="str">
        <f>IF(ISNUMBER(SEARCH(CHAR(10),Bets35[[#This Row],[Bet]])),"P",IF(ISNUMBER(FIND("Under",Bets35[[#This Row],[Bet]])),"U",IF(ISNUMBER(SEARCH("Over",Bets35[[#This Row],[Bet]])),"O",IF(ISNUMBER(SEARCH("+",Bets35[[#This Row],[Bet]])),"D",IF(ISNUMBER(SEARCH("-",Bets35[[#This Row],[Bet]])),"F",IF(ISNUMBER(SEARCH("Moneyline",Bets35[[#This Row],[Bet]])),IF(Bets35[[#This Row],[Odds]]&lt;0,"MF","MD"),""))))))</f>
        <v>O</v>
      </c>
      <c r="K65" s="22"/>
      <c r="L65" s="24">
        <f t="shared" si="3"/>
        <v>0</v>
      </c>
      <c r="M65" s="1" t="str">
        <f>COUNTIFS(Bets35[Date],L65,Bets35[Result],"W")&amp;"-"&amp;COUNTIFS(Bets35[Date],L65,Bets35[Result],"L")&amp;IF(COUNTIFS(Bets35[Date],L65,Bets35[Result],"Push")&gt;0,"-"&amp;COUNTIFS(Bets35[Date],L65,Bets35[Result],"Push"),"")</f>
        <v>0-0</v>
      </c>
      <c r="N65" s="25" t="str">
        <f>IFERROR(COUNTIFS(Bets35[Date],L65,Bets35[Result],"W")/(COUNTIFS(Bets35[Date],L65,Bets35[Result],"W")+COUNTIFS(Bets35[Date],L65,Bets35[Result],"L")),"")</f>
        <v/>
      </c>
      <c r="O65" s="26">
        <f>SUMIF(Bets35[Date],L65,Bets35[Net])</f>
        <v>0</v>
      </c>
      <c r="P65" s="27" t="str">
        <f>IFERROR("("&amp;ROUND(SUMIF(Bets35[Date],L65,Bets35[Net])/SUMIF(Bets35[Date],L65,Bets35[Risk]),2)*100&amp;"%)","")</f>
        <v/>
      </c>
      <c r="Q65" s="72" t="str">
        <f t="shared" si="2"/>
        <v/>
      </c>
      <c r="R65" s="73" t="str">
        <f>IFERROR(SUMIF(Bets35[Date],"&lt;="&amp;L65,Bets35[Net])/SUMIF(Bets35[Date],"&lt;="&amp;L65,Bets35[Risk]),"")</f>
        <v/>
      </c>
    </row>
    <row r="66" spans="1:18" x14ac:dyDescent="0.25">
      <c r="A66" s="13">
        <f t="shared" si="0"/>
        <v>5</v>
      </c>
      <c r="B66" s="17">
        <v>43584</v>
      </c>
      <c r="C66" s="17" t="s">
        <v>802</v>
      </c>
      <c r="D66" s="18" t="s">
        <v>932</v>
      </c>
      <c r="E66" s="11" t="s">
        <v>933</v>
      </c>
      <c r="F66" s="19">
        <f>IF(Bets35[[#This Row],[Odds]]&lt;0,Bets35[[#This Row],[Odds]]/-10,10)</f>
        <v>10</v>
      </c>
      <c r="G66" s="37">
        <v>100</v>
      </c>
      <c r="H66" s="21" t="s">
        <v>262</v>
      </c>
      <c r="I66" s="45">
        <f>IF(Bets35[[#This Row],[Result]]="L",0-Bets35[[#This Row],[Risk]],IF(Bets35[[#This Row],[Result]]="Push",0,IF(Bets35[[#This Row],[Result]]="No Action",0,IF(Bets35[[#This Row],[Result]]="W",IF(Bets35[[#This Row],[Odds]]&gt;0,Bets35[[#This Row],[Odds]]/100*Bets35[[#This Row],[Risk]],(Bets35[[#This Row],[Risk]]/Bets35[[#This Row],[Odds]]*-100)),""))))</f>
        <v>10</v>
      </c>
      <c r="J66" s="23" t="str">
        <f>IF(ISNUMBER(SEARCH(CHAR(10),Bets35[[#This Row],[Bet]])),"P",IF(ISNUMBER(FIND("Under",Bets35[[#This Row],[Bet]])),"U",IF(ISNUMBER(SEARCH("Over",Bets35[[#This Row],[Bet]])),"O",IF(ISNUMBER(SEARCH("+",Bets35[[#This Row],[Bet]])),"D",IF(ISNUMBER(SEARCH("-",Bets35[[#This Row],[Bet]])),"F",IF(ISNUMBER(SEARCH("Moneyline",Bets35[[#This Row],[Bet]])),IF(Bets35[[#This Row],[Odds]]&lt;0,"MF","MD"),""))))))</f>
        <v>U</v>
      </c>
      <c r="K66"/>
      <c r="L66" s="24">
        <f t="shared" si="3"/>
        <v>0</v>
      </c>
      <c r="M66" s="1" t="str">
        <f>COUNTIFS(Bets35[Date],L66,Bets35[Result],"W")&amp;"-"&amp;COUNTIFS(Bets35[Date],L66,Bets35[Result],"L")&amp;IF(COUNTIFS(Bets35[Date],L66,Bets35[Result],"Push")&gt;0,"-"&amp;COUNTIFS(Bets35[Date],L66,Bets35[Result],"Push"),"")</f>
        <v>0-0</v>
      </c>
      <c r="N66" s="25" t="str">
        <f>IFERROR(COUNTIFS(Bets35[Date],L66,Bets35[Result],"W")/(COUNTIFS(Bets35[Date],L66,Bets35[Result],"W")+COUNTIFS(Bets35[Date],L66,Bets35[Result],"L")),"")</f>
        <v/>
      </c>
      <c r="O66" s="26">
        <f>SUMIF(Bets35[Date],L66,Bets35[Net])</f>
        <v>0</v>
      </c>
      <c r="P66" s="27" t="str">
        <f>IFERROR("("&amp;ROUND(SUMIF(Bets35[Date],L66,Bets35[Net])/SUMIF(Bets35[Date],L66,Bets35[Risk]),2)*100&amp;"%)","")</f>
        <v/>
      </c>
      <c r="Q66" s="72" t="str">
        <f t="shared" si="2"/>
        <v/>
      </c>
      <c r="R66" s="73" t="str">
        <f>IFERROR(SUMIF(Bets35[Date],"&lt;="&amp;L66,Bets35[Net])/SUMIF(Bets35[Date],"&lt;="&amp;L66,Bets35[Risk]),"")</f>
        <v/>
      </c>
    </row>
    <row r="67" spans="1:18" x14ac:dyDescent="0.25">
      <c r="A67" s="13">
        <f t="shared" si="0"/>
        <v>6</v>
      </c>
      <c r="B67" s="17">
        <v>43585</v>
      </c>
      <c r="C67" s="17" t="s">
        <v>802</v>
      </c>
      <c r="D67" s="18" t="s">
        <v>1150</v>
      </c>
      <c r="E67" s="11" t="s">
        <v>822</v>
      </c>
      <c r="F67" s="19">
        <f>IF(Bets35[[#This Row],[Odds]]&lt;0,Bets35[[#This Row],[Odds]]/-10,10)</f>
        <v>20.5</v>
      </c>
      <c r="G67" s="37">
        <v>-205</v>
      </c>
      <c r="H67" s="21" t="s">
        <v>263</v>
      </c>
      <c r="I67" s="45">
        <f>IF(Bets35[[#This Row],[Result]]="L",0-Bets35[[#This Row],[Risk]],IF(Bets35[[#This Row],[Result]]="Push",0,IF(Bets35[[#This Row],[Result]]="No Action",0,IF(Bets35[[#This Row],[Result]]="W",IF(Bets35[[#This Row],[Odds]]&gt;0,Bets35[[#This Row],[Odds]]/100*Bets35[[#This Row],[Risk]],(Bets35[[#This Row],[Risk]]/Bets35[[#This Row],[Odds]]*-100)),""))))</f>
        <v>-20.5</v>
      </c>
      <c r="J67" s="23" t="str">
        <f>IF(ISNUMBER(SEARCH(CHAR(10),Bets35[[#This Row],[Bet]])),"P",IF(ISNUMBER(FIND("Under",Bets35[[#This Row],[Bet]])),"U",IF(ISNUMBER(SEARCH("Over",Bets35[[#This Row],[Bet]])),"O",IF(ISNUMBER(SEARCH("+",Bets35[[#This Row],[Bet]])),"D",IF(ISNUMBER(SEARCH("-",Bets35[[#This Row],[Bet]])),"F",IF(ISNUMBER(SEARCH("Moneyline",Bets35[[#This Row],[Bet]])),IF(Bets35[[#This Row],[Odds]]&lt;0,"MF","MD"),""))))))</f>
        <v>MF</v>
      </c>
      <c r="K67"/>
      <c r="L67" s="24">
        <f t="shared" si="3"/>
        <v>0</v>
      </c>
      <c r="M67" s="1" t="str">
        <f>COUNTIFS(Bets35[Date],L67,Bets35[Result],"W")&amp;"-"&amp;COUNTIFS(Bets35[Date],L67,Bets35[Result],"L")&amp;IF(COUNTIFS(Bets35[Date],L67,Bets35[Result],"Push")&gt;0,"-"&amp;COUNTIFS(Bets35[Date],L67,Bets35[Result],"Push"),"")</f>
        <v>0-0</v>
      </c>
      <c r="N67" s="25" t="str">
        <f>IFERROR(COUNTIFS(Bets35[Date],L67,Bets35[Result],"W")/(COUNTIFS(Bets35[Date],L67,Bets35[Result],"W")+COUNTIFS(Bets35[Date],L67,Bets35[Result],"L")),"")</f>
        <v/>
      </c>
      <c r="O67" s="26">
        <f>SUMIF(Bets35[Date],L67,Bets35[Net])</f>
        <v>0</v>
      </c>
      <c r="P67" s="27" t="str">
        <f>IFERROR("("&amp;ROUND(SUMIF(Bets35[Date],L67,Bets35[Net])/SUMIF(Bets35[Date],L67,Bets35[Risk]),2)*100&amp;"%)","")</f>
        <v/>
      </c>
      <c r="Q67" s="72" t="str">
        <f t="shared" si="2"/>
        <v/>
      </c>
      <c r="R67" s="73" t="str">
        <f>IFERROR(SUMIF(Bets35[Date],"&lt;="&amp;L67,Bets35[Net])/SUMIF(Bets35[Date],"&lt;="&amp;L67,Bets35[Risk]),"")</f>
        <v/>
      </c>
    </row>
    <row r="68" spans="1:18" x14ac:dyDescent="0.25">
      <c r="A68" s="13">
        <f t="shared" ref="A68:A131" si="4">IF(B68=B67,A67,A67+1)</f>
        <v>6</v>
      </c>
      <c r="B68" s="17">
        <v>43585</v>
      </c>
      <c r="C68" s="17" t="s">
        <v>802</v>
      </c>
      <c r="D68" s="18" t="s">
        <v>926</v>
      </c>
      <c r="E68" s="11" t="s">
        <v>899</v>
      </c>
      <c r="F68" s="19">
        <f>IF(Bets35[[#This Row],[Odds]]&lt;0,Bets35[[#This Row],[Odds]]/-10,10)</f>
        <v>11.5</v>
      </c>
      <c r="G68" s="37">
        <v>-115</v>
      </c>
      <c r="H68" s="21" t="s">
        <v>262</v>
      </c>
      <c r="I68" s="45">
        <f>IF(Bets35[[#This Row],[Result]]="L",0-Bets35[[#This Row],[Risk]],IF(Bets35[[#This Row],[Result]]="Push",0,IF(Bets35[[#This Row],[Result]]="No Action",0,IF(Bets35[[#This Row],[Result]]="W",IF(Bets35[[#This Row],[Odds]]&gt;0,Bets35[[#This Row],[Odds]]/100*Bets35[[#This Row],[Risk]],(Bets35[[#This Row],[Risk]]/Bets35[[#This Row],[Odds]]*-100)),""))))</f>
        <v>10</v>
      </c>
      <c r="J68" s="23" t="str">
        <f>IF(ISNUMBER(SEARCH(CHAR(10),Bets35[[#This Row],[Bet]])),"P",IF(ISNUMBER(FIND("Under",Bets35[[#This Row],[Bet]])),"U",IF(ISNUMBER(SEARCH("Over",Bets35[[#This Row],[Bet]])),"O",IF(ISNUMBER(SEARCH("+",Bets35[[#This Row],[Bet]])),"D",IF(ISNUMBER(SEARCH("-",Bets35[[#This Row],[Bet]])),"F",IF(ISNUMBER(SEARCH("Moneyline",Bets35[[#This Row],[Bet]])),IF(Bets35[[#This Row],[Odds]]&lt;0,"MF","MD"),""))))))</f>
        <v>MF</v>
      </c>
      <c r="K68"/>
      <c r="L68" s="24">
        <f t="shared" ref="L68:L99" si="5">IFERROR(VLOOKUP(ROW()-3,A:B,2,0),0)</f>
        <v>0</v>
      </c>
      <c r="M68" s="1" t="str">
        <f>COUNTIFS(Bets35[Date],L68,Bets35[Result],"W")&amp;"-"&amp;COUNTIFS(Bets35[Date],L68,Bets35[Result],"L")&amp;IF(COUNTIFS(Bets35[Date],L68,Bets35[Result],"Push")&gt;0,"-"&amp;COUNTIFS(Bets35[Date],L68,Bets35[Result],"Push"),"")</f>
        <v>0-0</v>
      </c>
      <c r="N68" s="25" t="str">
        <f>IFERROR(COUNTIFS(Bets35[Date],L68,Bets35[Result],"W")/(COUNTIFS(Bets35[Date],L68,Bets35[Result],"W")+COUNTIFS(Bets35[Date],L68,Bets35[Result],"L")),"")</f>
        <v/>
      </c>
      <c r="O68" s="26">
        <f>SUMIF(Bets35[Date],L68,Bets35[Net])</f>
        <v>0</v>
      </c>
      <c r="P68" s="27" t="str">
        <f>IFERROR("("&amp;ROUND(SUMIF(Bets35[Date],L68,Bets35[Net])/SUMIF(Bets35[Date],L68,Bets35[Risk]),2)*100&amp;"%)","")</f>
        <v/>
      </c>
      <c r="Q68" s="72" t="str">
        <f t="shared" si="2"/>
        <v/>
      </c>
      <c r="R68" s="73" t="str">
        <f>IFERROR(SUMIF(Bets35[Date],"&lt;="&amp;L68,Bets35[Net])/SUMIF(Bets35[Date],"&lt;="&amp;L68,Bets35[Risk]),"")</f>
        <v/>
      </c>
    </row>
    <row r="69" spans="1:18" x14ac:dyDescent="0.25">
      <c r="A69" s="13">
        <f t="shared" si="4"/>
        <v>6</v>
      </c>
      <c r="B69" s="17">
        <v>43585</v>
      </c>
      <c r="C69" s="17" t="s">
        <v>802</v>
      </c>
      <c r="D69" s="18" t="s">
        <v>1151</v>
      </c>
      <c r="E69" s="11" t="s">
        <v>869</v>
      </c>
      <c r="F69" s="19">
        <f>IF(Bets35[[#This Row],[Odds]]&lt;0,Bets35[[#This Row],[Odds]]/-10,10)</f>
        <v>20.8</v>
      </c>
      <c r="G69" s="37">
        <v>-208</v>
      </c>
      <c r="H69" s="21" t="s">
        <v>262</v>
      </c>
      <c r="I69" s="45">
        <f>IF(Bets35[[#This Row],[Result]]="L",0-Bets35[[#This Row],[Risk]],IF(Bets35[[#This Row],[Result]]="Push",0,IF(Bets35[[#This Row],[Result]]="No Action",0,IF(Bets35[[#This Row],[Result]]="W",IF(Bets35[[#This Row],[Odds]]&gt;0,Bets35[[#This Row],[Odds]]/100*Bets35[[#This Row],[Risk]],(Bets35[[#This Row],[Risk]]/Bets35[[#This Row],[Odds]]*-100)),""))))</f>
        <v>10</v>
      </c>
      <c r="J69" s="23" t="str">
        <f>IF(ISNUMBER(SEARCH(CHAR(10),Bets35[[#This Row],[Bet]])),"P",IF(ISNUMBER(FIND("Under",Bets35[[#This Row],[Bet]])),"U",IF(ISNUMBER(SEARCH("Over",Bets35[[#This Row],[Bet]])),"O",IF(ISNUMBER(SEARCH("+",Bets35[[#This Row],[Bet]])),"D",IF(ISNUMBER(SEARCH("-",Bets35[[#This Row],[Bet]])),"F",IF(ISNUMBER(SEARCH("Moneyline",Bets35[[#This Row],[Bet]])),IF(Bets35[[#This Row],[Odds]]&lt;0,"MF","MD"),""))))))</f>
        <v>MF</v>
      </c>
      <c r="K69"/>
      <c r="L69" s="24">
        <f t="shared" si="5"/>
        <v>0</v>
      </c>
      <c r="M69" s="1" t="str">
        <f>COUNTIFS(Bets35[Date],L69,Bets35[Result],"W")&amp;"-"&amp;COUNTIFS(Bets35[Date],L69,Bets35[Result],"L")&amp;IF(COUNTIFS(Bets35[Date],L69,Bets35[Result],"Push")&gt;0,"-"&amp;COUNTIFS(Bets35[Date],L69,Bets35[Result],"Push"),"")</f>
        <v>0-0</v>
      </c>
      <c r="N69" s="25" t="str">
        <f>IFERROR(COUNTIFS(Bets35[Date],L69,Bets35[Result],"W")/(COUNTIFS(Bets35[Date],L69,Bets35[Result],"W")+COUNTIFS(Bets35[Date],L69,Bets35[Result],"L")),"")</f>
        <v/>
      </c>
      <c r="O69" s="26">
        <f>SUMIF(Bets35[Date],L69,Bets35[Net])</f>
        <v>0</v>
      </c>
      <c r="P69" s="27" t="str">
        <f>IFERROR("("&amp;ROUND(SUMIF(Bets35[Date],L69,Bets35[Net])/SUMIF(Bets35[Date],L69,Bets35[Risk]),2)*100&amp;"%)","")</f>
        <v/>
      </c>
      <c r="Q69" s="72" t="str">
        <f t="shared" si="2"/>
        <v/>
      </c>
      <c r="R69" s="73" t="str">
        <f>IFERROR(SUMIF(Bets35[Date],"&lt;="&amp;L69,Bets35[Net])/SUMIF(Bets35[Date],"&lt;="&amp;L69,Bets35[Risk]),"")</f>
        <v/>
      </c>
    </row>
    <row r="70" spans="1:18" x14ac:dyDescent="0.25">
      <c r="A70" s="13">
        <f t="shared" si="4"/>
        <v>6</v>
      </c>
      <c r="B70" s="17">
        <v>43585</v>
      </c>
      <c r="C70" s="17" t="s">
        <v>802</v>
      </c>
      <c r="D70" s="18" t="s">
        <v>932</v>
      </c>
      <c r="E70" s="11" t="s">
        <v>1152</v>
      </c>
      <c r="F70" s="19">
        <f>IF(Bets35[[#This Row],[Odds]]&lt;0,Bets35[[#This Row],[Odds]]/-10,10)</f>
        <v>11</v>
      </c>
      <c r="G70" s="37">
        <v>-110</v>
      </c>
      <c r="H70" s="21" t="s">
        <v>262</v>
      </c>
      <c r="I70" s="45">
        <f>IF(Bets35[[#This Row],[Result]]="L",0-Bets35[[#This Row],[Risk]],IF(Bets35[[#This Row],[Result]]="Push",0,IF(Bets35[[#This Row],[Result]]="No Action",0,IF(Bets35[[#This Row],[Result]]="W",IF(Bets35[[#This Row],[Odds]]&gt;0,Bets35[[#This Row],[Odds]]/100*Bets35[[#This Row],[Risk]],(Bets35[[#This Row],[Risk]]/Bets35[[#This Row],[Odds]]*-100)),""))))</f>
        <v>10</v>
      </c>
      <c r="J70" s="23" t="str">
        <f>IF(ISNUMBER(SEARCH(CHAR(10),Bets35[[#This Row],[Bet]])),"P",IF(ISNUMBER(FIND("Under",Bets35[[#This Row],[Bet]])),"U",IF(ISNUMBER(SEARCH("Over",Bets35[[#This Row],[Bet]])),"O",IF(ISNUMBER(SEARCH("+",Bets35[[#This Row],[Bet]])),"D",IF(ISNUMBER(SEARCH("-",Bets35[[#This Row],[Bet]])),"F",IF(ISNUMBER(SEARCH("Moneyline",Bets35[[#This Row],[Bet]])),IF(Bets35[[#This Row],[Odds]]&lt;0,"MF","MD"),""))))))</f>
        <v>MF</v>
      </c>
      <c r="K70"/>
      <c r="L70" s="24">
        <f t="shared" si="5"/>
        <v>0</v>
      </c>
      <c r="M70" s="1" t="str">
        <f>COUNTIFS(Bets35[Date],L70,Bets35[Result],"W")&amp;"-"&amp;COUNTIFS(Bets35[Date],L70,Bets35[Result],"L")&amp;IF(COUNTIFS(Bets35[Date],L70,Bets35[Result],"Push")&gt;0,"-"&amp;COUNTIFS(Bets35[Date],L70,Bets35[Result],"Push"),"")</f>
        <v>0-0</v>
      </c>
      <c r="N70" s="25" t="str">
        <f>IFERROR(COUNTIFS(Bets35[Date],L70,Bets35[Result],"W")/(COUNTIFS(Bets35[Date],L70,Bets35[Result],"W")+COUNTIFS(Bets35[Date],L70,Bets35[Result],"L")),"")</f>
        <v/>
      </c>
      <c r="O70" s="26">
        <f>SUMIF(Bets35[Date],L70,Bets35[Net])</f>
        <v>0</v>
      </c>
      <c r="P70" s="27" t="str">
        <f>IFERROR("("&amp;ROUND(SUMIF(Bets35[Date],L70,Bets35[Net])/SUMIF(Bets35[Date],L70,Bets35[Risk]),2)*100&amp;"%)","")</f>
        <v/>
      </c>
      <c r="Q70" s="72" t="str">
        <f t="shared" ref="Q70:Q133" si="6">IF(L70&lt;&gt;0,Q69+O70,"")</f>
        <v/>
      </c>
      <c r="R70" s="73" t="str">
        <f>IFERROR(SUMIF(Bets35[Date],"&lt;="&amp;L70,Bets35[Net])/SUMIF(Bets35[Date],"&lt;="&amp;L70,Bets35[Risk]),"")</f>
        <v/>
      </c>
    </row>
    <row r="71" spans="1:18" x14ac:dyDescent="0.25">
      <c r="A71" s="13">
        <f t="shared" si="4"/>
        <v>6</v>
      </c>
      <c r="B71" s="17">
        <v>43585</v>
      </c>
      <c r="C71" s="17" t="s">
        <v>802</v>
      </c>
      <c r="D71" s="18" t="s">
        <v>928</v>
      </c>
      <c r="E71" s="11" t="s">
        <v>1153</v>
      </c>
      <c r="F71" s="19">
        <f>IF(Bets35[[#This Row],[Odds]]&lt;0,Bets35[[#This Row],[Odds]]/-10,10)</f>
        <v>12.5</v>
      </c>
      <c r="G71" s="37">
        <v>-125</v>
      </c>
      <c r="H71" s="21" t="s">
        <v>263</v>
      </c>
      <c r="I71" s="45">
        <f>IF(Bets35[[#This Row],[Result]]="L",0-Bets35[[#This Row],[Risk]],IF(Bets35[[#This Row],[Result]]="Push",0,IF(Bets35[[#This Row],[Result]]="No Action",0,IF(Bets35[[#This Row],[Result]]="W",IF(Bets35[[#This Row],[Odds]]&gt;0,Bets35[[#This Row],[Odds]]/100*Bets35[[#This Row],[Risk]],(Bets35[[#This Row],[Risk]]/Bets35[[#This Row],[Odds]]*-100)),""))))</f>
        <v>-12.5</v>
      </c>
      <c r="J71" s="23" t="str">
        <f>IF(ISNUMBER(SEARCH(CHAR(10),Bets35[[#This Row],[Bet]])),"P",IF(ISNUMBER(FIND("Under",Bets35[[#This Row],[Bet]])),"U",IF(ISNUMBER(SEARCH("Over",Bets35[[#This Row],[Bet]])),"O",IF(ISNUMBER(SEARCH("+",Bets35[[#This Row],[Bet]])),"D",IF(ISNUMBER(SEARCH("-",Bets35[[#This Row],[Bet]])),"F",IF(ISNUMBER(SEARCH("Moneyline",Bets35[[#This Row],[Bet]])),IF(Bets35[[#This Row],[Odds]]&lt;0,"MF","MD"),""))))))</f>
        <v>MF</v>
      </c>
      <c r="K71"/>
      <c r="L71" s="24">
        <f t="shared" si="5"/>
        <v>0</v>
      </c>
      <c r="M71" s="1" t="str">
        <f>COUNTIFS(Bets35[Date],L71,Bets35[Result],"W")&amp;"-"&amp;COUNTIFS(Bets35[Date],L71,Bets35[Result],"L")&amp;IF(COUNTIFS(Bets35[Date],L71,Bets35[Result],"Push")&gt;0,"-"&amp;COUNTIFS(Bets35[Date],L71,Bets35[Result],"Push"),"")</f>
        <v>0-0</v>
      </c>
      <c r="N71" s="25" t="str">
        <f>IFERROR(COUNTIFS(Bets35[Date],L71,Bets35[Result],"W")/(COUNTIFS(Bets35[Date],L71,Bets35[Result],"W")+COUNTIFS(Bets35[Date],L71,Bets35[Result],"L")),"")</f>
        <v/>
      </c>
      <c r="O71" s="26">
        <f>SUMIF(Bets35[Date],L71,Bets35[Net])</f>
        <v>0</v>
      </c>
      <c r="P71" s="27" t="str">
        <f>IFERROR("("&amp;ROUND(SUMIF(Bets35[Date],L71,Bets35[Net])/SUMIF(Bets35[Date],L71,Bets35[Risk]),2)*100&amp;"%)","")</f>
        <v/>
      </c>
      <c r="Q71" s="72" t="str">
        <f t="shared" si="6"/>
        <v/>
      </c>
      <c r="R71" s="73" t="str">
        <f>IFERROR(SUMIF(Bets35[Date],"&lt;="&amp;L71,Bets35[Net])/SUMIF(Bets35[Date],"&lt;="&amp;L71,Bets35[Risk]),"")</f>
        <v/>
      </c>
    </row>
    <row r="72" spans="1:18" x14ac:dyDescent="0.25">
      <c r="A72" s="13">
        <f t="shared" si="4"/>
        <v>6</v>
      </c>
      <c r="B72" s="17">
        <v>43585</v>
      </c>
      <c r="C72" s="17" t="s">
        <v>802</v>
      </c>
      <c r="D72" s="18" t="s">
        <v>1154</v>
      </c>
      <c r="E72" s="11" t="s">
        <v>876</v>
      </c>
      <c r="F72" s="19">
        <f>IF(Bets35[[#This Row],[Odds]]&lt;0,Bets35[[#This Row],[Odds]]/-10,10)</f>
        <v>10.5</v>
      </c>
      <c r="G72" s="37">
        <v>-105</v>
      </c>
      <c r="H72" s="21" t="s">
        <v>262</v>
      </c>
      <c r="I72" s="45">
        <f>IF(Bets35[[#This Row],[Result]]="L",0-Bets35[[#This Row],[Risk]],IF(Bets35[[#This Row],[Result]]="Push",0,IF(Bets35[[#This Row],[Result]]="No Action",0,IF(Bets35[[#This Row],[Result]]="W",IF(Bets35[[#This Row],[Odds]]&gt;0,Bets35[[#This Row],[Odds]]/100*Bets35[[#This Row],[Risk]],(Bets35[[#This Row],[Risk]]/Bets35[[#This Row],[Odds]]*-100)),""))))</f>
        <v>10</v>
      </c>
      <c r="J72" s="23" t="str">
        <f>IF(ISNUMBER(SEARCH(CHAR(10),Bets35[[#This Row],[Bet]])),"P",IF(ISNUMBER(FIND("Under",Bets35[[#This Row],[Bet]])),"U",IF(ISNUMBER(SEARCH("Over",Bets35[[#This Row],[Bet]])),"O",IF(ISNUMBER(SEARCH("+",Bets35[[#This Row],[Bet]])),"D",IF(ISNUMBER(SEARCH("-",Bets35[[#This Row],[Bet]])),"F",IF(ISNUMBER(SEARCH("Moneyline",Bets35[[#This Row],[Bet]])),IF(Bets35[[#This Row],[Odds]]&lt;0,"MF","MD"),""))))))</f>
        <v>MF</v>
      </c>
      <c r="K72"/>
      <c r="L72" s="24">
        <f t="shared" si="5"/>
        <v>0</v>
      </c>
      <c r="M72" s="1" t="str">
        <f>COUNTIFS(Bets35[Date],L72,Bets35[Result],"W")&amp;"-"&amp;COUNTIFS(Bets35[Date],L72,Bets35[Result],"L")&amp;IF(COUNTIFS(Bets35[Date],L72,Bets35[Result],"Push")&gt;0,"-"&amp;COUNTIFS(Bets35[Date],L72,Bets35[Result],"Push"),"")</f>
        <v>0-0</v>
      </c>
      <c r="N72" s="25" t="str">
        <f>IFERROR(COUNTIFS(Bets35[Date],L72,Bets35[Result],"W")/(COUNTIFS(Bets35[Date],L72,Bets35[Result],"W")+COUNTIFS(Bets35[Date],L72,Bets35[Result],"L")),"")</f>
        <v/>
      </c>
      <c r="O72" s="26">
        <f>SUMIF(Bets35[Date],L72,Bets35[Net])</f>
        <v>0</v>
      </c>
      <c r="P72" s="27" t="str">
        <f>IFERROR("("&amp;ROUND(SUMIF(Bets35[Date],L72,Bets35[Net])/SUMIF(Bets35[Date],L72,Bets35[Risk]),2)*100&amp;"%)","")</f>
        <v/>
      </c>
      <c r="Q72" s="72" t="str">
        <f t="shared" si="6"/>
        <v/>
      </c>
      <c r="R72" s="73" t="str">
        <f>IFERROR(SUMIF(Bets35[Date],"&lt;="&amp;L72,Bets35[Net])/SUMIF(Bets35[Date],"&lt;="&amp;L72,Bets35[Risk]),"")</f>
        <v/>
      </c>
    </row>
    <row r="73" spans="1:18" x14ac:dyDescent="0.25">
      <c r="A73" s="13">
        <f t="shared" si="4"/>
        <v>6</v>
      </c>
      <c r="B73" s="17">
        <v>43585</v>
      </c>
      <c r="C73" s="17" t="s">
        <v>802</v>
      </c>
      <c r="D73" s="18" t="s">
        <v>929</v>
      </c>
      <c r="E73" s="11" t="s">
        <v>874</v>
      </c>
      <c r="F73" s="19">
        <f>IF(Bets35[[#This Row],[Odds]]&lt;0,Bets35[[#This Row],[Odds]]/-10,10)</f>
        <v>10</v>
      </c>
      <c r="G73" s="37" t="s">
        <v>825</v>
      </c>
      <c r="H73" s="21" t="s">
        <v>846</v>
      </c>
      <c r="I73" s="45">
        <f>IF(Bets35[[#This Row],[Result]]="L",0-Bets35[[#This Row],[Risk]],IF(Bets35[[#This Row],[Result]]="Push",0,IF(Bets35[[#This Row],[Result]]="No Action",0,IF(Bets35[[#This Row],[Result]]="W",IF(Bets35[[#This Row],[Odds]]&gt;0,Bets35[[#This Row],[Odds]]/100*Bets35[[#This Row],[Risk]],(Bets35[[#This Row],[Risk]]/Bets35[[#This Row],[Odds]]*-100)),""))))</f>
        <v>0</v>
      </c>
      <c r="J73" s="39" t="str">
        <f>IF(ISNUMBER(SEARCH(CHAR(10),Bets35[[#This Row],[Bet]])),"P",IF(ISNUMBER(FIND("Under",Bets35[[#This Row],[Bet]])),"U",IF(ISNUMBER(SEARCH("Over",Bets35[[#This Row],[Bet]])),"O",IF(ISNUMBER(SEARCH("+",Bets35[[#This Row],[Bet]])),"D",IF(ISNUMBER(SEARCH("-",Bets35[[#This Row],[Bet]])),"F",IF(ISNUMBER(SEARCH("Moneyline",Bets35[[#This Row],[Bet]])),IF(Bets35[[#This Row],[Odds]]&lt;0,"MF","MD"),""))))))</f>
        <v>MD</v>
      </c>
      <c r="K73"/>
      <c r="L73" s="24">
        <f t="shared" si="5"/>
        <v>0</v>
      </c>
      <c r="M73" s="1" t="str">
        <f>COUNTIFS(Bets35[Date],L73,Bets35[Result],"W")&amp;"-"&amp;COUNTIFS(Bets35[Date],L73,Bets35[Result],"L")&amp;IF(COUNTIFS(Bets35[Date],L73,Bets35[Result],"Push")&gt;0,"-"&amp;COUNTIFS(Bets35[Date],L73,Bets35[Result],"Push"),"")</f>
        <v>0-0</v>
      </c>
      <c r="N73" s="25" t="str">
        <f>IFERROR(COUNTIFS(Bets35[Date],L73,Bets35[Result],"W")/(COUNTIFS(Bets35[Date],L73,Bets35[Result],"W")+COUNTIFS(Bets35[Date],L73,Bets35[Result],"L")),"")</f>
        <v/>
      </c>
      <c r="O73" s="26">
        <f>SUMIF(Bets35[Date],L73,Bets35[Net])</f>
        <v>0</v>
      </c>
      <c r="P73" s="27" t="str">
        <f>IFERROR("("&amp;ROUND(SUMIF(Bets35[Date],L73,Bets35[Net])/SUMIF(Bets35[Date],L73,Bets35[Risk]),2)*100&amp;"%)","")</f>
        <v/>
      </c>
      <c r="Q73" s="72" t="str">
        <f t="shared" si="6"/>
        <v/>
      </c>
      <c r="R73" s="73" t="str">
        <f>IFERROR(SUMIF(Bets35[Date],"&lt;="&amp;L73,Bets35[Net])/SUMIF(Bets35[Date],"&lt;="&amp;L73,Bets35[Risk]),"")</f>
        <v/>
      </c>
    </row>
    <row r="74" spans="1:18" x14ac:dyDescent="0.25">
      <c r="A74" s="13">
        <f t="shared" si="4"/>
        <v>6</v>
      </c>
      <c r="B74" s="17">
        <v>43585</v>
      </c>
      <c r="C74" s="17" t="s">
        <v>802</v>
      </c>
      <c r="D74" s="18" t="s">
        <v>930</v>
      </c>
      <c r="E74" s="11" t="s">
        <v>819</v>
      </c>
      <c r="F74" s="19">
        <f>IF(Bets35[[#This Row],[Odds]]&lt;0,Bets35[[#This Row],[Odds]]/-10,10)</f>
        <v>17.3</v>
      </c>
      <c r="G74" s="37">
        <v>-173</v>
      </c>
      <c r="H74" s="21" t="s">
        <v>846</v>
      </c>
      <c r="I74" s="45">
        <f>IF(Bets35[[#This Row],[Result]]="L",0-Bets35[[#This Row],[Risk]],IF(Bets35[[#This Row],[Result]]="Push",0,IF(Bets35[[#This Row],[Result]]="No Action",0,IF(Bets35[[#This Row],[Result]]="W",IF(Bets35[[#This Row],[Odds]]&gt;0,Bets35[[#This Row],[Odds]]/100*Bets35[[#This Row],[Risk]],(Bets35[[#This Row],[Risk]]/Bets35[[#This Row],[Odds]]*-100)),""))))</f>
        <v>0</v>
      </c>
      <c r="J74" s="39" t="str">
        <f>IF(ISNUMBER(SEARCH(CHAR(10),Bets35[[#This Row],[Bet]])),"P",IF(ISNUMBER(FIND("Under",Bets35[[#This Row],[Bet]])),"U",IF(ISNUMBER(SEARCH("Over",Bets35[[#This Row],[Bet]])),"O",IF(ISNUMBER(SEARCH("+",Bets35[[#This Row],[Bet]])),"D",IF(ISNUMBER(SEARCH("-",Bets35[[#This Row],[Bet]])),"F",IF(ISNUMBER(SEARCH("Moneyline",Bets35[[#This Row],[Bet]])),IF(Bets35[[#This Row],[Odds]]&lt;0,"MF","MD"),""))))))</f>
        <v>MF</v>
      </c>
      <c r="K74"/>
      <c r="L74" s="24">
        <f t="shared" si="5"/>
        <v>0</v>
      </c>
      <c r="M74" s="1" t="str">
        <f>COUNTIFS(Bets35[Date],L74,Bets35[Result],"W")&amp;"-"&amp;COUNTIFS(Bets35[Date],L74,Bets35[Result],"L")&amp;IF(COUNTIFS(Bets35[Date],L74,Bets35[Result],"Push")&gt;0,"-"&amp;COUNTIFS(Bets35[Date],L74,Bets35[Result],"Push"),"")</f>
        <v>0-0</v>
      </c>
      <c r="N74" s="25" t="str">
        <f>IFERROR(COUNTIFS(Bets35[Date],L74,Bets35[Result],"W")/(COUNTIFS(Bets35[Date],L74,Bets35[Result],"W")+COUNTIFS(Bets35[Date],L74,Bets35[Result],"L")),"")</f>
        <v/>
      </c>
      <c r="O74" s="26">
        <f>SUMIF(Bets35[Date],L74,Bets35[Net])</f>
        <v>0</v>
      </c>
      <c r="P74" s="27" t="str">
        <f>IFERROR("("&amp;ROUND(SUMIF(Bets35[Date],L74,Bets35[Net])/SUMIF(Bets35[Date],L74,Bets35[Risk]),2)*100&amp;"%)","")</f>
        <v/>
      </c>
      <c r="Q74" s="72" t="str">
        <f t="shared" si="6"/>
        <v/>
      </c>
      <c r="R74" s="73" t="str">
        <f>IFERROR(SUMIF(Bets35[Date],"&lt;="&amp;L74,Bets35[Net])/SUMIF(Bets35[Date],"&lt;="&amp;L74,Bets35[Risk]),"")</f>
        <v/>
      </c>
    </row>
    <row r="75" spans="1:18" x14ac:dyDescent="0.25">
      <c r="A75" s="13">
        <f t="shared" si="4"/>
        <v>6</v>
      </c>
      <c r="B75" s="17">
        <v>43585</v>
      </c>
      <c r="C75" s="17" t="s">
        <v>802</v>
      </c>
      <c r="D75" s="18" t="s">
        <v>1155</v>
      </c>
      <c r="E75" s="11" t="s">
        <v>832</v>
      </c>
      <c r="F75" s="19">
        <f>IF(Bets35[[#This Row],[Odds]]&lt;0,Bets35[[#This Row],[Odds]]/-10,10)</f>
        <v>10</v>
      </c>
      <c r="G75" s="37" t="s">
        <v>817</v>
      </c>
      <c r="H75" s="21" t="s">
        <v>263</v>
      </c>
      <c r="I75" s="45">
        <f>IF(Bets35[[#This Row],[Result]]="L",0-Bets35[[#This Row],[Risk]],IF(Bets35[[#This Row],[Result]]="Push",0,IF(Bets35[[#This Row],[Result]]="No Action",0,IF(Bets35[[#This Row],[Result]]="W",IF(Bets35[[#This Row],[Odds]]&gt;0,Bets35[[#This Row],[Odds]]/100*Bets35[[#This Row],[Risk]],(Bets35[[#This Row],[Risk]]/Bets35[[#This Row],[Odds]]*-100)),""))))</f>
        <v>-10</v>
      </c>
      <c r="J75" s="39" t="str">
        <f>IF(ISNUMBER(SEARCH(CHAR(10),Bets35[[#This Row],[Bet]])),"P",IF(ISNUMBER(FIND("Under",Bets35[[#This Row],[Bet]])),"U",IF(ISNUMBER(SEARCH("Over",Bets35[[#This Row],[Bet]])),"O",IF(ISNUMBER(SEARCH("+",Bets35[[#This Row],[Bet]])),"D",IF(ISNUMBER(SEARCH("-",Bets35[[#This Row],[Bet]])),"F",IF(ISNUMBER(SEARCH("Moneyline",Bets35[[#This Row],[Bet]])),IF(Bets35[[#This Row],[Odds]]&lt;0,"MF","MD"),""))))))</f>
        <v>MD</v>
      </c>
      <c r="K75"/>
      <c r="L75" s="24">
        <f t="shared" si="5"/>
        <v>0</v>
      </c>
      <c r="M75" s="1" t="str">
        <f>COUNTIFS(Bets35[Date],L75,Bets35[Result],"W")&amp;"-"&amp;COUNTIFS(Bets35[Date],L75,Bets35[Result],"L")&amp;IF(COUNTIFS(Bets35[Date],L75,Bets35[Result],"Push")&gt;0,"-"&amp;COUNTIFS(Bets35[Date],L75,Bets35[Result],"Push"),"")</f>
        <v>0-0</v>
      </c>
      <c r="N75" s="25" t="str">
        <f>IFERROR(COUNTIFS(Bets35[Date],L75,Bets35[Result],"W")/(COUNTIFS(Bets35[Date],L75,Bets35[Result],"W")+COUNTIFS(Bets35[Date],L75,Bets35[Result],"L")),"")</f>
        <v/>
      </c>
      <c r="O75" s="26">
        <f>SUMIF(Bets35[Date],L75,Bets35[Net])</f>
        <v>0</v>
      </c>
      <c r="P75" s="27" t="str">
        <f>IFERROR("("&amp;ROUND(SUMIF(Bets35[Date],L75,Bets35[Net])/SUMIF(Bets35[Date],L75,Bets35[Risk]),2)*100&amp;"%)","")</f>
        <v/>
      </c>
      <c r="Q75" s="72" t="str">
        <f t="shared" si="6"/>
        <v/>
      </c>
      <c r="R75" s="73" t="str">
        <f>IFERROR(SUMIF(Bets35[Date],"&lt;="&amp;L75,Bets35[Net])/SUMIF(Bets35[Date],"&lt;="&amp;L75,Bets35[Risk]),"")</f>
        <v/>
      </c>
    </row>
    <row r="76" spans="1:18" x14ac:dyDescent="0.25">
      <c r="A76" s="13">
        <f t="shared" si="4"/>
        <v>6</v>
      </c>
      <c r="B76" s="17">
        <v>43585</v>
      </c>
      <c r="C76" s="17" t="s">
        <v>802</v>
      </c>
      <c r="D76" s="18" t="s">
        <v>935</v>
      </c>
      <c r="E76" s="11" t="s">
        <v>827</v>
      </c>
      <c r="F76" s="19">
        <f>IF(Bets35[[#This Row],[Odds]]&lt;0,Bets35[[#This Row],[Odds]]/-10,10)</f>
        <v>14</v>
      </c>
      <c r="G76" s="37">
        <v>-140</v>
      </c>
      <c r="H76" s="21" t="s">
        <v>262</v>
      </c>
      <c r="I76" s="45">
        <f>IF(Bets35[[#This Row],[Result]]="L",0-Bets35[[#This Row],[Risk]],IF(Bets35[[#This Row],[Result]]="Push",0,IF(Bets35[[#This Row],[Result]]="No Action",0,IF(Bets35[[#This Row],[Result]]="W",IF(Bets35[[#This Row],[Odds]]&gt;0,Bets35[[#This Row],[Odds]]/100*Bets35[[#This Row],[Risk]],(Bets35[[#This Row],[Risk]]/Bets35[[#This Row],[Odds]]*-100)),""))))</f>
        <v>10</v>
      </c>
      <c r="J76" s="39" t="str">
        <f>IF(ISNUMBER(SEARCH(CHAR(10),Bets35[[#This Row],[Bet]])),"P",IF(ISNUMBER(FIND("Under",Bets35[[#This Row],[Bet]])),"U",IF(ISNUMBER(SEARCH("Over",Bets35[[#This Row],[Bet]])),"O",IF(ISNUMBER(SEARCH("+",Bets35[[#This Row],[Bet]])),"D",IF(ISNUMBER(SEARCH("-",Bets35[[#This Row],[Bet]])),"F",IF(ISNUMBER(SEARCH("Moneyline",Bets35[[#This Row],[Bet]])),IF(Bets35[[#This Row],[Odds]]&lt;0,"MF","MD"),""))))))</f>
        <v>MF</v>
      </c>
      <c r="K76"/>
      <c r="L76" s="24">
        <f t="shared" si="5"/>
        <v>0</v>
      </c>
      <c r="M76" s="1" t="str">
        <f>COUNTIFS(Bets35[Date],L76,Bets35[Result],"W")&amp;"-"&amp;COUNTIFS(Bets35[Date],L76,Bets35[Result],"L")&amp;IF(COUNTIFS(Bets35[Date],L76,Bets35[Result],"Push")&gt;0,"-"&amp;COUNTIFS(Bets35[Date],L76,Bets35[Result],"Push"),"")</f>
        <v>0-0</v>
      </c>
      <c r="N76" s="25" t="str">
        <f>IFERROR(COUNTIFS(Bets35[Date],L76,Bets35[Result],"W")/(COUNTIFS(Bets35[Date],L76,Bets35[Result],"W")+COUNTIFS(Bets35[Date],L76,Bets35[Result],"L")),"")</f>
        <v/>
      </c>
      <c r="O76" s="26">
        <f>SUMIF(Bets35[Date],L76,Bets35[Net])</f>
        <v>0</v>
      </c>
      <c r="P76" s="27" t="str">
        <f>IFERROR("("&amp;ROUND(SUMIF(Bets35[Date],L76,Bets35[Net])/SUMIF(Bets35[Date],L76,Bets35[Risk]),2)*100&amp;"%)","")</f>
        <v/>
      </c>
      <c r="Q76" s="72" t="str">
        <f t="shared" si="6"/>
        <v/>
      </c>
      <c r="R76" s="73" t="str">
        <f>IFERROR(SUMIF(Bets35[Date],"&lt;="&amp;L76,Bets35[Net])/SUMIF(Bets35[Date],"&lt;="&amp;L76,Bets35[Risk]),"")</f>
        <v/>
      </c>
    </row>
    <row r="77" spans="1:18" x14ac:dyDescent="0.25">
      <c r="A77" s="13">
        <f t="shared" si="4"/>
        <v>6</v>
      </c>
      <c r="B77" s="17">
        <v>43585</v>
      </c>
      <c r="C77" s="17" t="s">
        <v>802</v>
      </c>
      <c r="D77" s="18" t="s">
        <v>926</v>
      </c>
      <c r="E77" s="11" t="s">
        <v>1156</v>
      </c>
      <c r="F77" s="19">
        <f>IF(Bets35[[#This Row],[Odds]]&lt;0,Bets35[[#This Row],[Odds]]/-10,10)</f>
        <v>12</v>
      </c>
      <c r="G77" s="37">
        <v>-120</v>
      </c>
      <c r="H77" s="21" t="s">
        <v>263</v>
      </c>
      <c r="I77" s="45">
        <f>IF(Bets35[[#This Row],[Result]]="L",0-Bets35[[#This Row],[Risk]],IF(Bets35[[#This Row],[Result]]="Push",0,IF(Bets35[[#This Row],[Result]]="No Action",0,IF(Bets35[[#This Row],[Result]]="W",IF(Bets35[[#This Row],[Odds]]&gt;0,Bets35[[#This Row],[Odds]]/100*Bets35[[#This Row],[Risk]],(Bets35[[#This Row],[Risk]]/Bets35[[#This Row],[Odds]]*-100)),""))))</f>
        <v>-12</v>
      </c>
      <c r="J77" s="39" t="str">
        <f>IF(ISNUMBER(SEARCH(CHAR(10),Bets35[[#This Row],[Bet]])),"P",IF(ISNUMBER(FIND("Under",Bets35[[#This Row],[Bet]])),"U",IF(ISNUMBER(SEARCH("Over",Bets35[[#This Row],[Bet]])),"O",IF(ISNUMBER(SEARCH("+",Bets35[[#This Row],[Bet]])),"D",IF(ISNUMBER(SEARCH("-",Bets35[[#This Row],[Bet]])),"F",IF(ISNUMBER(SEARCH("Moneyline",Bets35[[#This Row],[Bet]])),IF(Bets35[[#This Row],[Odds]]&lt;0,"MF","MD"),""))))))</f>
        <v>O</v>
      </c>
      <c r="K77"/>
      <c r="L77" s="24">
        <f t="shared" si="5"/>
        <v>0</v>
      </c>
      <c r="M77" s="1" t="str">
        <f>COUNTIFS(Bets35[Date],L77,Bets35[Result],"W")&amp;"-"&amp;COUNTIFS(Bets35[Date],L77,Bets35[Result],"L")&amp;IF(COUNTIFS(Bets35[Date],L77,Bets35[Result],"Push")&gt;0,"-"&amp;COUNTIFS(Bets35[Date],L77,Bets35[Result],"Push"),"")</f>
        <v>0-0</v>
      </c>
      <c r="N77" s="25" t="str">
        <f>IFERROR(COUNTIFS(Bets35[Date],L77,Bets35[Result],"W")/(COUNTIFS(Bets35[Date],L77,Bets35[Result],"W")+COUNTIFS(Bets35[Date],L77,Bets35[Result],"L")),"")</f>
        <v/>
      </c>
      <c r="O77" s="26">
        <f>SUMIF(Bets35[Date],L77,Bets35[Net])</f>
        <v>0</v>
      </c>
      <c r="P77" s="27" t="str">
        <f>IFERROR("("&amp;ROUND(SUMIF(Bets35[Date],L77,Bets35[Net])/SUMIF(Bets35[Date],L77,Bets35[Risk]),2)*100&amp;"%)","")</f>
        <v/>
      </c>
      <c r="Q77" s="72" t="str">
        <f t="shared" si="6"/>
        <v/>
      </c>
      <c r="R77" s="73" t="str">
        <f>IFERROR(SUMIF(Bets35[Date],"&lt;="&amp;L77,Bets35[Net])/SUMIF(Bets35[Date],"&lt;="&amp;L77,Bets35[Risk]),"")</f>
        <v/>
      </c>
    </row>
    <row r="78" spans="1:18" x14ac:dyDescent="0.25">
      <c r="A78" s="13">
        <f t="shared" si="4"/>
        <v>6</v>
      </c>
      <c r="B78" s="17">
        <v>43585</v>
      </c>
      <c r="C78" s="17" t="s">
        <v>802</v>
      </c>
      <c r="D78" s="18" t="s">
        <v>925</v>
      </c>
      <c r="E78" s="11" t="s">
        <v>1156</v>
      </c>
      <c r="F78" s="19">
        <f>IF(Bets35[[#This Row],[Odds]]&lt;0,Bets35[[#This Row],[Odds]]/-10,10)</f>
        <v>11</v>
      </c>
      <c r="G78" s="37">
        <v>-110</v>
      </c>
      <c r="H78" s="21" t="s">
        <v>263</v>
      </c>
      <c r="I78" s="45">
        <f>IF(Bets35[[#This Row],[Result]]="L",0-Bets35[[#This Row],[Risk]],IF(Bets35[[#This Row],[Result]]="Push",0,IF(Bets35[[#This Row],[Result]]="No Action",0,IF(Bets35[[#This Row],[Result]]="W",IF(Bets35[[#This Row],[Odds]]&gt;0,Bets35[[#This Row],[Odds]]/100*Bets35[[#This Row],[Risk]],(Bets35[[#This Row],[Risk]]/Bets35[[#This Row],[Odds]]*-100)),""))))</f>
        <v>-11</v>
      </c>
      <c r="J78" s="39" t="str">
        <f>IF(ISNUMBER(SEARCH(CHAR(10),Bets35[[#This Row],[Bet]])),"P",IF(ISNUMBER(FIND("Under",Bets35[[#This Row],[Bet]])),"U",IF(ISNUMBER(SEARCH("Over",Bets35[[#This Row],[Bet]])),"O",IF(ISNUMBER(SEARCH("+",Bets35[[#This Row],[Bet]])),"D",IF(ISNUMBER(SEARCH("-",Bets35[[#This Row],[Bet]])),"F",IF(ISNUMBER(SEARCH("Moneyline",Bets35[[#This Row],[Bet]])),IF(Bets35[[#This Row],[Odds]]&lt;0,"MF","MD"),""))))))</f>
        <v>O</v>
      </c>
      <c r="K78"/>
      <c r="L78" s="24">
        <f t="shared" si="5"/>
        <v>0</v>
      </c>
      <c r="M78" s="1" t="str">
        <f>COUNTIFS(Bets35[Date],L78,Bets35[Result],"W")&amp;"-"&amp;COUNTIFS(Bets35[Date],L78,Bets35[Result],"L")&amp;IF(COUNTIFS(Bets35[Date],L78,Bets35[Result],"Push")&gt;0,"-"&amp;COUNTIFS(Bets35[Date],L78,Bets35[Result],"Push"),"")</f>
        <v>0-0</v>
      </c>
      <c r="N78" s="25" t="str">
        <f>IFERROR(COUNTIFS(Bets35[Date],L78,Bets35[Result],"W")/(COUNTIFS(Bets35[Date],L78,Bets35[Result],"W")+COUNTIFS(Bets35[Date],L78,Bets35[Result],"L")),"")</f>
        <v/>
      </c>
      <c r="O78" s="26">
        <f>SUMIF(Bets35[Date],L78,Bets35[Net])</f>
        <v>0</v>
      </c>
      <c r="P78" s="27" t="str">
        <f>IFERROR("("&amp;ROUND(SUMIF(Bets35[Date],L78,Bets35[Net])/SUMIF(Bets35[Date],L78,Bets35[Risk]),2)*100&amp;"%)","")</f>
        <v/>
      </c>
      <c r="Q78" s="72" t="str">
        <f t="shared" si="6"/>
        <v/>
      </c>
      <c r="R78" s="73" t="str">
        <f>IFERROR(SUMIF(Bets35[Date],"&lt;="&amp;L78,Bets35[Net])/SUMIF(Bets35[Date],"&lt;="&amp;L78,Bets35[Risk]),"")</f>
        <v/>
      </c>
    </row>
    <row r="79" spans="1:18" x14ac:dyDescent="0.25">
      <c r="A79" s="13">
        <f t="shared" si="4"/>
        <v>6</v>
      </c>
      <c r="B79" s="17">
        <v>43585</v>
      </c>
      <c r="C79" s="17" t="s">
        <v>802</v>
      </c>
      <c r="D79" s="18" t="s">
        <v>1157</v>
      </c>
      <c r="E79" s="11" t="s">
        <v>931</v>
      </c>
      <c r="F79" s="19">
        <f>IF(Bets35[[#This Row],[Odds]]&lt;0,Bets35[[#This Row],[Odds]]/-10,10)</f>
        <v>11</v>
      </c>
      <c r="G79" s="37">
        <v>-110</v>
      </c>
      <c r="H79" s="21" t="s">
        <v>262</v>
      </c>
      <c r="I79" s="45">
        <f>IF(Bets35[[#This Row],[Result]]="L",0-Bets35[[#This Row],[Risk]],IF(Bets35[[#This Row],[Result]]="Push",0,IF(Bets35[[#This Row],[Result]]="No Action",0,IF(Bets35[[#This Row],[Result]]="W",IF(Bets35[[#This Row],[Odds]]&gt;0,Bets35[[#This Row],[Odds]]/100*Bets35[[#This Row],[Risk]],(Bets35[[#This Row],[Risk]]/Bets35[[#This Row],[Odds]]*-100)),""))))</f>
        <v>10</v>
      </c>
      <c r="J79" s="39" t="str">
        <f>IF(ISNUMBER(SEARCH(CHAR(10),Bets35[[#This Row],[Bet]])),"P",IF(ISNUMBER(FIND("Under",Bets35[[#This Row],[Bet]])),"U",IF(ISNUMBER(SEARCH("Over",Bets35[[#This Row],[Bet]])),"O",IF(ISNUMBER(SEARCH("+",Bets35[[#This Row],[Bet]])),"D",IF(ISNUMBER(SEARCH("-",Bets35[[#This Row],[Bet]])),"F",IF(ISNUMBER(SEARCH("Moneyline",Bets35[[#This Row],[Bet]])),IF(Bets35[[#This Row],[Odds]]&lt;0,"MF","MD"),""))))))</f>
        <v>O</v>
      </c>
      <c r="K79"/>
      <c r="L79" s="24">
        <f t="shared" si="5"/>
        <v>0</v>
      </c>
      <c r="M79" s="1" t="str">
        <f>COUNTIFS(Bets35[Date],L79,Bets35[Result],"W")&amp;"-"&amp;COUNTIFS(Bets35[Date],L79,Bets35[Result],"L")&amp;IF(COUNTIFS(Bets35[Date],L79,Bets35[Result],"Push")&gt;0,"-"&amp;COUNTIFS(Bets35[Date],L79,Bets35[Result],"Push"),"")</f>
        <v>0-0</v>
      </c>
      <c r="N79" s="25" t="str">
        <f>IFERROR(COUNTIFS(Bets35[Date],L79,Bets35[Result],"W")/(COUNTIFS(Bets35[Date],L79,Bets35[Result],"W")+COUNTIFS(Bets35[Date],L79,Bets35[Result],"L")),"")</f>
        <v/>
      </c>
      <c r="O79" s="26">
        <f>SUMIF(Bets35[Date],L79,Bets35[Net])</f>
        <v>0</v>
      </c>
      <c r="P79" s="27" t="str">
        <f>IFERROR("("&amp;ROUND(SUMIF(Bets35[Date],L79,Bets35[Net])/SUMIF(Bets35[Date],L79,Bets35[Risk]),2)*100&amp;"%)","")</f>
        <v/>
      </c>
      <c r="Q79" s="72" t="str">
        <f t="shared" si="6"/>
        <v/>
      </c>
      <c r="R79" s="73" t="str">
        <f>IFERROR(SUMIF(Bets35[Date],"&lt;="&amp;L79,Bets35[Net])/SUMIF(Bets35[Date],"&lt;="&amp;L79,Bets35[Risk]),"")</f>
        <v/>
      </c>
    </row>
    <row r="80" spans="1:18" x14ac:dyDescent="0.25">
      <c r="A80" s="13">
        <f t="shared" si="4"/>
        <v>6</v>
      </c>
      <c r="B80" s="17">
        <v>43585</v>
      </c>
      <c r="C80" s="17" t="s">
        <v>802</v>
      </c>
      <c r="D80" s="18" t="s">
        <v>1154</v>
      </c>
      <c r="E80" s="11" t="s">
        <v>1158</v>
      </c>
      <c r="F80" s="19">
        <f>IF(Bets35[[#This Row],[Odds]]&lt;0,Bets35[[#This Row],[Odds]]/-10,10)</f>
        <v>11</v>
      </c>
      <c r="G80" s="37">
        <v>-110</v>
      </c>
      <c r="H80" s="21" t="s">
        <v>262</v>
      </c>
      <c r="I80" s="45">
        <f>IF(Bets35[[#This Row],[Result]]="L",0-Bets35[[#This Row],[Risk]],IF(Bets35[[#This Row],[Result]]="Push",0,IF(Bets35[[#This Row],[Result]]="No Action",0,IF(Bets35[[#This Row],[Result]]="W",IF(Bets35[[#This Row],[Odds]]&gt;0,Bets35[[#This Row],[Odds]]/100*Bets35[[#This Row],[Risk]],(Bets35[[#This Row],[Risk]]/Bets35[[#This Row],[Odds]]*-100)),""))))</f>
        <v>10</v>
      </c>
      <c r="J80" s="39" t="str">
        <f>IF(ISNUMBER(SEARCH(CHAR(10),Bets35[[#This Row],[Bet]])),"P",IF(ISNUMBER(FIND("Under",Bets35[[#This Row],[Bet]])),"U",IF(ISNUMBER(SEARCH("Over",Bets35[[#This Row],[Bet]])),"O",IF(ISNUMBER(SEARCH("+",Bets35[[#This Row],[Bet]])),"D",IF(ISNUMBER(SEARCH("-",Bets35[[#This Row],[Bet]])),"F",IF(ISNUMBER(SEARCH("Moneyline",Bets35[[#This Row],[Bet]])),IF(Bets35[[#This Row],[Odds]]&lt;0,"MF","MD"),""))))))</f>
        <v>U</v>
      </c>
      <c r="K80"/>
      <c r="L80" s="24">
        <f t="shared" si="5"/>
        <v>0</v>
      </c>
      <c r="M80" s="1" t="str">
        <f>COUNTIFS(Bets35[Date],L80,Bets35[Result],"W")&amp;"-"&amp;COUNTIFS(Bets35[Date],L80,Bets35[Result],"L")&amp;IF(COUNTIFS(Bets35[Date],L80,Bets35[Result],"Push")&gt;0,"-"&amp;COUNTIFS(Bets35[Date],L80,Bets35[Result],"Push"),"")</f>
        <v>0-0</v>
      </c>
      <c r="N80" s="25" t="str">
        <f>IFERROR(COUNTIFS(Bets35[Date],L80,Bets35[Result],"W")/(COUNTIFS(Bets35[Date],L80,Bets35[Result],"W")+COUNTIFS(Bets35[Date],L80,Bets35[Result],"L")),"")</f>
        <v/>
      </c>
      <c r="O80" s="26">
        <f>SUMIF(Bets35[Date],L80,Bets35[Net])</f>
        <v>0</v>
      </c>
      <c r="P80" s="27" t="str">
        <f>IFERROR("("&amp;ROUND(SUMIF(Bets35[Date],L80,Bets35[Net])/SUMIF(Bets35[Date],L80,Bets35[Risk]),2)*100&amp;"%)","")</f>
        <v/>
      </c>
      <c r="Q80" s="72" t="str">
        <f t="shared" si="6"/>
        <v/>
      </c>
      <c r="R80" s="73" t="str">
        <f>IFERROR(SUMIF(Bets35[Date],"&lt;="&amp;L80,Bets35[Net])/SUMIF(Bets35[Date],"&lt;="&amp;L80,Bets35[Risk]),"")</f>
        <v/>
      </c>
    </row>
    <row r="81" spans="1:18" x14ac:dyDescent="0.25">
      <c r="A81" s="13">
        <f t="shared" si="4"/>
        <v>6</v>
      </c>
      <c r="B81" s="17">
        <v>43585</v>
      </c>
      <c r="C81" s="17" t="s">
        <v>802</v>
      </c>
      <c r="D81" s="18" t="s">
        <v>929</v>
      </c>
      <c r="E81" s="11" t="s">
        <v>905</v>
      </c>
      <c r="F81" s="19">
        <f>IF(Bets35[[#This Row],[Odds]]&lt;0,Bets35[[#This Row],[Odds]]/-10,10)</f>
        <v>10.5</v>
      </c>
      <c r="G81" s="37">
        <v>-105</v>
      </c>
      <c r="H81" s="21" t="s">
        <v>846</v>
      </c>
      <c r="I81" s="45">
        <f>IF(Bets35[[#This Row],[Result]]="L",0-Bets35[[#This Row],[Risk]],IF(Bets35[[#This Row],[Result]]="Push",0,IF(Bets35[[#This Row],[Result]]="No Action",0,IF(Bets35[[#This Row],[Result]]="W",IF(Bets35[[#This Row],[Odds]]&gt;0,Bets35[[#This Row],[Odds]]/100*Bets35[[#This Row],[Risk]],(Bets35[[#This Row],[Risk]]/Bets35[[#This Row],[Odds]]*-100)),""))))</f>
        <v>0</v>
      </c>
      <c r="J81" s="39" t="str">
        <f>IF(ISNUMBER(SEARCH(CHAR(10),Bets35[[#This Row],[Bet]])),"P",IF(ISNUMBER(FIND("Under",Bets35[[#This Row],[Bet]])),"U",IF(ISNUMBER(SEARCH("Over",Bets35[[#This Row],[Bet]])),"O",IF(ISNUMBER(SEARCH("+",Bets35[[#This Row],[Bet]])),"D",IF(ISNUMBER(SEARCH("-",Bets35[[#This Row],[Bet]])),"F",IF(ISNUMBER(SEARCH("Moneyline",Bets35[[#This Row],[Bet]])),IF(Bets35[[#This Row],[Odds]]&lt;0,"MF","MD"),""))))))</f>
        <v>O</v>
      </c>
      <c r="K81"/>
      <c r="L81" s="24">
        <f t="shared" si="5"/>
        <v>0</v>
      </c>
      <c r="M81" s="1" t="str">
        <f>COUNTIFS(Bets35[Date],L81,Bets35[Result],"W")&amp;"-"&amp;COUNTIFS(Bets35[Date],L81,Bets35[Result],"L")&amp;IF(COUNTIFS(Bets35[Date],L81,Bets35[Result],"Push")&gt;0,"-"&amp;COUNTIFS(Bets35[Date],L81,Bets35[Result],"Push"),"")</f>
        <v>0-0</v>
      </c>
      <c r="N81" s="25" t="str">
        <f>IFERROR(COUNTIFS(Bets35[Date],L81,Bets35[Result],"W")/(COUNTIFS(Bets35[Date],L81,Bets35[Result],"W")+COUNTIFS(Bets35[Date],L81,Bets35[Result],"L")),"")</f>
        <v/>
      </c>
      <c r="O81" s="26">
        <f>SUMIF(Bets35[Date],L81,Bets35[Net])</f>
        <v>0</v>
      </c>
      <c r="P81" s="27" t="str">
        <f>IFERROR("("&amp;ROUND(SUMIF(Bets35[Date],L81,Bets35[Net])/SUMIF(Bets35[Date],L81,Bets35[Risk]),2)*100&amp;"%)","")</f>
        <v/>
      </c>
      <c r="Q81" s="72" t="str">
        <f t="shared" si="6"/>
        <v/>
      </c>
      <c r="R81" s="73" t="str">
        <f>IFERROR(SUMIF(Bets35[Date],"&lt;="&amp;L81,Bets35[Net])/SUMIF(Bets35[Date],"&lt;="&amp;L81,Bets35[Risk]),"")</f>
        <v/>
      </c>
    </row>
    <row r="82" spans="1:18" x14ac:dyDescent="0.25">
      <c r="A82" s="13">
        <f t="shared" si="4"/>
        <v>6</v>
      </c>
      <c r="B82" s="17">
        <v>43585</v>
      </c>
      <c r="C82" s="17" t="s">
        <v>802</v>
      </c>
      <c r="D82" s="18" t="s">
        <v>935</v>
      </c>
      <c r="E82" s="11" t="s">
        <v>902</v>
      </c>
      <c r="F82" s="19">
        <f>IF(Bets35[[#This Row],[Odds]]&lt;0,Bets35[[#This Row],[Odds]]/-10,10)</f>
        <v>12</v>
      </c>
      <c r="G82" s="37">
        <v>-120</v>
      </c>
      <c r="H82" s="21" t="s">
        <v>262</v>
      </c>
      <c r="I82" s="45">
        <f>IF(Bets35[[#This Row],[Result]]="L",0-Bets35[[#This Row],[Risk]],IF(Bets35[[#This Row],[Result]]="Push",0,IF(Bets35[[#This Row],[Result]]="No Action",0,IF(Bets35[[#This Row],[Result]]="W",IF(Bets35[[#This Row],[Odds]]&gt;0,Bets35[[#This Row],[Odds]]/100*Bets35[[#This Row],[Risk]],(Bets35[[#This Row],[Risk]]/Bets35[[#This Row],[Odds]]*-100)),""))))</f>
        <v>10</v>
      </c>
      <c r="J82" s="23" t="str">
        <f>IF(ISNUMBER(SEARCH(CHAR(10),Bets35[[#This Row],[Bet]])),"P",IF(ISNUMBER(FIND("Under",Bets35[[#This Row],[Bet]])),"U",IF(ISNUMBER(SEARCH("Over",Bets35[[#This Row],[Bet]])),"O",IF(ISNUMBER(SEARCH("+",Bets35[[#This Row],[Bet]])),"D",IF(ISNUMBER(SEARCH("-",Bets35[[#This Row],[Bet]])),"F",IF(ISNUMBER(SEARCH("Moneyline",Bets35[[#This Row],[Bet]])),IF(Bets35[[#This Row],[Odds]]&lt;0,"MF","MD"),""))))))</f>
        <v>O</v>
      </c>
      <c r="K82"/>
      <c r="L82" s="24">
        <f t="shared" si="5"/>
        <v>0</v>
      </c>
      <c r="M82" s="1" t="str">
        <f>COUNTIFS(Bets35[Date],L82,Bets35[Result],"W")&amp;"-"&amp;COUNTIFS(Bets35[Date],L82,Bets35[Result],"L")&amp;IF(COUNTIFS(Bets35[Date],L82,Bets35[Result],"Push")&gt;0,"-"&amp;COUNTIFS(Bets35[Date],L82,Bets35[Result],"Push"),"")</f>
        <v>0-0</v>
      </c>
      <c r="N82" s="25" t="str">
        <f>IFERROR(COUNTIFS(Bets35[Date],L82,Bets35[Result],"W")/(COUNTIFS(Bets35[Date],L82,Bets35[Result],"W")+COUNTIFS(Bets35[Date],L82,Bets35[Result],"L")),"")</f>
        <v/>
      </c>
      <c r="O82" s="26">
        <f>SUMIF(Bets35[Date],L82,Bets35[Net])</f>
        <v>0</v>
      </c>
      <c r="P82" s="27" t="str">
        <f>IFERROR("("&amp;ROUND(SUMIF(Bets35[Date],L82,Bets35[Net])/SUMIF(Bets35[Date],L82,Bets35[Risk]),2)*100&amp;"%)","")</f>
        <v/>
      </c>
      <c r="Q82" s="72" t="str">
        <f t="shared" si="6"/>
        <v/>
      </c>
      <c r="R82" s="73" t="str">
        <f>IFERROR(SUMIF(Bets35[Date],"&lt;="&amp;L82,Bets35[Net])/SUMIF(Bets35[Date],"&lt;="&amp;L82,Bets35[Risk]),"")</f>
        <v/>
      </c>
    </row>
    <row r="83" spans="1:18" x14ac:dyDescent="0.25">
      <c r="A83" s="13">
        <f t="shared" si="4"/>
        <v>6</v>
      </c>
      <c r="B83" s="17">
        <v>43585</v>
      </c>
      <c r="C83" s="17" t="s">
        <v>802</v>
      </c>
      <c r="D83" s="18" t="s">
        <v>1159</v>
      </c>
      <c r="E83" s="11" t="s">
        <v>845</v>
      </c>
      <c r="F83" s="19">
        <f>IF(Bets35[[#This Row],[Odds]]&lt;0,Bets35[[#This Row],[Odds]]/-10,10)</f>
        <v>12.5</v>
      </c>
      <c r="G83" s="37">
        <v>-125</v>
      </c>
      <c r="H83" s="21" t="s">
        <v>262</v>
      </c>
      <c r="I83" s="45">
        <f>IF(Bets35[[#This Row],[Result]]="L",0-Bets35[[#This Row],[Risk]],IF(Bets35[[#This Row],[Result]]="Push",0,IF(Bets35[[#This Row],[Result]]="No Action",0,IF(Bets35[[#This Row],[Result]]="W",IF(Bets35[[#This Row],[Odds]]&gt;0,Bets35[[#This Row],[Odds]]/100*Bets35[[#This Row],[Risk]],(Bets35[[#This Row],[Risk]]/Bets35[[#This Row],[Odds]]*-100)),""))))</f>
        <v>10</v>
      </c>
      <c r="J83" s="39" t="str">
        <f>IF(ISNUMBER(SEARCH(CHAR(10),Bets35[[#This Row],[Bet]])),"P",IF(ISNUMBER(FIND("Under",Bets35[[#This Row],[Bet]])),"U",IF(ISNUMBER(SEARCH("Over",Bets35[[#This Row],[Bet]])),"O",IF(ISNUMBER(SEARCH("+",Bets35[[#This Row],[Bet]])),"D",IF(ISNUMBER(SEARCH("-",Bets35[[#This Row],[Bet]])),"F",IF(ISNUMBER(SEARCH("Moneyline",Bets35[[#This Row],[Bet]])),IF(Bets35[[#This Row],[Odds]]&lt;0,"MF","MD"),""))))))</f>
        <v>O</v>
      </c>
      <c r="K83"/>
      <c r="L83" s="24">
        <f t="shared" si="5"/>
        <v>0</v>
      </c>
      <c r="M83" s="1" t="str">
        <f>COUNTIFS(Bets35[Date],L83,Bets35[Result],"W")&amp;"-"&amp;COUNTIFS(Bets35[Date],L83,Bets35[Result],"L")&amp;IF(COUNTIFS(Bets35[Date],L83,Bets35[Result],"Push")&gt;0,"-"&amp;COUNTIFS(Bets35[Date],L83,Bets35[Result],"Push"),"")</f>
        <v>0-0</v>
      </c>
      <c r="N83" s="25" t="str">
        <f>IFERROR(COUNTIFS(Bets35[Date],L83,Bets35[Result],"W")/(COUNTIFS(Bets35[Date],L83,Bets35[Result],"W")+COUNTIFS(Bets35[Date],L83,Bets35[Result],"L")),"")</f>
        <v/>
      </c>
      <c r="O83" s="26">
        <f>SUMIF(Bets35[Date],L83,Bets35[Net])</f>
        <v>0</v>
      </c>
      <c r="P83" s="27" t="str">
        <f>IFERROR("("&amp;ROUND(SUMIF(Bets35[Date],L83,Bets35[Net])/SUMIF(Bets35[Date],L83,Bets35[Risk]),2)*100&amp;"%)","")</f>
        <v/>
      </c>
      <c r="Q83" s="72" t="str">
        <f t="shared" si="6"/>
        <v/>
      </c>
      <c r="R83" s="73" t="str">
        <f>IFERROR(SUMIF(Bets35[Date],"&lt;="&amp;L83,Bets35[Net])/SUMIF(Bets35[Date],"&lt;="&amp;L83,Bets35[Risk]),"")</f>
        <v/>
      </c>
    </row>
    <row r="84" spans="1:18" x14ac:dyDescent="0.25">
      <c r="A84" s="13">
        <f t="shared" si="4"/>
        <v>7</v>
      </c>
      <c r="B84" s="17">
        <v>43586</v>
      </c>
      <c r="C84" s="17" t="s">
        <v>802</v>
      </c>
      <c r="D84" s="18" t="s">
        <v>927</v>
      </c>
      <c r="E84" s="11" t="s">
        <v>1166</v>
      </c>
      <c r="F84" s="19">
        <f>IF(Bets35[[#This Row],[Odds]]&lt;0,Bets35[[#This Row],[Odds]]/-10,10)</f>
        <v>10</v>
      </c>
      <c r="G84" s="37" t="s">
        <v>871</v>
      </c>
      <c r="H84" s="21" t="s">
        <v>262</v>
      </c>
      <c r="I84" s="45">
        <f>IF(Bets35[[#This Row],[Result]]="L",0-Bets35[[#This Row],[Risk]],IF(Bets35[[#This Row],[Result]]="Push",0,IF(Bets35[[#This Row],[Result]]="No Action",0,IF(Bets35[[#This Row],[Result]]="W",IF(Bets35[[#This Row],[Odds]]&gt;0,Bets35[[#This Row],[Odds]]/100*Bets35[[#This Row],[Risk]],(Bets35[[#This Row],[Risk]]/Bets35[[#This Row],[Odds]]*-100)),""))))</f>
        <v>16.5</v>
      </c>
      <c r="J84" s="23" t="str">
        <f>IF(ISNUMBER(SEARCH(CHAR(10),Bets35[[#This Row],[Bet]])),"P",IF(ISNUMBER(FIND("Under",Bets35[[#This Row],[Bet]])),"U",IF(ISNUMBER(SEARCH("Over",Bets35[[#This Row],[Bet]])),"O",IF(ISNUMBER(SEARCH("+",Bets35[[#This Row],[Bet]])),"D",IF(ISNUMBER(SEARCH("-",Bets35[[#This Row],[Bet]])),"F",IF(ISNUMBER(SEARCH("Moneyline",Bets35[[#This Row],[Bet]])),IF(Bets35[[#This Row],[Odds]]&lt;0,"MF","MD"),""))))))</f>
        <v>MD</v>
      </c>
      <c r="K84"/>
      <c r="L84" s="24">
        <f t="shared" si="5"/>
        <v>0</v>
      </c>
      <c r="M84" s="1" t="str">
        <f>COUNTIFS(Bets35[Date],L84,Bets35[Result],"W")&amp;"-"&amp;COUNTIFS(Bets35[Date],L84,Bets35[Result],"L")&amp;IF(COUNTIFS(Bets35[Date],L84,Bets35[Result],"Push")&gt;0,"-"&amp;COUNTIFS(Bets35[Date],L84,Bets35[Result],"Push"),"")</f>
        <v>0-0</v>
      </c>
      <c r="N84" s="25" t="str">
        <f>IFERROR(COUNTIFS(Bets35[Date],L84,Bets35[Result],"W")/(COUNTIFS(Bets35[Date],L84,Bets35[Result],"W")+COUNTIFS(Bets35[Date],L84,Bets35[Result],"L")),"")</f>
        <v/>
      </c>
      <c r="O84" s="26">
        <f>SUMIF(Bets35[Date],L84,Bets35[Net])</f>
        <v>0</v>
      </c>
      <c r="P84" s="27" t="str">
        <f>IFERROR("("&amp;ROUND(SUMIF(Bets35[Date],L84,Bets35[Net])/SUMIF(Bets35[Date],L84,Bets35[Risk]),2)*100&amp;"%)","")</f>
        <v/>
      </c>
      <c r="Q84" s="72" t="str">
        <f t="shared" si="6"/>
        <v/>
      </c>
      <c r="R84" s="73" t="str">
        <f>IFERROR(SUMIF(Bets35[Date],"&lt;="&amp;L84,Bets35[Net])/SUMIF(Bets35[Date],"&lt;="&amp;L84,Bets35[Risk]),"")</f>
        <v/>
      </c>
    </row>
    <row r="85" spans="1:18" x14ac:dyDescent="0.25">
      <c r="A85" s="13">
        <f t="shared" si="4"/>
        <v>7</v>
      </c>
      <c r="B85" s="17">
        <v>43586</v>
      </c>
      <c r="C85" s="17" t="s">
        <v>802</v>
      </c>
      <c r="D85" s="18" t="s">
        <v>926</v>
      </c>
      <c r="E85" s="11" t="s">
        <v>899</v>
      </c>
      <c r="F85" s="19">
        <f>IF(Bets35[[#This Row],[Odds]]&lt;0,Bets35[[#This Row],[Odds]]/-10,10)</f>
        <v>10</v>
      </c>
      <c r="G85" s="37" t="s">
        <v>825</v>
      </c>
      <c r="H85" s="21" t="s">
        <v>262</v>
      </c>
      <c r="I85" s="45">
        <f>IF(Bets35[[#This Row],[Result]]="L",0-Bets35[[#This Row],[Risk]],IF(Bets35[[#This Row],[Result]]="Push",0,IF(Bets35[[#This Row],[Result]]="No Action",0,IF(Bets35[[#This Row],[Result]]="W",IF(Bets35[[#This Row],[Odds]]&gt;0,Bets35[[#This Row],[Odds]]/100*Bets35[[#This Row],[Risk]],(Bets35[[#This Row],[Risk]]/Bets35[[#This Row],[Odds]]*-100)),""))))</f>
        <v>13</v>
      </c>
      <c r="J85" s="23" t="str">
        <f>IF(ISNUMBER(SEARCH(CHAR(10),Bets35[[#This Row],[Bet]])),"P",IF(ISNUMBER(FIND("Under",Bets35[[#This Row],[Bet]])),"U",IF(ISNUMBER(SEARCH("Over",Bets35[[#This Row],[Bet]])),"O",IF(ISNUMBER(SEARCH("+",Bets35[[#This Row],[Bet]])),"D",IF(ISNUMBER(SEARCH("-",Bets35[[#This Row],[Bet]])),"F",IF(ISNUMBER(SEARCH("Moneyline",Bets35[[#This Row],[Bet]])),IF(Bets35[[#This Row],[Odds]]&lt;0,"MF","MD"),""))))))</f>
        <v>MD</v>
      </c>
      <c r="K85"/>
      <c r="L85" s="24">
        <f t="shared" si="5"/>
        <v>0</v>
      </c>
      <c r="M85" s="1" t="str">
        <f>COUNTIFS(Bets35[Date],L85,Bets35[Result],"W")&amp;"-"&amp;COUNTIFS(Bets35[Date],L85,Bets35[Result],"L")&amp;IF(COUNTIFS(Bets35[Date],L85,Bets35[Result],"Push")&gt;0,"-"&amp;COUNTIFS(Bets35[Date],L85,Bets35[Result],"Push"),"")</f>
        <v>0-0</v>
      </c>
      <c r="N85" s="25" t="str">
        <f>IFERROR(COUNTIFS(Bets35[Date],L85,Bets35[Result],"W")/(COUNTIFS(Bets35[Date],L85,Bets35[Result],"W")+COUNTIFS(Bets35[Date],L85,Bets35[Result],"L")),"")</f>
        <v/>
      </c>
      <c r="O85" s="26">
        <f>SUMIF(Bets35[Date],L85,Bets35[Net])</f>
        <v>0</v>
      </c>
      <c r="P85" s="27" t="str">
        <f>IFERROR("("&amp;ROUND(SUMIF(Bets35[Date],L85,Bets35[Net])/SUMIF(Bets35[Date],L85,Bets35[Risk]),2)*100&amp;"%)","")</f>
        <v/>
      </c>
      <c r="Q85" s="72" t="str">
        <f t="shared" si="6"/>
        <v/>
      </c>
      <c r="R85" s="73" t="str">
        <f>IFERROR(SUMIF(Bets35[Date],"&lt;="&amp;L85,Bets35[Net])/SUMIF(Bets35[Date],"&lt;="&amp;L85,Bets35[Risk]),"")</f>
        <v/>
      </c>
    </row>
    <row r="86" spans="1:18" x14ac:dyDescent="0.25">
      <c r="A86" s="13">
        <f t="shared" si="4"/>
        <v>7</v>
      </c>
      <c r="B86" s="17">
        <v>43586</v>
      </c>
      <c r="C86" s="17" t="s">
        <v>802</v>
      </c>
      <c r="D86" s="18" t="s">
        <v>1151</v>
      </c>
      <c r="E86" s="11" t="s">
        <v>888</v>
      </c>
      <c r="F86" s="19">
        <f>IF(Bets35[[#This Row],[Odds]]&lt;0,Bets35[[#This Row],[Odds]]/-10,10)</f>
        <v>10</v>
      </c>
      <c r="G86" s="37" t="s">
        <v>828</v>
      </c>
      <c r="H86" s="21" t="s">
        <v>262</v>
      </c>
      <c r="I86" s="45">
        <f>IF(Bets35[[#This Row],[Result]]="L",0-Bets35[[#This Row],[Risk]],IF(Bets35[[#This Row],[Result]]="Push",0,IF(Bets35[[#This Row],[Result]]="No Action",0,IF(Bets35[[#This Row],[Result]]="W",IF(Bets35[[#This Row],[Odds]]&gt;0,Bets35[[#This Row],[Odds]]/100*Bets35[[#This Row],[Risk]],(Bets35[[#This Row],[Risk]]/Bets35[[#This Row],[Odds]]*-100)),""))))</f>
        <v>11.5</v>
      </c>
      <c r="J86" s="39" t="str">
        <f>IF(ISNUMBER(SEARCH(CHAR(10),Bets35[[#This Row],[Bet]])),"P",IF(ISNUMBER(FIND("Under",Bets35[[#This Row],[Bet]])),"U",IF(ISNUMBER(SEARCH("Over",Bets35[[#This Row],[Bet]])),"O",IF(ISNUMBER(SEARCH("+",Bets35[[#This Row],[Bet]])),"D",IF(ISNUMBER(SEARCH("-",Bets35[[#This Row],[Bet]])),"F",IF(ISNUMBER(SEARCH("Moneyline",Bets35[[#This Row],[Bet]])),IF(Bets35[[#This Row],[Odds]]&lt;0,"MF","MD"),""))))))</f>
        <v>MD</v>
      </c>
      <c r="K86"/>
      <c r="L86" s="24">
        <f t="shared" si="5"/>
        <v>0</v>
      </c>
      <c r="M86" s="1" t="str">
        <f>COUNTIFS(Bets35[Date],L86,Bets35[Result],"W")&amp;"-"&amp;COUNTIFS(Bets35[Date],L86,Bets35[Result],"L")&amp;IF(COUNTIFS(Bets35[Date],L86,Bets35[Result],"Push")&gt;0,"-"&amp;COUNTIFS(Bets35[Date],L86,Bets35[Result],"Push"),"")</f>
        <v>0-0</v>
      </c>
      <c r="N86" s="25" t="str">
        <f>IFERROR(COUNTIFS(Bets35[Date],L86,Bets35[Result],"W")/(COUNTIFS(Bets35[Date],L86,Bets35[Result],"W")+COUNTIFS(Bets35[Date],L86,Bets35[Result],"L")),"")</f>
        <v/>
      </c>
      <c r="O86" s="26">
        <f>SUMIF(Bets35[Date],L86,Bets35[Net])</f>
        <v>0</v>
      </c>
      <c r="P86" s="27" t="str">
        <f>IFERROR("("&amp;ROUND(SUMIF(Bets35[Date],L86,Bets35[Net])/SUMIF(Bets35[Date],L86,Bets35[Risk]),2)*100&amp;"%)","")</f>
        <v/>
      </c>
      <c r="Q86" s="72" t="str">
        <f t="shared" si="6"/>
        <v/>
      </c>
      <c r="R86" s="73" t="str">
        <f>IFERROR(SUMIF(Bets35[Date],"&lt;="&amp;L86,Bets35[Net])/SUMIF(Bets35[Date],"&lt;="&amp;L86,Bets35[Risk]),"")</f>
        <v/>
      </c>
    </row>
    <row r="87" spans="1:18" x14ac:dyDescent="0.25">
      <c r="A87" s="13">
        <f t="shared" si="4"/>
        <v>7</v>
      </c>
      <c r="B87" s="17">
        <v>43586</v>
      </c>
      <c r="C87" s="17" t="s">
        <v>802</v>
      </c>
      <c r="D87" s="18" t="s">
        <v>932</v>
      </c>
      <c r="E87" s="11" t="s">
        <v>815</v>
      </c>
      <c r="F87" s="19">
        <f>IF(Bets35[[#This Row],[Odds]]&lt;0,Bets35[[#This Row],[Odds]]/-10,10)</f>
        <v>15.6</v>
      </c>
      <c r="G87" s="37">
        <v>-156</v>
      </c>
      <c r="H87" s="21" t="s">
        <v>262</v>
      </c>
      <c r="I87" s="45">
        <f>IF(Bets35[[#This Row],[Result]]="L",0-Bets35[[#This Row],[Risk]],IF(Bets35[[#This Row],[Result]]="Push",0,IF(Bets35[[#This Row],[Result]]="No Action",0,IF(Bets35[[#This Row],[Result]]="W",IF(Bets35[[#This Row],[Odds]]&gt;0,Bets35[[#This Row],[Odds]]/100*Bets35[[#This Row],[Risk]],(Bets35[[#This Row],[Risk]]/Bets35[[#This Row],[Odds]]*-100)),""))))</f>
        <v>10</v>
      </c>
      <c r="J87" s="39" t="str">
        <f>IF(ISNUMBER(SEARCH(CHAR(10),Bets35[[#This Row],[Bet]])),"P",IF(ISNUMBER(FIND("Under",Bets35[[#This Row],[Bet]])),"U",IF(ISNUMBER(SEARCH("Over",Bets35[[#This Row],[Bet]])),"O",IF(ISNUMBER(SEARCH("+",Bets35[[#This Row],[Bet]])),"D",IF(ISNUMBER(SEARCH("-",Bets35[[#This Row],[Bet]])),"F",IF(ISNUMBER(SEARCH("Moneyline",Bets35[[#This Row],[Bet]])),IF(Bets35[[#This Row],[Odds]]&lt;0,"MF","MD"),""))))))</f>
        <v>MF</v>
      </c>
      <c r="K87"/>
      <c r="L87" s="24">
        <f t="shared" si="5"/>
        <v>0</v>
      </c>
      <c r="M87" s="1" t="str">
        <f>COUNTIFS(Bets35[Date],L87,Bets35[Result],"W")&amp;"-"&amp;COUNTIFS(Bets35[Date],L87,Bets35[Result],"L")&amp;IF(COUNTIFS(Bets35[Date],L87,Bets35[Result],"Push")&gt;0,"-"&amp;COUNTIFS(Bets35[Date],L87,Bets35[Result],"Push"),"")</f>
        <v>0-0</v>
      </c>
      <c r="N87" s="25" t="str">
        <f>IFERROR(COUNTIFS(Bets35[Date],L87,Bets35[Result],"W")/(COUNTIFS(Bets35[Date],L87,Bets35[Result],"W")+COUNTIFS(Bets35[Date],L87,Bets35[Result],"L")),"")</f>
        <v/>
      </c>
      <c r="O87" s="26">
        <f>SUMIF(Bets35[Date],L87,Bets35[Net])</f>
        <v>0</v>
      </c>
      <c r="P87" s="27" t="str">
        <f>IFERROR("("&amp;ROUND(SUMIF(Bets35[Date],L87,Bets35[Net])/SUMIF(Bets35[Date],L87,Bets35[Risk]),2)*100&amp;"%)","")</f>
        <v/>
      </c>
      <c r="Q87" s="72" t="str">
        <f t="shared" si="6"/>
        <v/>
      </c>
      <c r="R87" s="73" t="str">
        <f>IFERROR(SUMIF(Bets35[Date],"&lt;="&amp;L87,Bets35[Net])/SUMIF(Bets35[Date],"&lt;="&amp;L87,Bets35[Risk]),"")</f>
        <v/>
      </c>
    </row>
    <row r="88" spans="1:18" x14ac:dyDescent="0.25">
      <c r="A88" s="13">
        <f t="shared" si="4"/>
        <v>7</v>
      </c>
      <c r="B88" s="17">
        <v>43586</v>
      </c>
      <c r="C88" s="17" t="s">
        <v>802</v>
      </c>
      <c r="D88" s="18" t="s">
        <v>1157</v>
      </c>
      <c r="E88" s="11" t="s">
        <v>897</v>
      </c>
      <c r="F88" s="19">
        <f>IF(Bets35[[#This Row],[Odds]]&lt;0,Bets35[[#This Row],[Odds]]/-10,10)</f>
        <v>14.2</v>
      </c>
      <c r="G88" s="37">
        <v>-142</v>
      </c>
      <c r="H88" s="21" t="s">
        <v>263</v>
      </c>
      <c r="I88" s="45">
        <f>IF(Bets35[[#This Row],[Result]]="L",0-Bets35[[#This Row],[Risk]],IF(Bets35[[#This Row],[Result]]="Push",0,IF(Bets35[[#This Row],[Result]]="No Action",0,IF(Bets35[[#This Row],[Result]]="W",IF(Bets35[[#This Row],[Odds]]&gt;0,Bets35[[#This Row],[Odds]]/100*Bets35[[#This Row],[Risk]],(Bets35[[#This Row],[Risk]]/Bets35[[#This Row],[Odds]]*-100)),""))))</f>
        <v>-14.2</v>
      </c>
      <c r="J88" s="39" t="str">
        <f>IF(ISNUMBER(SEARCH(CHAR(10),Bets35[[#This Row],[Bet]])),"P",IF(ISNUMBER(FIND("Under",Bets35[[#This Row],[Bet]])),"U",IF(ISNUMBER(SEARCH("Over",Bets35[[#This Row],[Bet]])),"O",IF(ISNUMBER(SEARCH("+",Bets35[[#This Row],[Bet]])),"D",IF(ISNUMBER(SEARCH("-",Bets35[[#This Row],[Bet]])),"F",IF(ISNUMBER(SEARCH("Moneyline",Bets35[[#This Row],[Bet]])),IF(Bets35[[#This Row],[Odds]]&lt;0,"MF","MD"),""))))))</f>
        <v>MF</v>
      </c>
      <c r="K88"/>
      <c r="L88" s="24">
        <f t="shared" si="5"/>
        <v>0</v>
      </c>
      <c r="M88" s="1" t="str">
        <f>COUNTIFS(Bets35[Date],L88,Bets35[Result],"W")&amp;"-"&amp;COUNTIFS(Bets35[Date],L88,Bets35[Result],"L")&amp;IF(COUNTIFS(Bets35[Date],L88,Bets35[Result],"Push")&gt;0,"-"&amp;COUNTIFS(Bets35[Date],L88,Bets35[Result],"Push"),"")</f>
        <v>0-0</v>
      </c>
      <c r="N88" s="25" t="str">
        <f>IFERROR(COUNTIFS(Bets35[Date],L88,Bets35[Result],"W")/(COUNTIFS(Bets35[Date],L88,Bets35[Result],"W")+COUNTIFS(Bets35[Date],L88,Bets35[Result],"L")),"")</f>
        <v/>
      </c>
      <c r="O88" s="26">
        <f>SUMIF(Bets35[Date],L88,Bets35[Net])</f>
        <v>0</v>
      </c>
      <c r="P88" s="27" t="str">
        <f>IFERROR("("&amp;ROUND(SUMIF(Bets35[Date],L88,Bets35[Net])/SUMIF(Bets35[Date],L88,Bets35[Risk]),2)*100&amp;"%)","")</f>
        <v/>
      </c>
      <c r="Q88" s="72" t="str">
        <f t="shared" si="6"/>
        <v/>
      </c>
      <c r="R88" s="73" t="str">
        <f>IFERROR(SUMIF(Bets35[Date],"&lt;="&amp;L88,Bets35[Net])/SUMIF(Bets35[Date],"&lt;="&amp;L88,Bets35[Risk]),"")</f>
        <v/>
      </c>
    </row>
    <row r="89" spans="1:18" x14ac:dyDescent="0.25">
      <c r="A89" s="13">
        <f t="shared" si="4"/>
        <v>7</v>
      </c>
      <c r="B89" s="17">
        <v>43586</v>
      </c>
      <c r="C89" s="17" t="s">
        <v>802</v>
      </c>
      <c r="D89" s="18" t="s">
        <v>935</v>
      </c>
      <c r="E89" s="11" t="s">
        <v>827</v>
      </c>
      <c r="F89" s="19">
        <f>IF(Bets35[[#This Row],[Odds]]&lt;0,Bets35[[#This Row],[Odds]]/-10,10)</f>
        <v>14.9</v>
      </c>
      <c r="G89" s="37">
        <v>-149</v>
      </c>
      <c r="H89" s="21" t="s">
        <v>263</v>
      </c>
      <c r="I89" s="45">
        <f>IF(Bets35[[#This Row],[Result]]="L",0-Bets35[[#This Row],[Risk]],IF(Bets35[[#This Row],[Result]]="Push",0,IF(Bets35[[#This Row],[Result]]="No Action",0,IF(Bets35[[#This Row],[Result]]="W",IF(Bets35[[#This Row],[Odds]]&gt;0,Bets35[[#This Row],[Odds]]/100*Bets35[[#This Row],[Risk]],(Bets35[[#This Row],[Risk]]/Bets35[[#This Row],[Odds]]*-100)),""))))</f>
        <v>-14.9</v>
      </c>
      <c r="J89" s="39" t="str">
        <f>IF(ISNUMBER(SEARCH(CHAR(10),Bets35[[#This Row],[Bet]])),"P",IF(ISNUMBER(FIND("Under",Bets35[[#This Row],[Bet]])),"U",IF(ISNUMBER(SEARCH("Over",Bets35[[#This Row],[Bet]])),"O",IF(ISNUMBER(SEARCH("+",Bets35[[#This Row],[Bet]])),"D",IF(ISNUMBER(SEARCH("-",Bets35[[#This Row],[Bet]])),"F",IF(ISNUMBER(SEARCH("Moneyline",Bets35[[#This Row],[Bet]])),IF(Bets35[[#This Row],[Odds]]&lt;0,"MF","MD"),""))))))</f>
        <v>MF</v>
      </c>
      <c r="K89"/>
      <c r="L89" s="24">
        <f t="shared" si="5"/>
        <v>0</v>
      </c>
      <c r="M89" s="1" t="str">
        <f>COUNTIFS(Bets35[Date],L89,Bets35[Result],"W")&amp;"-"&amp;COUNTIFS(Bets35[Date],L89,Bets35[Result],"L")&amp;IF(COUNTIFS(Bets35[Date],L89,Bets35[Result],"Push")&gt;0,"-"&amp;COUNTIFS(Bets35[Date],L89,Bets35[Result],"Push"),"")</f>
        <v>0-0</v>
      </c>
      <c r="N89" s="25" t="str">
        <f>IFERROR(COUNTIFS(Bets35[Date],L89,Bets35[Result],"W")/(COUNTIFS(Bets35[Date],L89,Bets35[Result],"W")+COUNTIFS(Bets35[Date],L89,Bets35[Result],"L")),"")</f>
        <v/>
      </c>
      <c r="O89" s="26">
        <f>SUMIF(Bets35[Date],L89,Bets35[Net])</f>
        <v>0</v>
      </c>
      <c r="P89" s="27" t="str">
        <f>IFERROR("("&amp;ROUND(SUMIF(Bets35[Date],L89,Bets35[Net])/SUMIF(Bets35[Date],L89,Bets35[Risk]),2)*100&amp;"%)","")</f>
        <v/>
      </c>
      <c r="Q89" s="72" t="str">
        <f t="shared" si="6"/>
        <v/>
      </c>
      <c r="R89" s="73" t="str">
        <f>IFERROR(SUMIF(Bets35[Date],"&lt;="&amp;L89,Bets35[Net])/SUMIF(Bets35[Date],"&lt;="&amp;L89,Bets35[Risk]),"")</f>
        <v/>
      </c>
    </row>
    <row r="90" spans="1:18" x14ac:dyDescent="0.25">
      <c r="A90" s="13">
        <f t="shared" si="4"/>
        <v>7</v>
      </c>
      <c r="B90" s="17">
        <v>43586</v>
      </c>
      <c r="C90" s="17" t="s">
        <v>802</v>
      </c>
      <c r="D90" s="18" t="s">
        <v>1155</v>
      </c>
      <c r="E90" s="11" t="s">
        <v>931</v>
      </c>
      <c r="F90" s="19">
        <f>IF(Bets35[[#This Row],[Odds]]&lt;0,Bets35[[#This Row],[Odds]]/-10,10)</f>
        <v>11.5</v>
      </c>
      <c r="G90" s="37">
        <v>-115</v>
      </c>
      <c r="H90" s="37" t="s">
        <v>263</v>
      </c>
      <c r="I90" s="45">
        <f>IF(Bets35[[#This Row],[Result]]="L",0-Bets35[[#This Row],[Risk]],IF(Bets35[[#This Row],[Result]]="Push",0,IF(Bets35[[#This Row],[Result]]="No Action",0,IF(Bets35[[#This Row],[Result]]="W",IF(Bets35[[#This Row],[Odds]]&gt;0,Bets35[[#This Row],[Odds]]/100*Bets35[[#This Row],[Risk]],(Bets35[[#This Row],[Risk]]/Bets35[[#This Row],[Odds]]*-100)),""))))</f>
        <v>-11.5</v>
      </c>
      <c r="J90" s="39" t="str">
        <f>IF(ISNUMBER(SEARCH(CHAR(10),Bets35[[#This Row],[Bet]])),"P",IF(ISNUMBER(FIND("Under",Bets35[[#This Row],[Bet]])),"U",IF(ISNUMBER(SEARCH("Over",Bets35[[#This Row],[Bet]])),"O",IF(ISNUMBER(SEARCH("+",Bets35[[#This Row],[Bet]])),"D",IF(ISNUMBER(SEARCH("-",Bets35[[#This Row],[Bet]])),"F",IF(ISNUMBER(SEARCH("Moneyline",Bets35[[#This Row],[Bet]])),IF(Bets35[[#This Row],[Odds]]&lt;0,"MF","MD"),""))))))</f>
        <v>O</v>
      </c>
      <c r="K90"/>
      <c r="L90" s="24">
        <f t="shared" si="5"/>
        <v>0</v>
      </c>
      <c r="M90" s="1" t="str">
        <f>COUNTIFS(Bets35[Date],L90,Bets35[Result],"W")&amp;"-"&amp;COUNTIFS(Bets35[Date],L90,Bets35[Result],"L")&amp;IF(COUNTIFS(Bets35[Date],L90,Bets35[Result],"Push")&gt;0,"-"&amp;COUNTIFS(Bets35[Date],L90,Bets35[Result],"Push"),"")</f>
        <v>0-0</v>
      </c>
      <c r="N90" s="25" t="str">
        <f>IFERROR(COUNTIFS(Bets35[Date],L90,Bets35[Result],"W")/(COUNTIFS(Bets35[Date],L90,Bets35[Result],"W")+COUNTIFS(Bets35[Date],L90,Bets35[Result],"L")),"")</f>
        <v/>
      </c>
      <c r="O90" s="26">
        <f>SUMIF(Bets35[Date],L90,Bets35[Net])</f>
        <v>0</v>
      </c>
      <c r="P90" s="27" t="str">
        <f>IFERROR("("&amp;ROUND(SUMIF(Bets35[Date],L90,Bets35[Net])/SUMIF(Bets35[Date],L90,Bets35[Risk]),2)*100&amp;"%)","")</f>
        <v/>
      </c>
      <c r="Q90" s="72" t="str">
        <f t="shared" si="6"/>
        <v/>
      </c>
      <c r="R90" s="73" t="str">
        <f>IFERROR(SUMIF(Bets35[Date],"&lt;="&amp;L90,Bets35[Net])/SUMIF(Bets35[Date],"&lt;="&amp;L90,Bets35[Risk]),"")</f>
        <v/>
      </c>
    </row>
    <row r="91" spans="1:18" x14ac:dyDescent="0.25">
      <c r="A91" s="13">
        <f t="shared" si="4"/>
        <v>7</v>
      </c>
      <c r="B91" s="17">
        <v>43586</v>
      </c>
      <c r="C91" s="17" t="s">
        <v>802</v>
      </c>
      <c r="D91" s="18" t="s">
        <v>929</v>
      </c>
      <c r="E91" s="11" t="s">
        <v>905</v>
      </c>
      <c r="F91" s="19">
        <f>IF(Bets35[[#This Row],[Odds]]&lt;0,Bets35[[#This Row],[Odds]]/-10,10)</f>
        <v>10.5</v>
      </c>
      <c r="G91" s="37">
        <v>-105</v>
      </c>
      <c r="H91" s="37" t="s">
        <v>846</v>
      </c>
      <c r="I91" s="45">
        <f>IF(Bets35[[#This Row],[Result]]="L",0-Bets35[[#This Row],[Risk]],IF(Bets35[[#This Row],[Result]]="Push",0,IF(Bets35[[#This Row],[Result]]="No Action",0,IF(Bets35[[#This Row],[Result]]="W",IF(Bets35[[#This Row],[Odds]]&gt;0,Bets35[[#This Row],[Odds]]/100*Bets35[[#This Row],[Risk]],(Bets35[[#This Row],[Risk]]/Bets35[[#This Row],[Odds]]*-100)),""))))</f>
        <v>0</v>
      </c>
      <c r="J91" s="39" t="str">
        <f>IF(ISNUMBER(SEARCH(CHAR(10),Bets35[[#This Row],[Bet]])),"P",IF(ISNUMBER(FIND("Under",Bets35[[#This Row],[Bet]])),"U",IF(ISNUMBER(SEARCH("Over",Bets35[[#This Row],[Bet]])),"O",IF(ISNUMBER(SEARCH("+",Bets35[[#This Row],[Bet]])),"D",IF(ISNUMBER(SEARCH("-",Bets35[[#This Row],[Bet]])),"F",IF(ISNUMBER(SEARCH("Moneyline",Bets35[[#This Row],[Bet]])),IF(Bets35[[#This Row],[Odds]]&lt;0,"MF","MD"),""))))))</f>
        <v>O</v>
      </c>
      <c r="K91"/>
      <c r="L91" s="24">
        <f t="shared" si="5"/>
        <v>0</v>
      </c>
      <c r="M91" s="1" t="str">
        <f>COUNTIFS(Bets35[Date],L91,Bets35[Result],"W")&amp;"-"&amp;COUNTIFS(Bets35[Date],L91,Bets35[Result],"L")&amp;IF(COUNTIFS(Bets35[Date],L91,Bets35[Result],"Push")&gt;0,"-"&amp;COUNTIFS(Bets35[Date],L91,Bets35[Result],"Push"),"")</f>
        <v>0-0</v>
      </c>
      <c r="N91" s="25" t="str">
        <f>IFERROR(COUNTIFS(Bets35[Date],L91,Bets35[Result],"W")/(COUNTIFS(Bets35[Date],L91,Bets35[Result],"W")+COUNTIFS(Bets35[Date],L91,Bets35[Result],"L")),"")</f>
        <v/>
      </c>
      <c r="O91" s="26">
        <f>SUMIF(Bets35[Date],L91,Bets35[Net])</f>
        <v>0</v>
      </c>
      <c r="P91" s="27" t="str">
        <f>IFERROR("("&amp;ROUND(SUMIF(Bets35[Date],L91,Bets35[Net])/SUMIF(Bets35[Date],L91,Bets35[Risk]),2)*100&amp;"%)","")</f>
        <v/>
      </c>
      <c r="Q91" s="72" t="str">
        <f t="shared" si="6"/>
        <v/>
      </c>
      <c r="R91" s="73" t="str">
        <f>IFERROR(SUMIF(Bets35[Date],"&lt;="&amp;L91,Bets35[Net])/SUMIF(Bets35[Date],"&lt;="&amp;L91,Bets35[Risk]),"")</f>
        <v/>
      </c>
    </row>
    <row r="92" spans="1:18" x14ac:dyDescent="0.25">
      <c r="A92" s="13">
        <f t="shared" si="4"/>
        <v>7</v>
      </c>
      <c r="B92" s="17">
        <v>43586</v>
      </c>
      <c r="C92" s="17" t="s">
        <v>802</v>
      </c>
      <c r="D92" s="18" t="s">
        <v>1159</v>
      </c>
      <c r="E92" s="11" t="s">
        <v>845</v>
      </c>
      <c r="F92" s="19">
        <f>IF(Bets35[[#This Row],[Odds]]&lt;0,Bets35[[#This Row],[Odds]]/-10,10)</f>
        <v>12</v>
      </c>
      <c r="G92" s="37">
        <v>-120</v>
      </c>
      <c r="H92" s="37" t="s">
        <v>262</v>
      </c>
      <c r="I92" s="45">
        <f>IF(Bets35[[#This Row],[Result]]="L",0-Bets35[[#This Row],[Risk]],IF(Bets35[[#This Row],[Result]]="Push",0,IF(Bets35[[#This Row],[Result]]="No Action",0,IF(Bets35[[#This Row],[Result]]="W",IF(Bets35[[#This Row],[Odds]]&gt;0,Bets35[[#This Row],[Odds]]/100*Bets35[[#This Row],[Risk]],(Bets35[[#This Row],[Risk]]/Bets35[[#This Row],[Odds]]*-100)),""))))</f>
        <v>10</v>
      </c>
      <c r="J92" s="39" t="str">
        <f>IF(ISNUMBER(SEARCH(CHAR(10),Bets35[[#This Row],[Bet]])),"P",IF(ISNUMBER(FIND("Under",Bets35[[#This Row],[Bet]])),"U",IF(ISNUMBER(SEARCH("Over",Bets35[[#This Row],[Bet]])),"O",IF(ISNUMBER(SEARCH("+",Bets35[[#This Row],[Bet]])),"D",IF(ISNUMBER(SEARCH("-",Bets35[[#This Row],[Bet]])),"F",IF(ISNUMBER(SEARCH("Moneyline",Bets35[[#This Row],[Bet]])),IF(Bets35[[#This Row],[Odds]]&lt;0,"MF","MD"),""))))))</f>
        <v>O</v>
      </c>
      <c r="K92"/>
      <c r="L92" s="24">
        <f t="shared" si="5"/>
        <v>0</v>
      </c>
      <c r="M92" s="1" t="str">
        <f>COUNTIFS(Bets35[Date],L92,Bets35[Result],"W")&amp;"-"&amp;COUNTIFS(Bets35[Date],L92,Bets35[Result],"L")&amp;IF(COUNTIFS(Bets35[Date],L92,Bets35[Result],"Push")&gt;0,"-"&amp;COUNTIFS(Bets35[Date],L92,Bets35[Result],"Push"),"")</f>
        <v>0-0</v>
      </c>
      <c r="N92" s="25" t="str">
        <f>IFERROR(COUNTIFS(Bets35[Date],L92,Bets35[Result],"W")/(COUNTIFS(Bets35[Date],L92,Bets35[Result],"W")+COUNTIFS(Bets35[Date],L92,Bets35[Result],"L")),"")</f>
        <v/>
      </c>
      <c r="O92" s="26">
        <f>SUMIF(Bets35[Date],L92,Bets35[Net])</f>
        <v>0</v>
      </c>
      <c r="P92" s="27" t="str">
        <f>IFERROR("("&amp;ROUND(SUMIF(Bets35[Date],L92,Bets35[Net])/SUMIF(Bets35[Date],L92,Bets35[Risk]),2)*100&amp;"%)","")</f>
        <v/>
      </c>
      <c r="Q92" s="72" t="str">
        <f t="shared" si="6"/>
        <v/>
      </c>
      <c r="R92" s="73" t="str">
        <f>IFERROR(SUMIF(Bets35[Date],"&lt;="&amp;L92,Bets35[Net])/SUMIF(Bets35[Date],"&lt;="&amp;L92,Bets35[Risk]),"")</f>
        <v/>
      </c>
    </row>
    <row r="93" spans="1:18" x14ac:dyDescent="0.25">
      <c r="A93" s="13">
        <f t="shared" si="4"/>
        <v>7</v>
      </c>
      <c r="B93" s="17">
        <v>43586</v>
      </c>
      <c r="C93" s="17" t="s">
        <v>802</v>
      </c>
      <c r="D93" s="18" t="s">
        <v>927</v>
      </c>
      <c r="E93" s="11" t="s">
        <v>1167</v>
      </c>
      <c r="F93" s="19">
        <f>IF(Bets35[[#This Row],[Odds]]&lt;0,Bets35[[#This Row],[Odds]]/-10,10)</f>
        <v>11.5</v>
      </c>
      <c r="G93" s="37">
        <v>-115</v>
      </c>
      <c r="H93" s="37" t="s">
        <v>263</v>
      </c>
      <c r="I93" s="45">
        <f>IF(Bets35[[#This Row],[Result]]="L",0-Bets35[[#This Row],[Risk]],IF(Bets35[[#This Row],[Result]]="Push",0,IF(Bets35[[#This Row],[Result]]="No Action",0,IF(Bets35[[#This Row],[Result]]="W",IF(Bets35[[#This Row],[Odds]]&gt;0,Bets35[[#This Row],[Odds]]/100*Bets35[[#This Row],[Risk]],(Bets35[[#This Row],[Risk]]/Bets35[[#This Row],[Odds]]*-100)),""))))</f>
        <v>-11.5</v>
      </c>
      <c r="J93" s="39" t="str">
        <f>IF(ISNUMBER(SEARCH(CHAR(10),Bets35[[#This Row],[Bet]])),"P",IF(ISNUMBER(FIND("Under",Bets35[[#This Row],[Bet]])),"U",IF(ISNUMBER(SEARCH("Over",Bets35[[#This Row],[Bet]])),"O",IF(ISNUMBER(SEARCH("+",Bets35[[#This Row],[Bet]])),"D",IF(ISNUMBER(SEARCH("-",Bets35[[#This Row],[Bet]])),"F",IF(ISNUMBER(SEARCH("Moneyline",Bets35[[#This Row],[Bet]])),IF(Bets35[[#This Row],[Odds]]&lt;0,"MF","MD"),""))))))</f>
        <v>O</v>
      </c>
      <c r="K93"/>
      <c r="L93" s="24">
        <f t="shared" si="5"/>
        <v>0</v>
      </c>
      <c r="M93" s="1" t="str">
        <f>COUNTIFS(Bets35[Date],L93,Bets35[Result],"W")&amp;"-"&amp;COUNTIFS(Bets35[Date],L93,Bets35[Result],"L")&amp;IF(COUNTIFS(Bets35[Date],L93,Bets35[Result],"Push")&gt;0,"-"&amp;COUNTIFS(Bets35[Date],L93,Bets35[Result],"Push"),"")</f>
        <v>0-0</v>
      </c>
      <c r="N93" s="25" t="str">
        <f>IFERROR(COUNTIFS(Bets35[Date],L93,Bets35[Result],"W")/(COUNTIFS(Bets35[Date],L93,Bets35[Result],"W")+COUNTIFS(Bets35[Date],L93,Bets35[Result],"L")),"")</f>
        <v/>
      </c>
      <c r="O93" s="26">
        <f>SUMIF(Bets35[Date],L93,Bets35[Net])</f>
        <v>0</v>
      </c>
      <c r="P93" s="27" t="str">
        <f>IFERROR("("&amp;ROUND(SUMIF(Bets35[Date],L93,Bets35[Net])/SUMIF(Bets35[Date],L93,Bets35[Risk]),2)*100&amp;"%)","")</f>
        <v/>
      </c>
      <c r="Q93" s="72" t="str">
        <f t="shared" si="6"/>
        <v/>
      </c>
      <c r="R93" s="73" t="str">
        <f>IFERROR(SUMIF(Bets35[Date],"&lt;="&amp;L93,Bets35[Net])/SUMIF(Bets35[Date],"&lt;="&amp;L93,Bets35[Risk]),"")</f>
        <v/>
      </c>
    </row>
    <row r="94" spans="1:18" x14ac:dyDescent="0.25">
      <c r="A94" s="13">
        <f t="shared" si="4"/>
        <v>7</v>
      </c>
      <c r="B94" s="17">
        <v>43586</v>
      </c>
      <c r="C94" s="17" t="s">
        <v>802</v>
      </c>
      <c r="D94" s="18" t="s">
        <v>1150</v>
      </c>
      <c r="E94" s="11" t="s">
        <v>931</v>
      </c>
      <c r="F94" s="19">
        <f>IF(Bets35[[#This Row],[Odds]]&lt;0,Bets35[[#This Row],[Odds]]/-10,10)</f>
        <v>10.5</v>
      </c>
      <c r="G94" s="37">
        <v>-105</v>
      </c>
      <c r="H94" s="37" t="s">
        <v>262</v>
      </c>
      <c r="I94" s="45">
        <f>IF(Bets35[[#This Row],[Result]]="L",0-Bets35[[#This Row],[Risk]],IF(Bets35[[#This Row],[Result]]="Push",0,IF(Bets35[[#This Row],[Result]]="No Action",0,IF(Bets35[[#This Row],[Result]]="W",IF(Bets35[[#This Row],[Odds]]&gt;0,Bets35[[#This Row],[Odds]]/100*Bets35[[#This Row],[Risk]],(Bets35[[#This Row],[Risk]]/Bets35[[#This Row],[Odds]]*-100)),""))))</f>
        <v>10</v>
      </c>
      <c r="J94" s="39" t="str">
        <f>IF(ISNUMBER(SEARCH(CHAR(10),Bets35[[#This Row],[Bet]])),"P",IF(ISNUMBER(FIND("Under",Bets35[[#This Row],[Bet]])),"U",IF(ISNUMBER(SEARCH("Over",Bets35[[#This Row],[Bet]])),"O",IF(ISNUMBER(SEARCH("+",Bets35[[#This Row],[Bet]])),"D",IF(ISNUMBER(SEARCH("-",Bets35[[#This Row],[Bet]])),"F",IF(ISNUMBER(SEARCH("Moneyline",Bets35[[#This Row],[Bet]])),IF(Bets35[[#This Row],[Odds]]&lt;0,"MF","MD"),""))))))</f>
        <v>O</v>
      </c>
      <c r="K94"/>
      <c r="L94" s="24">
        <f t="shared" si="5"/>
        <v>0</v>
      </c>
      <c r="M94" s="1" t="str">
        <f>COUNTIFS(Bets35[Date],L94,Bets35[Result],"W")&amp;"-"&amp;COUNTIFS(Bets35[Date],L94,Bets35[Result],"L")&amp;IF(COUNTIFS(Bets35[Date],L94,Bets35[Result],"Push")&gt;0,"-"&amp;COUNTIFS(Bets35[Date],L94,Bets35[Result],"Push"),"")</f>
        <v>0-0</v>
      </c>
      <c r="N94" s="25" t="str">
        <f>IFERROR(COUNTIFS(Bets35[Date],L94,Bets35[Result],"W")/(COUNTIFS(Bets35[Date],L94,Bets35[Result],"W")+COUNTIFS(Bets35[Date],L94,Bets35[Result],"L")),"")</f>
        <v/>
      </c>
      <c r="O94" s="26">
        <f>SUMIF(Bets35[Date],L94,Bets35[Net])</f>
        <v>0</v>
      </c>
      <c r="P94" s="27" t="str">
        <f>IFERROR("("&amp;ROUND(SUMIF(Bets35[Date],L94,Bets35[Net])/SUMIF(Bets35[Date],L94,Bets35[Risk]),2)*100&amp;"%)","")</f>
        <v/>
      </c>
      <c r="Q94" s="72" t="str">
        <f t="shared" si="6"/>
        <v/>
      </c>
      <c r="R94" s="73" t="str">
        <f>IFERROR(SUMIF(Bets35[Date],"&lt;="&amp;L94,Bets35[Net])/SUMIF(Bets35[Date],"&lt;="&amp;L94,Bets35[Risk]),"")</f>
        <v/>
      </c>
    </row>
    <row r="95" spans="1:18" x14ac:dyDescent="0.25">
      <c r="A95" s="13">
        <f t="shared" si="4"/>
        <v>7</v>
      </c>
      <c r="B95" s="17">
        <v>43586</v>
      </c>
      <c r="C95" s="17" t="s">
        <v>802</v>
      </c>
      <c r="D95" s="18" t="s">
        <v>926</v>
      </c>
      <c r="E95" s="11" t="s">
        <v>931</v>
      </c>
      <c r="F95" s="19">
        <f>IF(Bets35[[#This Row],[Odds]]&lt;0,Bets35[[#This Row],[Odds]]/-10,10)</f>
        <v>10.5</v>
      </c>
      <c r="G95" s="37">
        <v>-105</v>
      </c>
      <c r="H95" s="37" t="s">
        <v>263</v>
      </c>
      <c r="I95" s="45">
        <f>IF(Bets35[[#This Row],[Result]]="L",0-Bets35[[#This Row],[Risk]],IF(Bets35[[#This Row],[Result]]="Push",0,IF(Bets35[[#This Row],[Result]]="No Action",0,IF(Bets35[[#This Row],[Result]]="W",IF(Bets35[[#This Row],[Odds]]&gt;0,Bets35[[#This Row],[Odds]]/100*Bets35[[#This Row],[Risk]],(Bets35[[#This Row],[Risk]]/Bets35[[#This Row],[Odds]]*-100)),""))))</f>
        <v>-10.5</v>
      </c>
      <c r="J95" s="39" t="str">
        <f>IF(ISNUMBER(SEARCH(CHAR(10),Bets35[[#This Row],[Bet]])),"P",IF(ISNUMBER(FIND("Under",Bets35[[#This Row],[Bet]])),"U",IF(ISNUMBER(SEARCH("Over",Bets35[[#This Row],[Bet]])),"O",IF(ISNUMBER(SEARCH("+",Bets35[[#This Row],[Bet]])),"D",IF(ISNUMBER(SEARCH("-",Bets35[[#This Row],[Bet]])),"F",IF(ISNUMBER(SEARCH("Moneyline",Bets35[[#This Row],[Bet]])),IF(Bets35[[#This Row],[Odds]]&lt;0,"MF","MD"),""))))))</f>
        <v>O</v>
      </c>
      <c r="K95"/>
      <c r="L95" s="24">
        <f t="shared" si="5"/>
        <v>0</v>
      </c>
      <c r="M95" s="1" t="str">
        <f>COUNTIFS(Bets35[Date],L95,Bets35[Result],"W")&amp;"-"&amp;COUNTIFS(Bets35[Date],L95,Bets35[Result],"L")&amp;IF(COUNTIFS(Bets35[Date],L95,Bets35[Result],"Push")&gt;0,"-"&amp;COUNTIFS(Bets35[Date],L95,Bets35[Result],"Push"),"")</f>
        <v>0-0</v>
      </c>
      <c r="N95" s="25" t="str">
        <f>IFERROR(COUNTIFS(Bets35[Date],L95,Bets35[Result],"W")/(COUNTIFS(Bets35[Date],L95,Bets35[Result],"W")+COUNTIFS(Bets35[Date],L95,Bets35[Result],"L")),"")</f>
        <v/>
      </c>
      <c r="O95" s="26">
        <f>SUMIF(Bets35[Date],L95,Bets35[Net])</f>
        <v>0</v>
      </c>
      <c r="P95" s="27" t="str">
        <f>IFERROR("("&amp;ROUND(SUMIF(Bets35[Date],L95,Bets35[Net])/SUMIF(Bets35[Date],L95,Bets35[Risk]),2)*100&amp;"%)","")</f>
        <v/>
      </c>
      <c r="Q95" s="72" t="str">
        <f t="shared" si="6"/>
        <v/>
      </c>
      <c r="R95" s="73" t="str">
        <f>IFERROR(SUMIF(Bets35[Date],"&lt;="&amp;L95,Bets35[Net])/SUMIF(Bets35[Date],"&lt;="&amp;L95,Bets35[Risk]),"")</f>
        <v/>
      </c>
    </row>
    <row r="96" spans="1:18" x14ac:dyDescent="0.25">
      <c r="A96" s="13">
        <f t="shared" si="4"/>
        <v>7</v>
      </c>
      <c r="B96" s="17">
        <v>43586</v>
      </c>
      <c r="C96" s="17" t="s">
        <v>802</v>
      </c>
      <c r="D96" s="18" t="s">
        <v>932</v>
      </c>
      <c r="E96" s="11" t="s">
        <v>933</v>
      </c>
      <c r="F96" s="19">
        <f>IF(Bets35[[#This Row],[Odds]]&lt;0,Bets35[[#This Row],[Odds]]/-10,10)</f>
        <v>10</v>
      </c>
      <c r="G96" s="37">
        <v>100</v>
      </c>
      <c r="H96" s="37" t="s">
        <v>262</v>
      </c>
      <c r="I96" s="45">
        <f>IF(Bets35[[#This Row],[Result]]="L",0-Bets35[[#This Row],[Risk]],IF(Bets35[[#This Row],[Result]]="Push",0,IF(Bets35[[#This Row],[Result]]="No Action",0,IF(Bets35[[#This Row],[Result]]="W",IF(Bets35[[#This Row],[Odds]]&gt;0,Bets35[[#This Row],[Odds]]/100*Bets35[[#This Row],[Risk]],(Bets35[[#This Row],[Risk]]/Bets35[[#This Row],[Odds]]*-100)),""))))</f>
        <v>10</v>
      </c>
      <c r="J96" s="39" t="str">
        <f>IF(ISNUMBER(SEARCH(CHAR(10),Bets35[[#This Row],[Bet]])),"P",IF(ISNUMBER(FIND("Under",Bets35[[#This Row],[Bet]])),"U",IF(ISNUMBER(SEARCH("Over",Bets35[[#This Row],[Bet]])),"O",IF(ISNUMBER(SEARCH("+",Bets35[[#This Row],[Bet]])),"D",IF(ISNUMBER(SEARCH("-",Bets35[[#This Row],[Bet]])),"F",IF(ISNUMBER(SEARCH("Moneyline",Bets35[[#This Row],[Bet]])),IF(Bets35[[#This Row],[Odds]]&lt;0,"MF","MD"),""))))))</f>
        <v>U</v>
      </c>
      <c r="K96"/>
      <c r="L96" s="24">
        <f t="shared" si="5"/>
        <v>0</v>
      </c>
      <c r="M96" s="1" t="str">
        <f>COUNTIFS(Bets35[Date],L96,Bets35[Result],"W")&amp;"-"&amp;COUNTIFS(Bets35[Date],L96,Bets35[Result],"L")&amp;IF(COUNTIFS(Bets35[Date],L96,Bets35[Result],"Push")&gt;0,"-"&amp;COUNTIFS(Bets35[Date],L96,Bets35[Result],"Push"),"")</f>
        <v>0-0</v>
      </c>
      <c r="N96" s="25" t="str">
        <f>IFERROR(COUNTIFS(Bets35[Date],L96,Bets35[Result],"W")/(COUNTIFS(Bets35[Date],L96,Bets35[Result],"W")+COUNTIFS(Bets35[Date],L96,Bets35[Result],"L")),"")</f>
        <v/>
      </c>
      <c r="O96" s="26">
        <f>SUMIF(Bets35[Date],L96,Bets35[Net])</f>
        <v>0</v>
      </c>
      <c r="P96" s="27" t="str">
        <f>IFERROR("("&amp;ROUND(SUMIF(Bets35[Date],L96,Bets35[Net])/SUMIF(Bets35[Date],L96,Bets35[Risk]),2)*100&amp;"%)","")</f>
        <v/>
      </c>
      <c r="Q96" s="72" t="str">
        <f t="shared" si="6"/>
        <v/>
      </c>
      <c r="R96" s="73" t="str">
        <f>IFERROR(SUMIF(Bets35[Date],"&lt;="&amp;L96,Bets35[Net])/SUMIF(Bets35[Date],"&lt;="&amp;L96,Bets35[Risk]),"")</f>
        <v/>
      </c>
    </row>
    <row r="97" spans="1:18" x14ac:dyDescent="0.25">
      <c r="A97" s="13">
        <f t="shared" si="4"/>
        <v>7</v>
      </c>
      <c r="B97" s="17">
        <v>43586</v>
      </c>
      <c r="C97" s="17" t="s">
        <v>802</v>
      </c>
      <c r="D97" s="18" t="s">
        <v>1157</v>
      </c>
      <c r="E97" s="11" t="s">
        <v>905</v>
      </c>
      <c r="F97" s="19">
        <f>IF(Bets35[[#This Row],[Odds]]&lt;0,Bets35[[#This Row],[Odds]]/-10,10)</f>
        <v>10.5</v>
      </c>
      <c r="G97" s="37">
        <v>-105</v>
      </c>
      <c r="H97" s="37" t="s">
        <v>263</v>
      </c>
      <c r="I97" s="45">
        <f>IF(Bets35[[#This Row],[Result]]="L",0-Bets35[[#This Row],[Risk]],IF(Bets35[[#This Row],[Result]]="Push",0,IF(Bets35[[#This Row],[Result]]="No Action",0,IF(Bets35[[#This Row],[Result]]="W",IF(Bets35[[#This Row],[Odds]]&gt;0,Bets35[[#This Row],[Odds]]/100*Bets35[[#This Row],[Risk]],(Bets35[[#This Row],[Risk]]/Bets35[[#This Row],[Odds]]*-100)),""))))</f>
        <v>-10.5</v>
      </c>
      <c r="J97" s="39" t="str">
        <f>IF(ISNUMBER(SEARCH(CHAR(10),Bets35[[#This Row],[Bet]])),"P",IF(ISNUMBER(FIND("Under",Bets35[[#This Row],[Bet]])),"U",IF(ISNUMBER(SEARCH("Over",Bets35[[#This Row],[Bet]])),"O",IF(ISNUMBER(SEARCH("+",Bets35[[#This Row],[Bet]])),"D",IF(ISNUMBER(SEARCH("-",Bets35[[#This Row],[Bet]])),"F",IF(ISNUMBER(SEARCH("Moneyline",Bets35[[#This Row],[Bet]])),IF(Bets35[[#This Row],[Odds]]&lt;0,"MF","MD"),""))))))</f>
        <v>O</v>
      </c>
      <c r="K97"/>
      <c r="L97" s="24">
        <f t="shared" si="5"/>
        <v>0</v>
      </c>
      <c r="M97" s="1" t="str">
        <f>COUNTIFS(Bets35[Date],L97,Bets35[Result],"W")&amp;"-"&amp;COUNTIFS(Bets35[Date],L97,Bets35[Result],"L")&amp;IF(COUNTIFS(Bets35[Date],L97,Bets35[Result],"Push")&gt;0,"-"&amp;COUNTIFS(Bets35[Date],L97,Bets35[Result],"Push"),"")</f>
        <v>0-0</v>
      </c>
      <c r="N97" s="25" t="str">
        <f>IFERROR(COUNTIFS(Bets35[Date],L97,Bets35[Result],"W")/(COUNTIFS(Bets35[Date],L97,Bets35[Result],"W")+COUNTIFS(Bets35[Date],L97,Bets35[Result],"L")),"")</f>
        <v/>
      </c>
      <c r="O97" s="26">
        <f>SUMIF(Bets35[Date],L97,Bets35[Net])</f>
        <v>0</v>
      </c>
      <c r="P97" s="27" t="str">
        <f>IFERROR("("&amp;ROUND(SUMIF(Bets35[Date],L97,Bets35[Net])/SUMIF(Bets35[Date],L97,Bets35[Risk]),2)*100&amp;"%)","")</f>
        <v/>
      </c>
      <c r="Q97" s="72" t="str">
        <f t="shared" si="6"/>
        <v/>
      </c>
      <c r="R97" s="73" t="str">
        <f>IFERROR(SUMIF(Bets35[Date],"&lt;="&amp;L97,Bets35[Net])/SUMIF(Bets35[Date],"&lt;="&amp;L97,Bets35[Risk]),"")</f>
        <v/>
      </c>
    </row>
    <row r="98" spans="1:18" x14ac:dyDescent="0.25">
      <c r="A98" s="13">
        <f t="shared" si="4"/>
        <v>7</v>
      </c>
      <c r="B98" s="17">
        <v>43586</v>
      </c>
      <c r="C98" s="17" t="s">
        <v>802</v>
      </c>
      <c r="D98" s="18" t="s">
        <v>1168</v>
      </c>
      <c r="E98" s="11" t="s">
        <v>877</v>
      </c>
      <c r="F98" s="19">
        <f>IF(Bets35[[#This Row],[Odds]]&lt;0,Bets35[[#This Row],[Odds]]/-10,10)</f>
        <v>11</v>
      </c>
      <c r="G98" s="37">
        <v>-110</v>
      </c>
      <c r="H98" s="37" t="s">
        <v>1174</v>
      </c>
      <c r="I98" s="45">
        <f>IF(Bets35[[#This Row],[Result]]="L",0-Bets35[[#This Row],[Risk]],IF(Bets35[[#This Row],[Result]]="Push",0,IF(Bets35[[#This Row],[Result]]="No Action",0,IF(Bets35[[#This Row],[Result]]="W",IF(Bets35[[#This Row],[Odds]]&gt;0,Bets35[[#This Row],[Odds]]/100*Bets35[[#This Row],[Risk]],(Bets35[[#This Row],[Risk]]/Bets35[[#This Row],[Odds]]*-100)),""))))</f>
        <v>0</v>
      </c>
      <c r="J98" s="39" t="str">
        <f>IF(ISNUMBER(SEARCH(CHAR(10),Bets35[[#This Row],[Bet]])),"P",IF(ISNUMBER(FIND("Under",Bets35[[#This Row],[Bet]])),"U",IF(ISNUMBER(SEARCH("Over",Bets35[[#This Row],[Bet]])),"O",IF(ISNUMBER(SEARCH("+",Bets35[[#This Row],[Bet]])),"D",IF(ISNUMBER(SEARCH("-",Bets35[[#This Row],[Bet]])),"F",IF(ISNUMBER(SEARCH("Moneyline",Bets35[[#This Row],[Bet]])),IF(Bets35[[#This Row],[Odds]]&lt;0,"MF","MD"),""))))))</f>
        <v>U</v>
      </c>
      <c r="K98"/>
      <c r="L98" s="24">
        <f t="shared" si="5"/>
        <v>0</v>
      </c>
      <c r="M98" s="1" t="str">
        <f>COUNTIFS(Bets35[Date],L98,Bets35[Result],"W")&amp;"-"&amp;COUNTIFS(Bets35[Date],L98,Bets35[Result],"L")&amp;IF(COUNTIFS(Bets35[Date],L98,Bets35[Result],"Push")&gt;0,"-"&amp;COUNTIFS(Bets35[Date],L98,Bets35[Result],"Push"),"")</f>
        <v>0-0</v>
      </c>
      <c r="N98" s="25" t="str">
        <f>IFERROR(COUNTIFS(Bets35[Date],L98,Bets35[Result],"W")/(COUNTIFS(Bets35[Date],L98,Bets35[Result],"W")+COUNTIFS(Bets35[Date],L98,Bets35[Result],"L")),"")</f>
        <v/>
      </c>
      <c r="O98" s="26">
        <f>SUMIF(Bets35[Date],L98,Bets35[Net])</f>
        <v>0</v>
      </c>
      <c r="P98" s="27" t="str">
        <f>IFERROR("("&amp;ROUND(SUMIF(Bets35[Date],L98,Bets35[Net])/SUMIF(Bets35[Date],L98,Bets35[Risk]),2)*100&amp;"%)","")</f>
        <v/>
      </c>
      <c r="Q98" s="72" t="str">
        <f t="shared" si="6"/>
        <v/>
      </c>
      <c r="R98" s="73" t="str">
        <f>IFERROR(SUMIF(Bets35[Date],"&lt;="&amp;L98,Bets35[Net])/SUMIF(Bets35[Date],"&lt;="&amp;L98,Bets35[Risk]),"")</f>
        <v/>
      </c>
    </row>
    <row r="99" spans="1:18" x14ac:dyDescent="0.25">
      <c r="A99" s="13">
        <f t="shared" si="4"/>
        <v>8</v>
      </c>
      <c r="B99" s="17">
        <v>43587</v>
      </c>
      <c r="C99" s="17" t="s">
        <v>802</v>
      </c>
      <c r="D99" s="18" t="s">
        <v>930</v>
      </c>
      <c r="E99" s="11" t="s">
        <v>819</v>
      </c>
      <c r="F99" s="19">
        <f>IF(Bets35[[#This Row],[Odds]]&lt;0,Bets35[[#This Row],[Odds]]/-10,10)</f>
        <v>17.2</v>
      </c>
      <c r="G99" s="37">
        <v>-172</v>
      </c>
      <c r="H99" s="37" t="s">
        <v>262</v>
      </c>
      <c r="I99" s="45">
        <f>IF(Bets35[[#This Row],[Result]]="L",0-Bets35[[#This Row],[Risk]],IF(Bets35[[#This Row],[Result]]="Push",0,IF(Bets35[[#This Row],[Result]]="No Action",0,IF(Bets35[[#This Row],[Result]]="W",IF(Bets35[[#This Row],[Odds]]&gt;0,Bets35[[#This Row],[Odds]]/100*Bets35[[#This Row],[Risk]],(Bets35[[#This Row],[Risk]]/Bets35[[#This Row],[Odds]]*-100)),""))))</f>
        <v>10</v>
      </c>
      <c r="J99" s="39" t="str">
        <f>IF(ISNUMBER(SEARCH(CHAR(10),Bets35[[#This Row],[Bet]])),"P",IF(ISNUMBER(FIND("Under",Bets35[[#This Row],[Bet]])),"U",IF(ISNUMBER(SEARCH("Over",Bets35[[#This Row],[Bet]])),"O",IF(ISNUMBER(SEARCH("+",Bets35[[#This Row],[Bet]])),"D",IF(ISNUMBER(SEARCH("-",Bets35[[#This Row],[Bet]])),"F",IF(ISNUMBER(SEARCH("Moneyline",Bets35[[#This Row],[Bet]])),IF(Bets35[[#This Row],[Odds]]&lt;0,"MF","MD"),""))))))</f>
        <v>MF</v>
      </c>
      <c r="K99"/>
      <c r="L99" s="24">
        <f t="shared" si="5"/>
        <v>0</v>
      </c>
      <c r="M99" s="1" t="str">
        <f>COUNTIFS(Bets35[Date],L99,Bets35[Result],"W")&amp;"-"&amp;COUNTIFS(Bets35[Date],L99,Bets35[Result],"L")&amp;IF(COUNTIFS(Bets35[Date],L99,Bets35[Result],"Push")&gt;0,"-"&amp;COUNTIFS(Bets35[Date],L99,Bets35[Result],"Push"),"")</f>
        <v>0-0</v>
      </c>
      <c r="N99" s="25" t="str">
        <f>IFERROR(COUNTIFS(Bets35[Date],L99,Bets35[Result],"W")/(COUNTIFS(Bets35[Date],L99,Bets35[Result],"W")+COUNTIFS(Bets35[Date],L99,Bets35[Result],"L")),"")</f>
        <v/>
      </c>
      <c r="O99" s="26">
        <f>SUMIF(Bets35[Date],L99,Bets35[Net])</f>
        <v>0</v>
      </c>
      <c r="P99" s="27" t="str">
        <f>IFERROR("("&amp;ROUND(SUMIF(Bets35[Date],L99,Bets35[Net])/SUMIF(Bets35[Date],L99,Bets35[Risk]),2)*100&amp;"%)","")</f>
        <v/>
      </c>
      <c r="Q99" s="72" t="str">
        <f t="shared" si="6"/>
        <v/>
      </c>
      <c r="R99" s="73" t="str">
        <f>IFERROR(SUMIF(Bets35[Date],"&lt;="&amp;L99,Bets35[Net])/SUMIF(Bets35[Date],"&lt;="&amp;L99,Bets35[Risk]),"")</f>
        <v/>
      </c>
    </row>
    <row r="100" spans="1:18" x14ac:dyDescent="0.25">
      <c r="A100" s="13">
        <f t="shared" si="4"/>
        <v>8</v>
      </c>
      <c r="B100" s="17">
        <v>43587</v>
      </c>
      <c r="C100" s="17" t="s">
        <v>802</v>
      </c>
      <c r="D100" s="18" t="s">
        <v>930</v>
      </c>
      <c r="E100" s="11" t="s">
        <v>931</v>
      </c>
      <c r="F100" s="19">
        <f>IF(Bets35[[#This Row],[Odds]]&lt;0,Bets35[[#This Row],[Odds]]/-10,10)</f>
        <v>11.5</v>
      </c>
      <c r="G100" s="37">
        <v>-115</v>
      </c>
      <c r="H100" s="21" t="s">
        <v>263</v>
      </c>
      <c r="I100" s="45">
        <f>IF(Bets35[[#This Row],[Result]]="L",0-Bets35[[#This Row],[Risk]],IF(Bets35[[#This Row],[Result]]="Push",0,IF(Bets35[[#This Row],[Result]]="No Action",0,IF(Bets35[[#This Row],[Result]]="W",IF(Bets35[[#This Row],[Odds]]&gt;0,Bets35[[#This Row],[Odds]]/100*Bets35[[#This Row],[Risk]],(Bets35[[#This Row],[Risk]]/Bets35[[#This Row],[Odds]]*-100)),""))))</f>
        <v>-11.5</v>
      </c>
      <c r="J100" s="39" t="str">
        <f>IF(ISNUMBER(SEARCH(CHAR(10),Bets35[[#This Row],[Bet]])),"P",IF(ISNUMBER(FIND("Under",Bets35[[#This Row],[Bet]])),"U",IF(ISNUMBER(SEARCH("Over",Bets35[[#This Row],[Bet]])),"O",IF(ISNUMBER(SEARCH("+",Bets35[[#This Row],[Bet]])),"D",IF(ISNUMBER(SEARCH("-",Bets35[[#This Row],[Bet]])),"F",IF(ISNUMBER(SEARCH("Moneyline",Bets35[[#This Row],[Bet]])),IF(Bets35[[#This Row],[Odds]]&lt;0,"MF","MD"),""))))))</f>
        <v>O</v>
      </c>
      <c r="K100"/>
      <c r="L100" s="24">
        <f t="shared" ref="L100:L131" si="7">IFERROR(VLOOKUP(ROW()-3,A:B,2,0),0)</f>
        <v>0</v>
      </c>
      <c r="M100" s="1" t="str">
        <f>COUNTIFS(Bets35[Date],L100,Bets35[Result],"W")&amp;"-"&amp;COUNTIFS(Bets35[Date],L100,Bets35[Result],"L")&amp;IF(COUNTIFS(Bets35[Date],L100,Bets35[Result],"Push")&gt;0,"-"&amp;COUNTIFS(Bets35[Date],L100,Bets35[Result],"Push"),"")</f>
        <v>0-0</v>
      </c>
      <c r="N100" s="25" t="str">
        <f>IFERROR(COUNTIFS(Bets35[Date],L100,Bets35[Result],"W")/(COUNTIFS(Bets35[Date],L100,Bets35[Result],"W")+COUNTIFS(Bets35[Date],L100,Bets35[Result],"L")),"")</f>
        <v/>
      </c>
      <c r="O100" s="26">
        <f>SUMIF(Bets35[Date],L100,Bets35[Net])</f>
        <v>0</v>
      </c>
      <c r="P100" s="27" t="str">
        <f>IFERROR("("&amp;ROUND(SUMIF(Bets35[Date],L100,Bets35[Net])/SUMIF(Bets35[Date],L100,Bets35[Risk]),2)*100&amp;"%)","")</f>
        <v/>
      </c>
      <c r="Q100" s="72" t="str">
        <f t="shared" si="6"/>
        <v/>
      </c>
      <c r="R100" s="73" t="str">
        <f>IFERROR(SUMIF(Bets35[Date],"&lt;="&amp;L100,Bets35[Net])/SUMIF(Bets35[Date],"&lt;="&amp;L100,Bets35[Risk]),"")</f>
        <v/>
      </c>
    </row>
    <row r="101" spans="1:18" x14ac:dyDescent="0.25">
      <c r="A101" s="13">
        <f t="shared" si="4"/>
        <v>8</v>
      </c>
      <c r="B101" s="17">
        <v>43587</v>
      </c>
      <c r="C101" s="17" t="s">
        <v>802</v>
      </c>
      <c r="D101" s="18" t="s">
        <v>926</v>
      </c>
      <c r="E101" s="11" t="s">
        <v>905</v>
      </c>
      <c r="F101" s="19">
        <f>IF(Bets35[[#This Row],[Odds]]&lt;0,Bets35[[#This Row],[Odds]]/-10,10)</f>
        <v>10.5</v>
      </c>
      <c r="G101" s="37">
        <v>-105</v>
      </c>
      <c r="H101" s="21" t="s">
        <v>263</v>
      </c>
      <c r="I101" s="45">
        <f>IF(Bets35[[#This Row],[Result]]="L",0-Bets35[[#This Row],[Risk]],IF(Bets35[[#This Row],[Result]]="Push",0,IF(Bets35[[#This Row],[Result]]="No Action",0,IF(Bets35[[#This Row],[Result]]="W",IF(Bets35[[#This Row],[Odds]]&gt;0,Bets35[[#This Row],[Odds]]/100*Bets35[[#This Row],[Risk]],(Bets35[[#This Row],[Risk]]/Bets35[[#This Row],[Odds]]*-100)),""))))</f>
        <v>-10.5</v>
      </c>
      <c r="J101" s="39" t="str">
        <f>IF(ISNUMBER(SEARCH(CHAR(10),Bets35[[#This Row],[Bet]])),"P",IF(ISNUMBER(FIND("Under",Bets35[[#This Row],[Bet]])),"U",IF(ISNUMBER(SEARCH("Over",Bets35[[#This Row],[Bet]])),"O",IF(ISNUMBER(SEARCH("+",Bets35[[#This Row],[Bet]])),"D",IF(ISNUMBER(SEARCH("-",Bets35[[#This Row],[Bet]])),"F",IF(ISNUMBER(SEARCH("Moneyline",Bets35[[#This Row],[Bet]])),IF(Bets35[[#This Row],[Odds]]&lt;0,"MF","MD"),""))))))</f>
        <v>O</v>
      </c>
      <c r="K101"/>
      <c r="L101" s="24">
        <f t="shared" si="7"/>
        <v>0</v>
      </c>
      <c r="M101" s="1" t="str">
        <f>COUNTIFS(Bets35[Date],L101,Bets35[Result],"W")&amp;"-"&amp;COUNTIFS(Bets35[Date],L101,Bets35[Result],"L")&amp;IF(COUNTIFS(Bets35[Date],L101,Bets35[Result],"Push")&gt;0,"-"&amp;COUNTIFS(Bets35[Date],L101,Bets35[Result],"Push"),"")</f>
        <v>0-0</v>
      </c>
      <c r="N101" s="25" t="str">
        <f>IFERROR(COUNTIFS(Bets35[Date],L101,Bets35[Result],"W")/(COUNTIFS(Bets35[Date],L101,Bets35[Result],"W")+COUNTIFS(Bets35[Date],L101,Bets35[Result],"L")),"")</f>
        <v/>
      </c>
      <c r="O101" s="26">
        <f>SUMIF(Bets35[Date],L101,Bets35[Net])</f>
        <v>0</v>
      </c>
      <c r="P101" s="27" t="str">
        <f>IFERROR("("&amp;ROUND(SUMIF(Bets35[Date],L101,Bets35[Net])/SUMIF(Bets35[Date],L101,Bets35[Risk]),2)*100&amp;"%)","")</f>
        <v/>
      </c>
      <c r="Q101" s="72" t="str">
        <f t="shared" si="6"/>
        <v/>
      </c>
      <c r="R101" s="73" t="str">
        <f>IFERROR(SUMIF(Bets35[Date],"&lt;="&amp;L101,Bets35[Net])/SUMIF(Bets35[Date],"&lt;="&amp;L101,Bets35[Risk]),"")</f>
        <v/>
      </c>
    </row>
    <row r="102" spans="1:18" x14ac:dyDescent="0.25">
      <c r="A102" s="13">
        <f t="shared" si="4"/>
        <v>8</v>
      </c>
      <c r="B102" s="17">
        <v>43587</v>
      </c>
      <c r="C102" s="17" t="s">
        <v>802</v>
      </c>
      <c r="D102" s="18" t="s">
        <v>1168</v>
      </c>
      <c r="E102" s="11" t="s">
        <v>933</v>
      </c>
      <c r="F102" s="19">
        <f>IF(Bets35[[#This Row],[Odds]]&lt;0,Bets35[[#This Row],[Odds]]/-10,10)</f>
        <v>12</v>
      </c>
      <c r="G102" s="37">
        <v>-120</v>
      </c>
      <c r="H102" s="37" t="s">
        <v>262</v>
      </c>
      <c r="I102" s="45">
        <f>IF(Bets35[[#This Row],[Result]]="L",0-Bets35[[#This Row],[Risk]],IF(Bets35[[#This Row],[Result]]="Push",0,IF(Bets35[[#This Row],[Result]]="No Action",0,IF(Bets35[[#This Row],[Result]]="W",IF(Bets35[[#This Row],[Odds]]&gt;0,Bets35[[#This Row],[Odds]]/100*Bets35[[#This Row],[Risk]],(Bets35[[#This Row],[Risk]]/Bets35[[#This Row],[Odds]]*-100)),""))))</f>
        <v>10</v>
      </c>
      <c r="J102" s="39" t="str">
        <f>IF(ISNUMBER(SEARCH(CHAR(10),Bets35[[#This Row],[Bet]])),"P",IF(ISNUMBER(FIND("Under",Bets35[[#This Row],[Bet]])),"U",IF(ISNUMBER(SEARCH("Over",Bets35[[#This Row],[Bet]])),"O",IF(ISNUMBER(SEARCH("+",Bets35[[#This Row],[Bet]])),"D",IF(ISNUMBER(SEARCH("-",Bets35[[#This Row],[Bet]])),"F",IF(ISNUMBER(SEARCH("Moneyline",Bets35[[#This Row],[Bet]])),IF(Bets35[[#This Row],[Odds]]&lt;0,"MF","MD"),""))))))</f>
        <v>U</v>
      </c>
      <c r="K102"/>
      <c r="L102" s="24">
        <f t="shared" si="7"/>
        <v>0</v>
      </c>
      <c r="M102" s="1" t="str">
        <f>COUNTIFS(Bets35[Date],L102,Bets35[Result],"W")&amp;"-"&amp;COUNTIFS(Bets35[Date],L102,Bets35[Result],"L")&amp;IF(COUNTIFS(Bets35[Date],L102,Bets35[Result],"Push")&gt;0,"-"&amp;COUNTIFS(Bets35[Date],L102,Bets35[Result],"Push"),"")</f>
        <v>0-0</v>
      </c>
      <c r="N102" s="25" t="str">
        <f>IFERROR(COUNTIFS(Bets35[Date],L102,Bets35[Result],"W")/(COUNTIFS(Bets35[Date],L102,Bets35[Result],"W")+COUNTIFS(Bets35[Date],L102,Bets35[Result],"L")),"")</f>
        <v/>
      </c>
      <c r="O102" s="26">
        <f>SUMIF(Bets35[Date],L102,Bets35[Net])</f>
        <v>0</v>
      </c>
      <c r="P102" s="27" t="str">
        <f>IFERROR("("&amp;ROUND(SUMIF(Bets35[Date],L102,Bets35[Net])/SUMIF(Bets35[Date],L102,Bets35[Risk]),2)*100&amp;"%)","")</f>
        <v/>
      </c>
      <c r="Q102" s="72" t="str">
        <f t="shared" si="6"/>
        <v/>
      </c>
      <c r="R102" s="73" t="str">
        <f>IFERROR(SUMIF(Bets35[Date],"&lt;="&amp;L102,Bets35[Net])/SUMIF(Bets35[Date],"&lt;="&amp;L102,Bets35[Risk]),"")</f>
        <v/>
      </c>
    </row>
    <row r="103" spans="1:18" x14ac:dyDescent="0.25">
      <c r="A103" s="13">
        <f t="shared" si="4"/>
        <v>9</v>
      </c>
      <c r="B103" s="17">
        <v>43592</v>
      </c>
      <c r="C103" s="17" t="s">
        <v>802</v>
      </c>
      <c r="D103" s="40" t="s">
        <v>1175</v>
      </c>
      <c r="E103" s="41" t="s">
        <v>869</v>
      </c>
      <c r="F103" s="19">
        <f>IF(Bets35[[#This Row],[Odds]]&lt;0,Bets35[[#This Row],[Odds]]/-10,10)</f>
        <v>14.5</v>
      </c>
      <c r="G103" s="37">
        <v>-145</v>
      </c>
      <c r="H103" s="37" t="s">
        <v>263</v>
      </c>
      <c r="I103" s="45">
        <f>IF(Bets35[[#This Row],[Result]]="L",0-Bets35[[#This Row],[Risk]],IF(Bets35[[#This Row],[Result]]="Push",0,IF(Bets35[[#This Row],[Result]]="No Action",0,IF(Bets35[[#This Row],[Result]]="W",IF(Bets35[[#This Row],[Odds]]&gt;0,Bets35[[#This Row],[Odds]]/100*Bets35[[#This Row],[Risk]],(Bets35[[#This Row],[Risk]]/Bets35[[#This Row],[Odds]]*-100)),""))))</f>
        <v>-14.5</v>
      </c>
      <c r="J103" s="39" t="str">
        <f>IF(ISNUMBER(SEARCH(CHAR(10),Bets35[[#This Row],[Bet]])),"P",IF(ISNUMBER(FIND("Under",Bets35[[#This Row],[Bet]])),"U",IF(ISNUMBER(SEARCH("Over",Bets35[[#This Row],[Bet]])),"O",IF(ISNUMBER(SEARCH("+",Bets35[[#This Row],[Bet]])),"D",IF(ISNUMBER(SEARCH("-",Bets35[[#This Row],[Bet]])),"F",IF(ISNUMBER(SEARCH("Moneyline",Bets35[[#This Row],[Bet]])),IF(Bets35[[#This Row],[Odds]]&lt;0,"MF","MD"),""))))))</f>
        <v>MF</v>
      </c>
      <c r="K103"/>
      <c r="L103" s="24">
        <f t="shared" si="7"/>
        <v>0</v>
      </c>
      <c r="M103" s="1" t="str">
        <f>COUNTIFS(Bets35[Date],L103,Bets35[Result],"W")&amp;"-"&amp;COUNTIFS(Bets35[Date],L103,Bets35[Result],"L")&amp;IF(COUNTIFS(Bets35[Date],L103,Bets35[Result],"Push")&gt;0,"-"&amp;COUNTIFS(Bets35[Date],L103,Bets35[Result],"Push"),"")</f>
        <v>0-0</v>
      </c>
      <c r="N103" s="25" t="str">
        <f>IFERROR(COUNTIFS(Bets35[Date],L103,Bets35[Result],"W")/(COUNTIFS(Bets35[Date],L103,Bets35[Result],"W")+COUNTIFS(Bets35[Date],L103,Bets35[Result],"L")),"")</f>
        <v/>
      </c>
      <c r="O103" s="26">
        <f>SUMIF(Bets35[Date],L103,Bets35[Net])</f>
        <v>0</v>
      </c>
      <c r="P103" s="27" t="str">
        <f>IFERROR("("&amp;ROUND(SUMIF(Bets35[Date],L103,Bets35[Net])/SUMIF(Bets35[Date],L103,Bets35[Risk]),2)*100&amp;"%)","")</f>
        <v/>
      </c>
      <c r="Q103" s="72" t="str">
        <f t="shared" si="6"/>
        <v/>
      </c>
      <c r="R103" s="73" t="str">
        <f>IFERROR(SUMIF(Bets35[Date],"&lt;="&amp;L103,Bets35[Net])/SUMIF(Bets35[Date],"&lt;="&amp;L103,Bets35[Risk]),"")</f>
        <v/>
      </c>
    </row>
    <row r="104" spans="1:18" x14ac:dyDescent="0.25">
      <c r="A104" s="13">
        <f t="shared" si="4"/>
        <v>9</v>
      </c>
      <c r="B104" s="17">
        <v>43592</v>
      </c>
      <c r="C104" s="17" t="s">
        <v>802</v>
      </c>
      <c r="D104" s="18" t="s">
        <v>1176</v>
      </c>
      <c r="E104" s="11" t="s">
        <v>870</v>
      </c>
      <c r="F104" s="19">
        <f>IF(Bets35[[#This Row],[Odds]]&lt;0,Bets35[[#This Row],[Odds]]/-10,10)</f>
        <v>10</v>
      </c>
      <c r="G104" s="37" t="s">
        <v>1187</v>
      </c>
      <c r="H104" s="37" t="s">
        <v>263</v>
      </c>
      <c r="I104" s="45">
        <f>IF(Bets35[[#This Row],[Result]]="L",0-Bets35[[#This Row],[Risk]],IF(Bets35[[#This Row],[Result]]="Push",0,IF(Bets35[[#This Row],[Result]]="No Action",0,IF(Bets35[[#This Row],[Result]]="W",IF(Bets35[[#This Row],[Odds]]&gt;0,Bets35[[#This Row],[Odds]]/100*Bets35[[#This Row],[Risk]],(Bets35[[#This Row],[Risk]]/Bets35[[#This Row],[Odds]]*-100)),""))))</f>
        <v>-10</v>
      </c>
      <c r="J104" s="39" t="str">
        <f>IF(ISNUMBER(SEARCH(CHAR(10),Bets35[[#This Row],[Bet]])),"P",IF(ISNUMBER(FIND("Under",Bets35[[#This Row],[Bet]])),"U",IF(ISNUMBER(SEARCH("Over",Bets35[[#This Row],[Bet]])),"O",IF(ISNUMBER(SEARCH("+",Bets35[[#This Row],[Bet]])),"D",IF(ISNUMBER(SEARCH("-",Bets35[[#This Row],[Bet]])),"F",IF(ISNUMBER(SEARCH("Moneyline",Bets35[[#This Row],[Bet]])),IF(Bets35[[#This Row],[Odds]]&lt;0,"MF","MD"),""))))))</f>
        <v>MD</v>
      </c>
      <c r="K104"/>
      <c r="L104" s="24">
        <f t="shared" si="7"/>
        <v>0</v>
      </c>
      <c r="M104" s="1" t="str">
        <f>COUNTIFS(Bets35[Date],L104,Bets35[Result],"W")&amp;"-"&amp;COUNTIFS(Bets35[Date],L104,Bets35[Result],"L")&amp;IF(COUNTIFS(Bets35[Date],L104,Bets35[Result],"Push")&gt;0,"-"&amp;COUNTIFS(Bets35[Date],L104,Bets35[Result],"Push"),"")</f>
        <v>0-0</v>
      </c>
      <c r="N104" s="25" t="str">
        <f>IFERROR(COUNTIFS(Bets35[Date],L104,Bets35[Result],"W")/(COUNTIFS(Bets35[Date],L104,Bets35[Result],"W")+COUNTIFS(Bets35[Date],L104,Bets35[Result],"L")),"")</f>
        <v/>
      </c>
      <c r="O104" s="26">
        <f>SUMIF(Bets35[Date],L104,Bets35[Net])</f>
        <v>0</v>
      </c>
      <c r="P104" s="27" t="str">
        <f>IFERROR("("&amp;ROUND(SUMIF(Bets35[Date],L104,Bets35[Net])/SUMIF(Bets35[Date],L104,Bets35[Risk]),2)*100&amp;"%)","")</f>
        <v/>
      </c>
      <c r="Q104" s="72" t="str">
        <f t="shared" si="6"/>
        <v/>
      </c>
      <c r="R104" s="73" t="str">
        <f>IFERROR(SUMIF(Bets35[Date],"&lt;="&amp;L104,Bets35[Net])/SUMIF(Bets35[Date],"&lt;="&amp;L104,Bets35[Risk]),"")</f>
        <v/>
      </c>
    </row>
    <row r="105" spans="1:18" x14ac:dyDescent="0.25">
      <c r="A105" s="13">
        <f t="shared" si="4"/>
        <v>9</v>
      </c>
      <c r="B105" s="17">
        <v>43592</v>
      </c>
      <c r="C105" s="17" t="s">
        <v>802</v>
      </c>
      <c r="D105" s="18" t="s">
        <v>1177</v>
      </c>
      <c r="E105" s="11" t="s">
        <v>1178</v>
      </c>
      <c r="F105" s="19">
        <f>IF(Bets35[[#This Row],[Odds]]&lt;0,Bets35[[#This Row],[Odds]]/-10,10)</f>
        <v>13.5</v>
      </c>
      <c r="G105" s="37">
        <v>-135</v>
      </c>
      <c r="H105" s="37" t="s">
        <v>262</v>
      </c>
      <c r="I105" s="45">
        <f>IF(Bets35[[#This Row],[Result]]="L",0-Bets35[[#This Row],[Risk]],IF(Bets35[[#This Row],[Result]]="Push",0,IF(Bets35[[#This Row],[Result]]="No Action",0,IF(Bets35[[#This Row],[Result]]="W",IF(Bets35[[#This Row],[Odds]]&gt;0,Bets35[[#This Row],[Odds]]/100*Bets35[[#This Row],[Risk]],(Bets35[[#This Row],[Risk]]/Bets35[[#This Row],[Odds]]*-100)),""))))</f>
        <v>10</v>
      </c>
      <c r="J105" s="39" t="str">
        <f>IF(ISNUMBER(SEARCH(CHAR(10),Bets35[[#This Row],[Bet]])),"P",IF(ISNUMBER(FIND("Under",Bets35[[#This Row],[Bet]])),"U",IF(ISNUMBER(SEARCH("Over",Bets35[[#This Row],[Bet]])),"O",IF(ISNUMBER(SEARCH("+",Bets35[[#This Row],[Bet]])),"D",IF(ISNUMBER(SEARCH("-",Bets35[[#This Row],[Bet]])),"F",IF(ISNUMBER(SEARCH("Moneyline",Bets35[[#This Row],[Bet]])),IF(Bets35[[#This Row],[Odds]]&lt;0,"MF","MD"),""))))))</f>
        <v>MF</v>
      </c>
      <c r="K105"/>
      <c r="L105" s="24">
        <f t="shared" si="7"/>
        <v>0</v>
      </c>
      <c r="M105" s="1" t="str">
        <f>COUNTIFS(Bets35[Date],L105,Bets35[Result],"W")&amp;"-"&amp;COUNTIFS(Bets35[Date],L105,Bets35[Result],"L")&amp;IF(COUNTIFS(Bets35[Date],L105,Bets35[Result],"Push")&gt;0,"-"&amp;COUNTIFS(Bets35[Date],L105,Bets35[Result],"Push"),"")</f>
        <v>0-0</v>
      </c>
      <c r="N105" s="25" t="str">
        <f>IFERROR(COUNTIFS(Bets35[Date],L105,Bets35[Result],"W")/(COUNTIFS(Bets35[Date],L105,Bets35[Result],"W")+COUNTIFS(Bets35[Date],L105,Bets35[Result],"L")),"")</f>
        <v/>
      </c>
      <c r="O105" s="26">
        <f>SUMIF(Bets35[Date],L105,Bets35[Net])</f>
        <v>0</v>
      </c>
      <c r="P105" s="27" t="str">
        <f>IFERROR("("&amp;ROUND(SUMIF(Bets35[Date],L105,Bets35[Net])/SUMIF(Bets35[Date],L105,Bets35[Risk]),2)*100&amp;"%)","")</f>
        <v/>
      </c>
      <c r="Q105" s="72" t="str">
        <f t="shared" si="6"/>
        <v/>
      </c>
      <c r="R105" s="73" t="str">
        <f>IFERROR(SUMIF(Bets35[Date],"&lt;="&amp;L105,Bets35[Net])/SUMIF(Bets35[Date],"&lt;="&amp;L105,Bets35[Risk]),"")</f>
        <v/>
      </c>
    </row>
    <row r="106" spans="1:18" x14ac:dyDescent="0.25">
      <c r="A106" s="13">
        <f t="shared" si="4"/>
        <v>9</v>
      </c>
      <c r="B106" s="17">
        <v>43592</v>
      </c>
      <c r="C106" s="17" t="s">
        <v>802</v>
      </c>
      <c r="D106" s="18" t="s">
        <v>1179</v>
      </c>
      <c r="E106" s="11" t="s">
        <v>1180</v>
      </c>
      <c r="F106" s="19">
        <f>IF(Bets35[[#This Row],[Odds]]&lt;0,Bets35[[#This Row],[Odds]]/-10,10)</f>
        <v>10</v>
      </c>
      <c r="G106" s="37" t="s">
        <v>934</v>
      </c>
      <c r="H106" s="37" t="s">
        <v>263</v>
      </c>
      <c r="I106" s="45">
        <f>IF(Bets35[[#This Row],[Result]]="L",0-Bets35[[#This Row],[Risk]],IF(Bets35[[#This Row],[Result]]="Push",0,IF(Bets35[[#This Row],[Result]]="No Action",0,IF(Bets35[[#This Row],[Result]]="W",IF(Bets35[[#This Row],[Odds]]&gt;0,Bets35[[#This Row],[Odds]]/100*Bets35[[#This Row],[Risk]],(Bets35[[#This Row],[Risk]]/Bets35[[#This Row],[Odds]]*-100)),""))))</f>
        <v>-10</v>
      </c>
      <c r="J106" s="39" t="str">
        <f>IF(ISNUMBER(SEARCH(CHAR(10),Bets35[[#This Row],[Bet]])),"P",IF(ISNUMBER(FIND("Under",Bets35[[#This Row],[Bet]])),"U",IF(ISNUMBER(SEARCH("Over",Bets35[[#This Row],[Bet]])),"O",IF(ISNUMBER(SEARCH("+",Bets35[[#This Row],[Bet]])),"D",IF(ISNUMBER(SEARCH("-",Bets35[[#This Row],[Bet]])),"F",IF(ISNUMBER(SEARCH("Moneyline",Bets35[[#This Row],[Bet]])),IF(Bets35[[#This Row],[Odds]]&lt;0,"MF","MD"),""))))))</f>
        <v>MD</v>
      </c>
      <c r="K106"/>
      <c r="L106" s="24">
        <f t="shared" si="7"/>
        <v>0</v>
      </c>
      <c r="M106" s="1" t="str">
        <f>COUNTIFS(Bets35[Date],L106,Bets35[Result],"W")&amp;"-"&amp;COUNTIFS(Bets35[Date],L106,Bets35[Result],"L")&amp;IF(COUNTIFS(Bets35[Date],L106,Bets35[Result],"Push")&gt;0,"-"&amp;COUNTIFS(Bets35[Date],L106,Bets35[Result],"Push"),"")</f>
        <v>0-0</v>
      </c>
      <c r="N106" s="25" t="str">
        <f>IFERROR(COUNTIFS(Bets35[Date],L106,Bets35[Result],"W")/(COUNTIFS(Bets35[Date],L106,Bets35[Result],"W")+COUNTIFS(Bets35[Date],L106,Bets35[Result],"L")),"")</f>
        <v/>
      </c>
      <c r="O106" s="26">
        <f>SUMIF(Bets35[Date],L106,Bets35[Net])</f>
        <v>0</v>
      </c>
      <c r="P106" s="27" t="str">
        <f>IFERROR("("&amp;ROUND(SUMIF(Bets35[Date],L106,Bets35[Net])/SUMIF(Bets35[Date],L106,Bets35[Risk]),2)*100&amp;"%)","")</f>
        <v/>
      </c>
      <c r="Q106" s="72" t="str">
        <f t="shared" si="6"/>
        <v/>
      </c>
      <c r="R106" s="73" t="str">
        <f>IFERROR(SUMIF(Bets35[Date],"&lt;="&amp;L106,Bets35[Net])/SUMIF(Bets35[Date],"&lt;="&amp;L106,Bets35[Risk]),"")</f>
        <v/>
      </c>
    </row>
    <row r="107" spans="1:18" x14ac:dyDescent="0.25">
      <c r="A107" s="13">
        <f t="shared" si="4"/>
        <v>9</v>
      </c>
      <c r="B107" s="17">
        <v>43592</v>
      </c>
      <c r="C107" s="17" t="s">
        <v>802</v>
      </c>
      <c r="D107" s="18" t="s">
        <v>1181</v>
      </c>
      <c r="E107" s="11" t="s">
        <v>830</v>
      </c>
      <c r="F107" s="19">
        <f>IF(Bets35[[#This Row],[Odds]]&lt;0,Bets35[[#This Row],[Odds]]/-10,10)</f>
        <v>12</v>
      </c>
      <c r="G107" s="37">
        <v>-120</v>
      </c>
      <c r="H107" s="37" t="s">
        <v>263</v>
      </c>
      <c r="I107" s="45">
        <f>IF(Bets35[[#This Row],[Result]]="L",0-Bets35[[#This Row],[Risk]],IF(Bets35[[#This Row],[Result]]="Push",0,IF(Bets35[[#This Row],[Result]]="No Action",0,IF(Bets35[[#This Row],[Result]]="W",IF(Bets35[[#This Row],[Odds]]&gt;0,Bets35[[#This Row],[Odds]]/100*Bets35[[#This Row],[Risk]],(Bets35[[#This Row],[Risk]]/Bets35[[#This Row],[Odds]]*-100)),""))))</f>
        <v>-12</v>
      </c>
      <c r="J107" s="39" t="str">
        <f>IF(ISNUMBER(SEARCH(CHAR(10),Bets35[[#This Row],[Bet]])),"P",IF(ISNUMBER(FIND("Under",Bets35[[#This Row],[Bet]])),"U",IF(ISNUMBER(SEARCH("Over",Bets35[[#This Row],[Bet]])),"O",IF(ISNUMBER(SEARCH("+",Bets35[[#This Row],[Bet]])),"D",IF(ISNUMBER(SEARCH("-",Bets35[[#This Row],[Bet]])),"F",IF(ISNUMBER(SEARCH("Moneyline",Bets35[[#This Row],[Bet]])),IF(Bets35[[#This Row],[Odds]]&lt;0,"MF","MD"),""))))))</f>
        <v>MF</v>
      </c>
      <c r="K107"/>
      <c r="L107" s="24">
        <f t="shared" si="7"/>
        <v>0</v>
      </c>
      <c r="M107" s="1" t="str">
        <f>COUNTIFS(Bets35[Date],L107,Bets35[Result],"W")&amp;"-"&amp;COUNTIFS(Bets35[Date],L107,Bets35[Result],"L")&amp;IF(COUNTIFS(Bets35[Date],L107,Bets35[Result],"Push")&gt;0,"-"&amp;COUNTIFS(Bets35[Date],L107,Bets35[Result],"Push"),"")</f>
        <v>0-0</v>
      </c>
      <c r="N107" s="25" t="str">
        <f>IFERROR(COUNTIFS(Bets35[Date],L107,Bets35[Result],"W")/(COUNTIFS(Bets35[Date],L107,Bets35[Result],"W")+COUNTIFS(Bets35[Date],L107,Bets35[Result],"L")),"")</f>
        <v/>
      </c>
      <c r="O107" s="26">
        <f>SUMIF(Bets35[Date],L107,Bets35[Net])</f>
        <v>0</v>
      </c>
      <c r="P107" s="27"/>
      <c r="Q107" s="72" t="str">
        <f t="shared" si="6"/>
        <v/>
      </c>
      <c r="R107" s="73" t="str">
        <f>IFERROR(SUMIF(Bets35[Date],"&lt;="&amp;L107,Bets35[Net])/SUMIF(Bets35[Date],"&lt;="&amp;L107,Bets35[Risk]),"")</f>
        <v/>
      </c>
    </row>
    <row r="108" spans="1:18" x14ac:dyDescent="0.25">
      <c r="A108" s="13">
        <f t="shared" si="4"/>
        <v>9</v>
      </c>
      <c r="B108" s="17">
        <v>43592</v>
      </c>
      <c r="C108" s="17" t="s">
        <v>802</v>
      </c>
      <c r="D108" s="18" t="s">
        <v>1182</v>
      </c>
      <c r="E108" s="11" t="s">
        <v>867</v>
      </c>
      <c r="F108" s="19">
        <f>IF(Bets35[[#This Row],[Odds]]&lt;0,Bets35[[#This Row],[Odds]]/-10,10)</f>
        <v>16.600000000000001</v>
      </c>
      <c r="G108" s="37">
        <v>-166</v>
      </c>
      <c r="H108" s="37" t="s">
        <v>262</v>
      </c>
      <c r="I108" s="45">
        <f>IF(Bets35[[#This Row],[Result]]="L",0-Bets35[[#This Row],[Risk]],IF(Bets35[[#This Row],[Result]]="Push",0,IF(Bets35[[#This Row],[Result]]="No Action",0,IF(Bets35[[#This Row],[Result]]="W",IF(Bets35[[#This Row],[Odds]]&gt;0,Bets35[[#This Row],[Odds]]/100*Bets35[[#This Row],[Risk]],(Bets35[[#This Row],[Risk]]/Bets35[[#This Row],[Odds]]*-100)),""))))</f>
        <v>10</v>
      </c>
      <c r="J108" s="39" t="str">
        <f>IF(ISNUMBER(SEARCH(CHAR(10),Bets35[[#This Row],[Bet]])),"P",IF(ISNUMBER(FIND("Under",Bets35[[#This Row],[Bet]])),"U",IF(ISNUMBER(SEARCH("Over",Bets35[[#This Row],[Bet]])),"O",IF(ISNUMBER(SEARCH("+",Bets35[[#This Row],[Bet]])),"D",IF(ISNUMBER(SEARCH("-",Bets35[[#This Row],[Bet]])),"F",IF(ISNUMBER(SEARCH("Moneyline",Bets35[[#This Row],[Bet]])),IF(Bets35[[#This Row],[Odds]]&lt;0,"MF","MD"),""))))))</f>
        <v>MF</v>
      </c>
      <c r="K108"/>
      <c r="L108" s="24">
        <f t="shared" si="7"/>
        <v>0</v>
      </c>
      <c r="M108" s="1" t="str">
        <f>COUNTIFS(Bets35[Date],L108,Bets35[Result],"W")&amp;"-"&amp;COUNTIFS(Bets35[Date],L108,Bets35[Result],"L")&amp;IF(COUNTIFS(Bets35[Date],L108,Bets35[Result],"Push")&gt;0,"-"&amp;COUNTIFS(Bets35[Date],L108,Bets35[Result],"Push"),"")</f>
        <v>0-0</v>
      </c>
      <c r="N108" s="25" t="str">
        <f>IFERROR(COUNTIFS(Bets35[Date],L108,Bets35[Result],"W")/(COUNTIFS(Bets35[Date],L108,Bets35[Result],"W")+COUNTIFS(Bets35[Date],L108,Bets35[Result],"L")),"")</f>
        <v/>
      </c>
      <c r="O108" s="26">
        <f>SUMIF(Bets35[Date],L108,Bets35[Net])</f>
        <v>0</v>
      </c>
      <c r="P108" s="27" t="str">
        <f>IFERROR("("&amp;ROUND((SUMIF(Bets35[Date],L108,Bets35[Net])-SUMIF(Bets35[Date],L108,Bets35[Risk]))/SUMIF(Bets35[Date],L108,Bets35[Risk]),2)*100&amp;"%)","")</f>
        <v/>
      </c>
      <c r="Q108" s="72" t="str">
        <f t="shared" si="6"/>
        <v/>
      </c>
      <c r="R108" s="73" t="str">
        <f>IFERROR(SUMIF(Bets35[Date],"&lt;="&amp;L108,Bets35[Net])/SUMIF(Bets35[Date],"&lt;="&amp;L108,Bets35[Risk]),"")</f>
        <v/>
      </c>
    </row>
    <row r="109" spans="1:18" x14ac:dyDescent="0.25">
      <c r="A109" s="13">
        <f t="shared" si="4"/>
        <v>9</v>
      </c>
      <c r="B109" s="17">
        <v>43592</v>
      </c>
      <c r="C109" s="17" t="s">
        <v>802</v>
      </c>
      <c r="D109" s="18" t="s">
        <v>1183</v>
      </c>
      <c r="E109" s="11" t="s">
        <v>1166</v>
      </c>
      <c r="F109" s="19">
        <f>IF(Bets35[[#This Row],[Odds]]&lt;0,Bets35[[#This Row],[Odds]]/-10,10)</f>
        <v>10.199999999999999</v>
      </c>
      <c r="G109" s="37">
        <v>-102</v>
      </c>
      <c r="H109" s="37" t="s">
        <v>263</v>
      </c>
      <c r="I109" s="45">
        <f>IF(Bets35[[#This Row],[Result]]="L",0-Bets35[[#This Row],[Risk]],IF(Bets35[[#This Row],[Result]]="Push",0,IF(Bets35[[#This Row],[Result]]="No Action",0,IF(Bets35[[#This Row],[Result]]="W",IF(Bets35[[#This Row],[Odds]]&gt;0,Bets35[[#This Row],[Odds]]/100*Bets35[[#This Row],[Risk]],(Bets35[[#This Row],[Risk]]/Bets35[[#This Row],[Odds]]*-100)),""))))</f>
        <v>-10.199999999999999</v>
      </c>
      <c r="J109" s="39" t="str">
        <f>IF(ISNUMBER(SEARCH(CHAR(10),Bets35[[#This Row],[Bet]])),"P",IF(ISNUMBER(FIND("Under",Bets35[[#This Row],[Bet]])),"U",IF(ISNUMBER(SEARCH("Over",Bets35[[#This Row],[Bet]])),"O",IF(ISNUMBER(SEARCH("+",Bets35[[#This Row],[Bet]])),"D",IF(ISNUMBER(SEARCH("-",Bets35[[#This Row],[Bet]])),"F",IF(ISNUMBER(SEARCH("Moneyline",Bets35[[#This Row],[Bet]])),IF(Bets35[[#This Row],[Odds]]&lt;0,"MF","MD"),""))))))</f>
        <v>MF</v>
      </c>
      <c r="K109"/>
      <c r="L109" s="24">
        <f t="shared" si="7"/>
        <v>0</v>
      </c>
      <c r="M109" s="1" t="str">
        <f>COUNTIFS(Bets35[Date],L109,Bets35[Result],"W")&amp;"-"&amp;COUNTIFS(Bets35[Date],L109,Bets35[Result],"L")&amp;IF(COUNTIFS(Bets35[Date],L109,Bets35[Result],"Push")&gt;0,"-"&amp;COUNTIFS(Bets35[Date],L109,Bets35[Result],"Push"),"")</f>
        <v>0-0</v>
      </c>
      <c r="N109" s="25" t="str">
        <f>IFERROR(COUNTIFS(Bets35[Date],L109,Bets35[Result],"W")/(COUNTIFS(Bets35[Date],L109,Bets35[Result],"W")+COUNTIFS(Bets35[Date],L109,Bets35[Result],"L")),"")</f>
        <v/>
      </c>
      <c r="O109" s="26">
        <f>SUMIF(Bets35[Date],L109,Bets35[Net])</f>
        <v>0</v>
      </c>
      <c r="P109" s="27" t="str">
        <f>IFERROR("("&amp;ROUND((SUMIF(Bets35[Date],L109,Bets35[Net])-SUMIF(Bets35[Date],L109,Bets35[Risk]))/SUMIF(Bets35[Date],L109,Bets35[Risk]),2)*100&amp;"%)","")</f>
        <v/>
      </c>
      <c r="Q109" s="72" t="str">
        <f t="shared" si="6"/>
        <v/>
      </c>
      <c r="R109" s="73" t="str">
        <f>IFERROR(SUMIF(Bets35[Date],"&lt;="&amp;L109,Bets35[Net])/SUMIF(Bets35[Date],"&lt;="&amp;L109,Bets35[Risk]),"")</f>
        <v/>
      </c>
    </row>
    <row r="110" spans="1:18" x14ac:dyDescent="0.25">
      <c r="A110" s="13">
        <f t="shared" si="4"/>
        <v>9</v>
      </c>
      <c r="B110" s="17">
        <v>43592</v>
      </c>
      <c r="C110" s="17" t="s">
        <v>802</v>
      </c>
      <c r="D110" s="18" t="s">
        <v>1184</v>
      </c>
      <c r="E110" s="11" t="s">
        <v>1152</v>
      </c>
      <c r="F110" s="19">
        <f>IF(Bets35[[#This Row],[Odds]]&lt;0,Bets35[[#This Row],[Odds]]/-10,10)</f>
        <v>10</v>
      </c>
      <c r="G110" s="37" t="s">
        <v>823</v>
      </c>
      <c r="H110" s="37" t="s">
        <v>263</v>
      </c>
      <c r="I110" s="45">
        <f>IF(Bets35[[#This Row],[Result]]="L",0-Bets35[[#This Row],[Risk]],IF(Bets35[[#This Row],[Result]]="Push",0,IF(Bets35[[#This Row],[Result]]="No Action",0,IF(Bets35[[#This Row],[Result]]="W",IF(Bets35[[#This Row],[Odds]]&gt;0,Bets35[[#This Row],[Odds]]/100*Bets35[[#This Row],[Risk]],(Bets35[[#This Row],[Risk]]/Bets35[[#This Row],[Odds]]*-100)),""))))</f>
        <v>-10</v>
      </c>
      <c r="J110" s="39" t="str">
        <f>IF(ISNUMBER(SEARCH(CHAR(10),Bets35[[#This Row],[Bet]])),"P",IF(ISNUMBER(FIND("Under",Bets35[[#This Row],[Bet]])),"U",IF(ISNUMBER(SEARCH("Over",Bets35[[#This Row],[Bet]])),"O",IF(ISNUMBER(SEARCH("+",Bets35[[#This Row],[Bet]])),"D",IF(ISNUMBER(SEARCH("-",Bets35[[#This Row],[Bet]])),"F",IF(ISNUMBER(SEARCH("Moneyline",Bets35[[#This Row],[Bet]])),IF(Bets35[[#This Row],[Odds]]&lt;0,"MF","MD"),""))))))</f>
        <v>MD</v>
      </c>
      <c r="K110"/>
      <c r="L110" s="24">
        <f t="shared" si="7"/>
        <v>0</v>
      </c>
      <c r="M110" s="1" t="str">
        <f>COUNTIFS(Bets35[Date],L110,Bets35[Result],"W")&amp;"-"&amp;COUNTIFS(Bets35[Date],L110,Bets35[Result],"L")&amp;IF(COUNTIFS(Bets35[Date],L110,Bets35[Result],"Push")&gt;0,"-"&amp;COUNTIFS(Bets35[Date],L110,Bets35[Result],"Push"),"")</f>
        <v>0-0</v>
      </c>
      <c r="N110" s="25" t="str">
        <f>IFERROR(COUNTIFS(Bets35[Date],L110,Bets35[Result],"W")/(COUNTIFS(Bets35[Date],L110,Bets35[Result],"W")+COUNTIFS(Bets35[Date],L110,Bets35[Result],"L")),"")</f>
        <v/>
      </c>
      <c r="O110" s="26">
        <f>SUMIF(Bets35[Date],L110,Bets35[Net])</f>
        <v>0</v>
      </c>
      <c r="P110" s="27" t="str">
        <f>IFERROR("("&amp;ROUND((SUMIF(Bets35[Date],L110,Bets35[Net])-SUMIF(Bets35[Date],L110,Bets35[Risk]))/SUMIF(Bets35[Date],L110,Bets35[Risk]),2)*100&amp;"%)","")</f>
        <v/>
      </c>
      <c r="Q110" s="72" t="str">
        <f t="shared" si="6"/>
        <v/>
      </c>
      <c r="R110" s="73" t="str">
        <f>IFERROR(SUMIF(Bets35[Date],"&lt;="&amp;L110,Bets35[Net])/SUMIF(Bets35[Date],"&lt;="&amp;L110,Bets35[Risk]),"")</f>
        <v/>
      </c>
    </row>
    <row r="111" spans="1:18" x14ac:dyDescent="0.25">
      <c r="A111" s="13">
        <f t="shared" si="4"/>
        <v>9</v>
      </c>
      <c r="B111" s="17">
        <v>43592</v>
      </c>
      <c r="C111" s="17" t="s">
        <v>802</v>
      </c>
      <c r="D111" s="18" t="s">
        <v>1176</v>
      </c>
      <c r="E111" s="11" t="s">
        <v>845</v>
      </c>
      <c r="F111" s="19">
        <f>IF(Bets35[[#This Row],[Odds]]&lt;0,Bets35[[#This Row],[Odds]]/-10,10)</f>
        <v>10.5</v>
      </c>
      <c r="G111" s="37">
        <v>-105</v>
      </c>
      <c r="H111" s="37" t="s">
        <v>262</v>
      </c>
      <c r="I111" s="45">
        <f>IF(Bets35[[#This Row],[Result]]="L",0-Bets35[[#This Row],[Risk]],IF(Bets35[[#This Row],[Result]]="Push",0,IF(Bets35[[#This Row],[Result]]="No Action",0,IF(Bets35[[#This Row],[Result]]="W",IF(Bets35[[#This Row],[Odds]]&gt;0,Bets35[[#This Row],[Odds]]/100*Bets35[[#This Row],[Risk]],(Bets35[[#This Row],[Risk]]/Bets35[[#This Row],[Odds]]*-100)),""))))</f>
        <v>10</v>
      </c>
      <c r="J111" s="39" t="str">
        <f>IF(ISNUMBER(SEARCH(CHAR(10),Bets35[[#This Row],[Bet]])),"P",IF(ISNUMBER(FIND("Under",Bets35[[#This Row],[Bet]])),"U",IF(ISNUMBER(SEARCH("Over",Bets35[[#This Row],[Bet]])),"O",IF(ISNUMBER(SEARCH("+",Bets35[[#This Row],[Bet]])),"D",IF(ISNUMBER(SEARCH("-",Bets35[[#This Row],[Bet]])),"F",IF(ISNUMBER(SEARCH("Moneyline",Bets35[[#This Row],[Bet]])),IF(Bets35[[#This Row],[Odds]]&lt;0,"MF","MD"),""))))))</f>
        <v>O</v>
      </c>
      <c r="K111"/>
      <c r="L111" s="24">
        <f t="shared" si="7"/>
        <v>0</v>
      </c>
      <c r="M111" s="1" t="str">
        <f>COUNTIFS(Bets35[Date],L111,Bets35[Result],"W")&amp;"-"&amp;COUNTIFS(Bets35[Date],L111,Bets35[Result],"L")&amp;IF(COUNTIFS(Bets35[Date],L111,Bets35[Result],"Push")&gt;0,"-"&amp;COUNTIFS(Bets35[Date],L111,Bets35[Result],"Push"),"")</f>
        <v>0-0</v>
      </c>
      <c r="N111" s="25" t="str">
        <f>IFERROR(COUNTIFS(Bets35[Date],L111,Bets35[Result],"W")/(COUNTIFS(Bets35[Date],L111,Bets35[Result],"W")+COUNTIFS(Bets35[Date],L111,Bets35[Result],"L")),"")</f>
        <v/>
      </c>
      <c r="O111" s="26">
        <f>SUMIF(Bets35[Date],L111,Bets35[Net])</f>
        <v>0</v>
      </c>
      <c r="P111" s="27" t="str">
        <f>IFERROR("("&amp;ROUND((SUMIF(Bets35[Date],L111,Bets35[Net])-SUMIF(Bets35[Date],L111,Bets35[Risk]))/SUMIF(Bets35[Date],L111,Bets35[Risk]),2)*100&amp;"%)","")</f>
        <v/>
      </c>
      <c r="Q111" s="72" t="str">
        <f t="shared" si="6"/>
        <v/>
      </c>
      <c r="R111" s="73" t="str">
        <f>IFERROR(SUMIF(Bets35[Date],"&lt;="&amp;L111,Bets35[Net])/SUMIF(Bets35[Date],"&lt;="&amp;L111,Bets35[Risk]),"")</f>
        <v/>
      </c>
    </row>
    <row r="112" spans="1:18" x14ac:dyDescent="0.25">
      <c r="A112" s="13">
        <f t="shared" si="4"/>
        <v>9</v>
      </c>
      <c r="B112" s="17">
        <v>43592</v>
      </c>
      <c r="C112" s="17" t="s">
        <v>802</v>
      </c>
      <c r="D112" s="18" t="s">
        <v>1177</v>
      </c>
      <c r="E112" s="11" t="s">
        <v>877</v>
      </c>
      <c r="F112" s="19">
        <f>IF(Bets35[[#This Row],[Odds]]&lt;0,Bets35[[#This Row],[Odds]]/-10,10)</f>
        <v>10</v>
      </c>
      <c r="G112" s="37">
        <v>105</v>
      </c>
      <c r="H112" s="37" t="s">
        <v>262</v>
      </c>
      <c r="I112" s="45">
        <f>IF(Bets35[[#This Row],[Result]]="L",0-Bets35[[#This Row],[Risk]],IF(Bets35[[#This Row],[Result]]="Push",0,IF(Bets35[[#This Row],[Result]]="No Action",0,IF(Bets35[[#This Row],[Result]]="W",IF(Bets35[[#This Row],[Odds]]&gt;0,Bets35[[#This Row],[Odds]]/100*Bets35[[#This Row],[Risk]],(Bets35[[#This Row],[Risk]]/Bets35[[#This Row],[Odds]]*-100)),""))))</f>
        <v>10.5</v>
      </c>
      <c r="J112" s="39" t="str">
        <f>IF(ISNUMBER(SEARCH(CHAR(10),Bets35[[#This Row],[Bet]])),"P",IF(ISNUMBER(FIND("Under",Bets35[[#This Row],[Bet]])),"U",IF(ISNUMBER(SEARCH("Over",Bets35[[#This Row],[Bet]])),"O",IF(ISNUMBER(SEARCH("+",Bets35[[#This Row],[Bet]])),"D",IF(ISNUMBER(SEARCH("-",Bets35[[#This Row],[Bet]])),"F",IF(ISNUMBER(SEARCH("Moneyline",Bets35[[#This Row],[Bet]])),IF(Bets35[[#This Row],[Odds]]&lt;0,"MF","MD"),""))))))</f>
        <v>U</v>
      </c>
      <c r="K112"/>
      <c r="L112" s="24">
        <f t="shared" si="7"/>
        <v>0</v>
      </c>
      <c r="M112" s="1" t="str">
        <f>COUNTIFS(Bets35[Date],L112,Bets35[Result],"W")&amp;"-"&amp;COUNTIFS(Bets35[Date],L112,Bets35[Result],"L")&amp;IF(COUNTIFS(Bets35[Date],L112,Bets35[Result],"Push")&gt;0,"-"&amp;COUNTIFS(Bets35[Date],L112,Bets35[Result],"Push"),"")</f>
        <v>0-0</v>
      </c>
      <c r="N112" s="25" t="str">
        <f>IFERROR(COUNTIFS(Bets35[Date],L112,Bets35[Result],"W")/(COUNTIFS(Bets35[Date],L112,Bets35[Result],"W")+COUNTIFS(Bets35[Date],L112,Bets35[Result],"L")),"")</f>
        <v/>
      </c>
      <c r="O112" s="26">
        <f>SUMIF(Bets35[Date],L112,Bets35[Net])</f>
        <v>0</v>
      </c>
      <c r="P112" s="27" t="str">
        <f>IFERROR("("&amp;ROUND((SUMIF(Bets35[Date],L112,Bets35[Net])-SUMIF(Bets35[Date],L112,Bets35[Risk]))/SUMIF(Bets35[Date],L112,Bets35[Risk]),2)*100&amp;"%)","")</f>
        <v/>
      </c>
      <c r="Q112" s="72" t="str">
        <f t="shared" si="6"/>
        <v/>
      </c>
      <c r="R112" s="73" t="str">
        <f>IFERROR(SUMIF(Bets35[Date],"&lt;="&amp;L112,Bets35[Net])/SUMIF(Bets35[Date],"&lt;="&amp;L112,Bets35[Risk]),"")</f>
        <v/>
      </c>
    </row>
    <row r="113" spans="1:18" x14ac:dyDescent="0.25">
      <c r="A113" s="13">
        <f t="shared" si="4"/>
        <v>9</v>
      </c>
      <c r="B113" s="17">
        <v>43592</v>
      </c>
      <c r="C113" s="17" t="s">
        <v>802</v>
      </c>
      <c r="D113" s="18" t="s">
        <v>1179</v>
      </c>
      <c r="E113" s="11" t="s">
        <v>877</v>
      </c>
      <c r="F113" s="19">
        <f>IF(Bets35[[#This Row],[Odds]]&lt;0,Bets35[[#This Row],[Odds]]/-10,10)</f>
        <v>10.5</v>
      </c>
      <c r="G113" s="37">
        <v>-105</v>
      </c>
      <c r="H113" s="37" t="s">
        <v>263</v>
      </c>
      <c r="I113" s="45">
        <f>IF(Bets35[[#This Row],[Result]]="L",0-Bets35[[#This Row],[Risk]],IF(Bets35[[#This Row],[Result]]="Push",0,IF(Bets35[[#This Row],[Result]]="No Action",0,IF(Bets35[[#This Row],[Result]]="W",IF(Bets35[[#This Row],[Odds]]&gt;0,Bets35[[#This Row],[Odds]]/100*Bets35[[#This Row],[Risk]],(Bets35[[#This Row],[Risk]]/Bets35[[#This Row],[Odds]]*-100)),""))))</f>
        <v>-10.5</v>
      </c>
      <c r="J113" s="39" t="str">
        <f>IF(ISNUMBER(SEARCH(CHAR(10),Bets35[[#This Row],[Bet]])),"P",IF(ISNUMBER(FIND("Under",Bets35[[#This Row],[Bet]])),"U",IF(ISNUMBER(SEARCH("Over",Bets35[[#This Row],[Bet]])),"O",IF(ISNUMBER(SEARCH("+",Bets35[[#This Row],[Bet]])),"D",IF(ISNUMBER(SEARCH("-",Bets35[[#This Row],[Bet]])),"F",IF(ISNUMBER(SEARCH("Moneyline",Bets35[[#This Row],[Bet]])),IF(Bets35[[#This Row],[Odds]]&lt;0,"MF","MD"),""))))))</f>
        <v>U</v>
      </c>
      <c r="K113"/>
      <c r="L113" s="24">
        <f t="shared" si="7"/>
        <v>0</v>
      </c>
      <c r="M113" s="1" t="str">
        <f>COUNTIFS(Bets35[Date],L113,Bets35[Result],"W")&amp;"-"&amp;COUNTIFS(Bets35[Date],L113,Bets35[Result],"L")&amp;IF(COUNTIFS(Bets35[Date],L113,Bets35[Result],"Push")&gt;0,"-"&amp;COUNTIFS(Bets35[Date],L113,Bets35[Result],"Push"),"")</f>
        <v>0-0</v>
      </c>
      <c r="N113" s="25" t="str">
        <f>IFERROR(COUNTIFS(Bets35[Date],L113,Bets35[Result],"W")/(COUNTIFS(Bets35[Date],L113,Bets35[Result],"W")+COUNTIFS(Bets35[Date],L113,Bets35[Result],"L")),"")</f>
        <v/>
      </c>
      <c r="O113" s="26">
        <f>SUMIF(Bets35[Date],L113,Bets35[Net])</f>
        <v>0</v>
      </c>
      <c r="P113" s="27" t="str">
        <f>IFERROR("("&amp;ROUND((SUMIF(Bets35[Date],L113,Bets35[Net])-SUMIF(Bets35[Date],L113,Bets35[Risk]))/SUMIF(Bets35[Date],L113,Bets35[Risk]),2)*100&amp;"%)","")</f>
        <v/>
      </c>
      <c r="Q113" s="72" t="str">
        <f t="shared" si="6"/>
        <v/>
      </c>
      <c r="R113" s="73" t="str">
        <f>IFERROR(SUMIF(Bets35[Date],"&lt;="&amp;L113,Bets35[Net])/SUMIF(Bets35[Date],"&lt;="&amp;L113,Bets35[Risk]),"")</f>
        <v/>
      </c>
    </row>
    <row r="114" spans="1:18" x14ac:dyDescent="0.25">
      <c r="A114" s="13">
        <f t="shared" si="4"/>
        <v>9</v>
      </c>
      <c r="B114" s="17">
        <v>43592</v>
      </c>
      <c r="C114" s="17" t="s">
        <v>802</v>
      </c>
      <c r="D114" s="18" t="s">
        <v>1181</v>
      </c>
      <c r="E114" s="11" t="s">
        <v>931</v>
      </c>
      <c r="F114" s="19">
        <f>IF(Bets35[[#This Row],[Odds]]&lt;0,Bets35[[#This Row],[Odds]]/-10,10)</f>
        <v>11.5</v>
      </c>
      <c r="G114" s="37">
        <v>-115</v>
      </c>
      <c r="H114" s="37" t="s">
        <v>263</v>
      </c>
      <c r="I114" s="45">
        <f>IF(Bets35[[#This Row],[Result]]="L",0-Bets35[[#This Row],[Risk]],IF(Bets35[[#This Row],[Result]]="Push",0,IF(Bets35[[#This Row],[Result]]="No Action",0,IF(Bets35[[#This Row],[Result]]="W",IF(Bets35[[#This Row],[Odds]]&gt;0,Bets35[[#This Row],[Odds]]/100*Bets35[[#This Row],[Risk]],(Bets35[[#This Row],[Risk]]/Bets35[[#This Row],[Odds]]*-100)),""))))</f>
        <v>-11.5</v>
      </c>
      <c r="J114" s="39" t="str">
        <f>IF(ISNUMBER(SEARCH(CHAR(10),Bets35[[#This Row],[Bet]])),"P",IF(ISNUMBER(FIND("Under",Bets35[[#This Row],[Bet]])),"U",IF(ISNUMBER(SEARCH("Over",Bets35[[#This Row],[Bet]])),"O",IF(ISNUMBER(SEARCH("+",Bets35[[#This Row],[Bet]])),"D",IF(ISNUMBER(SEARCH("-",Bets35[[#This Row],[Bet]])),"F",IF(ISNUMBER(SEARCH("Moneyline",Bets35[[#This Row],[Bet]])),IF(Bets35[[#This Row],[Odds]]&lt;0,"MF","MD"),""))))))</f>
        <v>O</v>
      </c>
      <c r="K114"/>
      <c r="L114" s="24">
        <f t="shared" si="7"/>
        <v>0</v>
      </c>
      <c r="M114" s="1" t="str">
        <f>COUNTIFS(Bets35[Date],L114,Bets35[Result],"W")&amp;"-"&amp;COUNTIFS(Bets35[Date],L114,Bets35[Result],"L")&amp;IF(COUNTIFS(Bets35[Date],L114,Bets35[Result],"Push")&gt;0,"-"&amp;COUNTIFS(Bets35[Date],L114,Bets35[Result],"Push"),"")</f>
        <v>0-0</v>
      </c>
      <c r="N114" s="25" t="str">
        <f>IFERROR(COUNTIFS(Bets35[Date],L114,Bets35[Result],"W")/(COUNTIFS(Bets35[Date],L114,Bets35[Result],"W")+COUNTIFS(Bets35[Date],L114,Bets35[Result],"L")),"")</f>
        <v/>
      </c>
      <c r="O114" s="26">
        <f>SUMIF(Bets35[Date],L114,Bets35[Net])</f>
        <v>0</v>
      </c>
      <c r="P114" s="27" t="str">
        <f>IFERROR("("&amp;ROUND((SUMIF(Bets35[Date],L114,Bets35[Net])-SUMIF(Bets35[Date],L114,Bets35[Risk]))/SUMIF(Bets35[Date],L114,Bets35[Risk]),2)*100&amp;"%)","")</f>
        <v/>
      </c>
      <c r="Q114" s="72" t="str">
        <f t="shared" si="6"/>
        <v/>
      </c>
      <c r="R114" s="73" t="str">
        <f>IFERROR(SUMIF(Bets35[Date],"&lt;="&amp;L114,Bets35[Net])/SUMIF(Bets35[Date],"&lt;="&amp;L114,Bets35[Risk]),"")</f>
        <v/>
      </c>
    </row>
    <row r="115" spans="1:18" x14ac:dyDescent="0.25">
      <c r="A115" s="13">
        <f t="shared" si="4"/>
        <v>9</v>
      </c>
      <c r="B115" s="17">
        <v>43592</v>
      </c>
      <c r="C115" s="17" t="s">
        <v>802</v>
      </c>
      <c r="D115" s="18" t="s">
        <v>1185</v>
      </c>
      <c r="E115" s="11" t="s">
        <v>845</v>
      </c>
      <c r="F115" s="19">
        <f>IF(Bets35[[#This Row],[Odds]]&lt;0,Bets35[[#This Row],[Odds]]/-10,10)</f>
        <v>12</v>
      </c>
      <c r="G115" s="37">
        <v>-120</v>
      </c>
      <c r="H115" s="37" t="s">
        <v>262</v>
      </c>
      <c r="I115" s="45">
        <f>IF(Bets35[[#This Row],[Result]]="L",0-Bets35[[#This Row],[Risk]],IF(Bets35[[#This Row],[Result]]="Push",0,IF(Bets35[[#This Row],[Result]]="No Action",0,IF(Bets35[[#This Row],[Result]]="W",IF(Bets35[[#This Row],[Odds]]&gt;0,Bets35[[#This Row],[Odds]]/100*Bets35[[#This Row],[Risk]],(Bets35[[#This Row],[Risk]]/Bets35[[#This Row],[Odds]]*-100)),""))))</f>
        <v>10</v>
      </c>
      <c r="J115" s="39" t="str">
        <f>IF(ISNUMBER(SEARCH(CHAR(10),Bets35[[#This Row],[Bet]])),"P",IF(ISNUMBER(FIND("Under",Bets35[[#This Row],[Bet]])),"U",IF(ISNUMBER(SEARCH("Over",Bets35[[#This Row],[Bet]])),"O",IF(ISNUMBER(SEARCH("+",Bets35[[#This Row],[Bet]])),"D",IF(ISNUMBER(SEARCH("-",Bets35[[#This Row],[Bet]])),"F",IF(ISNUMBER(SEARCH("Moneyline",Bets35[[#This Row],[Bet]])),IF(Bets35[[#This Row],[Odds]]&lt;0,"MF","MD"),""))))))</f>
        <v>O</v>
      </c>
      <c r="K115"/>
      <c r="L115" s="24">
        <f t="shared" si="7"/>
        <v>0</v>
      </c>
      <c r="M115" s="1" t="str">
        <f>COUNTIFS(Bets35[Date],L115,Bets35[Result],"W")&amp;"-"&amp;COUNTIFS(Bets35[Date],L115,Bets35[Result],"L")&amp;IF(COUNTIFS(Bets35[Date],L115,Bets35[Result],"Push")&gt;0,"-"&amp;COUNTIFS(Bets35[Date],L115,Bets35[Result],"Push"),"")</f>
        <v>0-0</v>
      </c>
      <c r="N115" s="25" t="str">
        <f>IFERROR(COUNTIFS(Bets35[Date],L115,Bets35[Result],"W")/(COUNTIFS(Bets35[Date],L115,Bets35[Result],"W")+COUNTIFS(Bets35[Date],L115,Bets35[Result],"L")),"")</f>
        <v/>
      </c>
      <c r="O115" s="26">
        <f>SUMIF(Bets35[Date],L115,Bets35[Net])</f>
        <v>0</v>
      </c>
      <c r="P115" s="27" t="str">
        <f>IFERROR("("&amp;ROUND((SUMIF(Bets35[Date],L115,Bets35[Net])-SUMIF(Bets35[Date],L115,Bets35[Risk]))/SUMIF(Bets35[Date],L115,Bets35[Risk]),2)*100&amp;"%)","")</f>
        <v/>
      </c>
      <c r="Q115" s="72" t="str">
        <f t="shared" si="6"/>
        <v/>
      </c>
      <c r="R115" s="73" t="str">
        <f>IFERROR(SUMIF(Bets35[Date],"&lt;="&amp;L115,Bets35[Net])/SUMIF(Bets35[Date],"&lt;="&amp;L115,Bets35[Risk]),"")</f>
        <v/>
      </c>
    </row>
    <row r="116" spans="1:18" x14ac:dyDescent="0.25">
      <c r="A116" s="13">
        <f t="shared" si="4"/>
        <v>9</v>
      </c>
      <c r="B116" s="17">
        <v>43592</v>
      </c>
      <c r="C116" s="17" t="s">
        <v>802</v>
      </c>
      <c r="D116" s="18" t="s">
        <v>1202</v>
      </c>
      <c r="E116" s="11" t="s">
        <v>905</v>
      </c>
      <c r="F116" s="19">
        <f>IF(Bets35[[#This Row],[Odds]]&lt;0,Bets35[[#This Row],[Odds]]/-10,10)</f>
        <v>12</v>
      </c>
      <c r="G116" s="37">
        <v>-120</v>
      </c>
      <c r="H116" s="21" t="s">
        <v>262</v>
      </c>
      <c r="I116" s="45">
        <f>IF(Bets35[[#This Row],[Result]]="L",0-Bets35[[#This Row],[Risk]],IF(Bets35[[#This Row],[Result]]="Push",0,IF(Bets35[[#This Row],[Result]]="No Action",0,IF(Bets35[[#This Row],[Result]]="W",IF(Bets35[[#This Row],[Odds]]&gt;0,Bets35[[#This Row],[Odds]]/100*Bets35[[#This Row],[Risk]],(Bets35[[#This Row],[Risk]]/Bets35[[#This Row],[Odds]]*-100)),""))))</f>
        <v>10</v>
      </c>
      <c r="J116" s="39" t="str">
        <f>IF(ISNUMBER(SEARCH(CHAR(10),Bets35[[#This Row],[Bet]])),"P",IF(ISNUMBER(FIND("Under",Bets35[[#This Row],[Bet]])),"U",IF(ISNUMBER(SEARCH("Over",Bets35[[#This Row],[Bet]])),"O",IF(ISNUMBER(SEARCH("+",Bets35[[#This Row],[Bet]])),"D",IF(ISNUMBER(SEARCH("-",Bets35[[#This Row],[Bet]])),"F",IF(ISNUMBER(SEARCH("Moneyline",Bets35[[#This Row],[Bet]])),IF(Bets35[[#This Row],[Odds]]&lt;0,"MF","MD"),""))))))</f>
        <v>O</v>
      </c>
      <c r="K116"/>
      <c r="L116" s="24">
        <f t="shared" si="7"/>
        <v>0</v>
      </c>
      <c r="M116" s="1" t="str">
        <f>COUNTIFS(Bets35[Date],L116,Bets35[Result],"W")&amp;"-"&amp;COUNTIFS(Bets35[Date],L116,Bets35[Result],"L")&amp;IF(COUNTIFS(Bets35[Date],L116,Bets35[Result],"Push")&gt;0,"-"&amp;COUNTIFS(Bets35[Date],L116,Bets35[Result],"Push"),"")</f>
        <v>0-0</v>
      </c>
      <c r="N116" s="25" t="str">
        <f>IFERROR(COUNTIFS(Bets35[Date],L116,Bets35[Result],"W")/(COUNTIFS(Bets35[Date],L116,Bets35[Result],"W")+COUNTIFS(Bets35[Date],L116,Bets35[Result],"L")),"")</f>
        <v/>
      </c>
      <c r="O116" s="26">
        <f>SUMIF(Bets35[Date],L116,Bets35[Net])</f>
        <v>0</v>
      </c>
      <c r="P116" s="27" t="str">
        <f>IFERROR("("&amp;ROUND((SUMIF(Bets35[Date],L116,Bets35[Net])-SUMIF(Bets35[Date],L116,Bets35[Risk]))/SUMIF(Bets35[Date],L116,Bets35[Risk]),2)*100&amp;"%)","")</f>
        <v/>
      </c>
      <c r="Q116" s="72" t="str">
        <f t="shared" si="6"/>
        <v/>
      </c>
      <c r="R116" s="73" t="str">
        <f>IFERROR(SUMIF(Bets35[Date],"&lt;="&amp;L116,Bets35[Net])/SUMIF(Bets35[Date],"&lt;="&amp;L116,Bets35[Risk]),"")</f>
        <v/>
      </c>
    </row>
    <row r="117" spans="1:18" x14ac:dyDescent="0.25">
      <c r="A117" s="13">
        <f t="shared" si="4"/>
        <v>9</v>
      </c>
      <c r="B117" s="17">
        <v>43592</v>
      </c>
      <c r="C117" s="17" t="s">
        <v>802</v>
      </c>
      <c r="D117" s="18" t="s">
        <v>1186</v>
      </c>
      <c r="E117" s="11" t="s">
        <v>879</v>
      </c>
      <c r="F117" s="19">
        <f>IF(Bets35[[#This Row],[Odds]]&lt;0,Bets35[[#This Row],[Odds]]/-10,10)</f>
        <v>11.5</v>
      </c>
      <c r="G117" s="37">
        <v>-115</v>
      </c>
      <c r="H117" s="21" t="s">
        <v>263</v>
      </c>
      <c r="I117" s="45">
        <f>IF(Bets35[[#This Row],[Result]]="L",0-Bets35[[#This Row],[Risk]],IF(Bets35[[#This Row],[Result]]="Push",0,IF(Bets35[[#This Row],[Result]]="No Action",0,IF(Bets35[[#This Row],[Result]]="W",IF(Bets35[[#This Row],[Odds]]&gt;0,Bets35[[#This Row],[Odds]]/100*Bets35[[#This Row],[Risk]],(Bets35[[#This Row],[Risk]]/Bets35[[#This Row],[Odds]]*-100)),""))))</f>
        <v>-11.5</v>
      </c>
      <c r="J117" s="39" t="str">
        <f>IF(ISNUMBER(SEARCH(CHAR(10),Bets35[[#This Row],[Bet]])),"P",IF(ISNUMBER(FIND("Under",Bets35[[#This Row],[Bet]])),"U",IF(ISNUMBER(SEARCH("Over",Bets35[[#This Row],[Bet]])),"O",IF(ISNUMBER(SEARCH("+",Bets35[[#This Row],[Bet]])),"D",IF(ISNUMBER(SEARCH("-",Bets35[[#This Row],[Bet]])),"F",IF(ISNUMBER(SEARCH("Moneyline",Bets35[[#This Row],[Bet]])),IF(Bets35[[#This Row],[Odds]]&lt;0,"MF","MD"),""))))))</f>
        <v>U</v>
      </c>
      <c r="K117"/>
      <c r="L117" s="24">
        <f t="shared" si="7"/>
        <v>0</v>
      </c>
      <c r="M117" s="1" t="str">
        <f>COUNTIFS(Bets35[Date],L117,Bets35[Result],"W")&amp;"-"&amp;COUNTIFS(Bets35[Date],L117,Bets35[Result],"L")&amp;IF(COUNTIFS(Bets35[Date],L117,Bets35[Result],"Push")&gt;0,"-"&amp;COUNTIFS(Bets35[Date],L117,Bets35[Result],"Push"),"")</f>
        <v>0-0</v>
      </c>
      <c r="N117" s="25" t="str">
        <f>IFERROR(COUNTIFS(Bets35[Date],L117,Bets35[Result],"W")/(COUNTIFS(Bets35[Date],L117,Bets35[Result],"W")+COUNTIFS(Bets35[Date],L117,Bets35[Result],"L")),"")</f>
        <v/>
      </c>
      <c r="O117" s="26">
        <f>SUMIF(Bets35[Date],L117,Bets35[Net])</f>
        <v>0</v>
      </c>
      <c r="P117" s="27" t="str">
        <f>IFERROR("("&amp;ROUND((SUMIF(Bets35[Date],L117,Bets35[Net])-SUMIF(Bets35[Date],L117,Bets35[Risk]))/SUMIF(Bets35[Date],L117,Bets35[Risk]),2)*100&amp;"%)","")</f>
        <v/>
      </c>
      <c r="Q117" s="72" t="str">
        <f t="shared" si="6"/>
        <v/>
      </c>
      <c r="R117" s="73" t="str">
        <f>IFERROR(SUMIF(Bets35[Date],"&lt;="&amp;L117,Bets35[Net])/SUMIF(Bets35[Date],"&lt;="&amp;L117,Bets35[Risk]),"")</f>
        <v/>
      </c>
    </row>
    <row r="118" spans="1:18" x14ac:dyDescent="0.25">
      <c r="A118" s="13">
        <f t="shared" si="4"/>
        <v>9</v>
      </c>
      <c r="B118" s="17">
        <v>43592</v>
      </c>
      <c r="C118" s="17" t="s">
        <v>802</v>
      </c>
      <c r="D118" s="18" t="s">
        <v>1184</v>
      </c>
      <c r="E118" s="11" t="s">
        <v>841</v>
      </c>
      <c r="F118" s="19">
        <f>IF(Bets35[[#This Row],[Odds]]&lt;0,Bets35[[#This Row],[Odds]]/-10,10)</f>
        <v>10</v>
      </c>
      <c r="G118" s="37">
        <v>100</v>
      </c>
      <c r="H118" s="21" t="s">
        <v>262</v>
      </c>
      <c r="I118" s="45">
        <f>IF(Bets35[[#This Row],[Result]]="L",0-Bets35[[#This Row],[Risk]],IF(Bets35[[#This Row],[Result]]="Push",0,IF(Bets35[[#This Row],[Result]]="No Action",0,IF(Bets35[[#This Row],[Result]]="W",IF(Bets35[[#This Row],[Odds]]&gt;0,Bets35[[#This Row],[Odds]]/100*Bets35[[#This Row],[Risk]],(Bets35[[#This Row],[Risk]]/Bets35[[#This Row],[Odds]]*-100)),""))))</f>
        <v>10</v>
      </c>
      <c r="J118" s="39" t="str">
        <f>IF(ISNUMBER(SEARCH(CHAR(10),Bets35[[#This Row],[Bet]])),"P",IF(ISNUMBER(FIND("Under",Bets35[[#This Row],[Bet]])),"U",IF(ISNUMBER(SEARCH("Over",Bets35[[#This Row],[Bet]])),"O",IF(ISNUMBER(SEARCH("+",Bets35[[#This Row],[Bet]])),"D",IF(ISNUMBER(SEARCH("-",Bets35[[#This Row],[Bet]])),"F",IF(ISNUMBER(SEARCH("Moneyline",Bets35[[#This Row],[Bet]])),IF(Bets35[[#This Row],[Odds]]&lt;0,"MF","MD"),""))))))</f>
        <v>O</v>
      </c>
      <c r="K118"/>
      <c r="L118" s="24">
        <f t="shared" si="7"/>
        <v>0</v>
      </c>
      <c r="M118" s="1" t="str">
        <f>COUNTIFS(Bets35[Date],L118,Bets35[Result],"W")&amp;"-"&amp;COUNTIFS(Bets35[Date],L118,Bets35[Result],"L")&amp;IF(COUNTIFS(Bets35[Date],L118,Bets35[Result],"Push")&gt;0,"-"&amp;COUNTIFS(Bets35[Date],L118,Bets35[Result],"Push"),"")</f>
        <v>0-0</v>
      </c>
      <c r="N118" s="25" t="str">
        <f>IFERROR(COUNTIFS(Bets35[Date],L118,Bets35[Result],"W")/(COUNTIFS(Bets35[Date],L118,Bets35[Result],"W")+COUNTIFS(Bets35[Date],L118,Bets35[Result],"L")),"")</f>
        <v/>
      </c>
      <c r="O118" s="26">
        <f>SUMIF(Bets35[Date],L118,Bets35[Net])</f>
        <v>0</v>
      </c>
      <c r="P118" s="27" t="str">
        <f>IFERROR("("&amp;ROUND((SUMIF(Bets35[Date],L118,Bets35[Net])-SUMIF(Bets35[Date],L118,Bets35[Risk]))/SUMIF(Bets35[Date],L118,Bets35[Risk]),2)*100&amp;"%)","")</f>
        <v/>
      </c>
      <c r="Q118" s="72" t="str">
        <f t="shared" si="6"/>
        <v/>
      </c>
      <c r="R118" s="73" t="str">
        <f>IFERROR(SUMIF(Bets35[Date],"&lt;="&amp;L118,Bets35[Net])/SUMIF(Bets35[Date],"&lt;="&amp;L118,Bets35[Risk]),"")</f>
        <v/>
      </c>
    </row>
    <row r="119" spans="1:18" x14ac:dyDescent="0.25">
      <c r="A119" s="13">
        <f t="shared" si="4"/>
        <v>10</v>
      </c>
      <c r="B119" s="17">
        <v>43593</v>
      </c>
      <c r="C119" s="17" t="s">
        <v>802</v>
      </c>
      <c r="D119" s="18" t="s">
        <v>1185</v>
      </c>
      <c r="E119" s="11" t="s">
        <v>822</v>
      </c>
      <c r="F119" s="19">
        <f>IF(Bets35[[#This Row],[Odds]]&lt;0,Bets35[[#This Row],[Odds]]/-10,10)</f>
        <v>10</v>
      </c>
      <c r="G119" s="37" t="s">
        <v>1206</v>
      </c>
      <c r="H119" s="37" t="s">
        <v>262</v>
      </c>
      <c r="I119" s="45">
        <f>IF(Bets35[[#This Row],[Result]]="L",0-Bets35[[#This Row],[Risk]],IF(Bets35[[#This Row],[Result]]="Push",0,IF(Bets35[[#This Row],[Result]]="No Action",0,IF(Bets35[[#This Row],[Result]]="W",IF(Bets35[[#This Row],[Odds]]&gt;0,Bets35[[#This Row],[Odds]]/100*Bets35[[#This Row],[Risk]],(Bets35[[#This Row],[Risk]]/Bets35[[#This Row],[Odds]]*-100)),""))))</f>
        <v>13.600000000000001</v>
      </c>
      <c r="J119" s="39" t="str">
        <f>IF(ISNUMBER(SEARCH(CHAR(10),Bets35[[#This Row],[Bet]])),"P",IF(ISNUMBER(FIND("Under",Bets35[[#This Row],[Bet]])),"U",IF(ISNUMBER(SEARCH("Over",Bets35[[#This Row],[Bet]])),"O",IF(ISNUMBER(SEARCH("+",Bets35[[#This Row],[Bet]])),"D",IF(ISNUMBER(SEARCH("-",Bets35[[#This Row],[Bet]])),"F",IF(ISNUMBER(SEARCH("Moneyline",Bets35[[#This Row],[Bet]])),IF(Bets35[[#This Row],[Odds]]&lt;0,"MF","MD"),""))))))</f>
        <v>MD</v>
      </c>
      <c r="K119"/>
      <c r="L119" s="24">
        <f t="shared" si="7"/>
        <v>0</v>
      </c>
      <c r="M119" s="1" t="str">
        <f>COUNTIFS(Bets35[Date],L119,Bets35[Result],"W")&amp;"-"&amp;COUNTIFS(Bets35[Date],L119,Bets35[Result],"L")&amp;IF(COUNTIFS(Bets35[Date],L119,Bets35[Result],"Push")&gt;0,"-"&amp;COUNTIFS(Bets35[Date],L119,Bets35[Result],"Push"),"")</f>
        <v>0-0</v>
      </c>
      <c r="N119" s="25" t="str">
        <f>IFERROR(COUNTIFS(Bets35[Date],L119,Bets35[Result],"W")/(COUNTIFS(Bets35[Date],L119,Bets35[Result],"W")+COUNTIFS(Bets35[Date],L119,Bets35[Result],"L")),"")</f>
        <v/>
      </c>
      <c r="O119" s="26">
        <f>SUMIF(Bets35[Date],L119,Bets35[Net])</f>
        <v>0</v>
      </c>
      <c r="P119" s="27" t="str">
        <f>IFERROR("("&amp;ROUND((SUMIF(Bets35[Date],L119,Bets35[Net])-SUMIF(Bets35[Date],L119,Bets35[Risk]))/SUMIF(Bets35[Date],L119,Bets35[Risk]),2)*100&amp;"%)","")</f>
        <v/>
      </c>
      <c r="Q119" s="72" t="str">
        <f t="shared" si="6"/>
        <v/>
      </c>
      <c r="R119" s="73" t="str">
        <f>IFERROR(SUMIF(Bets35[Date],"&lt;="&amp;L119,Bets35[Net])/SUMIF(Bets35[Date],"&lt;="&amp;L119,Bets35[Risk]),"")</f>
        <v/>
      </c>
    </row>
    <row r="120" spans="1:18" x14ac:dyDescent="0.25">
      <c r="A120" s="13">
        <f t="shared" si="4"/>
        <v>10</v>
      </c>
      <c r="B120" s="17">
        <v>43593</v>
      </c>
      <c r="C120" s="17" t="s">
        <v>802</v>
      </c>
      <c r="D120" s="18" t="s">
        <v>1175</v>
      </c>
      <c r="E120" s="11" t="s">
        <v>869</v>
      </c>
      <c r="F120" s="19">
        <f>IF(Bets35[[#This Row],[Odds]]&lt;0,Bets35[[#This Row],[Odds]]/-10,10)</f>
        <v>20</v>
      </c>
      <c r="G120" s="37">
        <v>-200</v>
      </c>
      <c r="H120" s="37" t="s">
        <v>262</v>
      </c>
      <c r="I120" s="45">
        <f>IF(Bets35[[#This Row],[Result]]="L",0-Bets35[[#This Row],[Risk]],IF(Bets35[[#This Row],[Result]]="Push",0,IF(Bets35[[#This Row],[Result]]="No Action",0,IF(Bets35[[#This Row],[Result]]="W",IF(Bets35[[#This Row],[Odds]]&gt;0,Bets35[[#This Row],[Odds]]/100*Bets35[[#This Row],[Risk]],(Bets35[[#This Row],[Risk]]/Bets35[[#This Row],[Odds]]*-100)),""))))</f>
        <v>10</v>
      </c>
      <c r="J120" s="39" t="str">
        <f>IF(ISNUMBER(SEARCH(CHAR(10),Bets35[[#This Row],[Bet]])),"P",IF(ISNUMBER(FIND("Under",Bets35[[#This Row],[Bet]])),"U",IF(ISNUMBER(SEARCH("Over",Bets35[[#This Row],[Bet]])),"O",IF(ISNUMBER(SEARCH("+",Bets35[[#This Row],[Bet]])),"D",IF(ISNUMBER(SEARCH("-",Bets35[[#This Row],[Bet]])),"F",IF(ISNUMBER(SEARCH("Moneyline",Bets35[[#This Row],[Bet]])),IF(Bets35[[#This Row],[Odds]]&lt;0,"MF","MD"),""))))))</f>
        <v>MF</v>
      </c>
      <c r="K120"/>
      <c r="L120" s="24">
        <f t="shared" si="7"/>
        <v>0</v>
      </c>
      <c r="M120" s="1" t="str">
        <f>COUNTIFS(Bets35[Date],L120,Bets35[Result],"W")&amp;"-"&amp;COUNTIFS(Bets35[Date],L120,Bets35[Result],"L")&amp;IF(COUNTIFS(Bets35[Date],L120,Bets35[Result],"Push")&gt;0,"-"&amp;COUNTIFS(Bets35[Date],L120,Bets35[Result],"Push"),"")</f>
        <v>0-0</v>
      </c>
      <c r="N120" s="25" t="str">
        <f>IFERROR(COUNTIFS(Bets35[Date],L120,Bets35[Result],"W")/(COUNTIFS(Bets35[Date],L120,Bets35[Result],"W")+COUNTIFS(Bets35[Date],L120,Bets35[Result],"L")),"")</f>
        <v/>
      </c>
      <c r="O120" s="26">
        <f>SUMIF(Bets35[Date],L120,Bets35[Net])</f>
        <v>0</v>
      </c>
      <c r="P120" s="27" t="str">
        <f>IFERROR("("&amp;ROUND((SUMIF(Bets35[Date],L120,Bets35[Net])-SUMIF(Bets35[Date],L120,Bets35[Risk]))/SUMIF(Bets35[Date],L120,Bets35[Risk]),2)*100&amp;"%)","")</f>
        <v/>
      </c>
      <c r="Q120" s="72" t="str">
        <f t="shared" si="6"/>
        <v/>
      </c>
      <c r="R120" s="73" t="str">
        <f>IFERROR(SUMIF(Bets35[Date],"&lt;="&amp;L120,Bets35[Net])/SUMIF(Bets35[Date],"&lt;="&amp;L120,Bets35[Risk]),"")</f>
        <v/>
      </c>
    </row>
    <row r="121" spans="1:18" x14ac:dyDescent="0.25">
      <c r="A121" s="13">
        <f t="shared" si="4"/>
        <v>10</v>
      </c>
      <c r="B121" s="17">
        <v>43593</v>
      </c>
      <c r="C121" s="17" t="s">
        <v>802</v>
      </c>
      <c r="D121" s="18" t="s">
        <v>1208</v>
      </c>
      <c r="E121" s="11" t="s">
        <v>1210</v>
      </c>
      <c r="F121" s="19">
        <f>IF(Bets35[[#This Row],[Odds]]&lt;0,Bets35[[#This Row],[Odds]]/-10,10)</f>
        <v>30</v>
      </c>
      <c r="G121" s="37">
        <v>-300</v>
      </c>
      <c r="H121" s="37" t="s">
        <v>262</v>
      </c>
      <c r="I121" s="45">
        <f>IF(Bets35[[#This Row],[Result]]="L",0-Bets35[[#This Row],[Risk]],IF(Bets35[[#This Row],[Result]]="Push",0,IF(Bets35[[#This Row],[Result]]="No Action",0,IF(Bets35[[#This Row],[Result]]="W",IF(Bets35[[#This Row],[Odds]]&gt;0,Bets35[[#This Row],[Odds]]/100*Bets35[[#This Row],[Risk]],(Bets35[[#This Row],[Risk]]/Bets35[[#This Row],[Odds]]*-100)),""))))</f>
        <v>10</v>
      </c>
      <c r="J121" s="39" t="str">
        <f>IF(ISNUMBER(SEARCH(CHAR(10),Bets35[[#This Row],[Bet]])),"P",IF(ISNUMBER(FIND("Under",Bets35[[#This Row],[Bet]])),"U",IF(ISNUMBER(SEARCH("Over",Bets35[[#This Row],[Bet]])),"O",IF(ISNUMBER(SEARCH("+",Bets35[[#This Row],[Bet]])),"D",IF(ISNUMBER(SEARCH("-",Bets35[[#This Row],[Bet]])),"F",IF(ISNUMBER(SEARCH("Moneyline",Bets35[[#This Row],[Bet]])),IF(Bets35[[#This Row],[Odds]]&lt;0,"MF","MD"),""))))))</f>
        <v>MF</v>
      </c>
      <c r="K121"/>
      <c r="L121" s="24">
        <f t="shared" si="7"/>
        <v>0</v>
      </c>
      <c r="M121" s="1" t="str">
        <f>COUNTIFS(Bets35[Date],L121,Bets35[Result],"W")&amp;"-"&amp;COUNTIFS(Bets35[Date],L121,Bets35[Result],"L")&amp;IF(COUNTIFS(Bets35[Date],L121,Bets35[Result],"Push")&gt;0,"-"&amp;COUNTIFS(Bets35[Date],L121,Bets35[Result],"Push"),"")</f>
        <v>0-0</v>
      </c>
      <c r="N121" s="25" t="str">
        <f>IFERROR(COUNTIFS(Bets35[Date],L121,Bets35[Result],"W")/(COUNTIFS(Bets35[Date],L121,Bets35[Result],"W")+COUNTIFS(Bets35[Date],L121,Bets35[Result],"L")),"")</f>
        <v/>
      </c>
      <c r="O121" s="26">
        <f>SUMIF(Bets35[Date],L121,Bets35[Net])</f>
        <v>0</v>
      </c>
      <c r="P121" s="27" t="str">
        <f>IFERROR("("&amp;ROUND((SUMIF(Bets35[Date],L121,Bets35[Net])-SUMIF(Bets35[Date],L121,Bets35[Risk]))/SUMIF(Bets35[Date],L121,Bets35[Risk]),2)*100&amp;"%)","")</f>
        <v/>
      </c>
      <c r="Q121" s="72" t="str">
        <f t="shared" si="6"/>
        <v/>
      </c>
      <c r="R121" s="73" t="str">
        <f>IFERROR(SUMIF(Bets35[Date],"&lt;="&amp;L121,Bets35[Net])/SUMIF(Bets35[Date],"&lt;="&amp;L121,Bets35[Risk]),"")</f>
        <v/>
      </c>
    </row>
    <row r="122" spans="1:18" x14ac:dyDescent="0.25">
      <c r="A122" s="13">
        <f t="shared" si="4"/>
        <v>10</v>
      </c>
      <c r="B122" s="17">
        <v>43593</v>
      </c>
      <c r="C122" s="17" t="s">
        <v>802</v>
      </c>
      <c r="D122" s="18" t="s">
        <v>1177</v>
      </c>
      <c r="E122" s="11" t="s">
        <v>1178</v>
      </c>
      <c r="F122" s="19">
        <f>IF(Bets35[[#This Row],[Odds]]&lt;0,Bets35[[#This Row],[Odds]]/-10,10)</f>
        <v>11.5</v>
      </c>
      <c r="G122" s="37">
        <v>-115</v>
      </c>
      <c r="H122" s="37" t="s">
        <v>262</v>
      </c>
      <c r="I122" s="45">
        <f>IF(Bets35[[#This Row],[Result]]="L",0-Bets35[[#This Row],[Risk]],IF(Bets35[[#This Row],[Result]]="Push",0,IF(Bets35[[#This Row],[Result]]="No Action",0,IF(Bets35[[#This Row],[Result]]="W",IF(Bets35[[#This Row],[Odds]]&gt;0,Bets35[[#This Row],[Odds]]/100*Bets35[[#This Row],[Risk]],(Bets35[[#This Row],[Risk]]/Bets35[[#This Row],[Odds]]*-100)),""))))</f>
        <v>10</v>
      </c>
      <c r="J122" s="39" t="str">
        <f>IF(ISNUMBER(SEARCH(CHAR(10),Bets35[[#This Row],[Bet]])),"P",IF(ISNUMBER(FIND("Under",Bets35[[#This Row],[Bet]])),"U",IF(ISNUMBER(SEARCH("Over",Bets35[[#This Row],[Bet]])),"O",IF(ISNUMBER(SEARCH("+",Bets35[[#This Row],[Bet]])),"D",IF(ISNUMBER(SEARCH("-",Bets35[[#This Row],[Bet]])),"F",IF(ISNUMBER(SEARCH("Moneyline",Bets35[[#This Row],[Bet]])),IF(Bets35[[#This Row],[Odds]]&lt;0,"MF","MD"),""))))))</f>
        <v>MF</v>
      </c>
      <c r="K122"/>
      <c r="L122" s="24">
        <f t="shared" si="7"/>
        <v>0</v>
      </c>
      <c r="M122" s="1" t="str">
        <f>COUNTIFS(Bets35[Date],L122,Bets35[Result],"W")&amp;"-"&amp;COUNTIFS(Bets35[Date],L122,Bets35[Result],"L")&amp;IF(COUNTIFS(Bets35[Date],L122,Bets35[Result],"Push")&gt;0,"-"&amp;COUNTIFS(Bets35[Date],L122,Bets35[Result],"Push"),"")</f>
        <v>0-0</v>
      </c>
      <c r="N122" s="25" t="str">
        <f>IFERROR(COUNTIFS(Bets35[Date],L122,Bets35[Result],"W")/(COUNTIFS(Bets35[Date],L122,Bets35[Result],"W")+COUNTIFS(Bets35[Date],L122,Bets35[Result],"L")),"")</f>
        <v/>
      </c>
      <c r="O122" s="26">
        <f>SUMIF(Bets35[Date],L122,Bets35[Net])</f>
        <v>0</v>
      </c>
      <c r="P122" s="27" t="str">
        <f>IFERROR("("&amp;ROUND((SUMIF(Bets35[Date],L122,Bets35[Net])-SUMIF(Bets35[Date],L122,Bets35[Risk]))/SUMIF(Bets35[Date],L122,Bets35[Risk]),2)*100&amp;"%)","")</f>
        <v/>
      </c>
      <c r="Q122" s="72" t="str">
        <f t="shared" si="6"/>
        <v/>
      </c>
      <c r="R122" s="73" t="str">
        <f>IFERROR(SUMIF(Bets35[Date],"&lt;="&amp;L122,Bets35[Net])/SUMIF(Bets35[Date],"&lt;="&amp;L122,Bets35[Risk]),"")</f>
        <v/>
      </c>
    </row>
    <row r="123" spans="1:18" x14ac:dyDescent="0.25">
      <c r="A123" s="13">
        <f t="shared" si="4"/>
        <v>10</v>
      </c>
      <c r="B123" s="17">
        <v>43593</v>
      </c>
      <c r="C123" s="17" t="s">
        <v>802</v>
      </c>
      <c r="D123" s="18" t="s">
        <v>1182</v>
      </c>
      <c r="E123" s="11" t="s">
        <v>867</v>
      </c>
      <c r="F123" s="19">
        <f>IF(Bets35[[#This Row],[Odds]]&lt;0,Bets35[[#This Row],[Odds]]/-10,10)</f>
        <v>26</v>
      </c>
      <c r="G123" s="37">
        <v>-260</v>
      </c>
      <c r="H123" s="37" t="s">
        <v>262</v>
      </c>
      <c r="I123" s="45">
        <f>IF(Bets35[[#This Row],[Result]]="L",0-Bets35[[#This Row],[Risk]],IF(Bets35[[#This Row],[Result]]="Push",0,IF(Bets35[[#This Row],[Result]]="No Action",0,IF(Bets35[[#This Row],[Result]]="W",IF(Bets35[[#This Row],[Odds]]&gt;0,Bets35[[#This Row],[Odds]]/100*Bets35[[#This Row],[Risk]],(Bets35[[#This Row],[Risk]]/Bets35[[#This Row],[Odds]]*-100)),""))))</f>
        <v>10</v>
      </c>
      <c r="J123" s="39" t="str">
        <f>IF(ISNUMBER(SEARCH(CHAR(10),Bets35[[#This Row],[Bet]])),"P",IF(ISNUMBER(FIND("Under",Bets35[[#This Row],[Bet]])),"U",IF(ISNUMBER(SEARCH("Over",Bets35[[#This Row],[Bet]])),"O",IF(ISNUMBER(SEARCH("+",Bets35[[#This Row],[Bet]])),"D",IF(ISNUMBER(SEARCH("-",Bets35[[#This Row],[Bet]])),"F",IF(ISNUMBER(SEARCH("Moneyline",Bets35[[#This Row],[Bet]])),IF(Bets35[[#This Row],[Odds]]&lt;0,"MF","MD"),""))))))</f>
        <v>MF</v>
      </c>
      <c r="K123"/>
      <c r="L123" s="24">
        <f t="shared" si="7"/>
        <v>0</v>
      </c>
      <c r="M123" s="1" t="str">
        <f>COUNTIFS(Bets35[Date],L123,Bets35[Result],"W")&amp;"-"&amp;COUNTIFS(Bets35[Date],L123,Bets35[Result],"L")&amp;IF(COUNTIFS(Bets35[Date],L123,Bets35[Result],"Push")&gt;0,"-"&amp;COUNTIFS(Bets35[Date],L123,Bets35[Result],"Push"),"")</f>
        <v>0-0</v>
      </c>
      <c r="N123" s="25" t="str">
        <f>IFERROR(COUNTIFS(Bets35[Date],L123,Bets35[Result],"W")/(COUNTIFS(Bets35[Date],L123,Bets35[Result],"W")+COUNTIFS(Bets35[Date],L123,Bets35[Result],"L")),"")</f>
        <v/>
      </c>
      <c r="O123" s="26">
        <f>SUMIF(Bets35[Date],L123,Bets35[Net])</f>
        <v>0</v>
      </c>
      <c r="P123" s="27" t="str">
        <f>IFERROR("("&amp;ROUND((SUMIF(Bets35[Date],L123,Bets35[Net])-SUMIF(Bets35[Date],L123,Bets35[Risk]))/SUMIF(Bets35[Date],L123,Bets35[Risk]),2)*100&amp;"%)","")</f>
        <v/>
      </c>
      <c r="Q123" s="72" t="str">
        <f t="shared" si="6"/>
        <v/>
      </c>
      <c r="R123" s="73" t="str">
        <f>IFERROR(SUMIF(Bets35[Date],"&lt;="&amp;L123,Bets35[Net])/SUMIF(Bets35[Date],"&lt;="&amp;L123,Bets35[Risk]),"")</f>
        <v/>
      </c>
    </row>
    <row r="124" spans="1:18" x14ac:dyDescent="0.25">
      <c r="A124" s="13">
        <f t="shared" si="4"/>
        <v>10</v>
      </c>
      <c r="B124" s="17">
        <v>43593</v>
      </c>
      <c r="C124" s="17" t="s">
        <v>802</v>
      </c>
      <c r="D124" s="18" t="s">
        <v>1183</v>
      </c>
      <c r="E124" s="11" t="s">
        <v>1166</v>
      </c>
      <c r="F124" s="19">
        <f>IF(Bets35[[#This Row],[Odds]]&lt;0,Bets35[[#This Row],[Odds]]/-10,10)</f>
        <v>10.199999999999999</v>
      </c>
      <c r="G124" s="37">
        <v>-102</v>
      </c>
      <c r="H124" s="37" t="s">
        <v>263</v>
      </c>
      <c r="I124" s="45">
        <f>IF(Bets35[[#This Row],[Result]]="L",0-Bets35[[#This Row],[Risk]],IF(Bets35[[#This Row],[Result]]="Push",0,IF(Bets35[[#This Row],[Result]]="No Action",0,IF(Bets35[[#This Row],[Result]]="W",IF(Bets35[[#This Row],[Odds]]&gt;0,Bets35[[#This Row],[Odds]]/100*Bets35[[#This Row],[Risk]],(Bets35[[#This Row],[Risk]]/Bets35[[#This Row],[Odds]]*-100)),""))))</f>
        <v>-10.199999999999999</v>
      </c>
      <c r="J124" s="39" t="str">
        <f>IF(ISNUMBER(SEARCH(CHAR(10),Bets35[[#This Row],[Bet]])),"P",IF(ISNUMBER(FIND("Under",Bets35[[#This Row],[Bet]])),"U",IF(ISNUMBER(SEARCH("Over",Bets35[[#This Row],[Bet]])),"O",IF(ISNUMBER(SEARCH("+",Bets35[[#This Row],[Bet]])),"D",IF(ISNUMBER(SEARCH("-",Bets35[[#This Row],[Bet]])),"F",IF(ISNUMBER(SEARCH("Moneyline",Bets35[[#This Row],[Bet]])),IF(Bets35[[#This Row],[Odds]]&lt;0,"MF","MD"),""))))))</f>
        <v>MF</v>
      </c>
      <c r="K124"/>
      <c r="L124" s="24">
        <f t="shared" si="7"/>
        <v>0</v>
      </c>
      <c r="M124" s="1" t="str">
        <f>COUNTIFS(Bets35[Date],L124,Bets35[Result],"W")&amp;"-"&amp;COUNTIFS(Bets35[Date],L124,Bets35[Result],"L")&amp;IF(COUNTIFS(Bets35[Date],L124,Bets35[Result],"Push")&gt;0,"-"&amp;COUNTIFS(Bets35[Date],L124,Bets35[Result],"Push"),"")</f>
        <v>0-0</v>
      </c>
      <c r="N124" s="25" t="str">
        <f>IFERROR(COUNTIFS(Bets35[Date],L124,Bets35[Result],"W")/(COUNTIFS(Bets35[Date],L124,Bets35[Result],"W")+COUNTIFS(Bets35[Date],L124,Bets35[Result],"L")),"")</f>
        <v/>
      </c>
      <c r="O124" s="26">
        <f>SUMIF(Bets35[Date],L124,Bets35[Net])</f>
        <v>0</v>
      </c>
      <c r="P124" s="27" t="str">
        <f>IFERROR("("&amp;ROUND((SUMIF(Bets35[Date],L124,Bets35[Net])-SUMIF(Bets35[Date],L124,Bets35[Risk]))/SUMIF(Bets35[Date],L124,Bets35[Risk]),2)*100&amp;"%)","")</f>
        <v/>
      </c>
      <c r="Q124" s="72" t="str">
        <f t="shared" si="6"/>
        <v/>
      </c>
      <c r="R124" s="73" t="str">
        <f>IFERROR(SUMIF(Bets35[Date],"&lt;="&amp;L124,Bets35[Net])/SUMIF(Bets35[Date],"&lt;="&amp;L124,Bets35[Risk]),"")</f>
        <v/>
      </c>
    </row>
    <row r="125" spans="1:18" x14ac:dyDescent="0.25">
      <c r="A125" s="13">
        <f t="shared" si="4"/>
        <v>10</v>
      </c>
      <c r="B125" s="17">
        <v>43593</v>
      </c>
      <c r="C125" s="17" t="s">
        <v>802</v>
      </c>
      <c r="D125" s="18" t="s">
        <v>1207</v>
      </c>
      <c r="E125" s="11" t="s">
        <v>827</v>
      </c>
      <c r="F125" s="19">
        <f>IF(Bets35[[#This Row],[Odds]]&lt;0,Bets35[[#This Row],[Odds]]/-10,10)</f>
        <v>19</v>
      </c>
      <c r="G125" s="37">
        <v>-190</v>
      </c>
      <c r="H125" s="37" t="s">
        <v>262</v>
      </c>
      <c r="I125" s="45">
        <f>IF(Bets35[[#This Row],[Result]]="L",0-Bets35[[#This Row],[Risk]],IF(Bets35[[#This Row],[Result]]="Push",0,IF(Bets35[[#This Row],[Result]]="No Action",0,IF(Bets35[[#This Row],[Result]]="W",IF(Bets35[[#This Row],[Odds]]&gt;0,Bets35[[#This Row],[Odds]]/100*Bets35[[#This Row],[Risk]],(Bets35[[#This Row],[Risk]]/Bets35[[#This Row],[Odds]]*-100)),""))))</f>
        <v>10</v>
      </c>
      <c r="J125" s="39" t="str">
        <f>IF(ISNUMBER(SEARCH(CHAR(10),Bets35[[#This Row],[Bet]])),"P",IF(ISNUMBER(FIND("Under",Bets35[[#This Row],[Bet]])),"U",IF(ISNUMBER(SEARCH("Over",Bets35[[#This Row],[Bet]])),"O",IF(ISNUMBER(SEARCH("+",Bets35[[#This Row],[Bet]])),"D",IF(ISNUMBER(SEARCH("-",Bets35[[#This Row],[Bet]])),"F",IF(ISNUMBER(SEARCH("Moneyline",Bets35[[#This Row],[Bet]])),IF(Bets35[[#This Row],[Odds]]&lt;0,"MF","MD"),""))))))</f>
        <v>MF</v>
      </c>
      <c r="K125"/>
      <c r="L125" s="24">
        <f t="shared" si="7"/>
        <v>0</v>
      </c>
      <c r="M125" s="1" t="str">
        <f>COUNTIFS(Bets35[Date],L125,Bets35[Result],"W")&amp;"-"&amp;COUNTIFS(Bets35[Date],L125,Bets35[Result],"L")&amp;IF(COUNTIFS(Bets35[Date],L125,Bets35[Result],"Push")&gt;0,"-"&amp;COUNTIFS(Bets35[Date],L125,Bets35[Result],"Push"),"")</f>
        <v>0-0</v>
      </c>
      <c r="N125" s="25" t="str">
        <f>IFERROR(COUNTIFS(Bets35[Date],L125,Bets35[Result],"W")/(COUNTIFS(Bets35[Date],L125,Bets35[Result],"W")+COUNTIFS(Bets35[Date],L125,Bets35[Result],"L")),"")</f>
        <v/>
      </c>
      <c r="O125" s="26">
        <f>SUMIF(Bets35[Date],L125,Bets35[Net])</f>
        <v>0</v>
      </c>
      <c r="P125" s="27" t="str">
        <f>IFERROR("("&amp;ROUND((SUMIF(Bets35[Date],L125,Bets35[Net])-SUMIF(Bets35[Date],L125,Bets35[Risk]))/SUMIF(Bets35[Date],L125,Bets35[Risk]),2)*100&amp;"%)","")</f>
        <v/>
      </c>
      <c r="Q125" s="72" t="str">
        <f t="shared" si="6"/>
        <v/>
      </c>
      <c r="R125" s="73" t="str">
        <f>IFERROR(SUMIF(Bets35[Date],"&lt;="&amp;L125,Bets35[Net])/SUMIF(Bets35[Date],"&lt;="&amp;L125,Bets35[Risk]),"")</f>
        <v/>
      </c>
    </row>
    <row r="126" spans="1:18" x14ac:dyDescent="0.25">
      <c r="A126" s="13">
        <f t="shared" si="4"/>
        <v>10</v>
      </c>
      <c r="B126" s="17">
        <v>43593</v>
      </c>
      <c r="C126" s="17" t="s">
        <v>802</v>
      </c>
      <c r="D126" s="18" t="s">
        <v>1181</v>
      </c>
      <c r="E126" s="11" t="s">
        <v>905</v>
      </c>
      <c r="F126" s="19">
        <f>IF(Bets35[[#This Row],[Odds]]&lt;0,Bets35[[#This Row],[Odds]]/-10,10)</f>
        <v>10</v>
      </c>
      <c r="G126" s="37">
        <v>100</v>
      </c>
      <c r="H126" s="37" t="s">
        <v>262</v>
      </c>
      <c r="I126" s="45">
        <f>IF(Bets35[[#This Row],[Result]]="L",0-Bets35[[#This Row],[Risk]],IF(Bets35[[#This Row],[Result]]="Push",0,IF(Bets35[[#This Row],[Result]]="No Action",0,IF(Bets35[[#This Row],[Result]]="W",IF(Bets35[[#This Row],[Odds]]&gt;0,Bets35[[#This Row],[Odds]]/100*Bets35[[#This Row],[Risk]],(Bets35[[#This Row],[Risk]]/Bets35[[#This Row],[Odds]]*-100)),""))))</f>
        <v>10</v>
      </c>
      <c r="J126" s="39" t="str">
        <f>IF(ISNUMBER(SEARCH(CHAR(10),Bets35[[#This Row],[Bet]])),"P",IF(ISNUMBER(FIND("Under",Bets35[[#This Row],[Bet]])),"U",IF(ISNUMBER(SEARCH("Over",Bets35[[#This Row],[Bet]])),"O",IF(ISNUMBER(SEARCH("+",Bets35[[#This Row],[Bet]])),"D",IF(ISNUMBER(SEARCH("-",Bets35[[#This Row],[Bet]])),"F",IF(ISNUMBER(SEARCH("Moneyline",Bets35[[#This Row],[Bet]])),IF(Bets35[[#This Row],[Odds]]&lt;0,"MF","MD"),""))))))</f>
        <v>O</v>
      </c>
      <c r="K126"/>
      <c r="L126" s="24">
        <f t="shared" si="7"/>
        <v>0</v>
      </c>
      <c r="M126" s="1" t="str">
        <f>COUNTIFS(Bets35[Date],L126,Bets35[Result],"W")&amp;"-"&amp;COUNTIFS(Bets35[Date],L126,Bets35[Result],"L")&amp;IF(COUNTIFS(Bets35[Date],L126,Bets35[Result],"Push")&gt;0,"-"&amp;COUNTIFS(Bets35[Date],L126,Bets35[Result],"Push"),"")</f>
        <v>0-0</v>
      </c>
      <c r="N126" s="25" t="str">
        <f>IFERROR(COUNTIFS(Bets35[Date],L126,Bets35[Result],"W")/(COUNTIFS(Bets35[Date],L126,Bets35[Result],"W")+COUNTIFS(Bets35[Date],L126,Bets35[Result],"L")),"")</f>
        <v/>
      </c>
      <c r="O126" s="26">
        <f>SUMIF(Bets35[Date],L126,Bets35[Net])</f>
        <v>0</v>
      </c>
      <c r="P126" s="27" t="str">
        <f>IFERROR("("&amp;ROUND((SUMIF(Bets35[Date],L126,Bets35[Net])-SUMIF(Bets35[Date],L126,Bets35[Risk]))/SUMIF(Bets35[Date],L126,Bets35[Risk]),2)*100&amp;"%)","")</f>
        <v/>
      </c>
      <c r="Q126" s="72" t="str">
        <f t="shared" si="6"/>
        <v/>
      </c>
      <c r="R126" s="73" t="str">
        <f>IFERROR(SUMIF(Bets35[Date],"&lt;="&amp;L126,Bets35[Net])/SUMIF(Bets35[Date],"&lt;="&amp;L126,Bets35[Risk]),"")</f>
        <v/>
      </c>
    </row>
    <row r="127" spans="1:18" x14ac:dyDescent="0.25">
      <c r="A127" s="13">
        <f t="shared" si="4"/>
        <v>10</v>
      </c>
      <c r="B127" s="17">
        <v>43593</v>
      </c>
      <c r="C127" s="17" t="s">
        <v>802</v>
      </c>
      <c r="D127" s="18" t="s">
        <v>1179</v>
      </c>
      <c r="E127" s="11" t="s">
        <v>902</v>
      </c>
      <c r="F127" s="19">
        <f>IF(Bets35[[#This Row],[Odds]]&lt;0,Bets35[[#This Row],[Odds]]/-10,10)</f>
        <v>11.5</v>
      </c>
      <c r="G127" s="37">
        <v>-115</v>
      </c>
      <c r="H127" s="37" t="s">
        <v>263</v>
      </c>
      <c r="I127" s="45">
        <f>IF(Bets35[[#This Row],[Result]]="L",0-Bets35[[#This Row],[Risk]],IF(Bets35[[#This Row],[Result]]="Push",0,IF(Bets35[[#This Row],[Result]]="No Action",0,IF(Bets35[[#This Row],[Result]]="W",IF(Bets35[[#This Row],[Odds]]&gt;0,Bets35[[#This Row],[Odds]]/100*Bets35[[#This Row],[Risk]],(Bets35[[#This Row],[Risk]]/Bets35[[#This Row],[Odds]]*-100)),""))))</f>
        <v>-11.5</v>
      </c>
      <c r="J127" s="39" t="str">
        <f>IF(ISNUMBER(SEARCH(CHAR(10),Bets35[[#This Row],[Bet]])),"P",IF(ISNUMBER(FIND("Under",Bets35[[#This Row],[Bet]])),"U",IF(ISNUMBER(SEARCH("Over",Bets35[[#This Row],[Bet]])),"O",IF(ISNUMBER(SEARCH("+",Bets35[[#This Row],[Bet]])),"D",IF(ISNUMBER(SEARCH("-",Bets35[[#This Row],[Bet]])),"F",IF(ISNUMBER(SEARCH("Moneyline",Bets35[[#This Row],[Bet]])),IF(Bets35[[#This Row],[Odds]]&lt;0,"MF","MD"),""))))))</f>
        <v>O</v>
      </c>
      <c r="K127"/>
      <c r="L127" s="24">
        <f t="shared" si="7"/>
        <v>0</v>
      </c>
      <c r="M127" s="1" t="str">
        <f>COUNTIFS(Bets35[Date],L127,Bets35[Result],"W")&amp;"-"&amp;COUNTIFS(Bets35[Date],L127,Bets35[Result],"L")&amp;IF(COUNTIFS(Bets35[Date],L127,Bets35[Result],"Push")&gt;0,"-"&amp;COUNTIFS(Bets35[Date],L127,Bets35[Result],"Push"),"")</f>
        <v>0-0</v>
      </c>
      <c r="N127" s="25" t="str">
        <f>IFERROR(COUNTIFS(Bets35[Date],L127,Bets35[Result],"W")/(COUNTIFS(Bets35[Date],L127,Bets35[Result],"W")+COUNTIFS(Bets35[Date],L127,Bets35[Result],"L")),"")</f>
        <v/>
      </c>
      <c r="O127" s="26">
        <f>SUMIF(Bets35[Date],L127,Bets35[Net])</f>
        <v>0</v>
      </c>
      <c r="P127" s="27" t="str">
        <f>IFERROR("("&amp;ROUND((SUMIF(Bets35[Date],L127,Bets35[Net])-SUMIF(Bets35[Date],L127,Bets35[Risk]))/SUMIF(Bets35[Date],L127,Bets35[Risk]),2)*100&amp;"%)","")</f>
        <v/>
      </c>
      <c r="Q127" s="72" t="str">
        <f t="shared" si="6"/>
        <v/>
      </c>
      <c r="R127" s="73" t="str">
        <f>IFERROR(SUMIF(Bets35[Date],"&lt;="&amp;L127,Bets35[Net])/SUMIF(Bets35[Date],"&lt;="&amp;L127,Bets35[Risk]),"")</f>
        <v/>
      </c>
    </row>
    <row r="128" spans="1:18" x14ac:dyDescent="0.25">
      <c r="A128" s="13">
        <f t="shared" si="4"/>
        <v>10</v>
      </c>
      <c r="B128" s="17">
        <v>43593</v>
      </c>
      <c r="C128" s="17" t="s">
        <v>802</v>
      </c>
      <c r="D128" s="18" t="s">
        <v>1208</v>
      </c>
      <c r="E128" s="11" t="s">
        <v>845</v>
      </c>
      <c r="F128" s="19">
        <f>IF(Bets35[[#This Row],[Odds]]&lt;0,Bets35[[#This Row],[Odds]]/-10,10)</f>
        <v>10.5</v>
      </c>
      <c r="G128" s="37">
        <v>-105</v>
      </c>
      <c r="H128" s="37" t="s">
        <v>263</v>
      </c>
      <c r="I128" s="45">
        <f>IF(Bets35[[#This Row],[Result]]="L",0-Bets35[[#This Row],[Risk]],IF(Bets35[[#This Row],[Result]]="Push",0,IF(Bets35[[#This Row],[Result]]="No Action",0,IF(Bets35[[#This Row],[Result]]="W",IF(Bets35[[#This Row],[Odds]]&gt;0,Bets35[[#This Row],[Odds]]/100*Bets35[[#This Row],[Risk]],(Bets35[[#This Row],[Risk]]/Bets35[[#This Row],[Odds]]*-100)),""))))</f>
        <v>-10.5</v>
      </c>
      <c r="J128" s="39" t="str">
        <f>IF(ISNUMBER(SEARCH(CHAR(10),Bets35[[#This Row],[Bet]])),"P",IF(ISNUMBER(FIND("Under",Bets35[[#This Row],[Bet]])),"U",IF(ISNUMBER(SEARCH("Over",Bets35[[#This Row],[Bet]])),"O",IF(ISNUMBER(SEARCH("+",Bets35[[#This Row],[Bet]])),"D",IF(ISNUMBER(SEARCH("-",Bets35[[#This Row],[Bet]])),"F",IF(ISNUMBER(SEARCH("Moneyline",Bets35[[#This Row],[Bet]])),IF(Bets35[[#This Row],[Odds]]&lt;0,"MF","MD"),""))))))</f>
        <v>O</v>
      </c>
      <c r="K128"/>
      <c r="L128" s="24">
        <f t="shared" si="7"/>
        <v>0</v>
      </c>
      <c r="M128" s="1" t="str">
        <f>COUNTIFS(Bets35[Date],L128,Bets35[Result],"W")&amp;"-"&amp;COUNTIFS(Bets35[Date],L128,Bets35[Result],"L")&amp;IF(COUNTIFS(Bets35[Date],L128,Bets35[Result],"Push")&gt;0,"-"&amp;COUNTIFS(Bets35[Date],L128,Bets35[Result],"Push"),"")</f>
        <v>0-0</v>
      </c>
      <c r="N128" s="25" t="str">
        <f>IFERROR(COUNTIFS(Bets35[Date],L128,Bets35[Result],"W")/(COUNTIFS(Bets35[Date],L128,Bets35[Result],"W")+COUNTIFS(Bets35[Date],L128,Bets35[Result],"L")),"")</f>
        <v/>
      </c>
      <c r="O128" s="26">
        <f>SUMIF(Bets35[Date],L128,Bets35[Net])</f>
        <v>0</v>
      </c>
      <c r="P128" s="27" t="str">
        <f>IFERROR("("&amp;ROUND((SUMIF(Bets35[Date],L128,Bets35[Net])-SUMIF(Bets35[Date],L128,Bets35[Risk]))/SUMIF(Bets35[Date],L128,Bets35[Risk]),2)*100&amp;"%)","")</f>
        <v/>
      </c>
      <c r="Q128" s="72" t="str">
        <f t="shared" si="6"/>
        <v/>
      </c>
      <c r="R128" s="73" t="str">
        <f>IFERROR(SUMIF(Bets35[Date],"&lt;="&amp;L128,Bets35[Net])/SUMIF(Bets35[Date],"&lt;="&amp;L128,Bets35[Risk]),"")</f>
        <v/>
      </c>
    </row>
    <row r="129" spans="1:18" x14ac:dyDescent="0.25">
      <c r="A129" s="13">
        <f t="shared" si="4"/>
        <v>10</v>
      </c>
      <c r="B129" s="17">
        <v>43593</v>
      </c>
      <c r="C129" s="17" t="s">
        <v>802</v>
      </c>
      <c r="D129" s="18" t="s">
        <v>1177</v>
      </c>
      <c r="E129" s="11" t="s">
        <v>933</v>
      </c>
      <c r="F129" s="19">
        <f>IF(Bets35[[#This Row],[Odds]]&lt;0,Bets35[[#This Row],[Odds]]/-10,10)</f>
        <v>11.5</v>
      </c>
      <c r="G129" s="37">
        <v>-115</v>
      </c>
      <c r="H129" s="37" t="s">
        <v>263</v>
      </c>
      <c r="I129" s="45">
        <f>IF(Bets35[[#This Row],[Result]]="L",0-Bets35[[#This Row],[Risk]],IF(Bets35[[#This Row],[Result]]="Push",0,IF(Bets35[[#This Row],[Result]]="No Action",0,IF(Bets35[[#This Row],[Result]]="W",IF(Bets35[[#This Row],[Odds]]&gt;0,Bets35[[#This Row],[Odds]]/100*Bets35[[#This Row],[Risk]],(Bets35[[#This Row],[Risk]]/Bets35[[#This Row],[Odds]]*-100)),""))))</f>
        <v>-11.5</v>
      </c>
      <c r="J129" s="39" t="str">
        <f>IF(ISNUMBER(SEARCH(CHAR(10),Bets35[[#This Row],[Bet]])),"P",IF(ISNUMBER(FIND("Under",Bets35[[#This Row],[Bet]])),"U",IF(ISNUMBER(SEARCH("Over",Bets35[[#This Row],[Bet]])),"O",IF(ISNUMBER(SEARCH("+",Bets35[[#This Row],[Bet]])),"D",IF(ISNUMBER(SEARCH("-",Bets35[[#This Row],[Bet]])),"F",IF(ISNUMBER(SEARCH("Moneyline",Bets35[[#This Row],[Bet]])),IF(Bets35[[#This Row],[Odds]]&lt;0,"MF","MD"),""))))))</f>
        <v>U</v>
      </c>
      <c r="K129"/>
      <c r="L129" s="24">
        <f t="shared" si="7"/>
        <v>0</v>
      </c>
      <c r="M129" s="1" t="str">
        <f>COUNTIFS(Bets35[Date],L129,Bets35[Result],"W")&amp;"-"&amp;COUNTIFS(Bets35[Date],L129,Bets35[Result],"L")&amp;IF(COUNTIFS(Bets35[Date],L129,Bets35[Result],"Push")&gt;0,"-"&amp;COUNTIFS(Bets35[Date],L129,Bets35[Result],"Push"),"")</f>
        <v>0-0</v>
      </c>
      <c r="N129" s="25" t="str">
        <f>IFERROR(COUNTIFS(Bets35[Date],L129,Bets35[Result],"W")/(COUNTIFS(Bets35[Date],L129,Bets35[Result],"W")+COUNTIFS(Bets35[Date],L129,Bets35[Result],"L")),"")</f>
        <v/>
      </c>
      <c r="O129" s="26">
        <f>SUMIF(Bets35[Date],L129,Bets35[Net])</f>
        <v>0</v>
      </c>
      <c r="P129" s="27" t="str">
        <f>IFERROR("("&amp;ROUND((SUMIF(Bets35[Date],L129,Bets35[Net])-SUMIF(Bets35[Date],L129,Bets35[Risk]))/SUMIF(Bets35[Date],L129,Bets35[Risk]),2)*100&amp;"%)","")</f>
        <v/>
      </c>
      <c r="Q129" s="72" t="str">
        <f t="shared" si="6"/>
        <v/>
      </c>
      <c r="R129" s="73" t="str">
        <f>IFERROR(SUMIF(Bets35[Date],"&lt;="&amp;L129,Bets35[Net])/SUMIF(Bets35[Date],"&lt;="&amp;L129,Bets35[Risk]),"")</f>
        <v/>
      </c>
    </row>
    <row r="130" spans="1:18" x14ac:dyDescent="0.25">
      <c r="A130" s="13">
        <f t="shared" si="4"/>
        <v>10</v>
      </c>
      <c r="B130" s="17">
        <v>43593</v>
      </c>
      <c r="C130" s="17" t="s">
        <v>802</v>
      </c>
      <c r="D130" s="18" t="s">
        <v>1202</v>
      </c>
      <c r="E130" s="11" t="s">
        <v>905</v>
      </c>
      <c r="F130" s="19">
        <f>IF(Bets35[[#This Row],[Odds]]&lt;0,Bets35[[#This Row],[Odds]]/-10,10)</f>
        <v>11.5</v>
      </c>
      <c r="G130" s="37">
        <v>-115</v>
      </c>
      <c r="H130" s="37" t="s">
        <v>846</v>
      </c>
      <c r="I130" s="45">
        <f>IF(Bets35[[#This Row],[Result]]="L",0-Bets35[[#This Row],[Risk]],IF(Bets35[[#This Row],[Result]]="Push",0,IF(Bets35[[#This Row],[Result]]="No Action",0,IF(Bets35[[#This Row],[Result]]="W",IF(Bets35[[#This Row],[Odds]]&gt;0,Bets35[[#This Row],[Odds]]/100*Bets35[[#This Row],[Risk]],(Bets35[[#This Row],[Risk]]/Bets35[[#This Row],[Odds]]*-100)),""))))</f>
        <v>0</v>
      </c>
      <c r="J130" s="39" t="str">
        <f>IF(ISNUMBER(SEARCH(CHAR(10),Bets35[[#This Row],[Bet]])),"P",IF(ISNUMBER(FIND("Under",Bets35[[#This Row],[Bet]])),"U",IF(ISNUMBER(SEARCH("Over",Bets35[[#This Row],[Bet]])),"O",IF(ISNUMBER(SEARCH("+",Bets35[[#This Row],[Bet]])),"D",IF(ISNUMBER(SEARCH("-",Bets35[[#This Row],[Bet]])),"F",IF(ISNUMBER(SEARCH("Moneyline",Bets35[[#This Row],[Bet]])),IF(Bets35[[#This Row],[Odds]]&lt;0,"MF","MD"),""))))))</f>
        <v>O</v>
      </c>
      <c r="K130"/>
      <c r="L130" s="24">
        <f t="shared" si="7"/>
        <v>0</v>
      </c>
      <c r="M130" s="1" t="str">
        <f>COUNTIFS(Bets35[Date],L130,Bets35[Result],"W")&amp;"-"&amp;COUNTIFS(Bets35[Date],L130,Bets35[Result],"L")&amp;IF(COUNTIFS(Bets35[Date],L130,Bets35[Result],"Push")&gt;0,"-"&amp;COUNTIFS(Bets35[Date],L130,Bets35[Result],"Push"),"")</f>
        <v>0-0</v>
      </c>
      <c r="N130" s="25" t="str">
        <f>IFERROR(COUNTIFS(Bets35[Date],L130,Bets35[Result],"W")/(COUNTIFS(Bets35[Date],L130,Bets35[Result],"W")+COUNTIFS(Bets35[Date],L130,Bets35[Result],"L")),"")</f>
        <v/>
      </c>
      <c r="O130" s="26">
        <f>SUMIF(Bets35[Date],L130,Bets35[Net])</f>
        <v>0</v>
      </c>
      <c r="P130" s="27" t="str">
        <f>IFERROR("("&amp;ROUND((SUMIF(Bets35[Date],L130,Bets35[Net])-SUMIF(Bets35[Date],L130,Bets35[Risk]))/SUMIF(Bets35[Date],L130,Bets35[Risk]),2)*100&amp;"%)","")</f>
        <v/>
      </c>
      <c r="Q130" s="72" t="str">
        <f t="shared" si="6"/>
        <v/>
      </c>
      <c r="R130" s="73" t="str">
        <f>IFERROR(SUMIF(Bets35[Date],"&lt;="&amp;L130,Bets35[Net])/SUMIF(Bets35[Date],"&lt;="&amp;L130,Bets35[Risk]),"")</f>
        <v/>
      </c>
    </row>
    <row r="131" spans="1:18" x14ac:dyDescent="0.25">
      <c r="A131" s="13">
        <f t="shared" si="4"/>
        <v>10</v>
      </c>
      <c r="B131" s="17">
        <v>43593</v>
      </c>
      <c r="C131" s="17" t="s">
        <v>802</v>
      </c>
      <c r="D131" s="18" t="s">
        <v>1186</v>
      </c>
      <c r="E131" s="11" t="s">
        <v>1209</v>
      </c>
      <c r="F131" s="19">
        <f>IF(Bets35[[#This Row],[Odds]]&lt;0,Bets35[[#This Row],[Odds]]/-10,10)</f>
        <v>11.5</v>
      </c>
      <c r="G131" s="37">
        <v>-115</v>
      </c>
      <c r="H131" s="37" t="s">
        <v>1174</v>
      </c>
      <c r="I131" s="45">
        <f>IF(Bets35[[#This Row],[Result]]="L",0-Bets35[[#This Row],[Risk]],IF(Bets35[[#This Row],[Result]]="Push",0,IF(Bets35[[#This Row],[Result]]="No Action",0,IF(Bets35[[#This Row],[Result]]="W",IF(Bets35[[#This Row],[Odds]]&gt;0,Bets35[[#This Row],[Odds]]/100*Bets35[[#This Row],[Risk]],(Bets35[[#This Row],[Risk]]/Bets35[[#This Row],[Odds]]*-100)),""))))</f>
        <v>0</v>
      </c>
      <c r="J131" s="39" t="str">
        <f>IF(ISNUMBER(SEARCH(CHAR(10),Bets35[[#This Row],[Bet]])),"P",IF(ISNUMBER(FIND("Under",Bets35[[#This Row],[Bet]])),"U",IF(ISNUMBER(SEARCH("Over",Bets35[[#This Row],[Bet]])),"O",IF(ISNUMBER(SEARCH("+",Bets35[[#This Row],[Bet]])),"D",IF(ISNUMBER(SEARCH("-",Bets35[[#This Row],[Bet]])),"F",IF(ISNUMBER(SEARCH("Moneyline",Bets35[[#This Row],[Bet]])),IF(Bets35[[#This Row],[Odds]]&lt;0,"MF","MD"),""))))))</f>
        <v>U</v>
      </c>
      <c r="K131"/>
      <c r="L131" s="24">
        <f t="shared" si="7"/>
        <v>0</v>
      </c>
      <c r="M131" s="1" t="str">
        <f>COUNTIFS(Bets35[Date],L131,Bets35[Result],"W")&amp;"-"&amp;COUNTIFS(Bets35[Date],L131,Bets35[Result],"L")&amp;IF(COUNTIFS(Bets35[Date],L131,Bets35[Result],"Push")&gt;0,"-"&amp;COUNTIFS(Bets35[Date],L131,Bets35[Result],"Push"),"")</f>
        <v>0-0</v>
      </c>
      <c r="N131" s="25" t="str">
        <f>IFERROR(COUNTIFS(Bets35[Date],L131,Bets35[Result],"W")/(COUNTIFS(Bets35[Date],L131,Bets35[Result],"W")+COUNTIFS(Bets35[Date],L131,Bets35[Result],"L")),"")</f>
        <v/>
      </c>
      <c r="O131" s="26">
        <f>SUMIF(Bets35[Date],L131,Bets35[Net])</f>
        <v>0</v>
      </c>
      <c r="P131" s="27" t="str">
        <f>IFERROR("("&amp;ROUND((SUMIF(Bets35[Date],L131,Bets35[Net])-SUMIF(Bets35[Date],L131,Bets35[Risk]))/SUMIF(Bets35[Date],L131,Bets35[Risk]),2)*100&amp;"%)","")</f>
        <v/>
      </c>
      <c r="Q131" s="72" t="str">
        <f t="shared" si="6"/>
        <v/>
      </c>
      <c r="R131" s="73" t="str">
        <f>IFERROR(SUMIF(Bets35[Date],"&lt;="&amp;L131,Bets35[Net])/SUMIF(Bets35[Date],"&lt;="&amp;L131,Bets35[Risk]),"")</f>
        <v/>
      </c>
    </row>
    <row r="132" spans="1:18" x14ac:dyDescent="0.25">
      <c r="A132" s="13">
        <f t="shared" ref="A132:A195" si="8">IF(B132=B131,A131,A131+1)</f>
        <v>10</v>
      </c>
      <c r="B132" s="17">
        <v>43593</v>
      </c>
      <c r="C132" s="17" t="s">
        <v>802</v>
      </c>
      <c r="D132" s="18" t="s">
        <v>1207</v>
      </c>
      <c r="E132" s="11" t="s">
        <v>931</v>
      </c>
      <c r="F132" s="19">
        <f>IF(Bets35[[#This Row],[Odds]]&lt;0,Bets35[[#This Row],[Odds]]/-10,10)</f>
        <v>10.5</v>
      </c>
      <c r="G132" s="37">
        <v>-105</v>
      </c>
      <c r="H132" s="37" t="s">
        <v>262</v>
      </c>
      <c r="I132" s="45">
        <f>IF(Bets35[[#This Row],[Result]]="L",0-Bets35[[#This Row],[Risk]],IF(Bets35[[#This Row],[Result]]="Push",0,IF(Bets35[[#This Row],[Result]]="No Action",0,IF(Bets35[[#This Row],[Result]]="W",IF(Bets35[[#This Row],[Odds]]&gt;0,Bets35[[#This Row],[Odds]]/100*Bets35[[#This Row],[Risk]],(Bets35[[#This Row],[Risk]]/Bets35[[#This Row],[Odds]]*-100)),""))))</f>
        <v>10</v>
      </c>
      <c r="J132" s="39" t="str">
        <f>IF(ISNUMBER(SEARCH(CHAR(10),Bets35[[#This Row],[Bet]])),"P",IF(ISNUMBER(FIND("Under",Bets35[[#This Row],[Bet]])),"U",IF(ISNUMBER(SEARCH("Over",Bets35[[#This Row],[Bet]])),"O",IF(ISNUMBER(SEARCH("+",Bets35[[#This Row],[Bet]])),"D",IF(ISNUMBER(SEARCH("-",Bets35[[#This Row],[Bet]])),"F",IF(ISNUMBER(SEARCH("Moneyline",Bets35[[#This Row],[Bet]])),IF(Bets35[[#This Row],[Odds]]&lt;0,"MF","MD"),""))))))</f>
        <v>O</v>
      </c>
      <c r="K132"/>
      <c r="L132" s="24">
        <f t="shared" ref="L132:L157" si="9">IFERROR(VLOOKUP(ROW()-3,A:B,2,0),0)</f>
        <v>0</v>
      </c>
      <c r="M132" s="1" t="str">
        <f>COUNTIFS(Bets35[Date],L132,Bets35[Result],"W")&amp;"-"&amp;COUNTIFS(Bets35[Date],L132,Bets35[Result],"L")&amp;IF(COUNTIFS(Bets35[Date],L132,Bets35[Result],"Push")&gt;0,"-"&amp;COUNTIFS(Bets35[Date],L132,Bets35[Result],"Push"),"")</f>
        <v>0-0</v>
      </c>
      <c r="N132" s="25" t="str">
        <f>IFERROR(COUNTIFS(Bets35[Date],L132,Bets35[Result],"W")/(COUNTIFS(Bets35[Date],L132,Bets35[Result],"W")+COUNTIFS(Bets35[Date],L132,Bets35[Result],"L")),"")</f>
        <v/>
      </c>
      <c r="O132" s="26">
        <f>SUMIF(Bets35[Date],L132,Bets35[Net])</f>
        <v>0</v>
      </c>
      <c r="P132" s="27" t="str">
        <f>IFERROR("("&amp;ROUND((SUMIF(Bets35[Date],L132,Bets35[Net])-SUMIF(Bets35[Date],L132,Bets35[Risk]))/SUMIF(Bets35[Date],L132,Bets35[Risk]),2)*100&amp;"%)","")</f>
        <v/>
      </c>
      <c r="Q132" s="72" t="str">
        <f t="shared" si="6"/>
        <v/>
      </c>
      <c r="R132" s="73" t="str">
        <f>IFERROR(SUMIF(Bets35[Date],"&lt;="&amp;L132,Bets35[Net])/SUMIF(Bets35[Date],"&lt;="&amp;L132,Bets35[Risk]),"")</f>
        <v/>
      </c>
    </row>
    <row r="133" spans="1:18" x14ac:dyDescent="0.25">
      <c r="A133" s="13">
        <f t="shared" si="8"/>
        <v>11</v>
      </c>
      <c r="B133" s="17">
        <v>43594</v>
      </c>
      <c r="C133" s="17" t="s">
        <v>802</v>
      </c>
      <c r="D133" s="18" t="s">
        <v>1182</v>
      </c>
      <c r="E133" s="11" t="s">
        <v>867</v>
      </c>
      <c r="F133" s="19">
        <f>IF(Bets35[[#This Row],[Odds]]&lt;0,Bets35[[#This Row],[Odds]]/-10,10)</f>
        <v>21</v>
      </c>
      <c r="G133" s="37">
        <v>-210</v>
      </c>
      <c r="H133" s="37" t="s">
        <v>262</v>
      </c>
      <c r="I133" s="45">
        <f>IF(Bets35[[#This Row],[Result]]="L",0-Bets35[[#This Row],[Risk]],IF(Bets35[[#This Row],[Result]]="Push",0,IF(Bets35[[#This Row],[Result]]="No Action",0,IF(Bets35[[#This Row],[Result]]="W",IF(Bets35[[#This Row],[Odds]]&gt;0,Bets35[[#This Row],[Odds]]/100*Bets35[[#This Row],[Risk]],(Bets35[[#This Row],[Risk]]/Bets35[[#This Row],[Odds]]*-100)),""))))</f>
        <v>10</v>
      </c>
      <c r="J133" s="39" t="str">
        <f>IF(ISNUMBER(SEARCH(CHAR(10),Bets35[[#This Row],[Bet]])),"P",IF(ISNUMBER(FIND("Under",Bets35[[#This Row],[Bet]])),"U",IF(ISNUMBER(SEARCH("Over",Bets35[[#This Row],[Bet]])),"O",IF(ISNUMBER(SEARCH("+",Bets35[[#This Row],[Bet]])),"D",IF(ISNUMBER(SEARCH("-",Bets35[[#This Row],[Bet]])),"F",IF(ISNUMBER(SEARCH("Moneyline",Bets35[[#This Row],[Bet]])),IF(Bets35[[#This Row],[Odds]]&lt;0,"MF","MD"),""))))))</f>
        <v>MF</v>
      </c>
      <c r="K133"/>
      <c r="L133" s="24">
        <f t="shared" si="9"/>
        <v>0</v>
      </c>
      <c r="M133" s="1" t="str">
        <f>COUNTIFS(Bets35[Date],L133,Bets35[Result],"W")&amp;"-"&amp;COUNTIFS(Bets35[Date],L133,Bets35[Result],"L")&amp;IF(COUNTIFS(Bets35[Date],L133,Bets35[Result],"Push")&gt;0,"-"&amp;COUNTIFS(Bets35[Date],L133,Bets35[Result],"Push"),"")</f>
        <v>0-0</v>
      </c>
      <c r="N133" s="25" t="str">
        <f>IFERROR(COUNTIFS(Bets35[Date],L133,Bets35[Result],"W")/(COUNTIFS(Bets35[Date],L133,Bets35[Result],"W")+COUNTIFS(Bets35[Date],L133,Bets35[Result],"L")),"")</f>
        <v/>
      </c>
      <c r="O133" s="26">
        <f>SUMIF(Bets35[Date],L133,Bets35[Net])</f>
        <v>0</v>
      </c>
      <c r="P133" s="27" t="str">
        <f>IFERROR("("&amp;ROUND((SUMIF(Bets35[Date],L133,Bets35[Net])-SUMIF(Bets35[Date],L133,Bets35[Risk]))/SUMIF(Bets35[Date],L133,Bets35[Risk]),2)*100&amp;"%)","")</f>
        <v/>
      </c>
      <c r="Q133" s="72" t="str">
        <f t="shared" si="6"/>
        <v/>
      </c>
      <c r="R133" s="73" t="str">
        <f>IFERROR(SUMIF(Bets35[Date],"&lt;="&amp;L133,Bets35[Net])/SUMIF(Bets35[Date],"&lt;="&amp;L133,Bets35[Risk]),"")</f>
        <v/>
      </c>
    </row>
    <row r="134" spans="1:18" x14ac:dyDescent="0.25">
      <c r="A134" s="13">
        <f t="shared" si="8"/>
        <v>11</v>
      </c>
      <c r="B134" s="17">
        <v>43594</v>
      </c>
      <c r="C134" s="17" t="s">
        <v>802</v>
      </c>
      <c r="D134" s="18" t="s">
        <v>1214</v>
      </c>
      <c r="E134" s="11" t="s">
        <v>876</v>
      </c>
      <c r="F134" s="19">
        <f>IF(Bets35[[#This Row],[Odds]]&lt;0,Bets35[[#This Row],[Odds]]/-10,10)</f>
        <v>10</v>
      </c>
      <c r="G134" s="37">
        <v>125</v>
      </c>
      <c r="H134" s="37" t="s">
        <v>263</v>
      </c>
      <c r="I134" s="45">
        <f>IF(Bets35[[#This Row],[Result]]="L",0-Bets35[[#This Row],[Risk]],IF(Bets35[[#This Row],[Result]]="Push",0,IF(Bets35[[#This Row],[Result]]="No Action",0,IF(Bets35[[#This Row],[Result]]="W",IF(Bets35[[#This Row],[Odds]]&gt;0,Bets35[[#This Row],[Odds]]/100*Bets35[[#This Row],[Risk]],(Bets35[[#This Row],[Risk]]/Bets35[[#This Row],[Odds]]*-100)),""))))</f>
        <v>-10</v>
      </c>
      <c r="J134" s="39" t="str">
        <f>IF(ISNUMBER(SEARCH(CHAR(10),Bets35[[#This Row],[Bet]])),"P",IF(ISNUMBER(FIND("Under",Bets35[[#This Row],[Bet]])),"U",IF(ISNUMBER(SEARCH("Over",Bets35[[#This Row],[Bet]])),"O",IF(ISNUMBER(SEARCH("+",Bets35[[#This Row],[Bet]])),"D",IF(ISNUMBER(SEARCH("-",Bets35[[#This Row],[Bet]])),"F",IF(ISNUMBER(SEARCH("Moneyline",Bets35[[#This Row],[Bet]])),IF(Bets35[[#This Row],[Odds]]&lt;0,"MF","MD"),""))))))</f>
        <v>MD</v>
      </c>
      <c r="K134"/>
      <c r="L134" s="24">
        <f t="shared" si="9"/>
        <v>0</v>
      </c>
      <c r="M134" s="1" t="str">
        <f>COUNTIFS(Bets35[Date],L134,Bets35[Result],"W")&amp;"-"&amp;COUNTIFS(Bets35[Date],L134,Bets35[Result],"L")&amp;IF(COUNTIFS(Bets35[Date],L134,Bets35[Result],"Push")&gt;0,"-"&amp;COUNTIFS(Bets35[Date],L134,Bets35[Result],"Push"),"")</f>
        <v>0-0</v>
      </c>
      <c r="N134" s="25" t="str">
        <f>IFERROR(COUNTIFS(Bets35[Date],L134,Bets35[Result],"W")/(COUNTIFS(Bets35[Date],L134,Bets35[Result],"W")+COUNTIFS(Bets35[Date],L134,Bets35[Result],"L")),"")</f>
        <v/>
      </c>
      <c r="O134" s="26">
        <f>SUMIF(Bets35[Date],L134,Bets35[Net])</f>
        <v>0</v>
      </c>
      <c r="P134" s="27" t="str">
        <f>IFERROR("("&amp;ROUND((SUMIF(Bets35[Date],L134,Bets35[Net])-SUMIF(Bets35[Date],L134,Bets35[Risk]))/SUMIF(Bets35[Date],L134,Bets35[Risk]),2)*100&amp;"%)","")</f>
        <v/>
      </c>
      <c r="Q134" s="72" t="str">
        <f t="shared" ref="Q134:Q157" si="10">IF(L134&lt;&gt;0,Q133+O134,"")</f>
        <v/>
      </c>
      <c r="R134" s="73" t="str">
        <f>IFERROR(SUMIF(Bets35[Date],"&lt;="&amp;L134,Bets35[Net])/SUMIF(Bets35[Date],"&lt;="&amp;L134,Bets35[Risk]),"")</f>
        <v/>
      </c>
    </row>
    <row r="135" spans="1:18" x14ac:dyDescent="0.25">
      <c r="A135" s="13">
        <f t="shared" si="8"/>
        <v>11</v>
      </c>
      <c r="B135" s="17">
        <v>43594</v>
      </c>
      <c r="C135" s="17" t="s">
        <v>802</v>
      </c>
      <c r="D135" s="18" t="s">
        <v>1215</v>
      </c>
      <c r="E135" s="11" t="s">
        <v>815</v>
      </c>
      <c r="F135" s="19">
        <f>IF(Bets35[[#This Row],[Odds]]&lt;0,Bets35[[#This Row],[Odds]]/-10,10)</f>
        <v>11</v>
      </c>
      <c r="G135" s="37">
        <v>-110</v>
      </c>
      <c r="H135" s="37" t="s">
        <v>263</v>
      </c>
      <c r="I135" s="45">
        <f>IF(Bets35[[#This Row],[Result]]="L",0-Bets35[[#This Row],[Risk]],IF(Bets35[[#This Row],[Result]]="Push",0,IF(Bets35[[#This Row],[Result]]="No Action",0,IF(Bets35[[#This Row],[Result]]="W",IF(Bets35[[#This Row],[Odds]]&gt;0,Bets35[[#This Row],[Odds]]/100*Bets35[[#This Row],[Risk]],(Bets35[[#This Row],[Risk]]/Bets35[[#This Row],[Odds]]*-100)),""))))</f>
        <v>-11</v>
      </c>
      <c r="J135" s="39" t="str">
        <f>IF(ISNUMBER(SEARCH(CHAR(10),Bets35[[#This Row],[Bet]])),"P",IF(ISNUMBER(FIND("Under",Bets35[[#This Row],[Bet]])),"U",IF(ISNUMBER(SEARCH("Over",Bets35[[#This Row],[Bet]])),"O",IF(ISNUMBER(SEARCH("+",Bets35[[#This Row],[Bet]])),"D",IF(ISNUMBER(SEARCH("-",Bets35[[#This Row],[Bet]])),"F",IF(ISNUMBER(SEARCH("Moneyline",Bets35[[#This Row],[Bet]])),IF(Bets35[[#This Row],[Odds]]&lt;0,"MF","MD"),""))))))</f>
        <v>MF</v>
      </c>
      <c r="K135"/>
      <c r="L135" s="24">
        <f t="shared" si="9"/>
        <v>0</v>
      </c>
      <c r="M135" s="1" t="str">
        <f>COUNTIFS(Bets35[Date],L135,Bets35[Result],"W")&amp;"-"&amp;COUNTIFS(Bets35[Date],L135,Bets35[Result],"L")&amp;IF(COUNTIFS(Bets35[Date],L135,Bets35[Result],"Push")&gt;0,"-"&amp;COUNTIFS(Bets35[Date],L135,Bets35[Result],"Push"),"")</f>
        <v>0-0</v>
      </c>
      <c r="N135" s="25" t="str">
        <f>IFERROR(COUNTIFS(Bets35[Date],L135,Bets35[Result],"W")/(COUNTIFS(Bets35[Date],L135,Bets35[Result],"W")+COUNTIFS(Bets35[Date],L135,Bets35[Result],"L")),"")</f>
        <v/>
      </c>
      <c r="O135" s="26">
        <f>SUMIF(Bets35[Date],L135,Bets35[Net])</f>
        <v>0</v>
      </c>
      <c r="P135" s="27" t="str">
        <f>IFERROR("("&amp;ROUND((SUMIF(Bets35[Date],L135,Bets35[Net])-SUMIF(Bets35[Date],L135,Bets35[Risk]))/SUMIF(Bets35[Date],L135,Bets35[Risk]),2)*100&amp;"%)","")</f>
        <v/>
      </c>
      <c r="Q135" s="72" t="str">
        <f t="shared" si="10"/>
        <v/>
      </c>
      <c r="R135" s="73" t="str">
        <f>IFERROR(SUMIF(Bets35[Date],"&lt;="&amp;L135,Bets35[Net])/SUMIF(Bets35[Date],"&lt;="&amp;L135,Bets35[Risk]),"")</f>
        <v/>
      </c>
    </row>
    <row r="136" spans="1:18" x14ac:dyDescent="0.25">
      <c r="A136" s="13">
        <f t="shared" si="8"/>
        <v>11</v>
      </c>
      <c r="B136" s="17">
        <v>43594</v>
      </c>
      <c r="C136" s="17" t="s">
        <v>802</v>
      </c>
      <c r="D136" s="18" t="s">
        <v>1217</v>
      </c>
      <c r="E136" s="11" t="s">
        <v>827</v>
      </c>
      <c r="F136" s="19">
        <f>IF(Bets35[[#This Row],[Odds]]&lt;0,Bets35[[#This Row],[Odds]]/-10,10)</f>
        <v>14.7</v>
      </c>
      <c r="G136" s="37">
        <v>-147</v>
      </c>
      <c r="H136" s="37" t="s">
        <v>263</v>
      </c>
      <c r="I136" s="45">
        <f>IF(Bets35[[#This Row],[Result]]="L",0-Bets35[[#This Row],[Risk]],IF(Bets35[[#This Row],[Result]]="Push",0,IF(Bets35[[#This Row],[Result]]="No Action",0,IF(Bets35[[#This Row],[Result]]="W",IF(Bets35[[#This Row],[Odds]]&gt;0,Bets35[[#This Row],[Odds]]/100*Bets35[[#This Row],[Risk]],(Bets35[[#This Row],[Risk]]/Bets35[[#This Row],[Odds]]*-100)),""))))</f>
        <v>-14.7</v>
      </c>
      <c r="J136" s="39" t="str">
        <f>IF(ISNUMBER(SEARCH(CHAR(10),Bets35[[#This Row],[Bet]])),"P",IF(ISNUMBER(FIND("Under",Bets35[[#This Row],[Bet]])),"U",IF(ISNUMBER(SEARCH("Over",Bets35[[#This Row],[Bet]])),"O",IF(ISNUMBER(SEARCH("+",Bets35[[#This Row],[Bet]])),"D",IF(ISNUMBER(SEARCH("-",Bets35[[#This Row],[Bet]])),"F",IF(ISNUMBER(SEARCH("Moneyline",Bets35[[#This Row],[Bet]])),IF(Bets35[[#This Row],[Odds]]&lt;0,"MF","MD"),""))))))</f>
        <v>MF</v>
      </c>
      <c r="K136"/>
      <c r="L136" s="24">
        <f t="shared" si="9"/>
        <v>0</v>
      </c>
      <c r="M136" s="1" t="str">
        <f>COUNTIFS(Bets35[Date],L136,Bets35[Result],"W")&amp;"-"&amp;COUNTIFS(Bets35[Date],L136,Bets35[Result],"L")&amp;IF(COUNTIFS(Bets35[Date],L136,Bets35[Result],"Push")&gt;0,"-"&amp;COUNTIFS(Bets35[Date],L136,Bets35[Result],"Push"),"")</f>
        <v>0-0</v>
      </c>
      <c r="N136" s="25" t="str">
        <f>IFERROR(COUNTIFS(Bets35[Date],L136,Bets35[Result],"W")/(COUNTIFS(Bets35[Date],L136,Bets35[Result],"W")+COUNTIFS(Bets35[Date],L136,Bets35[Result],"L")),"")</f>
        <v/>
      </c>
      <c r="O136" s="26">
        <f>SUMIF(Bets35[Date],L136,Bets35[Net])</f>
        <v>0</v>
      </c>
      <c r="P136" s="27" t="str">
        <f>IFERROR("("&amp;ROUND((SUMIF(Bets35[Date],L136,Bets35[Net])-SUMIF(Bets35[Date],L136,Bets35[Risk]))/SUMIF(Bets35[Date],L136,Bets35[Risk]),2)*100&amp;"%)","")</f>
        <v/>
      </c>
      <c r="Q136" s="72" t="str">
        <f t="shared" si="10"/>
        <v/>
      </c>
      <c r="R136" s="73" t="str">
        <f>IFERROR(SUMIF(Bets35[Date],"&lt;="&amp;L136,Bets35[Net])/SUMIF(Bets35[Date],"&lt;="&amp;L136,Bets35[Risk]),"")</f>
        <v/>
      </c>
    </row>
    <row r="137" spans="1:18" x14ac:dyDescent="0.25">
      <c r="A137" s="13">
        <f t="shared" si="8"/>
        <v>11</v>
      </c>
      <c r="B137" s="17">
        <v>43594</v>
      </c>
      <c r="C137" s="17" t="s">
        <v>802</v>
      </c>
      <c r="D137" s="18" t="s">
        <v>1182</v>
      </c>
      <c r="E137" s="11" t="s">
        <v>1209</v>
      </c>
      <c r="F137" s="19">
        <f>IF(Bets35[[#This Row],[Odds]]&lt;0,Bets35[[#This Row],[Odds]]/-10,10)</f>
        <v>12</v>
      </c>
      <c r="G137" s="37">
        <v>-120</v>
      </c>
      <c r="H137" s="21" t="s">
        <v>262</v>
      </c>
      <c r="I137" s="45">
        <f>IF(Bets35[[#This Row],[Result]]="L",0-Bets35[[#This Row],[Risk]],IF(Bets35[[#This Row],[Result]]="Push",0,IF(Bets35[[#This Row],[Result]]="No Action",0,IF(Bets35[[#This Row],[Result]]="W",IF(Bets35[[#This Row],[Odds]]&gt;0,Bets35[[#This Row],[Odds]]/100*Bets35[[#This Row],[Risk]],(Bets35[[#This Row],[Risk]]/Bets35[[#This Row],[Odds]]*-100)),""))))</f>
        <v>10</v>
      </c>
      <c r="J137" s="23" t="str">
        <f>IF(ISNUMBER(SEARCH(CHAR(10),Bets35[[#This Row],[Bet]])),"P",IF(ISNUMBER(FIND("Under",Bets35[[#This Row],[Bet]])),"U",IF(ISNUMBER(SEARCH("Over",Bets35[[#This Row],[Bet]])),"O",IF(ISNUMBER(SEARCH("+",Bets35[[#This Row],[Bet]])),"D",IF(ISNUMBER(SEARCH("-",Bets35[[#This Row],[Bet]])),"F",IF(ISNUMBER(SEARCH("Moneyline",Bets35[[#This Row],[Bet]])),IF(Bets35[[#This Row],[Odds]]&lt;0,"MF","MD"),""))))))</f>
        <v>U</v>
      </c>
      <c r="K137"/>
      <c r="L137" s="24">
        <f t="shared" si="9"/>
        <v>0</v>
      </c>
      <c r="M137" s="1" t="str">
        <f>COUNTIFS(Bets35[Date],L137,Bets35[Result],"W")&amp;"-"&amp;COUNTIFS(Bets35[Date],L137,Bets35[Result],"L")&amp;IF(COUNTIFS(Bets35[Date],L137,Bets35[Result],"Push")&gt;0,"-"&amp;COUNTIFS(Bets35[Date],L137,Bets35[Result],"Push"),"")</f>
        <v>0-0</v>
      </c>
      <c r="N137" s="25" t="str">
        <f>IFERROR(COUNTIFS(Bets35[Date],L137,Bets35[Result],"W")/(COUNTIFS(Bets35[Date],L137,Bets35[Result],"W")+COUNTIFS(Bets35[Date],L137,Bets35[Result],"L")),"")</f>
        <v/>
      </c>
      <c r="O137" s="26">
        <f>SUMIF(Bets35[Date],L137,Bets35[Net])</f>
        <v>0</v>
      </c>
      <c r="P137" s="27" t="str">
        <f>IFERROR("("&amp;ROUND((SUMIF(Bets35[Date],L137,Bets35[Net])-SUMIF(Bets35[Date],L137,Bets35[Risk]))/SUMIF(Bets35[Date],L137,Bets35[Risk]),2)*100&amp;"%)","")</f>
        <v/>
      </c>
      <c r="Q137" s="72" t="str">
        <f t="shared" si="10"/>
        <v/>
      </c>
      <c r="R137" s="73" t="str">
        <f>IFERROR(SUMIF(Bets35[Date],"&lt;="&amp;L137,Bets35[Net])/SUMIF(Bets35[Date],"&lt;="&amp;L137,Bets35[Risk]),"")</f>
        <v/>
      </c>
    </row>
    <row r="138" spans="1:18" x14ac:dyDescent="0.25">
      <c r="A138" s="13">
        <f t="shared" si="8"/>
        <v>11</v>
      </c>
      <c r="B138" s="17">
        <v>43594</v>
      </c>
      <c r="C138" s="17" t="s">
        <v>802</v>
      </c>
      <c r="D138" s="18" t="s">
        <v>1183</v>
      </c>
      <c r="E138" s="11" t="s">
        <v>877</v>
      </c>
      <c r="F138" s="19">
        <f>IF(Bets35[[#This Row],[Odds]]&lt;0,Bets35[[#This Row],[Odds]]/-10,10)</f>
        <v>10.5</v>
      </c>
      <c r="G138" s="37">
        <v>-105</v>
      </c>
      <c r="H138" s="21" t="s">
        <v>262</v>
      </c>
      <c r="I138" s="45">
        <f>IF(Bets35[[#This Row],[Result]]="L",0-Bets35[[#This Row],[Risk]],IF(Bets35[[#This Row],[Result]]="Push",0,IF(Bets35[[#This Row],[Result]]="No Action",0,IF(Bets35[[#This Row],[Result]]="W",IF(Bets35[[#This Row],[Odds]]&gt;0,Bets35[[#This Row],[Odds]]/100*Bets35[[#This Row],[Risk]],(Bets35[[#This Row],[Risk]]/Bets35[[#This Row],[Odds]]*-100)),""))))</f>
        <v>10</v>
      </c>
      <c r="J138" s="23" t="str">
        <f>IF(ISNUMBER(SEARCH(CHAR(10),Bets35[[#This Row],[Bet]])),"P",IF(ISNUMBER(FIND("Under",Bets35[[#This Row],[Bet]])),"U",IF(ISNUMBER(SEARCH("Over",Bets35[[#This Row],[Bet]])),"O",IF(ISNUMBER(SEARCH("+",Bets35[[#This Row],[Bet]])),"D",IF(ISNUMBER(SEARCH("-",Bets35[[#This Row],[Bet]])),"F",IF(ISNUMBER(SEARCH("Moneyline",Bets35[[#This Row],[Bet]])),IF(Bets35[[#This Row],[Odds]]&lt;0,"MF","MD"),""))))))</f>
        <v>U</v>
      </c>
      <c r="K138"/>
      <c r="L138" s="24">
        <f t="shared" si="9"/>
        <v>0</v>
      </c>
      <c r="M138" s="1" t="str">
        <f>COUNTIFS(Bets35[Date],L138,Bets35[Result],"W")&amp;"-"&amp;COUNTIFS(Bets35[Date],L138,Bets35[Result],"L")&amp;IF(COUNTIFS(Bets35[Date],L138,Bets35[Result],"Push")&gt;0,"-"&amp;COUNTIFS(Bets35[Date],L138,Bets35[Result],"Push"),"")</f>
        <v>0-0</v>
      </c>
      <c r="N138" s="25" t="str">
        <f>IFERROR(COUNTIFS(Bets35[Date],L138,Bets35[Result],"W")/(COUNTIFS(Bets35[Date],L138,Bets35[Result],"W")+COUNTIFS(Bets35[Date],L138,Bets35[Result],"L")),"")</f>
        <v/>
      </c>
      <c r="O138" s="26">
        <f>SUMIF(Bets35[Date],L138,Bets35[Net])</f>
        <v>0</v>
      </c>
      <c r="P138" s="27" t="str">
        <f>IFERROR("("&amp;ROUND((SUMIF(Bets35[Date],L138,Bets35[Net])-SUMIF(Bets35[Date],L138,Bets35[Risk]))/SUMIF(Bets35[Date],L138,Bets35[Risk]),2)*100&amp;"%)","")</f>
        <v/>
      </c>
      <c r="Q138" s="72" t="str">
        <f t="shared" si="10"/>
        <v/>
      </c>
      <c r="R138" s="73" t="str">
        <f>IFERROR(SUMIF(Bets35[Date],"&lt;="&amp;L138,Bets35[Net])/SUMIF(Bets35[Date],"&lt;="&amp;L138,Bets35[Risk]),"")</f>
        <v/>
      </c>
    </row>
    <row r="139" spans="1:18" x14ac:dyDescent="0.25">
      <c r="A139" s="13">
        <f t="shared" si="8"/>
        <v>11</v>
      </c>
      <c r="B139" s="17">
        <v>43594</v>
      </c>
      <c r="C139" s="17" t="s">
        <v>802</v>
      </c>
      <c r="D139" s="18" t="s">
        <v>1216</v>
      </c>
      <c r="E139" s="11" t="s">
        <v>1156</v>
      </c>
      <c r="F139" s="19">
        <f>IF(Bets35[[#This Row],[Odds]]&lt;0,Bets35[[#This Row],[Odds]]/-10,10)</f>
        <v>10.5</v>
      </c>
      <c r="G139" s="37">
        <v>-105</v>
      </c>
      <c r="H139" s="37" t="s">
        <v>263</v>
      </c>
      <c r="I139" s="45">
        <f>IF(Bets35[[#This Row],[Result]]="L",0-Bets35[[#This Row],[Risk]],IF(Bets35[[#This Row],[Result]]="Push",0,IF(Bets35[[#This Row],[Result]]="No Action",0,IF(Bets35[[#This Row],[Result]]="W",IF(Bets35[[#This Row],[Odds]]&gt;0,Bets35[[#This Row],[Odds]]/100*Bets35[[#This Row],[Risk]],(Bets35[[#This Row],[Risk]]/Bets35[[#This Row],[Odds]]*-100)),""))))</f>
        <v>-10.5</v>
      </c>
      <c r="J139" s="39" t="str">
        <f>IF(ISNUMBER(SEARCH(CHAR(10),Bets35[[#This Row],[Bet]])),"P",IF(ISNUMBER(FIND("Under",Bets35[[#This Row],[Bet]])),"U",IF(ISNUMBER(SEARCH("Over",Bets35[[#This Row],[Bet]])),"O",IF(ISNUMBER(SEARCH("+",Bets35[[#This Row],[Bet]])),"D",IF(ISNUMBER(SEARCH("-",Bets35[[#This Row],[Bet]])),"F",IF(ISNUMBER(SEARCH("Moneyline",Bets35[[#This Row],[Bet]])),IF(Bets35[[#This Row],[Odds]]&lt;0,"MF","MD"),""))))))</f>
        <v>O</v>
      </c>
      <c r="K139"/>
      <c r="L139" s="24">
        <f t="shared" si="9"/>
        <v>0</v>
      </c>
      <c r="M139" s="1" t="str">
        <f>COUNTIFS(Bets35[Date],L139,Bets35[Result],"W")&amp;"-"&amp;COUNTIFS(Bets35[Date],L139,Bets35[Result],"L")&amp;IF(COUNTIFS(Bets35[Date],L139,Bets35[Result],"Push")&gt;0,"-"&amp;COUNTIFS(Bets35[Date],L139,Bets35[Result],"Push"),"")</f>
        <v>0-0</v>
      </c>
      <c r="N139" s="25" t="str">
        <f>IFERROR(COUNTIFS(Bets35[Date],L139,Bets35[Result],"W")/(COUNTIFS(Bets35[Date],L139,Bets35[Result],"W")+COUNTIFS(Bets35[Date],L139,Bets35[Result],"L")),"")</f>
        <v/>
      </c>
      <c r="O139" s="26">
        <f>SUMIF(Bets35[Date],L139,Bets35[Net])</f>
        <v>0</v>
      </c>
      <c r="P139" s="27" t="str">
        <f>IFERROR("("&amp;ROUND((SUMIF(Bets35[Date],L139,Bets35[Net])-SUMIF(Bets35[Date],L139,Bets35[Risk]))/SUMIF(Bets35[Date],L139,Bets35[Risk]),2)*100&amp;"%)","")</f>
        <v/>
      </c>
      <c r="Q139" s="72" t="str">
        <f t="shared" si="10"/>
        <v/>
      </c>
      <c r="R139" s="73" t="str">
        <f>IFERROR(SUMIF(Bets35[Date],"&lt;="&amp;L139,Bets35[Net])/SUMIF(Bets35[Date],"&lt;="&amp;L139,Bets35[Risk]),"")</f>
        <v/>
      </c>
    </row>
    <row r="140" spans="1:18" x14ac:dyDescent="0.25">
      <c r="A140" s="13">
        <f t="shared" si="8"/>
        <v>11</v>
      </c>
      <c r="B140" s="17">
        <v>43594</v>
      </c>
      <c r="C140" s="17" t="s">
        <v>802</v>
      </c>
      <c r="D140" s="18" t="s">
        <v>1217</v>
      </c>
      <c r="E140" s="11" t="s">
        <v>902</v>
      </c>
      <c r="F140" s="19">
        <f>IF(Bets35[[#This Row],[Odds]]&lt;0,Bets35[[#This Row],[Odds]]/-10,10)</f>
        <v>12</v>
      </c>
      <c r="G140" s="37">
        <v>-120</v>
      </c>
      <c r="H140" s="37" t="s">
        <v>263</v>
      </c>
      <c r="I140" s="45">
        <f>IF(Bets35[[#This Row],[Result]]="L",0-Bets35[[#This Row],[Risk]],IF(Bets35[[#This Row],[Result]]="Push",0,IF(Bets35[[#This Row],[Result]]="No Action",0,IF(Bets35[[#This Row],[Result]]="W",IF(Bets35[[#This Row],[Odds]]&gt;0,Bets35[[#This Row],[Odds]]/100*Bets35[[#This Row],[Risk]],(Bets35[[#This Row],[Risk]]/Bets35[[#This Row],[Odds]]*-100)),""))))</f>
        <v>-12</v>
      </c>
      <c r="J140" s="39" t="str">
        <f>IF(ISNUMBER(SEARCH(CHAR(10),Bets35[[#This Row],[Bet]])),"P",IF(ISNUMBER(FIND("Under",Bets35[[#This Row],[Bet]])),"U",IF(ISNUMBER(SEARCH("Over",Bets35[[#This Row],[Bet]])),"O",IF(ISNUMBER(SEARCH("+",Bets35[[#This Row],[Bet]])),"D",IF(ISNUMBER(SEARCH("-",Bets35[[#This Row],[Bet]])),"F",IF(ISNUMBER(SEARCH("Moneyline",Bets35[[#This Row],[Bet]])),IF(Bets35[[#This Row],[Odds]]&lt;0,"MF","MD"),""))))))</f>
        <v>O</v>
      </c>
      <c r="K140"/>
      <c r="L140" s="24">
        <f t="shared" si="9"/>
        <v>0</v>
      </c>
      <c r="M140" s="1" t="str">
        <f>COUNTIFS(Bets35[Date],L140,Bets35[Result],"W")&amp;"-"&amp;COUNTIFS(Bets35[Date],L140,Bets35[Result],"L")&amp;IF(COUNTIFS(Bets35[Date],L140,Bets35[Result],"Push")&gt;0,"-"&amp;COUNTIFS(Bets35[Date],L140,Bets35[Result],"Push"),"")</f>
        <v>0-0</v>
      </c>
      <c r="N140" s="25" t="str">
        <f>IFERROR(COUNTIFS(Bets35[Date],L140,Bets35[Result],"W")/(COUNTIFS(Bets35[Date],L140,Bets35[Result],"W")+COUNTIFS(Bets35[Date],L140,Bets35[Result],"L")),"")</f>
        <v/>
      </c>
      <c r="O140" s="26">
        <f>SUMIF(Bets35[Date],L140,Bets35[Net])</f>
        <v>0</v>
      </c>
      <c r="P140" s="27" t="str">
        <f>IFERROR("("&amp;ROUND((SUMIF(Bets35[Date],L140,Bets35[Net])-SUMIF(Bets35[Date],L140,Bets35[Risk]))/SUMIF(Bets35[Date],L140,Bets35[Risk]),2)*100&amp;"%)","")</f>
        <v/>
      </c>
      <c r="Q140" s="72" t="str">
        <f t="shared" si="10"/>
        <v/>
      </c>
      <c r="R140" s="73" t="str">
        <f>IFERROR(SUMIF(Bets35[Date],"&lt;="&amp;L140,Bets35[Net])/SUMIF(Bets35[Date],"&lt;="&amp;L140,Bets35[Risk]),"")</f>
        <v/>
      </c>
    </row>
    <row r="141" spans="1:18" x14ac:dyDescent="0.25">
      <c r="A141" s="13">
        <f t="shared" si="8"/>
        <v>12</v>
      </c>
      <c r="B141" s="17">
        <v>43595</v>
      </c>
      <c r="C141" s="17" t="s">
        <v>802</v>
      </c>
      <c r="D141" s="18" t="s">
        <v>1222</v>
      </c>
      <c r="E141" s="11" t="s">
        <v>836</v>
      </c>
      <c r="F141" s="19">
        <f>IF(Bets35[[#This Row],[Odds]]&lt;0,Bets35[[#This Row],[Odds]]/-10,10)</f>
        <v>10</v>
      </c>
      <c r="G141" s="37" t="s">
        <v>871</v>
      </c>
      <c r="H141" s="37" t="s">
        <v>263</v>
      </c>
      <c r="I141" s="45">
        <f>IF(Bets35[[#This Row],[Result]]="L",0-Bets35[[#This Row],[Risk]],IF(Bets35[[#This Row],[Result]]="Push",0,IF(Bets35[[#This Row],[Result]]="No Action",0,IF(Bets35[[#This Row],[Result]]="W",IF(Bets35[[#This Row],[Odds]]&gt;0,Bets35[[#This Row],[Odds]]/100*Bets35[[#This Row],[Risk]],(Bets35[[#This Row],[Risk]]/Bets35[[#This Row],[Odds]]*-100)),""))))</f>
        <v>-10</v>
      </c>
      <c r="J141" s="39" t="str">
        <f>IF(ISNUMBER(SEARCH(CHAR(10),Bets35[[#This Row],[Bet]])),"P",IF(ISNUMBER(FIND("Under",Bets35[[#This Row],[Bet]])),"U",IF(ISNUMBER(SEARCH("Over",Bets35[[#This Row],[Bet]])),"O",IF(ISNUMBER(SEARCH("+",Bets35[[#This Row],[Bet]])),"D",IF(ISNUMBER(SEARCH("-",Bets35[[#This Row],[Bet]])),"F",IF(ISNUMBER(SEARCH("Moneyline",Bets35[[#This Row],[Bet]])),IF(Bets35[[#This Row],[Odds]]&lt;0,"MF","MD"),""))))))</f>
        <v>MD</v>
      </c>
      <c r="K141"/>
      <c r="L141" s="24">
        <f t="shared" si="9"/>
        <v>0</v>
      </c>
      <c r="M141" s="1" t="str">
        <f>COUNTIFS(Bets35[Date],L141,Bets35[Result],"W")&amp;"-"&amp;COUNTIFS(Bets35[Date],L141,Bets35[Result],"L")&amp;IF(COUNTIFS(Bets35[Date],L141,Bets35[Result],"Push")&gt;0,"-"&amp;COUNTIFS(Bets35[Date],L141,Bets35[Result],"Push"),"")</f>
        <v>0-0</v>
      </c>
      <c r="N141" s="25" t="str">
        <f>IFERROR(COUNTIFS(Bets35[Date],L141,Bets35[Result],"W")/(COUNTIFS(Bets35[Date],L141,Bets35[Result],"W")+COUNTIFS(Bets35[Date],L141,Bets35[Result],"L")),"")</f>
        <v/>
      </c>
      <c r="O141" s="26">
        <f>SUMIF(Bets35[Date],L141,Bets35[Net])</f>
        <v>0</v>
      </c>
      <c r="P141" s="27" t="str">
        <f>IFERROR("("&amp;ROUND((SUMIF(Bets35[Date],L141,Bets35[Net])-SUMIF(Bets35[Date],L141,Bets35[Risk]))/SUMIF(Bets35[Date],L141,Bets35[Risk]),2)*100&amp;"%)","")</f>
        <v/>
      </c>
      <c r="Q141" s="72" t="str">
        <f t="shared" si="10"/>
        <v/>
      </c>
      <c r="R141" s="73" t="str">
        <f>IFERROR(SUMIF(Bets35[Date],"&lt;="&amp;L141,Bets35[Net])/SUMIF(Bets35[Date],"&lt;="&amp;L141,Bets35[Risk]),"")</f>
        <v/>
      </c>
    </row>
    <row r="142" spans="1:18" x14ac:dyDescent="0.25">
      <c r="A142" s="13">
        <f t="shared" si="8"/>
        <v>12</v>
      </c>
      <c r="B142" s="17">
        <v>43595</v>
      </c>
      <c r="C142" s="17" t="s">
        <v>802</v>
      </c>
      <c r="D142" s="18" t="s">
        <v>1223</v>
      </c>
      <c r="E142" s="11" t="s">
        <v>1178</v>
      </c>
      <c r="F142" s="19">
        <f>IF(Bets35[[#This Row],[Odds]]&lt;0,Bets35[[#This Row],[Odds]]/-10,10)</f>
        <v>23</v>
      </c>
      <c r="G142" s="37">
        <v>-230</v>
      </c>
      <c r="H142" s="37" t="s">
        <v>262</v>
      </c>
      <c r="I142" s="45">
        <f>IF(Bets35[[#This Row],[Result]]="L",0-Bets35[[#This Row],[Risk]],IF(Bets35[[#This Row],[Result]]="Push",0,IF(Bets35[[#This Row],[Result]]="No Action",0,IF(Bets35[[#This Row],[Result]]="W",IF(Bets35[[#This Row],[Odds]]&gt;0,Bets35[[#This Row],[Odds]]/100*Bets35[[#This Row],[Risk]],(Bets35[[#This Row],[Risk]]/Bets35[[#This Row],[Odds]]*-100)),""))))</f>
        <v>10</v>
      </c>
      <c r="J142" s="39" t="str">
        <f>IF(ISNUMBER(SEARCH(CHAR(10),Bets35[[#This Row],[Bet]])),"P",IF(ISNUMBER(FIND("Under",Bets35[[#This Row],[Bet]])),"U",IF(ISNUMBER(SEARCH("Over",Bets35[[#This Row],[Bet]])),"O",IF(ISNUMBER(SEARCH("+",Bets35[[#This Row],[Bet]])),"D",IF(ISNUMBER(SEARCH("-",Bets35[[#This Row],[Bet]])),"F",IF(ISNUMBER(SEARCH("Moneyline",Bets35[[#This Row],[Bet]])),IF(Bets35[[#This Row],[Odds]]&lt;0,"MF","MD"),""))))))</f>
        <v>MF</v>
      </c>
      <c r="K142"/>
      <c r="L142" s="24">
        <f t="shared" si="9"/>
        <v>0</v>
      </c>
      <c r="M142" s="1" t="str">
        <f>COUNTIFS(Bets35[Date],L142,Bets35[Result],"W")&amp;"-"&amp;COUNTIFS(Bets35[Date],L142,Bets35[Result],"L")&amp;IF(COUNTIFS(Bets35[Date],L142,Bets35[Result],"Push")&gt;0,"-"&amp;COUNTIFS(Bets35[Date],L142,Bets35[Result],"Push"),"")</f>
        <v>0-0</v>
      </c>
      <c r="N142" s="25" t="str">
        <f>IFERROR(COUNTIFS(Bets35[Date],L142,Bets35[Result],"W")/(COUNTIFS(Bets35[Date],L142,Bets35[Result],"W")+COUNTIFS(Bets35[Date],L142,Bets35[Result],"L")),"")</f>
        <v/>
      </c>
      <c r="O142" s="26">
        <f>SUMIF(Bets35[Date],L142,Bets35[Net])</f>
        <v>0</v>
      </c>
      <c r="P142" s="27" t="str">
        <f>IFERROR("("&amp;ROUND((SUMIF(Bets35[Date],L142,Bets35[Net])-SUMIF(Bets35[Date],L142,Bets35[Risk]))/SUMIF(Bets35[Date],L142,Bets35[Risk]),2)*100&amp;"%)","")</f>
        <v/>
      </c>
      <c r="Q142" s="72" t="str">
        <f t="shared" si="10"/>
        <v/>
      </c>
      <c r="R142" s="73" t="str">
        <f>IFERROR(SUMIF(Bets35[Date],"&lt;="&amp;L142,Bets35[Net])/SUMIF(Bets35[Date],"&lt;="&amp;L142,Bets35[Risk]),"")</f>
        <v/>
      </c>
    </row>
    <row r="143" spans="1:18" x14ac:dyDescent="0.25">
      <c r="A143" s="13">
        <f t="shared" si="8"/>
        <v>12</v>
      </c>
      <c r="B143" s="17">
        <v>43595</v>
      </c>
      <c r="C143" s="17" t="s">
        <v>802</v>
      </c>
      <c r="D143" s="18" t="s">
        <v>1224</v>
      </c>
      <c r="E143" s="11" t="s">
        <v>822</v>
      </c>
      <c r="F143" s="19">
        <f>IF(Bets35[[#This Row],[Odds]]&lt;0,Bets35[[#This Row],[Odds]]/-10,10)</f>
        <v>14.5</v>
      </c>
      <c r="G143" s="37">
        <v>-145</v>
      </c>
      <c r="H143" s="37" t="s">
        <v>263</v>
      </c>
      <c r="I143" s="45">
        <f>IF(Bets35[[#This Row],[Result]]="L",0-Bets35[[#This Row],[Risk]],IF(Bets35[[#This Row],[Result]]="Push",0,IF(Bets35[[#This Row],[Result]]="No Action",0,IF(Bets35[[#This Row],[Result]]="W",IF(Bets35[[#This Row],[Odds]]&gt;0,Bets35[[#This Row],[Odds]]/100*Bets35[[#This Row],[Risk]],(Bets35[[#This Row],[Risk]]/Bets35[[#This Row],[Odds]]*-100)),""))))</f>
        <v>-14.5</v>
      </c>
      <c r="J143" s="39" t="str">
        <f>IF(ISNUMBER(SEARCH(CHAR(10),Bets35[[#This Row],[Bet]])),"P",IF(ISNUMBER(FIND("Under",Bets35[[#This Row],[Bet]])),"U",IF(ISNUMBER(SEARCH("Over",Bets35[[#This Row],[Bet]])),"O",IF(ISNUMBER(SEARCH("+",Bets35[[#This Row],[Bet]])),"D",IF(ISNUMBER(SEARCH("-",Bets35[[#This Row],[Bet]])),"F",IF(ISNUMBER(SEARCH("Moneyline",Bets35[[#This Row],[Bet]])),IF(Bets35[[#This Row],[Odds]]&lt;0,"MF","MD"),""))))))</f>
        <v>MF</v>
      </c>
      <c r="K143"/>
      <c r="L143" s="24">
        <f t="shared" si="9"/>
        <v>0</v>
      </c>
      <c r="M143" s="1" t="str">
        <f>COUNTIFS(Bets35[Date],L143,Bets35[Result],"W")&amp;"-"&amp;COUNTIFS(Bets35[Date],L143,Bets35[Result],"L")&amp;IF(COUNTIFS(Bets35[Date],L143,Bets35[Result],"Push")&gt;0,"-"&amp;COUNTIFS(Bets35[Date],L143,Bets35[Result],"Push"),"")</f>
        <v>0-0</v>
      </c>
      <c r="N143" s="25" t="str">
        <f>IFERROR(COUNTIFS(Bets35[Date],L143,Bets35[Result],"W")/(COUNTIFS(Bets35[Date],L143,Bets35[Result],"W")+COUNTIFS(Bets35[Date],L143,Bets35[Result],"L")),"")</f>
        <v/>
      </c>
      <c r="O143" s="26">
        <f>SUMIF(Bets35[Date],L143,Bets35[Net])</f>
        <v>0</v>
      </c>
      <c r="P143" s="27" t="str">
        <f>IFERROR("("&amp;ROUND((SUMIF(Bets35[Date],L143,Bets35[Net])-SUMIF(Bets35[Date],L143,Bets35[Risk]))/SUMIF(Bets35[Date],L143,Bets35[Risk]),2)*100&amp;"%)","")</f>
        <v/>
      </c>
      <c r="Q143" s="72" t="str">
        <f t="shared" si="10"/>
        <v/>
      </c>
      <c r="R143" s="73" t="str">
        <f>IFERROR(SUMIF(Bets35[Date],"&lt;="&amp;L143,Bets35[Net])/SUMIF(Bets35[Date],"&lt;="&amp;L143,Bets35[Risk]),"")</f>
        <v/>
      </c>
    </row>
    <row r="144" spans="1:18" x14ac:dyDescent="0.25">
      <c r="A144" s="13">
        <f t="shared" si="8"/>
        <v>12</v>
      </c>
      <c r="B144" s="17">
        <v>43595</v>
      </c>
      <c r="C144" s="17" t="s">
        <v>802</v>
      </c>
      <c r="D144" s="18" t="s">
        <v>1225</v>
      </c>
      <c r="E144" s="11" t="s">
        <v>834</v>
      </c>
      <c r="F144" s="19">
        <f>IF(Bets35[[#This Row],[Odds]]&lt;0,Bets35[[#This Row],[Odds]]/-10,10)</f>
        <v>16</v>
      </c>
      <c r="G144" s="37">
        <v>-160</v>
      </c>
      <c r="H144" s="21" t="s">
        <v>262</v>
      </c>
      <c r="I144" s="45">
        <f>IF(Bets35[[#This Row],[Result]]="L",0-Bets35[[#This Row],[Risk]],IF(Bets35[[#This Row],[Result]]="Push",0,IF(Bets35[[#This Row],[Result]]="No Action",0,IF(Bets35[[#This Row],[Result]]="W",IF(Bets35[[#This Row],[Odds]]&gt;0,Bets35[[#This Row],[Odds]]/100*Bets35[[#This Row],[Risk]],(Bets35[[#This Row],[Risk]]/Bets35[[#This Row],[Odds]]*-100)),""))))</f>
        <v>10</v>
      </c>
      <c r="J144" s="39" t="str">
        <f>IF(ISNUMBER(SEARCH(CHAR(10),Bets35[[#This Row],[Bet]])),"P",IF(ISNUMBER(FIND("Under",Bets35[[#This Row],[Bet]])),"U",IF(ISNUMBER(SEARCH("Over",Bets35[[#This Row],[Bet]])),"O",IF(ISNUMBER(SEARCH("+",Bets35[[#This Row],[Bet]])),"D",IF(ISNUMBER(SEARCH("-",Bets35[[#This Row],[Bet]])),"F",IF(ISNUMBER(SEARCH("Moneyline",Bets35[[#This Row],[Bet]])),IF(Bets35[[#This Row],[Odds]]&lt;0,"MF","MD"),""))))))</f>
        <v>MF</v>
      </c>
      <c r="K144"/>
      <c r="L144" s="24">
        <f t="shared" si="9"/>
        <v>0</v>
      </c>
      <c r="M144" s="1" t="str">
        <f>COUNTIFS(Bets35[Date],L144,Bets35[Result],"W")&amp;"-"&amp;COUNTIFS(Bets35[Date],L144,Bets35[Result],"L")&amp;IF(COUNTIFS(Bets35[Date],L144,Bets35[Result],"Push")&gt;0,"-"&amp;COUNTIFS(Bets35[Date],L144,Bets35[Result],"Push"),"")</f>
        <v>0-0</v>
      </c>
      <c r="N144" s="25" t="str">
        <f>IFERROR(COUNTIFS(Bets35[Date],L144,Bets35[Result],"W")/(COUNTIFS(Bets35[Date],L144,Bets35[Result],"W")+COUNTIFS(Bets35[Date],L144,Bets35[Result],"L")),"")</f>
        <v/>
      </c>
      <c r="O144" s="26">
        <f>SUMIF(Bets35[Date],L144,Bets35[Net])</f>
        <v>0</v>
      </c>
      <c r="P144" s="27" t="str">
        <f>IFERROR("("&amp;ROUND((SUMIF(Bets35[Date],L144,Bets35[Net])-SUMIF(Bets35[Date],L144,Bets35[Risk]))/SUMIF(Bets35[Date],L144,Bets35[Risk]),2)*100&amp;"%)","")</f>
        <v/>
      </c>
      <c r="Q144" s="72" t="str">
        <f t="shared" si="10"/>
        <v/>
      </c>
      <c r="R144" s="73" t="str">
        <f>IFERROR(SUMIF(Bets35[Date],"&lt;="&amp;L144,Bets35[Net])/SUMIF(Bets35[Date],"&lt;="&amp;L144,Bets35[Risk]),"")</f>
        <v/>
      </c>
    </row>
    <row r="145" spans="1:18" x14ac:dyDescent="0.25">
      <c r="A145" s="13">
        <f t="shared" si="8"/>
        <v>12</v>
      </c>
      <c r="B145" s="17">
        <v>43595</v>
      </c>
      <c r="C145" s="17" t="s">
        <v>802</v>
      </c>
      <c r="D145" s="18" t="s">
        <v>1226</v>
      </c>
      <c r="E145" s="11" t="s">
        <v>1166</v>
      </c>
      <c r="F145" s="19">
        <f>IF(Bets35[[#This Row],[Odds]]&lt;0,Bets35[[#This Row],[Odds]]/-10,10)</f>
        <v>14</v>
      </c>
      <c r="G145" s="37">
        <v>-140</v>
      </c>
      <c r="H145" s="21" t="s">
        <v>262</v>
      </c>
      <c r="I145" s="45">
        <f>IF(Bets35[[#This Row],[Result]]="L",0-Bets35[[#This Row],[Risk]],IF(Bets35[[#This Row],[Result]]="Push",0,IF(Bets35[[#This Row],[Result]]="No Action",0,IF(Bets35[[#This Row],[Result]]="W",IF(Bets35[[#This Row],[Odds]]&gt;0,Bets35[[#This Row],[Odds]]/100*Bets35[[#This Row],[Risk]],(Bets35[[#This Row],[Risk]]/Bets35[[#This Row],[Odds]]*-100)),""))))</f>
        <v>10</v>
      </c>
      <c r="J145" s="39" t="str">
        <f>IF(ISNUMBER(SEARCH(CHAR(10),Bets35[[#This Row],[Bet]])),"P",IF(ISNUMBER(FIND("Under",Bets35[[#This Row],[Bet]])),"U",IF(ISNUMBER(SEARCH("Over",Bets35[[#This Row],[Bet]])),"O",IF(ISNUMBER(SEARCH("+",Bets35[[#This Row],[Bet]])),"D",IF(ISNUMBER(SEARCH("-",Bets35[[#This Row],[Bet]])),"F",IF(ISNUMBER(SEARCH("Moneyline",Bets35[[#This Row],[Bet]])),IF(Bets35[[#This Row],[Odds]]&lt;0,"MF","MD"),""))))))</f>
        <v>MF</v>
      </c>
      <c r="K145"/>
      <c r="L145" s="24">
        <f t="shared" si="9"/>
        <v>0</v>
      </c>
      <c r="M145" s="1" t="str">
        <f>COUNTIFS(Bets35[Date],L145,Bets35[Result],"W")&amp;"-"&amp;COUNTIFS(Bets35[Date],L145,Bets35[Result],"L")&amp;IF(COUNTIFS(Bets35[Date],L145,Bets35[Result],"Push")&gt;0,"-"&amp;COUNTIFS(Bets35[Date],L145,Bets35[Result],"Push"),"")</f>
        <v>0-0</v>
      </c>
      <c r="N145" s="25" t="str">
        <f>IFERROR(COUNTIFS(Bets35[Date],L145,Bets35[Result],"W")/(COUNTIFS(Bets35[Date],L145,Bets35[Result],"W")+COUNTIFS(Bets35[Date],L145,Bets35[Result],"L")),"")</f>
        <v/>
      </c>
      <c r="O145" s="26">
        <f>SUMIF(Bets35[Date],L145,Bets35[Net])</f>
        <v>0</v>
      </c>
      <c r="P145" s="27" t="str">
        <f>IFERROR("("&amp;ROUND((SUMIF(Bets35[Date],L145,Bets35[Net])-SUMIF(Bets35[Date],L145,Bets35[Risk]))/SUMIF(Bets35[Date],L145,Bets35[Risk]),2)*100&amp;"%)","")</f>
        <v/>
      </c>
      <c r="Q145" s="72" t="str">
        <f t="shared" si="10"/>
        <v/>
      </c>
      <c r="R145" s="73" t="str">
        <f>IFERROR(SUMIF(Bets35[Date],"&lt;="&amp;L145,Bets35[Net])/SUMIF(Bets35[Date],"&lt;="&amp;L145,Bets35[Risk]),"")</f>
        <v/>
      </c>
    </row>
    <row r="146" spans="1:18" x14ac:dyDescent="0.25">
      <c r="A146" s="13">
        <f t="shared" si="8"/>
        <v>12</v>
      </c>
      <c r="B146" s="17">
        <v>43595</v>
      </c>
      <c r="C146" s="17" t="s">
        <v>802</v>
      </c>
      <c r="D146" s="18" t="s">
        <v>1227</v>
      </c>
      <c r="E146" s="11" t="s">
        <v>931</v>
      </c>
      <c r="F146" s="19">
        <f>IF(Bets35[[#This Row],[Odds]]&lt;0,Bets35[[#This Row],[Odds]]/-10,10)</f>
        <v>10.5</v>
      </c>
      <c r="G146" s="37">
        <v>-105</v>
      </c>
      <c r="H146" s="21" t="s">
        <v>263</v>
      </c>
      <c r="I146" s="45">
        <f>IF(Bets35[[#This Row],[Result]]="L",0-Bets35[[#This Row],[Risk]],IF(Bets35[[#This Row],[Result]]="Push",0,IF(Bets35[[#This Row],[Result]]="No Action",0,IF(Bets35[[#This Row],[Result]]="W",IF(Bets35[[#This Row],[Odds]]&gt;0,Bets35[[#This Row],[Odds]]/100*Bets35[[#This Row],[Risk]],(Bets35[[#This Row],[Risk]]/Bets35[[#This Row],[Odds]]*-100)),""))))</f>
        <v>-10.5</v>
      </c>
      <c r="J146" s="39" t="str">
        <f>IF(ISNUMBER(SEARCH(CHAR(10),Bets35[[#This Row],[Bet]])),"P",IF(ISNUMBER(FIND("Under",Bets35[[#This Row],[Bet]])),"U",IF(ISNUMBER(SEARCH("Over",Bets35[[#This Row],[Bet]])),"O",IF(ISNUMBER(SEARCH("+",Bets35[[#This Row],[Bet]])),"D",IF(ISNUMBER(SEARCH("-",Bets35[[#This Row],[Bet]])),"F",IF(ISNUMBER(SEARCH("Moneyline",Bets35[[#This Row],[Bet]])),IF(Bets35[[#This Row],[Odds]]&lt;0,"MF","MD"),""))))))</f>
        <v>O</v>
      </c>
      <c r="K146"/>
      <c r="L146" s="24">
        <f t="shared" si="9"/>
        <v>0</v>
      </c>
      <c r="M146" s="1" t="str">
        <f>COUNTIFS(Bets35[Date],L146,Bets35[Result],"W")&amp;"-"&amp;COUNTIFS(Bets35[Date],L146,Bets35[Result],"L")&amp;IF(COUNTIFS(Bets35[Date],L146,Bets35[Result],"Push")&gt;0,"-"&amp;COUNTIFS(Bets35[Date],L146,Bets35[Result],"Push"),"")</f>
        <v>0-0</v>
      </c>
      <c r="N146" s="25" t="str">
        <f>IFERROR(COUNTIFS(Bets35[Date],L146,Bets35[Result],"W")/(COUNTIFS(Bets35[Date],L146,Bets35[Result],"W")+COUNTIFS(Bets35[Date],L146,Bets35[Result],"L")),"")</f>
        <v/>
      </c>
      <c r="O146" s="26">
        <f>SUMIF(Bets35[Date],L146,Bets35[Net])</f>
        <v>0</v>
      </c>
      <c r="P146" s="27" t="str">
        <f>IFERROR("("&amp;ROUND((SUMIF(Bets35[Date],L146,Bets35[Net])-SUMIF(Bets35[Date],L146,Bets35[Risk]))/SUMIF(Bets35[Date],L146,Bets35[Risk]),2)*100&amp;"%)","")</f>
        <v/>
      </c>
      <c r="Q146" s="72" t="str">
        <f t="shared" si="10"/>
        <v/>
      </c>
      <c r="R146" s="73" t="str">
        <f>IFERROR(SUMIF(Bets35[Date],"&lt;="&amp;L146,Bets35[Net])/SUMIF(Bets35[Date],"&lt;="&amp;L146,Bets35[Risk]),"")</f>
        <v/>
      </c>
    </row>
    <row r="147" spans="1:18" x14ac:dyDescent="0.25">
      <c r="A147" s="13">
        <f t="shared" si="8"/>
        <v>12</v>
      </c>
      <c r="B147" s="17">
        <v>43595</v>
      </c>
      <c r="C147" s="17" t="s">
        <v>802</v>
      </c>
      <c r="D147" s="18" t="s">
        <v>1228</v>
      </c>
      <c r="E147" s="11" t="s">
        <v>845</v>
      </c>
      <c r="F147" s="19">
        <f>IF(Bets35[[#This Row],[Odds]]&lt;0,Bets35[[#This Row],[Odds]]/-10,10)</f>
        <v>10.5</v>
      </c>
      <c r="G147" s="37">
        <v>-105</v>
      </c>
      <c r="H147" s="21" t="s">
        <v>263</v>
      </c>
      <c r="I147" s="45">
        <f>IF(Bets35[[#This Row],[Result]]="L",0-Bets35[[#This Row],[Risk]],IF(Bets35[[#This Row],[Result]]="Push",0,IF(Bets35[[#This Row],[Result]]="No Action",0,IF(Bets35[[#This Row],[Result]]="W",IF(Bets35[[#This Row],[Odds]]&gt;0,Bets35[[#This Row],[Odds]]/100*Bets35[[#This Row],[Risk]],(Bets35[[#This Row],[Risk]]/Bets35[[#This Row],[Odds]]*-100)),""))))</f>
        <v>-10.5</v>
      </c>
      <c r="J147" s="39" t="str">
        <f>IF(ISNUMBER(SEARCH(CHAR(10),Bets35[[#This Row],[Bet]])),"P",IF(ISNUMBER(FIND("Under",Bets35[[#This Row],[Bet]])),"U",IF(ISNUMBER(SEARCH("Over",Bets35[[#This Row],[Bet]])),"O",IF(ISNUMBER(SEARCH("+",Bets35[[#This Row],[Bet]])),"D",IF(ISNUMBER(SEARCH("-",Bets35[[#This Row],[Bet]])),"F",IF(ISNUMBER(SEARCH("Moneyline",Bets35[[#This Row],[Bet]])),IF(Bets35[[#This Row],[Odds]]&lt;0,"MF","MD"),""))))))</f>
        <v>O</v>
      </c>
      <c r="K147"/>
      <c r="L147" s="24">
        <f t="shared" si="9"/>
        <v>0</v>
      </c>
      <c r="M147" s="1" t="str">
        <f>COUNTIFS(Bets35[Date],L147,Bets35[Result],"W")&amp;"-"&amp;COUNTIFS(Bets35[Date],L147,Bets35[Result],"L")&amp;IF(COUNTIFS(Bets35[Date],L147,Bets35[Result],"Push")&gt;0,"-"&amp;COUNTIFS(Bets35[Date],L147,Bets35[Result],"Push"),"")</f>
        <v>0-0</v>
      </c>
      <c r="N147" s="25" t="str">
        <f>IFERROR(COUNTIFS(Bets35[Date],L147,Bets35[Result],"W")/(COUNTIFS(Bets35[Date],L147,Bets35[Result],"W")+COUNTIFS(Bets35[Date],L147,Bets35[Result],"L")),"")</f>
        <v/>
      </c>
      <c r="O147" s="26">
        <f>SUMIF(Bets35[Date],L147,Bets35[Net])</f>
        <v>0</v>
      </c>
      <c r="P147" s="27" t="str">
        <f>IFERROR("("&amp;ROUND((SUMIF(Bets35[Date],L147,Bets35[Net])-SUMIF(Bets35[Date],L147,Bets35[Risk]))/SUMIF(Bets35[Date],L147,Bets35[Risk]),2)*100&amp;"%)","")</f>
        <v/>
      </c>
      <c r="Q147" s="72" t="str">
        <f t="shared" si="10"/>
        <v/>
      </c>
      <c r="R147" s="73" t="str">
        <f>IFERROR(SUMIF(Bets35[Date],"&lt;="&amp;L147,Bets35[Net])/SUMIF(Bets35[Date],"&lt;="&amp;L147,Bets35[Risk]),"")</f>
        <v/>
      </c>
    </row>
    <row r="148" spans="1:18" x14ac:dyDescent="0.25">
      <c r="A148" s="13">
        <f t="shared" si="8"/>
        <v>12</v>
      </c>
      <c r="B148" s="17">
        <v>43595</v>
      </c>
      <c r="C148" s="17" t="s">
        <v>802</v>
      </c>
      <c r="D148" s="18" t="s">
        <v>1229</v>
      </c>
      <c r="E148" s="11" t="s">
        <v>1209</v>
      </c>
      <c r="F148" s="19">
        <f>IF(Bets35[[#This Row],[Odds]]&lt;0,Bets35[[#This Row],[Odds]]/-10,10)</f>
        <v>11.5</v>
      </c>
      <c r="G148" s="37">
        <v>-115</v>
      </c>
      <c r="H148" s="21" t="s">
        <v>263</v>
      </c>
      <c r="I148" s="45">
        <f>IF(Bets35[[#This Row],[Result]]="L",0-Bets35[[#This Row],[Risk]],IF(Bets35[[#This Row],[Result]]="Push",0,IF(Bets35[[#This Row],[Result]]="No Action",0,IF(Bets35[[#This Row],[Result]]="W",IF(Bets35[[#This Row],[Odds]]&gt;0,Bets35[[#This Row],[Odds]]/100*Bets35[[#This Row],[Risk]],(Bets35[[#This Row],[Risk]]/Bets35[[#This Row],[Odds]]*-100)),""))))</f>
        <v>-11.5</v>
      </c>
      <c r="J148" s="39" t="str">
        <f>IF(ISNUMBER(SEARCH(CHAR(10),Bets35[[#This Row],[Bet]])),"P",IF(ISNUMBER(FIND("Under",Bets35[[#This Row],[Bet]])),"U",IF(ISNUMBER(SEARCH("Over",Bets35[[#This Row],[Bet]])),"O",IF(ISNUMBER(SEARCH("+",Bets35[[#This Row],[Bet]])),"D",IF(ISNUMBER(SEARCH("-",Bets35[[#This Row],[Bet]])),"F",IF(ISNUMBER(SEARCH("Moneyline",Bets35[[#This Row],[Bet]])),IF(Bets35[[#This Row],[Odds]]&lt;0,"MF","MD"),""))))))</f>
        <v>U</v>
      </c>
      <c r="K148"/>
      <c r="L148" s="24">
        <f t="shared" si="9"/>
        <v>0</v>
      </c>
      <c r="M148" s="1" t="str">
        <f>COUNTIFS(Bets35[Date],L148,Bets35[Result],"W")&amp;"-"&amp;COUNTIFS(Bets35[Date],L148,Bets35[Result],"L")&amp;IF(COUNTIFS(Bets35[Date],L148,Bets35[Result],"Push")&gt;0,"-"&amp;COUNTIFS(Bets35[Date],L148,Bets35[Result],"Push"),"")</f>
        <v>0-0</v>
      </c>
      <c r="N148" s="25" t="str">
        <f>IFERROR(COUNTIFS(Bets35[Date],L148,Bets35[Result],"W")/(COUNTIFS(Bets35[Date],L148,Bets35[Result],"W")+COUNTIFS(Bets35[Date],L148,Bets35[Result],"L")),"")</f>
        <v/>
      </c>
      <c r="O148" s="26">
        <f>SUMIF(Bets35[Date],L148,Bets35[Net])</f>
        <v>0</v>
      </c>
      <c r="P148" s="27" t="str">
        <f>IFERROR("("&amp;ROUND((SUMIF(Bets35[Date],L148,Bets35[Net])-SUMIF(Bets35[Date],L148,Bets35[Risk]))/SUMIF(Bets35[Date],L148,Bets35[Risk]),2)*100&amp;"%)","")</f>
        <v/>
      </c>
      <c r="Q148" s="72" t="str">
        <f t="shared" si="10"/>
        <v/>
      </c>
      <c r="R148" s="73" t="str">
        <f>IFERROR(SUMIF(Bets35[Date],"&lt;="&amp;L148,Bets35[Net])/SUMIF(Bets35[Date],"&lt;="&amp;L148,Bets35[Risk]),"")</f>
        <v/>
      </c>
    </row>
    <row r="149" spans="1:18" x14ac:dyDescent="0.25">
      <c r="A149" s="13">
        <f t="shared" si="8"/>
        <v>12</v>
      </c>
      <c r="B149" s="17">
        <v>43595</v>
      </c>
      <c r="C149" s="17" t="s">
        <v>802</v>
      </c>
      <c r="D149" s="18" t="s">
        <v>1215</v>
      </c>
      <c r="E149" s="11" t="s">
        <v>845</v>
      </c>
      <c r="F149" s="19">
        <f>IF(Bets35[[#This Row],[Odds]]&lt;0,Bets35[[#This Row],[Odds]]/-10,10)</f>
        <v>10</v>
      </c>
      <c r="G149" s="37">
        <v>100</v>
      </c>
      <c r="H149" s="21" t="s">
        <v>263</v>
      </c>
      <c r="I149" s="45">
        <f>IF(Bets35[[#This Row],[Result]]="L",0-Bets35[[#This Row],[Risk]],IF(Bets35[[#This Row],[Result]]="Push",0,IF(Bets35[[#This Row],[Result]]="No Action",0,IF(Bets35[[#This Row],[Result]]="W",IF(Bets35[[#This Row],[Odds]]&gt;0,Bets35[[#This Row],[Odds]]/100*Bets35[[#This Row],[Risk]],(Bets35[[#This Row],[Risk]]/Bets35[[#This Row],[Odds]]*-100)),""))))</f>
        <v>-10</v>
      </c>
      <c r="J149" s="39" t="str">
        <f>IF(ISNUMBER(SEARCH(CHAR(10),Bets35[[#This Row],[Bet]])),"P",IF(ISNUMBER(FIND("Under",Bets35[[#This Row],[Bet]])),"U",IF(ISNUMBER(SEARCH("Over",Bets35[[#This Row],[Bet]])),"O",IF(ISNUMBER(SEARCH("+",Bets35[[#This Row],[Bet]])),"D",IF(ISNUMBER(SEARCH("-",Bets35[[#This Row],[Bet]])),"F",IF(ISNUMBER(SEARCH("Moneyline",Bets35[[#This Row],[Bet]])),IF(Bets35[[#This Row],[Odds]]&lt;0,"MF","MD"),""))))))</f>
        <v>O</v>
      </c>
      <c r="K149"/>
      <c r="L149" s="24">
        <f t="shared" si="9"/>
        <v>0</v>
      </c>
      <c r="M149" s="1" t="str">
        <f>COUNTIFS(Bets35[Date],L149,Bets35[Result],"W")&amp;"-"&amp;COUNTIFS(Bets35[Date],L149,Bets35[Result],"L")&amp;IF(COUNTIFS(Bets35[Date],L149,Bets35[Result],"Push")&gt;0,"-"&amp;COUNTIFS(Bets35[Date],L149,Bets35[Result],"Push"),"")</f>
        <v>0-0</v>
      </c>
      <c r="N149" s="25" t="str">
        <f>IFERROR(COUNTIFS(Bets35[Date],L149,Bets35[Result],"W")/(COUNTIFS(Bets35[Date],L149,Bets35[Result],"W")+COUNTIFS(Bets35[Date],L149,Bets35[Result],"L")),"")</f>
        <v/>
      </c>
      <c r="O149" s="26">
        <f>SUMIF(Bets35[Date],L149,Bets35[Net])</f>
        <v>0</v>
      </c>
      <c r="P149" s="27" t="str">
        <f>IFERROR("("&amp;ROUND((SUMIF(Bets35[Date],L149,Bets35[Net])-SUMIF(Bets35[Date],L149,Bets35[Risk]))/SUMIF(Bets35[Date],L149,Bets35[Risk]),2)*100&amp;"%)","")</f>
        <v/>
      </c>
      <c r="Q149" s="72" t="str">
        <f t="shared" si="10"/>
        <v/>
      </c>
      <c r="R149" s="73" t="str">
        <f>IFERROR(SUMIF(Bets35[Date],"&lt;="&amp;L149,Bets35[Net])/SUMIF(Bets35[Date],"&lt;="&amp;L149,Bets35[Risk]),"")</f>
        <v/>
      </c>
    </row>
    <row r="150" spans="1:18" x14ac:dyDescent="0.25">
      <c r="A150" s="13">
        <f t="shared" si="8"/>
        <v>12</v>
      </c>
      <c r="B150" s="17">
        <v>43595</v>
      </c>
      <c r="C150" s="17" t="s">
        <v>802</v>
      </c>
      <c r="D150" s="18" t="s">
        <v>1217</v>
      </c>
      <c r="E150" s="11" t="s">
        <v>931</v>
      </c>
      <c r="F150" s="19">
        <f>IF(Bets35[[#This Row],[Odds]]&lt;0,Bets35[[#This Row],[Odds]]/-10,10)</f>
        <v>12</v>
      </c>
      <c r="G150" s="37">
        <v>-120</v>
      </c>
      <c r="H150" s="21" t="s">
        <v>263</v>
      </c>
      <c r="I150" s="45">
        <f>IF(Bets35[[#This Row],[Result]]="L",0-Bets35[[#This Row],[Risk]],IF(Bets35[[#This Row],[Result]]="Push",0,IF(Bets35[[#This Row],[Result]]="No Action",0,IF(Bets35[[#This Row],[Result]]="W",IF(Bets35[[#This Row],[Odds]]&gt;0,Bets35[[#This Row],[Odds]]/100*Bets35[[#This Row],[Risk]],(Bets35[[#This Row],[Risk]]/Bets35[[#This Row],[Odds]]*-100)),""))))</f>
        <v>-12</v>
      </c>
      <c r="J150" s="39" t="str">
        <f>IF(ISNUMBER(SEARCH(CHAR(10),Bets35[[#This Row],[Bet]])),"P",IF(ISNUMBER(FIND("Under",Bets35[[#This Row],[Bet]])),"U",IF(ISNUMBER(SEARCH("Over",Bets35[[#This Row],[Bet]])),"O",IF(ISNUMBER(SEARCH("+",Bets35[[#This Row],[Bet]])),"D",IF(ISNUMBER(SEARCH("-",Bets35[[#This Row],[Bet]])),"F",IF(ISNUMBER(SEARCH("Moneyline",Bets35[[#This Row],[Bet]])),IF(Bets35[[#This Row],[Odds]]&lt;0,"MF","MD"),""))))))</f>
        <v>O</v>
      </c>
      <c r="K150"/>
      <c r="L150" s="24">
        <f t="shared" si="9"/>
        <v>0</v>
      </c>
      <c r="M150" s="1" t="str">
        <f>COUNTIFS(Bets35[Date],L150,Bets35[Result],"W")&amp;"-"&amp;COUNTIFS(Bets35[Date],L150,Bets35[Result],"L")&amp;IF(COUNTIFS(Bets35[Date],L150,Bets35[Result],"Push")&gt;0,"-"&amp;COUNTIFS(Bets35[Date],L150,Bets35[Result],"Push"),"")</f>
        <v>0-0</v>
      </c>
      <c r="N150" s="25" t="str">
        <f>IFERROR(COUNTIFS(Bets35[Date],L150,Bets35[Result],"W")/(COUNTIFS(Bets35[Date],L150,Bets35[Result],"W")+COUNTIFS(Bets35[Date],L150,Bets35[Result],"L")),"")</f>
        <v/>
      </c>
      <c r="O150" s="26">
        <f>SUMIF(Bets35[Date],L150,Bets35[Net])</f>
        <v>0</v>
      </c>
      <c r="P150" s="27" t="str">
        <f>IFERROR("("&amp;ROUND((SUMIF(Bets35[Date],L150,Bets35[Net])-SUMIF(Bets35[Date],L150,Bets35[Risk]))/SUMIF(Bets35[Date],L150,Bets35[Risk]),2)*100&amp;"%)","")</f>
        <v/>
      </c>
      <c r="Q150" s="72" t="str">
        <f t="shared" si="10"/>
        <v/>
      </c>
      <c r="R150" s="73" t="str">
        <f>IFERROR(SUMIF(Bets35[Date],"&lt;="&amp;L150,Bets35[Net])/SUMIF(Bets35[Date],"&lt;="&amp;L150,Bets35[Risk]),"")</f>
        <v/>
      </c>
    </row>
    <row r="151" spans="1:18" x14ac:dyDescent="0.25">
      <c r="A151" s="13">
        <f t="shared" si="8"/>
        <v>13</v>
      </c>
      <c r="B151" s="17">
        <v>43598</v>
      </c>
      <c r="C151" s="17" t="s">
        <v>802</v>
      </c>
      <c r="D151" s="18" t="s">
        <v>1239</v>
      </c>
      <c r="E151" s="11" t="s">
        <v>845</v>
      </c>
      <c r="F151" s="19">
        <f>IF(Bets35[[#This Row],[Odds]]&lt;0,Bets35[[#This Row],[Odds]]/-10,10)</f>
        <v>10</v>
      </c>
      <c r="G151" s="37">
        <v>100</v>
      </c>
      <c r="H151" s="21" t="s">
        <v>262</v>
      </c>
      <c r="I151" s="45">
        <f>IF(Bets35[[#This Row],[Result]]="L",0-Bets35[[#This Row],[Risk]],IF(Bets35[[#This Row],[Result]]="Push",0,IF(Bets35[[#This Row],[Result]]="No Action",0,IF(Bets35[[#This Row],[Result]]="W",IF(Bets35[[#This Row],[Odds]]&gt;0,Bets35[[#This Row],[Odds]]/100*Bets35[[#This Row],[Risk]],(Bets35[[#This Row],[Risk]]/Bets35[[#This Row],[Odds]]*-100)),""))))</f>
        <v>10</v>
      </c>
      <c r="J151" s="39" t="str">
        <f>IF(ISNUMBER(SEARCH(CHAR(10),Bets35[[#This Row],[Bet]])),"P",IF(ISNUMBER(FIND("Under",Bets35[[#This Row],[Bet]])),"U",IF(ISNUMBER(SEARCH("Over",Bets35[[#This Row],[Bet]])),"O",IF(ISNUMBER(SEARCH("+",Bets35[[#This Row],[Bet]])),"D",IF(ISNUMBER(SEARCH("-",Bets35[[#This Row],[Bet]])),"F",IF(ISNUMBER(SEARCH("Moneyline",Bets35[[#This Row],[Bet]])),IF(Bets35[[#This Row],[Odds]]&lt;0,"MF","MD"),""))))))</f>
        <v>O</v>
      </c>
      <c r="K151"/>
      <c r="L151" s="24">
        <f t="shared" si="9"/>
        <v>0</v>
      </c>
      <c r="M151" s="1" t="str">
        <f>COUNTIFS(Bets35[Date],L151,Bets35[Result],"W")&amp;"-"&amp;COUNTIFS(Bets35[Date],L151,Bets35[Result],"L")&amp;IF(COUNTIFS(Bets35[Date],L151,Bets35[Result],"Push")&gt;0,"-"&amp;COUNTIFS(Bets35[Date],L151,Bets35[Result],"Push"),"")</f>
        <v>0-0</v>
      </c>
      <c r="N151" s="25" t="str">
        <f>IFERROR(COUNTIFS(Bets35[Date],L151,Bets35[Result],"W")/(COUNTIFS(Bets35[Date],L151,Bets35[Result],"W")+COUNTIFS(Bets35[Date],L151,Bets35[Result],"L")),"")</f>
        <v/>
      </c>
      <c r="O151" s="26">
        <f>SUMIF(Bets35[Date],L151,Bets35[Net])</f>
        <v>0</v>
      </c>
      <c r="P151" s="27" t="str">
        <f>IFERROR("("&amp;ROUND((SUMIF(Bets35[Date],L151,Bets35[Net])-SUMIF(Bets35[Date],L151,Bets35[Risk]))/SUMIF(Bets35[Date],L151,Bets35[Risk]),2)*100&amp;"%)","")</f>
        <v/>
      </c>
      <c r="Q151" s="72" t="str">
        <f t="shared" si="10"/>
        <v/>
      </c>
      <c r="R151" s="73" t="str">
        <f>IFERROR(SUMIF(Bets35[Date],"&lt;="&amp;L151,Bets35[Net])/SUMIF(Bets35[Date],"&lt;="&amp;L151,Bets35[Risk]),"")</f>
        <v/>
      </c>
    </row>
    <row r="152" spans="1:18" x14ac:dyDescent="0.25">
      <c r="A152" s="13">
        <f t="shared" si="8"/>
        <v>13</v>
      </c>
      <c r="B152" s="17">
        <v>43598</v>
      </c>
      <c r="C152" s="17" t="s">
        <v>802</v>
      </c>
      <c r="D152" s="18" t="s">
        <v>1240</v>
      </c>
      <c r="E152" s="11" t="s">
        <v>897</v>
      </c>
      <c r="F152" s="19">
        <f>IF(Bets35[[#This Row],[Odds]]&lt;0,Bets35[[#This Row],[Odds]]/-10,10)</f>
        <v>15.7</v>
      </c>
      <c r="G152" s="37">
        <v>-157</v>
      </c>
      <c r="H152" s="21" t="s">
        <v>262</v>
      </c>
      <c r="I152" s="45">
        <f>IF(Bets35[[#This Row],[Result]]="L",0-Bets35[[#This Row],[Risk]],IF(Bets35[[#This Row],[Result]]="Push",0,IF(Bets35[[#This Row],[Result]]="No Action",0,IF(Bets35[[#This Row],[Result]]="W",IF(Bets35[[#This Row],[Odds]]&gt;0,Bets35[[#This Row],[Odds]]/100*Bets35[[#This Row],[Risk]],(Bets35[[#This Row],[Risk]]/Bets35[[#This Row],[Odds]]*-100)),""))))</f>
        <v>10</v>
      </c>
      <c r="J152" s="39" t="str">
        <f>IF(ISNUMBER(SEARCH(CHAR(10),Bets35[[#This Row],[Bet]])),"P",IF(ISNUMBER(FIND("Under",Bets35[[#This Row],[Bet]])),"U",IF(ISNUMBER(SEARCH("Over",Bets35[[#This Row],[Bet]])),"O",IF(ISNUMBER(SEARCH("+",Bets35[[#This Row],[Bet]])),"D",IF(ISNUMBER(SEARCH("-",Bets35[[#This Row],[Bet]])),"F",IF(ISNUMBER(SEARCH("Moneyline",Bets35[[#This Row],[Bet]])),IF(Bets35[[#This Row],[Odds]]&lt;0,"MF","MD"),""))))))</f>
        <v>MF</v>
      </c>
      <c r="K152"/>
      <c r="L152" s="24">
        <f t="shared" si="9"/>
        <v>0</v>
      </c>
      <c r="M152" s="1" t="str">
        <f>COUNTIFS(Bets35[Date],L152,Bets35[Result],"W")&amp;"-"&amp;COUNTIFS(Bets35[Date],L152,Bets35[Result],"L")&amp;IF(COUNTIFS(Bets35[Date],L152,Bets35[Result],"Push")&gt;0,"-"&amp;COUNTIFS(Bets35[Date],L152,Bets35[Result],"Push"),"")</f>
        <v>0-0</v>
      </c>
      <c r="N152" s="25" t="str">
        <f>IFERROR(COUNTIFS(Bets35[Date],L152,Bets35[Result],"W")/(COUNTIFS(Bets35[Date],L152,Bets35[Result],"W")+COUNTIFS(Bets35[Date],L152,Bets35[Result],"L")),"")</f>
        <v/>
      </c>
      <c r="O152" s="26">
        <f>SUMIF(Bets35[Date],L152,Bets35[Net])</f>
        <v>0</v>
      </c>
      <c r="P152" s="27" t="str">
        <f>IFERROR("("&amp;ROUND((SUMIF(Bets35[Date],L152,Bets35[Net])-SUMIF(Bets35[Date],L152,Bets35[Risk]))/SUMIF(Bets35[Date],L152,Bets35[Risk]),2)*100&amp;"%)","")</f>
        <v/>
      </c>
      <c r="Q152" s="72" t="str">
        <f t="shared" si="10"/>
        <v/>
      </c>
      <c r="R152" s="73" t="str">
        <f>IFERROR(SUMIF(Bets35[Date],"&lt;="&amp;L152,Bets35[Net])/SUMIF(Bets35[Date],"&lt;="&amp;L152,Bets35[Risk]),"")</f>
        <v/>
      </c>
    </row>
    <row r="153" spans="1:18" x14ac:dyDescent="0.25">
      <c r="A153" s="13">
        <f t="shared" si="8"/>
        <v>13</v>
      </c>
      <c r="B153" s="17">
        <v>43598</v>
      </c>
      <c r="C153" s="17" t="s">
        <v>802</v>
      </c>
      <c r="D153" s="18" t="s">
        <v>1240</v>
      </c>
      <c r="E153" s="11" t="s">
        <v>877</v>
      </c>
      <c r="F153" s="19">
        <f>IF(Bets35[[#This Row],[Odds]]&lt;0,Bets35[[#This Row],[Odds]]/-10,10)</f>
        <v>10.5</v>
      </c>
      <c r="G153" s="37">
        <v>-105</v>
      </c>
      <c r="H153" s="21" t="s">
        <v>263</v>
      </c>
      <c r="I153" s="45">
        <f>IF(Bets35[[#This Row],[Result]]="L",0-Bets35[[#This Row],[Risk]],IF(Bets35[[#This Row],[Result]]="Push",0,IF(Bets35[[#This Row],[Result]]="No Action",0,IF(Bets35[[#This Row],[Result]]="W",IF(Bets35[[#This Row],[Odds]]&gt;0,Bets35[[#This Row],[Odds]]/100*Bets35[[#This Row],[Risk]],(Bets35[[#This Row],[Risk]]/Bets35[[#This Row],[Odds]]*-100)),""))))</f>
        <v>-10.5</v>
      </c>
      <c r="J153" s="39" t="str">
        <f>IF(ISNUMBER(SEARCH(CHAR(10),Bets35[[#This Row],[Bet]])),"P",IF(ISNUMBER(FIND("Under",Bets35[[#This Row],[Bet]])),"U",IF(ISNUMBER(SEARCH("Over",Bets35[[#This Row],[Bet]])),"O",IF(ISNUMBER(SEARCH("+",Bets35[[#This Row],[Bet]])),"D",IF(ISNUMBER(SEARCH("-",Bets35[[#This Row],[Bet]])),"F",IF(ISNUMBER(SEARCH("Moneyline",Bets35[[#This Row],[Bet]])),IF(Bets35[[#This Row],[Odds]]&lt;0,"MF","MD"),""))))))</f>
        <v>U</v>
      </c>
      <c r="K153"/>
      <c r="L153" s="24">
        <f t="shared" si="9"/>
        <v>0</v>
      </c>
      <c r="M153" s="1" t="str">
        <f>COUNTIFS(Bets35[Date],L153,Bets35[Result],"W")&amp;"-"&amp;COUNTIFS(Bets35[Date],L153,Bets35[Result],"L")&amp;IF(COUNTIFS(Bets35[Date],L153,Bets35[Result],"Push")&gt;0,"-"&amp;COUNTIFS(Bets35[Date],L153,Bets35[Result],"Push"),"")</f>
        <v>0-0</v>
      </c>
      <c r="N153" s="25" t="str">
        <f>IFERROR(COUNTIFS(Bets35[Date],L153,Bets35[Result],"W")/(COUNTIFS(Bets35[Date],L153,Bets35[Result],"W")+COUNTIFS(Bets35[Date],L153,Bets35[Result],"L")),"")</f>
        <v/>
      </c>
      <c r="O153" s="26">
        <f>SUMIF(Bets35[Date],L153,Bets35[Net])</f>
        <v>0</v>
      </c>
      <c r="P153" s="27" t="str">
        <f>IFERROR("("&amp;ROUND((SUMIF(Bets35[Date],L153,Bets35[Net])-SUMIF(Bets35[Date],L153,Bets35[Risk]))/SUMIF(Bets35[Date],L153,Bets35[Risk]),2)*100&amp;"%)","")</f>
        <v/>
      </c>
      <c r="Q153" s="72" t="str">
        <f t="shared" si="10"/>
        <v/>
      </c>
      <c r="R153" s="73" t="str">
        <f>IFERROR(SUMIF(Bets35[Date],"&lt;="&amp;L153,Bets35[Net])/SUMIF(Bets35[Date],"&lt;="&amp;L153,Bets35[Risk]),"")</f>
        <v/>
      </c>
    </row>
    <row r="154" spans="1:18" x14ac:dyDescent="0.25">
      <c r="A154" s="13">
        <f t="shared" si="8"/>
        <v>13</v>
      </c>
      <c r="B154" s="17">
        <v>43598</v>
      </c>
      <c r="C154" s="17" t="s">
        <v>802</v>
      </c>
      <c r="D154" s="18" t="s">
        <v>1241</v>
      </c>
      <c r="E154" s="11" t="s">
        <v>1178</v>
      </c>
      <c r="F154" s="19">
        <f>IF(Bets35[[#This Row],[Odds]]&lt;0,Bets35[[#This Row],[Odds]]/-10,10)</f>
        <v>13.9</v>
      </c>
      <c r="G154" s="37">
        <v>-139</v>
      </c>
      <c r="H154" s="21" t="s">
        <v>263</v>
      </c>
      <c r="I154" s="45">
        <f>IF(Bets35[[#This Row],[Result]]="L",0-Bets35[[#This Row],[Risk]],IF(Bets35[[#This Row],[Result]]="Push",0,IF(Bets35[[#This Row],[Result]]="No Action",0,IF(Bets35[[#This Row],[Result]]="W",IF(Bets35[[#This Row],[Odds]]&gt;0,Bets35[[#This Row],[Odds]]/100*Bets35[[#This Row],[Risk]],(Bets35[[#This Row],[Risk]]/Bets35[[#This Row],[Odds]]*-100)),""))))</f>
        <v>-13.9</v>
      </c>
      <c r="J154" s="39" t="str">
        <f>IF(ISNUMBER(SEARCH(CHAR(10),Bets35[[#This Row],[Bet]])),"P",IF(ISNUMBER(FIND("Under",Bets35[[#This Row],[Bet]])),"U",IF(ISNUMBER(SEARCH("Over",Bets35[[#This Row],[Bet]])),"O",IF(ISNUMBER(SEARCH("+",Bets35[[#This Row],[Bet]])),"D",IF(ISNUMBER(SEARCH("-",Bets35[[#This Row],[Bet]])),"F",IF(ISNUMBER(SEARCH("Moneyline",Bets35[[#This Row],[Bet]])),IF(Bets35[[#This Row],[Odds]]&lt;0,"MF","MD"),""))))))</f>
        <v>MF</v>
      </c>
      <c r="K154"/>
      <c r="L154" s="24">
        <f t="shared" si="9"/>
        <v>0</v>
      </c>
      <c r="M154" s="1" t="str">
        <f>COUNTIFS(Bets35[Date],L154,Bets35[Result],"W")&amp;"-"&amp;COUNTIFS(Bets35[Date],L154,Bets35[Result],"L")&amp;IF(COUNTIFS(Bets35[Date],L154,Bets35[Result],"Push")&gt;0,"-"&amp;COUNTIFS(Bets35[Date],L154,Bets35[Result],"Push"),"")</f>
        <v>0-0</v>
      </c>
      <c r="N154" s="25" t="str">
        <f>IFERROR(COUNTIFS(Bets35[Date],L154,Bets35[Result],"W")/(COUNTIFS(Bets35[Date],L154,Bets35[Result],"W")+COUNTIFS(Bets35[Date],L154,Bets35[Result],"L")),"")</f>
        <v/>
      </c>
      <c r="O154" s="26">
        <f>SUMIF(Bets35[Date],L154,Bets35[Net])</f>
        <v>0</v>
      </c>
      <c r="P154" s="27" t="str">
        <f>IFERROR("("&amp;ROUND((SUMIF(Bets35[Date],L154,Bets35[Net])-SUMIF(Bets35[Date],L154,Bets35[Risk]))/SUMIF(Bets35[Date],L154,Bets35[Risk]),2)*100&amp;"%)","")</f>
        <v/>
      </c>
      <c r="Q154" s="72" t="str">
        <f t="shared" si="10"/>
        <v/>
      </c>
      <c r="R154" s="73" t="str">
        <f>IFERROR(SUMIF(Bets35[Date],"&lt;="&amp;L154,Bets35[Net])/SUMIF(Bets35[Date],"&lt;="&amp;L154,Bets35[Risk]),"")</f>
        <v/>
      </c>
    </row>
    <row r="155" spans="1:18" x14ac:dyDescent="0.25">
      <c r="A155" s="13">
        <f t="shared" si="8"/>
        <v>13</v>
      </c>
      <c r="B155" s="17">
        <v>43598</v>
      </c>
      <c r="C155" s="17" t="s">
        <v>802</v>
      </c>
      <c r="D155" s="18" t="s">
        <v>1242</v>
      </c>
      <c r="E155" s="11" t="s">
        <v>869</v>
      </c>
      <c r="F155" s="19">
        <f>IF(Bets35[[#This Row],[Odds]]&lt;0,Bets35[[#This Row],[Odds]]/-10,10)</f>
        <v>15.5</v>
      </c>
      <c r="G155" s="37">
        <v>-155</v>
      </c>
      <c r="H155" s="21" t="s">
        <v>263</v>
      </c>
      <c r="I155" s="45">
        <f>IF(Bets35[[#This Row],[Result]]="L",0-Bets35[[#This Row],[Risk]],IF(Bets35[[#This Row],[Result]]="Push",0,IF(Bets35[[#This Row],[Result]]="No Action",0,IF(Bets35[[#This Row],[Result]]="W",IF(Bets35[[#This Row],[Odds]]&gt;0,Bets35[[#This Row],[Odds]]/100*Bets35[[#This Row],[Risk]],(Bets35[[#This Row],[Risk]]/Bets35[[#This Row],[Odds]]*-100)),""))))</f>
        <v>-15.5</v>
      </c>
      <c r="J155" s="39" t="str">
        <f>IF(ISNUMBER(SEARCH(CHAR(10),Bets35[[#This Row],[Bet]])),"P",IF(ISNUMBER(FIND("Under",Bets35[[#This Row],[Bet]])),"U",IF(ISNUMBER(SEARCH("Over",Bets35[[#This Row],[Bet]])),"O",IF(ISNUMBER(SEARCH("+",Bets35[[#This Row],[Bet]])),"D",IF(ISNUMBER(SEARCH("-",Bets35[[#This Row],[Bet]])),"F",IF(ISNUMBER(SEARCH("Moneyline",Bets35[[#This Row],[Bet]])),IF(Bets35[[#This Row],[Odds]]&lt;0,"MF","MD"),""))))))</f>
        <v>MF</v>
      </c>
      <c r="K155"/>
      <c r="L155" s="24">
        <f t="shared" si="9"/>
        <v>0</v>
      </c>
      <c r="M155" s="1" t="str">
        <f>COUNTIFS(Bets35[Date],L155,Bets35[Result],"W")&amp;"-"&amp;COUNTIFS(Bets35[Date],L155,Bets35[Result],"L")&amp;IF(COUNTIFS(Bets35[Date],L155,Bets35[Result],"Push")&gt;0,"-"&amp;COUNTIFS(Bets35[Date],L155,Bets35[Result],"Push"),"")</f>
        <v>0-0</v>
      </c>
      <c r="N155" s="25" t="str">
        <f>IFERROR(COUNTIFS(Bets35[Date],L155,Bets35[Result],"W")/(COUNTIFS(Bets35[Date],L155,Bets35[Result],"W")+COUNTIFS(Bets35[Date],L155,Bets35[Result],"L")),"")</f>
        <v/>
      </c>
      <c r="O155" s="26">
        <f>SUMIF(Bets35[Date],L155,Bets35[Net])</f>
        <v>0</v>
      </c>
      <c r="P155" s="27" t="str">
        <f>IFERROR("("&amp;ROUND((SUMIF(Bets35[Date],L155,Bets35[Net])-SUMIF(Bets35[Date],L155,Bets35[Risk]))/SUMIF(Bets35[Date],L155,Bets35[Risk]),2)*100&amp;"%)","")</f>
        <v/>
      </c>
      <c r="Q155" s="72" t="str">
        <f t="shared" si="10"/>
        <v/>
      </c>
      <c r="R155" s="73" t="str">
        <f>IFERROR(SUMIF(Bets35[Date],"&lt;="&amp;L155,Bets35[Net])/SUMIF(Bets35[Date],"&lt;="&amp;L155,Bets35[Risk]),"")</f>
        <v/>
      </c>
    </row>
    <row r="156" spans="1:18" x14ac:dyDescent="0.25">
      <c r="A156" s="13">
        <f t="shared" si="8"/>
        <v>13</v>
      </c>
      <c r="B156" s="17">
        <v>43598</v>
      </c>
      <c r="C156" s="17" t="s">
        <v>802</v>
      </c>
      <c r="D156" s="18" t="s">
        <v>1243</v>
      </c>
      <c r="E156" s="11" t="s">
        <v>905</v>
      </c>
      <c r="F156" s="19">
        <f>IF(Bets35[[#This Row],[Odds]]&lt;0,Bets35[[#This Row],[Odds]]/-10,10)</f>
        <v>10.5</v>
      </c>
      <c r="G156" s="37">
        <v>-105</v>
      </c>
      <c r="H156" s="21" t="s">
        <v>262</v>
      </c>
      <c r="I156" s="45">
        <f>IF(Bets35[[#This Row],[Result]]="L",0-Bets35[[#This Row],[Risk]],IF(Bets35[[#This Row],[Result]]="Push",0,IF(Bets35[[#This Row],[Result]]="No Action",0,IF(Bets35[[#This Row],[Result]]="W",IF(Bets35[[#This Row],[Odds]]&gt;0,Bets35[[#This Row],[Odds]]/100*Bets35[[#This Row],[Risk]],(Bets35[[#This Row],[Risk]]/Bets35[[#This Row],[Odds]]*-100)),""))))</f>
        <v>10</v>
      </c>
      <c r="J156" s="39" t="str">
        <f>IF(ISNUMBER(SEARCH(CHAR(10),Bets35[[#This Row],[Bet]])),"P",IF(ISNUMBER(FIND("Under",Bets35[[#This Row],[Bet]])),"U",IF(ISNUMBER(SEARCH("Over",Bets35[[#This Row],[Bet]])),"O",IF(ISNUMBER(SEARCH("+",Bets35[[#This Row],[Bet]])),"D",IF(ISNUMBER(SEARCH("-",Bets35[[#This Row],[Bet]])),"F",IF(ISNUMBER(SEARCH("Moneyline",Bets35[[#This Row],[Bet]])),IF(Bets35[[#This Row],[Odds]]&lt;0,"MF","MD"),""))))))</f>
        <v>O</v>
      </c>
      <c r="K156"/>
      <c r="L156" s="24">
        <f t="shared" si="9"/>
        <v>0</v>
      </c>
      <c r="M156" s="1" t="str">
        <f>COUNTIFS(Bets35[Date],L156,Bets35[Result],"W")&amp;"-"&amp;COUNTIFS(Bets35[Date],L156,Bets35[Result],"L")&amp;IF(COUNTIFS(Bets35[Date],L156,Bets35[Result],"Push")&gt;0,"-"&amp;COUNTIFS(Bets35[Date],L156,Bets35[Result],"Push"),"")</f>
        <v>0-0</v>
      </c>
      <c r="N156" s="25" t="str">
        <f>IFERROR(COUNTIFS(Bets35[Date],L156,Bets35[Result],"W")/(COUNTIFS(Bets35[Date],L156,Bets35[Result],"W")+COUNTIFS(Bets35[Date],L156,Bets35[Result],"L")),"")</f>
        <v/>
      </c>
      <c r="O156" s="26">
        <f>SUMIF(Bets35[Date],L156,Bets35[Net])</f>
        <v>0</v>
      </c>
      <c r="P156" s="27" t="str">
        <f>IFERROR("("&amp;ROUND((SUMIF(Bets35[Date],L156,Bets35[Net])-SUMIF(Bets35[Date],L156,Bets35[Risk]))/SUMIF(Bets35[Date],L156,Bets35[Risk]),2)*100&amp;"%)","")</f>
        <v/>
      </c>
      <c r="Q156" s="72" t="str">
        <f t="shared" si="10"/>
        <v/>
      </c>
      <c r="R156" s="73" t="str">
        <f>IFERROR(SUMIF(Bets35[Date],"&lt;="&amp;L156,Bets35[Net])/SUMIF(Bets35[Date],"&lt;="&amp;L156,Bets35[Risk]),"")</f>
        <v/>
      </c>
    </row>
    <row r="157" spans="1:18" x14ac:dyDescent="0.25">
      <c r="A157" s="13">
        <f t="shared" si="8"/>
        <v>13</v>
      </c>
      <c r="B157" s="17">
        <v>43598</v>
      </c>
      <c r="C157" s="17" t="s">
        <v>802</v>
      </c>
      <c r="D157" s="18" t="s">
        <v>1243</v>
      </c>
      <c r="E157" s="11" t="s">
        <v>1180</v>
      </c>
      <c r="F157" s="19">
        <f>IF(Bets35[[#This Row],[Odds]]&lt;0,Bets35[[#This Row],[Odds]]/-10,10)</f>
        <v>17</v>
      </c>
      <c r="G157" s="37">
        <v>-170</v>
      </c>
      <c r="H157" s="21" t="s">
        <v>262</v>
      </c>
      <c r="I157" s="45">
        <f>IF(Bets35[[#This Row],[Result]]="L",0-Bets35[[#This Row],[Risk]],IF(Bets35[[#This Row],[Result]]="Push",0,IF(Bets35[[#This Row],[Result]]="No Action",0,IF(Bets35[[#This Row],[Result]]="W",IF(Bets35[[#This Row],[Odds]]&gt;0,Bets35[[#This Row],[Odds]]/100*Bets35[[#This Row],[Risk]],(Bets35[[#This Row],[Risk]]/Bets35[[#This Row],[Odds]]*-100)),""))))</f>
        <v>10</v>
      </c>
      <c r="J157" s="39" t="str">
        <f>IF(ISNUMBER(SEARCH(CHAR(10),Bets35[[#This Row],[Bet]])),"P",IF(ISNUMBER(FIND("Under",Bets35[[#This Row],[Bet]])),"U",IF(ISNUMBER(SEARCH("Over",Bets35[[#This Row],[Bet]])),"O",IF(ISNUMBER(SEARCH("+",Bets35[[#This Row],[Bet]])),"D",IF(ISNUMBER(SEARCH("-",Bets35[[#This Row],[Bet]])),"F",IF(ISNUMBER(SEARCH("Moneyline",Bets35[[#This Row],[Bet]])),IF(Bets35[[#This Row],[Odds]]&lt;0,"MF","MD"),""))))))</f>
        <v>MF</v>
      </c>
      <c r="K157"/>
      <c r="L157" s="24">
        <f t="shared" si="9"/>
        <v>0</v>
      </c>
      <c r="M157" s="1" t="str">
        <f>COUNTIFS(Bets35[Date],L157,Bets35[Result],"W")&amp;"-"&amp;COUNTIFS(Bets35[Date],L157,Bets35[Result],"L")&amp;IF(COUNTIFS(Bets35[Date],L157,Bets35[Result],"Push")&gt;0,"-"&amp;COUNTIFS(Bets35[Date],L157,Bets35[Result],"Push"),"")</f>
        <v>0-0</v>
      </c>
      <c r="N157" s="25" t="str">
        <f>IFERROR(COUNTIFS(Bets35[Date],L157,Bets35[Result],"W")/(COUNTIFS(Bets35[Date],L157,Bets35[Result],"W")+COUNTIFS(Bets35[Date],L157,Bets35[Result],"L")),"")</f>
        <v/>
      </c>
      <c r="O157" s="26">
        <f>SUMIF(Bets35[Date],L157,Bets35[Net])</f>
        <v>0</v>
      </c>
      <c r="P157" s="27" t="str">
        <f>IFERROR("("&amp;ROUND((SUMIF(Bets35[Date],L157,Bets35[Net])-SUMIF(Bets35[Date],L157,Bets35[Risk]))/SUMIF(Bets35[Date],L157,Bets35[Risk]),2)*100&amp;"%)","")</f>
        <v/>
      </c>
      <c r="Q157" s="72" t="str">
        <f t="shared" si="10"/>
        <v/>
      </c>
      <c r="R157" s="73" t="str">
        <f>IFERROR(SUMIF(Bets35[Date],"&lt;="&amp;L157,Bets35[Net])/SUMIF(Bets35[Date],"&lt;="&amp;L157,Bets35[Risk]),"")</f>
        <v/>
      </c>
    </row>
    <row r="158" spans="1:18" x14ac:dyDescent="0.25">
      <c r="A158" s="13">
        <f t="shared" si="8"/>
        <v>13</v>
      </c>
      <c r="B158" s="17">
        <v>43598</v>
      </c>
      <c r="C158" s="17" t="s">
        <v>802</v>
      </c>
      <c r="D158" s="18" t="s">
        <v>1244</v>
      </c>
      <c r="E158" s="11" t="s">
        <v>836</v>
      </c>
      <c r="F158" s="19">
        <f>IF(Bets35[[#This Row],[Odds]]&lt;0,Bets35[[#This Row],[Odds]]/-10,10)</f>
        <v>12.2</v>
      </c>
      <c r="G158" s="37">
        <v>-122</v>
      </c>
      <c r="H158" s="21" t="s">
        <v>262</v>
      </c>
      <c r="I158" s="45">
        <f>IF(Bets35[[#This Row],[Result]]="L",0-Bets35[[#This Row],[Risk]],IF(Bets35[[#This Row],[Result]]="Push",0,IF(Bets35[[#This Row],[Result]]="No Action",0,IF(Bets35[[#This Row],[Result]]="W",IF(Bets35[[#This Row],[Odds]]&gt;0,Bets35[[#This Row],[Odds]]/100*Bets35[[#This Row],[Risk]],(Bets35[[#This Row],[Risk]]/Bets35[[#This Row],[Odds]]*-100)),""))))</f>
        <v>10</v>
      </c>
      <c r="J158" s="39" t="str">
        <f>IF(ISNUMBER(SEARCH(CHAR(10),Bets35[[#This Row],[Bet]])),"P",IF(ISNUMBER(FIND("Under",Bets35[[#This Row],[Bet]])),"U",IF(ISNUMBER(SEARCH("Over",Bets35[[#This Row],[Bet]])),"O",IF(ISNUMBER(SEARCH("+",Bets35[[#This Row],[Bet]])),"D",IF(ISNUMBER(SEARCH("-",Bets35[[#This Row],[Bet]])),"F",IF(ISNUMBER(SEARCH("Moneyline",Bets35[[#This Row],[Bet]])),IF(Bets35[[#This Row],[Odds]]&lt;0,"MF","MD"),""))))))</f>
        <v>MF</v>
      </c>
      <c r="K158"/>
      <c r="L158" s="24"/>
      <c r="N158" s="70"/>
      <c r="O158" s="38"/>
      <c r="P158" s="27"/>
    </row>
    <row r="159" spans="1:18" x14ac:dyDescent="0.25">
      <c r="A159" s="13">
        <f t="shared" si="8"/>
        <v>14</v>
      </c>
      <c r="B159" s="17">
        <v>43599</v>
      </c>
      <c r="C159" s="17" t="s">
        <v>802</v>
      </c>
      <c r="D159" s="18" t="s">
        <v>1242</v>
      </c>
      <c r="E159" s="11" t="s">
        <v>869</v>
      </c>
      <c r="F159" s="19">
        <f>IF(Bets35[[#This Row],[Odds]]&lt;0,Bets35[[#This Row],[Odds]]/-10,10)</f>
        <v>18</v>
      </c>
      <c r="G159" s="37">
        <v>-180</v>
      </c>
      <c r="H159" s="21" t="s">
        <v>262</v>
      </c>
      <c r="I159" s="45">
        <f>IF(Bets35[[#This Row],[Result]]="L",0-Bets35[[#This Row],[Risk]],IF(Bets35[[#This Row],[Result]]="Push",0,IF(Bets35[[#This Row],[Result]]="No Action",0,IF(Bets35[[#This Row],[Result]]="W",IF(Bets35[[#This Row],[Odds]]&gt;0,Bets35[[#This Row],[Odds]]/100*Bets35[[#This Row],[Risk]],(Bets35[[#This Row],[Risk]]/Bets35[[#This Row],[Odds]]*-100)),""))))</f>
        <v>10</v>
      </c>
      <c r="J159" s="39" t="str">
        <f>IF(ISNUMBER(SEARCH(CHAR(10),Bets35[[#This Row],[Bet]])),"P",IF(ISNUMBER(FIND("Under",Bets35[[#This Row],[Bet]])),"U",IF(ISNUMBER(SEARCH("Over",Bets35[[#This Row],[Bet]])),"O",IF(ISNUMBER(SEARCH("+",Bets35[[#This Row],[Bet]])),"D",IF(ISNUMBER(SEARCH("-",Bets35[[#This Row],[Bet]])),"F",IF(ISNUMBER(SEARCH("Moneyline",Bets35[[#This Row],[Bet]])),IF(Bets35[[#This Row],[Odds]]&lt;0,"MF","MD"),""))))))</f>
        <v>MF</v>
      </c>
      <c r="K159" s="24"/>
      <c r="N159" s="70"/>
      <c r="O159" s="27"/>
    </row>
    <row r="160" spans="1:18" x14ac:dyDescent="0.25">
      <c r="A160" s="13">
        <f t="shared" si="8"/>
        <v>14</v>
      </c>
      <c r="B160" s="17">
        <v>43599</v>
      </c>
      <c r="C160" s="17" t="s">
        <v>802</v>
      </c>
      <c r="D160" s="18" t="s">
        <v>1246</v>
      </c>
      <c r="E160" s="11" t="s">
        <v>867</v>
      </c>
      <c r="F160" s="19">
        <f>IF(Bets35[[#This Row],[Odds]]&lt;0,Bets35[[#This Row],[Odds]]/-10,10)</f>
        <v>13</v>
      </c>
      <c r="G160" s="37">
        <v>-130</v>
      </c>
      <c r="H160" s="21" t="s">
        <v>262</v>
      </c>
      <c r="I160" s="45">
        <f>IF(Bets35[[#This Row],[Result]]="L",0-Bets35[[#This Row],[Risk]],IF(Bets35[[#This Row],[Result]]="Push",0,IF(Bets35[[#This Row],[Result]]="No Action",0,IF(Bets35[[#This Row],[Result]]="W",IF(Bets35[[#This Row],[Odds]]&gt;0,Bets35[[#This Row],[Odds]]/100*Bets35[[#This Row],[Risk]],(Bets35[[#This Row],[Risk]]/Bets35[[#This Row],[Odds]]*-100)),""))))</f>
        <v>10</v>
      </c>
      <c r="J160" s="39" t="str">
        <f>IF(ISNUMBER(SEARCH(CHAR(10),Bets35[[#This Row],[Bet]])),"P",IF(ISNUMBER(FIND("Under",Bets35[[#This Row],[Bet]])),"U",IF(ISNUMBER(SEARCH("Over",Bets35[[#This Row],[Bet]])),"O",IF(ISNUMBER(SEARCH("+",Bets35[[#This Row],[Bet]])),"D",IF(ISNUMBER(SEARCH("-",Bets35[[#This Row],[Bet]])),"F",IF(ISNUMBER(SEARCH("Moneyline",Bets35[[#This Row],[Bet]])),IF(Bets35[[#This Row],[Odds]]&lt;0,"MF","MD"),""))))))</f>
        <v>MF</v>
      </c>
      <c r="K160" s="24"/>
      <c r="N160" s="70"/>
      <c r="O160" s="27"/>
    </row>
    <row r="161" spans="1:15" x14ac:dyDescent="0.25">
      <c r="A161" s="13">
        <f t="shared" si="8"/>
        <v>14</v>
      </c>
      <c r="B161" s="17">
        <v>43599</v>
      </c>
      <c r="C161" s="17" t="s">
        <v>802</v>
      </c>
      <c r="D161" s="18" t="s">
        <v>1239</v>
      </c>
      <c r="E161" s="11" t="s">
        <v>822</v>
      </c>
      <c r="F161" s="19">
        <f>IF(Bets35[[#This Row],[Odds]]&lt;0,Bets35[[#This Row],[Odds]]/-10,10)</f>
        <v>10</v>
      </c>
      <c r="G161" s="37" t="s">
        <v>886</v>
      </c>
      <c r="H161" s="21" t="s">
        <v>263</v>
      </c>
      <c r="I161" s="45">
        <f>IF(Bets35[[#This Row],[Result]]="L",0-Bets35[[#This Row],[Risk]],IF(Bets35[[#This Row],[Result]]="Push",0,IF(Bets35[[#This Row],[Result]]="No Action",0,IF(Bets35[[#This Row],[Result]]="W",IF(Bets35[[#This Row],[Odds]]&gt;0,Bets35[[#This Row],[Odds]]/100*Bets35[[#This Row],[Risk]],(Bets35[[#This Row],[Risk]]/Bets35[[#This Row],[Odds]]*-100)),""))))</f>
        <v>-10</v>
      </c>
      <c r="J161" s="39" t="str">
        <f>IF(ISNUMBER(SEARCH(CHAR(10),Bets35[[#This Row],[Bet]])),"P",IF(ISNUMBER(FIND("Under",Bets35[[#This Row],[Bet]])),"U",IF(ISNUMBER(SEARCH("Over",Bets35[[#This Row],[Bet]])),"O",IF(ISNUMBER(SEARCH("+",Bets35[[#This Row],[Bet]])),"D",IF(ISNUMBER(SEARCH("-",Bets35[[#This Row],[Bet]])),"F",IF(ISNUMBER(SEARCH("Moneyline",Bets35[[#This Row],[Bet]])),IF(Bets35[[#This Row],[Odds]]&lt;0,"MF","MD"),""))))))</f>
        <v>MD</v>
      </c>
      <c r="K161" s="24"/>
      <c r="N161" s="70"/>
      <c r="O161" s="27"/>
    </row>
    <row r="162" spans="1:15" x14ac:dyDescent="0.25">
      <c r="A162" s="13">
        <f t="shared" si="8"/>
        <v>14</v>
      </c>
      <c r="B162" s="17">
        <v>43599</v>
      </c>
      <c r="C162" s="17" t="s">
        <v>802</v>
      </c>
      <c r="D162" s="18" t="s">
        <v>1247</v>
      </c>
      <c r="E162" s="11" t="s">
        <v>845</v>
      </c>
      <c r="F162" s="19">
        <f>IF(Bets35[[#This Row],[Odds]]&lt;0,Bets35[[#This Row],[Odds]]/-10,10)</f>
        <v>10.5</v>
      </c>
      <c r="G162" s="37">
        <v>-105</v>
      </c>
      <c r="H162" s="21" t="s">
        <v>263</v>
      </c>
      <c r="I162" s="45">
        <f>IF(Bets35[[#This Row],[Result]]="L",0-Bets35[[#This Row],[Risk]],IF(Bets35[[#This Row],[Result]]="Push",0,IF(Bets35[[#This Row],[Result]]="No Action",0,IF(Bets35[[#This Row],[Result]]="W",IF(Bets35[[#This Row],[Odds]]&gt;0,Bets35[[#This Row],[Odds]]/100*Bets35[[#This Row],[Risk]],(Bets35[[#This Row],[Risk]]/Bets35[[#This Row],[Odds]]*-100)),""))))</f>
        <v>-10.5</v>
      </c>
      <c r="J162" s="39" t="str">
        <f>IF(ISNUMBER(SEARCH(CHAR(10),Bets35[[#This Row],[Bet]])),"P",IF(ISNUMBER(FIND("Under",Bets35[[#This Row],[Bet]])),"U",IF(ISNUMBER(SEARCH("Over",Bets35[[#This Row],[Bet]])),"O",IF(ISNUMBER(SEARCH("+",Bets35[[#This Row],[Bet]])),"D",IF(ISNUMBER(SEARCH("-",Bets35[[#This Row],[Bet]])),"F",IF(ISNUMBER(SEARCH("Moneyline",Bets35[[#This Row],[Bet]])),IF(Bets35[[#This Row],[Odds]]&lt;0,"MF","MD"),""))))))</f>
        <v>O</v>
      </c>
      <c r="K162" s="24"/>
      <c r="N162" s="70"/>
      <c r="O162" s="27"/>
    </row>
    <row r="163" spans="1:15" x14ac:dyDescent="0.25">
      <c r="A163" s="13">
        <f t="shared" si="8"/>
        <v>14</v>
      </c>
      <c r="B163" s="17">
        <v>43599</v>
      </c>
      <c r="C163" s="17" t="s">
        <v>802</v>
      </c>
      <c r="D163" s="18" t="s">
        <v>1248</v>
      </c>
      <c r="E163" s="11" t="s">
        <v>931</v>
      </c>
      <c r="F163" s="19">
        <f>IF(Bets35[[#This Row],[Odds]]&lt;0,Bets35[[#This Row],[Odds]]/-10,10)</f>
        <v>11.5</v>
      </c>
      <c r="G163" s="37">
        <v>-115</v>
      </c>
      <c r="H163" s="21" t="s">
        <v>262</v>
      </c>
      <c r="I163" s="45">
        <f>IF(Bets35[[#This Row],[Result]]="L",0-Bets35[[#This Row],[Risk]],IF(Bets35[[#This Row],[Result]]="Push",0,IF(Bets35[[#This Row],[Result]]="No Action",0,IF(Bets35[[#This Row],[Result]]="W",IF(Bets35[[#This Row],[Odds]]&gt;0,Bets35[[#This Row],[Odds]]/100*Bets35[[#This Row],[Risk]],(Bets35[[#This Row],[Risk]]/Bets35[[#This Row],[Odds]]*-100)),""))))</f>
        <v>10</v>
      </c>
      <c r="J163" s="39" t="str">
        <f>IF(ISNUMBER(SEARCH(CHAR(10),Bets35[[#This Row],[Bet]])),"P",IF(ISNUMBER(FIND("Under",Bets35[[#This Row],[Bet]])),"U",IF(ISNUMBER(SEARCH("Over",Bets35[[#This Row],[Bet]])),"O",IF(ISNUMBER(SEARCH("+",Bets35[[#This Row],[Bet]])),"D",IF(ISNUMBER(SEARCH("-",Bets35[[#This Row],[Bet]])),"F",IF(ISNUMBER(SEARCH("Moneyline",Bets35[[#This Row],[Bet]])),IF(Bets35[[#This Row],[Odds]]&lt;0,"MF","MD"),""))))))</f>
        <v>O</v>
      </c>
      <c r="K163" s="24"/>
      <c r="N163" s="70"/>
      <c r="O163" s="27"/>
    </row>
    <row r="164" spans="1:15" x14ac:dyDescent="0.25">
      <c r="A164" s="13">
        <f t="shared" si="8"/>
        <v>14</v>
      </c>
      <c r="B164" s="17">
        <v>43599</v>
      </c>
      <c r="C164" s="17" t="s">
        <v>802</v>
      </c>
      <c r="D164" s="18" t="s">
        <v>1240</v>
      </c>
      <c r="E164" s="11" t="s">
        <v>897</v>
      </c>
      <c r="F164" s="19">
        <f>IF(Bets35[[#This Row],[Odds]]&lt;0,Bets35[[#This Row],[Odds]]/-10,10)</f>
        <v>19.600000000000001</v>
      </c>
      <c r="G164" s="37">
        <v>-196</v>
      </c>
      <c r="H164" s="21" t="s">
        <v>262</v>
      </c>
      <c r="I164" s="45">
        <f>IF(Bets35[[#This Row],[Result]]="L",0-Bets35[[#This Row],[Risk]],IF(Bets35[[#This Row],[Result]]="Push",0,IF(Bets35[[#This Row],[Result]]="No Action",0,IF(Bets35[[#This Row],[Result]]="W",IF(Bets35[[#This Row],[Odds]]&gt;0,Bets35[[#This Row],[Odds]]/100*Bets35[[#This Row],[Risk]],(Bets35[[#This Row],[Risk]]/Bets35[[#This Row],[Odds]]*-100)),""))))</f>
        <v>10</v>
      </c>
      <c r="J164" s="39" t="str">
        <f>IF(ISNUMBER(SEARCH(CHAR(10),Bets35[[#This Row],[Bet]])),"P",IF(ISNUMBER(FIND("Under",Bets35[[#This Row],[Bet]])),"U",IF(ISNUMBER(SEARCH("Over",Bets35[[#This Row],[Bet]])),"O",IF(ISNUMBER(SEARCH("+",Bets35[[#This Row],[Bet]])),"D",IF(ISNUMBER(SEARCH("-",Bets35[[#This Row],[Bet]])),"F",IF(ISNUMBER(SEARCH("Moneyline",Bets35[[#This Row],[Bet]])),IF(Bets35[[#This Row],[Odds]]&lt;0,"MF","MD"),""))))))</f>
        <v>MF</v>
      </c>
      <c r="K164" s="24"/>
      <c r="N164" s="70"/>
      <c r="O164" s="27"/>
    </row>
    <row r="165" spans="1:15" x14ac:dyDescent="0.25">
      <c r="A165" s="13">
        <f t="shared" si="8"/>
        <v>14</v>
      </c>
      <c r="B165" s="17">
        <v>43599</v>
      </c>
      <c r="C165" s="17" t="s">
        <v>802</v>
      </c>
      <c r="D165" s="18" t="s">
        <v>1249</v>
      </c>
      <c r="E165" s="11" t="s">
        <v>819</v>
      </c>
      <c r="F165" s="19">
        <f>IF(Bets35[[#This Row],[Odds]]&lt;0,Bets35[[#This Row],[Odds]]/-10,10)</f>
        <v>13.4</v>
      </c>
      <c r="G165" s="37">
        <v>-134</v>
      </c>
      <c r="H165" s="21" t="s">
        <v>262</v>
      </c>
      <c r="I165" s="45">
        <f>IF(Bets35[[#This Row],[Result]]="L",0-Bets35[[#This Row],[Risk]],IF(Bets35[[#This Row],[Result]]="Push",0,IF(Bets35[[#This Row],[Result]]="No Action",0,IF(Bets35[[#This Row],[Result]]="W",IF(Bets35[[#This Row],[Odds]]&gt;0,Bets35[[#This Row],[Odds]]/100*Bets35[[#This Row],[Risk]],(Bets35[[#This Row],[Risk]]/Bets35[[#This Row],[Odds]]*-100)),""))))</f>
        <v>10</v>
      </c>
      <c r="J165" s="39" t="str">
        <f>IF(ISNUMBER(SEARCH(CHAR(10),Bets35[[#This Row],[Bet]])),"P",IF(ISNUMBER(FIND("Under",Bets35[[#This Row],[Bet]])),"U",IF(ISNUMBER(SEARCH("Over",Bets35[[#This Row],[Bet]])),"O",IF(ISNUMBER(SEARCH("+",Bets35[[#This Row],[Bet]])),"D",IF(ISNUMBER(SEARCH("-",Bets35[[#This Row],[Bet]])),"F",IF(ISNUMBER(SEARCH("Moneyline",Bets35[[#This Row],[Bet]])),IF(Bets35[[#This Row],[Odds]]&lt;0,"MF","MD"),""))))))</f>
        <v>MF</v>
      </c>
      <c r="K165" s="24"/>
      <c r="N165" s="70"/>
      <c r="O165" s="27"/>
    </row>
    <row r="166" spans="1:15" x14ac:dyDescent="0.25">
      <c r="A166" s="13">
        <f t="shared" si="8"/>
        <v>14</v>
      </c>
      <c r="B166" s="17">
        <v>43599</v>
      </c>
      <c r="C166" s="17" t="s">
        <v>802</v>
      </c>
      <c r="D166" s="18" t="s">
        <v>1250</v>
      </c>
      <c r="E166" s="11" t="s">
        <v>845</v>
      </c>
      <c r="F166" s="19">
        <f>IF(Bets35[[#This Row],[Odds]]&lt;0,Bets35[[#This Row],[Odds]]/-10,10)</f>
        <v>11.5</v>
      </c>
      <c r="G166" s="37">
        <v>-115</v>
      </c>
      <c r="H166" s="21" t="s">
        <v>262</v>
      </c>
      <c r="I166" s="45">
        <f>IF(Bets35[[#This Row],[Result]]="L",0-Bets35[[#This Row],[Risk]],IF(Bets35[[#This Row],[Result]]="Push",0,IF(Bets35[[#This Row],[Result]]="No Action",0,IF(Bets35[[#This Row],[Result]]="W",IF(Bets35[[#This Row],[Odds]]&gt;0,Bets35[[#This Row],[Odds]]/100*Bets35[[#This Row],[Risk]],(Bets35[[#This Row],[Risk]]/Bets35[[#This Row],[Odds]]*-100)),""))))</f>
        <v>10</v>
      </c>
      <c r="J166" s="39" t="str">
        <f>IF(ISNUMBER(SEARCH(CHAR(10),Bets35[[#This Row],[Bet]])),"P",IF(ISNUMBER(FIND("Under",Bets35[[#This Row],[Bet]])),"U",IF(ISNUMBER(SEARCH("Over",Bets35[[#This Row],[Bet]])),"O",IF(ISNUMBER(SEARCH("+",Bets35[[#This Row],[Bet]])),"D",IF(ISNUMBER(SEARCH("-",Bets35[[#This Row],[Bet]])),"F",IF(ISNUMBER(SEARCH("Moneyline",Bets35[[#This Row],[Bet]])),IF(Bets35[[#This Row],[Odds]]&lt;0,"MF","MD"),""))))))</f>
        <v>O</v>
      </c>
      <c r="K166" s="24"/>
      <c r="N166" s="70"/>
      <c r="O166" s="27"/>
    </row>
    <row r="167" spans="1:15" x14ac:dyDescent="0.25">
      <c r="A167" s="13">
        <f t="shared" si="8"/>
        <v>14</v>
      </c>
      <c r="B167" s="17">
        <v>43599</v>
      </c>
      <c r="C167" s="17" t="s">
        <v>802</v>
      </c>
      <c r="D167" s="18" t="s">
        <v>1243</v>
      </c>
      <c r="E167" s="11" t="s">
        <v>1180</v>
      </c>
      <c r="F167" s="19">
        <f>IF(Bets35[[#This Row],[Odds]]&lt;0,Bets35[[#This Row],[Odds]]/-10,10)</f>
        <v>14</v>
      </c>
      <c r="G167" s="37">
        <v>-140</v>
      </c>
      <c r="H167" s="21" t="s">
        <v>263</v>
      </c>
      <c r="I167" s="45">
        <f>IF(Bets35[[#This Row],[Result]]="L",0-Bets35[[#This Row],[Risk]],IF(Bets35[[#This Row],[Result]]="Push",0,IF(Bets35[[#This Row],[Result]]="No Action",0,IF(Bets35[[#This Row],[Result]]="W",IF(Bets35[[#This Row],[Odds]]&gt;0,Bets35[[#This Row],[Odds]]/100*Bets35[[#This Row],[Risk]],(Bets35[[#This Row],[Risk]]/Bets35[[#This Row],[Odds]]*-100)),""))))</f>
        <v>-14</v>
      </c>
      <c r="J167" s="39" t="str">
        <f>IF(ISNUMBER(SEARCH(CHAR(10),Bets35[[#This Row],[Bet]])),"P",IF(ISNUMBER(FIND("Under",Bets35[[#This Row],[Bet]])),"U",IF(ISNUMBER(SEARCH("Over",Bets35[[#This Row],[Bet]])),"O",IF(ISNUMBER(SEARCH("+",Bets35[[#This Row],[Bet]])),"D",IF(ISNUMBER(SEARCH("-",Bets35[[#This Row],[Bet]])),"F",IF(ISNUMBER(SEARCH("Moneyline",Bets35[[#This Row],[Bet]])),IF(Bets35[[#This Row],[Odds]]&lt;0,"MF","MD"),""))))))</f>
        <v>MF</v>
      </c>
      <c r="K167" s="24"/>
      <c r="N167" s="70"/>
      <c r="O167" s="27"/>
    </row>
    <row r="168" spans="1:15" x14ac:dyDescent="0.25">
      <c r="A168" s="13">
        <f t="shared" si="8"/>
        <v>15</v>
      </c>
      <c r="B168" s="17">
        <v>43600</v>
      </c>
      <c r="C168" s="17" t="s">
        <v>802</v>
      </c>
      <c r="D168" s="18" t="s">
        <v>1241</v>
      </c>
      <c r="E168" s="11" t="s">
        <v>1178</v>
      </c>
      <c r="F168" s="19">
        <f>IF(Bets35[[#This Row],[Odds]]&lt;0,Bets35[[#This Row],[Odds]]/-10,10)</f>
        <v>14</v>
      </c>
      <c r="G168" s="37">
        <v>-140</v>
      </c>
      <c r="H168" s="21" t="s">
        <v>262</v>
      </c>
      <c r="I168" s="45">
        <f>IF(Bets35[[#This Row],[Result]]="L",0-Bets35[[#This Row],[Risk]],IF(Bets35[[#This Row],[Result]]="Push",0,IF(Bets35[[#This Row],[Result]]="No Action",0,IF(Bets35[[#This Row],[Result]]="W",IF(Bets35[[#This Row],[Odds]]&gt;0,Bets35[[#This Row],[Odds]]/100*Bets35[[#This Row],[Risk]],(Bets35[[#This Row],[Risk]]/Bets35[[#This Row],[Odds]]*-100)),""))))</f>
        <v>10</v>
      </c>
      <c r="J168" s="39" t="str">
        <f>IF(ISNUMBER(SEARCH(CHAR(10),Bets35[[#This Row],[Bet]])),"P",IF(ISNUMBER(FIND("Under",Bets35[[#This Row],[Bet]])),"U",IF(ISNUMBER(SEARCH("Over",Bets35[[#This Row],[Bet]])),"O",IF(ISNUMBER(SEARCH("+",Bets35[[#This Row],[Bet]])),"D",IF(ISNUMBER(SEARCH("-",Bets35[[#This Row],[Bet]])),"F",IF(ISNUMBER(SEARCH("Moneyline",Bets35[[#This Row],[Bet]])),IF(Bets35[[#This Row],[Odds]]&lt;0,"MF","MD"),""))))))</f>
        <v>MF</v>
      </c>
      <c r="K168" s="24"/>
      <c r="N168" s="70"/>
      <c r="O168" s="27"/>
    </row>
    <row r="169" spans="1:15" x14ac:dyDescent="0.25">
      <c r="A169" s="13">
        <f t="shared" si="8"/>
        <v>15</v>
      </c>
      <c r="B169" s="17">
        <v>43600</v>
      </c>
      <c r="C169" s="17" t="s">
        <v>802</v>
      </c>
      <c r="D169" s="18" t="s">
        <v>1239</v>
      </c>
      <c r="E169" s="11" t="s">
        <v>809</v>
      </c>
      <c r="F169" s="19">
        <f>IF(Bets35[[#This Row],[Odds]]&lt;0,Bets35[[#This Row],[Odds]]/-10,10)</f>
        <v>10.5</v>
      </c>
      <c r="G169" s="37">
        <v>-105</v>
      </c>
      <c r="H169" s="21" t="s">
        <v>262</v>
      </c>
      <c r="I169" s="45">
        <f>IF(Bets35[[#This Row],[Result]]="L",0-Bets35[[#This Row],[Risk]],IF(Bets35[[#This Row],[Result]]="Push",0,IF(Bets35[[#This Row],[Result]]="No Action",0,IF(Bets35[[#This Row],[Result]]="W",IF(Bets35[[#This Row],[Odds]]&gt;0,Bets35[[#This Row],[Odds]]/100*Bets35[[#This Row],[Risk]],(Bets35[[#This Row],[Risk]]/Bets35[[#This Row],[Odds]]*-100)),""))))</f>
        <v>10</v>
      </c>
      <c r="J169" s="39" t="str">
        <f>IF(ISNUMBER(SEARCH(CHAR(10),Bets35[[#This Row],[Bet]])),"P",IF(ISNUMBER(FIND("Under",Bets35[[#This Row],[Bet]])),"U",IF(ISNUMBER(SEARCH("Over",Bets35[[#This Row],[Bet]])),"O",IF(ISNUMBER(SEARCH("+",Bets35[[#This Row],[Bet]])),"D",IF(ISNUMBER(SEARCH("-",Bets35[[#This Row],[Bet]])),"F",IF(ISNUMBER(SEARCH("Moneyline",Bets35[[#This Row],[Bet]])),IF(Bets35[[#This Row],[Odds]]&lt;0,"MF","MD"),""))))))</f>
        <v>MF</v>
      </c>
      <c r="K169" s="24"/>
      <c r="N169" s="70"/>
      <c r="O169" s="27"/>
    </row>
    <row r="170" spans="1:15" x14ac:dyDescent="0.25">
      <c r="A170" s="13">
        <f t="shared" si="8"/>
        <v>15</v>
      </c>
      <c r="B170" s="17">
        <v>43600</v>
      </c>
      <c r="C170" s="17" t="s">
        <v>802</v>
      </c>
      <c r="D170" s="18" t="s">
        <v>1248</v>
      </c>
      <c r="E170" s="11" t="s">
        <v>1153</v>
      </c>
      <c r="F170" s="19">
        <f>IF(Bets35[[#This Row],[Odds]]&lt;0,Bets35[[#This Row],[Odds]]/-10,10)</f>
        <v>10</v>
      </c>
      <c r="G170" s="37" t="s">
        <v>1252</v>
      </c>
      <c r="H170" s="21" t="s">
        <v>263</v>
      </c>
      <c r="I170" s="45">
        <f>IF(Bets35[[#This Row],[Result]]="L",0-Bets35[[#This Row],[Risk]],IF(Bets35[[#This Row],[Result]]="Push",0,IF(Bets35[[#This Row],[Result]]="No Action",0,IF(Bets35[[#This Row],[Result]]="W",IF(Bets35[[#This Row],[Odds]]&gt;0,Bets35[[#This Row],[Odds]]/100*Bets35[[#This Row],[Risk]],(Bets35[[#This Row],[Risk]]/Bets35[[#This Row],[Odds]]*-100)),""))))</f>
        <v>-10</v>
      </c>
      <c r="J170" s="39" t="str">
        <f>IF(ISNUMBER(SEARCH(CHAR(10),Bets35[[#This Row],[Bet]])),"P",IF(ISNUMBER(FIND("Under",Bets35[[#This Row],[Bet]])),"U",IF(ISNUMBER(SEARCH("Over",Bets35[[#This Row],[Bet]])),"O",IF(ISNUMBER(SEARCH("+",Bets35[[#This Row],[Bet]])),"D",IF(ISNUMBER(SEARCH("-",Bets35[[#This Row],[Bet]])),"F",IF(ISNUMBER(SEARCH("Moneyline",Bets35[[#This Row],[Bet]])),IF(Bets35[[#This Row],[Odds]]&lt;0,"MF","MD"),""))))))</f>
        <v>MD</v>
      </c>
      <c r="K170" s="24"/>
      <c r="N170" s="70"/>
      <c r="O170" s="27"/>
    </row>
    <row r="171" spans="1:15" x14ac:dyDescent="0.25">
      <c r="A171" s="13">
        <f t="shared" si="8"/>
        <v>15</v>
      </c>
      <c r="B171" s="17">
        <v>43600</v>
      </c>
      <c r="C171" s="17" t="s">
        <v>802</v>
      </c>
      <c r="D171" s="18" t="s">
        <v>1250</v>
      </c>
      <c r="E171" s="11" t="s">
        <v>815</v>
      </c>
      <c r="F171" s="19">
        <f>IF(Bets35[[#This Row],[Odds]]&lt;0,Bets35[[#This Row],[Odds]]/-10,10)</f>
        <v>14</v>
      </c>
      <c r="G171" s="37">
        <v>-140</v>
      </c>
      <c r="H171" s="21" t="s">
        <v>262</v>
      </c>
      <c r="I171" s="45">
        <f>IF(Bets35[[#This Row],[Result]]="L",0-Bets35[[#This Row],[Risk]],IF(Bets35[[#This Row],[Result]]="Push",0,IF(Bets35[[#This Row],[Result]]="No Action",0,IF(Bets35[[#This Row],[Result]]="W",IF(Bets35[[#This Row],[Odds]]&gt;0,Bets35[[#This Row],[Odds]]/100*Bets35[[#This Row],[Risk]],(Bets35[[#This Row],[Risk]]/Bets35[[#This Row],[Odds]]*-100)),""))))</f>
        <v>10</v>
      </c>
      <c r="J171" s="39" t="str">
        <f>IF(ISNUMBER(SEARCH(CHAR(10),Bets35[[#This Row],[Bet]])),"P",IF(ISNUMBER(FIND("Under",Bets35[[#This Row],[Bet]])),"U",IF(ISNUMBER(SEARCH("Over",Bets35[[#This Row],[Bet]])),"O",IF(ISNUMBER(SEARCH("+",Bets35[[#This Row],[Bet]])),"D",IF(ISNUMBER(SEARCH("-",Bets35[[#This Row],[Bet]])),"F",IF(ISNUMBER(SEARCH("Moneyline",Bets35[[#This Row],[Bet]])),IF(Bets35[[#This Row],[Odds]]&lt;0,"MF","MD"),""))))))</f>
        <v>MF</v>
      </c>
      <c r="K171" s="24"/>
      <c r="N171" s="70"/>
      <c r="O171" s="27"/>
    </row>
    <row r="172" spans="1:15" x14ac:dyDescent="0.25">
      <c r="A172" s="13">
        <f t="shared" si="8"/>
        <v>15</v>
      </c>
      <c r="B172" s="17">
        <v>43600</v>
      </c>
      <c r="C172" s="17" t="s">
        <v>802</v>
      </c>
      <c r="D172" s="18" t="s">
        <v>1253</v>
      </c>
      <c r="E172" s="11" t="s">
        <v>870</v>
      </c>
      <c r="F172" s="19">
        <f>IF(Bets35[[#This Row],[Odds]]&lt;0,Bets35[[#This Row],[Odds]]/-10,10)</f>
        <v>13</v>
      </c>
      <c r="G172" s="37">
        <v>-130</v>
      </c>
      <c r="H172" s="21" t="s">
        <v>262</v>
      </c>
      <c r="I172" s="45">
        <f>IF(Bets35[[#This Row],[Result]]="L",0-Bets35[[#This Row],[Risk]],IF(Bets35[[#This Row],[Result]]="Push",0,IF(Bets35[[#This Row],[Result]]="No Action",0,IF(Bets35[[#This Row],[Result]]="W",IF(Bets35[[#This Row],[Odds]]&gt;0,Bets35[[#This Row],[Odds]]/100*Bets35[[#This Row],[Risk]],(Bets35[[#This Row],[Risk]]/Bets35[[#This Row],[Odds]]*-100)),""))))</f>
        <v>10</v>
      </c>
      <c r="J172" s="39" t="str">
        <f>IF(ISNUMBER(SEARCH(CHAR(10),Bets35[[#This Row],[Bet]])),"P",IF(ISNUMBER(FIND("Under",Bets35[[#This Row],[Bet]])),"U",IF(ISNUMBER(SEARCH("Over",Bets35[[#This Row],[Bet]])),"O",IF(ISNUMBER(SEARCH("+",Bets35[[#This Row],[Bet]])),"D",IF(ISNUMBER(SEARCH("-",Bets35[[#This Row],[Bet]])),"F",IF(ISNUMBER(SEARCH("Moneyline",Bets35[[#This Row],[Bet]])),IF(Bets35[[#This Row],[Odds]]&lt;0,"MF","MD"),""))))))</f>
        <v>MF</v>
      </c>
      <c r="K172" s="24"/>
      <c r="N172" s="70"/>
      <c r="O172" s="27"/>
    </row>
    <row r="173" spans="1:15" x14ac:dyDescent="0.25">
      <c r="A173" s="13">
        <f t="shared" si="8"/>
        <v>15</v>
      </c>
      <c r="B173" s="17">
        <v>43600</v>
      </c>
      <c r="C173" s="17" t="s">
        <v>802</v>
      </c>
      <c r="D173" s="18" t="s">
        <v>1240</v>
      </c>
      <c r="E173" s="11" t="s">
        <v>897</v>
      </c>
      <c r="F173" s="19">
        <f>IF(Bets35[[#This Row],[Odds]]&lt;0,Bets35[[#This Row],[Odds]]/-10,10)</f>
        <v>36</v>
      </c>
      <c r="G173" s="37">
        <v>-360</v>
      </c>
      <c r="H173" s="21" t="s">
        <v>262</v>
      </c>
      <c r="I173" s="45">
        <f>IF(Bets35[[#This Row],[Result]]="L",0-Bets35[[#This Row],[Risk]],IF(Bets35[[#This Row],[Result]]="Push",0,IF(Bets35[[#This Row],[Result]]="No Action",0,IF(Bets35[[#This Row],[Result]]="W",IF(Bets35[[#This Row],[Odds]]&gt;0,Bets35[[#This Row],[Odds]]/100*Bets35[[#This Row],[Risk]],(Bets35[[#This Row],[Risk]]/Bets35[[#This Row],[Odds]]*-100)),""))))</f>
        <v>10</v>
      </c>
      <c r="J173" s="39" t="str">
        <f>IF(ISNUMBER(SEARCH(CHAR(10),Bets35[[#This Row],[Bet]])),"P",IF(ISNUMBER(FIND("Under",Bets35[[#This Row],[Bet]])),"U",IF(ISNUMBER(SEARCH("Over",Bets35[[#This Row],[Bet]])),"O",IF(ISNUMBER(SEARCH("+",Bets35[[#This Row],[Bet]])),"D",IF(ISNUMBER(SEARCH("-",Bets35[[#This Row],[Bet]])),"F",IF(ISNUMBER(SEARCH("Moneyline",Bets35[[#This Row],[Bet]])),IF(Bets35[[#This Row],[Odds]]&lt;0,"MF","MD"),""))))))</f>
        <v>MF</v>
      </c>
      <c r="K173" s="24"/>
      <c r="N173" s="70"/>
      <c r="O173" s="27"/>
    </row>
    <row r="174" spans="1:15" x14ac:dyDescent="0.25">
      <c r="A174" s="13">
        <f t="shared" si="8"/>
        <v>15</v>
      </c>
      <c r="B174" s="17">
        <v>43600</v>
      </c>
      <c r="C174" s="17" t="s">
        <v>802</v>
      </c>
      <c r="D174" s="18" t="s">
        <v>1249</v>
      </c>
      <c r="E174" s="11" t="s">
        <v>819</v>
      </c>
      <c r="F174" s="19">
        <f>IF(Bets35[[#This Row],[Odds]]&lt;0,Bets35[[#This Row],[Odds]]/-10,10)</f>
        <v>18.5</v>
      </c>
      <c r="G174" s="37">
        <v>-185</v>
      </c>
      <c r="H174" s="21" t="s">
        <v>262</v>
      </c>
      <c r="I174" s="45">
        <f>IF(Bets35[[#This Row],[Result]]="L",0-Bets35[[#This Row],[Risk]],IF(Bets35[[#This Row],[Result]]="Push",0,IF(Bets35[[#This Row],[Result]]="No Action",0,IF(Bets35[[#This Row],[Result]]="W",IF(Bets35[[#This Row],[Odds]]&gt;0,Bets35[[#This Row],[Odds]]/100*Bets35[[#This Row],[Risk]],(Bets35[[#This Row],[Risk]]/Bets35[[#This Row],[Odds]]*-100)),""))))</f>
        <v>10</v>
      </c>
      <c r="J174" s="39" t="str">
        <f>IF(ISNUMBER(SEARCH(CHAR(10),Bets35[[#This Row],[Bet]])),"P",IF(ISNUMBER(FIND("Under",Bets35[[#This Row],[Bet]])),"U",IF(ISNUMBER(SEARCH("Over",Bets35[[#This Row],[Bet]])),"O",IF(ISNUMBER(SEARCH("+",Bets35[[#This Row],[Bet]])),"D",IF(ISNUMBER(SEARCH("-",Bets35[[#This Row],[Bet]])),"F",IF(ISNUMBER(SEARCH("Moneyline",Bets35[[#This Row],[Bet]])),IF(Bets35[[#This Row],[Odds]]&lt;0,"MF","MD"),""))))))</f>
        <v>MF</v>
      </c>
      <c r="K174" s="24"/>
      <c r="N174" s="70"/>
      <c r="O174" s="27"/>
    </row>
    <row r="175" spans="1:15" x14ac:dyDescent="0.25">
      <c r="A175" s="13">
        <f t="shared" si="8"/>
        <v>16</v>
      </c>
      <c r="B175" s="17">
        <v>43601</v>
      </c>
      <c r="C175" s="17" t="s">
        <v>802</v>
      </c>
      <c r="D175" s="18" t="s">
        <v>1239</v>
      </c>
      <c r="E175" s="11" t="s">
        <v>933</v>
      </c>
      <c r="F175" s="19">
        <f>IF(Bets35[[#This Row],[Odds]]&lt;0,Bets35[[#This Row],[Odds]]/-10,10)</f>
        <v>10.5</v>
      </c>
      <c r="G175" s="37">
        <v>-105</v>
      </c>
      <c r="H175" s="21" t="s">
        <v>263</v>
      </c>
      <c r="I175" s="45">
        <f>IF(Bets35[[#This Row],[Result]]="L",0-Bets35[[#This Row],[Risk]],IF(Bets35[[#This Row],[Result]]="Push",0,IF(Bets35[[#This Row],[Result]]="No Action",0,IF(Bets35[[#This Row],[Result]]="W",IF(Bets35[[#This Row],[Odds]]&gt;0,Bets35[[#This Row],[Odds]]/100*Bets35[[#This Row],[Risk]],(Bets35[[#This Row],[Risk]]/Bets35[[#This Row],[Odds]]*-100)),""))))</f>
        <v>-10.5</v>
      </c>
      <c r="J175" s="23" t="str">
        <f>IF(ISNUMBER(SEARCH(CHAR(10),Bets35[[#This Row],[Bet]])),"P",IF(ISNUMBER(FIND("Under",Bets35[[#This Row],[Bet]])),"U",IF(ISNUMBER(SEARCH("Over",Bets35[[#This Row],[Bet]])),"O",IF(ISNUMBER(SEARCH("+",Bets35[[#This Row],[Bet]])),"D",IF(ISNUMBER(SEARCH("-",Bets35[[#This Row],[Bet]])),"F",IF(ISNUMBER(SEARCH("Moneyline",Bets35[[#This Row],[Bet]])),IF(Bets35[[#This Row],[Odds]]&lt;0,"MF","MD"),""))))))</f>
        <v>U</v>
      </c>
      <c r="K175" s="24"/>
      <c r="N175" s="70"/>
      <c r="O175" s="27"/>
    </row>
    <row r="176" spans="1:15" x14ac:dyDescent="0.25">
      <c r="A176" s="13">
        <f t="shared" si="8"/>
        <v>16</v>
      </c>
      <c r="B176" s="17">
        <v>43601</v>
      </c>
      <c r="C176" s="17" t="s">
        <v>802</v>
      </c>
      <c r="D176" s="18" t="s">
        <v>1255</v>
      </c>
      <c r="E176" s="11" t="s">
        <v>877</v>
      </c>
      <c r="F176" s="19">
        <f>IF(Bets35[[#This Row],[Odds]]&lt;0,Bets35[[#This Row],[Odds]]/-10,10)</f>
        <v>10.5</v>
      </c>
      <c r="G176" s="37">
        <v>-105</v>
      </c>
      <c r="H176" s="21" t="s">
        <v>263</v>
      </c>
      <c r="I176" s="45">
        <f>IF(Bets35[[#This Row],[Result]]="L",0-Bets35[[#This Row],[Risk]],IF(Bets35[[#This Row],[Result]]="Push",0,IF(Bets35[[#This Row],[Result]]="No Action",0,IF(Bets35[[#This Row],[Result]]="W",IF(Bets35[[#This Row],[Odds]]&gt;0,Bets35[[#This Row],[Odds]]/100*Bets35[[#This Row],[Risk]],(Bets35[[#This Row],[Risk]]/Bets35[[#This Row],[Odds]]*-100)),""))))</f>
        <v>-10.5</v>
      </c>
      <c r="J176" s="23" t="str">
        <f>IF(ISNUMBER(SEARCH(CHAR(10),Bets35[[#This Row],[Bet]])),"P",IF(ISNUMBER(FIND("Under",Bets35[[#This Row],[Bet]])),"U",IF(ISNUMBER(SEARCH("Over",Bets35[[#This Row],[Bet]])),"O",IF(ISNUMBER(SEARCH("+",Bets35[[#This Row],[Bet]])),"D",IF(ISNUMBER(SEARCH("-",Bets35[[#This Row],[Bet]])),"F",IF(ISNUMBER(SEARCH("Moneyline",Bets35[[#This Row],[Bet]])),IF(Bets35[[#This Row],[Odds]]&lt;0,"MF","MD"),""))))))</f>
        <v>U</v>
      </c>
      <c r="K176" s="24"/>
      <c r="N176" s="70"/>
      <c r="O176" s="27"/>
    </row>
    <row r="177" spans="1:15" x14ac:dyDescent="0.25">
      <c r="A177" s="13">
        <f t="shared" si="8"/>
        <v>16</v>
      </c>
      <c r="B177" s="17">
        <v>43601</v>
      </c>
      <c r="C177" s="17" t="s">
        <v>802</v>
      </c>
      <c r="D177" s="18" t="s">
        <v>1246</v>
      </c>
      <c r="E177" s="11" t="s">
        <v>877</v>
      </c>
      <c r="F177" s="19">
        <f>IF(Bets35[[#This Row],[Odds]]&lt;0,Bets35[[#This Row],[Odds]]/-10,10)</f>
        <v>10</v>
      </c>
      <c r="G177" s="37">
        <v>100</v>
      </c>
      <c r="H177" s="21" t="s">
        <v>262</v>
      </c>
      <c r="I177" s="45">
        <f>IF(Bets35[[#This Row],[Result]]="L",0-Bets35[[#This Row],[Risk]],IF(Bets35[[#This Row],[Result]]="Push",0,IF(Bets35[[#This Row],[Result]]="No Action",0,IF(Bets35[[#This Row],[Result]]="W",IF(Bets35[[#This Row],[Odds]]&gt;0,Bets35[[#This Row],[Odds]]/100*Bets35[[#This Row],[Risk]],(Bets35[[#This Row],[Risk]]/Bets35[[#This Row],[Odds]]*-100)),""))))</f>
        <v>10</v>
      </c>
      <c r="J177" s="23" t="str">
        <f>IF(ISNUMBER(SEARCH(CHAR(10),Bets35[[#This Row],[Bet]])),"P",IF(ISNUMBER(FIND("Under",Bets35[[#This Row],[Bet]])),"U",IF(ISNUMBER(SEARCH("Over",Bets35[[#This Row],[Bet]])),"O",IF(ISNUMBER(SEARCH("+",Bets35[[#This Row],[Bet]])),"D",IF(ISNUMBER(SEARCH("-",Bets35[[#This Row],[Bet]])),"F",IF(ISNUMBER(SEARCH("Moneyline",Bets35[[#This Row],[Bet]])),IF(Bets35[[#This Row],[Odds]]&lt;0,"MF","MD"),""))))))</f>
        <v>U</v>
      </c>
      <c r="K177" s="24"/>
      <c r="N177" s="70"/>
      <c r="O177" s="27"/>
    </row>
    <row r="178" spans="1:15" x14ac:dyDescent="0.25">
      <c r="A178" s="13">
        <f t="shared" si="8"/>
        <v>16</v>
      </c>
      <c r="B178" s="17">
        <v>43601</v>
      </c>
      <c r="C178" s="17" t="s">
        <v>802</v>
      </c>
      <c r="D178" s="18" t="s">
        <v>1250</v>
      </c>
      <c r="E178" s="11" t="s">
        <v>1209</v>
      </c>
      <c r="F178" s="19">
        <f>IF(Bets35[[#This Row],[Odds]]&lt;0,Bets35[[#This Row],[Odds]]/-10,10)</f>
        <v>11.5</v>
      </c>
      <c r="G178" s="37">
        <v>-115</v>
      </c>
      <c r="H178" s="21" t="s">
        <v>263</v>
      </c>
      <c r="I178" s="45">
        <f>IF(Bets35[[#This Row],[Result]]="L",0-Bets35[[#This Row],[Risk]],IF(Bets35[[#This Row],[Result]]="Push",0,IF(Bets35[[#This Row],[Result]]="No Action",0,IF(Bets35[[#This Row],[Result]]="W",IF(Bets35[[#This Row],[Odds]]&gt;0,Bets35[[#This Row],[Odds]]/100*Bets35[[#This Row],[Risk]],(Bets35[[#This Row],[Risk]]/Bets35[[#This Row],[Odds]]*-100)),""))))</f>
        <v>-11.5</v>
      </c>
      <c r="J178" s="23" t="str">
        <f>IF(ISNUMBER(SEARCH(CHAR(10),Bets35[[#This Row],[Bet]])),"P",IF(ISNUMBER(FIND("Under",Bets35[[#This Row],[Bet]])),"U",IF(ISNUMBER(SEARCH("Over",Bets35[[#This Row],[Bet]])),"O",IF(ISNUMBER(SEARCH("+",Bets35[[#This Row],[Bet]])),"D",IF(ISNUMBER(SEARCH("-",Bets35[[#This Row],[Bet]])),"F",IF(ISNUMBER(SEARCH("Moneyline",Bets35[[#This Row],[Bet]])),IF(Bets35[[#This Row],[Odds]]&lt;0,"MF","MD"),""))))))</f>
        <v>U</v>
      </c>
      <c r="K178" s="24"/>
      <c r="N178" s="70"/>
      <c r="O178" s="27"/>
    </row>
    <row r="179" spans="1:15" x14ac:dyDescent="0.25">
      <c r="A179" s="13">
        <f t="shared" si="8"/>
        <v>16</v>
      </c>
      <c r="B179" s="17">
        <v>43601</v>
      </c>
      <c r="C179" s="17" t="s">
        <v>802</v>
      </c>
      <c r="D179" s="18" t="s">
        <v>1256</v>
      </c>
      <c r="E179" s="11" t="s">
        <v>1156</v>
      </c>
      <c r="F179" s="19">
        <f>IF(Bets35[[#This Row],[Odds]]&lt;0,Bets35[[#This Row],[Odds]]/-10,10)</f>
        <v>11.5</v>
      </c>
      <c r="G179" s="37">
        <v>-115</v>
      </c>
      <c r="H179" s="21" t="s">
        <v>262</v>
      </c>
      <c r="I179" s="45">
        <f>IF(Bets35[[#This Row],[Result]]="L",0-Bets35[[#This Row],[Risk]],IF(Bets35[[#This Row],[Result]]="Push",0,IF(Bets35[[#This Row],[Result]]="No Action",0,IF(Bets35[[#This Row],[Result]]="W",IF(Bets35[[#This Row],[Odds]]&gt;0,Bets35[[#This Row],[Odds]]/100*Bets35[[#This Row],[Risk]],(Bets35[[#This Row],[Risk]]/Bets35[[#This Row],[Odds]]*-100)),""))))</f>
        <v>10</v>
      </c>
      <c r="J179" s="23" t="str">
        <f>IF(ISNUMBER(SEARCH(CHAR(10),Bets35[[#This Row],[Bet]])),"P",IF(ISNUMBER(FIND("Under",Bets35[[#This Row],[Bet]])),"U",IF(ISNUMBER(SEARCH("Over",Bets35[[#This Row],[Bet]])),"O",IF(ISNUMBER(SEARCH("+",Bets35[[#This Row],[Bet]])),"D",IF(ISNUMBER(SEARCH("-",Bets35[[#This Row],[Bet]])),"F",IF(ISNUMBER(SEARCH("Moneyline",Bets35[[#This Row],[Bet]])),IF(Bets35[[#This Row],[Odds]]&lt;0,"MF","MD"),""))))))</f>
        <v>O</v>
      </c>
      <c r="K179" s="24"/>
      <c r="N179" s="70"/>
      <c r="O179" s="27"/>
    </row>
    <row r="180" spans="1:15" x14ac:dyDescent="0.25">
      <c r="A180" s="13">
        <f t="shared" si="8"/>
        <v>16</v>
      </c>
      <c r="B180" s="17">
        <v>43601</v>
      </c>
      <c r="C180" s="17" t="s">
        <v>802</v>
      </c>
      <c r="D180" s="18" t="s">
        <v>1257</v>
      </c>
      <c r="E180" s="11" t="s">
        <v>876</v>
      </c>
      <c r="F180" s="19">
        <f>IF(Bets35[[#This Row],[Odds]]&lt;0,Bets35[[#This Row],[Odds]]/-10,10)</f>
        <v>10</v>
      </c>
      <c r="G180" s="37" t="s">
        <v>886</v>
      </c>
      <c r="H180" s="21" t="s">
        <v>263</v>
      </c>
      <c r="I180" s="45">
        <f>IF(Bets35[[#This Row],[Result]]="L",0-Bets35[[#This Row],[Risk]],IF(Bets35[[#This Row],[Result]]="Push",0,IF(Bets35[[#This Row],[Result]]="No Action",0,IF(Bets35[[#This Row],[Result]]="W",IF(Bets35[[#This Row],[Odds]]&gt;0,Bets35[[#This Row],[Odds]]/100*Bets35[[#This Row],[Risk]],(Bets35[[#This Row],[Risk]]/Bets35[[#This Row],[Odds]]*-100)),""))))</f>
        <v>-10</v>
      </c>
      <c r="J180" s="23" t="str">
        <f>IF(ISNUMBER(SEARCH(CHAR(10),Bets35[[#This Row],[Bet]])),"P",IF(ISNUMBER(FIND("Under",Bets35[[#This Row],[Bet]])),"U",IF(ISNUMBER(SEARCH("Over",Bets35[[#This Row],[Bet]])),"O",IF(ISNUMBER(SEARCH("+",Bets35[[#This Row],[Bet]])),"D",IF(ISNUMBER(SEARCH("-",Bets35[[#This Row],[Bet]])),"F",IF(ISNUMBER(SEARCH("Moneyline",Bets35[[#This Row],[Bet]])),IF(Bets35[[#This Row],[Odds]]&lt;0,"MF","MD"),""))))))</f>
        <v>MD</v>
      </c>
      <c r="K180" s="24"/>
      <c r="N180" s="70"/>
      <c r="O180" s="27"/>
    </row>
    <row r="181" spans="1:15" x14ac:dyDescent="0.25">
      <c r="A181" s="13">
        <f t="shared" si="8"/>
        <v>17</v>
      </c>
      <c r="B181" s="17">
        <v>43602</v>
      </c>
      <c r="C181" s="17" t="s">
        <v>802</v>
      </c>
      <c r="D181" s="18" t="s">
        <v>1263</v>
      </c>
      <c r="E181" s="11" t="s">
        <v>822</v>
      </c>
      <c r="F181" s="19">
        <f>IF(Bets35[[#This Row],[Odds]]&lt;0,Bets35[[#This Row],[Odds]]/-10,10)</f>
        <v>12.2</v>
      </c>
      <c r="G181" s="71">
        <v>-122</v>
      </c>
      <c r="H181" s="21" t="s">
        <v>262</v>
      </c>
      <c r="I181" s="45">
        <f>IF(Bets35[[#This Row],[Result]]="L",0-Bets35[[#This Row],[Risk]],IF(Bets35[[#This Row],[Result]]="Push",0,IF(Bets35[[#This Row],[Result]]="No Action",0,IF(Bets35[[#This Row],[Result]]="W",IF(Bets35[[#This Row],[Odds]]&gt;0,Bets35[[#This Row],[Odds]]/100*Bets35[[#This Row],[Risk]],(Bets35[[#This Row],[Risk]]/Bets35[[#This Row],[Odds]]*-100)),""))))</f>
        <v>10</v>
      </c>
      <c r="J181" s="23" t="str">
        <f>IF(ISNUMBER(SEARCH(CHAR(10),Bets35[[#This Row],[Bet]])),"P",IF(ISNUMBER(FIND("Under",Bets35[[#This Row],[Bet]])),"U",IF(ISNUMBER(SEARCH("Over",Bets35[[#This Row],[Bet]])),"O",IF(ISNUMBER(SEARCH("+",Bets35[[#This Row],[Bet]])),"D",IF(ISNUMBER(SEARCH("-",Bets35[[#This Row],[Bet]])),"F",IF(ISNUMBER(SEARCH("Moneyline",Bets35[[#This Row],[Bet]])),IF(Bets35[[#This Row],[Odds]]&lt;0,"MF","MD"),""))))))</f>
        <v>MF</v>
      </c>
      <c r="K181" s="24"/>
      <c r="N181" s="70"/>
      <c r="O181" s="27"/>
    </row>
    <row r="182" spans="1:15" x14ac:dyDescent="0.25">
      <c r="A182" s="13">
        <f t="shared" si="8"/>
        <v>17</v>
      </c>
      <c r="B182" s="17">
        <v>43602</v>
      </c>
      <c r="C182" s="17" t="s">
        <v>802</v>
      </c>
      <c r="D182" s="18" t="s">
        <v>1264</v>
      </c>
      <c r="E182" s="11" t="s">
        <v>867</v>
      </c>
      <c r="F182" s="19">
        <f>IF(Bets35[[#This Row],[Odds]]&lt;0,Bets35[[#This Row],[Odds]]/-10,10)</f>
        <v>10</v>
      </c>
      <c r="G182" s="71" t="s">
        <v>868</v>
      </c>
      <c r="H182" s="21" t="s">
        <v>262</v>
      </c>
      <c r="I182" s="45">
        <f>IF(Bets35[[#This Row],[Result]]="L",0-Bets35[[#This Row],[Risk]],IF(Bets35[[#This Row],[Result]]="Push",0,IF(Bets35[[#This Row],[Result]]="No Action",0,IF(Bets35[[#This Row],[Result]]="W",IF(Bets35[[#This Row],[Odds]]&gt;0,Bets35[[#This Row],[Odds]]/100*Bets35[[#This Row],[Risk]],(Bets35[[#This Row],[Risk]]/Bets35[[#This Row],[Odds]]*-100)),""))))</f>
        <v>12.5</v>
      </c>
      <c r="J182" s="23" t="str">
        <f>IF(ISNUMBER(SEARCH(CHAR(10),Bets35[[#This Row],[Bet]])),"P",IF(ISNUMBER(FIND("Under",Bets35[[#This Row],[Bet]])),"U",IF(ISNUMBER(SEARCH("Over",Bets35[[#This Row],[Bet]])),"O",IF(ISNUMBER(SEARCH("+",Bets35[[#This Row],[Bet]])),"D",IF(ISNUMBER(SEARCH("-",Bets35[[#This Row],[Bet]])),"F",IF(ISNUMBER(SEARCH("Moneyline",Bets35[[#This Row],[Bet]])),IF(Bets35[[#This Row],[Odds]]&lt;0,"MF","MD"),""))))))</f>
        <v>MD</v>
      </c>
      <c r="K182" s="24"/>
      <c r="N182" s="70"/>
      <c r="O182" s="27"/>
    </row>
    <row r="183" spans="1:15" x14ac:dyDescent="0.25">
      <c r="A183" s="13">
        <f t="shared" si="8"/>
        <v>17</v>
      </c>
      <c r="B183" s="17">
        <v>43602</v>
      </c>
      <c r="C183" s="17" t="s">
        <v>802</v>
      </c>
      <c r="D183" s="18" t="s">
        <v>1265</v>
      </c>
      <c r="E183" s="11" t="s">
        <v>897</v>
      </c>
      <c r="F183" s="19">
        <f>IF(Bets35[[#This Row],[Odds]]&lt;0,Bets35[[#This Row],[Odds]]/-10,10)</f>
        <v>13.8</v>
      </c>
      <c r="G183" s="71">
        <v>-138</v>
      </c>
      <c r="H183" s="21" t="s">
        <v>262</v>
      </c>
      <c r="I183" s="45">
        <f>IF(Bets35[[#This Row],[Result]]="L",0-Bets35[[#This Row],[Risk]],IF(Bets35[[#This Row],[Result]]="Push",0,IF(Bets35[[#This Row],[Result]]="No Action",0,IF(Bets35[[#This Row],[Result]]="W",IF(Bets35[[#This Row],[Odds]]&gt;0,Bets35[[#This Row],[Odds]]/100*Bets35[[#This Row],[Risk]],(Bets35[[#This Row],[Risk]]/Bets35[[#This Row],[Odds]]*-100)),""))))</f>
        <v>10</v>
      </c>
      <c r="J183" s="23" t="str">
        <f>IF(ISNUMBER(SEARCH(CHAR(10),Bets35[[#This Row],[Bet]])),"P",IF(ISNUMBER(FIND("Under",Bets35[[#This Row],[Bet]])),"U",IF(ISNUMBER(SEARCH("Over",Bets35[[#This Row],[Bet]])),"O",IF(ISNUMBER(SEARCH("+",Bets35[[#This Row],[Bet]])),"D",IF(ISNUMBER(SEARCH("-",Bets35[[#This Row],[Bet]])),"F",IF(ISNUMBER(SEARCH("Moneyline",Bets35[[#This Row],[Bet]])),IF(Bets35[[#This Row],[Odds]]&lt;0,"MF","MD"),""))))))</f>
        <v>MF</v>
      </c>
      <c r="K183" s="24"/>
      <c r="N183" s="70"/>
      <c r="O183" s="27"/>
    </row>
    <row r="184" spans="1:15" x14ac:dyDescent="0.25">
      <c r="A184" s="13">
        <f t="shared" si="8"/>
        <v>17</v>
      </c>
      <c r="B184" s="17">
        <v>43602</v>
      </c>
      <c r="C184" s="17" t="s">
        <v>802</v>
      </c>
      <c r="D184" s="18" t="s">
        <v>1266</v>
      </c>
      <c r="E184" s="11" t="s">
        <v>880</v>
      </c>
      <c r="F184" s="19">
        <f>IF(Bets35[[#This Row],[Odds]]&lt;0,Bets35[[#This Row],[Odds]]/-10,10)</f>
        <v>10.5</v>
      </c>
      <c r="G184" s="71">
        <v>-105</v>
      </c>
      <c r="H184" s="21" t="s">
        <v>262</v>
      </c>
      <c r="I184" s="45">
        <f>IF(Bets35[[#This Row],[Result]]="L",0-Bets35[[#This Row],[Risk]],IF(Bets35[[#This Row],[Result]]="Push",0,IF(Bets35[[#This Row],[Result]]="No Action",0,IF(Bets35[[#This Row],[Result]]="W",IF(Bets35[[#This Row],[Odds]]&gt;0,Bets35[[#This Row],[Odds]]/100*Bets35[[#This Row],[Risk]],(Bets35[[#This Row],[Risk]]/Bets35[[#This Row],[Odds]]*-100)),""))))</f>
        <v>10</v>
      </c>
      <c r="J184" s="39" t="str">
        <f>IF(ISNUMBER(SEARCH(CHAR(10),Bets35[[#This Row],[Bet]])),"P",IF(ISNUMBER(FIND("Under",Bets35[[#This Row],[Bet]])),"U",IF(ISNUMBER(SEARCH("Over",Bets35[[#This Row],[Bet]])),"O",IF(ISNUMBER(SEARCH("+",Bets35[[#This Row],[Bet]])),"D",IF(ISNUMBER(SEARCH("-",Bets35[[#This Row],[Bet]])),"F",IF(ISNUMBER(SEARCH("Moneyline",Bets35[[#This Row],[Bet]])),IF(Bets35[[#This Row],[Odds]]&lt;0,"MF","MD"),""))))))</f>
        <v>U</v>
      </c>
      <c r="K184" s="24"/>
      <c r="N184" s="70"/>
      <c r="O184" s="27"/>
    </row>
    <row r="185" spans="1:15" x14ac:dyDescent="0.25">
      <c r="A185" s="13">
        <f t="shared" si="8"/>
        <v>17</v>
      </c>
      <c r="B185" s="17">
        <v>43602</v>
      </c>
      <c r="C185" s="17" t="s">
        <v>802</v>
      </c>
      <c r="D185" s="18" t="s">
        <v>1267</v>
      </c>
      <c r="E185" s="11" t="s">
        <v>869</v>
      </c>
      <c r="F185" s="19">
        <f>IF(Bets35[[#This Row],[Odds]]&lt;0,Bets35[[#This Row],[Odds]]/-10,10)</f>
        <v>16.2</v>
      </c>
      <c r="G185" s="71">
        <v>-162</v>
      </c>
      <c r="H185" s="21" t="s">
        <v>263</v>
      </c>
      <c r="I185" s="45">
        <f>IF(Bets35[[#This Row],[Result]]="L",0-Bets35[[#This Row],[Risk]],IF(Bets35[[#This Row],[Result]]="Push",0,IF(Bets35[[#This Row],[Result]]="No Action",0,IF(Bets35[[#This Row],[Result]]="W",IF(Bets35[[#This Row],[Odds]]&gt;0,Bets35[[#This Row],[Odds]]/100*Bets35[[#This Row],[Risk]],(Bets35[[#This Row],[Risk]]/Bets35[[#This Row],[Odds]]*-100)),""))))</f>
        <v>-16.2</v>
      </c>
      <c r="J185" s="39" t="str">
        <f>IF(ISNUMBER(SEARCH(CHAR(10),Bets35[[#This Row],[Bet]])),"P",IF(ISNUMBER(FIND("Under",Bets35[[#This Row],[Bet]])),"U",IF(ISNUMBER(SEARCH("Over",Bets35[[#This Row],[Bet]])),"O",IF(ISNUMBER(SEARCH("+",Bets35[[#This Row],[Bet]])),"D",IF(ISNUMBER(SEARCH("-",Bets35[[#This Row],[Bet]])),"F",IF(ISNUMBER(SEARCH("Moneyline",Bets35[[#This Row],[Bet]])),IF(Bets35[[#This Row],[Odds]]&lt;0,"MF","MD"),""))))))</f>
        <v>MF</v>
      </c>
      <c r="K185" s="24"/>
      <c r="N185" s="70"/>
      <c r="O185" s="27"/>
    </row>
    <row r="186" spans="1:15" x14ac:dyDescent="0.25">
      <c r="A186" s="13">
        <f t="shared" si="8"/>
        <v>17</v>
      </c>
      <c r="B186" s="17">
        <v>43602</v>
      </c>
      <c r="C186" s="17" t="s">
        <v>802</v>
      </c>
      <c r="D186" s="18" t="s">
        <v>1255</v>
      </c>
      <c r="E186" s="11" t="s">
        <v>933</v>
      </c>
      <c r="F186" s="19">
        <f>IF(Bets35[[#This Row],[Odds]]&lt;0,Bets35[[#This Row],[Odds]]/-10,10)</f>
        <v>12</v>
      </c>
      <c r="G186" s="71">
        <v>-120</v>
      </c>
      <c r="H186" s="21" t="s">
        <v>846</v>
      </c>
      <c r="I186" s="45">
        <f>IF(Bets35[[#This Row],[Result]]="L",0-Bets35[[#This Row],[Risk]],IF(Bets35[[#This Row],[Result]]="Push",0,IF(Bets35[[#This Row],[Result]]="No Action",0,IF(Bets35[[#This Row],[Result]]="W",IF(Bets35[[#This Row],[Odds]]&gt;0,Bets35[[#This Row],[Odds]]/100*Bets35[[#This Row],[Risk]],(Bets35[[#This Row],[Risk]]/Bets35[[#This Row],[Odds]]*-100)),""))))</f>
        <v>0</v>
      </c>
      <c r="J186" s="39" t="str">
        <f>IF(ISNUMBER(SEARCH(CHAR(10),Bets35[[#This Row],[Bet]])),"P",IF(ISNUMBER(FIND("Under",Bets35[[#This Row],[Bet]])),"U",IF(ISNUMBER(SEARCH("Over",Bets35[[#This Row],[Bet]])),"O",IF(ISNUMBER(SEARCH("+",Bets35[[#This Row],[Bet]])),"D",IF(ISNUMBER(SEARCH("-",Bets35[[#This Row],[Bet]])),"F",IF(ISNUMBER(SEARCH("Moneyline",Bets35[[#This Row],[Bet]])),IF(Bets35[[#This Row],[Odds]]&lt;0,"MF","MD"),""))))))</f>
        <v>U</v>
      </c>
      <c r="K186" s="24"/>
      <c r="N186" s="70"/>
      <c r="O186" s="27"/>
    </row>
    <row r="187" spans="1:15" x14ac:dyDescent="0.25">
      <c r="A187" s="13">
        <f t="shared" si="8"/>
        <v>17</v>
      </c>
      <c r="B187" s="17">
        <v>43602</v>
      </c>
      <c r="C187" s="17" t="s">
        <v>802</v>
      </c>
      <c r="D187" s="18" t="s">
        <v>1257</v>
      </c>
      <c r="E187" s="11" t="s">
        <v>876</v>
      </c>
      <c r="F187" s="19">
        <f>IF(Bets35[[#This Row],[Odds]]&lt;0,Bets35[[#This Row],[Odds]]/-10,10)</f>
        <v>10</v>
      </c>
      <c r="G187" s="71" t="s">
        <v>1268</v>
      </c>
      <c r="H187" s="21" t="s">
        <v>262</v>
      </c>
      <c r="I187" s="45">
        <f>IF(Bets35[[#This Row],[Result]]="L",0-Bets35[[#This Row],[Risk]],IF(Bets35[[#This Row],[Result]]="Push",0,IF(Bets35[[#This Row],[Result]]="No Action",0,IF(Bets35[[#This Row],[Result]]="W",IF(Bets35[[#This Row],[Odds]]&gt;0,Bets35[[#This Row],[Odds]]/100*Bets35[[#This Row],[Risk]],(Bets35[[#This Row],[Risk]]/Bets35[[#This Row],[Odds]]*-100)),""))))</f>
        <v>13.799999999999999</v>
      </c>
      <c r="J187" s="39" t="str">
        <f>IF(ISNUMBER(SEARCH(CHAR(10),Bets35[[#This Row],[Bet]])),"P",IF(ISNUMBER(FIND("Under",Bets35[[#This Row],[Bet]])),"U",IF(ISNUMBER(SEARCH("Over",Bets35[[#This Row],[Bet]])),"O",IF(ISNUMBER(SEARCH("+",Bets35[[#This Row],[Bet]])),"D",IF(ISNUMBER(SEARCH("-",Bets35[[#This Row],[Bet]])),"F",IF(ISNUMBER(SEARCH("Moneyline",Bets35[[#This Row],[Bet]])),IF(Bets35[[#This Row],[Odds]]&lt;0,"MF","MD"),""))))))</f>
        <v>MD</v>
      </c>
      <c r="K187" s="24"/>
      <c r="N187" s="70"/>
      <c r="O187" s="27"/>
    </row>
    <row r="188" spans="1:15" x14ac:dyDescent="0.25">
      <c r="A188" s="13">
        <f t="shared" si="8"/>
        <v>18</v>
      </c>
      <c r="B188" s="17">
        <v>43606</v>
      </c>
      <c r="C188" s="17" t="s">
        <v>802</v>
      </c>
      <c r="D188" s="18" t="s">
        <v>1282</v>
      </c>
      <c r="E188" s="11" t="s">
        <v>834</v>
      </c>
      <c r="F188" s="19">
        <f>IF(Bets35[[#This Row],[Odds]]&lt;0,Bets35[[#This Row],[Odds]]/-10,10)</f>
        <v>10</v>
      </c>
      <c r="G188" s="37" t="s">
        <v>1283</v>
      </c>
      <c r="H188" s="21" t="s">
        <v>262</v>
      </c>
      <c r="I188" s="45">
        <f>IF(Bets35[[#This Row],[Result]]="L",0-Bets35[[#This Row],[Risk]],IF(Bets35[[#This Row],[Result]]="Push",0,IF(Bets35[[#This Row],[Result]]="No Action",0,IF(Bets35[[#This Row],[Result]]="W",IF(Bets35[[#This Row],[Odds]]&gt;0,Bets35[[#This Row],[Odds]]/100*Bets35[[#This Row],[Risk]],(Bets35[[#This Row],[Risk]]/Bets35[[#This Row],[Odds]]*-100)),""))))</f>
        <v>10.8</v>
      </c>
      <c r="J188" s="39" t="str">
        <f>IF(ISNUMBER(SEARCH(CHAR(10),Bets35[[#This Row],[Bet]])),"P",IF(ISNUMBER(FIND("Under",Bets35[[#This Row],[Bet]])),"U",IF(ISNUMBER(SEARCH("Over",Bets35[[#This Row],[Bet]])),"O",IF(ISNUMBER(SEARCH("+",Bets35[[#This Row],[Bet]])),"D",IF(ISNUMBER(SEARCH("-",Bets35[[#This Row],[Bet]])),"F",IF(ISNUMBER(SEARCH("Moneyline",Bets35[[#This Row],[Bet]])),IF(Bets35[[#This Row],[Odds]]&lt;0,"MF","MD"),""))))))</f>
        <v>MD</v>
      </c>
      <c r="K188" s="24"/>
      <c r="N188" s="70"/>
      <c r="O188" s="27"/>
    </row>
    <row r="189" spans="1:15" x14ac:dyDescent="0.25">
      <c r="A189" s="13">
        <f t="shared" si="8"/>
        <v>18</v>
      </c>
      <c r="B189" s="17">
        <v>43606</v>
      </c>
      <c r="C189" s="17" t="s">
        <v>802</v>
      </c>
      <c r="D189" s="18" t="s">
        <v>1282</v>
      </c>
      <c r="E189" s="11" t="s">
        <v>877</v>
      </c>
      <c r="F189" s="19">
        <f>IF(Bets35[[#This Row],[Odds]]&lt;0,Bets35[[#This Row],[Odds]]/-10,10)</f>
        <v>11.5</v>
      </c>
      <c r="G189" s="37">
        <v>-115</v>
      </c>
      <c r="H189" s="21" t="s">
        <v>262</v>
      </c>
      <c r="I189" s="45">
        <f>IF(Bets35[[#This Row],[Result]]="L",0-Bets35[[#This Row],[Risk]],IF(Bets35[[#This Row],[Result]]="Push",0,IF(Bets35[[#This Row],[Result]]="No Action",0,IF(Bets35[[#This Row],[Result]]="W",IF(Bets35[[#This Row],[Odds]]&gt;0,Bets35[[#This Row],[Odds]]/100*Bets35[[#This Row],[Risk]],(Bets35[[#This Row],[Risk]]/Bets35[[#This Row],[Odds]]*-100)),""))))</f>
        <v>10</v>
      </c>
      <c r="J189" s="39" t="str">
        <f>IF(ISNUMBER(SEARCH(CHAR(10),Bets35[[#This Row],[Bet]])),"P",IF(ISNUMBER(FIND("Under",Bets35[[#This Row],[Bet]])),"U",IF(ISNUMBER(SEARCH("Over",Bets35[[#This Row],[Bet]])),"O",IF(ISNUMBER(SEARCH("+",Bets35[[#This Row],[Bet]])),"D",IF(ISNUMBER(SEARCH("-",Bets35[[#This Row],[Bet]])),"F",IF(ISNUMBER(SEARCH("Moneyline",Bets35[[#This Row],[Bet]])),IF(Bets35[[#This Row],[Odds]]&lt;0,"MF","MD"),""))))))</f>
        <v>U</v>
      </c>
      <c r="K189" s="24"/>
      <c r="N189" s="70"/>
      <c r="O189" s="27"/>
    </row>
    <row r="190" spans="1:15" x14ac:dyDescent="0.25">
      <c r="A190" s="13">
        <f t="shared" si="8"/>
        <v>18</v>
      </c>
      <c r="B190" s="17">
        <v>43606</v>
      </c>
      <c r="C190" s="17" t="s">
        <v>802</v>
      </c>
      <c r="D190" s="18" t="s">
        <v>1284</v>
      </c>
      <c r="E190" s="11" t="s">
        <v>1153</v>
      </c>
      <c r="F190" s="19">
        <f>IF(Bets35[[#This Row],[Odds]]&lt;0,Bets35[[#This Row],[Odds]]/-10,10)</f>
        <v>12.5</v>
      </c>
      <c r="G190" s="37">
        <v>-125</v>
      </c>
      <c r="H190" s="21" t="s">
        <v>262</v>
      </c>
      <c r="I190" s="45">
        <f>IF(Bets35[[#This Row],[Result]]="L",0-Bets35[[#This Row],[Risk]],IF(Bets35[[#This Row],[Result]]="Push",0,IF(Bets35[[#This Row],[Result]]="No Action",0,IF(Bets35[[#This Row],[Result]]="W",IF(Bets35[[#This Row],[Odds]]&gt;0,Bets35[[#This Row],[Odds]]/100*Bets35[[#This Row],[Risk]],(Bets35[[#This Row],[Risk]]/Bets35[[#This Row],[Odds]]*-100)),""))))</f>
        <v>10</v>
      </c>
      <c r="J190" s="39" t="str">
        <f>IF(ISNUMBER(SEARCH(CHAR(10),Bets35[[#This Row],[Bet]])),"P",IF(ISNUMBER(FIND("Under",Bets35[[#This Row],[Bet]])),"U",IF(ISNUMBER(SEARCH("Over",Bets35[[#This Row],[Bet]])),"O",IF(ISNUMBER(SEARCH("+",Bets35[[#This Row],[Bet]])),"D",IF(ISNUMBER(SEARCH("-",Bets35[[#This Row],[Bet]])),"F",IF(ISNUMBER(SEARCH("Moneyline",Bets35[[#This Row],[Bet]])),IF(Bets35[[#This Row],[Odds]]&lt;0,"MF","MD"),""))))))</f>
        <v>MF</v>
      </c>
      <c r="K190" s="24"/>
      <c r="N190" s="70"/>
      <c r="O190" s="27"/>
    </row>
    <row r="191" spans="1:15" x14ac:dyDescent="0.25">
      <c r="A191" s="13">
        <f t="shared" si="8"/>
        <v>18</v>
      </c>
      <c r="B191" s="17">
        <v>43606</v>
      </c>
      <c r="C191" s="17" t="s">
        <v>802</v>
      </c>
      <c r="D191" s="18" t="s">
        <v>1285</v>
      </c>
      <c r="E191" s="11" t="s">
        <v>880</v>
      </c>
      <c r="F191" s="19">
        <f>IF(Bets35[[#This Row],[Odds]]&lt;0,Bets35[[#This Row],[Odds]]/-10,10)</f>
        <v>12</v>
      </c>
      <c r="G191" s="37">
        <v>-120</v>
      </c>
      <c r="H191" s="21" t="s">
        <v>263</v>
      </c>
      <c r="I191" s="45">
        <f>IF(Bets35[[#This Row],[Result]]="L",0-Bets35[[#This Row],[Risk]],IF(Bets35[[#This Row],[Result]]="Push",0,IF(Bets35[[#This Row],[Result]]="No Action",0,IF(Bets35[[#This Row],[Result]]="W",IF(Bets35[[#This Row],[Odds]]&gt;0,Bets35[[#This Row],[Odds]]/100*Bets35[[#This Row],[Risk]],(Bets35[[#This Row],[Risk]]/Bets35[[#This Row],[Odds]]*-100)),""))))</f>
        <v>-12</v>
      </c>
      <c r="J191" s="39" t="str">
        <f>IF(ISNUMBER(SEARCH(CHAR(10),Bets35[[#This Row],[Bet]])),"P",IF(ISNUMBER(FIND("Under",Bets35[[#This Row],[Bet]])),"U",IF(ISNUMBER(SEARCH("Over",Bets35[[#This Row],[Bet]])),"O",IF(ISNUMBER(SEARCH("+",Bets35[[#This Row],[Bet]])),"D",IF(ISNUMBER(SEARCH("-",Bets35[[#This Row],[Bet]])),"F",IF(ISNUMBER(SEARCH("Moneyline",Bets35[[#This Row],[Bet]])),IF(Bets35[[#This Row],[Odds]]&lt;0,"MF","MD"),""))))))</f>
        <v>U</v>
      </c>
      <c r="K191" s="24"/>
      <c r="N191" s="70"/>
      <c r="O191" s="27"/>
    </row>
    <row r="192" spans="1:15" x14ac:dyDescent="0.25">
      <c r="A192" s="13">
        <f t="shared" si="8"/>
        <v>18</v>
      </c>
      <c r="B192" s="17">
        <v>43606</v>
      </c>
      <c r="C192" s="17" t="s">
        <v>802</v>
      </c>
      <c r="D192" s="18" t="s">
        <v>1286</v>
      </c>
      <c r="E192" s="11" t="s">
        <v>1287</v>
      </c>
      <c r="F192" s="19">
        <f>IF(Bets35[[#This Row],[Odds]]&lt;0,Bets35[[#This Row],[Odds]]/-10,10)</f>
        <v>12.5</v>
      </c>
      <c r="G192" s="37">
        <v>-125</v>
      </c>
      <c r="H192" s="21" t="s">
        <v>263</v>
      </c>
      <c r="I192" s="45">
        <f>IF(Bets35[[#This Row],[Result]]="L",0-Bets35[[#This Row],[Risk]],IF(Bets35[[#This Row],[Result]]="Push",0,IF(Bets35[[#This Row],[Result]]="No Action",0,IF(Bets35[[#This Row],[Result]]="W",IF(Bets35[[#This Row],[Odds]]&gt;0,Bets35[[#This Row],[Odds]]/100*Bets35[[#This Row],[Risk]],(Bets35[[#This Row],[Risk]]/Bets35[[#This Row],[Odds]]*-100)),""))))</f>
        <v>-12.5</v>
      </c>
      <c r="J192" s="39" t="str">
        <f>IF(ISNUMBER(SEARCH(CHAR(10),Bets35[[#This Row],[Bet]])),"P",IF(ISNUMBER(FIND("Under",Bets35[[#This Row],[Bet]])),"U",IF(ISNUMBER(SEARCH("Over",Bets35[[#This Row],[Bet]])),"O",IF(ISNUMBER(SEARCH("+",Bets35[[#This Row],[Bet]])),"D",IF(ISNUMBER(SEARCH("-",Bets35[[#This Row],[Bet]])),"F",IF(ISNUMBER(SEARCH("Moneyline",Bets35[[#This Row],[Bet]])),IF(Bets35[[#This Row],[Odds]]&lt;0,"MF","MD"),""))))))</f>
        <v>U</v>
      </c>
      <c r="K192" s="24"/>
      <c r="N192" s="70"/>
      <c r="O192" s="27"/>
    </row>
    <row r="193" spans="1:15" x14ac:dyDescent="0.25">
      <c r="A193" s="13">
        <f t="shared" si="8"/>
        <v>18</v>
      </c>
      <c r="B193" s="17">
        <v>43606</v>
      </c>
      <c r="C193" s="17" t="s">
        <v>802</v>
      </c>
      <c r="D193" s="18" t="s">
        <v>1288</v>
      </c>
      <c r="E193" s="11" t="s">
        <v>830</v>
      </c>
      <c r="F193" s="19">
        <f>IF(Bets35[[#This Row],[Odds]]&lt;0,Bets35[[#This Row],[Odds]]/-10,10)</f>
        <v>10</v>
      </c>
      <c r="G193" s="37" t="s">
        <v>868</v>
      </c>
      <c r="H193" s="21" t="s">
        <v>263</v>
      </c>
      <c r="I193" s="45">
        <f>IF(Bets35[[#This Row],[Result]]="L",0-Bets35[[#This Row],[Risk]],IF(Bets35[[#This Row],[Result]]="Push",0,IF(Bets35[[#This Row],[Result]]="No Action",0,IF(Bets35[[#This Row],[Result]]="W",IF(Bets35[[#This Row],[Odds]]&gt;0,Bets35[[#This Row],[Odds]]/100*Bets35[[#This Row],[Risk]],(Bets35[[#This Row],[Risk]]/Bets35[[#This Row],[Odds]]*-100)),""))))</f>
        <v>-10</v>
      </c>
      <c r="J193" s="39" t="str">
        <f>IF(ISNUMBER(SEARCH(CHAR(10),Bets35[[#This Row],[Bet]])),"P",IF(ISNUMBER(FIND("Under",Bets35[[#This Row],[Bet]])),"U",IF(ISNUMBER(SEARCH("Over",Bets35[[#This Row],[Bet]])),"O",IF(ISNUMBER(SEARCH("+",Bets35[[#This Row],[Bet]])),"D",IF(ISNUMBER(SEARCH("-",Bets35[[#This Row],[Bet]])),"F",IF(ISNUMBER(SEARCH("Moneyline",Bets35[[#This Row],[Bet]])),IF(Bets35[[#This Row],[Odds]]&lt;0,"MF","MD"),""))))))</f>
        <v>MD</v>
      </c>
      <c r="K193" s="24"/>
      <c r="N193" s="70"/>
      <c r="O193" s="27"/>
    </row>
    <row r="194" spans="1:15" x14ac:dyDescent="0.25">
      <c r="A194" s="13">
        <f t="shared" si="8"/>
        <v>18</v>
      </c>
      <c r="B194" s="17">
        <v>43606</v>
      </c>
      <c r="C194" s="17" t="s">
        <v>802</v>
      </c>
      <c r="D194" s="18" t="s">
        <v>1289</v>
      </c>
      <c r="E194" s="11" t="s">
        <v>819</v>
      </c>
      <c r="F194" s="19">
        <f>IF(Bets35[[#This Row],[Odds]]&lt;0,Bets35[[#This Row],[Odds]]/-10,10)</f>
        <v>10</v>
      </c>
      <c r="G194" s="37" t="s">
        <v>1290</v>
      </c>
      <c r="H194" s="21" t="s">
        <v>263</v>
      </c>
      <c r="I194" s="45">
        <f>IF(Bets35[[#This Row],[Result]]="L",0-Bets35[[#This Row],[Risk]],IF(Bets35[[#This Row],[Result]]="Push",0,IF(Bets35[[#This Row],[Result]]="No Action",0,IF(Bets35[[#This Row],[Result]]="W",IF(Bets35[[#This Row],[Odds]]&gt;0,Bets35[[#This Row],[Odds]]/100*Bets35[[#This Row],[Risk]],(Bets35[[#This Row],[Risk]]/Bets35[[#This Row],[Odds]]*-100)),""))))</f>
        <v>-10</v>
      </c>
      <c r="J194" s="39" t="str">
        <f>IF(ISNUMBER(SEARCH(CHAR(10),Bets35[[#This Row],[Bet]])),"P",IF(ISNUMBER(FIND("Under",Bets35[[#This Row],[Bet]])),"U",IF(ISNUMBER(SEARCH("Over",Bets35[[#This Row],[Bet]])),"O",IF(ISNUMBER(SEARCH("+",Bets35[[#This Row],[Bet]])),"D",IF(ISNUMBER(SEARCH("-",Bets35[[#This Row],[Bet]])),"F",IF(ISNUMBER(SEARCH("Moneyline",Bets35[[#This Row],[Bet]])),IF(Bets35[[#This Row],[Odds]]&lt;0,"MF","MD"),""))))))</f>
        <v>MD</v>
      </c>
      <c r="K194" s="24"/>
      <c r="N194" s="70"/>
      <c r="O194" s="27"/>
    </row>
    <row r="195" spans="1:15" x14ac:dyDescent="0.25">
      <c r="A195" s="13">
        <f t="shared" si="8"/>
        <v>18</v>
      </c>
      <c r="B195" s="17">
        <v>43606</v>
      </c>
      <c r="C195" s="17" t="s">
        <v>802</v>
      </c>
      <c r="D195" s="18" t="s">
        <v>1291</v>
      </c>
      <c r="E195" s="11" t="s">
        <v>933</v>
      </c>
      <c r="F195" s="19">
        <f>IF(Bets35[[#This Row],[Odds]]&lt;0,Bets35[[#This Row],[Odds]]/-10,10)</f>
        <v>12</v>
      </c>
      <c r="G195" s="37">
        <v>-120</v>
      </c>
      <c r="H195" s="21" t="s">
        <v>262</v>
      </c>
      <c r="I195" s="45">
        <f>IF(Bets35[[#This Row],[Result]]="L",0-Bets35[[#This Row],[Risk]],IF(Bets35[[#This Row],[Result]]="Push",0,IF(Bets35[[#This Row],[Result]]="No Action",0,IF(Bets35[[#This Row],[Result]]="W",IF(Bets35[[#This Row],[Odds]]&gt;0,Bets35[[#This Row],[Odds]]/100*Bets35[[#This Row],[Risk]],(Bets35[[#This Row],[Risk]]/Bets35[[#This Row],[Odds]]*-100)),""))))</f>
        <v>10</v>
      </c>
      <c r="J195" s="39" t="str">
        <f>IF(ISNUMBER(SEARCH(CHAR(10),Bets35[[#This Row],[Bet]])),"P",IF(ISNUMBER(FIND("Under",Bets35[[#This Row],[Bet]])),"U",IF(ISNUMBER(SEARCH("Over",Bets35[[#This Row],[Bet]])),"O",IF(ISNUMBER(SEARCH("+",Bets35[[#This Row],[Bet]])),"D",IF(ISNUMBER(SEARCH("-",Bets35[[#This Row],[Bet]])),"F",IF(ISNUMBER(SEARCH("Moneyline",Bets35[[#This Row],[Bet]])),IF(Bets35[[#This Row],[Odds]]&lt;0,"MF","MD"),""))))))</f>
        <v>U</v>
      </c>
      <c r="K195" s="24"/>
      <c r="N195" s="70"/>
      <c r="O195" s="27"/>
    </row>
    <row r="196" spans="1:15" x14ac:dyDescent="0.25">
      <c r="A196" s="13">
        <f t="shared" ref="A196:A256" si="11">IF(B196=B195,A195,A195+1)</f>
        <v>18</v>
      </c>
      <c r="B196" s="17">
        <v>43606</v>
      </c>
      <c r="C196" s="17" t="s">
        <v>802</v>
      </c>
      <c r="D196" s="18" t="s">
        <v>1292</v>
      </c>
      <c r="E196" s="11" t="s">
        <v>815</v>
      </c>
      <c r="F196" s="19">
        <f>IF(Bets35[[#This Row],[Odds]]&lt;0,Bets35[[#This Row],[Odds]]/-10,10)</f>
        <v>11.2</v>
      </c>
      <c r="G196" s="37">
        <v>-112</v>
      </c>
      <c r="H196" s="21" t="s">
        <v>263</v>
      </c>
      <c r="I196" s="45">
        <f>IF(Bets35[[#This Row],[Result]]="L",0-Bets35[[#This Row],[Risk]],IF(Bets35[[#This Row],[Result]]="Push",0,IF(Bets35[[#This Row],[Result]]="No Action",0,IF(Bets35[[#This Row],[Result]]="W",IF(Bets35[[#This Row],[Odds]]&gt;0,Bets35[[#This Row],[Odds]]/100*Bets35[[#This Row],[Risk]],(Bets35[[#This Row],[Risk]]/Bets35[[#This Row],[Odds]]*-100)),""))))</f>
        <v>-11.2</v>
      </c>
      <c r="J196" s="39" t="str">
        <f>IF(ISNUMBER(SEARCH(CHAR(10),Bets35[[#This Row],[Bet]])),"P",IF(ISNUMBER(FIND("Under",Bets35[[#This Row],[Bet]])),"U",IF(ISNUMBER(SEARCH("Over",Bets35[[#This Row],[Bet]])),"O",IF(ISNUMBER(SEARCH("+",Bets35[[#This Row],[Bet]])),"D",IF(ISNUMBER(SEARCH("-",Bets35[[#This Row],[Bet]])),"F",IF(ISNUMBER(SEARCH("Moneyline",Bets35[[#This Row],[Bet]])),IF(Bets35[[#This Row],[Odds]]&lt;0,"MF","MD"),""))))))</f>
        <v>MF</v>
      </c>
      <c r="K196" s="24"/>
      <c r="N196" s="70"/>
      <c r="O196" s="27"/>
    </row>
    <row r="197" spans="1:15" x14ac:dyDescent="0.25">
      <c r="A197" s="13">
        <f t="shared" si="11"/>
        <v>18</v>
      </c>
      <c r="B197" s="17">
        <v>43606</v>
      </c>
      <c r="C197" s="17" t="s">
        <v>802</v>
      </c>
      <c r="D197" s="18" t="s">
        <v>1293</v>
      </c>
      <c r="E197" s="11" t="s">
        <v>1178</v>
      </c>
      <c r="F197" s="19">
        <f>IF(Bets35[[#This Row],[Odds]]&lt;0,Bets35[[#This Row],[Odds]]/-10,10)</f>
        <v>10.5</v>
      </c>
      <c r="G197" s="37">
        <v>-105</v>
      </c>
      <c r="H197" s="21" t="s">
        <v>262</v>
      </c>
      <c r="I197" s="45">
        <f>IF(Bets35[[#This Row],[Result]]="L",0-Bets35[[#This Row],[Risk]],IF(Bets35[[#This Row],[Result]]="Push",0,IF(Bets35[[#This Row],[Result]]="No Action",0,IF(Bets35[[#This Row],[Result]]="W",IF(Bets35[[#This Row],[Odds]]&gt;0,Bets35[[#This Row],[Odds]]/100*Bets35[[#This Row],[Risk]],(Bets35[[#This Row],[Risk]]/Bets35[[#This Row],[Odds]]*-100)),""))))</f>
        <v>10</v>
      </c>
      <c r="J197" s="39" t="str">
        <f>IF(ISNUMBER(SEARCH(CHAR(10),Bets35[[#This Row],[Bet]])),"P",IF(ISNUMBER(FIND("Under",Bets35[[#This Row],[Bet]])),"U",IF(ISNUMBER(SEARCH("Over",Bets35[[#This Row],[Bet]])),"O",IF(ISNUMBER(SEARCH("+",Bets35[[#This Row],[Bet]])),"D",IF(ISNUMBER(SEARCH("-",Bets35[[#This Row],[Bet]])),"F",IF(ISNUMBER(SEARCH("Moneyline",Bets35[[#This Row],[Bet]])),IF(Bets35[[#This Row],[Odds]]&lt;0,"MF","MD"),""))))))</f>
        <v>MF</v>
      </c>
      <c r="K197" s="24"/>
      <c r="N197" s="70"/>
      <c r="O197" s="27"/>
    </row>
    <row r="198" spans="1:15" x14ac:dyDescent="0.25">
      <c r="A198" s="13">
        <f t="shared" si="11"/>
        <v>18</v>
      </c>
      <c r="B198" s="17">
        <v>43606</v>
      </c>
      <c r="C198" s="17" t="s">
        <v>802</v>
      </c>
      <c r="D198" s="18" t="s">
        <v>1294</v>
      </c>
      <c r="E198" s="11" t="s">
        <v>1180</v>
      </c>
      <c r="F198" s="19">
        <f>IF(Bets35[[#This Row],[Odds]]&lt;0,Bets35[[#This Row],[Odds]]/-10,10)</f>
        <v>11</v>
      </c>
      <c r="G198" s="37">
        <v>-110</v>
      </c>
      <c r="H198" s="21" t="s">
        <v>263</v>
      </c>
      <c r="I198" s="45">
        <f>IF(Bets35[[#This Row],[Result]]="L",0-Bets35[[#This Row],[Risk]],IF(Bets35[[#This Row],[Result]]="Push",0,IF(Bets35[[#This Row],[Result]]="No Action",0,IF(Bets35[[#This Row],[Result]]="W",IF(Bets35[[#This Row],[Odds]]&gt;0,Bets35[[#This Row],[Odds]]/100*Bets35[[#This Row],[Risk]],(Bets35[[#This Row],[Risk]]/Bets35[[#This Row],[Odds]]*-100)),""))))</f>
        <v>-11</v>
      </c>
      <c r="J198" s="39" t="str">
        <f>IF(ISNUMBER(SEARCH(CHAR(10),Bets35[[#This Row],[Bet]])),"P",IF(ISNUMBER(FIND("Under",Bets35[[#This Row],[Bet]])),"U",IF(ISNUMBER(SEARCH("Over",Bets35[[#This Row],[Bet]])),"O",IF(ISNUMBER(SEARCH("+",Bets35[[#This Row],[Bet]])),"D",IF(ISNUMBER(SEARCH("-",Bets35[[#This Row],[Bet]])),"F",IF(ISNUMBER(SEARCH("Moneyline",Bets35[[#This Row],[Bet]])),IF(Bets35[[#This Row],[Odds]]&lt;0,"MF","MD"),""))))))</f>
        <v>MF</v>
      </c>
      <c r="K198" s="24"/>
      <c r="N198" s="70"/>
      <c r="O198" s="27"/>
    </row>
    <row r="199" spans="1:15" x14ac:dyDescent="0.25">
      <c r="A199" s="13">
        <f t="shared" si="11"/>
        <v>19</v>
      </c>
      <c r="B199" s="17">
        <v>43608</v>
      </c>
      <c r="C199" s="17" t="s">
        <v>802</v>
      </c>
      <c r="D199" s="18" t="s">
        <v>1285</v>
      </c>
      <c r="E199" s="11" t="s">
        <v>880</v>
      </c>
      <c r="F199" s="19">
        <f>IF(Bets35[[#This Row],[Odds]]&lt;0,Bets35[[#This Row],[Odds]]/-10,10)</f>
        <v>11.5</v>
      </c>
      <c r="G199" s="37">
        <v>-115</v>
      </c>
      <c r="H199" s="21" t="s">
        <v>263</v>
      </c>
      <c r="I199" s="45">
        <f>IF(Bets35[[#This Row],[Result]]="L",0-Bets35[[#This Row],[Risk]],IF(Bets35[[#This Row],[Result]]="Push",0,IF(Bets35[[#This Row],[Result]]="No Action",0,IF(Bets35[[#This Row],[Result]]="W",IF(Bets35[[#This Row],[Odds]]&gt;0,Bets35[[#This Row],[Odds]]/100*Bets35[[#This Row],[Risk]],(Bets35[[#This Row],[Risk]]/Bets35[[#This Row],[Odds]]*-100)),""))))</f>
        <v>-11.5</v>
      </c>
      <c r="J199" s="39" t="str">
        <f>IF(ISNUMBER(SEARCH(CHAR(10),Bets35[[#This Row],[Bet]])),"P",IF(ISNUMBER(FIND("Under",Bets35[[#This Row],[Bet]])),"U",IF(ISNUMBER(SEARCH("Over",Bets35[[#This Row],[Bet]])),"O",IF(ISNUMBER(SEARCH("+",Bets35[[#This Row],[Bet]])),"D",IF(ISNUMBER(SEARCH("-",Bets35[[#This Row],[Bet]])),"F",IF(ISNUMBER(SEARCH("Moneyline",Bets35[[#This Row],[Bet]])),IF(Bets35[[#This Row],[Odds]]&lt;0,"MF","MD"),""))))))</f>
        <v>U</v>
      </c>
      <c r="K199" s="24"/>
      <c r="N199" s="70"/>
      <c r="O199" s="27"/>
    </row>
    <row r="200" spans="1:15" x14ac:dyDescent="0.25">
      <c r="A200" s="13">
        <f t="shared" si="11"/>
        <v>19</v>
      </c>
      <c r="B200" s="17">
        <v>43608</v>
      </c>
      <c r="C200" s="17" t="s">
        <v>802</v>
      </c>
      <c r="D200" s="18" t="s">
        <v>1284</v>
      </c>
      <c r="E200" s="11" t="s">
        <v>905</v>
      </c>
      <c r="F200" s="19">
        <f>IF(Bets35[[#This Row],[Odds]]&lt;0,Bets35[[#This Row],[Odds]]/-10,10)</f>
        <v>10.5</v>
      </c>
      <c r="G200" s="37">
        <v>-105</v>
      </c>
      <c r="H200" s="21" t="s">
        <v>262</v>
      </c>
      <c r="I200" s="45">
        <f>IF(Bets35[[#This Row],[Result]]="L",0-Bets35[[#This Row],[Risk]],IF(Bets35[[#This Row],[Result]]="Push",0,IF(Bets35[[#This Row],[Result]]="No Action",0,IF(Bets35[[#This Row],[Result]]="W",IF(Bets35[[#This Row],[Odds]]&gt;0,Bets35[[#This Row],[Odds]]/100*Bets35[[#This Row],[Risk]],(Bets35[[#This Row],[Risk]]/Bets35[[#This Row],[Odds]]*-100)),""))))</f>
        <v>10</v>
      </c>
      <c r="J200" s="39" t="str">
        <f>IF(ISNUMBER(SEARCH(CHAR(10),Bets35[[#This Row],[Bet]])),"P",IF(ISNUMBER(FIND("Under",Bets35[[#This Row],[Bet]])),"U",IF(ISNUMBER(SEARCH("Over",Bets35[[#This Row],[Bet]])),"O",IF(ISNUMBER(SEARCH("+",Bets35[[#This Row],[Bet]])),"D",IF(ISNUMBER(SEARCH("-",Bets35[[#This Row],[Bet]])),"F",IF(ISNUMBER(SEARCH("Moneyline",Bets35[[#This Row],[Bet]])),IF(Bets35[[#This Row],[Odds]]&lt;0,"MF","MD"),""))))))</f>
        <v>O</v>
      </c>
      <c r="K200" s="24"/>
      <c r="N200" s="70"/>
      <c r="O200" s="27"/>
    </row>
    <row r="201" spans="1:15" x14ac:dyDescent="0.25">
      <c r="A201" s="13">
        <f t="shared" si="11"/>
        <v>19</v>
      </c>
      <c r="B201" s="17">
        <v>43608</v>
      </c>
      <c r="C201" s="17" t="s">
        <v>802</v>
      </c>
      <c r="D201" s="18" t="s">
        <v>1303</v>
      </c>
      <c r="E201" s="11" t="s">
        <v>1210</v>
      </c>
      <c r="F201" s="19">
        <f>IF(Bets35[[#This Row],[Odds]]&lt;0,Bets35[[#This Row],[Odds]]/-10,10)</f>
        <v>13</v>
      </c>
      <c r="G201" s="37">
        <v>-130</v>
      </c>
      <c r="H201" s="21" t="s">
        <v>262</v>
      </c>
      <c r="I201" s="45">
        <f>IF(Bets35[[#This Row],[Result]]="L",0-Bets35[[#This Row],[Risk]],IF(Bets35[[#This Row],[Result]]="Push",0,IF(Bets35[[#This Row],[Result]]="No Action",0,IF(Bets35[[#This Row],[Result]]="W",IF(Bets35[[#This Row],[Odds]]&gt;0,Bets35[[#This Row],[Odds]]/100*Bets35[[#This Row],[Risk]],(Bets35[[#This Row],[Risk]]/Bets35[[#This Row],[Odds]]*-100)),""))))</f>
        <v>10</v>
      </c>
      <c r="J201" s="39" t="str">
        <f>IF(ISNUMBER(SEARCH(CHAR(10),Bets35[[#This Row],[Bet]])),"P",IF(ISNUMBER(FIND("Under",Bets35[[#This Row],[Bet]])),"U",IF(ISNUMBER(SEARCH("Over",Bets35[[#This Row],[Bet]])),"O",IF(ISNUMBER(SEARCH("+",Bets35[[#This Row],[Bet]])),"D",IF(ISNUMBER(SEARCH("-",Bets35[[#This Row],[Bet]])),"F",IF(ISNUMBER(SEARCH("Moneyline",Bets35[[#This Row],[Bet]])),IF(Bets35[[#This Row],[Odds]]&lt;0,"MF","MD"),""))))))</f>
        <v>MF</v>
      </c>
      <c r="K201" s="24"/>
      <c r="N201" s="70"/>
      <c r="O201" s="27"/>
    </row>
    <row r="202" spans="1:15" x14ac:dyDescent="0.25">
      <c r="A202" s="13">
        <f t="shared" si="11"/>
        <v>19</v>
      </c>
      <c r="B202" s="17">
        <v>43608</v>
      </c>
      <c r="C202" s="17" t="s">
        <v>802</v>
      </c>
      <c r="D202" s="18" t="s">
        <v>1303</v>
      </c>
      <c r="E202" s="11" t="s">
        <v>1209</v>
      </c>
      <c r="F202" s="19">
        <f>IF(Bets35[[#This Row],[Odds]]&lt;0,Bets35[[#This Row],[Odds]]/-10,10)</f>
        <v>10.5</v>
      </c>
      <c r="G202" s="37">
        <v>-105</v>
      </c>
      <c r="H202" s="21" t="s">
        <v>846</v>
      </c>
      <c r="I202" s="45">
        <f>IF(Bets35[[#This Row],[Result]]="L",0-Bets35[[#This Row],[Risk]],IF(Bets35[[#This Row],[Result]]="Push",0,IF(Bets35[[#This Row],[Result]]="No Action",0,IF(Bets35[[#This Row],[Result]]="W",IF(Bets35[[#This Row],[Odds]]&gt;0,Bets35[[#This Row],[Odds]]/100*Bets35[[#This Row],[Risk]],(Bets35[[#This Row],[Risk]]/Bets35[[#This Row],[Odds]]*-100)),""))))</f>
        <v>0</v>
      </c>
      <c r="J202" s="39" t="str">
        <f>IF(ISNUMBER(SEARCH(CHAR(10),Bets35[[#This Row],[Bet]])),"P",IF(ISNUMBER(FIND("Under",Bets35[[#This Row],[Bet]])),"U",IF(ISNUMBER(SEARCH("Over",Bets35[[#This Row],[Bet]])),"O",IF(ISNUMBER(SEARCH("+",Bets35[[#This Row],[Bet]])),"D",IF(ISNUMBER(SEARCH("-",Bets35[[#This Row],[Bet]])),"F",IF(ISNUMBER(SEARCH("Moneyline",Bets35[[#This Row],[Bet]])),IF(Bets35[[#This Row],[Odds]]&lt;0,"MF","MD"),""))))))</f>
        <v>U</v>
      </c>
      <c r="K202" s="24"/>
      <c r="N202" s="70"/>
      <c r="O202" s="27"/>
    </row>
    <row r="203" spans="1:15" x14ac:dyDescent="0.25">
      <c r="A203" s="13">
        <f t="shared" si="11"/>
        <v>19</v>
      </c>
      <c r="B203" s="17">
        <v>43608</v>
      </c>
      <c r="C203" s="17" t="s">
        <v>802</v>
      </c>
      <c r="D203" s="18" t="s">
        <v>1286</v>
      </c>
      <c r="E203" s="11" t="s">
        <v>933</v>
      </c>
      <c r="F203" s="19">
        <f>IF(Bets35[[#This Row],[Odds]]&lt;0,Bets35[[#This Row],[Odds]]/-10,10)</f>
        <v>11.5</v>
      </c>
      <c r="G203" s="37">
        <v>-115</v>
      </c>
      <c r="H203" s="21" t="s">
        <v>262</v>
      </c>
      <c r="I203" s="45">
        <f>IF(Bets35[[#This Row],[Result]]="L",0-Bets35[[#This Row],[Risk]],IF(Bets35[[#This Row],[Result]]="Push",0,IF(Bets35[[#This Row],[Result]]="No Action",0,IF(Bets35[[#This Row],[Result]]="W",IF(Bets35[[#This Row],[Odds]]&gt;0,Bets35[[#This Row],[Odds]]/100*Bets35[[#This Row],[Risk]],(Bets35[[#This Row],[Risk]]/Bets35[[#This Row],[Odds]]*-100)),""))))</f>
        <v>10</v>
      </c>
      <c r="J203" s="39" t="str">
        <f>IF(ISNUMBER(SEARCH(CHAR(10),Bets35[[#This Row],[Bet]])),"P",IF(ISNUMBER(FIND("Under",Bets35[[#This Row],[Bet]])),"U",IF(ISNUMBER(SEARCH("Over",Bets35[[#This Row],[Bet]])),"O",IF(ISNUMBER(SEARCH("+",Bets35[[#This Row],[Bet]])),"D",IF(ISNUMBER(SEARCH("-",Bets35[[#This Row],[Bet]])),"F",IF(ISNUMBER(SEARCH("Moneyline",Bets35[[#This Row],[Bet]])),IF(Bets35[[#This Row],[Odds]]&lt;0,"MF","MD"),""))))))</f>
        <v>U</v>
      </c>
      <c r="K203" s="24"/>
      <c r="N203" s="70"/>
      <c r="O203" s="27"/>
    </row>
    <row r="204" spans="1:15" x14ac:dyDescent="0.25">
      <c r="A204" s="13">
        <f t="shared" si="11"/>
        <v>19</v>
      </c>
      <c r="B204" s="17">
        <v>43608</v>
      </c>
      <c r="C204" s="17" t="s">
        <v>802</v>
      </c>
      <c r="D204" s="18" t="s">
        <v>1304</v>
      </c>
      <c r="E204" s="11" t="s">
        <v>867</v>
      </c>
      <c r="F204" s="19">
        <f>IF(Bets35[[#This Row],[Odds]]&lt;0,Bets35[[#This Row],[Odds]]/-10,10)</f>
        <v>12.5</v>
      </c>
      <c r="G204" s="37">
        <v>-125</v>
      </c>
      <c r="H204" s="21" t="s">
        <v>263</v>
      </c>
      <c r="I204" s="45">
        <f>IF(Bets35[[#This Row],[Result]]="L",0-Bets35[[#This Row],[Risk]],IF(Bets35[[#This Row],[Result]]="Push",0,IF(Bets35[[#This Row],[Result]]="No Action",0,IF(Bets35[[#This Row],[Result]]="W",IF(Bets35[[#This Row],[Odds]]&gt;0,Bets35[[#This Row],[Odds]]/100*Bets35[[#This Row],[Risk]],(Bets35[[#This Row],[Risk]]/Bets35[[#This Row],[Odds]]*-100)),""))))</f>
        <v>-12.5</v>
      </c>
      <c r="J204" s="39" t="str">
        <f>IF(ISNUMBER(SEARCH(CHAR(10),Bets35[[#This Row],[Bet]])),"P",IF(ISNUMBER(FIND("Under",Bets35[[#This Row],[Bet]])),"U",IF(ISNUMBER(SEARCH("Over",Bets35[[#This Row],[Bet]])),"O",IF(ISNUMBER(SEARCH("+",Bets35[[#This Row],[Bet]])),"D",IF(ISNUMBER(SEARCH("-",Bets35[[#This Row],[Bet]])),"F",IF(ISNUMBER(SEARCH("Moneyline",Bets35[[#This Row],[Bet]])),IF(Bets35[[#This Row],[Odds]]&lt;0,"MF","MD"),""))))))</f>
        <v>MF</v>
      </c>
      <c r="K204" s="24"/>
      <c r="N204" s="70"/>
      <c r="O204" s="27"/>
    </row>
    <row r="205" spans="1:15" x14ac:dyDescent="0.25">
      <c r="A205" s="13">
        <f t="shared" si="11"/>
        <v>19</v>
      </c>
      <c r="B205" s="17">
        <v>43608</v>
      </c>
      <c r="C205" s="17" t="s">
        <v>802</v>
      </c>
      <c r="D205" s="18" t="s">
        <v>1292</v>
      </c>
      <c r="E205" s="11" t="s">
        <v>815</v>
      </c>
      <c r="F205" s="19">
        <f>IF(Bets35[[#This Row],[Odds]]&lt;0,Bets35[[#This Row],[Odds]]/-10,10)</f>
        <v>13</v>
      </c>
      <c r="G205" s="37">
        <v>-130</v>
      </c>
      <c r="H205" s="21" t="s">
        <v>262</v>
      </c>
      <c r="I205" s="45">
        <f>IF(Bets35[[#This Row],[Result]]="L",0-Bets35[[#This Row],[Risk]],IF(Bets35[[#This Row],[Result]]="Push",0,IF(Bets35[[#This Row],[Result]]="No Action",0,IF(Bets35[[#This Row],[Result]]="W",IF(Bets35[[#This Row],[Odds]]&gt;0,Bets35[[#This Row],[Odds]]/100*Bets35[[#This Row],[Risk]],(Bets35[[#This Row],[Risk]]/Bets35[[#This Row],[Odds]]*-100)),""))))</f>
        <v>10</v>
      </c>
      <c r="J205" s="39" t="str">
        <f>IF(ISNUMBER(SEARCH(CHAR(10),Bets35[[#This Row],[Bet]])),"P",IF(ISNUMBER(FIND("Under",Bets35[[#This Row],[Bet]])),"U",IF(ISNUMBER(SEARCH("Over",Bets35[[#This Row],[Bet]])),"O",IF(ISNUMBER(SEARCH("+",Bets35[[#This Row],[Bet]])),"D",IF(ISNUMBER(SEARCH("-",Bets35[[#This Row],[Bet]])),"F",IF(ISNUMBER(SEARCH("Moneyline",Bets35[[#This Row],[Bet]])),IF(Bets35[[#This Row],[Odds]]&lt;0,"MF","MD"),""))))))</f>
        <v>MF</v>
      </c>
      <c r="K205" s="24"/>
      <c r="N205" s="70"/>
      <c r="O205" s="27"/>
    </row>
    <row r="206" spans="1:15" x14ac:dyDescent="0.25">
      <c r="A206" s="13">
        <f t="shared" si="11"/>
        <v>19</v>
      </c>
      <c r="B206" s="17">
        <v>43608</v>
      </c>
      <c r="C206" s="17" t="s">
        <v>802</v>
      </c>
      <c r="D206" s="18" t="s">
        <v>1305</v>
      </c>
      <c r="E206" s="11" t="s">
        <v>869</v>
      </c>
      <c r="F206" s="19">
        <f>IF(Bets35[[#This Row],[Odds]]&lt;0,Bets35[[#This Row],[Odds]]/-10,10)</f>
        <v>10</v>
      </c>
      <c r="G206" s="37" t="s">
        <v>1306</v>
      </c>
      <c r="H206" s="21" t="s">
        <v>263</v>
      </c>
      <c r="I206" s="45">
        <f>IF(Bets35[[#This Row],[Result]]="L",0-Bets35[[#This Row],[Risk]],IF(Bets35[[#This Row],[Result]]="Push",0,IF(Bets35[[#This Row],[Result]]="No Action",0,IF(Bets35[[#This Row],[Result]]="W",IF(Bets35[[#This Row],[Odds]]&gt;0,Bets35[[#This Row],[Odds]]/100*Bets35[[#This Row],[Risk]],(Bets35[[#This Row],[Risk]]/Bets35[[#This Row],[Odds]]*-100)),""))))</f>
        <v>-10</v>
      </c>
      <c r="J206" s="39" t="str">
        <f>IF(ISNUMBER(SEARCH(CHAR(10),Bets35[[#This Row],[Bet]])),"P",IF(ISNUMBER(FIND("Under",Bets35[[#This Row],[Bet]])),"U",IF(ISNUMBER(SEARCH("Over",Bets35[[#This Row],[Bet]])),"O",IF(ISNUMBER(SEARCH("+",Bets35[[#This Row],[Bet]])),"D",IF(ISNUMBER(SEARCH("-",Bets35[[#This Row],[Bet]])),"F",IF(ISNUMBER(SEARCH("Moneyline",Bets35[[#This Row],[Bet]])),IF(Bets35[[#This Row],[Odds]]&lt;0,"MF","MD"),""))))))</f>
        <v>MD</v>
      </c>
      <c r="K206" s="24"/>
      <c r="N206" s="70"/>
      <c r="O206" s="27"/>
    </row>
    <row r="207" spans="1:15" x14ac:dyDescent="0.25">
      <c r="A207" s="13">
        <f t="shared" si="11"/>
        <v>20</v>
      </c>
      <c r="B207" s="17">
        <v>43613</v>
      </c>
      <c r="C207" s="17" t="s">
        <v>802</v>
      </c>
      <c r="D207" s="18" t="s">
        <v>1335</v>
      </c>
      <c r="E207" s="11" t="s">
        <v>880</v>
      </c>
      <c r="F207" s="19">
        <f>IF(Bets35[[#This Row],[Odds]]&lt;0,Bets35[[#This Row],[Odds]]/-10,10)</f>
        <v>11.5</v>
      </c>
      <c r="G207" s="37">
        <v>-115</v>
      </c>
      <c r="H207" s="21" t="s">
        <v>262</v>
      </c>
      <c r="I207" s="45">
        <f>IF(Bets35[[#This Row],[Result]]="L",0-Bets35[[#This Row],[Risk]],IF(Bets35[[#This Row],[Result]]="Push",0,IF(Bets35[[#This Row],[Result]]="No Action",0,IF(Bets35[[#This Row],[Result]]="W",IF(Bets35[[#This Row],[Odds]]&gt;0,Bets35[[#This Row],[Odds]]/100*Bets35[[#This Row],[Risk]],(Bets35[[#This Row],[Risk]]/Bets35[[#This Row],[Odds]]*-100)),""))))</f>
        <v>10</v>
      </c>
      <c r="J207" s="39" t="str">
        <f>IF(ISNUMBER(SEARCH(CHAR(10),Bets35[[#This Row],[Bet]])),"P",IF(ISNUMBER(FIND("Under",Bets35[[#This Row],[Bet]])),"U",IF(ISNUMBER(SEARCH("Over",Bets35[[#This Row],[Bet]])),"O",IF(ISNUMBER(SEARCH("+",Bets35[[#This Row],[Bet]])),"D",IF(ISNUMBER(SEARCH("-",Bets35[[#This Row],[Bet]])),"F",IF(ISNUMBER(SEARCH("Moneyline",Bets35[[#This Row],[Bet]])),IF(Bets35[[#This Row],[Odds]]&lt;0,"MF","MD"),""))))))</f>
        <v>U</v>
      </c>
      <c r="K207" s="24"/>
      <c r="N207" s="70"/>
      <c r="O207" s="27"/>
    </row>
    <row r="208" spans="1:15" x14ac:dyDescent="0.25">
      <c r="A208" s="13">
        <f t="shared" si="11"/>
        <v>20</v>
      </c>
      <c r="B208" s="17">
        <v>43613</v>
      </c>
      <c r="C208" s="17" t="s">
        <v>802</v>
      </c>
      <c r="D208" s="18" t="s">
        <v>1336</v>
      </c>
      <c r="E208" s="11" t="s">
        <v>1209</v>
      </c>
      <c r="F208" s="19">
        <f>IF(Bets35[[#This Row],[Odds]]&lt;0,Bets35[[#This Row],[Odds]]/-10,10)</f>
        <v>11</v>
      </c>
      <c r="G208" s="37">
        <v>-110</v>
      </c>
      <c r="H208" s="21" t="s">
        <v>263</v>
      </c>
      <c r="I208" s="45">
        <f>IF(Bets35[[#This Row],[Result]]="L",0-Bets35[[#This Row],[Risk]],IF(Bets35[[#This Row],[Result]]="Push",0,IF(Bets35[[#This Row],[Result]]="No Action",0,IF(Bets35[[#This Row],[Result]]="W",IF(Bets35[[#This Row],[Odds]]&gt;0,Bets35[[#This Row],[Odds]]/100*Bets35[[#This Row],[Risk]],(Bets35[[#This Row],[Risk]]/Bets35[[#This Row],[Odds]]*-100)),""))))</f>
        <v>-11</v>
      </c>
      <c r="J208" s="39" t="str">
        <f>IF(ISNUMBER(SEARCH(CHAR(10),Bets35[[#This Row],[Bet]])),"P",IF(ISNUMBER(FIND("Under",Bets35[[#This Row],[Bet]])),"U",IF(ISNUMBER(SEARCH("Over",Bets35[[#This Row],[Bet]])),"O",IF(ISNUMBER(SEARCH("+",Bets35[[#This Row],[Bet]])),"D",IF(ISNUMBER(SEARCH("-",Bets35[[#This Row],[Bet]])),"F",IF(ISNUMBER(SEARCH("Moneyline",Bets35[[#This Row],[Bet]])),IF(Bets35[[#This Row],[Odds]]&lt;0,"MF","MD"),""))))))</f>
        <v>U</v>
      </c>
      <c r="K208" s="24"/>
      <c r="N208" s="70"/>
      <c r="O208" s="27"/>
    </row>
    <row r="209" spans="1:15" x14ac:dyDescent="0.25">
      <c r="A209" s="13">
        <f t="shared" si="11"/>
        <v>20</v>
      </c>
      <c r="B209" s="17">
        <v>43613</v>
      </c>
      <c r="C209" s="17" t="s">
        <v>802</v>
      </c>
      <c r="D209" s="18" t="s">
        <v>1337</v>
      </c>
      <c r="E209" s="11" t="s">
        <v>933</v>
      </c>
      <c r="F209" s="19">
        <f>IF(Bets35[[#This Row],[Odds]]&lt;0,Bets35[[#This Row],[Odds]]/-10,10)</f>
        <v>12</v>
      </c>
      <c r="G209" s="37">
        <v>-120</v>
      </c>
      <c r="H209" s="21" t="s">
        <v>262</v>
      </c>
      <c r="I209" s="45">
        <f>IF(Bets35[[#This Row],[Result]]="L",0-Bets35[[#This Row],[Risk]],IF(Bets35[[#This Row],[Result]]="Push",0,IF(Bets35[[#This Row],[Result]]="No Action",0,IF(Bets35[[#This Row],[Result]]="W",IF(Bets35[[#This Row],[Odds]]&gt;0,Bets35[[#This Row],[Odds]]/100*Bets35[[#This Row],[Risk]],(Bets35[[#This Row],[Risk]]/Bets35[[#This Row],[Odds]]*-100)),""))))</f>
        <v>10</v>
      </c>
      <c r="J209" s="39" t="str">
        <f>IF(ISNUMBER(SEARCH(CHAR(10),Bets35[[#This Row],[Bet]])),"P",IF(ISNUMBER(FIND("Under",Bets35[[#This Row],[Bet]])),"U",IF(ISNUMBER(SEARCH("Over",Bets35[[#This Row],[Bet]])),"O",IF(ISNUMBER(SEARCH("+",Bets35[[#This Row],[Bet]])),"D",IF(ISNUMBER(SEARCH("-",Bets35[[#This Row],[Bet]])),"F",IF(ISNUMBER(SEARCH("Moneyline",Bets35[[#This Row],[Bet]])),IF(Bets35[[#This Row],[Odds]]&lt;0,"MF","MD"),""))))))</f>
        <v>U</v>
      </c>
      <c r="K209" s="24"/>
      <c r="N209" s="70"/>
      <c r="O209" s="27"/>
    </row>
    <row r="210" spans="1:15" x14ac:dyDescent="0.25">
      <c r="A210" s="13">
        <f t="shared" si="11"/>
        <v>20</v>
      </c>
      <c r="B210" s="17">
        <v>43613</v>
      </c>
      <c r="C210" s="17" t="s">
        <v>802</v>
      </c>
      <c r="D210" s="18" t="s">
        <v>1338</v>
      </c>
      <c r="E210" s="11" t="s">
        <v>899</v>
      </c>
      <c r="F210" s="19">
        <f>IF(Bets35[[#This Row],[Odds]]&lt;0,Bets35[[#This Row],[Odds]]/-10,10)</f>
        <v>10</v>
      </c>
      <c r="G210" s="37" t="s">
        <v>1306</v>
      </c>
      <c r="H210" s="21" t="s">
        <v>263</v>
      </c>
      <c r="I210" s="45">
        <f>IF(Bets35[[#This Row],[Result]]="L",0-Bets35[[#This Row],[Risk]],IF(Bets35[[#This Row],[Result]]="Push",0,IF(Bets35[[#This Row],[Result]]="No Action",0,IF(Bets35[[#This Row],[Result]]="W",IF(Bets35[[#This Row],[Odds]]&gt;0,Bets35[[#This Row],[Odds]]/100*Bets35[[#This Row],[Risk]],(Bets35[[#This Row],[Risk]]/Bets35[[#This Row],[Odds]]*-100)),""))))</f>
        <v>-10</v>
      </c>
      <c r="J210" s="39" t="str">
        <f>IF(ISNUMBER(SEARCH(CHAR(10),Bets35[[#This Row],[Bet]])),"P",IF(ISNUMBER(FIND("Under",Bets35[[#This Row],[Bet]])),"U",IF(ISNUMBER(SEARCH("Over",Bets35[[#This Row],[Bet]])),"O",IF(ISNUMBER(SEARCH("+",Bets35[[#This Row],[Bet]])),"D",IF(ISNUMBER(SEARCH("-",Bets35[[#This Row],[Bet]])),"F",IF(ISNUMBER(SEARCH("Moneyline",Bets35[[#This Row],[Bet]])),IF(Bets35[[#This Row],[Odds]]&lt;0,"MF","MD"),""))))))</f>
        <v>MD</v>
      </c>
      <c r="K210" s="24"/>
      <c r="N210" s="70"/>
      <c r="O210" s="27"/>
    </row>
    <row r="211" spans="1:15" x14ac:dyDescent="0.25">
      <c r="A211" s="13">
        <f t="shared" si="11"/>
        <v>20</v>
      </c>
      <c r="B211" s="17">
        <v>43613</v>
      </c>
      <c r="C211" s="17" t="s">
        <v>802</v>
      </c>
      <c r="D211" s="18" t="s">
        <v>1339</v>
      </c>
      <c r="E211" s="11" t="s">
        <v>810</v>
      </c>
      <c r="F211" s="19">
        <f>IF(Bets35[[#This Row],[Odds]]&lt;0,Bets35[[#This Row],[Odds]]/-10,10)</f>
        <v>11</v>
      </c>
      <c r="G211" s="37">
        <v>-110</v>
      </c>
      <c r="H211" s="21" t="s">
        <v>263</v>
      </c>
      <c r="I211" s="45">
        <f>IF(Bets35[[#This Row],[Result]]="L",0-Bets35[[#This Row],[Risk]],IF(Bets35[[#This Row],[Result]]="Push",0,IF(Bets35[[#This Row],[Result]]="No Action",0,IF(Bets35[[#This Row],[Result]]="W",IF(Bets35[[#This Row],[Odds]]&gt;0,Bets35[[#This Row],[Odds]]/100*Bets35[[#This Row],[Risk]],(Bets35[[#This Row],[Risk]]/Bets35[[#This Row],[Odds]]*-100)),""))))</f>
        <v>-11</v>
      </c>
      <c r="J211" s="39" t="str">
        <f>IF(ISNUMBER(SEARCH(CHAR(10),Bets35[[#This Row],[Bet]])),"P",IF(ISNUMBER(FIND("Under",Bets35[[#This Row],[Bet]])),"U",IF(ISNUMBER(SEARCH("Over",Bets35[[#This Row],[Bet]])),"O",IF(ISNUMBER(SEARCH("+",Bets35[[#This Row],[Bet]])),"D",IF(ISNUMBER(SEARCH("-",Bets35[[#This Row],[Bet]])),"F",IF(ISNUMBER(SEARCH("Moneyline",Bets35[[#This Row],[Bet]])),IF(Bets35[[#This Row],[Odds]]&lt;0,"MF","MD"),""))))))</f>
        <v>MF</v>
      </c>
      <c r="K211" s="24"/>
      <c r="N211" s="70"/>
      <c r="O211" s="27"/>
    </row>
    <row r="212" spans="1:15" x14ac:dyDescent="0.25">
      <c r="A212" s="13">
        <f t="shared" si="11"/>
        <v>20</v>
      </c>
      <c r="B212" s="17">
        <v>43613</v>
      </c>
      <c r="C212" s="17" t="s">
        <v>802</v>
      </c>
      <c r="D212" s="18" t="s">
        <v>1340</v>
      </c>
      <c r="E212" s="11" t="s">
        <v>877</v>
      </c>
      <c r="F212" s="19">
        <f>IF(Bets35[[#This Row],[Odds]]&lt;0,Bets35[[#This Row],[Odds]]/-10,10)</f>
        <v>12</v>
      </c>
      <c r="G212" s="37">
        <v>-120</v>
      </c>
      <c r="H212" s="21" t="s">
        <v>262</v>
      </c>
      <c r="I212" s="45">
        <f>IF(Bets35[[#This Row],[Result]]="L",0-Bets35[[#This Row],[Risk]],IF(Bets35[[#This Row],[Result]]="Push",0,IF(Bets35[[#This Row],[Result]]="No Action",0,IF(Bets35[[#This Row],[Result]]="W",IF(Bets35[[#This Row],[Odds]]&gt;0,Bets35[[#This Row],[Odds]]/100*Bets35[[#This Row],[Risk]],(Bets35[[#This Row],[Risk]]/Bets35[[#This Row],[Odds]]*-100)),""))))</f>
        <v>10</v>
      </c>
      <c r="J212" s="39" t="str">
        <f>IF(ISNUMBER(SEARCH(CHAR(10),Bets35[[#This Row],[Bet]])),"P",IF(ISNUMBER(FIND("Under",Bets35[[#This Row],[Bet]])),"U",IF(ISNUMBER(SEARCH("Over",Bets35[[#This Row],[Bet]])),"O",IF(ISNUMBER(SEARCH("+",Bets35[[#This Row],[Bet]])),"D",IF(ISNUMBER(SEARCH("-",Bets35[[#This Row],[Bet]])),"F",IF(ISNUMBER(SEARCH("Moneyline",Bets35[[#This Row],[Bet]])),IF(Bets35[[#This Row],[Odds]]&lt;0,"MF","MD"),""))))))</f>
        <v>U</v>
      </c>
      <c r="K212" s="24"/>
      <c r="N212" s="70"/>
      <c r="O212" s="27"/>
    </row>
    <row r="213" spans="1:15" x14ac:dyDescent="0.25">
      <c r="A213" s="13">
        <f t="shared" si="11"/>
        <v>20</v>
      </c>
      <c r="B213" s="17">
        <v>43613</v>
      </c>
      <c r="C213" s="17" t="s">
        <v>802</v>
      </c>
      <c r="D213" s="18" t="s">
        <v>1341</v>
      </c>
      <c r="E213" s="11" t="s">
        <v>1180</v>
      </c>
      <c r="F213" s="19">
        <f>IF(Bets35[[#This Row],[Odds]]&lt;0,Bets35[[#This Row],[Odds]]/-10,10)</f>
        <v>10</v>
      </c>
      <c r="G213" s="37" t="s">
        <v>1342</v>
      </c>
      <c r="H213" s="21" t="s">
        <v>263</v>
      </c>
      <c r="I213" s="45">
        <f>IF(Bets35[[#This Row],[Result]]="L",0-Bets35[[#This Row],[Risk]],IF(Bets35[[#This Row],[Result]]="Push",0,IF(Bets35[[#This Row],[Result]]="No Action",0,IF(Bets35[[#This Row],[Result]]="W",IF(Bets35[[#This Row],[Odds]]&gt;0,Bets35[[#This Row],[Odds]]/100*Bets35[[#This Row],[Risk]],(Bets35[[#This Row],[Risk]]/Bets35[[#This Row],[Odds]]*-100)),""))))</f>
        <v>-10</v>
      </c>
      <c r="J213" s="39" t="str">
        <f>IF(ISNUMBER(SEARCH(CHAR(10),Bets35[[#This Row],[Bet]])),"P",IF(ISNUMBER(FIND("Under",Bets35[[#This Row],[Bet]])),"U",IF(ISNUMBER(SEARCH("Over",Bets35[[#This Row],[Bet]])),"O",IF(ISNUMBER(SEARCH("+",Bets35[[#This Row],[Bet]])),"D",IF(ISNUMBER(SEARCH("-",Bets35[[#This Row],[Bet]])),"F",IF(ISNUMBER(SEARCH("Moneyline",Bets35[[#This Row],[Bet]])),IF(Bets35[[#This Row],[Odds]]&lt;0,"MF","MD"),""))))))</f>
        <v>MD</v>
      </c>
      <c r="K213" s="24"/>
      <c r="N213" s="70"/>
      <c r="O213" s="27"/>
    </row>
    <row r="214" spans="1:15" x14ac:dyDescent="0.25">
      <c r="A214" s="13">
        <f t="shared" si="11"/>
        <v>20</v>
      </c>
      <c r="B214" s="17">
        <v>43613</v>
      </c>
      <c r="C214" s="17" t="s">
        <v>802</v>
      </c>
      <c r="D214" s="18" t="s">
        <v>1341</v>
      </c>
      <c r="E214" s="11" t="s">
        <v>1343</v>
      </c>
      <c r="F214" s="19">
        <f>IF(Bets35[[#This Row],[Odds]]&lt;0,Bets35[[#This Row],[Odds]]/-10,10)</f>
        <v>10</v>
      </c>
      <c r="G214" s="37">
        <v>100</v>
      </c>
      <c r="H214" s="21" t="s">
        <v>262</v>
      </c>
      <c r="I214" s="45">
        <f>IF(Bets35[[#This Row],[Result]]="L",0-Bets35[[#This Row],[Risk]],IF(Bets35[[#This Row],[Result]]="Push",0,IF(Bets35[[#This Row],[Result]]="No Action",0,IF(Bets35[[#This Row],[Result]]="W",IF(Bets35[[#This Row],[Odds]]&gt;0,Bets35[[#This Row],[Odds]]/100*Bets35[[#This Row],[Risk]],(Bets35[[#This Row],[Risk]]/Bets35[[#This Row],[Odds]]*-100)),""))))</f>
        <v>10</v>
      </c>
      <c r="J214" s="39" t="str">
        <f>IF(ISNUMBER(SEARCH(CHAR(10),Bets35[[#This Row],[Bet]])),"P",IF(ISNUMBER(FIND("Under",Bets35[[#This Row],[Bet]])),"U",IF(ISNUMBER(SEARCH("Over",Bets35[[#This Row],[Bet]])),"O",IF(ISNUMBER(SEARCH("+",Bets35[[#This Row],[Bet]])),"D",IF(ISNUMBER(SEARCH("-",Bets35[[#This Row],[Bet]])),"F",IF(ISNUMBER(SEARCH("Moneyline",Bets35[[#This Row],[Bet]])),IF(Bets35[[#This Row],[Odds]]&lt;0,"MF","MD"),""))))))</f>
        <v>U</v>
      </c>
      <c r="K214" s="24"/>
      <c r="N214" s="70"/>
      <c r="O214" s="27"/>
    </row>
    <row r="215" spans="1:15" x14ac:dyDescent="0.25">
      <c r="A215" s="13">
        <f t="shared" si="11"/>
        <v>21</v>
      </c>
      <c r="B215" s="17">
        <v>43614</v>
      </c>
      <c r="C215" s="17" t="s">
        <v>802</v>
      </c>
      <c r="D215" s="18" t="s">
        <v>1352</v>
      </c>
      <c r="E215" s="18" t="s">
        <v>834</v>
      </c>
      <c r="F215" s="19">
        <f>IF(Bets35[[#This Row],[Odds]]&lt;0,Bets35[[#This Row],[Odds]]/-10,10)</f>
        <v>13.6</v>
      </c>
      <c r="G215" s="21">
        <v>-136</v>
      </c>
      <c r="H215" s="21" t="s">
        <v>263</v>
      </c>
      <c r="I215" s="45">
        <f>IF(Bets35[[#This Row],[Result]]="L",0-Bets35[[#This Row],[Risk]],IF(Bets35[[#This Row],[Result]]="Push",0,IF(Bets35[[#This Row],[Result]]="No Action",0,IF(Bets35[[#This Row],[Result]]="W",IF(Bets35[[#This Row],[Odds]]&gt;0,Bets35[[#This Row],[Odds]]/100*Bets35[[#This Row],[Risk]],(Bets35[[#This Row],[Risk]]/Bets35[[#This Row],[Odds]]*-100)),""))))</f>
        <v>-13.6</v>
      </c>
      <c r="J215" s="39" t="str">
        <f>IF(ISNUMBER(SEARCH(CHAR(10),Bets35[[#This Row],[Bet]])),"P",IF(ISNUMBER(FIND("Under",Bets35[[#This Row],[Bet]])),"U",IF(ISNUMBER(SEARCH("Over",Bets35[[#This Row],[Bet]])),"O",IF(ISNUMBER(SEARCH("+",Bets35[[#This Row],[Bet]])),"D",IF(ISNUMBER(SEARCH("-",Bets35[[#This Row],[Bet]])),"F",IF(ISNUMBER(SEARCH("Moneyline",Bets35[[#This Row],[Bet]])),IF(Bets35[[#This Row],[Odds]]&lt;0,"MF","MD"),""))))))</f>
        <v>MF</v>
      </c>
      <c r="K215" s="24"/>
      <c r="N215" s="70"/>
      <c r="O215" s="27"/>
    </row>
    <row r="216" spans="1:15" x14ac:dyDescent="0.25">
      <c r="A216" s="13">
        <f t="shared" si="11"/>
        <v>21</v>
      </c>
      <c r="B216" s="17">
        <v>43614</v>
      </c>
      <c r="C216" s="17" t="s">
        <v>802</v>
      </c>
      <c r="D216" s="18" t="s">
        <v>891</v>
      </c>
      <c r="E216" s="18" t="s">
        <v>1156</v>
      </c>
      <c r="F216" s="19">
        <f>IF(Bets35[[#This Row],[Odds]]&lt;0,Bets35[[#This Row],[Odds]]/-10,10)</f>
        <v>10.5</v>
      </c>
      <c r="G216" s="21">
        <v>-105</v>
      </c>
      <c r="H216" s="21" t="s">
        <v>262</v>
      </c>
      <c r="I216" s="45">
        <f>IF(Bets35[[#This Row],[Result]]="L",0-Bets35[[#This Row],[Risk]],IF(Bets35[[#This Row],[Result]]="Push",0,IF(Bets35[[#This Row],[Result]]="No Action",0,IF(Bets35[[#This Row],[Result]]="W",IF(Bets35[[#This Row],[Odds]]&gt;0,Bets35[[#This Row],[Odds]]/100*Bets35[[#This Row],[Risk]],(Bets35[[#This Row],[Risk]]/Bets35[[#This Row],[Odds]]*-100)),""))))</f>
        <v>10</v>
      </c>
      <c r="J216" s="39" t="str">
        <f>IF(ISNUMBER(SEARCH(CHAR(10),Bets35[[#This Row],[Bet]])),"P",IF(ISNUMBER(FIND("Under",Bets35[[#This Row],[Bet]])),"U",IF(ISNUMBER(SEARCH("Over",Bets35[[#This Row],[Bet]])),"O",IF(ISNUMBER(SEARCH("+",Bets35[[#This Row],[Bet]])),"D",IF(ISNUMBER(SEARCH("-",Bets35[[#This Row],[Bet]])),"F",IF(ISNUMBER(SEARCH("Moneyline",Bets35[[#This Row],[Bet]])),IF(Bets35[[#This Row],[Odds]]&lt;0,"MF","MD"),""))))))</f>
        <v>O</v>
      </c>
      <c r="K216" s="24"/>
      <c r="N216" s="70"/>
      <c r="O216" s="27"/>
    </row>
    <row r="217" spans="1:15" x14ac:dyDescent="0.25">
      <c r="A217" s="13">
        <f t="shared" si="11"/>
        <v>21</v>
      </c>
      <c r="B217" s="17">
        <v>43614</v>
      </c>
      <c r="C217" s="17" t="s">
        <v>802</v>
      </c>
      <c r="D217" s="18" t="s">
        <v>891</v>
      </c>
      <c r="E217" s="18" t="s">
        <v>836</v>
      </c>
      <c r="F217" s="19">
        <f>IF(Bets35[[#This Row],[Odds]]&lt;0,Bets35[[#This Row],[Odds]]/-10,10)</f>
        <v>13.5</v>
      </c>
      <c r="G217" s="21">
        <v>-135</v>
      </c>
      <c r="H217" s="21" t="s">
        <v>263</v>
      </c>
      <c r="I217" s="45">
        <f>IF(Bets35[[#This Row],[Result]]="L",0-Bets35[[#This Row],[Risk]],IF(Bets35[[#This Row],[Result]]="Push",0,IF(Bets35[[#This Row],[Result]]="No Action",0,IF(Bets35[[#This Row],[Result]]="W",IF(Bets35[[#This Row],[Odds]]&gt;0,Bets35[[#This Row],[Odds]]/100*Bets35[[#This Row],[Risk]],(Bets35[[#This Row],[Risk]]/Bets35[[#This Row],[Odds]]*-100)),""))))</f>
        <v>-13.5</v>
      </c>
      <c r="J217" s="39" t="str">
        <f>IF(ISNUMBER(SEARCH(CHAR(10),Bets35[[#This Row],[Bet]])),"P",IF(ISNUMBER(FIND("Under",Bets35[[#This Row],[Bet]])),"U",IF(ISNUMBER(SEARCH("Over",Bets35[[#This Row],[Bet]])),"O",IF(ISNUMBER(SEARCH("+",Bets35[[#This Row],[Bet]])),"D",IF(ISNUMBER(SEARCH("-",Bets35[[#This Row],[Bet]])),"F",IF(ISNUMBER(SEARCH("Moneyline",Bets35[[#This Row],[Bet]])),IF(Bets35[[#This Row],[Odds]]&lt;0,"MF","MD"),""))))))</f>
        <v>MF</v>
      </c>
      <c r="K217" s="24"/>
      <c r="N217" s="70"/>
      <c r="O217" s="27"/>
    </row>
    <row r="218" spans="1:15" x14ac:dyDescent="0.25">
      <c r="A218" s="13">
        <f t="shared" si="11"/>
        <v>21</v>
      </c>
      <c r="B218" s="17">
        <v>43614</v>
      </c>
      <c r="C218" s="17" t="s">
        <v>802</v>
      </c>
      <c r="D218" s="18" t="s">
        <v>1353</v>
      </c>
      <c r="E218" s="18" t="s">
        <v>1210</v>
      </c>
      <c r="F218" s="19">
        <f>IF(Bets35[[#This Row],[Odds]]&lt;0,Bets35[[#This Row],[Odds]]/-10,10)</f>
        <v>11.2</v>
      </c>
      <c r="G218" s="21">
        <v>-112</v>
      </c>
      <c r="H218" s="21" t="s">
        <v>263</v>
      </c>
      <c r="I218" s="45">
        <f>IF(Bets35[[#This Row],[Result]]="L",0-Bets35[[#This Row],[Risk]],IF(Bets35[[#This Row],[Result]]="Push",0,IF(Bets35[[#This Row],[Result]]="No Action",0,IF(Bets35[[#This Row],[Result]]="W",IF(Bets35[[#This Row],[Odds]]&gt;0,Bets35[[#This Row],[Odds]]/100*Bets35[[#This Row],[Risk]],(Bets35[[#This Row],[Risk]]/Bets35[[#This Row],[Odds]]*-100)),""))))</f>
        <v>-11.2</v>
      </c>
      <c r="J218" s="39" t="str">
        <f>IF(ISNUMBER(SEARCH(CHAR(10),Bets35[[#This Row],[Bet]])),"P",IF(ISNUMBER(FIND("Under",Bets35[[#This Row],[Bet]])),"U",IF(ISNUMBER(SEARCH("Over",Bets35[[#This Row],[Bet]])),"O",IF(ISNUMBER(SEARCH("+",Bets35[[#This Row],[Bet]])),"D",IF(ISNUMBER(SEARCH("-",Bets35[[#This Row],[Bet]])),"F",IF(ISNUMBER(SEARCH("Moneyline",Bets35[[#This Row],[Bet]])),IF(Bets35[[#This Row],[Odds]]&lt;0,"MF","MD"),""))))))</f>
        <v>MF</v>
      </c>
      <c r="K218" s="24"/>
      <c r="N218" s="70"/>
      <c r="O218" s="27"/>
    </row>
    <row r="219" spans="1:15" x14ac:dyDescent="0.25">
      <c r="A219" s="13">
        <f t="shared" si="11"/>
        <v>21</v>
      </c>
      <c r="B219" s="17">
        <v>43614</v>
      </c>
      <c r="C219" s="17" t="s">
        <v>802</v>
      </c>
      <c r="D219" s="18" t="s">
        <v>1337</v>
      </c>
      <c r="E219" s="18" t="s">
        <v>874</v>
      </c>
      <c r="F219" s="19">
        <f>IF(Bets35[[#This Row],[Odds]]&lt;0,Bets35[[#This Row],[Odds]]/-10,10)</f>
        <v>12</v>
      </c>
      <c r="G219" s="21">
        <v>-120</v>
      </c>
      <c r="H219" s="21" t="s">
        <v>263</v>
      </c>
      <c r="I219" s="45">
        <f>IF(Bets35[[#This Row],[Result]]="L",0-Bets35[[#This Row],[Risk]],IF(Bets35[[#This Row],[Result]]="Push",0,IF(Bets35[[#This Row],[Result]]="No Action",0,IF(Bets35[[#This Row],[Result]]="W",IF(Bets35[[#This Row],[Odds]]&gt;0,Bets35[[#This Row],[Odds]]/100*Bets35[[#This Row],[Risk]],(Bets35[[#This Row],[Risk]]/Bets35[[#This Row],[Odds]]*-100)),""))))</f>
        <v>-12</v>
      </c>
      <c r="J219" s="39" t="str">
        <f>IF(ISNUMBER(SEARCH(CHAR(10),Bets35[[#This Row],[Bet]])),"P",IF(ISNUMBER(FIND("Under",Bets35[[#This Row],[Bet]])),"U",IF(ISNUMBER(SEARCH("Over",Bets35[[#This Row],[Bet]])),"O",IF(ISNUMBER(SEARCH("+",Bets35[[#This Row],[Bet]])),"D",IF(ISNUMBER(SEARCH("-",Bets35[[#This Row],[Bet]])),"F",IF(ISNUMBER(SEARCH("Moneyline",Bets35[[#This Row],[Bet]])),IF(Bets35[[#This Row],[Odds]]&lt;0,"MF","MD"),""))))))</f>
        <v>MF</v>
      </c>
      <c r="K219" s="24"/>
      <c r="N219" s="70"/>
      <c r="O219" s="27"/>
    </row>
    <row r="220" spans="1:15" x14ac:dyDescent="0.25">
      <c r="A220" s="13">
        <f t="shared" si="11"/>
        <v>21</v>
      </c>
      <c r="B220" s="17">
        <v>43614</v>
      </c>
      <c r="C220" s="17" t="s">
        <v>802</v>
      </c>
      <c r="D220" s="18" t="s">
        <v>1341</v>
      </c>
      <c r="E220" s="18" t="s">
        <v>1180</v>
      </c>
      <c r="F220" s="19">
        <f>IF(Bets35[[#This Row],[Odds]]&lt;0,Bets35[[#This Row],[Odds]]/-10,10)</f>
        <v>11.2</v>
      </c>
      <c r="G220" s="21">
        <v>-112</v>
      </c>
      <c r="H220" s="21" t="s">
        <v>263</v>
      </c>
      <c r="I220" s="45">
        <f>IF(Bets35[[#This Row],[Result]]="L",0-Bets35[[#This Row],[Risk]],IF(Bets35[[#This Row],[Result]]="Push",0,IF(Bets35[[#This Row],[Result]]="No Action",0,IF(Bets35[[#This Row],[Result]]="W",IF(Bets35[[#This Row],[Odds]]&gt;0,Bets35[[#This Row],[Odds]]/100*Bets35[[#This Row],[Risk]],(Bets35[[#This Row],[Risk]]/Bets35[[#This Row],[Odds]]*-100)),""))))</f>
        <v>-11.2</v>
      </c>
      <c r="J220" s="39" t="str">
        <f>IF(ISNUMBER(SEARCH(CHAR(10),Bets35[[#This Row],[Bet]])),"P",IF(ISNUMBER(FIND("Under",Bets35[[#This Row],[Bet]])),"U",IF(ISNUMBER(SEARCH("Over",Bets35[[#This Row],[Bet]])),"O",IF(ISNUMBER(SEARCH("+",Bets35[[#This Row],[Bet]])),"D",IF(ISNUMBER(SEARCH("-",Bets35[[#This Row],[Bet]])),"F",IF(ISNUMBER(SEARCH("Moneyline",Bets35[[#This Row],[Bet]])),IF(Bets35[[#This Row],[Odds]]&lt;0,"MF","MD"),""))))))</f>
        <v>MF</v>
      </c>
      <c r="K220" s="24"/>
      <c r="N220" s="70"/>
      <c r="O220" s="27"/>
    </row>
    <row r="221" spans="1:15" x14ac:dyDescent="0.25">
      <c r="A221" s="13">
        <f t="shared" si="11"/>
        <v>21</v>
      </c>
      <c r="B221" s="17">
        <v>43614</v>
      </c>
      <c r="C221" s="17" t="s">
        <v>802</v>
      </c>
      <c r="D221" s="18" t="s">
        <v>1354</v>
      </c>
      <c r="E221" s="18" t="s">
        <v>841</v>
      </c>
      <c r="F221" s="19">
        <f>IF(Bets35[[#This Row],[Odds]]&lt;0,Bets35[[#This Row],[Odds]]/-10,10)</f>
        <v>11.5</v>
      </c>
      <c r="G221" s="21">
        <v>-115</v>
      </c>
      <c r="H221" s="21" t="s">
        <v>262</v>
      </c>
      <c r="I221" s="45">
        <f>IF(Bets35[[#This Row],[Result]]="L",0-Bets35[[#This Row],[Risk]],IF(Bets35[[#This Row],[Result]]="Push",0,IF(Bets35[[#This Row],[Result]]="No Action",0,IF(Bets35[[#This Row],[Result]]="W",IF(Bets35[[#This Row],[Odds]]&gt;0,Bets35[[#This Row],[Odds]]/100*Bets35[[#This Row],[Risk]],(Bets35[[#This Row],[Risk]]/Bets35[[#This Row],[Odds]]*-100)),""))))</f>
        <v>10</v>
      </c>
      <c r="J221" s="39" t="str">
        <f>IF(ISNUMBER(SEARCH(CHAR(10),Bets35[[#This Row],[Bet]])),"P",IF(ISNUMBER(FIND("Under",Bets35[[#This Row],[Bet]])),"U",IF(ISNUMBER(SEARCH("Over",Bets35[[#This Row],[Bet]])),"O",IF(ISNUMBER(SEARCH("+",Bets35[[#This Row],[Bet]])),"D",IF(ISNUMBER(SEARCH("-",Bets35[[#This Row],[Bet]])),"F",IF(ISNUMBER(SEARCH("Moneyline",Bets35[[#This Row],[Bet]])),IF(Bets35[[#This Row],[Odds]]&lt;0,"MF","MD"),""))))))</f>
        <v>O</v>
      </c>
      <c r="K221" s="24"/>
      <c r="N221" s="70"/>
      <c r="O221" s="27"/>
    </row>
    <row r="222" spans="1:15" x14ac:dyDescent="0.25">
      <c r="A222" s="13">
        <f t="shared" si="11"/>
        <v>22</v>
      </c>
      <c r="B222" s="17">
        <v>43616</v>
      </c>
      <c r="C222" s="17" t="s">
        <v>802</v>
      </c>
      <c r="D222" s="18" t="s">
        <v>1363</v>
      </c>
      <c r="E222" s="11" t="s">
        <v>832</v>
      </c>
      <c r="F222" s="19">
        <f>IF(Bets35[[#This Row],[Odds]]&lt;0,Bets35[[#This Row],[Odds]]/-10,10)</f>
        <v>10</v>
      </c>
      <c r="G222" s="37">
        <v>120</v>
      </c>
      <c r="H222" s="21" t="s">
        <v>262</v>
      </c>
      <c r="I222" s="45">
        <f>IF(Bets35[[#This Row],[Result]]="L",0-Bets35[[#This Row],[Risk]],IF(Bets35[[#This Row],[Result]]="Push",0,IF(Bets35[[#This Row],[Result]]="No Action",0,IF(Bets35[[#This Row],[Result]]="W",IF(Bets35[[#This Row],[Odds]]&gt;0,Bets35[[#This Row],[Odds]]/100*Bets35[[#This Row],[Risk]],(Bets35[[#This Row],[Risk]]/Bets35[[#This Row],[Odds]]*-100)),""))))</f>
        <v>12</v>
      </c>
      <c r="J222" s="39" t="str">
        <f>IF(ISNUMBER(SEARCH(CHAR(10),Bets35[[#This Row],[Bet]])),"P",IF(ISNUMBER(FIND("Under",Bets35[[#This Row],[Bet]])),"U",IF(ISNUMBER(SEARCH("Over",Bets35[[#This Row],[Bet]])),"O",IF(ISNUMBER(SEARCH("+",Bets35[[#This Row],[Bet]])),"D",IF(ISNUMBER(SEARCH("-",Bets35[[#This Row],[Bet]])),"F",IF(ISNUMBER(SEARCH("Moneyline",Bets35[[#This Row],[Bet]])),IF(Bets35[[#This Row],[Odds]]&lt;0,"MF","MD"),""))))))</f>
        <v>MD</v>
      </c>
      <c r="K222" s="24"/>
      <c r="N222" s="70"/>
      <c r="O222" s="27"/>
    </row>
    <row r="223" spans="1:15" x14ac:dyDescent="0.25">
      <c r="A223" s="13">
        <f t="shared" si="11"/>
        <v>22</v>
      </c>
      <c r="B223" s="17">
        <v>43616</v>
      </c>
      <c r="C223" s="17" t="s">
        <v>802</v>
      </c>
      <c r="D223" s="18" t="s">
        <v>1364</v>
      </c>
      <c r="E223" s="11" t="s">
        <v>809</v>
      </c>
      <c r="F223" s="19">
        <f>IF(Bets35[[#This Row],[Odds]]&lt;0,Bets35[[#This Row],[Odds]]/-10,10)</f>
        <v>12</v>
      </c>
      <c r="G223" s="37">
        <v>-120</v>
      </c>
      <c r="H223" s="21" t="s">
        <v>263</v>
      </c>
      <c r="I223" s="45">
        <f>IF(Bets35[[#This Row],[Result]]="L",0-Bets35[[#This Row],[Risk]],IF(Bets35[[#This Row],[Result]]="Push",0,IF(Bets35[[#This Row],[Result]]="No Action",0,IF(Bets35[[#This Row],[Result]]="W",IF(Bets35[[#This Row],[Odds]]&gt;0,Bets35[[#This Row],[Odds]]/100*Bets35[[#This Row],[Risk]],(Bets35[[#This Row],[Risk]]/Bets35[[#This Row],[Odds]]*-100)),""))))</f>
        <v>-12</v>
      </c>
      <c r="J223" s="39" t="str">
        <f>IF(ISNUMBER(SEARCH(CHAR(10),Bets35[[#This Row],[Bet]])),"P",IF(ISNUMBER(FIND("Under",Bets35[[#This Row],[Bet]])),"U",IF(ISNUMBER(SEARCH("Over",Bets35[[#This Row],[Bet]])),"O",IF(ISNUMBER(SEARCH("+",Bets35[[#This Row],[Bet]])),"D",IF(ISNUMBER(SEARCH("-",Bets35[[#This Row],[Bet]])),"F",IF(ISNUMBER(SEARCH("Moneyline",Bets35[[#This Row],[Bet]])),IF(Bets35[[#This Row],[Odds]]&lt;0,"MF","MD"),""))))))</f>
        <v>MF</v>
      </c>
      <c r="K223" s="24"/>
      <c r="N223" s="70"/>
      <c r="O223" s="27"/>
    </row>
    <row r="224" spans="1:15" x14ac:dyDescent="0.25">
      <c r="A224" s="13">
        <f t="shared" si="11"/>
        <v>22</v>
      </c>
      <c r="B224" s="17">
        <v>43616</v>
      </c>
      <c r="C224" s="17" t="s">
        <v>802</v>
      </c>
      <c r="D224" s="18" t="s">
        <v>1365</v>
      </c>
      <c r="E224" s="11" t="s">
        <v>815</v>
      </c>
      <c r="F224" s="19">
        <f>IF(Bets35[[#This Row],[Odds]]&lt;0,Bets35[[#This Row],[Odds]]/-10,10)</f>
        <v>16.399999999999999</v>
      </c>
      <c r="G224" s="37">
        <v>-164</v>
      </c>
      <c r="H224" s="21" t="s">
        <v>263</v>
      </c>
      <c r="I224" s="45">
        <f>IF(Bets35[[#This Row],[Result]]="L",0-Bets35[[#This Row],[Risk]],IF(Bets35[[#This Row],[Result]]="Push",0,IF(Bets35[[#This Row],[Result]]="No Action",0,IF(Bets35[[#This Row],[Result]]="W",IF(Bets35[[#This Row],[Odds]]&gt;0,Bets35[[#This Row],[Odds]]/100*Bets35[[#This Row],[Risk]],(Bets35[[#This Row],[Risk]]/Bets35[[#This Row],[Odds]]*-100)),""))))</f>
        <v>-16.399999999999999</v>
      </c>
      <c r="J224" s="39" t="str">
        <f>IF(ISNUMBER(SEARCH(CHAR(10),Bets35[[#This Row],[Bet]])),"P",IF(ISNUMBER(FIND("Under",Bets35[[#This Row],[Bet]])),"U",IF(ISNUMBER(SEARCH("Over",Bets35[[#This Row],[Bet]])),"O",IF(ISNUMBER(SEARCH("+",Bets35[[#This Row],[Bet]])),"D",IF(ISNUMBER(SEARCH("-",Bets35[[#This Row],[Bet]])),"F",IF(ISNUMBER(SEARCH("Moneyline",Bets35[[#This Row],[Bet]])),IF(Bets35[[#This Row],[Odds]]&lt;0,"MF","MD"),""))))))</f>
        <v>MF</v>
      </c>
      <c r="K224" s="24"/>
      <c r="N224" s="70"/>
      <c r="O224" s="27"/>
    </row>
    <row r="225" spans="1:15" x14ac:dyDescent="0.25">
      <c r="A225" s="13">
        <f t="shared" si="11"/>
        <v>22</v>
      </c>
      <c r="B225" s="17">
        <v>43616</v>
      </c>
      <c r="C225" s="17" t="s">
        <v>802</v>
      </c>
      <c r="D225" s="18" t="s">
        <v>1242</v>
      </c>
      <c r="E225" s="11" t="s">
        <v>869</v>
      </c>
      <c r="F225" s="19">
        <f>IF(Bets35[[#This Row],[Odds]]&lt;0,Bets35[[#This Row],[Odds]]/-10,10)</f>
        <v>17.2</v>
      </c>
      <c r="G225" s="37">
        <v>-172</v>
      </c>
      <c r="H225" s="21" t="s">
        <v>263</v>
      </c>
      <c r="I225" s="45">
        <f>IF(Bets35[[#This Row],[Result]]="L",0-Bets35[[#This Row],[Risk]],IF(Bets35[[#This Row],[Result]]="Push",0,IF(Bets35[[#This Row],[Result]]="No Action",0,IF(Bets35[[#This Row],[Result]]="W",IF(Bets35[[#This Row],[Odds]]&gt;0,Bets35[[#This Row],[Odds]]/100*Bets35[[#This Row],[Risk]],(Bets35[[#This Row],[Risk]]/Bets35[[#This Row],[Odds]]*-100)),""))))</f>
        <v>-17.2</v>
      </c>
      <c r="J225" s="39" t="str">
        <f>IF(ISNUMBER(SEARCH(CHAR(10),Bets35[[#This Row],[Bet]])),"P",IF(ISNUMBER(FIND("Under",Bets35[[#This Row],[Bet]])),"U",IF(ISNUMBER(SEARCH("Over",Bets35[[#This Row],[Bet]])),"O",IF(ISNUMBER(SEARCH("+",Bets35[[#This Row],[Bet]])),"D",IF(ISNUMBER(SEARCH("-",Bets35[[#This Row],[Bet]])),"F",IF(ISNUMBER(SEARCH("Moneyline",Bets35[[#This Row],[Bet]])),IF(Bets35[[#This Row],[Odds]]&lt;0,"MF","MD"),""))))))</f>
        <v>MF</v>
      </c>
      <c r="K225" s="24"/>
      <c r="N225" s="70"/>
      <c r="O225" s="27"/>
    </row>
    <row r="226" spans="1:15" x14ac:dyDescent="0.25">
      <c r="A226" s="13">
        <f t="shared" si="11"/>
        <v>22</v>
      </c>
      <c r="B226" s="17">
        <v>43616</v>
      </c>
      <c r="C226" s="17" t="s">
        <v>802</v>
      </c>
      <c r="D226" s="18" t="s">
        <v>1366</v>
      </c>
      <c r="E226" s="11" t="s">
        <v>897</v>
      </c>
      <c r="F226" s="19">
        <f>IF(Bets35[[#This Row],[Odds]]&lt;0,Bets35[[#This Row],[Odds]]/-10,10)</f>
        <v>12.4</v>
      </c>
      <c r="G226" s="37">
        <v>-124</v>
      </c>
      <c r="H226" s="21" t="s">
        <v>262</v>
      </c>
      <c r="I226" s="45">
        <f>IF(Bets35[[#This Row],[Result]]="L",0-Bets35[[#This Row],[Risk]],IF(Bets35[[#This Row],[Result]]="Push",0,IF(Bets35[[#This Row],[Result]]="No Action",0,IF(Bets35[[#This Row],[Result]]="W",IF(Bets35[[#This Row],[Odds]]&gt;0,Bets35[[#This Row],[Odds]]/100*Bets35[[#This Row],[Risk]],(Bets35[[#This Row],[Risk]]/Bets35[[#This Row],[Odds]]*-100)),""))))</f>
        <v>10</v>
      </c>
      <c r="J226" s="39" t="str">
        <f>IF(ISNUMBER(SEARCH(CHAR(10),Bets35[[#This Row],[Bet]])),"P",IF(ISNUMBER(FIND("Under",Bets35[[#This Row],[Bet]])),"U",IF(ISNUMBER(SEARCH("Over",Bets35[[#This Row],[Bet]])),"O",IF(ISNUMBER(SEARCH("+",Bets35[[#This Row],[Bet]])),"D",IF(ISNUMBER(SEARCH("-",Bets35[[#This Row],[Bet]])),"F",IF(ISNUMBER(SEARCH("Moneyline",Bets35[[#This Row],[Bet]])),IF(Bets35[[#This Row],[Odds]]&lt;0,"MF","MD"),""))))))</f>
        <v>MF</v>
      </c>
      <c r="K226" s="24"/>
      <c r="N226" s="70"/>
      <c r="O226" s="27"/>
    </row>
    <row r="227" spans="1:15" x14ac:dyDescent="0.25">
      <c r="A227" s="13">
        <f t="shared" si="11"/>
        <v>22</v>
      </c>
      <c r="B227" s="17">
        <v>43616</v>
      </c>
      <c r="C227" s="17" t="s">
        <v>802</v>
      </c>
      <c r="D227" s="18" t="s">
        <v>1367</v>
      </c>
      <c r="E227" s="11" t="s">
        <v>827</v>
      </c>
      <c r="F227" s="19">
        <f>IF(Bets35[[#This Row],[Odds]]&lt;0,Bets35[[#This Row],[Odds]]/-10,10)</f>
        <v>16</v>
      </c>
      <c r="G227" s="37">
        <v>-160</v>
      </c>
      <c r="H227" s="21" t="s">
        <v>262</v>
      </c>
      <c r="I227" s="45">
        <f>IF(Bets35[[#This Row],[Result]]="L",0-Bets35[[#This Row],[Risk]],IF(Bets35[[#This Row],[Result]]="Push",0,IF(Bets35[[#This Row],[Result]]="No Action",0,IF(Bets35[[#This Row],[Result]]="W",IF(Bets35[[#This Row],[Odds]]&gt;0,Bets35[[#This Row],[Odds]]/100*Bets35[[#This Row],[Risk]],(Bets35[[#This Row],[Risk]]/Bets35[[#This Row],[Odds]]*-100)),""))))</f>
        <v>10</v>
      </c>
      <c r="J227" s="39" t="str">
        <f>IF(ISNUMBER(SEARCH(CHAR(10),Bets35[[#This Row],[Bet]])),"P",IF(ISNUMBER(FIND("Under",Bets35[[#This Row],[Bet]])),"U",IF(ISNUMBER(SEARCH("Over",Bets35[[#This Row],[Bet]])),"O",IF(ISNUMBER(SEARCH("+",Bets35[[#This Row],[Bet]])),"D",IF(ISNUMBER(SEARCH("-",Bets35[[#This Row],[Bet]])),"F",IF(ISNUMBER(SEARCH("Moneyline",Bets35[[#This Row],[Bet]])),IF(Bets35[[#This Row],[Odds]]&lt;0,"MF","MD"),""))))))</f>
        <v>MF</v>
      </c>
      <c r="K227" s="24"/>
      <c r="N227" s="70"/>
      <c r="O227" s="27"/>
    </row>
    <row r="228" spans="1:15" x14ac:dyDescent="0.25">
      <c r="A228" s="13">
        <f t="shared" si="11"/>
        <v>22</v>
      </c>
      <c r="B228" s="17">
        <v>43616</v>
      </c>
      <c r="C228" s="17" t="s">
        <v>802</v>
      </c>
      <c r="D228" s="18" t="s">
        <v>1368</v>
      </c>
      <c r="E228" s="11" t="s">
        <v>888</v>
      </c>
      <c r="F228" s="19">
        <f>IF(Bets35[[#This Row],[Odds]]&lt;0,Bets35[[#This Row],[Odds]]/-10,10)</f>
        <v>10</v>
      </c>
      <c r="G228" s="37">
        <v>143</v>
      </c>
      <c r="H228" s="21" t="s">
        <v>263</v>
      </c>
      <c r="I228" s="45">
        <f>IF(Bets35[[#This Row],[Result]]="L",0-Bets35[[#This Row],[Risk]],IF(Bets35[[#This Row],[Result]]="Push",0,IF(Bets35[[#This Row],[Result]]="No Action",0,IF(Bets35[[#This Row],[Result]]="W",IF(Bets35[[#This Row],[Odds]]&gt;0,Bets35[[#This Row],[Odds]]/100*Bets35[[#This Row],[Risk]],(Bets35[[#This Row],[Risk]]/Bets35[[#This Row],[Odds]]*-100)),""))))</f>
        <v>-10</v>
      </c>
      <c r="J228" s="39" t="str">
        <f>IF(ISNUMBER(SEARCH(CHAR(10),Bets35[[#This Row],[Bet]])),"P",IF(ISNUMBER(FIND("Under",Bets35[[#This Row],[Bet]])),"U",IF(ISNUMBER(SEARCH("Over",Bets35[[#This Row],[Bet]])),"O",IF(ISNUMBER(SEARCH("+",Bets35[[#This Row],[Bet]])),"D",IF(ISNUMBER(SEARCH("-",Bets35[[#This Row],[Bet]])),"F",IF(ISNUMBER(SEARCH("Moneyline",Bets35[[#This Row],[Bet]])),IF(Bets35[[#This Row],[Odds]]&lt;0,"MF","MD"),""))))))</f>
        <v>MD</v>
      </c>
      <c r="K228" s="24"/>
      <c r="N228" s="70"/>
      <c r="O228" s="27"/>
    </row>
    <row r="229" spans="1:15" x14ac:dyDescent="0.25">
      <c r="A229" s="13">
        <f t="shared" si="11"/>
        <v>23</v>
      </c>
      <c r="B229" s="17">
        <v>43643</v>
      </c>
      <c r="C229" s="17" t="s">
        <v>802</v>
      </c>
      <c r="D229" s="18" t="s">
        <v>1443</v>
      </c>
      <c r="E229" s="11" t="s">
        <v>827</v>
      </c>
      <c r="F229" s="19">
        <f>IF(Bets35[[#This Row],[Odds]]&lt;0,Bets35[[#This Row],[Odds]]/-10,10)</f>
        <v>20</v>
      </c>
      <c r="G229" s="37">
        <v>-200</v>
      </c>
      <c r="H229" s="21" t="s">
        <v>262</v>
      </c>
      <c r="I229" s="45">
        <f>IF(Bets35[[#This Row],[Result]]="L",0-Bets35[[#This Row],[Risk]],IF(Bets35[[#This Row],[Result]]="Push",0,IF(Bets35[[#This Row],[Result]]="No Action",0,IF(Bets35[[#This Row],[Result]]="W",IF(Bets35[[#This Row],[Odds]]&gt;0,Bets35[[#This Row],[Odds]]/100*Bets35[[#This Row],[Risk]],(Bets35[[#This Row],[Risk]]/Bets35[[#This Row],[Odds]]*-100)),""))))</f>
        <v>10</v>
      </c>
      <c r="J229" s="39" t="str">
        <f>IF(ISNUMBER(SEARCH(CHAR(10),Bets35[[#This Row],[Bet]])),"P",IF(ISNUMBER(FIND("Under",Bets35[[#This Row],[Bet]])),"U",IF(ISNUMBER(SEARCH("Over",Bets35[[#This Row],[Bet]])),"O",IF(ISNUMBER(SEARCH("+",Bets35[[#This Row],[Bet]])),"D",IF(ISNUMBER(SEARCH("-",Bets35[[#This Row],[Bet]])),"F",IF(ISNUMBER(SEARCH("Moneyline",Bets35[[#This Row],[Bet]])),IF(Bets35[[#This Row],[Odds]]&lt;0,"MF","MD"),""))))))</f>
        <v>MF</v>
      </c>
      <c r="K229" s="24"/>
      <c r="N229" s="70"/>
      <c r="O229" s="27"/>
    </row>
    <row r="230" spans="1:15" x14ac:dyDescent="0.25">
      <c r="A230" s="13">
        <f t="shared" si="11"/>
        <v>23</v>
      </c>
      <c r="B230" s="17">
        <v>43643</v>
      </c>
      <c r="C230" s="17" t="s">
        <v>802</v>
      </c>
      <c r="D230" s="18" t="s">
        <v>1444</v>
      </c>
      <c r="E230" s="11" t="s">
        <v>1180</v>
      </c>
      <c r="F230" s="19">
        <f>IF(Bets35[[#This Row],[Odds]]&lt;0,Bets35[[#This Row],[Odds]]/-10,10)</f>
        <v>11</v>
      </c>
      <c r="G230" s="37">
        <v>-110</v>
      </c>
      <c r="H230" s="21" t="s">
        <v>262</v>
      </c>
      <c r="I230" s="45">
        <f>IF(Bets35[[#This Row],[Result]]="L",0-Bets35[[#This Row],[Risk]],IF(Bets35[[#This Row],[Result]]="Push",0,IF(Bets35[[#This Row],[Result]]="No Action",0,IF(Bets35[[#This Row],[Result]]="W",IF(Bets35[[#This Row],[Odds]]&gt;0,Bets35[[#This Row],[Odds]]/100*Bets35[[#This Row],[Risk]],(Bets35[[#This Row],[Risk]]/Bets35[[#This Row],[Odds]]*-100)),""))))</f>
        <v>10</v>
      </c>
      <c r="J230" s="39" t="str">
        <f>IF(ISNUMBER(SEARCH(CHAR(10),Bets35[[#This Row],[Bet]])),"P",IF(ISNUMBER(FIND("Under",Bets35[[#This Row],[Bet]])),"U",IF(ISNUMBER(SEARCH("Over",Bets35[[#This Row],[Bet]])),"O",IF(ISNUMBER(SEARCH("+",Bets35[[#This Row],[Bet]])),"D",IF(ISNUMBER(SEARCH("-",Bets35[[#This Row],[Bet]])),"F",IF(ISNUMBER(SEARCH("Moneyline",Bets35[[#This Row],[Bet]])),IF(Bets35[[#This Row],[Odds]]&lt;0,"MF","MD"),""))))))</f>
        <v>MF</v>
      </c>
      <c r="K230" s="24"/>
      <c r="N230" s="70"/>
      <c r="O230" s="27"/>
    </row>
    <row r="231" spans="1:15" x14ac:dyDescent="0.25">
      <c r="A231" s="13">
        <f t="shared" si="11"/>
        <v>23</v>
      </c>
      <c r="B231" s="17">
        <v>43643</v>
      </c>
      <c r="C231" s="17" t="s">
        <v>802</v>
      </c>
      <c r="D231" s="18" t="s">
        <v>1445</v>
      </c>
      <c r="E231" s="11" t="s">
        <v>834</v>
      </c>
      <c r="F231" s="19">
        <f>IF(Bets35[[#This Row],[Odds]]&lt;0,Bets35[[#This Row],[Odds]]/-10,10)</f>
        <v>10</v>
      </c>
      <c r="G231" s="37" t="s">
        <v>1446</v>
      </c>
      <c r="H231" s="21" t="s">
        <v>263</v>
      </c>
      <c r="I231" s="45">
        <f>IF(Bets35[[#This Row],[Result]]="L",0-Bets35[[#This Row],[Risk]],IF(Bets35[[#This Row],[Result]]="Push",0,IF(Bets35[[#This Row],[Result]]="No Action",0,IF(Bets35[[#This Row],[Result]]="W",IF(Bets35[[#This Row],[Odds]]&gt;0,Bets35[[#This Row],[Odds]]/100*Bets35[[#This Row],[Risk]],(Bets35[[#This Row],[Risk]]/Bets35[[#This Row],[Odds]]*-100)),""))))</f>
        <v>-10</v>
      </c>
      <c r="J231" s="39" t="str">
        <f>IF(ISNUMBER(SEARCH(CHAR(10),Bets35[[#This Row],[Bet]])),"P",IF(ISNUMBER(FIND("Under",Bets35[[#This Row],[Bet]])),"U",IF(ISNUMBER(SEARCH("Over",Bets35[[#This Row],[Bet]])),"O",IF(ISNUMBER(SEARCH("+",Bets35[[#This Row],[Bet]])),"D",IF(ISNUMBER(SEARCH("-",Bets35[[#This Row],[Bet]])),"F",IF(ISNUMBER(SEARCH("Moneyline",Bets35[[#This Row],[Bet]])),IF(Bets35[[#This Row],[Odds]]&lt;0,"MF","MD"),""))))))</f>
        <v>MD</v>
      </c>
      <c r="K231" s="24"/>
      <c r="N231" s="70"/>
      <c r="O231" s="27"/>
    </row>
    <row r="232" spans="1:15" x14ac:dyDescent="0.25">
      <c r="A232" s="13">
        <f t="shared" si="11"/>
        <v>24</v>
      </c>
      <c r="B232" s="17">
        <v>43644</v>
      </c>
      <c r="C232" s="17" t="s">
        <v>802</v>
      </c>
      <c r="D232" s="18" t="s">
        <v>1447</v>
      </c>
      <c r="E232" s="11" t="s">
        <v>830</v>
      </c>
      <c r="F232" s="19">
        <f>IF(Bets35[[#This Row],[Odds]]&lt;0,Bets35[[#This Row],[Odds]]/-10,10)</f>
        <v>15.3</v>
      </c>
      <c r="G232" s="37">
        <v>-153</v>
      </c>
      <c r="H232" s="21" t="s">
        <v>262</v>
      </c>
      <c r="I232" s="45">
        <f>IF(Bets35[[#This Row],[Result]]="L",0-Bets35[[#This Row],[Risk]],IF(Bets35[[#This Row],[Result]]="Push",0,IF(Bets35[[#This Row],[Result]]="No Action",0,IF(Bets35[[#This Row],[Result]]="W",IF(Bets35[[#This Row],[Odds]]&gt;0,Bets35[[#This Row],[Odds]]/100*Bets35[[#This Row],[Risk]],(Bets35[[#This Row],[Risk]]/Bets35[[#This Row],[Odds]]*-100)),""))))</f>
        <v>10</v>
      </c>
      <c r="J232" s="39" t="str">
        <f>IF(ISNUMBER(SEARCH(CHAR(10),Bets35[[#This Row],[Bet]])),"P",IF(ISNUMBER(FIND("Under",Bets35[[#This Row],[Bet]])),"U",IF(ISNUMBER(SEARCH("Over",Bets35[[#This Row],[Bet]])),"O",IF(ISNUMBER(SEARCH("+",Bets35[[#This Row],[Bet]])),"D",IF(ISNUMBER(SEARCH("-",Bets35[[#This Row],[Bet]])),"F",IF(ISNUMBER(SEARCH("Moneyline",Bets35[[#This Row],[Bet]])),IF(Bets35[[#This Row],[Odds]]&lt;0,"MF","MD"),""))))))</f>
        <v>MF</v>
      </c>
      <c r="K232" s="24"/>
      <c r="N232" s="70"/>
      <c r="O232" s="27"/>
    </row>
    <row r="233" spans="1:15" x14ac:dyDescent="0.25">
      <c r="A233" s="13">
        <f t="shared" si="11"/>
        <v>24</v>
      </c>
      <c r="B233" s="17">
        <v>43644</v>
      </c>
      <c r="C233" s="17" t="s">
        <v>802</v>
      </c>
      <c r="D233" s="18" t="s">
        <v>1448</v>
      </c>
      <c r="E233" s="11" t="s">
        <v>815</v>
      </c>
      <c r="F233" s="19">
        <f>IF(Bets35[[#This Row],[Odds]]&lt;0,Bets35[[#This Row],[Odds]]/-10,10)</f>
        <v>10</v>
      </c>
      <c r="G233" s="37" t="s">
        <v>1449</v>
      </c>
      <c r="H233" s="21" t="s">
        <v>262</v>
      </c>
      <c r="I233" s="45">
        <f>IF(Bets35[[#This Row],[Result]]="L",0-Bets35[[#This Row],[Risk]],IF(Bets35[[#This Row],[Result]]="Push",0,IF(Bets35[[#This Row],[Result]]="No Action",0,IF(Bets35[[#This Row],[Result]]="W",IF(Bets35[[#This Row],[Odds]]&gt;0,Bets35[[#This Row],[Odds]]/100*Bets35[[#This Row],[Risk]],(Bets35[[#This Row],[Risk]]/Bets35[[#This Row],[Odds]]*-100)),""))))</f>
        <v>11.6</v>
      </c>
      <c r="J233" s="39" t="str">
        <f>IF(ISNUMBER(SEARCH(CHAR(10),Bets35[[#This Row],[Bet]])),"P",IF(ISNUMBER(FIND("Under",Bets35[[#This Row],[Bet]])),"U",IF(ISNUMBER(SEARCH("Over",Bets35[[#This Row],[Bet]])),"O",IF(ISNUMBER(SEARCH("+",Bets35[[#This Row],[Bet]])),"D",IF(ISNUMBER(SEARCH("-",Bets35[[#This Row],[Bet]])),"F",IF(ISNUMBER(SEARCH("Moneyline",Bets35[[#This Row],[Bet]])),IF(Bets35[[#This Row],[Odds]]&lt;0,"MF","MD"),""))))))</f>
        <v>MD</v>
      </c>
      <c r="K233" s="24"/>
      <c r="N233" s="70"/>
      <c r="O233" s="27"/>
    </row>
    <row r="234" spans="1:15" x14ac:dyDescent="0.25">
      <c r="A234" s="13">
        <f t="shared" si="11"/>
        <v>24</v>
      </c>
      <c r="B234" s="17">
        <v>43644</v>
      </c>
      <c r="C234" s="17" t="s">
        <v>802</v>
      </c>
      <c r="D234" s="18" t="s">
        <v>1450</v>
      </c>
      <c r="E234" s="11" t="s">
        <v>819</v>
      </c>
      <c r="F234" s="19">
        <f>IF(Bets35[[#This Row],[Odds]]&lt;0,Bets35[[#This Row],[Odds]]/-10,10)</f>
        <v>13.5</v>
      </c>
      <c r="G234" s="37">
        <v>-135</v>
      </c>
      <c r="H234" s="21" t="s">
        <v>263</v>
      </c>
      <c r="I234" s="45">
        <f>IF(Bets35[[#This Row],[Result]]="L",0-Bets35[[#This Row],[Risk]],IF(Bets35[[#This Row],[Result]]="Push",0,IF(Bets35[[#This Row],[Result]]="No Action",0,IF(Bets35[[#This Row],[Result]]="W",IF(Bets35[[#This Row],[Odds]]&gt;0,Bets35[[#This Row],[Odds]]/100*Bets35[[#This Row],[Risk]],(Bets35[[#This Row],[Risk]]/Bets35[[#This Row],[Odds]]*-100)),""))))</f>
        <v>-13.5</v>
      </c>
      <c r="J234" s="39" t="str">
        <f>IF(ISNUMBER(SEARCH(CHAR(10),Bets35[[#This Row],[Bet]])),"P",IF(ISNUMBER(FIND("Under",Bets35[[#This Row],[Bet]])),"U",IF(ISNUMBER(SEARCH("Over",Bets35[[#This Row],[Bet]])),"O",IF(ISNUMBER(SEARCH("+",Bets35[[#This Row],[Bet]])),"D",IF(ISNUMBER(SEARCH("-",Bets35[[#This Row],[Bet]])),"F",IF(ISNUMBER(SEARCH("Moneyline",Bets35[[#This Row],[Bet]])),IF(Bets35[[#This Row],[Odds]]&lt;0,"MF","MD"),""))))))</f>
        <v>MF</v>
      </c>
      <c r="K234" s="24"/>
      <c r="N234" s="70"/>
      <c r="O234" s="27"/>
    </row>
    <row r="235" spans="1:15" x14ac:dyDescent="0.25">
      <c r="A235" s="13">
        <f t="shared" si="11"/>
        <v>24</v>
      </c>
      <c r="B235" s="17">
        <v>43644</v>
      </c>
      <c r="C235" s="17" t="s">
        <v>802</v>
      </c>
      <c r="D235" s="18" t="s">
        <v>1443</v>
      </c>
      <c r="E235" s="11" t="s">
        <v>827</v>
      </c>
      <c r="F235" s="19">
        <f>IF(Bets35[[#This Row],[Odds]]&lt;0,Bets35[[#This Row],[Odds]]/-10,10)</f>
        <v>20</v>
      </c>
      <c r="G235" s="37">
        <v>-200</v>
      </c>
      <c r="H235" s="21" t="s">
        <v>263</v>
      </c>
      <c r="I235" s="45">
        <f>IF(Bets35[[#This Row],[Result]]="L",0-Bets35[[#This Row],[Risk]],IF(Bets35[[#This Row],[Result]]="Push",0,IF(Bets35[[#This Row],[Result]]="No Action",0,IF(Bets35[[#This Row],[Result]]="W",IF(Bets35[[#This Row],[Odds]]&gt;0,Bets35[[#This Row],[Odds]]/100*Bets35[[#This Row],[Risk]],(Bets35[[#This Row],[Risk]]/Bets35[[#This Row],[Odds]]*-100)),""))))</f>
        <v>-20</v>
      </c>
      <c r="J235" s="39" t="str">
        <f>IF(ISNUMBER(SEARCH(CHAR(10),Bets35[[#This Row],[Bet]])),"P",IF(ISNUMBER(FIND("Under",Bets35[[#This Row],[Bet]])),"U",IF(ISNUMBER(SEARCH("Over",Bets35[[#This Row],[Bet]])),"O",IF(ISNUMBER(SEARCH("+",Bets35[[#This Row],[Bet]])),"D",IF(ISNUMBER(SEARCH("-",Bets35[[#This Row],[Bet]])),"F",IF(ISNUMBER(SEARCH("Moneyline",Bets35[[#This Row],[Bet]])),IF(Bets35[[#This Row],[Odds]]&lt;0,"MF","MD"),""))))))</f>
        <v>MF</v>
      </c>
      <c r="K235" s="24"/>
      <c r="N235" s="70"/>
      <c r="O235" s="27"/>
    </row>
    <row r="236" spans="1:15" x14ac:dyDescent="0.25">
      <c r="A236" s="13">
        <f t="shared" si="11"/>
        <v>24</v>
      </c>
      <c r="B236" s="17">
        <v>43644</v>
      </c>
      <c r="C236" s="17" t="s">
        <v>802</v>
      </c>
      <c r="D236" s="18" t="s">
        <v>1444</v>
      </c>
      <c r="E236" s="11" t="s">
        <v>1180</v>
      </c>
      <c r="F236" s="19">
        <f>IF(Bets35[[#This Row],[Odds]]&lt;0,Bets35[[#This Row],[Odds]]/-10,10)</f>
        <v>11</v>
      </c>
      <c r="G236" s="37">
        <v>-110</v>
      </c>
      <c r="H236" s="21" t="s">
        <v>263</v>
      </c>
      <c r="I236" s="45">
        <f>IF(Bets35[[#This Row],[Result]]="L",0-Bets35[[#This Row],[Risk]],IF(Bets35[[#This Row],[Result]]="Push",0,IF(Bets35[[#This Row],[Result]]="No Action",0,IF(Bets35[[#This Row],[Result]]="W",IF(Bets35[[#This Row],[Odds]]&gt;0,Bets35[[#This Row],[Odds]]/100*Bets35[[#This Row],[Risk]],(Bets35[[#This Row],[Risk]]/Bets35[[#This Row],[Odds]]*-100)),""))))</f>
        <v>-11</v>
      </c>
      <c r="J236" s="39" t="str">
        <f>IF(ISNUMBER(SEARCH(CHAR(10),Bets35[[#This Row],[Bet]])),"P",IF(ISNUMBER(FIND("Under",Bets35[[#This Row],[Bet]])),"U",IF(ISNUMBER(SEARCH("Over",Bets35[[#This Row],[Bet]])),"O",IF(ISNUMBER(SEARCH("+",Bets35[[#This Row],[Bet]])),"D",IF(ISNUMBER(SEARCH("-",Bets35[[#This Row],[Bet]])),"F",IF(ISNUMBER(SEARCH("Moneyline",Bets35[[#This Row],[Bet]])),IF(Bets35[[#This Row],[Odds]]&lt;0,"MF","MD"),""))))))</f>
        <v>MF</v>
      </c>
      <c r="K236" s="24"/>
      <c r="N236" s="70"/>
      <c r="O236" s="27"/>
    </row>
    <row r="237" spans="1:15" x14ac:dyDescent="0.25">
      <c r="A237" s="13">
        <f t="shared" si="11"/>
        <v>25</v>
      </c>
      <c r="B237" s="17">
        <v>43647</v>
      </c>
      <c r="C237" s="17" t="s">
        <v>802</v>
      </c>
      <c r="D237" s="18" t="s">
        <v>1462</v>
      </c>
      <c r="E237" s="11" t="s">
        <v>1463</v>
      </c>
      <c r="F237" s="19">
        <f>IF(Bets35[[#This Row],[Odds]]&lt;0,Bets35[[#This Row],[Odds]]/-10,10)</f>
        <v>10</v>
      </c>
      <c r="G237" s="37">
        <v>120</v>
      </c>
      <c r="H237" s="21" t="s">
        <v>263</v>
      </c>
      <c r="I237" s="45">
        <f>IF(Bets35[[#This Row],[Result]]="L",0-Bets35[[#This Row],[Risk]],IF(Bets35[[#This Row],[Result]]="Push",0,IF(Bets35[[#This Row],[Result]]="No Action",0,IF(Bets35[[#This Row],[Result]]="W",IF(Bets35[[#This Row],[Odds]]&gt;0,Bets35[[#This Row],[Odds]]/100*Bets35[[#This Row],[Risk]],(Bets35[[#This Row],[Risk]]/Bets35[[#This Row],[Odds]]*-100)),""))))</f>
        <v>-10</v>
      </c>
      <c r="J237" s="39" t="str">
        <f>IF(ISNUMBER(SEARCH(CHAR(10),Bets35[[#This Row],[Bet]])),"P",IF(ISNUMBER(FIND("Under",Bets35[[#This Row],[Bet]])),"U",IF(ISNUMBER(SEARCH("Over",Bets35[[#This Row],[Bet]])),"O",IF(ISNUMBER(SEARCH("+",Bets35[[#This Row],[Bet]])),"D",IF(ISNUMBER(SEARCH("-",Bets35[[#This Row],[Bet]])),"F",IF(ISNUMBER(SEARCH("Moneyline",Bets35[[#This Row],[Bet]])),IF(Bets35[[#This Row],[Odds]]&lt;0,"MF","MD"),""))))))</f>
        <v>F</v>
      </c>
      <c r="K237" s="24"/>
      <c r="N237" s="70"/>
      <c r="O237" s="27"/>
    </row>
    <row r="238" spans="1:15" x14ac:dyDescent="0.25">
      <c r="A238" s="13">
        <f t="shared" si="11"/>
        <v>26</v>
      </c>
      <c r="B238" s="17">
        <v>43662</v>
      </c>
      <c r="C238" s="17" t="s">
        <v>802</v>
      </c>
      <c r="D238" s="18" t="s">
        <v>1491</v>
      </c>
      <c r="E238" s="11" t="s">
        <v>819</v>
      </c>
      <c r="F238" s="19">
        <f>IF(Bets35[[#This Row],[Odds]]&lt;0,Bets35[[#This Row],[Odds]]/-10,10)</f>
        <v>10</v>
      </c>
      <c r="G238" s="37" t="s">
        <v>1492</v>
      </c>
      <c r="H238" s="21" t="s">
        <v>263</v>
      </c>
      <c r="I238" s="45">
        <f>IF(Bets35[[#This Row],[Result]]="L",0-Bets35[[#This Row],[Risk]],IF(Bets35[[#This Row],[Result]]="Push",0,IF(Bets35[[#This Row],[Result]]="No Action",0,IF(Bets35[[#This Row],[Result]]="W",IF(Bets35[[#This Row],[Odds]]&gt;0,Bets35[[#This Row],[Odds]]/100*Bets35[[#This Row],[Risk]],(Bets35[[#This Row],[Risk]]/Bets35[[#This Row],[Odds]]*-100)),""))))</f>
        <v>-10</v>
      </c>
      <c r="J238" s="39" t="str">
        <f>IF(ISNUMBER(SEARCH(CHAR(10),Bets35[[#This Row],[Bet]])),"P",IF(ISNUMBER(FIND("Under",Bets35[[#This Row],[Bet]])),"U",IF(ISNUMBER(SEARCH("Over",Bets35[[#This Row],[Bet]])),"O",IF(ISNUMBER(SEARCH("+",Bets35[[#This Row],[Bet]])),"D",IF(ISNUMBER(SEARCH("-",Bets35[[#This Row],[Bet]])),"F",IF(ISNUMBER(SEARCH("Moneyline",Bets35[[#This Row],[Bet]])),IF(Bets35[[#This Row],[Odds]]&lt;0,"MF","MD"),""))))))</f>
        <v>MD</v>
      </c>
      <c r="K238" s="24"/>
      <c r="N238" s="70"/>
      <c r="O238" s="27"/>
    </row>
    <row r="239" spans="1:15" x14ac:dyDescent="0.25">
      <c r="A239" s="13">
        <f t="shared" si="11"/>
        <v>26</v>
      </c>
      <c r="B239" s="17">
        <v>43662</v>
      </c>
      <c r="C239" s="17" t="s">
        <v>802</v>
      </c>
      <c r="D239" s="18" t="s">
        <v>1493</v>
      </c>
      <c r="E239" s="11" t="s">
        <v>869</v>
      </c>
      <c r="F239" s="19">
        <f>IF(Bets35[[#This Row],[Odds]]&lt;0,Bets35[[#This Row],[Odds]]/-10,10)</f>
        <v>25</v>
      </c>
      <c r="G239" s="37">
        <v>-250</v>
      </c>
      <c r="H239" s="21" t="s">
        <v>262</v>
      </c>
      <c r="I239" s="45">
        <f>IF(Bets35[[#This Row],[Result]]="L",0-Bets35[[#This Row],[Risk]],IF(Bets35[[#This Row],[Result]]="Push",0,IF(Bets35[[#This Row],[Result]]="No Action",0,IF(Bets35[[#This Row],[Result]]="W",IF(Bets35[[#This Row],[Odds]]&gt;0,Bets35[[#This Row],[Odds]]/100*Bets35[[#This Row],[Risk]],(Bets35[[#This Row],[Risk]]/Bets35[[#This Row],[Odds]]*-100)),""))))</f>
        <v>10</v>
      </c>
      <c r="J239" s="39" t="str">
        <f>IF(ISNUMBER(SEARCH(CHAR(10),Bets35[[#This Row],[Bet]])),"P",IF(ISNUMBER(FIND("Under",Bets35[[#This Row],[Bet]])),"U",IF(ISNUMBER(SEARCH("Over",Bets35[[#This Row],[Bet]])),"O",IF(ISNUMBER(SEARCH("+",Bets35[[#This Row],[Bet]])),"D",IF(ISNUMBER(SEARCH("-",Bets35[[#This Row],[Bet]])),"F",IF(ISNUMBER(SEARCH("Moneyline",Bets35[[#This Row],[Bet]])),IF(Bets35[[#This Row],[Odds]]&lt;0,"MF","MD"),""))))))</f>
        <v>MF</v>
      </c>
      <c r="K239" s="24"/>
      <c r="N239" s="70"/>
      <c r="O239" s="27"/>
    </row>
    <row r="240" spans="1:15" x14ac:dyDescent="0.25">
      <c r="A240" s="13">
        <f t="shared" si="11"/>
        <v>26</v>
      </c>
      <c r="B240" s="17">
        <v>43662</v>
      </c>
      <c r="C240" s="17" t="s">
        <v>802</v>
      </c>
      <c r="D240" s="18" t="s">
        <v>1494</v>
      </c>
      <c r="E240" s="11" t="s">
        <v>888</v>
      </c>
      <c r="F240" s="19">
        <f>IF(Bets35[[#This Row],[Odds]]&lt;0,Bets35[[#This Row],[Odds]]/-10,10)</f>
        <v>10.5</v>
      </c>
      <c r="G240" s="37">
        <v>-105</v>
      </c>
      <c r="H240" s="21" t="s">
        <v>262</v>
      </c>
      <c r="I240" s="45">
        <f>IF(Bets35[[#This Row],[Result]]="L",0-Bets35[[#This Row],[Risk]],IF(Bets35[[#This Row],[Result]]="Push",0,IF(Bets35[[#This Row],[Result]]="No Action",0,IF(Bets35[[#This Row],[Result]]="W",IF(Bets35[[#This Row],[Odds]]&gt;0,Bets35[[#This Row],[Odds]]/100*Bets35[[#This Row],[Risk]],(Bets35[[#This Row],[Risk]]/Bets35[[#This Row],[Odds]]*-100)),""))))</f>
        <v>10</v>
      </c>
      <c r="J240" s="39" t="str">
        <f>IF(ISNUMBER(SEARCH(CHAR(10),Bets35[[#This Row],[Bet]])),"P",IF(ISNUMBER(FIND("Under",Bets35[[#This Row],[Bet]])),"U",IF(ISNUMBER(SEARCH("Over",Bets35[[#This Row],[Bet]])),"O",IF(ISNUMBER(SEARCH("+",Bets35[[#This Row],[Bet]])),"D",IF(ISNUMBER(SEARCH("-",Bets35[[#This Row],[Bet]])),"F",IF(ISNUMBER(SEARCH("Moneyline",Bets35[[#This Row],[Bet]])),IF(Bets35[[#This Row],[Odds]]&lt;0,"MF","MD"),""))))))</f>
        <v>MF</v>
      </c>
      <c r="K240" s="24"/>
      <c r="N240" s="70"/>
      <c r="O240" s="27"/>
    </row>
    <row r="241" spans="1:15" x14ac:dyDescent="0.25">
      <c r="A241" s="13">
        <f t="shared" si="11"/>
        <v>26</v>
      </c>
      <c r="B241" s="17">
        <v>43662</v>
      </c>
      <c r="C241" s="17" t="s">
        <v>802</v>
      </c>
      <c r="D241" s="18" t="s">
        <v>1495</v>
      </c>
      <c r="E241" s="11" t="s">
        <v>1180</v>
      </c>
      <c r="F241" s="19">
        <f>IF(Bets35[[#This Row],[Odds]]&lt;0,Bets35[[#This Row],[Odds]]/-10,10)</f>
        <v>10</v>
      </c>
      <c r="G241" s="37" t="s">
        <v>934</v>
      </c>
      <c r="H241" s="21" t="s">
        <v>262</v>
      </c>
      <c r="I241" s="45">
        <f>IF(Bets35[[#This Row],[Result]]="L",0-Bets35[[#This Row],[Risk]],IF(Bets35[[#This Row],[Result]]="Push",0,IF(Bets35[[#This Row],[Result]]="No Action",0,IF(Bets35[[#This Row],[Result]]="W",IF(Bets35[[#This Row],[Odds]]&gt;0,Bets35[[#This Row],[Odds]]/100*Bets35[[#This Row],[Risk]],(Bets35[[#This Row],[Risk]]/Bets35[[#This Row],[Odds]]*-100)),""))))</f>
        <v>14</v>
      </c>
      <c r="J241" s="39" t="str">
        <f>IF(ISNUMBER(SEARCH(CHAR(10),Bets35[[#This Row],[Bet]])),"P",IF(ISNUMBER(FIND("Under",Bets35[[#This Row],[Bet]])),"U",IF(ISNUMBER(SEARCH("Over",Bets35[[#This Row],[Bet]])),"O",IF(ISNUMBER(SEARCH("+",Bets35[[#This Row],[Bet]])),"D",IF(ISNUMBER(SEARCH("-",Bets35[[#This Row],[Bet]])),"F",IF(ISNUMBER(SEARCH("Moneyline",Bets35[[#This Row],[Bet]])),IF(Bets35[[#This Row],[Odds]]&lt;0,"MF","MD"),""))))))</f>
        <v>MD</v>
      </c>
      <c r="K241" s="24"/>
      <c r="N241" s="70"/>
      <c r="O241" s="27"/>
    </row>
    <row r="242" spans="1:15" x14ac:dyDescent="0.25">
      <c r="A242" s="13">
        <f t="shared" si="11"/>
        <v>26</v>
      </c>
      <c r="B242" s="17">
        <v>43662</v>
      </c>
      <c r="C242" s="17" t="s">
        <v>802</v>
      </c>
      <c r="D242" s="18" t="s">
        <v>1214</v>
      </c>
      <c r="E242" s="11" t="s">
        <v>876</v>
      </c>
      <c r="F242" s="19">
        <f>IF(Bets35[[#This Row],[Odds]]&lt;0,Bets35[[#This Row],[Odds]]/-10,10)</f>
        <v>10</v>
      </c>
      <c r="G242" s="37" t="s">
        <v>1496</v>
      </c>
      <c r="H242" s="21" t="s">
        <v>262</v>
      </c>
      <c r="I242" s="45">
        <f>IF(Bets35[[#This Row],[Result]]="L",0-Bets35[[#This Row],[Risk]],IF(Bets35[[#This Row],[Result]]="Push",0,IF(Bets35[[#This Row],[Result]]="No Action",0,IF(Bets35[[#This Row],[Result]]="W",IF(Bets35[[#This Row],[Odds]]&gt;0,Bets35[[#This Row],[Odds]]/100*Bets35[[#This Row],[Risk]],(Bets35[[#This Row],[Risk]]/Bets35[[#This Row],[Odds]]*-100)),""))))</f>
        <v>15.5</v>
      </c>
      <c r="J242" s="39" t="str">
        <f>IF(ISNUMBER(SEARCH(CHAR(10),Bets35[[#This Row],[Bet]])),"P",IF(ISNUMBER(FIND("Under",Bets35[[#This Row],[Bet]])),"U",IF(ISNUMBER(SEARCH("Over",Bets35[[#This Row],[Bet]])),"O",IF(ISNUMBER(SEARCH("+",Bets35[[#This Row],[Bet]])),"D",IF(ISNUMBER(SEARCH("-",Bets35[[#This Row],[Bet]])),"F",IF(ISNUMBER(SEARCH("Moneyline",Bets35[[#This Row],[Bet]])),IF(Bets35[[#This Row],[Odds]]&lt;0,"MF","MD"),""))))))</f>
        <v>MD</v>
      </c>
      <c r="K242" s="24"/>
      <c r="N242" s="70"/>
      <c r="O242" s="27"/>
    </row>
    <row r="243" spans="1:15" x14ac:dyDescent="0.25">
      <c r="A243" s="13">
        <f t="shared" si="11"/>
        <v>26</v>
      </c>
      <c r="B243" s="17">
        <v>43662</v>
      </c>
      <c r="C243" s="17" t="s">
        <v>802</v>
      </c>
      <c r="D243" s="18" t="s">
        <v>1497</v>
      </c>
      <c r="E243" s="11" t="s">
        <v>897</v>
      </c>
      <c r="F243" s="19">
        <f>IF(Bets35[[#This Row],[Odds]]&lt;0,Bets35[[#This Row],[Odds]]/-10,10)</f>
        <v>12</v>
      </c>
      <c r="G243" s="37">
        <v>-120</v>
      </c>
      <c r="H243" s="21" t="s">
        <v>263</v>
      </c>
      <c r="I243" s="45">
        <f>IF(Bets35[[#This Row],[Result]]="L",0-Bets35[[#This Row],[Risk]],IF(Bets35[[#This Row],[Result]]="Push",0,IF(Bets35[[#This Row],[Result]]="No Action",0,IF(Bets35[[#This Row],[Result]]="W",IF(Bets35[[#This Row],[Odds]]&gt;0,Bets35[[#This Row],[Odds]]/100*Bets35[[#This Row],[Risk]],(Bets35[[#This Row],[Risk]]/Bets35[[#This Row],[Odds]]*-100)),""))))</f>
        <v>-12</v>
      </c>
      <c r="J243" s="39" t="str">
        <f>IF(ISNUMBER(SEARCH(CHAR(10),Bets35[[#This Row],[Bet]])),"P",IF(ISNUMBER(FIND("Under",Bets35[[#This Row],[Bet]])),"U",IF(ISNUMBER(SEARCH("Over",Bets35[[#This Row],[Bet]])),"O",IF(ISNUMBER(SEARCH("+",Bets35[[#This Row],[Bet]])),"D",IF(ISNUMBER(SEARCH("-",Bets35[[#This Row],[Bet]])),"F",IF(ISNUMBER(SEARCH("Moneyline",Bets35[[#This Row],[Bet]])),IF(Bets35[[#This Row],[Odds]]&lt;0,"MF","MD"),""))))))</f>
        <v>MF</v>
      </c>
      <c r="K243" s="24"/>
      <c r="N243" s="70"/>
      <c r="O243" s="27"/>
    </row>
    <row r="244" spans="1:15" x14ac:dyDescent="0.25">
      <c r="A244" s="13">
        <f t="shared" si="11"/>
        <v>26</v>
      </c>
      <c r="B244" s="17">
        <v>43662</v>
      </c>
      <c r="C244" s="17" t="s">
        <v>802</v>
      </c>
      <c r="D244" s="18" t="s">
        <v>1498</v>
      </c>
      <c r="E244" s="11" t="s">
        <v>1343</v>
      </c>
      <c r="F244" s="19">
        <f>IF(Bets35[[#This Row],[Odds]]&lt;0,Bets35[[#This Row],[Odds]]/-10,10)</f>
        <v>11.5</v>
      </c>
      <c r="G244" s="37">
        <v>-115</v>
      </c>
      <c r="H244" s="21" t="s">
        <v>262</v>
      </c>
      <c r="I244" s="45">
        <f>IF(Bets35[[#This Row],[Result]]="L",0-Bets35[[#This Row],[Risk]],IF(Bets35[[#This Row],[Result]]="Push",0,IF(Bets35[[#This Row],[Result]]="No Action",0,IF(Bets35[[#This Row],[Result]]="W",IF(Bets35[[#This Row],[Odds]]&gt;0,Bets35[[#This Row],[Odds]]/100*Bets35[[#This Row],[Risk]],(Bets35[[#This Row],[Risk]]/Bets35[[#This Row],[Odds]]*-100)),""))))</f>
        <v>10</v>
      </c>
      <c r="J244" s="39" t="str">
        <f>IF(ISNUMBER(SEARCH(CHAR(10),Bets35[[#This Row],[Bet]])),"P",IF(ISNUMBER(FIND("Under",Bets35[[#This Row],[Bet]])),"U",IF(ISNUMBER(SEARCH("Over",Bets35[[#This Row],[Bet]])),"O",IF(ISNUMBER(SEARCH("+",Bets35[[#This Row],[Bet]])),"D",IF(ISNUMBER(SEARCH("-",Bets35[[#This Row],[Bet]])),"F",IF(ISNUMBER(SEARCH("Moneyline",Bets35[[#This Row],[Bet]])),IF(Bets35[[#This Row],[Odds]]&lt;0,"MF","MD"),""))))))</f>
        <v>U</v>
      </c>
      <c r="K244" s="24"/>
      <c r="N244" s="70"/>
      <c r="O244" s="27"/>
    </row>
    <row r="245" spans="1:15" x14ac:dyDescent="0.25">
      <c r="A245" s="13">
        <f t="shared" si="11"/>
        <v>26</v>
      </c>
      <c r="B245" s="17">
        <v>43662</v>
      </c>
      <c r="C245" s="17" t="s">
        <v>802</v>
      </c>
      <c r="D245" s="18" t="s">
        <v>1491</v>
      </c>
      <c r="E245" s="11" t="s">
        <v>1209</v>
      </c>
      <c r="F245" s="19">
        <f>IF(Bets35[[#This Row],[Odds]]&lt;0,Bets35[[#This Row],[Odds]]/-10,10)</f>
        <v>11.5</v>
      </c>
      <c r="G245" s="37">
        <v>-115</v>
      </c>
      <c r="H245" s="21" t="s">
        <v>263</v>
      </c>
      <c r="I245" s="45">
        <f>IF(Bets35[[#This Row],[Result]]="L",0-Bets35[[#This Row],[Risk]],IF(Bets35[[#This Row],[Result]]="Push",0,IF(Bets35[[#This Row],[Result]]="No Action",0,IF(Bets35[[#This Row],[Result]]="W",IF(Bets35[[#This Row],[Odds]]&gt;0,Bets35[[#This Row],[Odds]]/100*Bets35[[#This Row],[Risk]],(Bets35[[#This Row],[Risk]]/Bets35[[#This Row],[Odds]]*-100)),""))))</f>
        <v>-11.5</v>
      </c>
      <c r="J245" s="39" t="str">
        <f>IF(ISNUMBER(SEARCH(CHAR(10),Bets35[[#This Row],[Bet]])),"P",IF(ISNUMBER(FIND("Under",Bets35[[#This Row],[Bet]])),"U",IF(ISNUMBER(SEARCH("Over",Bets35[[#This Row],[Bet]])),"O",IF(ISNUMBER(SEARCH("+",Bets35[[#This Row],[Bet]])),"D",IF(ISNUMBER(SEARCH("-",Bets35[[#This Row],[Bet]])),"F",IF(ISNUMBER(SEARCH("Moneyline",Bets35[[#This Row],[Bet]])),IF(Bets35[[#This Row],[Odds]]&lt;0,"MF","MD"),""))))))</f>
        <v>U</v>
      </c>
      <c r="K245" s="24"/>
      <c r="N245" s="70"/>
      <c r="O245" s="27"/>
    </row>
    <row r="246" spans="1:15" x14ac:dyDescent="0.25">
      <c r="A246" s="13">
        <f t="shared" si="11"/>
        <v>26</v>
      </c>
      <c r="B246" s="17">
        <v>43662</v>
      </c>
      <c r="C246" s="17" t="s">
        <v>802</v>
      </c>
      <c r="D246" s="18" t="s">
        <v>1499</v>
      </c>
      <c r="E246" s="11" t="s">
        <v>880</v>
      </c>
      <c r="F246" s="19">
        <f>IF(Bets35[[#This Row],[Odds]]&lt;0,Bets35[[#This Row],[Odds]]/-10,10)</f>
        <v>11.5</v>
      </c>
      <c r="G246" s="37">
        <v>-115</v>
      </c>
      <c r="H246" s="21" t="s">
        <v>263</v>
      </c>
      <c r="I246" s="45">
        <f>IF(Bets35[[#This Row],[Result]]="L",0-Bets35[[#This Row],[Risk]],IF(Bets35[[#This Row],[Result]]="Push",0,IF(Bets35[[#This Row],[Result]]="No Action",0,IF(Bets35[[#This Row],[Result]]="W",IF(Bets35[[#This Row],[Odds]]&gt;0,Bets35[[#This Row],[Odds]]/100*Bets35[[#This Row],[Risk]],(Bets35[[#This Row],[Risk]]/Bets35[[#This Row],[Odds]]*-100)),""))))</f>
        <v>-11.5</v>
      </c>
      <c r="J246" s="39" t="str">
        <f>IF(ISNUMBER(SEARCH(CHAR(10),Bets35[[#This Row],[Bet]])),"P",IF(ISNUMBER(FIND("Under",Bets35[[#This Row],[Bet]])),"U",IF(ISNUMBER(SEARCH("Over",Bets35[[#This Row],[Bet]])),"O",IF(ISNUMBER(SEARCH("+",Bets35[[#This Row],[Bet]])),"D",IF(ISNUMBER(SEARCH("-",Bets35[[#This Row],[Bet]])),"F",IF(ISNUMBER(SEARCH("Moneyline",Bets35[[#This Row],[Bet]])),IF(Bets35[[#This Row],[Odds]]&lt;0,"MF","MD"),""))))))</f>
        <v>U</v>
      </c>
      <c r="K246" s="24"/>
      <c r="N246" s="70"/>
      <c r="O246" s="27"/>
    </row>
    <row r="247" spans="1:15" x14ac:dyDescent="0.25">
      <c r="A247" s="13">
        <f t="shared" si="11"/>
        <v>26</v>
      </c>
      <c r="B247" s="17">
        <v>43662</v>
      </c>
      <c r="C247" s="17" t="s">
        <v>802</v>
      </c>
      <c r="D247" s="18" t="s">
        <v>1500</v>
      </c>
      <c r="E247" s="11" t="s">
        <v>1343</v>
      </c>
      <c r="F247" s="19">
        <f>IF(Bets35[[#This Row],[Odds]]&lt;0,Bets35[[#This Row],[Odds]]/-10,10)</f>
        <v>11.5</v>
      </c>
      <c r="G247" s="37">
        <v>-115</v>
      </c>
      <c r="H247" s="21" t="s">
        <v>263</v>
      </c>
      <c r="I247" s="45">
        <f>IF(Bets35[[#This Row],[Result]]="L",0-Bets35[[#This Row],[Risk]],IF(Bets35[[#This Row],[Result]]="Push",0,IF(Bets35[[#This Row],[Result]]="No Action",0,IF(Bets35[[#This Row],[Result]]="W",IF(Bets35[[#This Row],[Odds]]&gt;0,Bets35[[#This Row],[Odds]]/100*Bets35[[#This Row],[Risk]],(Bets35[[#This Row],[Risk]]/Bets35[[#This Row],[Odds]]*-100)),""))))</f>
        <v>-11.5</v>
      </c>
      <c r="J247" s="39" t="str">
        <f>IF(ISNUMBER(SEARCH(CHAR(10),Bets35[[#This Row],[Bet]])),"P",IF(ISNUMBER(FIND("Under",Bets35[[#This Row],[Bet]])),"U",IF(ISNUMBER(SEARCH("Over",Bets35[[#This Row],[Bet]])),"O",IF(ISNUMBER(SEARCH("+",Bets35[[#This Row],[Bet]])),"D",IF(ISNUMBER(SEARCH("-",Bets35[[#This Row],[Bet]])),"F",IF(ISNUMBER(SEARCH("Moneyline",Bets35[[#This Row],[Bet]])),IF(Bets35[[#This Row],[Odds]]&lt;0,"MF","MD"),""))))))</f>
        <v>U</v>
      </c>
      <c r="K247" s="24"/>
      <c r="N247" s="70"/>
      <c r="O247" s="27"/>
    </row>
    <row r="248" spans="1:15" x14ac:dyDescent="0.25">
      <c r="A248" s="13">
        <f t="shared" si="11"/>
        <v>26</v>
      </c>
      <c r="B248" s="17">
        <v>43662</v>
      </c>
      <c r="C248" s="17" t="s">
        <v>802</v>
      </c>
      <c r="D248" s="18" t="s">
        <v>1493</v>
      </c>
      <c r="E248" s="11" t="s">
        <v>879</v>
      </c>
      <c r="F248" s="19">
        <f>IF(Bets35[[#This Row],[Odds]]&lt;0,Bets35[[#This Row],[Odds]]/-10,10)</f>
        <v>10.5</v>
      </c>
      <c r="G248" s="37">
        <v>-105</v>
      </c>
      <c r="H248" s="21" t="s">
        <v>262</v>
      </c>
      <c r="I248" s="45">
        <f>IF(Bets35[[#This Row],[Result]]="L",0-Bets35[[#This Row],[Risk]],IF(Bets35[[#This Row],[Result]]="Push",0,IF(Bets35[[#This Row],[Result]]="No Action",0,IF(Bets35[[#This Row],[Result]]="W",IF(Bets35[[#This Row],[Odds]]&gt;0,Bets35[[#This Row],[Odds]]/100*Bets35[[#This Row],[Risk]],(Bets35[[#This Row],[Risk]]/Bets35[[#This Row],[Odds]]*-100)),""))))</f>
        <v>10</v>
      </c>
      <c r="J248" s="39" t="str">
        <f>IF(ISNUMBER(SEARCH(CHAR(10),Bets35[[#This Row],[Bet]])),"P",IF(ISNUMBER(FIND("Under",Bets35[[#This Row],[Bet]])),"U",IF(ISNUMBER(SEARCH("Over",Bets35[[#This Row],[Bet]])),"O",IF(ISNUMBER(SEARCH("+",Bets35[[#This Row],[Bet]])),"D",IF(ISNUMBER(SEARCH("-",Bets35[[#This Row],[Bet]])),"F",IF(ISNUMBER(SEARCH("Moneyline",Bets35[[#This Row],[Bet]])),IF(Bets35[[#This Row],[Odds]]&lt;0,"MF","MD"),""))))))</f>
        <v>U</v>
      </c>
      <c r="K248" s="24"/>
      <c r="N248" s="70"/>
      <c r="O248" s="27"/>
    </row>
    <row r="249" spans="1:15" x14ac:dyDescent="0.25">
      <c r="A249" s="13">
        <f t="shared" si="11"/>
        <v>26</v>
      </c>
      <c r="B249" s="17">
        <v>43662</v>
      </c>
      <c r="C249" s="17" t="s">
        <v>802</v>
      </c>
      <c r="D249" s="18" t="s">
        <v>1494</v>
      </c>
      <c r="E249" s="11" t="s">
        <v>1501</v>
      </c>
      <c r="F249" s="19">
        <f>IF(Bets35[[#This Row],[Odds]]&lt;0,Bets35[[#This Row],[Odds]]/-10,10)</f>
        <v>11</v>
      </c>
      <c r="G249" s="37">
        <v>-110</v>
      </c>
      <c r="H249" s="21" t="s">
        <v>263</v>
      </c>
      <c r="I249" s="45">
        <f>IF(Bets35[[#This Row],[Result]]="L",0-Bets35[[#This Row],[Risk]],IF(Bets35[[#This Row],[Result]]="Push",0,IF(Bets35[[#This Row],[Result]]="No Action",0,IF(Bets35[[#This Row],[Result]]="W",IF(Bets35[[#This Row],[Odds]]&gt;0,Bets35[[#This Row],[Odds]]/100*Bets35[[#This Row],[Risk]],(Bets35[[#This Row],[Risk]]/Bets35[[#This Row],[Odds]]*-100)),""))))</f>
        <v>-11</v>
      </c>
      <c r="J249" s="39" t="str">
        <f>IF(ISNUMBER(SEARCH(CHAR(10),Bets35[[#This Row],[Bet]])),"P",IF(ISNUMBER(FIND("Under",Bets35[[#This Row],[Bet]])),"U",IF(ISNUMBER(SEARCH("Over",Bets35[[#This Row],[Bet]])),"O",IF(ISNUMBER(SEARCH("+",Bets35[[#This Row],[Bet]])),"D",IF(ISNUMBER(SEARCH("-",Bets35[[#This Row],[Bet]])),"F",IF(ISNUMBER(SEARCH("Moneyline",Bets35[[#This Row],[Bet]])),IF(Bets35[[#This Row],[Odds]]&lt;0,"MF","MD"),""))))))</f>
        <v>U</v>
      </c>
      <c r="K249" s="24"/>
      <c r="N249" s="70"/>
      <c r="O249" s="27"/>
    </row>
    <row r="250" spans="1:15" x14ac:dyDescent="0.25">
      <c r="A250" s="13">
        <f t="shared" si="11"/>
        <v>26</v>
      </c>
      <c r="B250" s="17">
        <v>43662</v>
      </c>
      <c r="C250" s="17" t="s">
        <v>802</v>
      </c>
      <c r="D250" s="18" t="s">
        <v>1502</v>
      </c>
      <c r="E250" s="11" t="s">
        <v>879</v>
      </c>
      <c r="F250" s="19">
        <f>IF(Bets35[[#This Row],[Odds]]&lt;0,Bets35[[#This Row],[Odds]]/-10,10)</f>
        <v>11</v>
      </c>
      <c r="G250" s="37">
        <v>-110</v>
      </c>
      <c r="H250" s="21" t="s">
        <v>262</v>
      </c>
      <c r="I250" s="45">
        <f>IF(Bets35[[#This Row],[Result]]="L",0-Bets35[[#This Row],[Risk]],IF(Bets35[[#This Row],[Result]]="Push",0,IF(Bets35[[#This Row],[Result]]="No Action",0,IF(Bets35[[#This Row],[Result]]="W",IF(Bets35[[#This Row],[Odds]]&gt;0,Bets35[[#This Row],[Odds]]/100*Bets35[[#This Row],[Risk]],(Bets35[[#This Row],[Risk]]/Bets35[[#This Row],[Odds]]*-100)),""))))</f>
        <v>10</v>
      </c>
      <c r="J250" s="39" t="str">
        <f>IF(ISNUMBER(SEARCH(CHAR(10),Bets35[[#This Row],[Bet]])),"P",IF(ISNUMBER(FIND("Under",Bets35[[#This Row],[Bet]])),"U",IF(ISNUMBER(SEARCH("Over",Bets35[[#This Row],[Bet]])),"O",IF(ISNUMBER(SEARCH("+",Bets35[[#This Row],[Bet]])),"D",IF(ISNUMBER(SEARCH("-",Bets35[[#This Row],[Bet]])),"F",IF(ISNUMBER(SEARCH("Moneyline",Bets35[[#This Row],[Bet]])),IF(Bets35[[#This Row],[Odds]]&lt;0,"MF","MD"),""))))))</f>
        <v>U</v>
      </c>
      <c r="K250" s="24"/>
      <c r="N250" s="70"/>
      <c r="O250" s="27"/>
    </row>
    <row r="251" spans="1:15" x14ac:dyDescent="0.25">
      <c r="A251" s="13">
        <f t="shared" si="11"/>
        <v>26</v>
      </c>
      <c r="B251" s="17">
        <v>43662</v>
      </c>
      <c r="C251" s="17" t="s">
        <v>802</v>
      </c>
      <c r="D251" s="18" t="s">
        <v>1495</v>
      </c>
      <c r="E251" s="11" t="s">
        <v>1209</v>
      </c>
      <c r="F251" s="19">
        <f>IF(Bets35[[#This Row],[Odds]]&lt;0,Bets35[[#This Row],[Odds]]/-10,10)</f>
        <v>10.5</v>
      </c>
      <c r="G251" s="37">
        <v>-105</v>
      </c>
      <c r="H251" s="21" t="s">
        <v>263</v>
      </c>
      <c r="I251" s="45">
        <f>IF(Bets35[[#This Row],[Result]]="L",0-Bets35[[#This Row],[Risk]],IF(Bets35[[#This Row],[Result]]="Push",0,IF(Bets35[[#This Row],[Result]]="No Action",0,IF(Bets35[[#This Row],[Result]]="W",IF(Bets35[[#This Row],[Odds]]&gt;0,Bets35[[#This Row],[Odds]]/100*Bets35[[#This Row],[Risk]],(Bets35[[#This Row],[Risk]]/Bets35[[#This Row],[Odds]]*-100)),""))))</f>
        <v>-10.5</v>
      </c>
      <c r="J251" s="39" t="str">
        <f>IF(ISNUMBER(SEARCH(CHAR(10),Bets35[[#This Row],[Bet]])),"P",IF(ISNUMBER(FIND("Under",Bets35[[#This Row],[Bet]])),"U",IF(ISNUMBER(SEARCH("Over",Bets35[[#This Row],[Bet]])),"O",IF(ISNUMBER(SEARCH("+",Bets35[[#This Row],[Bet]])),"D",IF(ISNUMBER(SEARCH("-",Bets35[[#This Row],[Bet]])),"F",IF(ISNUMBER(SEARCH("Moneyline",Bets35[[#This Row],[Bet]])),IF(Bets35[[#This Row],[Odds]]&lt;0,"MF","MD"),""))))))</f>
        <v>U</v>
      </c>
      <c r="K251" s="24"/>
      <c r="N251" s="70"/>
      <c r="O251" s="27"/>
    </row>
    <row r="252" spans="1:15" x14ac:dyDescent="0.25">
      <c r="A252" s="13">
        <f t="shared" si="11"/>
        <v>26</v>
      </c>
      <c r="B252" s="17">
        <v>43662</v>
      </c>
      <c r="C252" s="17" t="s">
        <v>802</v>
      </c>
      <c r="D252" s="18" t="s">
        <v>1503</v>
      </c>
      <c r="E252" s="11" t="s">
        <v>879</v>
      </c>
      <c r="F252" s="19">
        <f>IF(Bets35[[#This Row],[Odds]]&lt;0,Bets35[[#This Row],[Odds]]/-10,10)</f>
        <v>11.5</v>
      </c>
      <c r="G252" s="37">
        <v>-115</v>
      </c>
      <c r="H252" s="21" t="s">
        <v>262</v>
      </c>
      <c r="I252" s="45">
        <f>IF(Bets35[[#This Row],[Result]]="L",0-Bets35[[#This Row],[Risk]],IF(Bets35[[#This Row],[Result]]="Push",0,IF(Bets35[[#This Row],[Result]]="No Action",0,IF(Bets35[[#This Row],[Result]]="W",IF(Bets35[[#This Row],[Odds]]&gt;0,Bets35[[#This Row],[Odds]]/100*Bets35[[#This Row],[Risk]],(Bets35[[#This Row],[Risk]]/Bets35[[#This Row],[Odds]]*-100)),""))))</f>
        <v>10</v>
      </c>
      <c r="J252" s="39" t="str">
        <f>IF(ISNUMBER(SEARCH(CHAR(10),Bets35[[#This Row],[Bet]])),"P",IF(ISNUMBER(FIND("Under",Bets35[[#This Row],[Bet]])),"U",IF(ISNUMBER(SEARCH("Over",Bets35[[#This Row],[Bet]])),"O",IF(ISNUMBER(SEARCH("+",Bets35[[#This Row],[Bet]])),"D",IF(ISNUMBER(SEARCH("-",Bets35[[#This Row],[Bet]])),"F",IF(ISNUMBER(SEARCH("Moneyline",Bets35[[#This Row],[Bet]])),IF(Bets35[[#This Row],[Odds]]&lt;0,"MF","MD"),""))))))</f>
        <v>U</v>
      </c>
      <c r="K252" s="24"/>
      <c r="N252" s="70"/>
      <c r="O252" s="27"/>
    </row>
    <row r="253" spans="1:15" x14ac:dyDescent="0.25">
      <c r="A253" s="13">
        <f t="shared" si="11"/>
        <v>26</v>
      </c>
      <c r="B253" s="17">
        <v>43662</v>
      </c>
      <c r="C253" s="17" t="s">
        <v>802</v>
      </c>
      <c r="D253" s="18" t="s">
        <v>1504</v>
      </c>
      <c r="E253" s="11" t="s">
        <v>879</v>
      </c>
      <c r="F253" s="19">
        <f>IF(Bets35[[#This Row],[Odds]]&lt;0,Bets35[[#This Row],[Odds]]/-10,10)</f>
        <v>10.5</v>
      </c>
      <c r="G253" s="37">
        <v>-105</v>
      </c>
      <c r="H253" s="21" t="s">
        <v>263</v>
      </c>
      <c r="I253" s="45">
        <f>IF(Bets35[[#This Row],[Result]]="L",0-Bets35[[#This Row],[Risk]],IF(Bets35[[#This Row],[Result]]="Push",0,IF(Bets35[[#This Row],[Result]]="No Action",0,IF(Bets35[[#This Row],[Result]]="W",IF(Bets35[[#This Row],[Odds]]&gt;0,Bets35[[#This Row],[Odds]]/100*Bets35[[#This Row],[Risk]],(Bets35[[#This Row],[Risk]]/Bets35[[#This Row],[Odds]]*-100)),""))))</f>
        <v>-10.5</v>
      </c>
      <c r="J253" s="39" t="str">
        <f>IF(ISNUMBER(SEARCH(CHAR(10),Bets35[[#This Row],[Bet]])),"P",IF(ISNUMBER(FIND("Under",Bets35[[#This Row],[Bet]])),"U",IF(ISNUMBER(SEARCH("Over",Bets35[[#This Row],[Bet]])),"O",IF(ISNUMBER(SEARCH("+",Bets35[[#This Row],[Bet]])),"D",IF(ISNUMBER(SEARCH("-",Bets35[[#This Row],[Bet]])),"F",IF(ISNUMBER(SEARCH("Moneyline",Bets35[[#This Row],[Bet]])),IF(Bets35[[#This Row],[Odds]]&lt;0,"MF","MD"),""))))))</f>
        <v>U</v>
      </c>
      <c r="K253" s="24"/>
      <c r="N253" s="70"/>
      <c r="O253" s="27"/>
    </row>
    <row r="254" spans="1:15" x14ac:dyDescent="0.25">
      <c r="A254" s="13">
        <f t="shared" si="11"/>
        <v>26</v>
      </c>
      <c r="B254" s="17">
        <v>43662</v>
      </c>
      <c r="C254" s="17" t="s">
        <v>802</v>
      </c>
      <c r="D254" s="18" t="s">
        <v>1214</v>
      </c>
      <c r="E254" s="11" t="s">
        <v>933</v>
      </c>
      <c r="F254" s="19">
        <f>IF(Bets35[[#This Row],[Odds]]&lt;0,Bets35[[#This Row],[Odds]]/-10,10)</f>
        <v>11.5</v>
      </c>
      <c r="G254" s="37">
        <v>-115</v>
      </c>
      <c r="H254" s="21" t="s">
        <v>262</v>
      </c>
      <c r="I254" s="45">
        <f>IF(Bets35[[#This Row],[Result]]="L",0-Bets35[[#This Row],[Risk]],IF(Bets35[[#This Row],[Result]]="Push",0,IF(Bets35[[#This Row],[Result]]="No Action",0,IF(Bets35[[#This Row],[Result]]="W",IF(Bets35[[#This Row],[Odds]]&gt;0,Bets35[[#This Row],[Odds]]/100*Bets35[[#This Row],[Risk]],(Bets35[[#This Row],[Risk]]/Bets35[[#This Row],[Odds]]*-100)),""))))</f>
        <v>10</v>
      </c>
      <c r="J254" s="39" t="str">
        <f>IF(ISNUMBER(SEARCH(CHAR(10),Bets35[[#This Row],[Bet]])),"P",IF(ISNUMBER(FIND("Under",Bets35[[#This Row],[Bet]])),"U",IF(ISNUMBER(SEARCH("Over",Bets35[[#This Row],[Bet]])),"O",IF(ISNUMBER(SEARCH("+",Bets35[[#This Row],[Bet]])),"D",IF(ISNUMBER(SEARCH("-",Bets35[[#This Row],[Bet]])),"F",IF(ISNUMBER(SEARCH("Moneyline",Bets35[[#This Row],[Bet]])),IF(Bets35[[#This Row],[Odds]]&lt;0,"MF","MD"),""))))))</f>
        <v>U</v>
      </c>
      <c r="K254" s="24"/>
      <c r="N254" s="70"/>
      <c r="O254" s="27"/>
    </row>
    <row r="255" spans="1:15" x14ac:dyDescent="0.25">
      <c r="A255" s="13">
        <f t="shared" si="11"/>
        <v>26</v>
      </c>
      <c r="B255" s="17">
        <v>43662</v>
      </c>
      <c r="C255" s="17" t="s">
        <v>802</v>
      </c>
      <c r="D255" s="18" t="s">
        <v>1186</v>
      </c>
      <c r="E255" s="11" t="s">
        <v>1505</v>
      </c>
      <c r="F255" s="19">
        <f>IF(Bets35[[#This Row],[Odds]]&lt;0,Bets35[[#This Row],[Odds]]/-10,10)</f>
        <v>11</v>
      </c>
      <c r="G255" s="37">
        <v>-110</v>
      </c>
      <c r="H255" s="21" t="s">
        <v>262</v>
      </c>
      <c r="I255" s="45">
        <f>IF(Bets35[[#This Row],[Result]]="L",0-Bets35[[#This Row],[Risk]],IF(Bets35[[#This Row],[Result]]="Push",0,IF(Bets35[[#This Row],[Result]]="No Action",0,IF(Bets35[[#This Row],[Result]]="W",IF(Bets35[[#This Row],[Odds]]&gt;0,Bets35[[#This Row],[Odds]]/100*Bets35[[#This Row],[Risk]],(Bets35[[#This Row],[Risk]]/Bets35[[#This Row],[Odds]]*-100)),""))))</f>
        <v>10</v>
      </c>
      <c r="J255" s="39" t="str">
        <f>IF(ISNUMBER(SEARCH(CHAR(10),Bets35[[#This Row],[Bet]])),"P",IF(ISNUMBER(FIND("Under",Bets35[[#This Row],[Bet]])),"U",IF(ISNUMBER(SEARCH("Over",Bets35[[#This Row],[Bet]])),"O",IF(ISNUMBER(SEARCH("+",Bets35[[#This Row],[Bet]])),"D",IF(ISNUMBER(SEARCH("-",Bets35[[#This Row],[Bet]])),"F",IF(ISNUMBER(SEARCH("Moneyline",Bets35[[#This Row],[Bet]])),IF(Bets35[[#This Row],[Odds]]&lt;0,"MF","MD"),""))))))</f>
        <v>U</v>
      </c>
      <c r="K255" s="24"/>
      <c r="N255" s="70"/>
      <c r="O255" s="27"/>
    </row>
    <row r="256" spans="1:15" x14ac:dyDescent="0.25">
      <c r="A256" s="13">
        <f t="shared" si="11"/>
        <v>26</v>
      </c>
      <c r="B256" s="17">
        <v>43662</v>
      </c>
      <c r="C256" s="17" t="s">
        <v>802</v>
      </c>
      <c r="D256" s="18" t="s">
        <v>1497</v>
      </c>
      <c r="E256" s="11" t="s">
        <v>1209</v>
      </c>
      <c r="F256" s="19">
        <f>IF(Bets35[[#This Row],[Odds]]&lt;0,Bets35[[#This Row],[Odds]]/-10,10)</f>
        <v>10.5</v>
      </c>
      <c r="G256" s="37">
        <v>-105</v>
      </c>
      <c r="H256" s="21" t="s">
        <v>262</v>
      </c>
      <c r="I256" s="45">
        <f>IF(Bets35[[#This Row],[Result]]="L",0-Bets35[[#This Row],[Risk]],IF(Bets35[[#This Row],[Result]]="Push",0,IF(Bets35[[#This Row],[Result]]="No Action",0,IF(Bets35[[#This Row],[Result]]="W",IF(Bets35[[#This Row],[Odds]]&gt;0,Bets35[[#This Row],[Odds]]/100*Bets35[[#This Row],[Risk]],(Bets35[[#This Row],[Risk]]/Bets35[[#This Row],[Odds]]*-100)),""))))</f>
        <v>10</v>
      </c>
      <c r="J256" s="39" t="str">
        <f>IF(ISNUMBER(SEARCH(CHAR(10),Bets35[[#This Row],[Bet]])),"P",IF(ISNUMBER(FIND("Under",Bets35[[#This Row],[Bet]])),"U",IF(ISNUMBER(SEARCH("Over",Bets35[[#This Row],[Bet]])),"O",IF(ISNUMBER(SEARCH("+",Bets35[[#This Row],[Bet]])),"D",IF(ISNUMBER(SEARCH("-",Bets35[[#This Row],[Bet]])),"F",IF(ISNUMBER(SEARCH("Moneyline",Bets35[[#This Row],[Bet]])),IF(Bets35[[#This Row],[Odds]]&lt;0,"MF","MD"),""))))))</f>
        <v>U</v>
      </c>
      <c r="K256" s="24"/>
      <c r="N256" s="70"/>
      <c r="O256" s="27"/>
    </row>
    <row r="257" spans="1:15" x14ac:dyDescent="0.25">
      <c r="A257" s="13">
        <f>IF(B354=B256,A256,A256+1)</f>
        <v>27</v>
      </c>
      <c r="B257" s="17">
        <v>43663</v>
      </c>
      <c r="C257" s="17" t="s">
        <v>802</v>
      </c>
      <c r="D257" s="18" t="s">
        <v>1214</v>
      </c>
      <c r="E257" s="11" t="s">
        <v>899</v>
      </c>
      <c r="F257" s="19">
        <f>IF(Bets35[[#This Row],[Odds]]&lt;0,Bets35[[#This Row],[Odds]]/-10,10)</f>
        <v>14</v>
      </c>
      <c r="G257" s="91">
        <v>-140</v>
      </c>
      <c r="H257" s="21" t="s">
        <v>262</v>
      </c>
      <c r="I257" s="45">
        <f>IF(Bets35[[#This Row],[Result]]="L",0-Bets35[[#This Row],[Risk]],IF(Bets35[[#This Row],[Result]]="Push",0,IF(Bets35[[#This Row],[Result]]="No Action",0,IF(Bets35[[#This Row],[Result]]="W",IF(Bets35[[#This Row],[Odds]]&gt;0,Bets35[[#This Row],[Odds]]/100*Bets35[[#This Row],[Risk]],(Bets35[[#This Row],[Risk]]/Bets35[[#This Row],[Odds]]*-100)),""))))</f>
        <v>10</v>
      </c>
      <c r="J257" s="39" t="str">
        <f>IF(ISNUMBER(SEARCH(CHAR(10),Bets35[[#This Row],[Bet]])),"P",IF(ISNUMBER(FIND("Under",Bets35[[#This Row],[Bet]])),"U",IF(ISNUMBER(SEARCH("Over",Bets35[[#This Row],[Bet]])),"O",IF(ISNUMBER(SEARCH("+",Bets35[[#This Row],[Bet]])),"D",IF(ISNUMBER(SEARCH("-",Bets35[[#This Row],[Bet]])),"F",IF(ISNUMBER(SEARCH("Moneyline",Bets35[[#This Row],[Bet]])),IF(Bets35[[#This Row],[Odds]]&lt;0,"MF","MD"),""))))))</f>
        <v>MF</v>
      </c>
      <c r="K257" s="24"/>
      <c r="N257" s="70"/>
      <c r="O257" s="27"/>
    </row>
    <row r="258" spans="1:15" x14ac:dyDescent="0.25">
      <c r="A258" s="13">
        <f t="shared" ref="A258:A321" si="12">IF(B355=B354,A257,A257+1)</f>
        <v>27</v>
      </c>
      <c r="B258" s="17">
        <v>43663</v>
      </c>
      <c r="C258" s="17" t="s">
        <v>802</v>
      </c>
      <c r="D258" s="18" t="s">
        <v>1550</v>
      </c>
      <c r="E258" s="11" t="s">
        <v>815</v>
      </c>
      <c r="F258" s="19">
        <f>IF(Bets35[[#This Row],[Odds]]&lt;0,Bets35[[#This Row],[Odds]]/-10,10)</f>
        <v>10</v>
      </c>
      <c r="G258" s="91" t="s">
        <v>1551</v>
      </c>
      <c r="H258" s="21" t="s">
        <v>263</v>
      </c>
      <c r="I258" s="45">
        <f>IF(Bets35[[#This Row],[Result]]="L",0-Bets35[[#This Row],[Risk]],IF(Bets35[[#This Row],[Result]]="Push",0,IF(Bets35[[#This Row],[Result]]="No Action",0,IF(Bets35[[#This Row],[Result]]="W",IF(Bets35[[#This Row],[Odds]]&gt;0,Bets35[[#This Row],[Odds]]/100*Bets35[[#This Row],[Risk]],(Bets35[[#This Row],[Risk]]/Bets35[[#This Row],[Odds]]*-100)),""))))</f>
        <v>-10</v>
      </c>
      <c r="J258" s="39" t="str">
        <f>IF(ISNUMBER(SEARCH(CHAR(10),Bets35[[#This Row],[Bet]])),"P",IF(ISNUMBER(FIND("Under",Bets35[[#This Row],[Bet]])),"U",IF(ISNUMBER(SEARCH("Over",Bets35[[#This Row],[Bet]])),"O",IF(ISNUMBER(SEARCH("+",Bets35[[#This Row],[Bet]])),"D",IF(ISNUMBER(SEARCH("-",Bets35[[#This Row],[Bet]])),"F",IF(ISNUMBER(SEARCH("Moneyline",Bets35[[#This Row],[Bet]])),IF(Bets35[[#This Row],[Odds]]&lt;0,"MF","MD"),""))))))</f>
        <v>MD</v>
      </c>
      <c r="K258" s="24"/>
      <c r="N258" s="70"/>
      <c r="O258" s="27"/>
    </row>
    <row r="259" spans="1:15" x14ac:dyDescent="0.25">
      <c r="A259" s="13">
        <f t="shared" si="12"/>
        <v>27</v>
      </c>
      <c r="B259" s="17">
        <v>43663</v>
      </c>
      <c r="C259" s="17" t="s">
        <v>802</v>
      </c>
      <c r="D259" s="18" t="s">
        <v>1499</v>
      </c>
      <c r="E259" s="11" t="s">
        <v>827</v>
      </c>
      <c r="F259" s="19">
        <f>IF(Bets35[[#This Row],[Odds]]&lt;0,Bets35[[#This Row],[Odds]]/-10,10)</f>
        <v>14.7</v>
      </c>
      <c r="G259" s="91">
        <v>-147</v>
      </c>
      <c r="H259" s="21" t="s">
        <v>262</v>
      </c>
      <c r="I259" s="45">
        <f>IF(Bets35[[#This Row],[Result]]="L",0-Bets35[[#This Row],[Risk]],IF(Bets35[[#This Row],[Result]]="Push",0,IF(Bets35[[#This Row],[Result]]="No Action",0,IF(Bets35[[#This Row],[Result]]="W",IF(Bets35[[#This Row],[Odds]]&gt;0,Bets35[[#This Row],[Odds]]/100*Bets35[[#This Row],[Risk]],(Bets35[[#This Row],[Risk]]/Bets35[[#This Row],[Odds]]*-100)),""))))</f>
        <v>10</v>
      </c>
      <c r="J259" s="39" t="str">
        <f>IF(ISNUMBER(SEARCH(CHAR(10),Bets35[[#This Row],[Bet]])),"P",IF(ISNUMBER(FIND("Under",Bets35[[#This Row],[Bet]])),"U",IF(ISNUMBER(SEARCH("Over",Bets35[[#This Row],[Bet]])),"O",IF(ISNUMBER(SEARCH("+",Bets35[[#This Row],[Bet]])),"D",IF(ISNUMBER(SEARCH("-",Bets35[[#This Row],[Bet]])),"F",IF(ISNUMBER(SEARCH("Moneyline",Bets35[[#This Row],[Bet]])),IF(Bets35[[#This Row],[Odds]]&lt;0,"MF","MD"),""))))))</f>
        <v>MF</v>
      </c>
      <c r="K259" s="24"/>
      <c r="N259" s="70"/>
      <c r="O259" s="27"/>
    </row>
    <row r="260" spans="1:15" x14ac:dyDescent="0.25">
      <c r="A260" s="13">
        <f t="shared" si="12"/>
        <v>27</v>
      </c>
      <c r="B260" s="17">
        <v>43663</v>
      </c>
      <c r="C260" s="17" t="s">
        <v>802</v>
      </c>
      <c r="D260" s="18" t="s">
        <v>1500</v>
      </c>
      <c r="E260" s="11" t="s">
        <v>1210</v>
      </c>
      <c r="F260" s="19">
        <f>IF(Bets35[[#This Row],[Odds]]&lt;0,Bets35[[#This Row],[Odds]]/-10,10)</f>
        <v>25</v>
      </c>
      <c r="G260" s="91">
        <v>-250</v>
      </c>
      <c r="H260" s="21" t="s">
        <v>262</v>
      </c>
      <c r="I260" s="45">
        <f>IF(Bets35[[#This Row],[Result]]="L",0-Bets35[[#This Row],[Risk]],IF(Bets35[[#This Row],[Result]]="Push",0,IF(Bets35[[#This Row],[Result]]="No Action",0,IF(Bets35[[#This Row],[Result]]="W",IF(Bets35[[#This Row],[Odds]]&gt;0,Bets35[[#This Row],[Odds]]/100*Bets35[[#This Row],[Risk]],(Bets35[[#This Row],[Risk]]/Bets35[[#This Row],[Odds]]*-100)),""))))</f>
        <v>10</v>
      </c>
      <c r="J260" s="39" t="str">
        <f>IF(ISNUMBER(SEARCH(CHAR(10),Bets35[[#This Row],[Bet]])),"P",IF(ISNUMBER(FIND("Under",Bets35[[#This Row],[Bet]])),"U",IF(ISNUMBER(SEARCH("Over",Bets35[[#This Row],[Bet]])),"O",IF(ISNUMBER(SEARCH("+",Bets35[[#This Row],[Bet]])),"D",IF(ISNUMBER(SEARCH("-",Bets35[[#This Row],[Bet]])),"F",IF(ISNUMBER(SEARCH("Moneyline",Bets35[[#This Row],[Bet]])),IF(Bets35[[#This Row],[Odds]]&lt;0,"MF","MD"),""))))))</f>
        <v>MF</v>
      </c>
      <c r="K260" s="24"/>
      <c r="N260" s="70"/>
      <c r="O260" s="27"/>
    </row>
    <row r="261" spans="1:15" x14ac:dyDescent="0.25">
      <c r="A261" s="13">
        <f t="shared" si="12"/>
        <v>27</v>
      </c>
      <c r="B261" s="17">
        <v>43663</v>
      </c>
      <c r="C261" s="17" t="s">
        <v>802</v>
      </c>
      <c r="D261" s="18" t="s">
        <v>1494</v>
      </c>
      <c r="E261" s="11" t="s">
        <v>1152</v>
      </c>
      <c r="F261" s="19">
        <f>IF(Bets35[[#This Row],[Odds]]&lt;0,Bets35[[#This Row],[Odds]]/-10,10)</f>
        <v>15</v>
      </c>
      <c r="G261" s="91">
        <v>-150</v>
      </c>
      <c r="H261" s="21" t="s">
        <v>262</v>
      </c>
      <c r="I261" s="45">
        <f>IF(Bets35[[#This Row],[Result]]="L",0-Bets35[[#This Row],[Risk]],IF(Bets35[[#This Row],[Result]]="Push",0,IF(Bets35[[#This Row],[Result]]="No Action",0,IF(Bets35[[#This Row],[Result]]="W",IF(Bets35[[#This Row],[Odds]]&gt;0,Bets35[[#This Row],[Odds]]/100*Bets35[[#This Row],[Risk]],(Bets35[[#This Row],[Risk]]/Bets35[[#This Row],[Odds]]*-100)),""))))</f>
        <v>10</v>
      </c>
      <c r="J261" s="39" t="str">
        <f>IF(ISNUMBER(SEARCH(CHAR(10),Bets35[[#This Row],[Bet]])),"P",IF(ISNUMBER(FIND("Under",Bets35[[#This Row],[Bet]])),"U",IF(ISNUMBER(SEARCH("Over",Bets35[[#This Row],[Bet]])),"O",IF(ISNUMBER(SEARCH("+",Bets35[[#This Row],[Bet]])),"D",IF(ISNUMBER(SEARCH("-",Bets35[[#This Row],[Bet]])),"F",IF(ISNUMBER(SEARCH("Moneyline",Bets35[[#This Row],[Bet]])),IF(Bets35[[#This Row],[Odds]]&lt;0,"MF","MD"),""))))))</f>
        <v>MF</v>
      </c>
      <c r="K261" s="24"/>
      <c r="N261" s="70"/>
      <c r="O261" s="27"/>
    </row>
    <row r="262" spans="1:15" x14ac:dyDescent="0.25">
      <c r="A262" s="13">
        <f t="shared" si="12"/>
        <v>27</v>
      </c>
      <c r="B262" s="17">
        <v>43663</v>
      </c>
      <c r="C262" s="17" t="s">
        <v>802</v>
      </c>
      <c r="D262" s="18" t="s">
        <v>1495</v>
      </c>
      <c r="E262" s="11" t="s">
        <v>1180</v>
      </c>
      <c r="F262" s="19">
        <f>IF(Bets35[[#This Row],[Odds]]&lt;0,Bets35[[#This Row],[Odds]]/-10,10)</f>
        <v>12</v>
      </c>
      <c r="G262" s="91">
        <v>-120</v>
      </c>
      <c r="H262" s="21" t="s">
        <v>262</v>
      </c>
      <c r="I262" s="45">
        <f>IF(Bets35[[#This Row],[Result]]="L",0-Bets35[[#This Row],[Risk]],IF(Bets35[[#This Row],[Result]]="Push",0,IF(Bets35[[#This Row],[Result]]="No Action",0,IF(Bets35[[#This Row],[Result]]="W",IF(Bets35[[#This Row],[Odds]]&gt;0,Bets35[[#This Row],[Odds]]/100*Bets35[[#This Row],[Risk]],(Bets35[[#This Row],[Risk]]/Bets35[[#This Row],[Odds]]*-100)),""))))</f>
        <v>10</v>
      </c>
      <c r="J262" s="39" t="str">
        <f>IF(ISNUMBER(SEARCH(CHAR(10),Bets35[[#This Row],[Bet]])),"P",IF(ISNUMBER(FIND("Under",Bets35[[#This Row],[Bet]])),"U",IF(ISNUMBER(SEARCH("Over",Bets35[[#This Row],[Bet]])),"O",IF(ISNUMBER(SEARCH("+",Bets35[[#This Row],[Bet]])),"D",IF(ISNUMBER(SEARCH("-",Bets35[[#This Row],[Bet]])),"F",IF(ISNUMBER(SEARCH("Moneyline",Bets35[[#This Row],[Bet]])),IF(Bets35[[#This Row],[Odds]]&lt;0,"MF","MD"),""))))))</f>
        <v>MF</v>
      </c>
      <c r="K262" s="24"/>
      <c r="N262" s="70"/>
      <c r="O262" s="27"/>
    </row>
    <row r="263" spans="1:15" x14ac:dyDescent="0.25">
      <c r="A263" s="13">
        <f t="shared" si="12"/>
        <v>27</v>
      </c>
      <c r="B263" s="17">
        <v>43663</v>
      </c>
      <c r="C263" s="17" t="s">
        <v>802</v>
      </c>
      <c r="D263" s="18" t="s">
        <v>1503</v>
      </c>
      <c r="E263" s="11" t="s">
        <v>879</v>
      </c>
      <c r="F263" s="19">
        <f>IF(Bets35[[#This Row],[Odds]]&lt;0,Bets35[[#This Row],[Odds]]/-10,10)</f>
        <v>10.5</v>
      </c>
      <c r="G263" s="91">
        <v>-105</v>
      </c>
      <c r="H263" s="21" t="s">
        <v>263</v>
      </c>
      <c r="I263" s="45">
        <f>IF(Bets35[[#This Row],[Result]]="L",0-Bets35[[#This Row],[Risk]],IF(Bets35[[#This Row],[Result]]="Push",0,IF(Bets35[[#This Row],[Result]]="No Action",0,IF(Bets35[[#This Row],[Result]]="W",IF(Bets35[[#This Row],[Odds]]&gt;0,Bets35[[#This Row],[Odds]]/100*Bets35[[#This Row],[Risk]],(Bets35[[#This Row],[Risk]]/Bets35[[#This Row],[Odds]]*-100)),""))))</f>
        <v>-10.5</v>
      </c>
      <c r="J263" s="39" t="str">
        <f>IF(ISNUMBER(SEARCH(CHAR(10),Bets35[[#This Row],[Bet]])),"P",IF(ISNUMBER(FIND("Under",Bets35[[#This Row],[Bet]])),"U",IF(ISNUMBER(SEARCH("Over",Bets35[[#This Row],[Bet]])),"O",IF(ISNUMBER(SEARCH("+",Bets35[[#This Row],[Bet]])),"D",IF(ISNUMBER(SEARCH("-",Bets35[[#This Row],[Bet]])),"F",IF(ISNUMBER(SEARCH("Moneyline",Bets35[[#This Row],[Bet]])),IF(Bets35[[#This Row],[Odds]]&lt;0,"MF","MD"),""))))))</f>
        <v>U</v>
      </c>
      <c r="K263" s="24"/>
      <c r="N263" s="70"/>
      <c r="O263" s="27"/>
    </row>
    <row r="264" spans="1:15" x14ac:dyDescent="0.25">
      <c r="A264" s="13">
        <f t="shared" si="12"/>
        <v>27</v>
      </c>
      <c r="B264" s="17">
        <v>43663</v>
      </c>
      <c r="C264" s="17" t="s">
        <v>802</v>
      </c>
      <c r="D264" s="18" t="s">
        <v>1214</v>
      </c>
      <c r="E264" s="11" t="s">
        <v>877</v>
      </c>
      <c r="F264" s="19">
        <f>IF(Bets35[[#This Row],[Odds]]&lt;0,Bets35[[#This Row],[Odds]]/-10,10)</f>
        <v>10</v>
      </c>
      <c r="G264" s="91">
        <v>100</v>
      </c>
      <c r="H264" s="21" t="s">
        <v>263</v>
      </c>
      <c r="I264" s="45">
        <f>IF(Bets35[[#This Row],[Result]]="L",0-Bets35[[#This Row],[Risk]],IF(Bets35[[#This Row],[Result]]="Push",0,IF(Bets35[[#This Row],[Result]]="No Action",0,IF(Bets35[[#This Row],[Result]]="W",IF(Bets35[[#This Row],[Odds]]&gt;0,Bets35[[#This Row],[Odds]]/100*Bets35[[#This Row],[Risk]],(Bets35[[#This Row],[Risk]]/Bets35[[#This Row],[Odds]]*-100)),""))))</f>
        <v>-10</v>
      </c>
      <c r="J264" s="39" t="str">
        <f>IF(ISNUMBER(SEARCH(CHAR(10),Bets35[[#This Row],[Bet]])),"P",IF(ISNUMBER(FIND("Under",Bets35[[#This Row],[Bet]])),"U",IF(ISNUMBER(SEARCH("Over",Bets35[[#This Row],[Bet]])),"O",IF(ISNUMBER(SEARCH("+",Bets35[[#This Row],[Bet]])),"D",IF(ISNUMBER(SEARCH("-",Bets35[[#This Row],[Bet]])),"F",IF(ISNUMBER(SEARCH("Moneyline",Bets35[[#This Row],[Bet]])),IF(Bets35[[#This Row],[Odds]]&lt;0,"MF","MD"),""))))))</f>
        <v>U</v>
      </c>
      <c r="K264" s="24"/>
      <c r="N264" s="70"/>
      <c r="O264" s="27"/>
    </row>
    <row r="265" spans="1:15" x14ac:dyDescent="0.25">
      <c r="A265" s="13">
        <f t="shared" si="12"/>
        <v>27</v>
      </c>
      <c r="B265" s="17">
        <v>43663</v>
      </c>
      <c r="C265" s="17" t="s">
        <v>802</v>
      </c>
      <c r="D265" s="18" t="s">
        <v>1550</v>
      </c>
      <c r="E265" s="11" t="s">
        <v>1209</v>
      </c>
      <c r="F265" s="19">
        <f>IF(Bets35[[#This Row],[Odds]]&lt;0,Bets35[[#This Row],[Odds]]/-10,10)</f>
        <v>10.5</v>
      </c>
      <c r="G265" s="91">
        <v>-105</v>
      </c>
      <c r="H265" s="21" t="s">
        <v>262</v>
      </c>
      <c r="I265" s="45">
        <f>IF(Bets35[[#This Row],[Result]]="L",0-Bets35[[#This Row],[Risk]],IF(Bets35[[#This Row],[Result]]="Push",0,IF(Bets35[[#This Row],[Result]]="No Action",0,IF(Bets35[[#This Row],[Result]]="W",IF(Bets35[[#This Row],[Odds]]&gt;0,Bets35[[#This Row],[Odds]]/100*Bets35[[#This Row],[Risk]],(Bets35[[#This Row],[Risk]]/Bets35[[#This Row],[Odds]]*-100)),""))))</f>
        <v>10</v>
      </c>
      <c r="J265" s="39" t="str">
        <f>IF(ISNUMBER(SEARCH(CHAR(10),Bets35[[#This Row],[Bet]])),"P",IF(ISNUMBER(FIND("Under",Bets35[[#This Row],[Bet]])),"U",IF(ISNUMBER(SEARCH("Over",Bets35[[#This Row],[Bet]])),"O",IF(ISNUMBER(SEARCH("+",Bets35[[#This Row],[Bet]])),"D",IF(ISNUMBER(SEARCH("-",Bets35[[#This Row],[Bet]])),"F",IF(ISNUMBER(SEARCH("Moneyline",Bets35[[#This Row],[Bet]])),IF(Bets35[[#This Row],[Odds]]&lt;0,"MF","MD"),""))))))</f>
        <v>U</v>
      </c>
      <c r="K265" s="24"/>
      <c r="N265" s="70"/>
      <c r="O265" s="27"/>
    </row>
    <row r="266" spans="1:15" x14ac:dyDescent="0.25">
      <c r="A266" s="13">
        <f t="shared" si="12"/>
        <v>27</v>
      </c>
      <c r="B266" s="17">
        <v>43663</v>
      </c>
      <c r="C266" s="17" t="s">
        <v>802</v>
      </c>
      <c r="D266" s="18" t="s">
        <v>1186</v>
      </c>
      <c r="E266" s="11" t="s">
        <v>1552</v>
      </c>
      <c r="F266" s="19">
        <f>IF(Bets35[[#This Row],[Odds]]&lt;0,Bets35[[#This Row],[Odds]]/-10,10)</f>
        <v>10.5</v>
      </c>
      <c r="G266" s="91">
        <v>-105</v>
      </c>
      <c r="H266" s="21" t="s">
        <v>263</v>
      </c>
      <c r="I266" s="45">
        <f>IF(Bets35[[#This Row],[Result]]="L",0-Bets35[[#This Row],[Risk]],IF(Bets35[[#This Row],[Result]]="Push",0,IF(Bets35[[#This Row],[Result]]="No Action",0,IF(Bets35[[#This Row],[Result]]="W",IF(Bets35[[#This Row],[Odds]]&gt;0,Bets35[[#This Row],[Odds]]/100*Bets35[[#This Row],[Risk]],(Bets35[[#This Row],[Risk]]/Bets35[[#This Row],[Odds]]*-100)),""))))</f>
        <v>-10.5</v>
      </c>
      <c r="J266" s="39" t="str">
        <f>IF(ISNUMBER(SEARCH(CHAR(10),Bets35[[#This Row],[Bet]])),"P",IF(ISNUMBER(FIND("Under",Bets35[[#This Row],[Bet]])),"U",IF(ISNUMBER(SEARCH("Over",Bets35[[#This Row],[Bet]])),"O",IF(ISNUMBER(SEARCH("+",Bets35[[#This Row],[Bet]])),"D",IF(ISNUMBER(SEARCH("-",Bets35[[#This Row],[Bet]])),"F",IF(ISNUMBER(SEARCH("Moneyline",Bets35[[#This Row],[Bet]])),IF(Bets35[[#This Row],[Odds]]&lt;0,"MF","MD"),""))))))</f>
        <v>U</v>
      </c>
      <c r="K266" s="24"/>
      <c r="N266" s="70"/>
      <c r="O266" s="27"/>
    </row>
    <row r="267" spans="1:15" x14ac:dyDescent="0.25">
      <c r="A267" s="13">
        <f t="shared" si="12"/>
        <v>27</v>
      </c>
      <c r="B267" s="17">
        <v>43663</v>
      </c>
      <c r="C267" s="17" t="s">
        <v>802</v>
      </c>
      <c r="D267" s="18" t="s">
        <v>1499</v>
      </c>
      <c r="E267" s="11" t="s">
        <v>879</v>
      </c>
      <c r="F267" s="19">
        <f>IF(Bets35[[#This Row],[Odds]]&lt;0,Bets35[[#This Row],[Odds]]/-10,10)</f>
        <v>10.5</v>
      </c>
      <c r="G267" s="91">
        <v>-105</v>
      </c>
      <c r="H267" s="21" t="s">
        <v>262</v>
      </c>
      <c r="I267" s="45">
        <f>IF(Bets35[[#This Row],[Result]]="L",0-Bets35[[#This Row],[Risk]],IF(Bets35[[#This Row],[Result]]="Push",0,IF(Bets35[[#This Row],[Result]]="No Action",0,IF(Bets35[[#This Row],[Result]]="W",IF(Bets35[[#This Row],[Odds]]&gt;0,Bets35[[#This Row],[Odds]]/100*Bets35[[#This Row],[Risk]],(Bets35[[#This Row],[Risk]]/Bets35[[#This Row],[Odds]]*-100)),""))))</f>
        <v>10</v>
      </c>
      <c r="J267" s="39" t="str">
        <f>IF(ISNUMBER(SEARCH(CHAR(10),Bets35[[#This Row],[Bet]])),"P",IF(ISNUMBER(FIND("Under",Bets35[[#This Row],[Bet]])),"U",IF(ISNUMBER(SEARCH("Over",Bets35[[#This Row],[Bet]])),"O",IF(ISNUMBER(SEARCH("+",Bets35[[#This Row],[Bet]])),"D",IF(ISNUMBER(SEARCH("-",Bets35[[#This Row],[Bet]])),"F",IF(ISNUMBER(SEARCH("Moneyline",Bets35[[#This Row],[Bet]])),IF(Bets35[[#This Row],[Odds]]&lt;0,"MF","MD"),""))))))</f>
        <v>U</v>
      </c>
      <c r="K267" s="24"/>
      <c r="N267" s="70"/>
      <c r="O267" s="27"/>
    </row>
    <row r="268" spans="1:15" x14ac:dyDescent="0.25">
      <c r="A268" s="13">
        <f t="shared" si="12"/>
        <v>27</v>
      </c>
      <c r="B268" s="17">
        <v>43663</v>
      </c>
      <c r="C268" s="17" t="s">
        <v>802</v>
      </c>
      <c r="D268" s="18" t="s">
        <v>1500</v>
      </c>
      <c r="E268" s="11" t="s">
        <v>1158</v>
      </c>
      <c r="F268" s="19">
        <f>IF(Bets35[[#This Row],[Odds]]&lt;0,Bets35[[#This Row],[Odds]]/-10,10)</f>
        <v>10.5</v>
      </c>
      <c r="G268" s="91">
        <v>-105</v>
      </c>
      <c r="H268" s="21" t="s">
        <v>262</v>
      </c>
      <c r="I268" s="45">
        <f>IF(Bets35[[#This Row],[Result]]="L",0-Bets35[[#This Row],[Risk]],IF(Bets35[[#This Row],[Result]]="Push",0,IF(Bets35[[#This Row],[Result]]="No Action",0,IF(Bets35[[#This Row],[Result]]="W",IF(Bets35[[#This Row],[Odds]]&gt;0,Bets35[[#This Row],[Odds]]/100*Bets35[[#This Row],[Risk]],(Bets35[[#This Row],[Risk]]/Bets35[[#This Row],[Odds]]*-100)),""))))</f>
        <v>10</v>
      </c>
      <c r="J268" s="39" t="str">
        <f>IF(ISNUMBER(SEARCH(CHAR(10),Bets35[[#This Row],[Bet]])),"P",IF(ISNUMBER(FIND("Under",Bets35[[#This Row],[Bet]])),"U",IF(ISNUMBER(SEARCH("Over",Bets35[[#This Row],[Bet]])),"O",IF(ISNUMBER(SEARCH("+",Bets35[[#This Row],[Bet]])),"D",IF(ISNUMBER(SEARCH("-",Bets35[[#This Row],[Bet]])),"F",IF(ISNUMBER(SEARCH("Moneyline",Bets35[[#This Row],[Bet]])),IF(Bets35[[#This Row],[Odds]]&lt;0,"MF","MD"),""))))))</f>
        <v>U</v>
      </c>
      <c r="K268" s="24"/>
      <c r="N268" s="70"/>
      <c r="O268" s="27"/>
    </row>
    <row r="269" spans="1:15" x14ac:dyDescent="0.25">
      <c r="A269" s="13">
        <f t="shared" si="12"/>
        <v>27</v>
      </c>
      <c r="B269" s="17">
        <v>43663</v>
      </c>
      <c r="C269" s="17" t="s">
        <v>802</v>
      </c>
      <c r="D269" s="18" t="s">
        <v>1493</v>
      </c>
      <c r="E269" s="11" t="s">
        <v>933</v>
      </c>
      <c r="F269" s="19">
        <f>IF(Bets35[[#This Row],[Odds]]&lt;0,Bets35[[#This Row],[Odds]]/-10,10)</f>
        <v>11.5</v>
      </c>
      <c r="G269" s="91">
        <v>-115</v>
      </c>
      <c r="H269" s="21" t="s">
        <v>846</v>
      </c>
      <c r="I269" s="45">
        <f>IF(Bets35[[#This Row],[Result]]="L",0-Bets35[[#This Row],[Risk]],IF(Bets35[[#This Row],[Result]]="Push",0,IF(Bets35[[#This Row],[Result]]="No Action",0,IF(Bets35[[#This Row],[Result]]="W",IF(Bets35[[#This Row],[Odds]]&gt;0,Bets35[[#This Row],[Odds]]/100*Bets35[[#This Row],[Risk]],(Bets35[[#This Row],[Risk]]/Bets35[[#This Row],[Odds]]*-100)),""))))</f>
        <v>0</v>
      </c>
      <c r="J269" s="39" t="str">
        <f>IF(ISNUMBER(SEARCH(CHAR(10),Bets35[[#This Row],[Bet]])),"P",IF(ISNUMBER(FIND("Under",Bets35[[#This Row],[Bet]])),"U",IF(ISNUMBER(SEARCH("Over",Bets35[[#This Row],[Bet]])),"O",IF(ISNUMBER(SEARCH("+",Bets35[[#This Row],[Bet]])),"D",IF(ISNUMBER(SEARCH("-",Bets35[[#This Row],[Bet]])),"F",IF(ISNUMBER(SEARCH("Moneyline",Bets35[[#This Row],[Bet]])),IF(Bets35[[#This Row],[Odds]]&lt;0,"MF","MD"),""))))))</f>
        <v>U</v>
      </c>
      <c r="K269" s="24"/>
      <c r="N269" s="70"/>
      <c r="O269" s="27"/>
    </row>
    <row r="270" spans="1:15" x14ac:dyDescent="0.25">
      <c r="A270" s="13">
        <f t="shared" si="12"/>
        <v>27</v>
      </c>
      <c r="B270" s="17">
        <v>43663</v>
      </c>
      <c r="C270" s="17" t="s">
        <v>802</v>
      </c>
      <c r="D270" s="18" t="s">
        <v>1494</v>
      </c>
      <c r="E270" s="11" t="s">
        <v>1501</v>
      </c>
      <c r="F270" s="19">
        <f>IF(Bets35[[#This Row],[Odds]]&lt;0,Bets35[[#This Row],[Odds]]/-10,10)</f>
        <v>12.5</v>
      </c>
      <c r="G270" s="91">
        <v>-125</v>
      </c>
      <c r="H270" s="21" t="s">
        <v>262</v>
      </c>
      <c r="I270" s="45">
        <f>IF(Bets35[[#This Row],[Result]]="L",0-Bets35[[#This Row],[Risk]],IF(Bets35[[#This Row],[Result]]="Push",0,IF(Bets35[[#This Row],[Result]]="No Action",0,IF(Bets35[[#This Row],[Result]]="W",IF(Bets35[[#This Row],[Odds]]&gt;0,Bets35[[#This Row],[Odds]]/100*Bets35[[#This Row],[Risk]],(Bets35[[#This Row],[Risk]]/Bets35[[#This Row],[Odds]]*-100)),""))))</f>
        <v>10</v>
      </c>
      <c r="J270" s="39" t="str">
        <f>IF(ISNUMBER(SEARCH(CHAR(10),Bets35[[#This Row],[Bet]])),"P",IF(ISNUMBER(FIND("Under",Bets35[[#This Row],[Bet]])),"U",IF(ISNUMBER(SEARCH("Over",Bets35[[#This Row],[Bet]])),"O",IF(ISNUMBER(SEARCH("+",Bets35[[#This Row],[Bet]])),"D",IF(ISNUMBER(SEARCH("-",Bets35[[#This Row],[Bet]])),"F",IF(ISNUMBER(SEARCH("Moneyline",Bets35[[#This Row],[Bet]])),IF(Bets35[[#This Row],[Odds]]&lt;0,"MF","MD"),""))))))</f>
        <v>U</v>
      </c>
      <c r="K270" s="24"/>
      <c r="N270" s="70"/>
      <c r="O270" s="27"/>
    </row>
    <row r="271" spans="1:15" x14ac:dyDescent="0.25">
      <c r="A271" s="13">
        <f t="shared" si="12"/>
        <v>27</v>
      </c>
      <c r="B271" s="17">
        <v>43663</v>
      </c>
      <c r="C271" s="17" t="s">
        <v>802</v>
      </c>
      <c r="D271" s="18" t="s">
        <v>1495</v>
      </c>
      <c r="E271" s="11" t="s">
        <v>879</v>
      </c>
      <c r="F271" s="19">
        <f>IF(Bets35[[#This Row],[Odds]]&lt;0,Bets35[[#This Row],[Odds]]/-10,10)</f>
        <v>11.5</v>
      </c>
      <c r="G271" s="91">
        <v>-115</v>
      </c>
      <c r="H271" s="21" t="s">
        <v>263</v>
      </c>
      <c r="I271" s="45">
        <f>IF(Bets35[[#This Row],[Result]]="L",0-Bets35[[#This Row],[Risk]],IF(Bets35[[#This Row],[Result]]="Push",0,IF(Bets35[[#This Row],[Result]]="No Action",0,IF(Bets35[[#This Row],[Result]]="W",IF(Bets35[[#This Row],[Odds]]&gt;0,Bets35[[#This Row],[Odds]]/100*Bets35[[#This Row],[Risk]],(Bets35[[#This Row],[Risk]]/Bets35[[#This Row],[Odds]]*-100)),""))))</f>
        <v>-11.5</v>
      </c>
      <c r="J271" s="39" t="str">
        <f>IF(ISNUMBER(SEARCH(CHAR(10),Bets35[[#This Row],[Bet]])),"P",IF(ISNUMBER(FIND("Under",Bets35[[#This Row],[Bet]])),"U",IF(ISNUMBER(SEARCH("Over",Bets35[[#This Row],[Bet]])),"O",IF(ISNUMBER(SEARCH("+",Bets35[[#This Row],[Bet]])),"D",IF(ISNUMBER(SEARCH("-",Bets35[[#This Row],[Bet]])),"F",IF(ISNUMBER(SEARCH("Moneyline",Bets35[[#This Row],[Bet]])),IF(Bets35[[#This Row],[Odds]]&lt;0,"MF","MD"),""))))))</f>
        <v>U</v>
      </c>
      <c r="K271" s="24"/>
      <c r="N271" s="70"/>
      <c r="O271" s="27"/>
    </row>
    <row r="272" spans="1:15" x14ac:dyDescent="0.25">
      <c r="A272" s="13">
        <f t="shared" si="12"/>
        <v>27</v>
      </c>
      <c r="B272" s="17">
        <v>43663</v>
      </c>
      <c r="C272" s="17" t="s">
        <v>802</v>
      </c>
      <c r="D272" s="18" t="s">
        <v>1504</v>
      </c>
      <c r="E272" s="11" t="s">
        <v>879</v>
      </c>
      <c r="F272" s="19">
        <f>IF(Bets35[[#This Row],[Odds]]&lt;0,Bets35[[#This Row],[Odds]]/-10,10)</f>
        <v>11</v>
      </c>
      <c r="G272" s="91">
        <v>-110</v>
      </c>
      <c r="H272" s="21" t="s">
        <v>263</v>
      </c>
      <c r="I272" s="45">
        <f>IF(Bets35[[#This Row],[Result]]="L",0-Bets35[[#This Row],[Risk]],IF(Bets35[[#This Row],[Result]]="Push",0,IF(Bets35[[#This Row],[Result]]="No Action",0,IF(Bets35[[#This Row],[Result]]="W",IF(Bets35[[#This Row],[Odds]]&gt;0,Bets35[[#This Row],[Odds]]/100*Bets35[[#This Row],[Risk]],(Bets35[[#This Row],[Risk]]/Bets35[[#This Row],[Odds]]*-100)),""))))</f>
        <v>-11</v>
      </c>
      <c r="J272" s="39" t="str">
        <f>IF(ISNUMBER(SEARCH(CHAR(10),Bets35[[#This Row],[Bet]])),"P",IF(ISNUMBER(FIND("Under",Bets35[[#This Row],[Bet]])),"U",IF(ISNUMBER(SEARCH("Over",Bets35[[#This Row],[Bet]])),"O",IF(ISNUMBER(SEARCH("+",Bets35[[#This Row],[Bet]])),"D",IF(ISNUMBER(SEARCH("-",Bets35[[#This Row],[Bet]])),"F",IF(ISNUMBER(SEARCH("Moneyline",Bets35[[#This Row],[Bet]])),IF(Bets35[[#This Row],[Odds]]&lt;0,"MF","MD"),""))))))</f>
        <v>U</v>
      </c>
      <c r="K272" s="24"/>
      <c r="N272" s="70"/>
      <c r="O272" s="27"/>
    </row>
    <row r="273" spans="1:15" x14ac:dyDescent="0.25">
      <c r="A273" s="13">
        <f t="shared" si="12"/>
        <v>27</v>
      </c>
      <c r="B273" s="17">
        <v>43664</v>
      </c>
      <c r="C273" s="17" t="s">
        <v>802</v>
      </c>
      <c r="D273" s="18" t="s">
        <v>1499</v>
      </c>
      <c r="E273" s="11" t="s">
        <v>827</v>
      </c>
      <c r="F273" s="19">
        <f>IF(Bets35[[#This Row],[Odds]]&lt;0,Bets35[[#This Row],[Odds]]/-10,10)</f>
        <v>11.5</v>
      </c>
      <c r="G273" s="91">
        <v>-115</v>
      </c>
      <c r="H273" s="21" t="s">
        <v>263</v>
      </c>
      <c r="I273" s="45">
        <f>IF(Bets35[[#This Row],[Result]]="L",0-Bets35[[#This Row],[Risk]],IF(Bets35[[#This Row],[Result]]="Push",0,IF(Bets35[[#This Row],[Result]]="No Action",0,IF(Bets35[[#This Row],[Result]]="W",IF(Bets35[[#This Row],[Odds]]&gt;0,Bets35[[#This Row],[Odds]]/100*Bets35[[#This Row],[Risk]],(Bets35[[#This Row],[Risk]]/Bets35[[#This Row],[Odds]]*-100)),""))))</f>
        <v>-11.5</v>
      </c>
      <c r="J273" s="39" t="str">
        <f>IF(ISNUMBER(SEARCH(CHAR(10),Bets35[[#This Row],[Bet]])),"P",IF(ISNUMBER(FIND("Under",Bets35[[#This Row],[Bet]])),"U",IF(ISNUMBER(SEARCH("Over",Bets35[[#This Row],[Bet]])),"O",IF(ISNUMBER(SEARCH("+",Bets35[[#This Row],[Bet]])),"D",IF(ISNUMBER(SEARCH("-",Bets35[[#This Row],[Bet]])),"F",IF(ISNUMBER(SEARCH("Moneyline",Bets35[[#This Row],[Bet]])),IF(Bets35[[#This Row],[Odds]]&lt;0,"MF","MD"),""))))))</f>
        <v>MF</v>
      </c>
      <c r="K273" s="24"/>
      <c r="N273" s="70"/>
      <c r="O273" s="27"/>
    </row>
    <row r="274" spans="1:15" x14ac:dyDescent="0.25">
      <c r="A274" s="13">
        <f t="shared" si="12"/>
        <v>27</v>
      </c>
      <c r="B274" s="17">
        <v>43664</v>
      </c>
      <c r="C274" s="17" t="s">
        <v>802</v>
      </c>
      <c r="D274" s="18" t="s">
        <v>3378</v>
      </c>
      <c r="E274" s="11" t="s">
        <v>815</v>
      </c>
      <c r="F274" s="19">
        <f>IF(Bets35[[#This Row],[Odds]]&lt;0,Bets35[[#This Row],[Odds]]/-10,10)</f>
        <v>10</v>
      </c>
      <c r="G274" s="91" t="s">
        <v>1187</v>
      </c>
      <c r="H274" s="21" t="s">
        <v>263</v>
      </c>
      <c r="I274" s="45">
        <f>IF(Bets35[[#This Row],[Result]]="L",0-Bets35[[#This Row],[Risk]],IF(Bets35[[#This Row],[Result]]="Push",0,IF(Bets35[[#This Row],[Result]]="No Action",0,IF(Bets35[[#This Row],[Result]]="W",IF(Bets35[[#This Row],[Odds]]&gt;0,Bets35[[#This Row],[Odds]]/100*Bets35[[#This Row],[Risk]],(Bets35[[#This Row],[Risk]]/Bets35[[#This Row],[Odds]]*-100)),""))))</f>
        <v>-10</v>
      </c>
      <c r="J274" s="39" t="str">
        <f>IF(ISNUMBER(SEARCH(CHAR(10),Bets35[[#This Row],[Bet]])),"P",IF(ISNUMBER(FIND("Under",Bets35[[#This Row],[Bet]])),"U",IF(ISNUMBER(SEARCH("Over",Bets35[[#This Row],[Bet]])),"O",IF(ISNUMBER(SEARCH("+",Bets35[[#This Row],[Bet]])),"D",IF(ISNUMBER(SEARCH("-",Bets35[[#This Row],[Bet]])),"F",IF(ISNUMBER(SEARCH("Moneyline",Bets35[[#This Row],[Bet]])),IF(Bets35[[#This Row],[Odds]]&lt;0,"MF","MD"),""))))))</f>
        <v>MD</v>
      </c>
      <c r="K274" s="24"/>
      <c r="N274" s="70"/>
      <c r="O274" s="27"/>
    </row>
    <row r="275" spans="1:15" x14ac:dyDescent="0.25">
      <c r="A275" s="13">
        <f t="shared" si="12"/>
        <v>27</v>
      </c>
      <c r="B275" s="17">
        <v>43664</v>
      </c>
      <c r="C275" s="17" t="s">
        <v>802</v>
      </c>
      <c r="D275" s="18" t="s">
        <v>3379</v>
      </c>
      <c r="E275" s="11" t="s">
        <v>834</v>
      </c>
      <c r="F275" s="19">
        <f>IF(Bets35[[#This Row],[Odds]]&lt;0,Bets35[[#This Row],[Odds]]/-10,10)</f>
        <v>10</v>
      </c>
      <c r="G275" s="91" t="s">
        <v>886</v>
      </c>
      <c r="H275" s="21" t="s">
        <v>263</v>
      </c>
      <c r="I275" s="45">
        <f>IF(Bets35[[#This Row],[Result]]="L",0-Bets35[[#This Row],[Risk]],IF(Bets35[[#This Row],[Result]]="Push",0,IF(Bets35[[#This Row],[Result]]="No Action",0,IF(Bets35[[#This Row],[Result]]="W",IF(Bets35[[#This Row],[Odds]]&gt;0,Bets35[[#This Row],[Odds]]/100*Bets35[[#This Row],[Risk]],(Bets35[[#This Row],[Risk]]/Bets35[[#This Row],[Odds]]*-100)),""))))</f>
        <v>-10</v>
      </c>
      <c r="J275" s="39" t="str">
        <f>IF(ISNUMBER(SEARCH(CHAR(10),Bets35[[#This Row],[Bet]])),"P",IF(ISNUMBER(FIND("Under",Bets35[[#This Row],[Bet]])),"U",IF(ISNUMBER(SEARCH("Over",Bets35[[#This Row],[Bet]])),"O",IF(ISNUMBER(SEARCH("+",Bets35[[#This Row],[Bet]])),"D",IF(ISNUMBER(SEARCH("-",Bets35[[#This Row],[Bet]])),"F",IF(ISNUMBER(SEARCH("Moneyline",Bets35[[#This Row],[Bet]])),IF(Bets35[[#This Row],[Odds]]&lt;0,"MF","MD"),""))))))</f>
        <v>MD</v>
      </c>
      <c r="K275" s="24"/>
      <c r="N275" s="70"/>
      <c r="O275" s="27"/>
    </row>
    <row r="276" spans="1:15" x14ac:dyDescent="0.25">
      <c r="A276" s="13">
        <f t="shared" si="12"/>
        <v>27</v>
      </c>
      <c r="B276" s="17">
        <v>43664</v>
      </c>
      <c r="C276" s="17" t="s">
        <v>802</v>
      </c>
      <c r="D276" s="18" t="s">
        <v>3380</v>
      </c>
      <c r="E276" s="11" t="s">
        <v>1209</v>
      </c>
      <c r="F276" s="19">
        <f>IF(Bets35[[#This Row],[Odds]]&lt;0,Bets35[[#This Row],[Odds]]/-10,10)</f>
        <v>10.5</v>
      </c>
      <c r="G276" s="91">
        <v>-105</v>
      </c>
      <c r="H276" s="21" t="s">
        <v>263</v>
      </c>
      <c r="I276" s="45">
        <f>IF(Bets35[[#This Row],[Result]]="L",0-Bets35[[#This Row],[Risk]],IF(Bets35[[#This Row],[Result]]="Push",0,IF(Bets35[[#This Row],[Result]]="No Action",0,IF(Bets35[[#This Row],[Result]]="W",IF(Bets35[[#This Row],[Odds]]&gt;0,Bets35[[#This Row],[Odds]]/100*Bets35[[#This Row],[Risk]],(Bets35[[#This Row],[Risk]]/Bets35[[#This Row],[Odds]]*-100)),""))))</f>
        <v>-10.5</v>
      </c>
      <c r="J276" s="39" t="str">
        <f>IF(ISNUMBER(SEARCH(CHAR(10),Bets35[[#This Row],[Bet]])),"P",IF(ISNUMBER(FIND("Under",Bets35[[#This Row],[Bet]])),"U",IF(ISNUMBER(SEARCH("Over",Bets35[[#This Row],[Bet]])),"O",IF(ISNUMBER(SEARCH("+",Bets35[[#This Row],[Bet]])),"D",IF(ISNUMBER(SEARCH("-",Bets35[[#This Row],[Bet]])),"F",IF(ISNUMBER(SEARCH("Moneyline",Bets35[[#This Row],[Bet]])),IF(Bets35[[#This Row],[Odds]]&lt;0,"MF","MD"),""))))))</f>
        <v>U</v>
      </c>
      <c r="K276" s="24"/>
      <c r="N276" s="70"/>
      <c r="O276" s="27"/>
    </row>
    <row r="277" spans="1:15" x14ac:dyDescent="0.25">
      <c r="A277" s="13">
        <f t="shared" si="12"/>
        <v>27</v>
      </c>
      <c r="B277" s="17">
        <v>43664</v>
      </c>
      <c r="C277" s="17" t="s">
        <v>802</v>
      </c>
      <c r="D277" s="18" t="s">
        <v>3379</v>
      </c>
      <c r="E277" s="11" t="s">
        <v>879</v>
      </c>
      <c r="F277" s="19">
        <f>IF(Bets35[[#This Row],[Odds]]&lt;0,Bets35[[#This Row],[Odds]]/-10,10)</f>
        <v>11</v>
      </c>
      <c r="G277" s="91">
        <v>-110</v>
      </c>
      <c r="H277" s="21" t="s">
        <v>262</v>
      </c>
      <c r="I277" s="45">
        <f>IF(Bets35[[#This Row],[Result]]="L",0-Bets35[[#This Row],[Risk]],IF(Bets35[[#This Row],[Result]]="Push",0,IF(Bets35[[#This Row],[Result]]="No Action",0,IF(Bets35[[#This Row],[Result]]="W",IF(Bets35[[#This Row],[Odds]]&gt;0,Bets35[[#This Row],[Odds]]/100*Bets35[[#This Row],[Risk]],(Bets35[[#This Row],[Risk]]/Bets35[[#This Row],[Odds]]*-100)),""))))</f>
        <v>10</v>
      </c>
      <c r="J277" s="39" t="str">
        <f>IF(ISNUMBER(SEARCH(CHAR(10),Bets35[[#This Row],[Bet]])),"P",IF(ISNUMBER(FIND("Under",Bets35[[#This Row],[Bet]])),"U",IF(ISNUMBER(SEARCH("Over",Bets35[[#This Row],[Bet]])),"O",IF(ISNUMBER(SEARCH("+",Bets35[[#This Row],[Bet]])),"D",IF(ISNUMBER(SEARCH("-",Bets35[[#This Row],[Bet]])),"F",IF(ISNUMBER(SEARCH("Moneyline",Bets35[[#This Row],[Bet]])),IF(Bets35[[#This Row],[Odds]]&lt;0,"MF","MD"),""))))))</f>
        <v>U</v>
      </c>
      <c r="K277" s="24"/>
      <c r="N277" s="70"/>
      <c r="O277" s="27"/>
    </row>
    <row r="278" spans="1:15" x14ac:dyDescent="0.25">
      <c r="A278" s="13">
        <f t="shared" si="12"/>
        <v>27</v>
      </c>
      <c r="B278" s="17">
        <v>43664</v>
      </c>
      <c r="C278" s="17" t="s">
        <v>802</v>
      </c>
      <c r="D278" s="18" t="s">
        <v>3381</v>
      </c>
      <c r="E278" s="11" t="s">
        <v>933</v>
      </c>
      <c r="F278" s="19">
        <f>IF(Bets35[[#This Row],[Odds]]&lt;0,Bets35[[#This Row],[Odds]]/-10,10)</f>
        <v>10.5</v>
      </c>
      <c r="G278" s="91">
        <v>-105</v>
      </c>
      <c r="H278" s="21" t="s">
        <v>262</v>
      </c>
      <c r="I278" s="45">
        <f>IF(Bets35[[#This Row],[Result]]="L",0-Bets35[[#This Row],[Risk]],IF(Bets35[[#This Row],[Result]]="Push",0,IF(Bets35[[#This Row],[Result]]="No Action",0,IF(Bets35[[#This Row],[Result]]="W",IF(Bets35[[#This Row],[Odds]]&gt;0,Bets35[[#This Row],[Odds]]/100*Bets35[[#This Row],[Risk]],(Bets35[[#This Row],[Risk]]/Bets35[[#This Row],[Odds]]*-100)),""))))</f>
        <v>10</v>
      </c>
      <c r="J278" s="39" t="str">
        <f>IF(ISNUMBER(SEARCH(CHAR(10),Bets35[[#This Row],[Bet]])),"P",IF(ISNUMBER(FIND("Under",Bets35[[#This Row],[Bet]])),"U",IF(ISNUMBER(SEARCH("Over",Bets35[[#This Row],[Bet]])),"O",IF(ISNUMBER(SEARCH("+",Bets35[[#This Row],[Bet]])),"D",IF(ISNUMBER(SEARCH("-",Bets35[[#This Row],[Bet]])),"F",IF(ISNUMBER(SEARCH("Moneyline",Bets35[[#This Row],[Bet]])),IF(Bets35[[#This Row],[Odds]]&lt;0,"MF","MD"),""))))))</f>
        <v>U</v>
      </c>
      <c r="K278" s="24"/>
      <c r="N278" s="70"/>
      <c r="O278" s="27"/>
    </row>
    <row r="279" spans="1:15" x14ac:dyDescent="0.25">
      <c r="A279" s="13">
        <f t="shared" si="12"/>
        <v>27</v>
      </c>
      <c r="B279" s="17">
        <v>43664</v>
      </c>
      <c r="C279" s="17" t="s">
        <v>802</v>
      </c>
      <c r="D279" s="18" t="s">
        <v>3382</v>
      </c>
      <c r="E279" s="11" t="s">
        <v>902</v>
      </c>
      <c r="F279" s="19">
        <f>IF(Bets35[[#This Row],[Odds]]&lt;0,Bets35[[#This Row],[Odds]]/-10,10)</f>
        <v>11</v>
      </c>
      <c r="G279" s="91">
        <v>-110</v>
      </c>
      <c r="H279" s="21" t="s">
        <v>263</v>
      </c>
      <c r="I279" s="45">
        <f>IF(Bets35[[#This Row],[Result]]="L",0-Bets35[[#This Row],[Risk]],IF(Bets35[[#This Row],[Result]]="Push",0,IF(Bets35[[#This Row],[Result]]="No Action",0,IF(Bets35[[#This Row],[Result]]="W",IF(Bets35[[#This Row],[Odds]]&gt;0,Bets35[[#This Row],[Odds]]/100*Bets35[[#This Row],[Risk]],(Bets35[[#This Row],[Risk]]/Bets35[[#This Row],[Odds]]*-100)),""))))</f>
        <v>-11</v>
      </c>
      <c r="J279" s="39" t="str">
        <f>IF(ISNUMBER(SEARCH(CHAR(10),Bets35[[#This Row],[Bet]])),"P",IF(ISNUMBER(FIND("Under",Bets35[[#This Row],[Bet]])),"U",IF(ISNUMBER(SEARCH("Over",Bets35[[#This Row],[Bet]])),"O",IF(ISNUMBER(SEARCH("+",Bets35[[#This Row],[Bet]])),"D",IF(ISNUMBER(SEARCH("-",Bets35[[#This Row],[Bet]])),"F",IF(ISNUMBER(SEARCH("Moneyline",Bets35[[#This Row],[Bet]])),IF(Bets35[[#This Row],[Odds]]&lt;0,"MF","MD"),""))))))</f>
        <v>O</v>
      </c>
      <c r="K279" s="24"/>
      <c r="N279" s="70"/>
      <c r="O279" s="27"/>
    </row>
    <row r="280" spans="1:15" x14ac:dyDescent="0.25">
      <c r="A280" s="13">
        <f t="shared" si="12"/>
        <v>27</v>
      </c>
      <c r="B280" s="17">
        <v>43671</v>
      </c>
      <c r="C280" s="17" t="s">
        <v>802</v>
      </c>
      <c r="D280" s="18" t="s">
        <v>3502</v>
      </c>
      <c r="E280" s="11" t="s">
        <v>1152</v>
      </c>
      <c r="F280" s="19">
        <f>IF(Bets35[[#This Row],[Odds]]&lt;0,Bets35[[#This Row],[Odds]]/-10,10)</f>
        <v>10</v>
      </c>
      <c r="G280" s="91" t="s">
        <v>3503</v>
      </c>
      <c r="H280" s="21" t="s">
        <v>263</v>
      </c>
      <c r="I280" s="45">
        <f>IF(Bets35[[#This Row],[Result]]="L",0-Bets35[[#This Row],[Risk]],IF(Bets35[[#This Row],[Result]]="Push",0,IF(Bets35[[#This Row],[Result]]="No Action",0,IF(Bets35[[#This Row],[Result]]="W",IF(Bets35[[#This Row],[Odds]]&gt;0,Bets35[[#This Row],[Odds]]/100*Bets35[[#This Row],[Risk]],(Bets35[[#This Row],[Risk]]/Bets35[[#This Row],[Odds]]*-100)),""))))</f>
        <v>-10</v>
      </c>
      <c r="J280" s="39" t="str">
        <f>IF(ISNUMBER(SEARCH(CHAR(10),Bets35[[#This Row],[Bet]])),"P",IF(ISNUMBER(FIND("Under",Bets35[[#This Row],[Bet]])),"U",IF(ISNUMBER(SEARCH("Over",Bets35[[#This Row],[Bet]])),"O",IF(ISNUMBER(SEARCH("+",Bets35[[#This Row],[Bet]])),"D",IF(ISNUMBER(SEARCH("-",Bets35[[#This Row],[Bet]])),"F",IF(ISNUMBER(SEARCH("Moneyline",Bets35[[#This Row],[Bet]])),IF(Bets35[[#This Row],[Odds]]&lt;0,"MF","MD"),""))))))</f>
        <v>MD</v>
      </c>
      <c r="K280" s="24"/>
      <c r="N280" s="70"/>
      <c r="O280" s="27"/>
    </row>
    <row r="281" spans="1:15" x14ac:dyDescent="0.25">
      <c r="A281" s="13">
        <f t="shared" si="12"/>
        <v>27</v>
      </c>
      <c r="B281" s="17">
        <v>43671</v>
      </c>
      <c r="C281" s="17" t="s">
        <v>802</v>
      </c>
      <c r="D281" s="18" t="s">
        <v>3452</v>
      </c>
      <c r="E281" s="11" t="s">
        <v>1153</v>
      </c>
      <c r="F281" s="19">
        <f>IF(Bets35[[#This Row],[Odds]]&lt;0,Bets35[[#This Row],[Odds]]/-10,10)</f>
        <v>10</v>
      </c>
      <c r="G281" s="91" t="s">
        <v>3385</v>
      </c>
      <c r="H281" s="21" t="s">
        <v>262</v>
      </c>
      <c r="I281" s="45">
        <f>IF(Bets35[[#This Row],[Result]]="L",0-Bets35[[#This Row],[Risk]],IF(Bets35[[#This Row],[Result]]="Push",0,IF(Bets35[[#This Row],[Result]]="No Action",0,IF(Bets35[[#This Row],[Result]]="W",IF(Bets35[[#This Row],[Odds]]&gt;0,Bets35[[#This Row],[Odds]]/100*Bets35[[#This Row],[Risk]],(Bets35[[#This Row],[Risk]]/Bets35[[#This Row],[Odds]]*-100)),""))))</f>
        <v>25.5</v>
      </c>
      <c r="J281" s="39" t="str">
        <f>IF(ISNUMBER(SEARCH(CHAR(10),Bets35[[#This Row],[Bet]])),"P",IF(ISNUMBER(FIND("Under",Bets35[[#This Row],[Bet]])),"U",IF(ISNUMBER(SEARCH("Over",Bets35[[#This Row],[Bet]])),"O",IF(ISNUMBER(SEARCH("+",Bets35[[#This Row],[Bet]])),"D",IF(ISNUMBER(SEARCH("-",Bets35[[#This Row],[Bet]])),"F",IF(ISNUMBER(SEARCH("Moneyline",Bets35[[#This Row],[Bet]])),IF(Bets35[[#This Row],[Odds]]&lt;0,"MF","MD"),""))))))</f>
        <v>MD</v>
      </c>
      <c r="K281" s="24"/>
      <c r="N281" s="70"/>
      <c r="O281" s="27"/>
    </row>
    <row r="282" spans="1:15" x14ac:dyDescent="0.25">
      <c r="A282" s="13">
        <f t="shared" si="12"/>
        <v>27</v>
      </c>
      <c r="B282" s="17">
        <v>43671</v>
      </c>
      <c r="C282" s="17" t="s">
        <v>802</v>
      </c>
      <c r="D282" s="18" t="s">
        <v>3504</v>
      </c>
      <c r="E282" s="11" t="s">
        <v>832</v>
      </c>
      <c r="F282" s="19">
        <f>IF(Bets35[[#This Row],[Odds]]&lt;0,Bets35[[#This Row],[Odds]]/-10,10)</f>
        <v>12</v>
      </c>
      <c r="G282" s="91">
        <v>-120</v>
      </c>
      <c r="H282" s="21" t="s">
        <v>263</v>
      </c>
      <c r="I282" s="45">
        <f>IF(Bets35[[#This Row],[Result]]="L",0-Bets35[[#This Row],[Risk]],IF(Bets35[[#This Row],[Result]]="Push",0,IF(Bets35[[#This Row],[Result]]="No Action",0,IF(Bets35[[#This Row],[Result]]="W",IF(Bets35[[#This Row],[Odds]]&gt;0,Bets35[[#This Row],[Odds]]/100*Bets35[[#This Row],[Risk]],(Bets35[[#This Row],[Risk]]/Bets35[[#This Row],[Odds]]*-100)),""))))</f>
        <v>-12</v>
      </c>
      <c r="J282" s="39" t="str">
        <f>IF(ISNUMBER(SEARCH(CHAR(10),Bets35[[#This Row],[Bet]])),"P",IF(ISNUMBER(FIND("Under",Bets35[[#This Row],[Bet]])),"U",IF(ISNUMBER(SEARCH("Over",Bets35[[#This Row],[Bet]])),"O",IF(ISNUMBER(SEARCH("+",Bets35[[#This Row],[Bet]])),"D",IF(ISNUMBER(SEARCH("-",Bets35[[#This Row],[Bet]])),"F",IF(ISNUMBER(SEARCH("Moneyline",Bets35[[#This Row],[Bet]])),IF(Bets35[[#This Row],[Odds]]&lt;0,"MF","MD"),""))))))</f>
        <v>MF</v>
      </c>
      <c r="K282" s="24"/>
      <c r="N282" s="70"/>
      <c r="O282" s="27"/>
    </row>
    <row r="283" spans="1:15" x14ac:dyDescent="0.25">
      <c r="A283" s="13">
        <f t="shared" si="12"/>
        <v>27</v>
      </c>
      <c r="B283" s="17">
        <v>43671</v>
      </c>
      <c r="C283" s="17" t="s">
        <v>802</v>
      </c>
      <c r="D283" s="18" t="s">
        <v>3505</v>
      </c>
      <c r="E283" s="11" t="s">
        <v>1178</v>
      </c>
      <c r="F283" s="19">
        <f>IF(Bets35[[#This Row],[Odds]]&lt;0,Bets35[[#This Row],[Odds]]/-10,10)</f>
        <v>14.5</v>
      </c>
      <c r="G283" s="91">
        <v>-145</v>
      </c>
      <c r="H283" s="21" t="s">
        <v>262</v>
      </c>
      <c r="I283" s="45">
        <f>IF(Bets35[[#This Row],[Result]]="L",0-Bets35[[#This Row],[Risk]],IF(Bets35[[#This Row],[Result]]="Push",0,IF(Bets35[[#This Row],[Result]]="No Action",0,IF(Bets35[[#This Row],[Result]]="W",IF(Bets35[[#This Row],[Odds]]&gt;0,Bets35[[#This Row],[Odds]]/100*Bets35[[#This Row],[Risk]],(Bets35[[#This Row],[Risk]]/Bets35[[#This Row],[Odds]]*-100)),""))))</f>
        <v>10</v>
      </c>
      <c r="J283" s="39" t="str">
        <f>IF(ISNUMBER(SEARCH(CHAR(10),Bets35[[#This Row],[Bet]])),"P",IF(ISNUMBER(FIND("Under",Bets35[[#This Row],[Bet]])),"U",IF(ISNUMBER(SEARCH("Over",Bets35[[#This Row],[Bet]])),"O",IF(ISNUMBER(SEARCH("+",Bets35[[#This Row],[Bet]])),"D",IF(ISNUMBER(SEARCH("-",Bets35[[#This Row],[Bet]])),"F",IF(ISNUMBER(SEARCH("Moneyline",Bets35[[#This Row],[Bet]])),IF(Bets35[[#This Row],[Odds]]&lt;0,"MF","MD"),""))))))</f>
        <v>MF</v>
      </c>
      <c r="K283" s="24"/>
      <c r="N283" s="70"/>
      <c r="O283" s="27"/>
    </row>
    <row r="284" spans="1:15" x14ac:dyDescent="0.25">
      <c r="A284" s="13">
        <f t="shared" si="12"/>
        <v>27</v>
      </c>
      <c r="B284" s="17">
        <v>43671</v>
      </c>
      <c r="C284" s="17" t="s">
        <v>802</v>
      </c>
      <c r="D284" s="18" t="s">
        <v>3506</v>
      </c>
      <c r="E284" s="11" t="s">
        <v>3507</v>
      </c>
      <c r="F284" s="19">
        <f>IF(Bets35[[#This Row],[Odds]]&lt;0,Bets35[[#This Row],[Odds]]/-10,10)</f>
        <v>22</v>
      </c>
      <c r="G284" s="91">
        <v>-220</v>
      </c>
      <c r="H284" s="21" t="s">
        <v>263</v>
      </c>
      <c r="I284" s="45">
        <f>IF(Bets35[[#This Row],[Result]]="L",0-Bets35[[#This Row],[Risk]],IF(Bets35[[#This Row],[Result]]="Push",0,IF(Bets35[[#This Row],[Result]]="No Action",0,IF(Bets35[[#This Row],[Result]]="W",IF(Bets35[[#This Row],[Odds]]&gt;0,Bets35[[#This Row],[Odds]]/100*Bets35[[#This Row],[Risk]],(Bets35[[#This Row],[Risk]]/Bets35[[#This Row],[Odds]]*-100)),""))))</f>
        <v>-22</v>
      </c>
      <c r="J284" s="39" t="str">
        <f>IF(ISNUMBER(SEARCH(CHAR(10),Bets35[[#This Row],[Bet]])),"P",IF(ISNUMBER(FIND("Under",Bets35[[#This Row],[Bet]])),"U",IF(ISNUMBER(SEARCH("Over",Bets35[[#This Row],[Bet]])),"O",IF(ISNUMBER(SEARCH("+",Bets35[[#This Row],[Bet]])),"D",IF(ISNUMBER(SEARCH("-",Bets35[[#This Row],[Bet]])),"F",IF(ISNUMBER(SEARCH("Moneyline",Bets35[[#This Row],[Bet]])),IF(Bets35[[#This Row],[Odds]]&lt;0,"MF","MD"),""))))))</f>
        <v>MF</v>
      </c>
      <c r="K284" s="24"/>
      <c r="N284" s="70"/>
      <c r="O284" s="27"/>
    </row>
    <row r="285" spans="1:15" x14ac:dyDescent="0.25">
      <c r="A285" s="13">
        <f t="shared" si="12"/>
        <v>27</v>
      </c>
      <c r="B285" s="17">
        <v>43671</v>
      </c>
      <c r="C285" s="17" t="s">
        <v>802</v>
      </c>
      <c r="D285" s="18" t="s">
        <v>3508</v>
      </c>
      <c r="E285" s="11" t="s">
        <v>1209</v>
      </c>
      <c r="F285" s="19">
        <f>IF(Bets35[[#This Row],[Odds]]&lt;0,Bets35[[#This Row],[Odds]]/-10,10)</f>
        <v>11</v>
      </c>
      <c r="G285" s="91">
        <v>-110</v>
      </c>
      <c r="H285" s="21" t="s">
        <v>262</v>
      </c>
      <c r="I285" s="45">
        <f>IF(Bets35[[#This Row],[Result]]="L",0-Bets35[[#This Row],[Risk]],IF(Bets35[[#This Row],[Result]]="Push",0,IF(Bets35[[#This Row],[Result]]="No Action",0,IF(Bets35[[#This Row],[Result]]="W",IF(Bets35[[#This Row],[Odds]]&gt;0,Bets35[[#This Row],[Odds]]/100*Bets35[[#This Row],[Risk]],(Bets35[[#This Row],[Risk]]/Bets35[[#This Row],[Odds]]*-100)),""))))</f>
        <v>10</v>
      </c>
      <c r="J285" s="39" t="str">
        <f>IF(ISNUMBER(SEARCH(CHAR(10),Bets35[[#This Row],[Bet]])),"P",IF(ISNUMBER(FIND("Under",Bets35[[#This Row],[Bet]])),"U",IF(ISNUMBER(SEARCH("Over",Bets35[[#This Row],[Bet]])),"O",IF(ISNUMBER(SEARCH("+",Bets35[[#This Row],[Bet]])),"D",IF(ISNUMBER(SEARCH("-",Bets35[[#This Row],[Bet]])),"F",IF(ISNUMBER(SEARCH("Moneyline",Bets35[[#This Row],[Bet]])),IF(Bets35[[#This Row],[Odds]]&lt;0,"MF","MD"),""))))))</f>
        <v>U</v>
      </c>
      <c r="K285" s="24"/>
      <c r="N285" s="70"/>
      <c r="O285" s="27"/>
    </row>
    <row r="286" spans="1:15" x14ac:dyDescent="0.25">
      <c r="A286" s="13">
        <f t="shared" si="12"/>
        <v>27</v>
      </c>
      <c r="B286" s="17">
        <v>43671</v>
      </c>
      <c r="C286" s="17" t="s">
        <v>802</v>
      </c>
      <c r="D286" s="18" t="s">
        <v>3506</v>
      </c>
      <c r="E286" s="11" t="s">
        <v>3509</v>
      </c>
      <c r="F286" s="19">
        <f>IF(Bets35[[#This Row],[Odds]]&lt;0,Bets35[[#This Row],[Odds]]/-10,10)</f>
        <v>11.5</v>
      </c>
      <c r="G286" s="91">
        <v>-115</v>
      </c>
      <c r="H286" s="21" t="s">
        <v>262</v>
      </c>
      <c r="I286" s="45">
        <f>IF(Bets35[[#This Row],[Result]]="L",0-Bets35[[#This Row],[Risk]],IF(Bets35[[#This Row],[Result]]="Push",0,IF(Bets35[[#This Row],[Result]]="No Action",0,IF(Bets35[[#This Row],[Result]]="W",IF(Bets35[[#This Row],[Odds]]&gt;0,Bets35[[#This Row],[Odds]]/100*Bets35[[#This Row],[Risk]],(Bets35[[#This Row],[Risk]]/Bets35[[#This Row],[Odds]]*-100)),""))))</f>
        <v>10</v>
      </c>
      <c r="J286" s="39" t="str">
        <f>IF(ISNUMBER(SEARCH(CHAR(10),Bets35[[#This Row],[Bet]])),"P",IF(ISNUMBER(FIND("Under",Bets35[[#This Row],[Bet]])),"U",IF(ISNUMBER(SEARCH("Over",Bets35[[#This Row],[Bet]])),"O",IF(ISNUMBER(SEARCH("+",Bets35[[#This Row],[Bet]])),"D",IF(ISNUMBER(SEARCH("-",Bets35[[#This Row],[Bet]])),"F",IF(ISNUMBER(SEARCH("Moneyline",Bets35[[#This Row],[Bet]])),IF(Bets35[[#This Row],[Odds]]&lt;0,"MF","MD"),""))))))</f>
        <v>O</v>
      </c>
      <c r="K286" s="24"/>
      <c r="N286" s="70"/>
      <c r="O286" s="27"/>
    </row>
    <row r="287" spans="1:15" x14ac:dyDescent="0.25">
      <c r="A287" s="13">
        <f t="shared" si="12"/>
        <v>27</v>
      </c>
      <c r="B287" s="17">
        <v>43672</v>
      </c>
      <c r="C287" s="17" t="s">
        <v>802</v>
      </c>
      <c r="D287" s="18" t="s">
        <v>3519</v>
      </c>
      <c r="E287" s="11" t="s">
        <v>819</v>
      </c>
      <c r="F287" s="19">
        <f>IF(Bets35[[#This Row],[Odds]]&lt;0,Bets35[[#This Row],[Odds]]/-10,10)</f>
        <v>13.9</v>
      </c>
      <c r="G287" s="91">
        <v>-139</v>
      </c>
      <c r="H287" s="21" t="s">
        <v>262</v>
      </c>
      <c r="I287" s="45">
        <f>IF(Bets35[[#This Row],[Result]]="L",0-Bets35[[#This Row],[Risk]],IF(Bets35[[#This Row],[Result]]="Push",0,IF(Bets35[[#This Row],[Result]]="No Action",0,IF(Bets35[[#This Row],[Result]]="W",IF(Bets35[[#This Row],[Odds]]&gt;0,Bets35[[#This Row],[Odds]]/100*Bets35[[#This Row],[Risk]],(Bets35[[#This Row],[Risk]]/Bets35[[#This Row],[Odds]]*-100)),""))))</f>
        <v>10</v>
      </c>
      <c r="J287" s="39" t="str">
        <f>IF(ISNUMBER(SEARCH(CHAR(10),Bets35[[#This Row],[Bet]])),"P",IF(ISNUMBER(FIND("Under",Bets35[[#This Row],[Bet]])),"U",IF(ISNUMBER(SEARCH("Over",Bets35[[#This Row],[Bet]])),"O",IF(ISNUMBER(SEARCH("+",Bets35[[#This Row],[Bet]])),"D",IF(ISNUMBER(SEARCH("-",Bets35[[#This Row],[Bet]])),"F",IF(ISNUMBER(SEARCH("Moneyline",Bets35[[#This Row],[Bet]])),IF(Bets35[[#This Row],[Odds]]&lt;0,"MF","MD"),""))))))</f>
        <v>MF</v>
      </c>
      <c r="K287" s="24"/>
      <c r="N287" s="70"/>
      <c r="O287" s="27"/>
    </row>
    <row r="288" spans="1:15" x14ac:dyDescent="0.25">
      <c r="A288" s="13">
        <f t="shared" si="12"/>
        <v>27</v>
      </c>
      <c r="B288" s="17">
        <v>43672</v>
      </c>
      <c r="C288" s="17" t="s">
        <v>802</v>
      </c>
      <c r="D288" s="18" t="s">
        <v>3520</v>
      </c>
      <c r="E288" s="11" t="s">
        <v>876</v>
      </c>
      <c r="F288" s="19">
        <f>IF(Bets35[[#This Row],[Odds]]&lt;0,Bets35[[#This Row],[Odds]]/-10,10)</f>
        <v>10</v>
      </c>
      <c r="G288" s="91" t="s">
        <v>3521</v>
      </c>
      <c r="H288" s="21" t="s">
        <v>263</v>
      </c>
      <c r="I288" s="45">
        <f>IF(Bets35[[#This Row],[Result]]="L",0-Bets35[[#This Row],[Risk]],IF(Bets35[[#This Row],[Result]]="Push",0,IF(Bets35[[#This Row],[Result]]="No Action",0,IF(Bets35[[#This Row],[Result]]="W",IF(Bets35[[#This Row],[Odds]]&gt;0,Bets35[[#This Row],[Odds]]/100*Bets35[[#This Row],[Risk]],(Bets35[[#This Row],[Risk]]/Bets35[[#This Row],[Odds]]*-100)),""))))</f>
        <v>-10</v>
      </c>
      <c r="J288" s="39" t="str">
        <f>IF(ISNUMBER(SEARCH(CHAR(10),Bets35[[#This Row],[Bet]])),"P",IF(ISNUMBER(FIND("Under",Bets35[[#This Row],[Bet]])),"U",IF(ISNUMBER(SEARCH("Over",Bets35[[#This Row],[Bet]])),"O",IF(ISNUMBER(SEARCH("+",Bets35[[#This Row],[Bet]])),"D",IF(ISNUMBER(SEARCH("-",Bets35[[#This Row],[Bet]])),"F",IF(ISNUMBER(SEARCH("Moneyline",Bets35[[#This Row],[Bet]])),IF(Bets35[[#This Row],[Odds]]&lt;0,"MF","MD"),""))))))</f>
        <v>MD</v>
      </c>
      <c r="K288" s="24"/>
      <c r="N288" s="70"/>
      <c r="O288" s="27"/>
    </row>
    <row r="289" spans="1:15" x14ac:dyDescent="0.25">
      <c r="A289" s="13">
        <f t="shared" si="12"/>
        <v>27</v>
      </c>
      <c r="B289" s="17">
        <v>43672</v>
      </c>
      <c r="C289" s="17" t="s">
        <v>802</v>
      </c>
      <c r="D289" s="18" t="s">
        <v>3505</v>
      </c>
      <c r="E289" s="11" t="s">
        <v>1178</v>
      </c>
      <c r="F289" s="19">
        <f>IF(Bets35[[#This Row],[Odds]]&lt;0,Bets35[[#This Row],[Odds]]/-10,10)</f>
        <v>16</v>
      </c>
      <c r="G289" s="91">
        <v>-160</v>
      </c>
      <c r="H289" s="21" t="s">
        <v>262</v>
      </c>
      <c r="I289" s="45">
        <f>IF(Bets35[[#This Row],[Result]]="L",0-Bets35[[#This Row],[Risk]],IF(Bets35[[#This Row],[Result]]="Push",0,IF(Bets35[[#This Row],[Result]]="No Action",0,IF(Bets35[[#This Row],[Result]]="W",IF(Bets35[[#This Row],[Odds]]&gt;0,Bets35[[#This Row],[Odds]]/100*Bets35[[#This Row],[Risk]],(Bets35[[#This Row],[Risk]]/Bets35[[#This Row],[Odds]]*-100)),""))))</f>
        <v>10</v>
      </c>
      <c r="J289" s="39" t="str">
        <f>IF(ISNUMBER(SEARCH(CHAR(10),Bets35[[#This Row],[Bet]])),"P",IF(ISNUMBER(FIND("Under",Bets35[[#This Row],[Bet]])),"U",IF(ISNUMBER(SEARCH("Over",Bets35[[#This Row],[Bet]])),"O",IF(ISNUMBER(SEARCH("+",Bets35[[#This Row],[Bet]])),"D",IF(ISNUMBER(SEARCH("-",Bets35[[#This Row],[Bet]])),"F",IF(ISNUMBER(SEARCH("Moneyline",Bets35[[#This Row],[Bet]])),IF(Bets35[[#This Row],[Odds]]&lt;0,"MF","MD"),""))))))</f>
        <v>MF</v>
      </c>
      <c r="K289" s="24"/>
      <c r="N289" s="70"/>
      <c r="O289" s="27"/>
    </row>
    <row r="290" spans="1:15" x14ac:dyDescent="0.25">
      <c r="A290" s="13">
        <f t="shared" si="12"/>
        <v>27</v>
      </c>
      <c r="B290" s="17">
        <v>43672</v>
      </c>
      <c r="C290" s="17" t="s">
        <v>802</v>
      </c>
      <c r="D290" s="18" t="s">
        <v>1462</v>
      </c>
      <c r="E290" s="11" t="s">
        <v>810</v>
      </c>
      <c r="F290" s="19">
        <f>IF(Bets35[[#This Row],[Odds]]&lt;0,Bets35[[#This Row],[Odds]]/-10,10)</f>
        <v>10</v>
      </c>
      <c r="G290" s="91" t="s">
        <v>3522</v>
      </c>
      <c r="H290" s="21" t="s">
        <v>262</v>
      </c>
      <c r="I290" s="45">
        <f>IF(Bets35[[#This Row],[Result]]="L",0-Bets35[[#This Row],[Risk]],IF(Bets35[[#This Row],[Result]]="Push",0,IF(Bets35[[#This Row],[Result]]="No Action",0,IF(Bets35[[#This Row],[Result]]="W",IF(Bets35[[#This Row],[Odds]]&gt;0,Bets35[[#This Row],[Odds]]/100*Bets35[[#This Row],[Risk]],(Bets35[[#This Row],[Risk]]/Bets35[[#This Row],[Odds]]*-100)),""))))</f>
        <v>12.4</v>
      </c>
      <c r="J290" s="39" t="str">
        <f>IF(ISNUMBER(SEARCH(CHAR(10),Bets35[[#This Row],[Bet]])),"P",IF(ISNUMBER(FIND("Under",Bets35[[#This Row],[Bet]])),"U",IF(ISNUMBER(SEARCH("Over",Bets35[[#This Row],[Bet]])),"O",IF(ISNUMBER(SEARCH("+",Bets35[[#This Row],[Bet]])),"D",IF(ISNUMBER(SEARCH("-",Bets35[[#This Row],[Bet]])),"F",IF(ISNUMBER(SEARCH("Moneyline",Bets35[[#This Row],[Bet]])),IF(Bets35[[#This Row],[Odds]]&lt;0,"MF","MD"),""))))))</f>
        <v>MD</v>
      </c>
      <c r="K290" s="24"/>
      <c r="N290" s="70"/>
      <c r="O290" s="27"/>
    </row>
    <row r="291" spans="1:15" x14ac:dyDescent="0.25">
      <c r="A291" s="13">
        <f t="shared" si="12"/>
        <v>27</v>
      </c>
      <c r="B291" s="17">
        <v>43672</v>
      </c>
      <c r="C291" s="17" t="s">
        <v>802</v>
      </c>
      <c r="D291" s="18" t="s">
        <v>3523</v>
      </c>
      <c r="E291" s="11" t="s">
        <v>836</v>
      </c>
      <c r="F291" s="19">
        <f>IF(Bets35[[#This Row],[Odds]]&lt;0,Bets35[[#This Row],[Odds]]/-10,10)</f>
        <v>13.2</v>
      </c>
      <c r="G291" s="91">
        <v>-132</v>
      </c>
      <c r="H291" s="21" t="s">
        <v>262</v>
      </c>
      <c r="I291" s="45">
        <f>IF(Bets35[[#This Row],[Result]]="L",0-Bets35[[#This Row],[Risk]],IF(Bets35[[#This Row],[Result]]="Push",0,IF(Bets35[[#This Row],[Result]]="No Action",0,IF(Bets35[[#This Row],[Result]]="W",IF(Bets35[[#This Row],[Odds]]&gt;0,Bets35[[#This Row],[Odds]]/100*Bets35[[#This Row],[Risk]],(Bets35[[#This Row],[Risk]]/Bets35[[#This Row],[Odds]]*-100)),""))))</f>
        <v>10</v>
      </c>
      <c r="J291" s="39" t="str">
        <f>IF(ISNUMBER(SEARCH(CHAR(10),Bets35[[#This Row],[Bet]])),"P",IF(ISNUMBER(FIND("Under",Bets35[[#This Row],[Bet]])),"U",IF(ISNUMBER(SEARCH("Over",Bets35[[#This Row],[Bet]])),"O",IF(ISNUMBER(SEARCH("+",Bets35[[#This Row],[Bet]])),"D",IF(ISNUMBER(SEARCH("-",Bets35[[#This Row],[Bet]])),"F",IF(ISNUMBER(SEARCH("Moneyline",Bets35[[#This Row],[Bet]])),IF(Bets35[[#This Row],[Odds]]&lt;0,"MF","MD"),""))))))</f>
        <v>MF</v>
      </c>
      <c r="K291" s="24"/>
      <c r="N291" s="70"/>
      <c r="O291" s="27"/>
    </row>
    <row r="292" spans="1:15" x14ac:dyDescent="0.25">
      <c r="A292" s="13">
        <f t="shared" si="12"/>
        <v>27</v>
      </c>
      <c r="B292" s="17">
        <v>43672</v>
      </c>
      <c r="C292" s="17" t="s">
        <v>802</v>
      </c>
      <c r="D292" s="18" t="s">
        <v>3524</v>
      </c>
      <c r="E292" s="11" t="s">
        <v>845</v>
      </c>
      <c r="F292" s="19">
        <f>IF(Bets35[[#This Row],[Odds]]&lt;0,Bets35[[#This Row],[Odds]]/-10,10)</f>
        <v>11</v>
      </c>
      <c r="G292" s="91">
        <v>-110</v>
      </c>
      <c r="H292" s="21" t="s">
        <v>262</v>
      </c>
      <c r="I292" s="45">
        <f>IF(Bets35[[#This Row],[Result]]="L",0-Bets35[[#This Row],[Risk]],IF(Bets35[[#This Row],[Result]]="Push",0,IF(Bets35[[#This Row],[Result]]="No Action",0,IF(Bets35[[#This Row],[Result]]="W",IF(Bets35[[#This Row],[Odds]]&gt;0,Bets35[[#This Row],[Odds]]/100*Bets35[[#This Row],[Risk]],(Bets35[[#This Row],[Risk]]/Bets35[[#This Row],[Odds]]*-100)),""))))</f>
        <v>10</v>
      </c>
      <c r="J292" s="39" t="str">
        <f>IF(ISNUMBER(SEARCH(CHAR(10),Bets35[[#This Row],[Bet]])),"P",IF(ISNUMBER(FIND("Under",Bets35[[#This Row],[Bet]])),"U",IF(ISNUMBER(SEARCH("Over",Bets35[[#This Row],[Bet]])),"O",IF(ISNUMBER(SEARCH("+",Bets35[[#This Row],[Bet]])),"D",IF(ISNUMBER(SEARCH("-",Bets35[[#This Row],[Bet]])),"F",IF(ISNUMBER(SEARCH("Moneyline",Bets35[[#This Row],[Bet]])),IF(Bets35[[#This Row],[Odds]]&lt;0,"MF","MD"),""))))))</f>
        <v>O</v>
      </c>
      <c r="K292" s="24"/>
      <c r="N292" s="70"/>
      <c r="O292" s="27"/>
    </row>
    <row r="293" spans="1:15" x14ac:dyDescent="0.25">
      <c r="A293" s="13">
        <f t="shared" si="12"/>
        <v>27</v>
      </c>
      <c r="B293" s="17">
        <v>43672</v>
      </c>
      <c r="C293" s="17" t="s">
        <v>802</v>
      </c>
      <c r="D293" s="18" t="s">
        <v>833</v>
      </c>
      <c r="E293" s="11" t="s">
        <v>845</v>
      </c>
      <c r="F293" s="19">
        <f>IF(Bets35[[#This Row],[Odds]]&lt;0,Bets35[[#This Row],[Odds]]/-10,10)</f>
        <v>10.5</v>
      </c>
      <c r="G293" s="91">
        <v>-105</v>
      </c>
      <c r="H293" s="21" t="s">
        <v>263</v>
      </c>
      <c r="I293" s="45">
        <f>IF(Bets35[[#This Row],[Result]]="L",0-Bets35[[#This Row],[Risk]],IF(Bets35[[#This Row],[Result]]="Push",0,IF(Bets35[[#This Row],[Result]]="No Action",0,IF(Bets35[[#This Row],[Result]]="W",IF(Bets35[[#This Row],[Odds]]&gt;0,Bets35[[#This Row],[Odds]]/100*Bets35[[#This Row],[Risk]],(Bets35[[#This Row],[Risk]]/Bets35[[#This Row],[Odds]]*-100)),""))))</f>
        <v>-10.5</v>
      </c>
      <c r="J293" s="39" t="str">
        <f>IF(ISNUMBER(SEARCH(CHAR(10),Bets35[[#This Row],[Bet]])),"P",IF(ISNUMBER(FIND("Under",Bets35[[#This Row],[Bet]])),"U",IF(ISNUMBER(SEARCH("Over",Bets35[[#This Row],[Bet]])),"O",IF(ISNUMBER(SEARCH("+",Bets35[[#This Row],[Bet]])),"D",IF(ISNUMBER(SEARCH("-",Bets35[[#This Row],[Bet]])),"F",IF(ISNUMBER(SEARCH("Moneyline",Bets35[[#This Row],[Bet]])),IF(Bets35[[#This Row],[Odds]]&lt;0,"MF","MD"),""))))))</f>
        <v>O</v>
      </c>
      <c r="K293" s="24"/>
      <c r="N293" s="70"/>
      <c r="O293" s="27"/>
    </row>
    <row r="294" spans="1:15" x14ac:dyDescent="0.25">
      <c r="A294" s="13">
        <f t="shared" si="12"/>
        <v>27</v>
      </c>
      <c r="B294" s="17">
        <v>43675</v>
      </c>
      <c r="C294" s="17" t="s">
        <v>802</v>
      </c>
      <c r="D294" s="18" t="s">
        <v>3592</v>
      </c>
      <c r="E294" s="11" t="s">
        <v>815</v>
      </c>
      <c r="F294" s="19">
        <f>IF(Bets35[[#This Row],[Odds]]&lt;0,Bets35[[#This Row],[Odds]]/-10,10)</f>
        <v>10</v>
      </c>
      <c r="G294" s="91" t="s">
        <v>825</v>
      </c>
      <c r="H294" s="21" t="s">
        <v>263</v>
      </c>
      <c r="I294" s="45">
        <f>IF(Bets35[[#This Row],[Result]]="L",0-Bets35[[#This Row],[Risk]],IF(Bets35[[#This Row],[Result]]="Push",0,IF(Bets35[[#This Row],[Result]]="No Action",0,IF(Bets35[[#This Row],[Result]]="W",IF(Bets35[[#This Row],[Odds]]&gt;0,Bets35[[#This Row],[Odds]]/100*Bets35[[#This Row],[Risk]],(Bets35[[#This Row],[Risk]]/Bets35[[#This Row],[Odds]]*-100)),""))))</f>
        <v>-10</v>
      </c>
      <c r="J294" s="39" t="str">
        <f>IF(ISNUMBER(SEARCH(CHAR(10),Bets35[[#This Row],[Bet]])),"P",IF(ISNUMBER(FIND("Under",Bets35[[#This Row],[Bet]])),"U",IF(ISNUMBER(SEARCH("Over",Bets35[[#This Row],[Bet]])),"O",IF(ISNUMBER(SEARCH("+",Bets35[[#This Row],[Bet]])),"D",IF(ISNUMBER(SEARCH("-",Bets35[[#This Row],[Bet]])),"F",IF(ISNUMBER(SEARCH("Moneyline",Bets35[[#This Row],[Bet]])),IF(Bets35[[#This Row],[Odds]]&lt;0,"MF","MD"),""))))))</f>
        <v>MD</v>
      </c>
      <c r="K294" s="24"/>
      <c r="N294" s="70"/>
      <c r="O294" s="27"/>
    </row>
    <row r="295" spans="1:15" x14ac:dyDescent="0.25">
      <c r="A295" s="13">
        <f t="shared" si="12"/>
        <v>27</v>
      </c>
      <c r="B295" s="17">
        <v>43675</v>
      </c>
      <c r="C295" s="17" t="s">
        <v>802</v>
      </c>
      <c r="D295" s="18" t="s">
        <v>1336</v>
      </c>
      <c r="E295" s="11" t="s">
        <v>876</v>
      </c>
      <c r="F295" s="19">
        <f>IF(Bets35[[#This Row],[Odds]]&lt;0,Bets35[[#This Row],[Odds]]/-10,10)</f>
        <v>10</v>
      </c>
      <c r="G295" s="91" t="s">
        <v>3503</v>
      </c>
      <c r="H295" s="21" t="s">
        <v>263</v>
      </c>
      <c r="I295" s="45">
        <f>IF(Bets35[[#This Row],[Result]]="L",0-Bets35[[#This Row],[Risk]],IF(Bets35[[#This Row],[Result]]="Push",0,IF(Bets35[[#This Row],[Result]]="No Action",0,IF(Bets35[[#This Row],[Result]]="W",IF(Bets35[[#This Row],[Odds]]&gt;0,Bets35[[#This Row],[Odds]]/100*Bets35[[#This Row],[Risk]],(Bets35[[#This Row],[Risk]]/Bets35[[#This Row],[Odds]]*-100)),""))))</f>
        <v>-10</v>
      </c>
      <c r="J295" s="39" t="str">
        <f>IF(ISNUMBER(SEARCH(CHAR(10),Bets35[[#This Row],[Bet]])),"P",IF(ISNUMBER(FIND("Under",Bets35[[#This Row],[Bet]])),"U",IF(ISNUMBER(SEARCH("Over",Bets35[[#This Row],[Bet]])),"O",IF(ISNUMBER(SEARCH("+",Bets35[[#This Row],[Bet]])),"D",IF(ISNUMBER(SEARCH("-",Bets35[[#This Row],[Bet]])),"F",IF(ISNUMBER(SEARCH("Moneyline",Bets35[[#This Row],[Bet]])),IF(Bets35[[#This Row],[Odds]]&lt;0,"MF","MD"),""))))))</f>
        <v>MD</v>
      </c>
      <c r="K295" s="24"/>
      <c r="N295" s="70"/>
      <c r="O295" s="27"/>
    </row>
    <row r="296" spans="1:15" x14ac:dyDescent="0.25">
      <c r="A296" s="13">
        <f t="shared" si="12"/>
        <v>27</v>
      </c>
      <c r="B296" s="17">
        <v>43675</v>
      </c>
      <c r="C296" s="17" t="s">
        <v>802</v>
      </c>
      <c r="D296" s="18" t="s">
        <v>1443</v>
      </c>
      <c r="E296" s="11" t="s">
        <v>827</v>
      </c>
      <c r="F296" s="19">
        <f>IF(Bets35[[#This Row],[Odds]]&lt;0,Bets35[[#This Row],[Odds]]/-10,10)</f>
        <v>13</v>
      </c>
      <c r="G296" s="91">
        <v>-130</v>
      </c>
      <c r="H296" s="21" t="s">
        <v>263</v>
      </c>
      <c r="I296" s="45">
        <f>IF(Bets35[[#This Row],[Result]]="L",0-Bets35[[#This Row],[Risk]],IF(Bets35[[#This Row],[Result]]="Push",0,IF(Bets35[[#This Row],[Result]]="No Action",0,IF(Bets35[[#This Row],[Result]]="W",IF(Bets35[[#This Row],[Odds]]&gt;0,Bets35[[#This Row],[Odds]]/100*Bets35[[#This Row],[Risk]],(Bets35[[#This Row],[Risk]]/Bets35[[#This Row],[Odds]]*-100)),""))))</f>
        <v>-13</v>
      </c>
      <c r="J296" s="39" t="str">
        <f>IF(ISNUMBER(SEARCH(CHAR(10),Bets35[[#This Row],[Bet]])),"P",IF(ISNUMBER(FIND("Under",Bets35[[#This Row],[Bet]])),"U",IF(ISNUMBER(SEARCH("Over",Bets35[[#This Row],[Bet]])),"O",IF(ISNUMBER(SEARCH("+",Bets35[[#This Row],[Bet]])),"D",IF(ISNUMBER(SEARCH("-",Bets35[[#This Row],[Bet]])),"F",IF(ISNUMBER(SEARCH("Moneyline",Bets35[[#This Row],[Bet]])),IF(Bets35[[#This Row],[Odds]]&lt;0,"MF","MD"),""))))))</f>
        <v>MF</v>
      </c>
      <c r="K296" s="24"/>
      <c r="N296" s="70"/>
      <c r="O296" s="27"/>
    </row>
    <row r="297" spans="1:15" x14ac:dyDescent="0.25">
      <c r="A297" s="13">
        <f t="shared" si="12"/>
        <v>27</v>
      </c>
      <c r="B297" s="17">
        <v>43675</v>
      </c>
      <c r="C297" s="17" t="s">
        <v>802</v>
      </c>
      <c r="D297" s="18" t="s">
        <v>3593</v>
      </c>
      <c r="E297" s="11" t="s">
        <v>812</v>
      </c>
      <c r="F297" s="19">
        <f>IF(Bets35[[#This Row],[Odds]]&lt;0,Bets35[[#This Row],[Odds]]/-10,10)</f>
        <v>10</v>
      </c>
      <c r="G297" s="91" t="s">
        <v>813</v>
      </c>
      <c r="H297" s="21" t="s">
        <v>262</v>
      </c>
      <c r="I297" s="45">
        <f>IF(Bets35[[#This Row],[Result]]="L",0-Bets35[[#This Row],[Risk]],IF(Bets35[[#This Row],[Result]]="Push",0,IF(Bets35[[#This Row],[Result]]="No Action",0,IF(Bets35[[#This Row],[Result]]="W",IF(Bets35[[#This Row],[Odds]]&gt;0,Bets35[[#This Row],[Odds]]/100*Bets35[[#This Row],[Risk]],(Bets35[[#This Row],[Risk]]/Bets35[[#This Row],[Odds]]*-100)),""))))</f>
        <v>21</v>
      </c>
      <c r="J297" s="39" t="str">
        <f>IF(ISNUMBER(SEARCH(CHAR(10),Bets35[[#This Row],[Bet]])),"P",IF(ISNUMBER(FIND("Under",Bets35[[#This Row],[Bet]])),"U",IF(ISNUMBER(SEARCH("Over",Bets35[[#This Row],[Bet]])),"O",IF(ISNUMBER(SEARCH("+",Bets35[[#This Row],[Bet]])),"D",IF(ISNUMBER(SEARCH("-",Bets35[[#This Row],[Bet]])),"F",IF(ISNUMBER(SEARCH("Moneyline",Bets35[[#This Row],[Bet]])),IF(Bets35[[#This Row],[Odds]]&lt;0,"MF","MD"),""))))))</f>
        <v>MD</v>
      </c>
      <c r="K297" s="24"/>
      <c r="N297" s="70"/>
      <c r="O297" s="27"/>
    </row>
    <row r="298" spans="1:15" x14ac:dyDescent="0.25">
      <c r="A298" s="13">
        <f t="shared" si="12"/>
        <v>27</v>
      </c>
      <c r="B298" s="17">
        <v>43675</v>
      </c>
      <c r="C298" s="17" t="s">
        <v>802</v>
      </c>
      <c r="D298" s="18" t="s">
        <v>3594</v>
      </c>
      <c r="E298" s="11" t="s">
        <v>1156</v>
      </c>
      <c r="F298" s="19">
        <f>IF(Bets35[[#This Row],[Odds]]&lt;0,Bets35[[#This Row],[Odds]]/-10,10)</f>
        <v>11</v>
      </c>
      <c r="G298" s="91">
        <v>-110</v>
      </c>
      <c r="H298" s="21" t="s">
        <v>262</v>
      </c>
      <c r="I298" s="45">
        <f>IF(Bets35[[#This Row],[Result]]="L",0-Bets35[[#This Row],[Risk]],IF(Bets35[[#This Row],[Result]]="Push",0,IF(Bets35[[#This Row],[Result]]="No Action",0,IF(Bets35[[#This Row],[Result]]="W",IF(Bets35[[#This Row],[Odds]]&gt;0,Bets35[[#This Row],[Odds]]/100*Bets35[[#This Row],[Risk]],(Bets35[[#This Row],[Risk]]/Bets35[[#This Row],[Odds]]*-100)),""))))</f>
        <v>10</v>
      </c>
      <c r="J298" s="39" t="str">
        <f>IF(ISNUMBER(SEARCH(CHAR(10),Bets35[[#This Row],[Bet]])),"P",IF(ISNUMBER(FIND("Under",Bets35[[#This Row],[Bet]])),"U",IF(ISNUMBER(SEARCH("Over",Bets35[[#This Row],[Bet]])),"O",IF(ISNUMBER(SEARCH("+",Bets35[[#This Row],[Bet]])),"D",IF(ISNUMBER(SEARCH("-",Bets35[[#This Row],[Bet]])),"F",IF(ISNUMBER(SEARCH("Moneyline",Bets35[[#This Row],[Bet]])),IF(Bets35[[#This Row],[Odds]]&lt;0,"MF","MD"),""))))))</f>
        <v>O</v>
      </c>
      <c r="K298" s="24"/>
      <c r="N298" s="70"/>
      <c r="O298" s="27"/>
    </row>
    <row r="299" spans="1:15" x14ac:dyDescent="0.25">
      <c r="A299" s="13">
        <f t="shared" si="12"/>
        <v>27</v>
      </c>
      <c r="B299" s="17">
        <v>43675</v>
      </c>
      <c r="C299" s="17" t="s">
        <v>802</v>
      </c>
      <c r="D299" s="18" t="s">
        <v>1443</v>
      </c>
      <c r="E299" s="11" t="s">
        <v>1552</v>
      </c>
      <c r="F299" s="19">
        <f>IF(Bets35[[#This Row],[Odds]]&lt;0,Bets35[[#This Row],[Odds]]/-10,10)</f>
        <v>11</v>
      </c>
      <c r="G299" s="91">
        <v>-110</v>
      </c>
      <c r="H299" s="21" t="s">
        <v>262</v>
      </c>
      <c r="I299" s="45">
        <f>IF(Bets35[[#This Row],[Result]]="L",0-Bets35[[#This Row],[Risk]],IF(Bets35[[#This Row],[Result]]="Push",0,IF(Bets35[[#This Row],[Result]]="No Action",0,IF(Bets35[[#This Row],[Result]]="W",IF(Bets35[[#This Row],[Odds]]&gt;0,Bets35[[#This Row],[Odds]]/100*Bets35[[#This Row],[Risk]],(Bets35[[#This Row],[Risk]]/Bets35[[#This Row],[Odds]]*-100)),""))))</f>
        <v>10</v>
      </c>
      <c r="J299" s="39" t="str">
        <f>IF(ISNUMBER(SEARCH(CHAR(10),Bets35[[#This Row],[Bet]])),"P",IF(ISNUMBER(FIND("Under",Bets35[[#This Row],[Bet]])),"U",IF(ISNUMBER(SEARCH("Over",Bets35[[#This Row],[Bet]])),"O",IF(ISNUMBER(SEARCH("+",Bets35[[#This Row],[Bet]])),"D",IF(ISNUMBER(SEARCH("-",Bets35[[#This Row],[Bet]])),"F",IF(ISNUMBER(SEARCH("Moneyline",Bets35[[#This Row],[Bet]])),IF(Bets35[[#This Row],[Odds]]&lt;0,"MF","MD"),""))))))</f>
        <v>U</v>
      </c>
      <c r="K299" s="24"/>
      <c r="N299" s="70"/>
      <c r="O299" s="27"/>
    </row>
    <row r="300" spans="1:15" x14ac:dyDescent="0.25">
      <c r="A300" s="13">
        <f t="shared" si="12"/>
        <v>27</v>
      </c>
      <c r="B300" s="17">
        <v>43675</v>
      </c>
      <c r="C300" s="17" t="s">
        <v>802</v>
      </c>
      <c r="D300" s="18" t="s">
        <v>3593</v>
      </c>
      <c r="E300" s="11" t="s">
        <v>3595</v>
      </c>
      <c r="F300" s="19">
        <f>IF(Bets35[[#This Row],[Odds]]&lt;0,Bets35[[#This Row],[Odds]]/-10,10)</f>
        <v>10</v>
      </c>
      <c r="G300" s="91">
        <v>100</v>
      </c>
      <c r="H300" s="21" t="s">
        <v>263</v>
      </c>
      <c r="I300" s="45">
        <f>IF(Bets35[[#This Row],[Result]]="L",0-Bets35[[#This Row],[Risk]],IF(Bets35[[#This Row],[Result]]="Push",0,IF(Bets35[[#This Row],[Result]]="No Action",0,IF(Bets35[[#This Row],[Result]]="W",IF(Bets35[[#This Row],[Odds]]&gt;0,Bets35[[#This Row],[Odds]]/100*Bets35[[#This Row],[Risk]],(Bets35[[#This Row],[Risk]]/Bets35[[#This Row],[Odds]]*-100)),""))))</f>
        <v>-10</v>
      </c>
      <c r="J300" s="39" t="str">
        <f>IF(ISNUMBER(SEARCH(CHAR(10),Bets35[[#This Row],[Bet]])),"P",IF(ISNUMBER(FIND("Under",Bets35[[#This Row],[Bet]])),"U",IF(ISNUMBER(SEARCH("Over",Bets35[[#This Row],[Bet]])),"O",IF(ISNUMBER(SEARCH("+",Bets35[[#This Row],[Bet]])),"D",IF(ISNUMBER(SEARCH("-",Bets35[[#This Row],[Bet]])),"F",IF(ISNUMBER(SEARCH("Moneyline",Bets35[[#This Row],[Bet]])),IF(Bets35[[#This Row],[Odds]]&lt;0,"MF","MD"),""))))))</f>
        <v>O</v>
      </c>
      <c r="K300" s="24"/>
      <c r="N300" s="70"/>
      <c r="O300" s="27"/>
    </row>
    <row r="301" spans="1:15" x14ac:dyDescent="0.25">
      <c r="A301" s="13">
        <f t="shared" si="12"/>
        <v>27</v>
      </c>
      <c r="B301" s="17">
        <v>43676</v>
      </c>
      <c r="C301" s="17" t="s">
        <v>802</v>
      </c>
      <c r="D301" s="18" t="s">
        <v>3605</v>
      </c>
      <c r="E301" s="11" t="s">
        <v>1152</v>
      </c>
      <c r="F301" s="19">
        <f>IF(Bets35[[#This Row],[Odds]]&lt;0,Bets35[[#This Row],[Odds]]/-10,10)</f>
        <v>23</v>
      </c>
      <c r="G301" s="91">
        <v>-230</v>
      </c>
      <c r="H301" s="21" t="s">
        <v>263</v>
      </c>
      <c r="I301" s="45">
        <f>IF(Bets35[[#This Row],[Result]]="L",0-Bets35[[#This Row],[Risk]],IF(Bets35[[#This Row],[Result]]="Push",0,IF(Bets35[[#This Row],[Result]]="No Action",0,IF(Bets35[[#This Row],[Result]]="W",IF(Bets35[[#This Row],[Odds]]&gt;0,Bets35[[#This Row],[Odds]]/100*Bets35[[#This Row],[Risk]],(Bets35[[#This Row],[Risk]]/Bets35[[#This Row],[Odds]]*-100)),""))))</f>
        <v>-23</v>
      </c>
      <c r="J301" s="39" t="str">
        <f>IF(ISNUMBER(SEARCH(CHAR(10),Bets35[[#This Row],[Bet]])),"P",IF(ISNUMBER(FIND("Under",Bets35[[#This Row],[Bet]])),"U",IF(ISNUMBER(SEARCH("Over",Bets35[[#This Row],[Bet]])),"O",IF(ISNUMBER(SEARCH("+",Bets35[[#This Row],[Bet]])),"D",IF(ISNUMBER(SEARCH("-",Bets35[[#This Row],[Bet]])),"F",IF(ISNUMBER(SEARCH("Moneyline",Bets35[[#This Row],[Bet]])),IF(Bets35[[#This Row],[Odds]]&lt;0,"MF","MD"),""))))))</f>
        <v>MF</v>
      </c>
      <c r="K301" s="24"/>
      <c r="N301" s="70"/>
      <c r="O301" s="27"/>
    </row>
    <row r="302" spans="1:15" x14ac:dyDescent="0.25">
      <c r="A302" s="13">
        <f t="shared" si="12"/>
        <v>27</v>
      </c>
      <c r="B302" s="17">
        <v>43676</v>
      </c>
      <c r="C302" s="17" t="s">
        <v>802</v>
      </c>
      <c r="D302" s="18" t="s">
        <v>3606</v>
      </c>
      <c r="E302" s="11" t="s">
        <v>1180</v>
      </c>
      <c r="F302" s="19">
        <f>IF(Bets35[[#This Row],[Odds]]&lt;0,Bets35[[#This Row],[Odds]]/-10,10)</f>
        <v>10</v>
      </c>
      <c r="G302" s="91" t="s">
        <v>820</v>
      </c>
      <c r="H302" s="21" t="s">
        <v>262</v>
      </c>
      <c r="I302" s="45">
        <f>IF(Bets35[[#This Row],[Result]]="L",0-Bets35[[#This Row],[Risk]],IF(Bets35[[#This Row],[Result]]="Push",0,IF(Bets35[[#This Row],[Result]]="No Action",0,IF(Bets35[[#This Row],[Result]]="W",IF(Bets35[[#This Row],[Odds]]&gt;0,Bets35[[#This Row],[Odds]]/100*Bets35[[#This Row],[Risk]],(Bets35[[#This Row],[Risk]]/Bets35[[#This Row],[Odds]]*-100)),""))))</f>
        <v>18.5</v>
      </c>
      <c r="J302" s="39" t="str">
        <f>IF(ISNUMBER(SEARCH(CHAR(10),Bets35[[#This Row],[Bet]])),"P",IF(ISNUMBER(FIND("Under",Bets35[[#This Row],[Bet]])),"U",IF(ISNUMBER(SEARCH("Over",Bets35[[#This Row],[Bet]])),"O",IF(ISNUMBER(SEARCH("+",Bets35[[#This Row],[Bet]])),"D",IF(ISNUMBER(SEARCH("-",Bets35[[#This Row],[Bet]])),"F",IF(ISNUMBER(SEARCH("Moneyline",Bets35[[#This Row],[Bet]])),IF(Bets35[[#This Row],[Odds]]&lt;0,"MF","MD"),""))))))</f>
        <v>MD</v>
      </c>
      <c r="K302" s="24"/>
      <c r="N302" s="70"/>
      <c r="O302" s="27"/>
    </row>
    <row r="303" spans="1:15" x14ac:dyDescent="0.25">
      <c r="A303" s="13">
        <f t="shared" si="12"/>
        <v>27</v>
      </c>
      <c r="B303" s="17">
        <v>43676</v>
      </c>
      <c r="C303" s="17" t="s">
        <v>802</v>
      </c>
      <c r="D303" s="18" t="s">
        <v>3607</v>
      </c>
      <c r="E303" s="11" t="s">
        <v>819</v>
      </c>
      <c r="F303" s="19">
        <f>IF(Bets35[[#This Row],[Odds]]&lt;0,Bets35[[#This Row],[Odds]]/-10,10)</f>
        <v>10</v>
      </c>
      <c r="G303" s="91" t="s">
        <v>3608</v>
      </c>
      <c r="H303" s="21" t="s">
        <v>262</v>
      </c>
      <c r="I303" s="45">
        <f>IF(Bets35[[#This Row],[Result]]="L",0-Bets35[[#This Row],[Risk]],IF(Bets35[[#This Row],[Result]]="Push",0,IF(Bets35[[#This Row],[Result]]="No Action",0,IF(Bets35[[#This Row],[Result]]="W",IF(Bets35[[#This Row],[Odds]]&gt;0,Bets35[[#This Row],[Odds]]/100*Bets35[[#This Row],[Risk]],(Bets35[[#This Row],[Risk]]/Bets35[[#This Row],[Odds]]*-100)),""))))</f>
        <v>12.1</v>
      </c>
      <c r="J303" s="39" t="str">
        <f>IF(ISNUMBER(SEARCH(CHAR(10),Bets35[[#This Row],[Bet]])),"P",IF(ISNUMBER(FIND("Under",Bets35[[#This Row],[Bet]])),"U",IF(ISNUMBER(SEARCH("Over",Bets35[[#This Row],[Bet]])),"O",IF(ISNUMBER(SEARCH("+",Bets35[[#This Row],[Bet]])),"D",IF(ISNUMBER(SEARCH("-",Bets35[[#This Row],[Bet]])),"F",IF(ISNUMBER(SEARCH("Moneyline",Bets35[[#This Row],[Bet]])),IF(Bets35[[#This Row],[Odds]]&lt;0,"MF","MD"),""))))))</f>
        <v>MD</v>
      </c>
      <c r="K303" s="24"/>
      <c r="N303" s="70"/>
      <c r="O303" s="27"/>
    </row>
    <row r="304" spans="1:15" x14ac:dyDescent="0.25">
      <c r="A304" s="13">
        <f t="shared" si="12"/>
        <v>27</v>
      </c>
      <c r="B304" s="17">
        <v>43676</v>
      </c>
      <c r="C304" s="17" t="s">
        <v>802</v>
      </c>
      <c r="D304" s="18" t="s">
        <v>1336</v>
      </c>
      <c r="E304" s="11" t="s">
        <v>876</v>
      </c>
      <c r="F304" s="19">
        <f>IF(Bets35[[#This Row],[Odds]]&lt;0,Bets35[[#This Row],[Odds]]/-10,10)</f>
        <v>10</v>
      </c>
      <c r="G304" s="91" t="s">
        <v>1342</v>
      </c>
      <c r="H304" s="21" t="s">
        <v>262</v>
      </c>
      <c r="I304" s="45">
        <f>IF(Bets35[[#This Row],[Result]]="L",0-Bets35[[#This Row],[Risk]],IF(Bets35[[#This Row],[Result]]="Push",0,IF(Bets35[[#This Row],[Result]]="No Action",0,IF(Bets35[[#This Row],[Result]]="W",IF(Bets35[[#This Row],[Odds]]&gt;0,Bets35[[#This Row],[Odds]]/100*Bets35[[#This Row],[Risk]],(Bets35[[#This Row],[Risk]]/Bets35[[#This Row],[Odds]]*-100)),""))))</f>
        <v>11.799999999999999</v>
      </c>
      <c r="J304" s="39" t="str">
        <f>IF(ISNUMBER(SEARCH(CHAR(10),Bets35[[#This Row],[Bet]])),"P",IF(ISNUMBER(FIND("Under",Bets35[[#This Row],[Bet]])),"U",IF(ISNUMBER(SEARCH("Over",Bets35[[#This Row],[Bet]])),"O",IF(ISNUMBER(SEARCH("+",Bets35[[#This Row],[Bet]])),"D",IF(ISNUMBER(SEARCH("-",Bets35[[#This Row],[Bet]])),"F",IF(ISNUMBER(SEARCH("Moneyline",Bets35[[#This Row],[Bet]])),IF(Bets35[[#This Row],[Odds]]&lt;0,"MF","MD"),""))))))</f>
        <v>MD</v>
      </c>
      <c r="K304" s="24"/>
      <c r="N304" s="70"/>
      <c r="O304" s="27"/>
    </row>
    <row r="305" spans="1:15" x14ac:dyDescent="0.25">
      <c r="A305" s="13">
        <f t="shared" si="12"/>
        <v>27</v>
      </c>
      <c r="B305" s="17">
        <v>43676</v>
      </c>
      <c r="C305" s="17" t="s">
        <v>802</v>
      </c>
      <c r="D305" s="18" t="s">
        <v>3594</v>
      </c>
      <c r="E305" s="11" t="s">
        <v>873</v>
      </c>
      <c r="F305" s="19">
        <f>IF(Bets35[[#This Row],[Odds]]&lt;0,Bets35[[#This Row],[Odds]]/-10,10)</f>
        <v>10</v>
      </c>
      <c r="G305" s="91" t="s">
        <v>3609</v>
      </c>
      <c r="H305" s="21" t="s">
        <v>262</v>
      </c>
      <c r="I305" s="45">
        <f>IF(Bets35[[#This Row],[Result]]="L",0-Bets35[[#This Row],[Risk]],IF(Bets35[[#This Row],[Result]]="Push",0,IF(Bets35[[#This Row],[Result]]="No Action",0,IF(Bets35[[#This Row],[Result]]="W",IF(Bets35[[#This Row],[Odds]]&gt;0,Bets35[[#This Row],[Odds]]/100*Bets35[[#This Row],[Risk]],(Bets35[[#This Row],[Risk]]/Bets35[[#This Row],[Odds]]*-100)),""))))</f>
        <v>10.199999999999999</v>
      </c>
      <c r="J305" s="39" t="str">
        <f>IF(ISNUMBER(SEARCH(CHAR(10),Bets35[[#This Row],[Bet]])),"P",IF(ISNUMBER(FIND("Under",Bets35[[#This Row],[Bet]])),"U",IF(ISNUMBER(SEARCH("Over",Bets35[[#This Row],[Bet]])),"O",IF(ISNUMBER(SEARCH("+",Bets35[[#This Row],[Bet]])),"D",IF(ISNUMBER(SEARCH("-",Bets35[[#This Row],[Bet]])),"F",IF(ISNUMBER(SEARCH("Moneyline",Bets35[[#This Row],[Bet]])),IF(Bets35[[#This Row],[Odds]]&lt;0,"MF","MD"),""))))))</f>
        <v>MD</v>
      </c>
      <c r="K305" s="24"/>
      <c r="N305" s="70"/>
      <c r="O305" s="27"/>
    </row>
    <row r="306" spans="1:15" x14ac:dyDescent="0.25">
      <c r="A306" s="13">
        <f t="shared" si="12"/>
        <v>27</v>
      </c>
      <c r="B306" s="17">
        <v>43676</v>
      </c>
      <c r="C306" s="17" t="s">
        <v>802</v>
      </c>
      <c r="D306" s="18" t="s">
        <v>1443</v>
      </c>
      <c r="E306" s="11" t="s">
        <v>827</v>
      </c>
      <c r="F306" s="19">
        <f>IF(Bets35[[#This Row],[Odds]]&lt;0,Bets35[[#This Row],[Odds]]/-10,10)</f>
        <v>15</v>
      </c>
      <c r="G306" s="91">
        <v>-150</v>
      </c>
      <c r="H306" s="21" t="s">
        <v>262</v>
      </c>
      <c r="I306" s="45">
        <f>IF(Bets35[[#This Row],[Result]]="L",0-Bets35[[#This Row],[Risk]],IF(Bets35[[#This Row],[Result]]="Push",0,IF(Bets35[[#This Row],[Result]]="No Action",0,IF(Bets35[[#This Row],[Result]]="W",IF(Bets35[[#This Row],[Odds]]&gt;0,Bets35[[#This Row],[Odds]]/100*Bets35[[#This Row],[Risk]],(Bets35[[#This Row],[Risk]]/Bets35[[#This Row],[Odds]]*-100)),""))))</f>
        <v>10</v>
      </c>
      <c r="J306" s="39" t="str">
        <f>IF(ISNUMBER(SEARCH(CHAR(10),Bets35[[#This Row],[Bet]])),"P",IF(ISNUMBER(FIND("Under",Bets35[[#This Row],[Bet]])),"U",IF(ISNUMBER(SEARCH("Over",Bets35[[#This Row],[Bet]])),"O",IF(ISNUMBER(SEARCH("+",Bets35[[#This Row],[Bet]])),"D",IF(ISNUMBER(SEARCH("-",Bets35[[#This Row],[Bet]])),"F",IF(ISNUMBER(SEARCH("Moneyline",Bets35[[#This Row],[Bet]])),IF(Bets35[[#This Row],[Odds]]&lt;0,"MF","MD"),""))))))</f>
        <v>MF</v>
      </c>
      <c r="K306" s="24"/>
      <c r="N306" s="70"/>
      <c r="O306" s="27"/>
    </row>
    <row r="307" spans="1:15" x14ac:dyDescent="0.25">
      <c r="A307" s="13">
        <f t="shared" si="12"/>
        <v>27</v>
      </c>
      <c r="B307" s="17">
        <v>43676</v>
      </c>
      <c r="C307" s="17" t="s">
        <v>802</v>
      </c>
      <c r="D307" s="18" t="s">
        <v>3593</v>
      </c>
      <c r="E307" s="11" t="s">
        <v>3507</v>
      </c>
      <c r="F307" s="19">
        <f>IF(Bets35[[#This Row],[Odds]]&lt;0,Bets35[[#This Row],[Odds]]/-10,10)</f>
        <v>26</v>
      </c>
      <c r="G307" s="91">
        <v>-260</v>
      </c>
      <c r="H307" s="21" t="s">
        <v>262</v>
      </c>
      <c r="I307" s="45">
        <f>IF(Bets35[[#This Row],[Result]]="L",0-Bets35[[#This Row],[Risk]],IF(Bets35[[#This Row],[Result]]="Push",0,IF(Bets35[[#This Row],[Result]]="No Action",0,IF(Bets35[[#This Row],[Result]]="W",IF(Bets35[[#This Row],[Odds]]&gt;0,Bets35[[#This Row],[Odds]]/100*Bets35[[#This Row],[Risk]],(Bets35[[#This Row],[Risk]]/Bets35[[#This Row],[Odds]]*-100)),""))))</f>
        <v>10</v>
      </c>
      <c r="J307" s="39" t="str">
        <f>IF(ISNUMBER(SEARCH(CHAR(10),Bets35[[#This Row],[Bet]])),"P",IF(ISNUMBER(FIND("Under",Bets35[[#This Row],[Bet]])),"U",IF(ISNUMBER(SEARCH("Over",Bets35[[#This Row],[Bet]])),"O",IF(ISNUMBER(SEARCH("+",Bets35[[#This Row],[Bet]])),"D",IF(ISNUMBER(SEARCH("-",Bets35[[#This Row],[Bet]])),"F",IF(ISNUMBER(SEARCH("Moneyline",Bets35[[#This Row],[Bet]])),IF(Bets35[[#This Row],[Odds]]&lt;0,"MF","MD"),""))))))</f>
        <v>MF</v>
      </c>
      <c r="K307" s="24"/>
      <c r="N307" s="70"/>
      <c r="O307" s="27"/>
    </row>
    <row r="308" spans="1:15" x14ac:dyDescent="0.25">
      <c r="A308" s="13">
        <f t="shared" si="12"/>
        <v>27</v>
      </c>
      <c r="B308" s="17">
        <v>43676</v>
      </c>
      <c r="C308" s="17" t="s">
        <v>802</v>
      </c>
      <c r="D308" s="18" t="s">
        <v>3605</v>
      </c>
      <c r="E308" s="11" t="s">
        <v>905</v>
      </c>
      <c r="F308" s="19">
        <f>IF(Bets35[[#This Row],[Odds]]&lt;0,Bets35[[#This Row],[Odds]]/-10,10)</f>
        <v>11</v>
      </c>
      <c r="G308" s="91">
        <v>-110</v>
      </c>
      <c r="H308" s="21" t="s">
        <v>262</v>
      </c>
      <c r="I308" s="45">
        <f>IF(Bets35[[#This Row],[Result]]="L",0-Bets35[[#This Row],[Risk]],IF(Bets35[[#This Row],[Result]]="Push",0,IF(Bets35[[#This Row],[Result]]="No Action",0,IF(Bets35[[#This Row],[Result]]="W",IF(Bets35[[#This Row],[Odds]]&gt;0,Bets35[[#This Row],[Odds]]/100*Bets35[[#This Row],[Risk]],(Bets35[[#This Row],[Risk]]/Bets35[[#This Row],[Odds]]*-100)),""))))</f>
        <v>10</v>
      </c>
      <c r="J308" s="39" t="str">
        <f>IF(ISNUMBER(SEARCH(CHAR(10),Bets35[[#This Row],[Bet]])),"P",IF(ISNUMBER(FIND("Under",Bets35[[#This Row],[Bet]])),"U",IF(ISNUMBER(SEARCH("Over",Bets35[[#This Row],[Bet]])),"O",IF(ISNUMBER(SEARCH("+",Bets35[[#This Row],[Bet]])),"D",IF(ISNUMBER(SEARCH("-",Bets35[[#This Row],[Bet]])),"F",IF(ISNUMBER(SEARCH("Moneyline",Bets35[[#This Row],[Bet]])),IF(Bets35[[#This Row],[Odds]]&lt;0,"MF","MD"),""))))))</f>
        <v>O</v>
      </c>
      <c r="K308" s="24"/>
      <c r="N308" s="70"/>
      <c r="O308" s="27"/>
    </row>
    <row r="309" spans="1:15" x14ac:dyDescent="0.25">
      <c r="A309" s="13">
        <f t="shared" si="12"/>
        <v>27</v>
      </c>
      <c r="B309" s="17">
        <v>43676</v>
      </c>
      <c r="C309" s="17" t="s">
        <v>802</v>
      </c>
      <c r="D309" s="18" t="s">
        <v>3606</v>
      </c>
      <c r="E309" s="11" t="s">
        <v>1343</v>
      </c>
      <c r="F309" s="19">
        <f>IF(Bets35[[#This Row],[Odds]]&lt;0,Bets35[[#This Row],[Odds]]/-10,10)</f>
        <v>11.5</v>
      </c>
      <c r="G309" s="91">
        <v>-115</v>
      </c>
      <c r="H309" s="21" t="s">
        <v>262</v>
      </c>
      <c r="I309" s="45">
        <f>IF(Bets35[[#This Row],[Result]]="L",0-Bets35[[#This Row],[Risk]],IF(Bets35[[#This Row],[Result]]="Push",0,IF(Bets35[[#This Row],[Result]]="No Action",0,IF(Bets35[[#This Row],[Result]]="W",IF(Bets35[[#This Row],[Odds]]&gt;0,Bets35[[#This Row],[Odds]]/100*Bets35[[#This Row],[Risk]],(Bets35[[#This Row],[Risk]]/Bets35[[#This Row],[Odds]]*-100)),""))))</f>
        <v>10</v>
      </c>
      <c r="J309" s="39" t="str">
        <f>IF(ISNUMBER(SEARCH(CHAR(10),Bets35[[#This Row],[Bet]])),"P",IF(ISNUMBER(FIND("Under",Bets35[[#This Row],[Bet]])),"U",IF(ISNUMBER(SEARCH("Over",Bets35[[#This Row],[Bet]])),"O",IF(ISNUMBER(SEARCH("+",Bets35[[#This Row],[Bet]])),"D",IF(ISNUMBER(SEARCH("-",Bets35[[#This Row],[Bet]])),"F",IF(ISNUMBER(SEARCH("Moneyline",Bets35[[#This Row],[Bet]])),IF(Bets35[[#This Row],[Odds]]&lt;0,"MF","MD"),""))))))</f>
        <v>U</v>
      </c>
      <c r="K309" s="24"/>
      <c r="N309" s="70"/>
      <c r="O309" s="27"/>
    </row>
    <row r="310" spans="1:15" x14ac:dyDescent="0.25">
      <c r="A310" s="13">
        <f t="shared" si="12"/>
        <v>27</v>
      </c>
      <c r="B310" s="17">
        <v>43676</v>
      </c>
      <c r="C310" s="17" t="s">
        <v>802</v>
      </c>
      <c r="D310" s="18" t="s">
        <v>1443</v>
      </c>
      <c r="E310" s="11" t="s">
        <v>3610</v>
      </c>
      <c r="F310" s="19">
        <f>IF(Bets35[[#This Row],[Odds]]&lt;0,Bets35[[#This Row],[Odds]]/-10,10)</f>
        <v>11.5</v>
      </c>
      <c r="G310" s="91">
        <v>-115</v>
      </c>
      <c r="H310" s="21" t="s">
        <v>262</v>
      </c>
      <c r="I310" s="45">
        <f>IF(Bets35[[#This Row],[Result]]="L",0-Bets35[[#This Row],[Risk]],IF(Bets35[[#This Row],[Result]]="Push",0,IF(Bets35[[#This Row],[Result]]="No Action",0,IF(Bets35[[#This Row],[Result]]="W",IF(Bets35[[#This Row],[Odds]]&gt;0,Bets35[[#This Row],[Odds]]/100*Bets35[[#This Row],[Risk]],(Bets35[[#This Row],[Risk]]/Bets35[[#This Row],[Odds]]*-100)),""))))</f>
        <v>10</v>
      </c>
      <c r="J310" s="39" t="str">
        <f>IF(ISNUMBER(SEARCH(CHAR(10),Bets35[[#This Row],[Bet]])),"P",IF(ISNUMBER(FIND("Under",Bets35[[#This Row],[Bet]])),"U",IF(ISNUMBER(SEARCH("Over",Bets35[[#This Row],[Bet]])),"O",IF(ISNUMBER(SEARCH("+",Bets35[[#This Row],[Bet]])),"D",IF(ISNUMBER(SEARCH("-",Bets35[[#This Row],[Bet]])),"F",IF(ISNUMBER(SEARCH("Moneyline",Bets35[[#This Row],[Bet]])),IF(Bets35[[#This Row],[Odds]]&lt;0,"MF","MD"),""))))))</f>
        <v>U</v>
      </c>
      <c r="K310" s="24"/>
      <c r="N310" s="70"/>
      <c r="O310" s="27"/>
    </row>
    <row r="311" spans="1:15" x14ac:dyDescent="0.25">
      <c r="A311" s="13">
        <f t="shared" si="12"/>
        <v>27</v>
      </c>
      <c r="B311" s="17">
        <v>43676</v>
      </c>
      <c r="C311" s="17" t="s">
        <v>802</v>
      </c>
      <c r="D311" s="18" t="s">
        <v>3593</v>
      </c>
      <c r="E311" s="11" t="s">
        <v>1156</v>
      </c>
      <c r="F311" s="19">
        <f>IF(Bets35[[#This Row],[Odds]]&lt;0,Bets35[[#This Row],[Odds]]/-10,10)</f>
        <v>12</v>
      </c>
      <c r="G311" s="91">
        <v>-120</v>
      </c>
      <c r="H311" s="21" t="s">
        <v>263</v>
      </c>
      <c r="I311" s="45">
        <f>IF(Bets35[[#This Row],[Result]]="L",0-Bets35[[#This Row],[Risk]],IF(Bets35[[#This Row],[Result]]="Push",0,IF(Bets35[[#This Row],[Result]]="No Action",0,IF(Bets35[[#This Row],[Result]]="W",IF(Bets35[[#This Row],[Odds]]&gt;0,Bets35[[#This Row],[Odds]]/100*Bets35[[#This Row],[Risk]],(Bets35[[#This Row],[Risk]]/Bets35[[#This Row],[Odds]]*-100)),""))))</f>
        <v>-12</v>
      </c>
      <c r="J311" s="39" t="str">
        <f>IF(ISNUMBER(SEARCH(CHAR(10),Bets35[[#This Row],[Bet]])),"P",IF(ISNUMBER(FIND("Under",Bets35[[#This Row],[Bet]])),"U",IF(ISNUMBER(SEARCH("Over",Bets35[[#This Row],[Bet]])),"O",IF(ISNUMBER(SEARCH("+",Bets35[[#This Row],[Bet]])),"D",IF(ISNUMBER(SEARCH("-",Bets35[[#This Row],[Bet]])),"F",IF(ISNUMBER(SEARCH("Moneyline",Bets35[[#This Row],[Bet]])),IF(Bets35[[#This Row],[Odds]]&lt;0,"MF","MD"),""))))))</f>
        <v>O</v>
      </c>
      <c r="K311" s="24"/>
      <c r="N311" s="70"/>
      <c r="O311" s="27"/>
    </row>
    <row r="312" spans="1:15" x14ac:dyDescent="0.25">
      <c r="A312" s="13">
        <f t="shared" si="12"/>
        <v>27</v>
      </c>
      <c r="B312" s="17">
        <v>43677</v>
      </c>
      <c r="C312" s="17" t="s">
        <v>802</v>
      </c>
      <c r="D312" s="18" t="s">
        <v>3592</v>
      </c>
      <c r="E312" s="11" t="s">
        <v>830</v>
      </c>
      <c r="F312" s="19">
        <f>IF(Bets35[[#This Row],[Odds]]&lt;0,Bets35[[#This Row],[Odds]]/-10,10)</f>
        <v>10</v>
      </c>
      <c r="G312" s="91" t="s">
        <v>1342</v>
      </c>
      <c r="H312" s="21" t="s">
        <v>263</v>
      </c>
      <c r="I312" s="45">
        <f>IF(Bets35[[#This Row],[Result]]="L",0-Bets35[[#This Row],[Risk]],IF(Bets35[[#This Row],[Result]]="Push",0,IF(Bets35[[#This Row],[Result]]="No Action",0,IF(Bets35[[#This Row],[Result]]="W",IF(Bets35[[#This Row],[Odds]]&gt;0,Bets35[[#This Row],[Odds]]/100*Bets35[[#This Row],[Risk]],(Bets35[[#This Row],[Risk]]/Bets35[[#This Row],[Odds]]*-100)),""))))</f>
        <v>-10</v>
      </c>
      <c r="J312" s="39" t="str">
        <f>IF(ISNUMBER(SEARCH(CHAR(10),Bets35[[#This Row],[Bet]])),"P",IF(ISNUMBER(FIND("Under",Bets35[[#This Row],[Bet]])),"U",IF(ISNUMBER(SEARCH("Over",Bets35[[#This Row],[Bet]])),"O",IF(ISNUMBER(SEARCH("+",Bets35[[#This Row],[Bet]])),"D",IF(ISNUMBER(SEARCH("-",Bets35[[#This Row],[Bet]])),"F",IF(ISNUMBER(SEARCH("Moneyline",Bets35[[#This Row],[Bet]])),IF(Bets35[[#This Row],[Odds]]&lt;0,"MF","MD"),""))))))</f>
        <v>MD</v>
      </c>
      <c r="K312" s="24"/>
      <c r="N312" s="70"/>
      <c r="O312" s="27"/>
    </row>
    <row r="313" spans="1:15" x14ac:dyDescent="0.25">
      <c r="A313" s="13">
        <f t="shared" si="12"/>
        <v>27</v>
      </c>
      <c r="B313" s="17">
        <v>43677</v>
      </c>
      <c r="C313" s="17" t="s">
        <v>802</v>
      </c>
      <c r="D313" s="18" t="s">
        <v>1336</v>
      </c>
      <c r="E313" s="11" t="s">
        <v>876</v>
      </c>
      <c r="F313" s="19">
        <f>IF(Bets35[[#This Row],[Odds]]&lt;0,Bets35[[#This Row],[Odds]]/-10,10)</f>
        <v>10</v>
      </c>
      <c r="G313" s="91" t="s">
        <v>3627</v>
      </c>
      <c r="H313" s="21" t="s">
        <v>263</v>
      </c>
      <c r="I313" s="45">
        <f>IF(Bets35[[#This Row],[Result]]="L",0-Bets35[[#This Row],[Risk]],IF(Bets35[[#This Row],[Result]]="Push",0,IF(Bets35[[#This Row],[Result]]="No Action",0,IF(Bets35[[#This Row],[Result]]="W",IF(Bets35[[#This Row],[Odds]]&gt;0,Bets35[[#This Row],[Odds]]/100*Bets35[[#This Row],[Risk]],(Bets35[[#This Row],[Risk]]/Bets35[[#This Row],[Odds]]*-100)),""))))</f>
        <v>-10</v>
      </c>
      <c r="J313" s="39" t="str">
        <f>IF(ISNUMBER(SEARCH(CHAR(10),Bets35[[#This Row],[Bet]])),"P",IF(ISNUMBER(FIND("Under",Bets35[[#This Row],[Bet]])),"U",IF(ISNUMBER(SEARCH("Over",Bets35[[#This Row],[Bet]])),"O",IF(ISNUMBER(SEARCH("+",Bets35[[#This Row],[Bet]])),"D",IF(ISNUMBER(SEARCH("-",Bets35[[#This Row],[Bet]])),"F",IF(ISNUMBER(SEARCH("Moneyline",Bets35[[#This Row],[Bet]])),IF(Bets35[[#This Row],[Odds]]&lt;0,"MF","MD"),""))))))</f>
        <v>MD</v>
      </c>
      <c r="K313" s="24"/>
      <c r="N313" s="70"/>
      <c r="O313" s="27"/>
    </row>
    <row r="314" spans="1:15" x14ac:dyDescent="0.25">
      <c r="A314" s="13">
        <f t="shared" si="12"/>
        <v>27</v>
      </c>
      <c r="B314" s="17">
        <v>43677</v>
      </c>
      <c r="C314" s="17" t="s">
        <v>802</v>
      </c>
      <c r="D314" s="18" t="s">
        <v>3606</v>
      </c>
      <c r="E314" s="11" t="s">
        <v>1180</v>
      </c>
      <c r="F314" s="19">
        <f>IF(Bets35[[#This Row],[Odds]]&lt;0,Bets35[[#This Row],[Odds]]/-10,10)</f>
        <v>10</v>
      </c>
      <c r="G314" s="91" t="s">
        <v>1342</v>
      </c>
      <c r="H314" s="21" t="s">
        <v>263</v>
      </c>
      <c r="I314" s="45">
        <f>IF(Bets35[[#This Row],[Result]]="L",0-Bets35[[#This Row],[Risk]],IF(Bets35[[#This Row],[Result]]="Push",0,IF(Bets35[[#This Row],[Result]]="No Action",0,IF(Bets35[[#This Row],[Result]]="W",IF(Bets35[[#This Row],[Odds]]&gt;0,Bets35[[#This Row],[Odds]]/100*Bets35[[#This Row],[Risk]],(Bets35[[#This Row],[Risk]]/Bets35[[#This Row],[Odds]]*-100)),""))))</f>
        <v>-10</v>
      </c>
      <c r="J314" s="39" t="str">
        <f>IF(ISNUMBER(SEARCH(CHAR(10),Bets35[[#This Row],[Bet]])),"P",IF(ISNUMBER(FIND("Under",Bets35[[#This Row],[Bet]])),"U",IF(ISNUMBER(SEARCH("Over",Bets35[[#This Row],[Bet]])),"O",IF(ISNUMBER(SEARCH("+",Bets35[[#This Row],[Bet]])),"D",IF(ISNUMBER(SEARCH("-",Bets35[[#This Row],[Bet]])),"F",IF(ISNUMBER(SEARCH("Moneyline",Bets35[[#This Row],[Bet]])),IF(Bets35[[#This Row],[Odds]]&lt;0,"MF","MD"),""))))))</f>
        <v>MD</v>
      </c>
      <c r="K314" s="24"/>
      <c r="N314" s="70"/>
      <c r="O314" s="27"/>
    </row>
    <row r="315" spans="1:15" x14ac:dyDescent="0.25">
      <c r="A315" s="13">
        <f t="shared" si="12"/>
        <v>27</v>
      </c>
      <c r="B315" s="17">
        <v>43677</v>
      </c>
      <c r="C315" s="17" t="s">
        <v>802</v>
      </c>
      <c r="D315" s="18" t="s">
        <v>3594</v>
      </c>
      <c r="E315" s="11" t="s">
        <v>873</v>
      </c>
      <c r="F315" s="19">
        <f>IF(Bets35[[#This Row],[Odds]]&lt;0,Bets35[[#This Row],[Odds]]/-10,10)</f>
        <v>10</v>
      </c>
      <c r="G315" s="91" t="s">
        <v>3628</v>
      </c>
      <c r="H315" s="21" t="s">
        <v>262</v>
      </c>
      <c r="I315" s="45">
        <f>IF(Bets35[[#This Row],[Result]]="L",0-Bets35[[#This Row],[Risk]],IF(Bets35[[#This Row],[Result]]="Push",0,IF(Bets35[[#This Row],[Result]]="No Action",0,IF(Bets35[[#This Row],[Result]]="W",IF(Bets35[[#This Row],[Odds]]&gt;0,Bets35[[#This Row],[Odds]]/100*Bets35[[#This Row],[Risk]],(Bets35[[#This Row],[Risk]]/Bets35[[#This Row],[Odds]]*-100)),""))))</f>
        <v>11.399999999999999</v>
      </c>
      <c r="J315" s="39" t="str">
        <f>IF(ISNUMBER(SEARCH(CHAR(10),Bets35[[#This Row],[Bet]])),"P",IF(ISNUMBER(FIND("Under",Bets35[[#This Row],[Bet]])),"U",IF(ISNUMBER(SEARCH("Over",Bets35[[#This Row],[Bet]])),"O",IF(ISNUMBER(SEARCH("+",Bets35[[#This Row],[Bet]])),"D",IF(ISNUMBER(SEARCH("-",Bets35[[#This Row],[Bet]])),"F",IF(ISNUMBER(SEARCH("Moneyline",Bets35[[#This Row],[Bet]])),IF(Bets35[[#This Row],[Odds]]&lt;0,"MF","MD"),""))))))</f>
        <v>MD</v>
      </c>
      <c r="K315" s="24"/>
      <c r="N315" s="70"/>
      <c r="O315" s="27"/>
    </row>
    <row r="316" spans="1:15" x14ac:dyDescent="0.25">
      <c r="A316" s="13">
        <f t="shared" si="12"/>
        <v>27</v>
      </c>
      <c r="B316" s="17">
        <v>43677</v>
      </c>
      <c r="C316" s="17" t="s">
        <v>802</v>
      </c>
      <c r="D316" s="18" t="s">
        <v>1443</v>
      </c>
      <c r="E316" s="11" t="s">
        <v>827</v>
      </c>
      <c r="F316" s="19">
        <f>IF(Bets35[[#This Row],[Odds]]&lt;0,Bets35[[#This Row],[Odds]]/-10,10)</f>
        <v>13.4</v>
      </c>
      <c r="G316" s="91">
        <v>-134</v>
      </c>
      <c r="H316" s="21" t="s">
        <v>262</v>
      </c>
      <c r="I316" s="45">
        <f>IF(Bets35[[#This Row],[Result]]="L",0-Bets35[[#This Row],[Risk]],IF(Bets35[[#This Row],[Result]]="Push",0,IF(Bets35[[#This Row],[Result]]="No Action",0,IF(Bets35[[#This Row],[Result]]="W",IF(Bets35[[#This Row],[Odds]]&gt;0,Bets35[[#This Row],[Odds]]/100*Bets35[[#This Row],[Risk]],(Bets35[[#This Row],[Risk]]/Bets35[[#This Row],[Odds]]*-100)),""))))</f>
        <v>10</v>
      </c>
      <c r="J316" s="39" t="str">
        <f>IF(ISNUMBER(SEARCH(CHAR(10),Bets35[[#This Row],[Bet]])),"P",IF(ISNUMBER(FIND("Under",Bets35[[#This Row],[Bet]])),"U",IF(ISNUMBER(SEARCH("Over",Bets35[[#This Row],[Bet]])),"O",IF(ISNUMBER(SEARCH("+",Bets35[[#This Row],[Bet]])),"D",IF(ISNUMBER(SEARCH("-",Bets35[[#This Row],[Bet]])),"F",IF(ISNUMBER(SEARCH("Moneyline",Bets35[[#This Row],[Bet]])),IF(Bets35[[#This Row],[Odds]]&lt;0,"MF","MD"),""))))))</f>
        <v>MF</v>
      </c>
      <c r="K316" s="24"/>
      <c r="N316" s="70"/>
      <c r="O316" s="27"/>
    </row>
    <row r="317" spans="1:15" x14ac:dyDescent="0.25">
      <c r="A317" s="13">
        <f t="shared" si="12"/>
        <v>27</v>
      </c>
      <c r="B317" s="17">
        <v>43677</v>
      </c>
      <c r="C317" s="17" t="s">
        <v>802</v>
      </c>
      <c r="D317" s="18" t="s">
        <v>3607</v>
      </c>
      <c r="E317" s="11" t="s">
        <v>819</v>
      </c>
      <c r="F317" s="19">
        <f>IF(Bets35[[#This Row],[Odds]]&lt;0,Bets35[[#This Row],[Odds]]/-10,10)</f>
        <v>10</v>
      </c>
      <c r="G317" s="91" t="s">
        <v>3629</v>
      </c>
      <c r="H317" s="21" t="s">
        <v>262</v>
      </c>
      <c r="I317" s="45">
        <f>IF(Bets35[[#This Row],[Result]]="L",0-Bets35[[#This Row],[Risk]],IF(Bets35[[#This Row],[Result]]="Push",0,IF(Bets35[[#This Row],[Result]]="No Action",0,IF(Bets35[[#This Row],[Result]]="W",IF(Bets35[[#This Row],[Odds]]&gt;0,Bets35[[#This Row],[Odds]]/100*Bets35[[#This Row],[Risk]],(Bets35[[#This Row],[Risk]]/Bets35[[#This Row],[Odds]]*-100)),""))))</f>
        <v>12.8</v>
      </c>
      <c r="J317" s="39" t="str">
        <f>IF(ISNUMBER(SEARCH(CHAR(10),Bets35[[#This Row],[Bet]])),"P",IF(ISNUMBER(FIND("Under",Bets35[[#This Row],[Bet]])),"U",IF(ISNUMBER(SEARCH("Over",Bets35[[#This Row],[Bet]])),"O",IF(ISNUMBER(SEARCH("+",Bets35[[#This Row],[Bet]])),"D",IF(ISNUMBER(SEARCH("-",Bets35[[#This Row],[Bet]])),"F",IF(ISNUMBER(SEARCH("Moneyline",Bets35[[#This Row],[Bet]])),IF(Bets35[[#This Row],[Odds]]&lt;0,"MF","MD"),""))))))</f>
        <v>MD</v>
      </c>
      <c r="K317" s="24"/>
      <c r="N317" s="70"/>
      <c r="O317" s="27"/>
    </row>
    <row r="318" spans="1:15" x14ac:dyDescent="0.25">
      <c r="A318" s="13">
        <f t="shared" si="12"/>
        <v>27</v>
      </c>
      <c r="B318" s="17">
        <v>43677</v>
      </c>
      <c r="C318" s="17" t="s">
        <v>802</v>
      </c>
      <c r="D318" s="18" t="s">
        <v>3630</v>
      </c>
      <c r="E318" s="11" t="s">
        <v>869</v>
      </c>
      <c r="F318" s="19">
        <f>IF(Bets35[[#This Row],[Odds]]&lt;0,Bets35[[#This Row],[Odds]]/-10,10)</f>
        <v>10</v>
      </c>
      <c r="G318" s="91" t="s">
        <v>3629</v>
      </c>
      <c r="H318" s="21" t="s">
        <v>262</v>
      </c>
      <c r="I318" s="45">
        <f>IF(Bets35[[#This Row],[Result]]="L",0-Bets35[[#This Row],[Risk]],IF(Bets35[[#This Row],[Result]]="Push",0,IF(Bets35[[#This Row],[Result]]="No Action",0,IF(Bets35[[#This Row],[Result]]="W",IF(Bets35[[#This Row],[Odds]]&gt;0,Bets35[[#This Row],[Odds]]/100*Bets35[[#This Row],[Risk]],(Bets35[[#This Row],[Risk]]/Bets35[[#This Row],[Odds]]*-100)),""))))</f>
        <v>12.8</v>
      </c>
      <c r="J318" s="39" t="str">
        <f>IF(ISNUMBER(SEARCH(CHAR(10),Bets35[[#This Row],[Bet]])),"P",IF(ISNUMBER(FIND("Under",Bets35[[#This Row],[Bet]])),"U",IF(ISNUMBER(SEARCH("Over",Bets35[[#This Row],[Bet]])),"O",IF(ISNUMBER(SEARCH("+",Bets35[[#This Row],[Bet]])),"D",IF(ISNUMBER(SEARCH("-",Bets35[[#This Row],[Bet]])),"F",IF(ISNUMBER(SEARCH("Moneyline",Bets35[[#This Row],[Bet]])),IF(Bets35[[#This Row],[Odds]]&lt;0,"MF","MD"),""))))))</f>
        <v>MD</v>
      </c>
      <c r="K318" s="24"/>
      <c r="N318" s="70"/>
      <c r="O318" s="27"/>
    </row>
    <row r="319" spans="1:15" x14ac:dyDescent="0.25">
      <c r="A319" s="13">
        <f t="shared" si="12"/>
        <v>27</v>
      </c>
      <c r="B319" s="17">
        <v>43677</v>
      </c>
      <c r="C319" s="17" t="s">
        <v>802</v>
      </c>
      <c r="D319" s="18" t="s">
        <v>3606</v>
      </c>
      <c r="E319" s="11" t="s">
        <v>933</v>
      </c>
      <c r="F319" s="19">
        <f>IF(Bets35[[#This Row],[Odds]]&lt;0,Bets35[[#This Row],[Odds]]/-10,10)</f>
        <v>10.5</v>
      </c>
      <c r="G319" s="91">
        <v>-105</v>
      </c>
      <c r="H319" s="21" t="s">
        <v>263</v>
      </c>
      <c r="I319" s="45">
        <f>IF(Bets35[[#This Row],[Result]]="L",0-Bets35[[#This Row],[Risk]],IF(Bets35[[#This Row],[Result]]="Push",0,IF(Bets35[[#This Row],[Result]]="No Action",0,IF(Bets35[[#This Row],[Result]]="W",IF(Bets35[[#This Row],[Odds]]&gt;0,Bets35[[#This Row],[Odds]]/100*Bets35[[#This Row],[Risk]],(Bets35[[#This Row],[Risk]]/Bets35[[#This Row],[Odds]]*-100)),""))))</f>
        <v>-10.5</v>
      </c>
      <c r="J319" s="39" t="str">
        <f>IF(ISNUMBER(SEARCH(CHAR(10),Bets35[[#This Row],[Bet]])),"P",IF(ISNUMBER(FIND("Under",Bets35[[#This Row],[Bet]])),"U",IF(ISNUMBER(SEARCH("Over",Bets35[[#This Row],[Bet]])),"O",IF(ISNUMBER(SEARCH("+",Bets35[[#This Row],[Bet]])),"D",IF(ISNUMBER(SEARCH("-",Bets35[[#This Row],[Bet]])),"F",IF(ISNUMBER(SEARCH("Moneyline",Bets35[[#This Row],[Bet]])),IF(Bets35[[#This Row],[Odds]]&lt;0,"MF","MD"),""))))))</f>
        <v>U</v>
      </c>
      <c r="K319" s="24"/>
      <c r="N319" s="70"/>
      <c r="O319" s="27"/>
    </row>
    <row r="320" spans="1:15" x14ac:dyDescent="0.25">
      <c r="A320" s="13">
        <f t="shared" si="12"/>
        <v>27</v>
      </c>
      <c r="B320" s="17">
        <v>43677</v>
      </c>
      <c r="C320" s="17" t="s">
        <v>802</v>
      </c>
      <c r="D320" s="18" t="s">
        <v>3594</v>
      </c>
      <c r="E320" s="11" t="s">
        <v>1156</v>
      </c>
      <c r="F320" s="19">
        <f>IF(Bets35[[#This Row],[Odds]]&lt;0,Bets35[[#This Row],[Odds]]/-10,10)</f>
        <v>11.2</v>
      </c>
      <c r="G320" s="91">
        <v>-112</v>
      </c>
      <c r="H320" s="21" t="s">
        <v>263</v>
      </c>
      <c r="I320" s="45">
        <f>IF(Bets35[[#This Row],[Result]]="L",0-Bets35[[#This Row],[Risk]],IF(Bets35[[#This Row],[Result]]="Push",0,IF(Bets35[[#This Row],[Result]]="No Action",0,IF(Bets35[[#This Row],[Result]]="W",IF(Bets35[[#This Row],[Odds]]&gt;0,Bets35[[#This Row],[Odds]]/100*Bets35[[#This Row],[Risk]],(Bets35[[#This Row],[Risk]]/Bets35[[#This Row],[Odds]]*-100)),""))))</f>
        <v>-11.2</v>
      </c>
      <c r="J320" s="39" t="str">
        <f>IF(ISNUMBER(SEARCH(CHAR(10),Bets35[[#This Row],[Bet]])),"P",IF(ISNUMBER(FIND("Under",Bets35[[#This Row],[Bet]])),"U",IF(ISNUMBER(SEARCH("Over",Bets35[[#This Row],[Bet]])),"O",IF(ISNUMBER(SEARCH("+",Bets35[[#This Row],[Bet]])),"D",IF(ISNUMBER(SEARCH("-",Bets35[[#This Row],[Bet]])),"F",IF(ISNUMBER(SEARCH("Moneyline",Bets35[[#This Row],[Bet]])),IF(Bets35[[#This Row],[Odds]]&lt;0,"MF","MD"),""))))))</f>
        <v>O</v>
      </c>
      <c r="K320" s="24"/>
      <c r="N320" s="70"/>
      <c r="O320" s="27"/>
    </row>
    <row r="321" spans="1:15" x14ac:dyDescent="0.25">
      <c r="A321" s="13">
        <f t="shared" si="12"/>
        <v>27</v>
      </c>
      <c r="B321" s="17">
        <v>43677</v>
      </c>
      <c r="C321" s="17" t="s">
        <v>802</v>
      </c>
      <c r="D321" s="18" t="s">
        <v>3631</v>
      </c>
      <c r="E321" s="11" t="s">
        <v>880</v>
      </c>
      <c r="F321" s="19">
        <f>IF(Bets35[[#This Row],[Odds]]&lt;0,Bets35[[#This Row],[Odds]]/-10,10)</f>
        <v>11.5</v>
      </c>
      <c r="G321" s="91">
        <v>-115</v>
      </c>
      <c r="H321" s="21" t="s">
        <v>262</v>
      </c>
      <c r="I321" s="45">
        <f>IF(Bets35[[#This Row],[Result]]="L",0-Bets35[[#This Row],[Risk]],IF(Bets35[[#This Row],[Result]]="Push",0,IF(Bets35[[#This Row],[Result]]="No Action",0,IF(Bets35[[#This Row],[Result]]="W",IF(Bets35[[#This Row],[Odds]]&gt;0,Bets35[[#This Row],[Odds]]/100*Bets35[[#This Row],[Risk]],(Bets35[[#This Row],[Risk]]/Bets35[[#This Row],[Odds]]*-100)),""))))</f>
        <v>10</v>
      </c>
      <c r="J321" s="39" t="str">
        <f>IF(ISNUMBER(SEARCH(CHAR(10),Bets35[[#This Row],[Bet]])),"P",IF(ISNUMBER(FIND("Under",Bets35[[#This Row],[Bet]])),"U",IF(ISNUMBER(SEARCH("Over",Bets35[[#This Row],[Bet]])),"O",IF(ISNUMBER(SEARCH("+",Bets35[[#This Row],[Bet]])),"D",IF(ISNUMBER(SEARCH("-",Bets35[[#This Row],[Bet]])),"F",IF(ISNUMBER(SEARCH("Moneyline",Bets35[[#This Row],[Bet]])),IF(Bets35[[#This Row],[Odds]]&lt;0,"MF","MD"),""))))))</f>
        <v>U</v>
      </c>
      <c r="K321" s="24"/>
      <c r="N321" s="70"/>
      <c r="O321" s="27"/>
    </row>
    <row r="322" spans="1:15" x14ac:dyDescent="0.25">
      <c r="A322" s="13">
        <f t="shared" ref="A322:A385" si="13">IF(B419=B418,A321,A321+1)</f>
        <v>27</v>
      </c>
      <c r="B322" s="17">
        <v>43677</v>
      </c>
      <c r="C322" s="17" t="s">
        <v>802</v>
      </c>
      <c r="D322" s="18" t="s">
        <v>3630</v>
      </c>
      <c r="E322" s="11" t="s">
        <v>1209</v>
      </c>
      <c r="F322" s="19">
        <f>IF(Bets35[[#This Row],[Odds]]&lt;0,Bets35[[#This Row],[Odds]]/-10,10)</f>
        <v>11.7</v>
      </c>
      <c r="G322" s="91">
        <v>-117</v>
      </c>
      <c r="H322" s="21" t="s">
        <v>263</v>
      </c>
      <c r="I322" s="45">
        <f>IF(Bets35[[#This Row],[Result]]="L",0-Bets35[[#This Row],[Risk]],IF(Bets35[[#This Row],[Result]]="Push",0,IF(Bets35[[#This Row],[Result]]="No Action",0,IF(Bets35[[#This Row],[Result]]="W",IF(Bets35[[#This Row],[Odds]]&gt;0,Bets35[[#This Row],[Odds]]/100*Bets35[[#This Row],[Risk]],(Bets35[[#This Row],[Risk]]/Bets35[[#This Row],[Odds]]*-100)),""))))</f>
        <v>-11.7</v>
      </c>
      <c r="J322" s="39" t="str">
        <f>IF(ISNUMBER(SEARCH(CHAR(10),Bets35[[#This Row],[Bet]])),"P",IF(ISNUMBER(FIND("Under",Bets35[[#This Row],[Bet]])),"U",IF(ISNUMBER(SEARCH("Over",Bets35[[#This Row],[Bet]])),"O",IF(ISNUMBER(SEARCH("+",Bets35[[#This Row],[Bet]])),"D",IF(ISNUMBER(SEARCH("-",Bets35[[#This Row],[Bet]])),"F",IF(ISNUMBER(SEARCH("Moneyline",Bets35[[#This Row],[Bet]])),IF(Bets35[[#This Row],[Odds]]&lt;0,"MF","MD"),""))))))</f>
        <v>U</v>
      </c>
      <c r="K322" s="24"/>
      <c r="N322" s="70"/>
      <c r="O322" s="27"/>
    </row>
    <row r="323" spans="1:15" x14ac:dyDescent="0.25">
      <c r="A323" s="13">
        <f t="shared" si="13"/>
        <v>27</v>
      </c>
      <c r="B323" s="17">
        <v>43678</v>
      </c>
      <c r="C323" s="17" t="s">
        <v>802</v>
      </c>
      <c r="D323" s="18" t="s">
        <v>3657</v>
      </c>
      <c r="E323" s="11" t="s">
        <v>1178</v>
      </c>
      <c r="F323" s="19">
        <f>IF(Bets35[[#This Row],[Odds]]&lt;0,Bets35[[#This Row],[Odds]]/-10,10)</f>
        <v>18</v>
      </c>
      <c r="G323" s="91">
        <v>-180</v>
      </c>
      <c r="H323" s="21" t="s">
        <v>263</v>
      </c>
      <c r="I323" s="45">
        <f>IF(Bets35[[#This Row],[Result]]="L",0-Bets35[[#This Row],[Risk]],IF(Bets35[[#This Row],[Result]]="Push",0,IF(Bets35[[#This Row],[Result]]="No Action",0,IF(Bets35[[#This Row],[Result]]="W",IF(Bets35[[#This Row],[Odds]]&gt;0,Bets35[[#This Row],[Odds]]/100*Bets35[[#This Row],[Risk]],(Bets35[[#This Row],[Risk]]/Bets35[[#This Row],[Odds]]*-100)),""))))</f>
        <v>-18</v>
      </c>
      <c r="J323" s="39" t="str">
        <f>IF(ISNUMBER(SEARCH(CHAR(10),Bets35[[#This Row],[Bet]])),"P",IF(ISNUMBER(FIND("Under",Bets35[[#This Row],[Bet]])),"U",IF(ISNUMBER(SEARCH("Over",Bets35[[#This Row],[Bet]])),"O",IF(ISNUMBER(SEARCH("+",Bets35[[#This Row],[Bet]])),"D",IF(ISNUMBER(SEARCH("-",Bets35[[#This Row],[Bet]])),"F",IF(ISNUMBER(SEARCH("Moneyline",Bets35[[#This Row],[Bet]])),IF(Bets35[[#This Row],[Odds]]&lt;0,"MF","MD"),""))))))</f>
        <v>MF</v>
      </c>
      <c r="K323" s="24"/>
      <c r="N323" s="70"/>
      <c r="O323" s="27"/>
    </row>
    <row r="324" spans="1:15" x14ac:dyDescent="0.25">
      <c r="A324" s="13">
        <f t="shared" si="13"/>
        <v>27</v>
      </c>
      <c r="B324" s="17">
        <v>43678</v>
      </c>
      <c r="C324" s="17" t="s">
        <v>802</v>
      </c>
      <c r="D324" s="18" t="s">
        <v>3631</v>
      </c>
      <c r="E324" s="11" t="s">
        <v>810</v>
      </c>
      <c r="F324" s="19">
        <f>IF(Bets35[[#This Row],[Odds]]&lt;0,Bets35[[#This Row],[Odds]]/-10,10)</f>
        <v>10</v>
      </c>
      <c r="G324" s="91" t="s">
        <v>1252</v>
      </c>
      <c r="H324" s="21" t="s">
        <v>263</v>
      </c>
      <c r="I324" s="45">
        <f>IF(Bets35[[#This Row],[Result]]="L",0-Bets35[[#This Row],[Risk]],IF(Bets35[[#This Row],[Result]]="Push",0,IF(Bets35[[#This Row],[Result]]="No Action",0,IF(Bets35[[#This Row],[Result]]="W",IF(Bets35[[#This Row],[Odds]]&gt;0,Bets35[[#This Row],[Odds]]/100*Bets35[[#This Row],[Risk]],(Bets35[[#This Row],[Risk]]/Bets35[[#This Row],[Odds]]*-100)),""))))</f>
        <v>-10</v>
      </c>
      <c r="J324" s="39" t="str">
        <f>IF(ISNUMBER(SEARCH(CHAR(10),Bets35[[#This Row],[Bet]])),"P",IF(ISNUMBER(FIND("Under",Bets35[[#This Row],[Bet]])),"U",IF(ISNUMBER(SEARCH("Over",Bets35[[#This Row],[Bet]])),"O",IF(ISNUMBER(SEARCH("+",Bets35[[#This Row],[Bet]])),"D",IF(ISNUMBER(SEARCH("-",Bets35[[#This Row],[Bet]])),"F",IF(ISNUMBER(SEARCH("Moneyline",Bets35[[#This Row],[Bet]])),IF(Bets35[[#This Row],[Odds]]&lt;0,"MF","MD"),""))))))</f>
        <v>MD</v>
      </c>
      <c r="K324" s="24"/>
      <c r="N324" s="70"/>
      <c r="O324" s="27"/>
    </row>
    <row r="325" spans="1:15" x14ac:dyDescent="0.25">
      <c r="A325" s="13">
        <f t="shared" si="13"/>
        <v>27</v>
      </c>
      <c r="B325" s="17">
        <v>43678</v>
      </c>
      <c r="C325" s="17" t="s">
        <v>802</v>
      </c>
      <c r="D325" s="18" t="s">
        <v>3658</v>
      </c>
      <c r="E325" s="11" t="s">
        <v>3659</v>
      </c>
      <c r="F325" s="19">
        <f>IF(Bets35[[#This Row],[Odds]]&lt;0,Bets35[[#This Row],[Odds]]/-10,10)</f>
        <v>19.5</v>
      </c>
      <c r="G325" s="91">
        <v>-195</v>
      </c>
      <c r="H325" s="21" t="s">
        <v>262</v>
      </c>
      <c r="I325" s="45">
        <f>IF(Bets35[[#This Row],[Result]]="L",0-Bets35[[#This Row],[Risk]],IF(Bets35[[#This Row],[Result]]="Push",0,IF(Bets35[[#This Row],[Result]]="No Action",0,IF(Bets35[[#This Row],[Result]]="W",IF(Bets35[[#This Row],[Odds]]&gt;0,Bets35[[#This Row],[Odds]]/100*Bets35[[#This Row],[Risk]],(Bets35[[#This Row],[Risk]]/Bets35[[#This Row],[Odds]]*-100)),""))))</f>
        <v>10</v>
      </c>
      <c r="J325" s="39" t="str">
        <f>IF(ISNUMBER(SEARCH(CHAR(10),Bets35[[#This Row],[Bet]])),"P",IF(ISNUMBER(FIND("Under",Bets35[[#This Row],[Bet]])),"U",IF(ISNUMBER(SEARCH("Over",Bets35[[#This Row],[Bet]])),"O",IF(ISNUMBER(SEARCH("+",Bets35[[#This Row],[Bet]])),"D",IF(ISNUMBER(SEARCH("-",Bets35[[#This Row],[Bet]])),"F",IF(ISNUMBER(SEARCH("Moneyline",Bets35[[#This Row],[Bet]])),IF(Bets35[[#This Row],[Odds]]&lt;0,"MF","MD"),""))))))</f>
        <v>MF</v>
      </c>
      <c r="K325" s="24"/>
      <c r="N325" s="70"/>
      <c r="O325" s="27"/>
    </row>
    <row r="326" spans="1:15" x14ac:dyDescent="0.25">
      <c r="A326" s="13">
        <f t="shared" si="13"/>
        <v>27</v>
      </c>
      <c r="B326" s="17">
        <v>43678</v>
      </c>
      <c r="C326" s="17" t="s">
        <v>802</v>
      </c>
      <c r="D326" s="18" t="s">
        <v>3660</v>
      </c>
      <c r="E326" s="11" t="s">
        <v>827</v>
      </c>
      <c r="F326" s="19">
        <f>IF(Bets35[[#This Row],[Odds]]&lt;0,Bets35[[#This Row],[Odds]]/-10,10)</f>
        <v>22.5</v>
      </c>
      <c r="G326" s="91">
        <v>-225</v>
      </c>
      <c r="H326" s="21" t="s">
        <v>262</v>
      </c>
      <c r="I326" s="45">
        <f>IF(Bets35[[#This Row],[Result]]="L",0-Bets35[[#This Row],[Risk]],IF(Bets35[[#This Row],[Result]]="Push",0,IF(Bets35[[#This Row],[Result]]="No Action",0,IF(Bets35[[#This Row],[Result]]="W",IF(Bets35[[#This Row],[Odds]]&gt;0,Bets35[[#This Row],[Odds]]/100*Bets35[[#This Row],[Risk]],(Bets35[[#This Row],[Risk]]/Bets35[[#This Row],[Odds]]*-100)),""))))</f>
        <v>10</v>
      </c>
      <c r="J326" s="39" t="str">
        <f>IF(ISNUMBER(SEARCH(CHAR(10),Bets35[[#This Row],[Bet]])),"P",IF(ISNUMBER(FIND("Under",Bets35[[#This Row],[Bet]])),"U",IF(ISNUMBER(SEARCH("Over",Bets35[[#This Row],[Bet]])),"O",IF(ISNUMBER(SEARCH("+",Bets35[[#This Row],[Bet]])),"D",IF(ISNUMBER(SEARCH("-",Bets35[[#This Row],[Bet]])),"F",IF(ISNUMBER(SEARCH("Moneyline",Bets35[[#This Row],[Bet]])),IF(Bets35[[#This Row],[Odds]]&lt;0,"MF","MD"),""))))))</f>
        <v>MF</v>
      </c>
      <c r="K326" s="24"/>
      <c r="N326" s="70"/>
      <c r="O326" s="27"/>
    </row>
    <row r="327" spans="1:15" x14ac:dyDescent="0.25">
      <c r="A327" s="13">
        <f t="shared" si="13"/>
        <v>27</v>
      </c>
      <c r="B327" s="17">
        <v>43678</v>
      </c>
      <c r="C327" s="17" t="s">
        <v>802</v>
      </c>
      <c r="D327" s="18" t="s">
        <v>3661</v>
      </c>
      <c r="E327" s="11" t="s">
        <v>879</v>
      </c>
      <c r="F327" s="19">
        <f>IF(Bets35[[#This Row],[Odds]]&lt;0,Bets35[[#This Row],[Odds]]/-10,10)</f>
        <v>10.9</v>
      </c>
      <c r="G327" s="91">
        <v>-109</v>
      </c>
      <c r="H327" s="21" t="s">
        <v>263</v>
      </c>
      <c r="I327" s="45">
        <f>IF(Bets35[[#This Row],[Result]]="L",0-Bets35[[#This Row],[Risk]],IF(Bets35[[#This Row],[Result]]="Push",0,IF(Bets35[[#This Row],[Result]]="No Action",0,IF(Bets35[[#This Row],[Result]]="W",IF(Bets35[[#This Row],[Odds]]&gt;0,Bets35[[#This Row],[Odds]]/100*Bets35[[#This Row],[Risk]],(Bets35[[#This Row],[Risk]]/Bets35[[#This Row],[Odds]]*-100)),""))))</f>
        <v>-10.9</v>
      </c>
      <c r="J327" s="39" t="str">
        <f>IF(ISNUMBER(SEARCH(CHAR(10),Bets35[[#This Row],[Bet]])),"P",IF(ISNUMBER(FIND("Under",Bets35[[#This Row],[Bet]])),"U",IF(ISNUMBER(SEARCH("Over",Bets35[[#This Row],[Bet]])),"O",IF(ISNUMBER(SEARCH("+",Bets35[[#This Row],[Bet]])),"D",IF(ISNUMBER(SEARCH("-",Bets35[[#This Row],[Bet]])),"F",IF(ISNUMBER(SEARCH("Moneyline",Bets35[[#This Row],[Bet]])),IF(Bets35[[#This Row],[Odds]]&lt;0,"MF","MD"),""))))))</f>
        <v>U</v>
      </c>
      <c r="K327" s="24"/>
      <c r="N327" s="70"/>
      <c r="O327" s="27"/>
    </row>
    <row r="328" spans="1:15" x14ac:dyDescent="0.25">
      <c r="A328" s="13">
        <f t="shared" si="13"/>
        <v>27</v>
      </c>
      <c r="B328" s="17">
        <v>43678</v>
      </c>
      <c r="C328" s="17" t="s">
        <v>802</v>
      </c>
      <c r="D328" s="18" t="s">
        <v>3607</v>
      </c>
      <c r="E328" s="11" t="s">
        <v>879</v>
      </c>
      <c r="F328" s="19">
        <f>IF(Bets35[[#This Row],[Odds]]&lt;0,Bets35[[#This Row],[Odds]]/-10,10)</f>
        <v>10</v>
      </c>
      <c r="G328" s="91">
        <v>102</v>
      </c>
      <c r="H328" s="21" t="s">
        <v>263</v>
      </c>
      <c r="I328" s="45">
        <f>IF(Bets35[[#This Row],[Result]]="L",0-Bets35[[#This Row],[Risk]],IF(Bets35[[#This Row],[Result]]="Push",0,IF(Bets35[[#This Row],[Result]]="No Action",0,IF(Bets35[[#This Row],[Result]]="W",IF(Bets35[[#This Row],[Odds]]&gt;0,Bets35[[#This Row],[Odds]]/100*Bets35[[#This Row],[Risk]],(Bets35[[#This Row],[Risk]]/Bets35[[#This Row],[Odds]]*-100)),""))))</f>
        <v>-10</v>
      </c>
      <c r="J328" s="39" t="str">
        <f>IF(ISNUMBER(SEARCH(CHAR(10),Bets35[[#This Row],[Bet]])),"P",IF(ISNUMBER(FIND("Under",Bets35[[#This Row],[Bet]])),"U",IF(ISNUMBER(SEARCH("Over",Bets35[[#This Row],[Bet]])),"O",IF(ISNUMBER(SEARCH("+",Bets35[[#This Row],[Bet]])),"D",IF(ISNUMBER(SEARCH("-",Bets35[[#This Row],[Bet]])),"F",IF(ISNUMBER(SEARCH("Moneyline",Bets35[[#This Row],[Bet]])),IF(Bets35[[#This Row],[Odds]]&lt;0,"MF","MD"),""))))))</f>
        <v>U</v>
      </c>
      <c r="K328" s="24"/>
      <c r="N328" s="70"/>
      <c r="O328" s="27"/>
    </row>
    <row r="329" spans="1:15" x14ac:dyDescent="0.25">
      <c r="A329" s="13">
        <f t="shared" si="13"/>
        <v>27</v>
      </c>
      <c r="B329" s="17">
        <v>43679</v>
      </c>
      <c r="C329" s="17" t="s">
        <v>802</v>
      </c>
      <c r="D329" s="18" t="s">
        <v>3684</v>
      </c>
      <c r="E329" s="11" t="s">
        <v>1166</v>
      </c>
      <c r="F329" s="19">
        <f>IF(Bets35[[#This Row],[Odds]]&lt;0,Bets35[[#This Row],[Odds]]/-10,10)</f>
        <v>10</v>
      </c>
      <c r="G329" s="91" t="s">
        <v>3685</v>
      </c>
      <c r="H329" s="21" t="s">
        <v>262</v>
      </c>
      <c r="I329" s="45">
        <f>IF(Bets35[[#This Row],[Result]]="L",0-Bets35[[#This Row],[Risk]],IF(Bets35[[#This Row],[Result]]="Push",0,IF(Bets35[[#This Row],[Result]]="No Action",0,IF(Bets35[[#This Row],[Result]]="W",IF(Bets35[[#This Row],[Odds]]&gt;0,Bets35[[#This Row],[Odds]]/100*Bets35[[#This Row],[Risk]],(Bets35[[#This Row],[Risk]]/Bets35[[#This Row],[Odds]]*-100)),""))))</f>
        <v>14.8</v>
      </c>
      <c r="J329" s="39" t="str">
        <f>IF(ISNUMBER(SEARCH(CHAR(10),Bets35[[#This Row],[Bet]])),"P",IF(ISNUMBER(FIND("Under",Bets35[[#This Row],[Bet]])),"U",IF(ISNUMBER(SEARCH("Over",Bets35[[#This Row],[Bet]])),"O",IF(ISNUMBER(SEARCH("+",Bets35[[#This Row],[Bet]])),"D",IF(ISNUMBER(SEARCH("-",Bets35[[#This Row],[Bet]])),"F",IF(ISNUMBER(SEARCH("Moneyline",Bets35[[#This Row],[Bet]])),IF(Bets35[[#This Row],[Odds]]&lt;0,"MF","MD"),""))))))</f>
        <v>MD</v>
      </c>
      <c r="K329" s="24"/>
      <c r="N329" s="70"/>
      <c r="O329" s="27"/>
    </row>
    <row r="330" spans="1:15" x14ac:dyDescent="0.25">
      <c r="A330" s="13">
        <f t="shared" si="13"/>
        <v>27</v>
      </c>
      <c r="B330" s="17">
        <v>43679</v>
      </c>
      <c r="C330" s="17" t="s">
        <v>802</v>
      </c>
      <c r="D330" s="18" t="s">
        <v>3686</v>
      </c>
      <c r="E330" s="11" t="s">
        <v>870</v>
      </c>
      <c r="F330" s="19">
        <f>IF(Bets35[[#This Row],[Odds]]&lt;0,Bets35[[#This Row],[Odds]]/-10,10)</f>
        <v>25</v>
      </c>
      <c r="G330" s="91">
        <v>-250</v>
      </c>
      <c r="H330" s="21" t="s">
        <v>262</v>
      </c>
      <c r="I330" s="45">
        <f>IF(Bets35[[#This Row],[Result]]="L",0-Bets35[[#This Row],[Risk]],IF(Bets35[[#This Row],[Result]]="Push",0,IF(Bets35[[#This Row],[Result]]="No Action",0,IF(Bets35[[#This Row],[Result]]="W",IF(Bets35[[#This Row],[Odds]]&gt;0,Bets35[[#This Row],[Odds]]/100*Bets35[[#This Row],[Risk]],(Bets35[[#This Row],[Risk]]/Bets35[[#This Row],[Odds]]*-100)),""))))</f>
        <v>10</v>
      </c>
      <c r="J330" s="39" t="str">
        <f>IF(ISNUMBER(SEARCH(CHAR(10),Bets35[[#This Row],[Bet]])),"P",IF(ISNUMBER(FIND("Under",Bets35[[#This Row],[Bet]])),"U",IF(ISNUMBER(SEARCH("Over",Bets35[[#This Row],[Bet]])),"O",IF(ISNUMBER(SEARCH("+",Bets35[[#This Row],[Bet]])),"D",IF(ISNUMBER(SEARCH("-",Bets35[[#This Row],[Bet]])),"F",IF(ISNUMBER(SEARCH("Moneyline",Bets35[[#This Row],[Bet]])),IF(Bets35[[#This Row],[Odds]]&lt;0,"MF","MD"),""))))))</f>
        <v>MF</v>
      </c>
      <c r="K330" s="24"/>
      <c r="N330" s="70"/>
      <c r="O330" s="27"/>
    </row>
    <row r="331" spans="1:15" x14ac:dyDescent="0.25">
      <c r="A331" s="13">
        <f t="shared" si="13"/>
        <v>27</v>
      </c>
      <c r="B331" s="17">
        <v>43679</v>
      </c>
      <c r="C331" s="17" t="s">
        <v>802</v>
      </c>
      <c r="D331" s="18" t="s">
        <v>3687</v>
      </c>
      <c r="E331" s="11" t="s">
        <v>897</v>
      </c>
      <c r="F331" s="19">
        <f>IF(Bets35[[#This Row],[Odds]]&lt;0,Bets35[[#This Row],[Odds]]/-10,10)</f>
        <v>28.6</v>
      </c>
      <c r="G331" s="91">
        <v>-286</v>
      </c>
      <c r="H331" s="21" t="s">
        <v>262</v>
      </c>
      <c r="I331" s="45">
        <f>IF(Bets35[[#This Row],[Result]]="L",0-Bets35[[#This Row],[Risk]],IF(Bets35[[#This Row],[Result]]="Push",0,IF(Bets35[[#This Row],[Result]]="No Action",0,IF(Bets35[[#This Row],[Result]]="W",IF(Bets35[[#This Row],[Odds]]&gt;0,Bets35[[#This Row],[Odds]]/100*Bets35[[#This Row],[Risk]],(Bets35[[#This Row],[Risk]]/Bets35[[#This Row],[Odds]]*-100)),""))))</f>
        <v>10</v>
      </c>
      <c r="J331" s="39" t="str">
        <f>IF(ISNUMBER(SEARCH(CHAR(10),Bets35[[#This Row],[Bet]])),"P",IF(ISNUMBER(FIND("Under",Bets35[[#This Row],[Bet]])),"U",IF(ISNUMBER(SEARCH("Over",Bets35[[#This Row],[Bet]])),"O",IF(ISNUMBER(SEARCH("+",Bets35[[#This Row],[Bet]])),"D",IF(ISNUMBER(SEARCH("-",Bets35[[#This Row],[Bet]])),"F",IF(ISNUMBER(SEARCH("Moneyline",Bets35[[#This Row],[Bet]])),IF(Bets35[[#This Row],[Odds]]&lt;0,"MF","MD"),""))))))</f>
        <v>MF</v>
      </c>
      <c r="K331" s="24"/>
      <c r="N331" s="70"/>
      <c r="O331" s="27"/>
    </row>
    <row r="332" spans="1:15" x14ac:dyDescent="0.25">
      <c r="A332" s="13">
        <f t="shared" si="13"/>
        <v>27</v>
      </c>
      <c r="B332" s="17">
        <v>43679</v>
      </c>
      <c r="C332" s="17" t="s">
        <v>802</v>
      </c>
      <c r="D332" s="18" t="s">
        <v>3688</v>
      </c>
      <c r="E332" s="11" t="s">
        <v>1178</v>
      </c>
      <c r="F332" s="19">
        <f>IF(Bets35[[#This Row],[Odds]]&lt;0,Bets35[[#This Row],[Odds]]/-10,10)</f>
        <v>23.5</v>
      </c>
      <c r="G332" s="91">
        <v>-235</v>
      </c>
      <c r="H332" s="21" t="s">
        <v>262</v>
      </c>
      <c r="I332" s="45">
        <f>IF(Bets35[[#This Row],[Result]]="L",0-Bets35[[#This Row],[Risk]],IF(Bets35[[#This Row],[Result]]="Push",0,IF(Bets35[[#This Row],[Result]]="No Action",0,IF(Bets35[[#This Row],[Result]]="W",IF(Bets35[[#This Row],[Odds]]&gt;0,Bets35[[#This Row],[Odds]]/100*Bets35[[#This Row],[Risk]],(Bets35[[#This Row],[Risk]]/Bets35[[#This Row],[Odds]]*-100)),""))))</f>
        <v>10</v>
      </c>
      <c r="J332" s="39" t="str">
        <f>IF(ISNUMBER(SEARCH(CHAR(10),Bets35[[#This Row],[Bet]])),"P",IF(ISNUMBER(FIND("Under",Bets35[[#This Row],[Bet]])),"U",IF(ISNUMBER(SEARCH("Over",Bets35[[#This Row],[Bet]])),"O",IF(ISNUMBER(SEARCH("+",Bets35[[#This Row],[Bet]])),"D",IF(ISNUMBER(SEARCH("-",Bets35[[#This Row],[Bet]])),"F",IF(ISNUMBER(SEARCH("Moneyline",Bets35[[#This Row],[Bet]])),IF(Bets35[[#This Row],[Odds]]&lt;0,"MF","MD"),""))))))</f>
        <v>MF</v>
      </c>
      <c r="K332" s="24"/>
      <c r="N332" s="70"/>
      <c r="O332" s="27"/>
    </row>
    <row r="333" spans="1:15" x14ac:dyDescent="0.25">
      <c r="A333" s="13">
        <f t="shared" si="13"/>
        <v>27</v>
      </c>
      <c r="B333" s="17">
        <v>43679</v>
      </c>
      <c r="C333" s="17" t="s">
        <v>802</v>
      </c>
      <c r="D333" s="18" t="s">
        <v>1363</v>
      </c>
      <c r="E333" s="11" t="s">
        <v>3595</v>
      </c>
      <c r="F333" s="19">
        <f>IF(Bets35[[#This Row],[Odds]]&lt;0,Bets35[[#This Row],[Odds]]/-10,10)</f>
        <v>10.6</v>
      </c>
      <c r="G333" s="91">
        <v>-106</v>
      </c>
      <c r="H333" s="21" t="s">
        <v>263</v>
      </c>
      <c r="I333" s="45">
        <f>IF(Bets35[[#This Row],[Result]]="L",0-Bets35[[#This Row],[Risk]],IF(Bets35[[#This Row],[Result]]="Push",0,IF(Bets35[[#This Row],[Result]]="No Action",0,IF(Bets35[[#This Row],[Result]]="W",IF(Bets35[[#This Row],[Odds]]&gt;0,Bets35[[#This Row],[Odds]]/100*Bets35[[#This Row],[Risk]],(Bets35[[#This Row],[Risk]]/Bets35[[#This Row],[Odds]]*-100)),""))))</f>
        <v>-10.6</v>
      </c>
      <c r="J333" s="39" t="str">
        <f>IF(ISNUMBER(SEARCH(CHAR(10),Bets35[[#This Row],[Bet]])),"P",IF(ISNUMBER(FIND("Under",Bets35[[#This Row],[Bet]])),"U",IF(ISNUMBER(SEARCH("Over",Bets35[[#This Row],[Bet]])),"O",IF(ISNUMBER(SEARCH("+",Bets35[[#This Row],[Bet]])),"D",IF(ISNUMBER(SEARCH("-",Bets35[[#This Row],[Bet]])),"F",IF(ISNUMBER(SEARCH("Moneyline",Bets35[[#This Row],[Bet]])),IF(Bets35[[#This Row],[Odds]]&lt;0,"MF","MD"),""))))))</f>
        <v>O</v>
      </c>
      <c r="K333" s="24"/>
      <c r="N333" s="70"/>
      <c r="O333" s="27"/>
    </row>
    <row r="334" spans="1:15" x14ac:dyDescent="0.25">
      <c r="A334" s="13">
        <f t="shared" si="13"/>
        <v>27</v>
      </c>
      <c r="B334" s="17">
        <v>43679</v>
      </c>
      <c r="C334" s="17" t="s">
        <v>802</v>
      </c>
      <c r="D334" s="18" t="s">
        <v>3686</v>
      </c>
      <c r="E334" s="11" t="s">
        <v>1209</v>
      </c>
      <c r="F334" s="19">
        <f>IF(Bets35[[#This Row],[Odds]]&lt;0,Bets35[[#This Row],[Odds]]/-10,10)</f>
        <v>10.6</v>
      </c>
      <c r="G334" s="91">
        <v>-106</v>
      </c>
      <c r="H334" s="21" t="s">
        <v>262</v>
      </c>
      <c r="I334" s="45">
        <f>IF(Bets35[[#This Row],[Result]]="L",0-Bets35[[#This Row],[Risk]],IF(Bets35[[#This Row],[Result]]="Push",0,IF(Bets35[[#This Row],[Result]]="No Action",0,IF(Bets35[[#This Row],[Result]]="W",IF(Bets35[[#This Row],[Odds]]&gt;0,Bets35[[#This Row],[Odds]]/100*Bets35[[#This Row],[Risk]],(Bets35[[#This Row],[Risk]]/Bets35[[#This Row],[Odds]]*-100)),""))))</f>
        <v>10</v>
      </c>
      <c r="J334" s="39" t="str">
        <f>IF(ISNUMBER(SEARCH(CHAR(10),Bets35[[#This Row],[Bet]])),"P",IF(ISNUMBER(FIND("Under",Bets35[[#This Row],[Bet]])),"U",IF(ISNUMBER(SEARCH("Over",Bets35[[#This Row],[Bet]])),"O",IF(ISNUMBER(SEARCH("+",Bets35[[#This Row],[Bet]])),"D",IF(ISNUMBER(SEARCH("-",Bets35[[#This Row],[Bet]])),"F",IF(ISNUMBER(SEARCH("Moneyline",Bets35[[#This Row],[Bet]])),IF(Bets35[[#This Row],[Odds]]&lt;0,"MF","MD"),""))))))</f>
        <v>U</v>
      </c>
      <c r="K334" s="24"/>
      <c r="N334" s="70"/>
      <c r="O334" s="27"/>
    </row>
    <row r="335" spans="1:15" x14ac:dyDescent="0.25">
      <c r="A335" s="13">
        <f t="shared" si="13"/>
        <v>27</v>
      </c>
      <c r="B335" s="17">
        <v>43680</v>
      </c>
      <c r="C335" s="17" t="s">
        <v>802</v>
      </c>
      <c r="D335" s="18" t="s">
        <v>3706</v>
      </c>
      <c r="E335" s="11" t="s">
        <v>822</v>
      </c>
      <c r="F335" s="19">
        <f>IF(Bets35[[#This Row],[Odds]]&lt;0,Bets35[[#This Row],[Odds]]/-10,10)</f>
        <v>26.5</v>
      </c>
      <c r="G335" s="91">
        <v>-265</v>
      </c>
      <c r="H335" s="21" t="s">
        <v>262</v>
      </c>
      <c r="I335" s="45">
        <f>IF(Bets35[[#This Row],[Result]]="L",0-Bets35[[#This Row],[Risk]],IF(Bets35[[#This Row],[Result]]="Push",0,IF(Bets35[[#This Row],[Result]]="No Action",0,IF(Bets35[[#This Row],[Result]]="W",IF(Bets35[[#This Row],[Odds]]&gt;0,Bets35[[#This Row],[Odds]]/100*Bets35[[#This Row],[Risk]],(Bets35[[#This Row],[Risk]]/Bets35[[#This Row],[Odds]]*-100)),""))))</f>
        <v>10</v>
      </c>
      <c r="J335" s="39" t="str">
        <f>IF(ISNUMBER(SEARCH(CHAR(10),Bets35[[#This Row],[Bet]])),"P",IF(ISNUMBER(FIND("Under",Bets35[[#This Row],[Bet]])),"U",IF(ISNUMBER(SEARCH("Over",Bets35[[#This Row],[Bet]])),"O",IF(ISNUMBER(SEARCH("+",Bets35[[#This Row],[Bet]])),"D",IF(ISNUMBER(SEARCH("-",Bets35[[#This Row],[Bet]])),"F",IF(ISNUMBER(SEARCH("Moneyline",Bets35[[#This Row],[Bet]])),IF(Bets35[[#This Row],[Odds]]&lt;0,"MF","MD"),""))))))</f>
        <v>MF</v>
      </c>
      <c r="K335" s="24"/>
      <c r="N335" s="70"/>
      <c r="O335" s="27"/>
    </row>
    <row r="336" spans="1:15" x14ac:dyDescent="0.25">
      <c r="A336" s="13">
        <f t="shared" si="13"/>
        <v>27</v>
      </c>
      <c r="B336" s="17">
        <v>43680</v>
      </c>
      <c r="C336" s="17" t="s">
        <v>802</v>
      </c>
      <c r="D336" s="18" t="s">
        <v>3688</v>
      </c>
      <c r="E336" s="11" t="s">
        <v>1178</v>
      </c>
      <c r="F336" s="19">
        <f>IF(Bets35[[#This Row],[Odds]]&lt;0,Bets35[[#This Row],[Odds]]/-10,10)</f>
        <v>22.5</v>
      </c>
      <c r="G336" s="91">
        <v>-225</v>
      </c>
      <c r="H336" s="21" t="s">
        <v>262</v>
      </c>
      <c r="I336" s="45">
        <f>IF(Bets35[[#This Row],[Result]]="L",0-Bets35[[#This Row],[Risk]],IF(Bets35[[#This Row],[Result]]="Push",0,IF(Bets35[[#This Row],[Result]]="No Action",0,IF(Bets35[[#This Row],[Result]]="W",IF(Bets35[[#This Row],[Odds]]&gt;0,Bets35[[#This Row],[Odds]]/100*Bets35[[#This Row],[Risk]],(Bets35[[#This Row],[Risk]]/Bets35[[#This Row],[Odds]]*-100)),""))))</f>
        <v>10</v>
      </c>
      <c r="J336" s="39" t="str">
        <f>IF(ISNUMBER(SEARCH(CHAR(10),Bets35[[#This Row],[Bet]])),"P",IF(ISNUMBER(FIND("Under",Bets35[[#This Row],[Bet]])),"U",IF(ISNUMBER(SEARCH("Over",Bets35[[#This Row],[Bet]])),"O",IF(ISNUMBER(SEARCH("+",Bets35[[#This Row],[Bet]])),"D",IF(ISNUMBER(SEARCH("-",Bets35[[#This Row],[Bet]])),"F",IF(ISNUMBER(SEARCH("Moneyline",Bets35[[#This Row],[Bet]])),IF(Bets35[[#This Row],[Odds]]&lt;0,"MF","MD"),""))))))</f>
        <v>MF</v>
      </c>
      <c r="K336" s="24"/>
      <c r="N336" s="70"/>
      <c r="O336" s="27"/>
    </row>
    <row r="337" spans="1:15" x14ac:dyDescent="0.25">
      <c r="A337" s="13">
        <f t="shared" si="13"/>
        <v>27</v>
      </c>
      <c r="B337" s="17">
        <v>43680</v>
      </c>
      <c r="C337" s="17" t="s">
        <v>802</v>
      </c>
      <c r="D337" s="18" t="s">
        <v>3686</v>
      </c>
      <c r="E337" s="11" t="s">
        <v>870</v>
      </c>
      <c r="F337" s="19">
        <f>IF(Bets35[[#This Row],[Odds]]&lt;0,Bets35[[#This Row],[Odds]]/-10,10)</f>
        <v>10.7</v>
      </c>
      <c r="G337" s="91">
        <v>-107</v>
      </c>
      <c r="H337" s="21" t="s">
        <v>262</v>
      </c>
      <c r="I337" s="45">
        <f>IF(Bets35[[#This Row],[Result]]="L",0-Bets35[[#This Row],[Risk]],IF(Bets35[[#This Row],[Result]]="Push",0,IF(Bets35[[#This Row],[Result]]="No Action",0,IF(Bets35[[#This Row],[Result]]="W",IF(Bets35[[#This Row],[Odds]]&gt;0,Bets35[[#This Row],[Odds]]/100*Bets35[[#This Row],[Risk]],(Bets35[[#This Row],[Risk]]/Bets35[[#This Row],[Odds]]*-100)),""))))</f>
        <v>10</v>
      </c>
      <c r="J337" s="39" t="str">
        <f>IF(ISNUMBER(SEARCH(CHAR(10),Bets35[[#This Row],[Bet]])),"P",IF(ISNUMBER(FIND("Under",Bets35[[#This Row],[Bet]])),"U",IF(ISNUMBER(SEARCH("Over",Bets35[[#This Row],[Bet]])),"O",IF(ISNUMBER(SEARCH("+",Bets35[[#This Row],[Bet]])),"D",IF(ISNUMBER(SEARCH("-",Bets35[[#This Row],[Bet]])),"F",IF(ISNUMBER(SEARCH("Moneyline",Bets35[[#This Row],[Bet]])),IF(Bets35[[#This Row],[Odds]]&lt;0,"MF","MD"),""))))))</f>
        <v>MF</v>
      </c>
      <c r="K337" s="24"/>
      <c r="N337" s="70"/>
      <c r="O337" s="27"/>
    </row>
    <row r="338" spans="1:15" x14ac:dyDescent="0.25">
      <c r="A338" s="13">
        <f t="shared" si="13"/>
        <v>27</v>
      </c>
      <c r="B338" s="17">
        <v>43680</v>
      </c>
      <c r="C338" s="17" t="s">
        <v>802</v>
      </c>
      <c r="D338" s="18" t="s">
        <v>3686</v>
      </c>
      <c r="E338" s="11" t="s">
        <v>880</v>
      </c>
      <c r="F338" s="19">
        <f>IF(Bets35[[#This Row],[Odds]]&lt;0,Bets35[[#This Row],[Odds]]/-10,10)</f>
        <v>11</v>
      </c>
      <c r="G338" s="91">
        <v>-110</v>
      </c>
      <c r="H338" s="21" t="s">
        <v>262</v>
      </c>
      <c r="I338" s="45">
        <f>IF(Bets35[[#This Row],[Result]]="L",0-Bets35[[#This Row],[Risk]],IF(Bets35[[#This Row],[Result]]="Push",0,IF(Bets35[[#This Row],[Result]]="No Action",0,IF(Bets35[[#This Row],[Result]]="W",IF(Bets35[[#This Row],[Odds]]&gt;0,Bets35[[#This Row],[Odds]]/100*Bets35[[#This Row],[Risk]],(Bets35[[#This Row],[Risk]]/Bets35[[#This Row],[Odds]]*-100)),""))))</f>
        <v>10</v>
      </c>
      <c r="J338" s="39" t="str">
        <f>IF(ISNUMBER(SEARCH(CHAR(10),Bets35[[#This Row],[Bet]])),"P",IF(ISNUMBER(FIND("Under",Bets35[[#This Row],[Bet]])),"U",IF(ISNUMBER(SEARCH("Over",Bets35[[#This Row],[Bet]])),"O",IF(ISNUMBER(SEARCH("+",Bets35[[#This Row],[Bet]])),"D",IF(ISNUMBER(SEARCH("-",Bets35[[#This Row],[Bet]])),"F",IF(ISNUMBER(SEARCH("Moneyline",Bets35[[#This Row],[Bet]])),IF(Bets35[[#This Row],[Odds]]&lt;0,"MF","MD"),""))))))</f>
        <v>U</v>
      </c>
      <c r="K338" s="24"/>
      <c r="N338" s="70"/>
      <c r="O338" s="27"/>
    </row>
    <row r="339" spans="1:15" x14ac:dyDescent="0.25">
      <c r="A339" s="13">
        <f t="shared" si="13"/>
        <v>27</v>
      </c>
      <c r="B339" s="17">
        <v>43680</v>
      </c>
      <c r="C339" s="17" t="s">
        <v>802</v>
      </c>
      <c r="D339" s="18" t="s">
        <v>3707</v>
      </c>
      <c r="E339" s="11" t="s">
        <v>905</v>
      </c>
      <c r="F339" s="19">
        <f>IF(Bets35[[#This Row],[Odds]]&lt;0,Bets35[[#This Row],[Odds]]/-10,10)</f>
        <v>11.8</v>
      </c>
      <c r="G339" s="91">
        <v>-118</v>
      </c>
      <c r="H339" s="21" t="s">
        <v>262</v>
      </c>
      <c r="I339" s="45">
        <f>IF(Bets35[[#This Row],[Result]]="L",0-Bets35[[#This Row],[Risk]],IF(Bets35[[#This Row],[Result]]="Push",0,IF(Bets35[[#This Row],[Result]]="No Action",0,IF(Bets35[[#This Row],[Result]]="W",IF(Bets35[[#This Row],[Odds]]&gt;0,Bets35[[#This Row],[Odds]]/100*Bets35[[#This Row],[Risk]],(Bets35[[#This Row],[Risk]]/Bets35[[#This Row],[Odds]]*-100)),""))))</f>
        <v>10</v>
      </c>
      <c r="J339" s="39" t="str">
        <f>IF(ISNUMBER(SEARCH(CHAR(10),Bets35[[#This Row],[Bet]])),"P",IF(ISNUMBER(FIND("Under",Bets35[[#This Row],[Bet]])),"U",IF(ISNUMBER(SEARCH("Over",Bets35[[#This Row],[Bet]])),"O",IF(ISNUMBER(SEARCH("+",Bets35[[#This Row],[Bet]])),"D",IF(ISNUMBER(SEARCH("-",Bets35[[#This Row],[Bet]])),"F",IF(ISNUMBER(SEARCH("Moneyline",Bets35[[#This Row],[Bet]])),IF(Bets35[[#This Row],[Odds]]&lt;0,"MF","MD"),""))))))</f>
        <v>O</v>
      </c>
      <c r="K339" s="24"/>
      <c r="N339" s="70"/>
      <c r="O339" s="27"/>
    </row>
    <row r="340" spans="1:15" x14ac:dyDescent="0.25">
      <c r="A340" s="13">
        <f t="shared" si="13"/>
        <v>27</v>
      </c>
      <c r="B340" s="17">
        <v>43680</v>
      </c>
      <c r="C340" s="17" t="s">
        <v>802</v>
      </c>
      <c r="D340" s="18" t="s">
        <v>3708</v>
      </c>
      <c r="E340" s="11" t="s">
        <v>3659</v>
      </c>
      <c r="F340" s="19">
        <f>IF(Bets35[[#This Row],[Odds]]&lt;0,Bets35[[#This Row],[Odds]]/-10,10)</f>
        <v>13.7</v>
      </c>
      <c r="G340" s="91">
        <v>-137</v>
      </c>
      <c r="H340" s="21" t="s">
        <v>262</v>
      </c>
      <c r="I340" s="45">
        <f>IF(Bets35[[#This Row],[Result]]="L",0-Bets35[[#This Row],[Risk]],IF(Bets35[[#This Row],[Result]]="Push",0,IF(Bets35[[#This Row],[Result]]="No Action",0,IF(Bets35[[#This Row],[Result]]="W",IF(Bets35[[#This Row],[Odds]]&gt;0,Bets35[[#This Row],[Odds]]/100*Bets35[[#This Row],[Risk]],(Bets35[[#This Row],[Risk]]/Bets35[[#This Row],[Odds]]*-100)),""))))</f>
        <v>10</v>
      </c>
      <c r="J340" s="39" t="str">
        <f>IF(ISNUMBER(SEARCH(CHAR(10),Bets35[[#This Row],[Bet]])),"P",IF(ISNUMBER(FIND("Under",Bets35[[#This Row],[Bet]])),"U",IF(ISNUMBER(SEARCH("Over",Bets35[[#This Row],[Bet]])),"O",IF(ISNUMBER(SEARCH("+",Bets35[[#This Row],[Bet]])),"D",IF(ISNUMBER(SEARCH("-",Bets35[[#This Row],[Bet]])),"F",IF(ISNUMBER(SEARCH("Moneyline",Bets35[[#This Row],[Bet]])),IF(Bets35[[#This Row],[Odds]]&lt;0,"MF","MD"),""))))))</f>
        <v>MF</v>
      </c>
      <c r="K340" s="24"/>
      <c r="N340" s="70"/>
      <c r="O340" s="27"/>
    </row>
    <row r="341" spans="1:15" x14ac:dyDescent="0.25">
      <c r="A341" s="13">
        <f t="shared" si="13"/>
        <v>27</v>
      </c>
      <c r="B341" s="17">
        <v>43681</v>
      </c>
      <c r="C341" s="17" t="s">
        <v>802</v>
      </c>
      <c r="D341" s="18" t="s">
        <v>3686</v>
      </c>
      <c r="E341" s="11" t="s">
        <v>870</v>
      </c>
      <c r="F341" s="19">
        <f>IF(Bets35[[#This Row],[Odds]]&lt;0,Bets35[[#This Row],[Odds]]/-10,10)</f>
        <v>20</v>
      </c>
      <c r="G341" s="91">
        <v>-200</v>
      </c>
      <c r="H341" s="21" t="s">
        <v>262</v>
      </c>
      <c r="I341" s="45">
        <f>IF(Bets35[[#This Row],[Result]]="L",0-Bets35[[#This Row],[Risk]],IF(Bets35[[#This Row],[Result]]="Push",0,IF(Bets35[[#This Row],[Result]]="No Action",0,IF(Bets35[[#This Row],[Result]]="W",IF(Bets35[[#This Row],[Odds]]&gt;0,Bets35[[#This Row],[Odds]]/100*Bets35[[#This Row],[Risk]],(Bets35[[#This Row],[Risk]]/Bets35[[#This Row],[Odds]]*-100)),""))))</f>
        <v>10</v>
      </c>
      <c r="J341" s="39" t="str">
        <f>IF(ISNUMBER(SEARCH(CHAR(10),Bets35[[#This Row],[Bet]])),"P",IF(ISNUMBER(FIND("Under",Bets35[[#This Row],[Bet]])),"U",IF(ISNUMBER(SEARCH("Over",Bets35[[#This Row],[Bet]])),"O",IF(ISNUMBER(SEARCH("+",Bets35[[#This Row],[Bet]])),"D",IF(ISNUMBER(SEARCH("-",Bets35[[#This Row],[Bet]])),"F",IF(ISNUMBER(SEARCH("Moneyline",Bets35[[#This Row],[Bet]])),IF(Bets35[[#This Row],[Odds]]&lt;0,"MF","MD"),""))))))</f>
        <v>MF</v>
      </c>
      <c r="K341" s="24"/>
      <c r="N341" s="70"/>
      <c r="O341" s="27"/>
    </row>
    <row r="342" spans="1:15" x14ac:dyDescent="0.25">
      <c r="A342" s="13">
        <f t="shared" si="13"/>
        <v>27</v>
      </c>
      <c r="B342" s="17">
        <v>43681</v>
      </c>
      <c r="C342" s="17" t="s">
        <v>802</v>
      </c>
      <c r="D342" s="18" t="s">
        <v>3707</v>
      </c>
      <c r="E342" s="11" t="s">
        <v>834</v>
      </c>
      <c r="F342" s="19">
        <f>IF(Bets35[[#This Row],[Odds]]&lt;0,Bets35[[#This Row],[Odds]]/-10,10)</f>
        <v>13.6</v>
      </c>
      <c r="G342" s="91">
        <v>-136</v>
      </c>
      <c r="H342" s="21" t="s">
        <v>262</v>
      </c>
      <c r="I342" s="45">
        <f>IF(Bets35[[#This Row],[Result]]="L",0-Bets35[[#This Row],[Risk]],IF(Bets35[[#This Row],[Result]]="Push",0,IF(Bets35[[#This Row],[Result]]="No Action",0,IF(Bets35[[#This Row],[Result]]="W",IF(Bets35[[#This Row],[Odds]]&gt;0,Bets35[[#This Row],[Odds]]/100*Bets35[[#This Row],[Risk]],(Bets35[[#This Row],[Risk]]/Bets35[[#This Row],[Odds]]*-100)),""))))</f>
        <v>10</v>
      </c>
      <c r="J342" s="39" t="str">
        <f>IF(ISNUMBER(SEARCH(CHAR(10),Bets35[[#This Row],[Bet]])),"P",IF(ISNUMBER(FIND("Under",Bets35[[#This Row],[Bet]])),"U",IF(ISNUMBER(SEARCH("Over",Bets35[[#This Row],[Bet]])),"O",IF(ISNUMBER(SEARCH("+",Bets35[[#This Row],[Bet]])),"D",IF(ISNUMBER(SEARCH("-",Bets35[[#This Row],[Bet]])),"F",IF(ISNUMBER(SEARCH("Moneyline",Bets35[[#This Row],[Bet]])),IF(Bets35[[#This Row],[Odds]]&lt;0,"MF","MD"),""))))))</f>
        <v>MF</v>
      </c>
      <c r="K342" s="24"/>
      <c r="N342" s="70"/>
      <c r="O342" s="27"/>
    </row>
    <row r="343" spans="1:15" x14ac:dyDescent="0.25">
      <c r="A343" s="13">
        <f t="shared" si="13"/>
        <v>27</v>
      </c>
      <c r="B343" s="17">
        <v>43681</v>
      </c>
      <c r="C343" s="17" t="s">
        <v>802</v>
      </c>
      <c r="D343" s="18" t="s">
        <v>3728</v>
      </c>
      <c r="E343" s="11" t="s">
        <v>1180</v>
      </c>
      <c r="F343" s="19">
        <f>IF(Bets35[[#This Row],[Odds]]&lt;0,Bets35[[#This Row],[Odds]]/-10,10)</f>
        <v>10</v>
      </c>
      <c r="G343" s="91" t="s">
        <v>934</v>
      </c>
      <c r="H343" s="21" t="s">
        <v>262</v>
      </c>
      <c r="I343" s="45">
        <f>IF(Bets35[[#This Row],[Result]]="L",0-Bets35[[#This Row],[Risk]],IF(Bets35[[#This Row],[Result]]="Push",0,IF(Bets35[[#This Row],[Result]]="No Action",0,IF(Bets35[[#This Row],[Result]]="W",IF(Bets35[[#This Row],[Odds]]&gt;0,Bets35[[#This Row],[Odds]]/100*Bets35[[#This Row],[Risk]],(Bets35[[#This Row],[Risk]]/Bets35[[#This Row],[Odds]]*-100)),""))))</f>
        <v>14</v>
      </c>
      <c r="J343" s="39" t="str">
        <f>IF(ISNUMBER(SEARCH(CHAR(10),Bets35[[#This Row],[Bet]])),"P",IF(ISNUMBER(FIND("Under",Bets35[[#This Row],[Bet]])),"U",IF(ISNUMBER(SEARCH("Over",Bets35[[#This Row],[Bet]])),"O",IF(ISNUMBER(SEARCH("+",Bets35[[#This Row],[Bet]])),"D",IF(ISNUMBER(SEARCH("-",Bets35[[#This Row],[Bet]])),"F",IF(ISNUMBER(SEARCH("Moneyline",Bets35[[#This Row],[Bet]])),IF(Bets35[[#This Row],[Odds]]&lt;0,"MF","MD"),""))))))</f>
        <v>MD</v>
      </c>
      <c r="K343" s="24"/>
      <c r="N343" s="70"/>
      <c r="O343" s="27"/>
    </row>
    <row r="344" spans="1:15" x14ac:dyDescent="0.25">
      <c r="A344" s="13">
        <f t="shared" si="13"/>
        <v>27</v>
      </c>
      <c r="B344" s="17">
        <v>43681</v>
      </c>
      <c r="C344" s="17" t="s">
        <v>802</v>
      </c>
      <c r="D344" s="18" t="s">
        <v>3686</v>
      </c>
      <c r="E344" s="11" t="s">
        <v>1158</v>
      </c>
      <c r="F344" s="19">
        <f>IF(Bets35[[#This Row],[Odds]]&lt;0,Bets35[[#This Row],[Odds]]/-10,10)</f>
        <v>11.7</v>
      </c>
      <c r="G344" s="91">
        <v>-117</v>
      </c>
      <c r="H344" s="21" t="s">
        <v>263</v>
      </c>
      <c r="I344" s="45">
        <f>IF(Bets35[[#This Row],[Result]]="L",0-Bets35[[#This Row],[Risk]],IF(Bets35[[#This Row],[Result]]="Push",0,IF(Bets35[[#This Row],[Result]]="No Action",0,IF(Bets35[[#This Row],[Result]]="W",IF(Bets35[[#This Row],[Odds]]&gt;0,Bets35[[#This Row],[Odds]]/100*Bets35[[#This Row],[Risk]],(Bets35[[#This Row],[Risk]]/Bets35[[#This Row],[Odds]]*-100)),""))))</f>
        <v>-11.7</v>
      </c>
      <c r="J344" s="39" t="str">
        <f>IF(ISNUMBER(SEARCH(CHAR(10),Bets35[[#This Row],[Bet]])),"P",IF(ISNUMBER(FIND("Under",Bets35[[#This Row],[Bet]])),"U",IF(ISNUMBER(SEARCH("Over",Bets35[[#This Row],[Bet]])),"O",IF(ISNUMBER(SEARCH("+",Bets35[[#This Row],[Bet]])),"D",IF(ISNUMBER(SEARCH("-",Bets35[[#This Row],[Bet]])),"F",IF(ISNUMBER(SEARCH("Moneyline",Bets35[[#This Row],[Bet]])),IF(Bets35[[#This Row],[Odds]]&lt;0,"MF","MD"),""))))))</f>
        <v>U</v>
      </c>
      <c r="K344" s="24"/>
      <c r="N344" s="70"/>
      <c r="O344" s="27"/>
    </row>
    <row r="345" spans="1:15" x14ac:dyDescent="0.25">
      <c r="A345" s="13">
        <f t="shared" si="13"/>
        <v>27</v>
      </c>
      <c r="B345" s="17">
        <v>43681</v>
      </c>
      <c r="C345" s="17" t="s">
        <v>802</v>
      </c>
      <c r="D345" s="18" t="s">
        <v>1186</v>
      </c>
      <c r="E345" s="11" t="s">
        <v>3729</v>
      </c>
      <c r="F345" s="19">
        <f>IF(Bets35[[#This Row],[Odds]]&lt;0,Bets35[[#This Row],[Odds]]/-10,10)</f>
        <v>11.4</v>
      </c>
      <c r="G345" s="91">
        <v>-114</v>
      </c>
      <c r="H345" s="21" t="s">
        <v>262</v>
      </c>
      <c r="I345" s="45">
        <f>IF(Bets35[[#This Row],[Result]]="L",0-Bets35[[#This Row],[Risk]],IF(Bets35[[#This Row],[Result]]="Push",0,IF(Bets35[[#This Row],[Result]]="No Action",0,IF(Bets35[[#This Row],[Result]]="W",IF(Bets35[[#This Row],[Odds]]&gt;0,Bets35[[#This Row],[Odds]]/100*Bets35[[#This Row],[Risk]],(Bets35[[#This Row],[Risk]]/Bets35[[#This Row],[Odds]]*-100)),""))))</f>
        <v>10</v>
      </c>
      <c r="J345" s="39" t="str">
        <f>IF(ISNUMBER(SEARCH(CHAR(10),Bets35[[#This Row],[Bet]])),"P",IF(ISNUMBER(FIND("Under",Bets35[[#This Row],[Bet]])),"U",IF(ISNUMBER(SEARCH("Over",Bets35[[#This Row],[Bet]])),"O",IF(ISNUMBER(SEARCH("+",Bets35[[#This Row],[Bet]])),"D",IF(ISNUMBER(SEARCH("-",Bets35[[#This Row],[Bet]])),"F",IF(ISNUMBER(SEARCH("Moneyline",Bets35[[#This Row],[Bet]])),IF(Bets35[[#This Row],[Odds]]&lt;0,"MF","MD"),""))))))</f>
        <v>U</v>
      </c>
      <c r="K345" s="24"/>
      <c r="N345" s="70"/>
      <c r="O345" s="27"/>
    </row>
    <row r="346" spans="1:15" x14ac:dyDescent="0.25">
      <c r="A346" s="13">
        <f t="shared" si="13"/>
        <v>27</v>
      </c>
      <c r="B346" s="17">
        <v>43682</v>
      </c>
      <c r="C346" s="17" t="s">
        <v>802</v>
      </c>
      <c r="D346" s="18" t="s">
        <v>3753</v>
      </c>
      <c r="E346" s="11" t="s">
        <v>3659</v>
      </c>
      <c r="F346" s="19">
        <f>IF(Bets35[[#This Row],[Odds]]&lt;0,Bets35[[#This Row],[Odds]]/-10,10)</f>
        <v>30.5</v>
      </c>
      <c r="G346" s="91">
        <v>-305</v>
      </c>
      <c r="H346" s="21"/>
      <c r="I346" s="45" t="str">
        <f>IF(Bets35[[#This Row],[Result]]="L",0-Bets35[[#This Row],[Risk]],IF(Bets35[[#This Row],[Result]]="Push",0,IF(Bets35[[#This Row],[Result]]="No Action",0,IF(Bets35[[#This Row],[Result]]="W",IF(Bets35[[#This Row],[Odds]]&gt;0,Bets35[[#This Row],[Odds]]/100*Bets35[[#This Row],[Risk]],(Bets35[[#This Row],[Risk]]/Bets35[[#This Row],[Odds]]*-100)),""))))</f>
        <v/>
      </c>
      <c r="J346" s="39" t="str">
        <f>IF(ISNUMBER(SEARCH(CHAR(10),Bets35[[#This Row],[Bet]])),"P",IF(ISNUMBER(FIND("Under",Bets35[[#This Row],[Bet]])),"U",IF(ISNUMBER(SEARCH("Over",Bets35[[#This Row],[Bet]])),"O",IF(ISNUMBER(SEARCH("+",Bets35[[#This Row],[Bet]])),"D",IF(ISNUMBER(SEARCH("-",Bets35[[#This Row],[Bet]])),"F",IF(ISNUMBER(SEARCH("Moneyline",Bets35[[#This Row],[Bet]])),IF(Bets35[[#This Row],[Odds]]&lt;0,"MF","MD"),""))))))</f>
        <v>MF</v>
      </c>
      <c r="K346" s="24"/>
      <c r="N346" s="70"/>
      <c r="O346" s="27"/>
    </row>
    <row r="347" spans="1:15" x14ac:dyDescent="0.25">
      <c r="A347" s="13">
        <f t="shared" si="13"/>
        <v>27</v>
      </c>
      <c r="B347" s="17">
        <v>43682</v>
      </c>
      <c r="C347" s="17" t="s">
        <v>802</v>
      </c>
      <c r="D347" s="18" t="s">
        <v>1364</v>
      </c>
      <c r="E347" s="11" t="s">
        <v>876</v>
      </c>
      <c r="F347" s="19">
        <f>IF(Bets35[[#This Row],[Odds]]&lt;0,Bets35[[#This Row],[Odds]]/-10,10)</f>
        <v>10</v>
      </c>
      <c r="G347" s="91" t="s">
        <v>3754</v>
      </c>
      <c r="H347" s="21"/>
      <c r="I347" s="45" t="str">
        <f>IF(Bets35[[#This Row],[Result]]="L",0-Bets35[[#This Row],[Risk]],IF(Bets35[[#This Row],[Result]]="Push",0,IF(Bets35[[#This Row],[Result]]="No Action",0,IF(Bets35[[#This Row],[Result]]="W",IF(Bets35[[#This Row],[Odds]]&gt;0,Bets35[[#This Row],[Odds]]/100*Bets35[[#This Row],[Risk]],(Bets35[[#This Row],[Risk]]/Bets35[[#This Row],[Odds]]*-100)),""))))</f>
        <v/>
      </c>
      <c r="J347" s="39" t="str">
        <f>IF(ISNUMBER(SEARCH(CHAR(10),Bets35[[#This Row],[Bet]])),"P",IF(ISNUMBER(FIND("Under",Bets35[[#This Row],[Bet]])),"U",IF(ISNUMBER(SEARCH("Over",Bets35[[#This Row],[Bet]])),"O",IF(ISNUMBER(SEARCH("+",Bets35[[#This Row],[Bet]])),"D",IF(ISNUMBER(SEARCH("-",Bets35[[#This Row],[Bet]])),"F",IF(ISNUMBER(SEARCH("Moneyline",Bets35[[#This Row],[Bet]])),IF(Bets35[[#This Row],[Odds]]&lt;0,"MF","MD"),""))))))</f>
        <v>MD</v>
      </c>
      <c r="K347" s="24"/>
      <c r="N347" s="70"/>
      <c r="O347" s="27"/>
    </row>
    <row r="348" spans="1:15" x14ac:dyDescent="0.25">
      <c r="A348" s="13">
        <f t="shared" si="13"/>
        <v>27</v>
      </c>
      <c r="B348" s="17">
        <v>43682</v>
      </c>
      <c r="C348" s="17" t="s">
        <v>802</v>
      </c>
      <c r="D348" s="18" t="s">
        <v>3755</v>
      </c>
      <c r="E348" s="11" t="s">
        <v>1210</v>
      </c>
      <c r="F348" s="19">
        <f>IF(Bets35[[#This Row],[Odds]]&lt;0,Bets35[[#This Row],[Odds]]/-10,10)</f>
        <v>26.5</v>
      </c>
      <c r="G348" s="91">
        <v>-265</v>
      </c>
      <c r="H348" s="21"/>
      <c r="I348" s="45" t="str">
        <f>IF(Bets35[[#This Row],[Result]]="L",0-Bets35[[#This Row],[Risk]],IF(Bets35[[#This Row],[Result]]="Push",0,IF(Bets35[[#This Row],[Result]]="No Action",0,IF(Bets35[[#This Row],[Result]]="W",IF(Bets35[[#This Row],[Odds]]&gt;0,Bets35[[#This Row],[Odds]]/100*Bets35[[#This Row],[Risk]],(Bets35[[#This Row],[Risk]]/Bets35[[#This Row],[Odds]]*-100)),""))))</f>
        <v/>
      </c>
      <c r="J348" s="39" t="str">
        <f>IF(ISNUMBER(SEARCH(CHAR(10),Bets35[[#This Row],[Bet]])),"P",IF(ISNUMBER(FIND("Under",Bets35[[#This Row],[Bet]])),"U",IF(ISNUMBER(SEARCH("Over",Bets35[[#This Row],[Bet]])),"O",IF(ISNUMBER(SEARCH("+",Bets35[[#This Row],[Bet]])),"D",IF(ISNUMBER(SEARCH("-",Bets35[[#This Row],[Bet]])),"F",IF(ISNUMBER(SEARCH("Moneyline",Bets35[[#This Row],[Bet]])),IF(Bets35[[#This Row],[Odds]]&lt;0,"MF","MD"),""))))))</f>
        <v>MF</v>
      </c>
      <c r="K348" s="24"/>
      <c r="N348" s="70"/>
      <c r="O348" s="27"/>
    </row>
    <row r="349" spans="1:15" x14ac:dyDescent="0.25">
      <c r="A349" s="13">
        <f t="shared" si="13"/>
        <v>27</v>
      </c>
      <c r="B349" s="17">
        <v>43682</v>
      </c>
      <c r="C349" s="17" t="s">
        <v>802</v>
      </c>
      <c r="D349" s="18" t="s">
        <v>3753</v>
      </c>
      <c r="E349" s="11" t="s">
        <v>3659</v>
      </c>
      <c r="F349" s="19">
        <f>IF(Bets35[[#This Row],[Odds]]&lt;0,Bets35[[#This Row],[Odds]]/-10,10)</f>
        <v>18</v>
      </c>
      <c r="G349" s="91">
        <v>-180</v>
      </c>
      <c r="H349" s="21"/>
      <c r="I349" s="45" t="str">
        <f>IF(Bets35[[#This Row],[Result]]="L",0-Bets35[[#This Row],[Risk]],IF(Bets35[[#This Row],[Result]]="Push",0,IF(Bets35[[#This Row],[Result]]="No Action",0,IF(Bets35[[#This Row],[Result]]="W",IF(Bets35[[#This Row],[Odds]]&gt;0,Bets35[[#This Row],[Odds]]/100*Bets35[[#This Row],[Risk]],(Bets35[[#This Row],[Risk]]/Bets35[[#This Row],[Odds]]*-100)),""))))</f>
        <v/>
      </c>
      <c r="J349" s="39" t="str">
        <f>IF(ISNUMBER(SEARCH(CHAR(10),Bets35[[#This Row],[Bet]])),"P",IF(ISNUMBER(FIND("Under",Bets35[[#This Row],[Bet]])),"U",IF(ISNUMBER(SEARCH("Over",Bets35[[#This Row],[Bet]])),"O",IF(ISNUMBER(SEARCH("+",Bets35[[#This Row],[Bet]])),"D",IF(ISNUMBER(SEARCH("-",Bets35[[#This Row],[Bet]])),"F",IF(ISNUMBER(SEARCH("Moneyline",Bets35[[#This Row],[Bet]])),IF(Bets35[[#This Row],[Odds]]&lt;0,"MF","MD"),""))))))</f>
        <v>MF</v>
      </c>
      <c r="K349" s="24"/>
      <c r="N349" s="70"/>
      <c r="O349" s="27"/>
    </row>
    <row r="350" spans="1:15" x14ac:dyDescent="0.25">
      <c r="A350" s="13">
        <f t="shared" si="13"/>
        <v>27</v>
      </c>
      <c r="B350" s="17">
        <v>43682</v>
      </c>
      <c r="C350" s="17" t="s">
        <v>802</v>
      </c>
      <c r="D350" s="18" t="s">
        <v>1340</v>
      </c>
      <c r="E350" s="11" t="s">
        <v>819</v>
      </c>
      <c r="F350" s="19">
        <f>IF(Bets35[[#This Row],[Odds]]&lt;0,Bets35[[#This Row],[Odds]]/-10,10)</f>
        <v>24</v>
      </c>
      <c r="G350" s="91">
        <v>-240</v>
      </c>
      <c r="H350" s="21"/>
      <c r="I350" s="45" t="str">
        <f>IF(Bets35[[#This Row],[Result]]="L",0-Bets35[[#This Row],[Risk]],IF(Bets35[[#This Row],[Result]]="Push",0,IF(Bets35[[#This Row],[Result]]="No Action",0,IF(Bets35[[#This Row],[Result]]="W",IF(Bets35[[#This Row],[Odds]]&gt;0,Bets35[[#This Row],[Odds]]/100*Bets35[[#This Row],[Risk]],(Bets35[[#This Row],[Risk]]/Bets35[[#This Row],[Odds]]*-100)),""))))</f>
        <v/>
      </c>
      <c r="J350" s="39" t="str">
        <f>IF(ISNUMBER(SEARCH(CHAR(10),Bets35[[#This Row],[Bet]])),"P",IF(ISNUMBER(FIND("Under",Bets35[[#This Row],[Bet]])),"U",IF(ISNUMBER(SEARCH("Over",Bets35[[#This Row],[Bet]])),"O",IF(ISNUMBER(SEARCH("+",Bets35[[#This Row],[Bet]])),"D",IF(ISNUMBER(SEARCH("-",Bets35[[#This Row],[Bet]])),"F",IF(ISNUMBER(SEARCH("Moneyline",Bets35[[#This Row],[Bet]])),IF(Bets35[[#This Row],[Odds]]&lt;0,"MF","MD"),""))))))</f>
        <v>MF</v>
      </c>
      <c r="K350" s="24"/>
      <c r="N350" s="70"/>
      <c r="O350" s="27"/>
    </row>
    <row r="351" spans="1:15" x14ac:dyDescent="0.25">
      <c r="A351" s="13">
        <f t="shared" si="13"/>
        <v>27</v>
      </c>
      <c r="B351" s="17">
        <v>43682</v>
      </c>
      <c r="C351" s="17" t="s">
        <v>802</v>
      </c>
      <c r="D351" s="18" t="s">
        <v>3756</v>
      </c>
      <c r="E351" s="11" t="s">
        <v>834</v>
      </c>
      <c r="F351" s="19">
        <f>IF(Bets35[[#This Row],[Odds]]&lt;0,Bets35[[#This Row],[Odds]]/-10,10)</f>
        <v>10</v>
      </c>
      <c r="G351" s="91" t="s">
        <v>825</v>
      </c>
      <c r="H351" s="21"/>
      <c r="I351" s="45" t="str">
        <f>IF(Bets35[[#This Row],[Result]]="L",0-Bets35[[#This Row],[Risk]],IF(Bets35[[#This Row],[Result]]="Push",0,IF(Bets35[[#This Row],[Result]]="No Action",0,IF(Bets35[[#This Row],[Result]]="W",IF(Bets35[[#This Row],[Odds]]&gt;0,Bets35[[#This Row],[Odds]]/100*Bets35[[#This Row],[Risk]],(Bets35[[#This Row],[Risk]]/Bets35[[#This Row],[Odds]]*-100)),""))))</f>
        <v/>
      </c>
      <c r="J351" s="39" t="str">
        <f>IF(ISNUMBER(SEARCH(CHAR(10),Bets35[[#This Row],[Bet]])),"P",IF(ISNUMBER(FIND("Under",Bets35[[#This Row],[Bet]])),"U",IF(ISNUMBER(SEARCH("Over",Bets35[[#This Row],[Bet]])),"O",IF(ISNUMBER(SEARCH("+",Bets35[[#This Row],[Bet]])),"D",IF(ISNUMBER(SEARCH("-",Bets35[[#This Row],[Bet]])),"F",IF(ISNUMBER(SEARCH("Moneyline",Bets35[[#This Row],[Bet]])),IF(Bets35[[#This Row],[Odds]]&lt;0,"MF","MD"),""))))))</f>
        <v>MD</v>
      </c>
      <c r="K351" s="24"/>
      <c r="N351" s="70"/>
      <c r="O351" s="27"/>
    </row>
    <row r="352" spans="1:15" x14ac:dyDescent="0.25">
      <c r="A352" s="13">
        <f t="shared" si="13"/>
        <v>27</v>
      </c>
      <c r="B352" s="17">
        <v>43682</v>
      </c>
      <c r="C352" s="17" t="s">
        <v>802</v>
      </c>
      <c r="D352" s="18" t="s">
        <v>3757</v>
      </c>
      <c r="E352" s="11" t="s">
        <v>899</v>
      </c>
      <c r="F352" s="19">
        <f>IF(Bets35[[#This Row],[Odds]]&lt;0,Bets35[[#This Row],[Odds]]/-10,10)</f>
        <v>10</v>
      </c>
      <c r="G352" s="91" t="s">
        <v>934</v>
      </c>
      <c r="H352" s="21"/>
      <c r="I352" s="45" t="str">
        <f>IF(Bets35[[#This Row],[Result]]="L",0-Bets35[[#This Row],[Risk]],IF(Bets35[[#This Row],[Result]]="Push",0,IF(Bets35[[#This Row],[Result]]="No Action",0,IF(Bets35[[#This Row],[Result]]="W",IF(Bets35[[#This Row],[Odds]]&gt;0,Bets35[[#This Row],[Odds]]/100*Bets35[[#This Row],[Risk]],(Bets35[[#This Row],[Risk]]/Bets35[[#This Row],[Odds]]*-100)),""))))</f>
        <v/>
      </c>
      <c r="J352" s="39" t="str">
        <f>IF(ISNUMBER(SEARCH(CHAR(10),Bets35[[#This Row],[Bet]])),"P",IF(ISNUMBER(FIND("Under",Bets35[[#This Row],[Bet]])),"U",IF(ISNUMBER(SEARCH("Over",Bets35[[#This Row],[Bet]])),"O",IF(ISNUMBER(SEARCH("+",Bets35[[#This Row],[Bet]])),"D",IF(ISNUMBER(SEARCH("-",Bets35[[#This Row],[Bet]])),"F",IF(ISNUMBER(SEARCH("Moneyline",Bets35[[#This Row],[Bet]])),IF(Bets35[[#This Row],[Odds]]&lt;0,"MF","MD"),""))))))</f>
        <v>MD</v>
      </c>
      <c r="K352" s="24"/>
      <c r="N352" s="70"/>
      <c r="O352" s="27"/>
    </row>
    <row r="353" spans="1:15" x14ac:dyDescent="0.25">
      <c r="A353" s="13">
        <f t="shared" si="13"/>
        <v>27</v>
      </c>
      <c r="B353" s="17">
        <v>43682</v>
      </c>
      <c r="C353" s="17" t="s">
        <v>802</v>
      </c>
      <c r="D353" s="18" t="s">
        <v>3758</v>
      </c>
      <c r="E353" s="11" t="s">
        <v>879</v>
      </c>
      <c r="F353" s="19">
        <f>IF(Bets35[[#This Row],[Odds]]&lt;0,Bets35[[#This Row],[Odds]]/-10,10)</f>
        <v>11.5</v>
      </c>
      <c r="G353" s="91">
        <v>-115</v>
      </c>
      <c r="H353" s="21"/>
      <c r="I353" s="45" t="str">
        <f>IF(Bets35[[#This Row],[Result]]="L",0-Bets35[[#This Row],[Risk]],IF(Bets35[[#This Row],[Result]]="Push",0,IF(Bets35[[#This Row],[Result]]="No Action",0,IF(Bets35[[#This Row],[Result]]="W",IF(Bets35[[#This Row],[Odds]]&gt;0,Bets35[[#This Row],[Odds]]/100*Bets35[[#This Row],[Risk]],(Bets35[[#This Row],[Risk]]/Bets35[[#This Row],[Odds]]*-100)),""))))</f>
        <v/>
      </c>
      <c r="J353" s="39" t="str">
        <f>IF(ISNUMBER(SEARCH(CHAR(10),Bets35[[#This Row],[Bet]])),"P",IF(ISNUMBER(FIND("Under",Bets35[[#This Row],[Bet]])),"U",IF(ISNUMBER(SEARCH("Over",Bets35[[#This Row],[Bet]])),"O",IF(ISNUMBER(SEARCH("+",Bets35[[#This Row],[Bet]])),"D",IF(ISNUMBER(SEARCH("-",Bets35[[#This Row],[Bet]])),"F",IF(ISNUMBER(SEARCH("Moneyline",Bets35[[#This Row],[Bet]])),IF(Bets35[[#This Row],[Odds]]&lt;0,"MF","MD"),""))))))</f>
        <v>U</v>
      </c>
      <c r="K353" s="24"/>
      <c r="N353" s="70"/>
      <c r="O353" s="27"/>
    </row>
    <row r="354" spans="1:15" x14ac:dyDescent="0.25">
      <c r="A354" s="13">
        <f t="shared" si="13"/>
        <v>27</v>
      </c>
      <c r="B354" s="17"/>
      <c r="C354" s="17"/>
      <c r="D354" s="18"/>
      <c r="E354" s="11"/>
      <c r="F354" s="19"/>
      <c r="G354" s="20"/>
      <c r="H354" s="21"/>
      <c r="I354" s="22"/>
      <c r="J354" s="35"/>
      <c r="K354" s="24"/>
      <c r="N354" s="70"/>
      <c r="O354" s="27"/>
    </row>
    <row r="355" spans="1:15" x14ac:dyDescent="0.25">
      <c r="A355" s="13">
        <f t="shared" si="13"/>
        <v>27</v>
      </c>
      <c r="B355" s="17"/>
      <c r="C355" s="17"/>
      <c r="D355" s="18"/>
      <c r="E355" s="11"/>
      <c r="F355" s="19"/>
      <c r="G355" s="36"/>
      <c r="H355" s="21"/>
      <c r="I355" s="22"/>
      <c r="J355" s="35"/>
      <c r="K355" s="24"/>
      <c r="N355" s="70"/>
      <c r="O355" s="27"/>
    </row>
    <row r="356" spans="1:15" x14ac:dyDescent="0.25">
      <c r="A356" s="13">
        <f t="shared" si="13"/>
        <v>27</v>
      </c>
      <c r="B356" s="17"/>
      <c r="C356" s="17"/>
      <c r="D356" s="18"/>
      <c r="E356" s="11"/>
      <c r="F356" s="19"/>
      <c r="G356" s="36"/>
      <c r="H356" s="21"/>
      <c r="I356" s="22"/>
      <c r="J356" s="35"/>
      <c r="K356" s="24"/>
      <c r="N356" s="70"/>
      <c r="O356" s="27"/>
    </row>
    <row r="357" spans="1:15" x14ac:dyDescent="0.25">
      <c r="A357" s="13">
        <f t="shared" si="13"/>
        <v>27</v>
      </c>
      <c r="B357" s="17"/>
      <c r="C357" s="17"/>
      <c r="D357" s="18"/>
      <c r="E357" s="11"/>
      <c r="F357" s="19"/>
      <c r="G357" s="36"/>
      <c r="H357" s="21"/>
      <c r="I357" s="22"/>
      <c r="J357" s="35"/>
      <c r="K357" s="24"/>
      <c r="N357" s="70"/>
      <c r="O357" s="27"/>
    </row>
    <row r="358" spans="1:15" x14ac:dyDescent="0.25">
      <c r="A358" s="13">
        <f t="shared" si="13"/>
        <v>27</v>
      </c>
      <c r="B358" s="17"/>
      <c r="C358" s="17"/>
      <c r="D358" s="18"/>
      <c r="E358" s="11"/>
      <c r="F358" s="19"/>
      <c r="G358" s="36"/>
      <c r="H358" s="21"/>
      <c r="I358" s="22"/>
      <c r="J358" s="35"/>
      <c r="K358" s="24"/>
      <c r="N358" s="70"/>
      <c r="O358" s="27"/>
    </row>
    <row r="359" spans="1:15" x14ac:dyDescent="0.25">
      <c r="A359" s="13">
        <f t="shared" si="13"/>
        <v>27</v>
      </c>
      <c r="B359" s="17"/>
      <c r="C359" s="17"/>
      <c r="D359" s="18"/>
      <c r="E359" s="11"/>
      <c r="F359" s="19"/>
      <c r="G359" s="36"/>
      <c r="H359" s="21"/>
      <c r="I359" s="22"/>
      <c r="J359" s="35"/>
      <c r="K359" s="24"/>
      <c r="N359" s="70"/>
      <c r="O359" s="27"/>
    </row>
    <row r="360" spans="1:15" x14ac:dyDescent="0.25">
      <c r="A360" s="13">
        <f t="shared" si="13"/>
        <v>27</v>
      </c>
      <c r="B360" s="17"/>
      <c r="C360" s="17"/>
      <c r="D360" s="18"/>
      <c r="E360" s="11"/>
      <c r="F360" s="19"/>
      <c r="G360" s="36"/>
      <c r="H360" s="21"/>
      <c r="I360" s="22"/>
      <c r="J360" s="35"/>
      <c r="K360" s="24"/>
      <c r="N360" s="70"/>
      <c r="O360" s="27"/>
    </row>
    <row r="361" spans="1:15" x14ac:dyDescent="0.25">
      <c r="A361" s="13">
        <f t="shared" si="13"/>
        <v>27</v>
      </c>
      <c r="B361" s="17"/>
      <c r="C361" s="17"/>
      <c r="D361" s="18"/>
      <c r="E361" s="11"/>
      <c r="F361" s="19"/>
      <c r="G361" s="36"/>
      <c r="H361" s="21"/>
      <c r="I361" s="22"/>
      <c r="J361" s="35"/>
      <c r="K361" s="24"/>
      <c r="N361" s="70"/>
      <c r="O361" s="27"/>
    </row>
    <row r="362" spans="1:15" x14ac:dyDescent="0.25">
      <c r="A362" s="13">
        <f t="shared" si="13"/>
        <v>27</v>
      </c>
      <c r="B362" s="17"/>
      <c r="C362" s="17"/>
      <c r="D362" s="18"/>
      <c r="E362" s="11"/>
      <c r="F362" s="19"/>
      <c r="G362" s="36"/>
      <c r="H362" s="21"/>
      <c r="I362" s="22"/>
      <c r="J362" s="35"/>
      <c r="K362" s="24"/>
      <c r="N362" s="70"/>
      <c r="O362" s="27"/>
    </row>
    <row r="363" spans="1:15" x14ac:dyDescent="0.25">
      <c r="A363" s="13">
        <f t="shared" si="13"/>
        <v>27</v>
      </c>
      <c r="B363" s="17"/>
      <c r="C363" s="17"/>
      <c r="D363" s="18"/>
      <c r="E363" s="11"/>
      <c r="F363" s="19"/>
      <c r="G363" s="36"/>
      <c r="H363" s="21"/>
      <c r="I363" s="22"/>
      <c r="J363" s="35"/>
      <c r="K363" s="24"/>
      <c r="N363" s="70"/>
      <c r="O363" s="27"/>
    </row>
    <row r="364" spans="1:15" x14ac:dyDescent="0.25">
      <c r="A364" s="13">
        <f t="shared" si="13"/>
        <v>27</v>
      </c>
      <c r="B364" s="17"/>
      <c r="C364" s="17"/>
      <c r="D364" s="18"/>
      <c r="E364" s="11"/>
      <c r="F364" s="19"/>
      <c r="G364" s="36"/>
      <c r="H364" s="21"/>
      <c r="I364" s="22"/>
      <c r="J364" s="35"/>
      <c r="K364" s="24"/>
      <c r="N364" s="70"/>
      <c r="O364" s="27"/>
    </row>
    <row r="365" spans="1:15" x14ac:dyDescent="0.25">
      <c r="A365" s="13">
        <f t="shared" si="13"/>
        <v>27</v>
      </c>
      <c r="B365" s="17"/>
      <c r="C365" s="17"/>
      <c r="D365" s="18"/>
      <c r="E365" s="11"/>
      <c r="F365" s="19"/>
      <c r="G365" s="36"/>
      <c r="H365" s="21"/>
      <c r="I365" s="22"/>
      <c r="J365" s="35"/>
      <c r="K365" s="24"/>
      <c r="N365" s="70"/>
      <c r="O365" s="27"/>
    </row>
    <row r="366" spans="1:15" x14ac:dyDescent="0.25">
      <c r="A366" s="13">
        <f t="shared" si="13"/>
        <v>27</v>
      </c>
      <c r="B366" s="17"/>
      <c r="C366" s="17"/>
      <c r="D366" s="18"/>
      <c r="E366" s="11"/>
      <c r="F366" s="19"/>
      <c r="G366" s="36"/>
      <c r="H366" s="21"/>
      <c r="I366" s="22"/>
      <c r="J366" s="35"/>
      <c r="K366" s="24"/>
      <c r="N366" s="70"/>
      <c r="O366" s="27"/>
    </row>
    <row r="367" spans="1:15" x14ac:dyDescent="0.25">
      <c r="A367" s="13">
        <f t="shared" si="13"/>
        <v>27</v>
      </c>
      <c r="B367" s="17"/>
      <c r="C367" s="17"/>
      <c r="D367" s="18"/>
      <c r="E367" s="11"/>
      <c r="F367" s="19"/>
      <c r="G367" s="36"/>
      <c r="H367" s="21"/>
      <c r="I367" s="22"/>
      <c r="J367" s="35"/>
      <c r="K367" s="24"/>
      <c r="N367" s="70"/>
      <c r="O367" s="27"/>
    </row>
    <row r="368" spans="1:15" x14ac:dyDescent="0.25">
      <c r="A368" s="13">
        <f t="shared" si="13"/>
        <v>27</v>
      </c>
      <c r="B368" s="17"/>
      <c r="C368" s="17"/>
      <c r="D368" s="18"/>
      <c r="E368" s="11"/>
      <c r="F368" s="19"/>
      <c r="G368" s="36"/>
      <c r="H368" s="21"/>
      <c r="I368" s="22"/>
      <c r="J368" s="35"/>
      <c r="K368" s="24"/>
      <c r="N368" s="70"/>
      <c r="O368" s="27"/>
    </row>
    <row r="369" spans="1:15" x14ac:dyDescent="0.25">
      <c r="A369" s="13">
        <f t="shared" si="13"/>
        <v>27</v>
      </c>
      <c r="B369" s="17"/>
      <c r="C369" s="17"/>
      <c r="D369" s="18"/>
      <c r="E369" s="11"/>
      <c r="F369" s="19"/>
      <c r="G369" s="36"/>
      <c r="H369" s="21"/>
      <c r="I369" s="22"/>
      <c r="J369" s="35"/>
      <c r="K369" s="24"/>
      <c r="N369" s="70"/>
      <c r="O369" s="27"/>
    </row>
    <row r="370" spans="1:15" x14ac:dyDescent="0.25">
      <c r="A370" s="13">
        <f t="shared" si="13"/>
        <v>27</v>
      </c>
      <c r="B370" s="17"/>
      <c r="C370" s="17"/>
      <c r="D370" s="18"/>
      <c r="E370" s="11"/>
      <c r="F370" s="19"/>
      <c r="G370" s="36"/>
      <c r="H370" s="21"/>
      <c r="I370" s="22"/>
      <c r="J370" s="35"/>
      <c r="K370" s="24"/>
      <c r="N370" s="70"/>
      <c r="O370" s="27"/>
    </row>
    <row r="371" spans="1:15" x14ac:dyDescent="0.25">
      <c r="A371" s="13">
        <f t="shared" si="13"/>
        <v>27</v>
      </c>
      <c r="B371" s="17"/>
      <c r="C371" s="17"/>
      <c r="D371" s="18"/>
      <c r="E371" s="11"/>
      <c r="F371" s="19"/>
      <c r="G371" s="36"/>
      <c r="H371" s="21"/>
      <c r="I371" s="22"/>
      <c r="J371" s="35"/>
      <c r="K371" s="24"/>
      <c r="N371" s="70"/>
      <c r="O371" s="27"/>
    </row>
    <row r="372" spans="1:15" x14ac:dyDescent="0.25">
      <c r="A372" s="13">
        <f t="shared" si="13"/>
        <v>27</v>
      </c>
      <c r="B372" s="17"/>
      <c r="C372" s="17"/>
      <c r="D372" s="18"/>
      <c r="E372" s="11"/>
      <c r="F372" s="19"/>
      <c r="G372" s="36"/>
      <c r="H372" s="21"/>
      <c r="I372" s="22"/>
      <c r="J372" s="35"/>
      <c r="K372" s="24"/>
      <c r="N372" s="70"/>
      <c r="O372" s="27"/>
    </row>
    <row r="373" spans="1:15" x14ac:dyDescent="0.25">
      <c r="A373" s="13">
        <f t="shared" si="13"/>
        <v>27</v>
      </c>
      <c r="B373" s="17"/>
      <c r="C373" s="17"/>
      <c r="D373" s="18"/>
      <c r="E373" s="11"/>
      <c r="F373" s="19"/>
      <c r="G373" s="36"/>
      <c r="H373" s="21"/>
      <c r="I373" s="22"/>
      <c r="J373" s="35"/>
      <c r="K373" s="24"/>
      <c r="N373" s="70"/>
      <c r="O373" s="27"/>
    </row>
    <row r="374" spans="1:15" x14ac:dyDescent="0.25">
      <c r="A374" s="13">
        <f t="shared" si="13"/>
        <v>27</v>
      </c>
      <c r="B374" s="17"/>
      <c r="C374" s="17"/>
      <c r="D374" s="18"/>
      <c r="E374" s="11"/>
      <c r="F374" s="19"/>
      <c r="G374" s="36"/>
      <c r="H374" s="21"/>
      <c r="I374" s="22"/>
      <c r="J374" s="35"/>
      <c r="K374" s="24"/>
      <c r="N374" s="70"/>
      <c r="O374" s="27"/>
    </row>
    <row r="375" spans="1:15" x14ac:dyDescent="0.25">
      <c r="A375" s="13">
        <f t="shared" si="13"/>
        <v>27</v>
      </c>
      <c r="B375" s="17"/>
      <c r="C375" s="17"/>
      <c r="D375" s="18"/>
      <c r="E375" s="11"/>
      <c r="F375" s="19"/>
      <c r="G375" s="36"/>
      <c r="H375" s="21"/>
      <c r="I375" s="22"/>
      <c r="J375" s="35"/>
      <c r="K375" s="24"/>
      <c r="N375" s="70"/>
      <c r="O375" s="27"/>
    </row>
    <row r="376" spans="1:15" x14ac:dyDescent="0.25">
      <c r="A376" s="13">
        <f t="shared" si="13"/>
        <v>27</v>
      </c>
      <c r="B376" s="17"/>
      <c r="C376" s="17"/>
      <c r="D376" s="18"/>
      <c r="E376" s="11"/>
      <c r="F376" s="19"/>
      <c r="G376" s="36"/>
      <c r="H376" s="21"/>
      <c r="I376" s="22"/>
      <c r="J376" s="35"/>
      <c r="K376" s="24"/>
      <c r="N376" s="70"/>
      <c r="O376" s="27"/>
    </row>
    <row r="377" spans="1:15" x14ac:dyDescent="0.25">
      <c r="A377" s="13">
        <f t="shared" si="13"/>
        <v>27</v>
      </c>
      <c r="B377" s="17"/>
      <c r="C377" s="17"/>
      <c r="D377" s="18"/>
      <c r="E377" s="11"/>
      <c r="F377" s="19"/>
      <c r="G377" s="36"/>
      <c r="H377" s="21"/>
      <c r="I377" s="22"/>
      <c r="J377" s="35"/>
      <c r="K377" s="24"/>
      <c r="N377" s="70"/>
      <c r="O377" s="27"/>
    </row>
    <row r="378" spans="1:15" x14ac:dyDescent="0.25">
      <c r="A378" s="13">
        <f t="shared" si="13"/>
        <v>27</v>
      </c>
      <c r="B378" s="17"/>
      <c r="C378" s="17"/>
      <c r="D378" s="18"/>
      <c r="E378" s="11"/>
      <c r="F378" s="19"/>
      <c r="G378" s="36"/>
      <c r="H378" s="21"/>
      <c r="I378" s="22"/>
      <c r="J378" s="35"/>
      <c r="K378" s="24"/>
      <c r="N378" s="70"/>
      <c r="O378" s="27"/>
    </row>
    <row r="379" spans="1:15" x14ac:dyDescent="0.25">
      <c r="A379" s="13">
        <f t="shared" si="13"/>
        <v>27</v>
      </c>
      <c r="B379" s="17"/>
      <c r="C379" s="17"/>
      <c r="D379" s="18"/>
      <c r="E379" s="11"/>
      <c r="F379" s="19"/>
      <c r="G379" s="36"/>
      <c r="H379" s="21"/>
      <c r="I379" s="22"/>
      <c r="J379" s="35"/>
      <c r="K379" s="24"/>
      <c r="N379" s="70"/>
      <c r="O379" s="27"/>
    </row>
    <row r="380" spans="1:15" x14ac:dyDescent="0.25">
      <c r="A380" s="13">
        <f t="shared" si="13"/>
        <v>27</v>
      </c>
      <c r="B380" s="17"/>
      <c r="C380" s="17"/>
      <c r="D380" s="18"/>
      <c r="E380" s="11"/>
      <c r="F380" s="19"/>
      <c r="G380" s="36"/>
      <c r="H380" s="21"/>
      <c r="I380" s="22"/>
      <c r="J380" s="35"/>
      <c r="K380" s="24"/>
      <c r="N380" s="70"/>
      <c r="O380" s="27"/>
    </row>
    <row r="381" spans="1:15" x14ac:dyDescent="0.25">
      <c r="A381" s="13">
        <f t="shared" si="13"/>
        <v>27</v>
      </c>
      <c r="B381" s="17"/>
      <c r="C381" s="17"/>
      <c r="D381" s="18"/>
      <c r="E381" s="11"/>
      <c r="F381" s="19"/>
      <c r="G381" s="36"/>
      <c r="H381" s="21"/>
      <c r="I381" s="22"/>
      <c r="J381" s="35"/>
      <c r="K381" s="24"/>
      <c r="N381" s="70"/>
      <c r="O381" s="27"/>
    </row>
    <row r="382" spans="1:15" x14ac:dyDescent="0.25">
      <c r="A382" s="13">
        <f t="shared" si="13"/>
        <v>27</v>
      </c>
      <c r="B382" s="17"/>
      <c r="C382" s="17"/>
      <c r="D382" s="18"/>
      <c r="E382" s="11"/>
      <c r="F382" s="19"/>
      <c r="G382" s="36"/>
      <c r="H382" s="21"/>
      <c r="I382" s="22"/>
      <c r="J382" s="35"/>
      <c r="K382" s="24"/>
      <c r="N382" s="70"/>
      <c r="O382" s="27"/>
    </row>
    <row r="383" spans="1:15" x14ac:dyDescent="0.25">
      <c r="A383" s="13">
        <f t="shared" si="13"/>
        <v>27</v>
      </c>
      <c r="B383" s="17"/>
      <c r="C383" s="17"/>
      <c r="D383" s="18"/>
      <c r="E383" s="11"/>
      <c r="F383" s="19"/>
      <c r="G383" s="36"/>
      <c r="H383" s="21"/>
      <c r="I383" s="22"/>
      <c r="J383" s="35"/>
      <c r="K383" s="24"/>
      <c r="N383" s="70"/>
      <c r="O383" s="27"/>
    </row>
    <row r="384" spans="1:15" x14ac:dyDescent="0.25">
      <c r="A384" s="13">
        <f t="shared" si="13"/>
        <v>27</v>
      </c>
      <c r="B384" s="17"/>
      <c r="C384" s="17"/>
      <c r="D384" s="18"/>
      <c r="E384" s="11"/>
      <c r="F384" s="19"/>
      <c r="G384" s="36"/>
      <c r="H384" s="21"/>
      <c r="I384" s="22"/>
      <c r="J384" s="35"/>
      <c r="K384" s="24"/>
      <c r="N384" s="70"/>
      <c r="O384" s="27"/>
    </row>
    <row r="385" spans="1:15" x14ac:dyDescent="0.25">
      <c r="A385" s="13">
        <f t="shared" si="13"/>
        <v>27</v>
      </c>
      <c r="B385" s="17"/>
      <c r="C385" s="17"/>
      <c r="D385" s="18"/>
      <c r="E385" s="11"/>
      <c r="F385" s="19"/>
      <c r="G385" s="36"/>
      <c r="H385" s="21"/>
      <c r="I385" s="22"/>
      <c r="J385" s="35"/>
      <c r="K385" s="24"/>
      <c r="N385" s="70"/>
      <c r="O385" s="27"/>
    </row>
    <row r="386" spans="1:15" x14ac:dyDescent="0.25">
      <c r="A386" s="13">
        <f t="shared" ref="A386:A449" si="14">IF(B483=B482,A385,A385+1)</f>
        <v>27</v>
      </c>
      <c r="B386" s="17"/>
      <c r="C386" s="17"/>
      <c r="D386" s="18"/>
      <c r="E386" s="11"/>
      <c r="F386" s="19"/>
      <c r="G386" s="36"/>
      <c r="H386" s="21"/>
      <c r="I386" s="22"/>
      <c r="J386" s="35"/>
      <c r="K386" s="24"/>
      <c r="N386" s="70"/>
      <c r="O386" s="27"/>
    </row>
    <row r="387" spans="1:15" x14ac:dyDescent="0.25">
      <c r="A387" s="13">
        <f t="shared" si="14"/>
        <v>27</v>
      </c>
      <c r="B387" s="17"/>
      <c r="C387" s="17"/>
      <c r="D387" s="18"/>
      <c r="E387" s="11"/>
      <c r="F387" s="19"/>
      <c r="G387" s="36"/>
      <c r="H387" s="21"/>
      <c r="I387" s="22"/>
      <c r="J387" s="35"/>
      <c r="K387" s="24"/>
      <c r="N387" s="70"/>
      <c r="O387" s="27"/>
    </row>
    <row r="388" spans="1:15" x14ac:dyDescent="0.25">
      <c r="A388" s="13">
        <f t="shared" si="14"/>
        <v>27</v>
      </c>
      <c r="B388" s="17"/>
      <c r="C388" s="17"/>
      <c r="D388" s="18"/>
      <c r="E388" s="11"/>
      <c r="F388" s="19"/>
      <c r="G388" s="36"/>
      <c r="H388" s="21"/>
      <c r="I388" s="22"/>
      <c r="J388" s="35"/>
      <c r="K388" s="24"/>
      <c r="N388" s="70"/>
      <c r="O388" s="27"/>
    </row>
    <row r="389" spans="1:15" x14ac:dyDescent="0.25">
      <c r="A389" s="13">
        <f t="shared" si="14"/>
        <v>27</v>
      </c>
      <c r="B389" s="17"/>
      <c r="C389" s="17"/>
      <c r="D389" s="18"/>
      <c r="E389" s="11"/>
      <c r="F389" s="19"/>
      <c r="G389" s="36"/>
      <c r="H389" s="21"/>
      <c r="I389" s="22"/>
      <c r="J389" s="35"/>
      <c r="K389" s="24"/>
      <c r="N389" s="70"/>
      <c r="O389" s="27"/>
    </row>
    <row r="390" spans="1:15" x14ac:dyDescent="0.25">
      <c r="A390" s="13">
        <f t="shared" si="14"/>
        <v>27</v>
      </c>
      <c r="B390" s="17"/>
      <c r="C390" s="17"/>
      <c r="D390" s="18"/>
      <c r="E390" s="11"/>
      <c r="F390" s="19"/>
      <c r="G390" s="36"/>
      <c r="H390" s="21"/>
      <c r="I390" s="22"/>
      <c r="J390" s="35"/>
      <c r="K390" s="24"/>
      <c r="N390" s="70"/>
      <c r="O390" s="27"/>
    </row>
    <row r="391" spans="1:15" x14ac:dyDescent="0.25">
      <c r="A391" s="13">
        <f t="shared" si="14"/>
        <v>27</v>
      </c>
      <c r="B391" s="17"/>
      <c r="C391" s="17"/>
      <c r="D391" s="18"/>
      <c r="E391" s="11"/>
      <c r="F391" s="19"/>
      <c r="G391" s="36"/>
      <c r="H391" s="21"/>
      <c r="I391" s="22"/>
      <c r="J391" s="35"/>
      <c r="K391" s="24"/>
      <c r="N391" s="70"/>
      <c r="O391" s="27"/>
    </row>
    <row r="392" spans="1:15" x14ac:dyDescent="0.25">
      <c r="A392" s="13">
        <f t="shared" si="14"/>
        <v>27</v>
      </c>
      <c r="B392" s="17"/>
      <c r="C392" s="17"/>
      <c r="D392" s="18"/>
      <c r="E392" s="11"/>
      <c r="F392" s="19"/>
      <c r="G392" s="36"/>
      <c r="H392" s="21"/>
      <c r="I392" s="22"/>
      <c r="J392" s="35"/>
      <c r="K392" s="24"/>
      <c r="N392" s="70"/>
      <c r="O392" s="27"/>
    </row>
    <row r="393" spans="1:15" x14ac:dyDescent="0.25">
      <c r="A393" s="13">
        <f t="shared" si="14"/>
        <v>27</v>
      </c>
      <c r="B393" s="17"/>
      <c r="C393" s="17"/>
      <c r="D393" s="18"/>
      <c r="E393" s="11"/>
      <c r="F393" s="19"/>
      <c r="G393" s="36"/>
      <c r="H393" s="21"/>
      <c r="I393" s="22"/>
      <c r="J393" s="35"/>
      <c r="K393" s="24"/>
      <c r="N393" s="70"/>
      <c r="O393" s="27"/>
    </row>
    <row r="394" spans="1:15" x14ac:dyDescent="0.25">
      <c r="A394" s="13">
        <f t="shared" si="14"/>
        <v>27</v>
      </c>
      <c r="B394" s="17"/>
      <c r="C394" s="17"/>
      <c r="D394" s="18"/>
      <c r="E394" s="11"/>
      <c r="F394" s="19"/>
      <c r="G394" s="36"/>
      <c r="H394" s="21"/>
      <c r="I394" s="22"/>
      <c r="J394" s="35"/>
      <c r="K394" s="24"/>
      <c r="N394" s="70"/>
      <c r="O394" s="27"/>
    </row>
    <row r="395" spans="1:15" x14ac:dyDescent="0.25">
      <c r="A395" s="13">
        <f t="shared" si="14"/>
        <v>27</v>
      </c>
      <c r="B395" s="17"/>
      <c r="C395" s="17"/>
      <c r="D395" s="18"/>
      <c r="E395" s="11"/>
      <c r="F395" s="19"/>
      <c r="G395" s="36"/>
      <c r="H395" s="21"/>
      <c r="I395" s="22"/>
      <c r="J395" s="35"/>
      <c r="K395" s="24"/>
      <c r="N395" s="70"/>
      <c r="O395" s="27"/>
    </row>
    <row r="396" spans="1:15" x14ac:dyDescent="0.25">
      <c r="A396" s="13">
        <f t="shared" si="14"/>
        <v>27</v>
      </c>
      <c r="B396" s="17"/>
      <c r="C396" s="17"/>
      <c r="D396" s="18"/>
      <c r="E396" s="11"/>
      <c r="F396" s="19"/>
      <c r="G396" s="36"/>
      <c r="H396" s="21"/>
      <c r="I396" s="22"/>
      <c r="J396" s="35"/>
      <c r="K396" s="24"/>
      <c r="N396" s="70"/>
      <c r="O396" s="27"/>
    </row>
    <row r="397" spans="1:15" x14ac:dyDescent="0.25">
      <c r="A397" s="13">
        <f t="shared" si="14"/>
        <v>27</v>
      </c>
      <c r="B397" s="17"/>
      <c r="C397" s="17"/>
      <c r="D397" s="18"/>
      <c r="E397" s="11"/>
      <c r="F397" s="19"/>
      <c r="G397" s="36"/>
      <c r="H397" s="21"/>
      <c r="I397" s="22"/>
      <c r="J397" s="35"/>
      <c r="K397" s="24"/>
      <c r="N397" s="70"/>
      <c r="O397" s="27"/>
    </row>
    <row r="398" spans="1:15" x14ac:dyDescent="0.25">
      <c r="A398" s="13">
        <f t="shared" si="14"/>
        <v>27</v>
      </c>
      <c r="B398" s="17"/>
      <c r="C398" s="17"/>
      <c r="D398" s="18"/>
      <c r="E398" s="11"/>
      <c r="F398" s="19"/>
      <c r="G398" s="36"/>
      <c r="H398" s="21"/>
      <c r="I398" s="22"/>
      <c r="J398" s="35"/>
      <c r="K398" s="24"/>
      <c r="N398" s="70"/>
      <c r="O398" s="27"/>
    </row>
    <row r="399" spans="1:15" x14ac:dyDescent="0.25">
      <c r="A399" s="13">
        <f t="shared" si="14"/>
        <v>27</v>
      </c>
      <c r="B399" s="17"/>
      <c r="C399" s="17"/>
      <c r="D399" s="18"/>
      <c r="E399" s="11"/>
      <c r="F399" s="19"/>
      <c r="G399" s="36"/>
      <c r="H399" s="21"/>
      <c r="I399" s="22"/>
      <c r="J399" s="35"/>
      <c r="K399" s="24"/>
      <c r="N399" s="70"/>
      <c r="O399" s="27"/>
    </row>
    <row r="400" spans="1:15" x14ac:dyDescent="0.25">
      <c r="A400" s="13">
        <f t="shared" si="14"/>
        <v>27</v>
      </c>
      <c r="B400" s="17"/>
      <c r="C400" s="17"/>
      <c r="D400" s="18"/>
      <c r="E400" s="11"/>
      <c r="F400" s="19"/>
      <c r="G400" s="36"/>
      <c r="H400" s="21"/>
      <c r="I400" s="22"/>
      <c r="J400" s="35"/>
      <c r="K400" s="24"/>
      <c r="N400" s="70"/>
      <c r="O400" s="27"/>
    </row>
    <row r="401" spans="1:15" x14ac:dyDescent="0.25">
      <c r="A401" s="13">
        <f t="shared" si="14"/>
        <v>27</v>
      </c>
      <c r="B401" s="17"/>
      <c r="C401" s="17"/>
      <c r="D401" s="18"/>
      <c r="E401" s="11"/>
      <c r="F401" s="19"/>
      <c r="G401" s="36"/>
      <c r="H401" s="21"/>
      <c r="I401" s="22"/>
      <c r="J401" s="35"/>
      <c r="K401" s="24"/>
      <c r="N401" s="70"/>
      <c r="O401" s="27"/>
    </row>
    <row r="402" spans="1:15" x14ac:dyDescent="0.25">
      <c r="A402" s="13">
        <f t="shared" si="14"/>
        <v>27</v>
      </c>
      <c r="B402" s="17"/>
      <c r="C402" s="17"/>
      <c r="D402" s="18"/>
      <c r="E402" s="11"/>
      <c r="F402" s="19"/>
      <c r="G402" s="36"/>
      <c r="H402" s="21"/>
      <c r="I402" s="22"/>
      <c r="J402" s="35"/>
      <c r="K402" s="24"/>
      <c r="N402" s="70"/>
      <c r="O402" s="27"/>
    </row>
    <row r="403" spans="1:15" x14ac:dyDescent="0.25">
      <c r="A403" s="13">
        <f t="shared" si="14"/>
        <v>27</v>
      </c>
      <c r="B403" s="17"/>
      <c r="C403" s="17"/>
      <c r="D403" s="18"/>
      <c r="E403" s="11"/>
      <c r="F403" s="19"/>
      <c r="G403" s="36"/>
      <c r="H403" s="21"/>
      <c r="I403" s="22"/>
      <c r="J403" s="35"/>
      <c r="K403" s="24"/>
      <c r="N403" s="70"/>
      <c r="O403" s="27"/>
    </row>
    <row r="404" spans="1:15" x14ac:dyDescent="0.25">
      <c r="A404" s="13">
        <f t="shared" si="14"/>
        <v>27</v>
      </c>
      <c r="B404" s="17"/>
      <c r="C404" s="17"/>
      <c r="D404" s="18"/>
      <c r="E404" s="11"/>
      <c r="F404" s="19"/>
      <c r="G404" s="36"/>
      <c r="H404" s="21"/>
      <c r="I404" s="22"/>
      <c r="J404" s="35"/>
      <c r="K404" s="24"/>
      <c r="N404" s="70"/>
      <c r="O404" s="27"/>
    </row>
    <row r="405" spans="1:15" x14ac:dyDescent="0.25">
      <c r="A405" s="13">
        <f t="shared" si="14"/>
        <v>27</v>
      </c>
      <c r="B405" s="17"/>
      <c r="C405" s="17"/>
      <c r="D405" s="18"/>
      <c r="E405" s="11"/>
      <c r="F405" s="19"/>
      <c r="G405" s="20"/>
      <c r="H405" s="21"/>
      <c r="I405" s="22"/>
      <c r="J405" s="39"/>
      <c r="K405" s="24"/>
      <c r="N405" s="70"/>
      <c r="O405" s="27"/>
    </row>
    <row r="406" spans="1:15" x14ac:dyDescent="0.25">
      <c r="A406" s="13">
        <f t="shared" si="14"/>
        <v>27</v>
      </c>
      <c r="B406" s="17"/>
      <c r="C406" s="17"/>
      <c r="D406" s="18"/>
      <c r="E406" s="11"/>
      <c r="F406" s="19"/>
      <c r="G406" s="20"/>
      <c r="H406" s="21"/>
      <c r="I406" s="22"/>
      <c r="J406" s="39"/>
      <c r="K406" s="24"/>
      <c r="N406" s="70"/>
      <c r="O406" s="27"/>
    </row>
    <row r="407" spans="1:15" x14ac:dyDescent="0.25">
      <c r="A407" s="13">
        <f t="shared" si="14"/>
        <v>27</v>
      </c>
      <c r="B407" s="17"/>
      <c r="C407" s="17"/>
      <c r="D407" s="18"/>
      <c r="E407" s="11"/>
      <c r="F407" s="19"/>
      <c r="G407" s="20"/>
      <c r="H407" s="21"/>
      <c r="I407" s="22"/>
      <c r="J407" s="39"/>
      <c r="K407" s="24"/>
      <c r="N407" s="70"/>
      <c r="O407" s="27"/>
    </row>
    <row r="408" spans="1:15" x14ac:dyDescent="0.25">
      <c r="A408" s="13">
        <f t="shared" si="14"/>
        <v>27</v>
      </c>
      <c r="B408" s="17"/>
      <c r="C408" s="17"/>
      <c r="D408" s="18"/>
      <c r="E408" s="11"/>
      <c r="F408" s="19"/>
      <c r="G408" s="20"/>
      <c r="H408" s="21"/>
      <c r="I408" s="22"/>
      <c r="J408" s="39"/>
      <c r="K408" s="24"/>
      <c r="N408" s="70"/>
      <c r="O408" s="27"/>
    </row>
    <row r="409" spans="1:15" x14ac:dyDescent="0.25">
      <c r="A409" s="13">
        <f t="shared" si="14"/>
        <v>27</v>
      </c>
      <c r="B409" s="17"/>
      <c r="C409" s="17"/>
      <c r="D409" s="18"/>
      <c r="E409" s="11"/>
      <c r="F409" s="19"/>
      <c r="G409" s="20"/>
      <c r="H409" s="21"/>
      <c r="I409" s="22"/>
      <c r="J409" s="39"/>
      <c r="K409" s="24"/>
      <c r="N409" s="70"/>
      <c r="O409" s="27"/>
    </row>
    <row r="410" spans="1:15" x14ac:dyDescent="0.25">
      <c r="A410" s="13">
        <f t="shared" si="14"/>
        <v>27</v>
      </c>
      <c r="B410" s="17"/>
      <c r="C410" s="17"/>
      <c r="D410" s="18"/>
      <c r="E410" s="11"/>
      <c r="F410" s="19"/>
      <c r="G410" s="20"/>
      <c r="H410" s="21"/>
      <c r="I410" s="22"/>
      <c r="J410" s="39"/>
      <c r="K410" s="24"/>
      <c r="N410" s="70"/>
      <c r="O410" s="27"/>
    </row>
    <row r="411" spans="1:15" x14ac:dyDescent="0.25">
      <c r="A411" s="13">
        <f t="shared" si="14"/>
        <v>27</v>
      </c>
      <c r="B411" s="17"/>
      <c r="C411" s="17"/>
      <c r="D411" s="18"/>
      <c r="E411" s="11"/>
      <c r="F411" s="19"/>
      <c r="G411" s="20"/>
      <c r="H411" s="21"/>
      <c r="I411" s="22"/>
      <c r="J411" s="23"/>
      <c r="K411" s="24"/>
      <c r="N411" s="70"/>
      <c r="O411" s="27"/>
    </row>
    <row r="412" spans="1:15" x14ac:dyDescent="0.25">
      <c r="A412" s="13">
        <f t="shared" si="14"/>
        <v>27</v>
      </c>
      <c r="B412" s="17"/>
      <c r="C412" s="17"/>
      <c r="D412" s="18"/>
      <c r="E412" s="11"/>
      <c r="F412" s="19"/>
      <c r="G412" s="20"/>
      <c r="H412" s="21"/>
      <c r="I412" s="22"/>
      <c r="J412" s="39"/>
      <c r="K412" s="24"/>
      <c r="N412" s="70"/>
      <c r="O412" s="27"/>
    </row>
    <row r="413" spans="1:15" x14ac:dyDescent="0.25">
      <c r="A413" s="13">
        <f t="shared" si="14"/>
        <v>27</v>
      </c>
      <c r="B413" s="17"/>
      <c r="C413" s="17"/>
      <c r="D413" s="18"/>
      <c r="E413" s="11"/>
      <c r="F413" s="19"/>
      <c r="G413" s="20"/>
      <c r="H413" s="21"/>
      <c r="I413" s="22"/>
      <c r="J413" s="39"/>
      <c r="K413" s="24"/>
      <c r="N413" s="70"/>
      <c r="O413" s="27"/>
    </row>
    <row r="414" spans="1:15" x14ac:dyDescent="0.25">
      <c r="A414" s="13">
        <f t="shared" si="14"/>
        <v>27</v>
      </c>
      <c r="B414" s="17"/>
      <c r="C414" s="17"/>
      <c r="D414" s="18"/>
      <c r="E414" s="11"/>
      <c r="F414" s="19"/>
      <c r="G414" s="20"/>
      <c r="H414" s="21"/>
      <c r="I414" s="22"/>
      <c r="J414" s="39"/>
      <c r="K414" s="24"/>
      <c r="N414" s="70"/>
      <c r="O414" s="27"/>
    </row>
    <row r="415" spans="1:15" x14ac:dyDescent="0.25">
      <c r="A415" s="13">
        <f t="shared" si="14"/>
        <v>27</v>
      </c>
      <c r="B415" s="17"/>
      <c r="C415" s="17"/>
      <c r="D415" s="18"/>
      <c r="E415" s="11"/>
      <c r="F415" s="19"/>
      <c r="G415" s="20"/>
      <c r="H415" s="21"/>
      <c r="I415" s="22"/>
      <c r="J415" s="39"/>
      <c r="K415" s="24"/>
      <c r="N415" s="70"/>
      <c r="O415" s="27"/>
    </row>
    <row r="416" spans="1:15" x14ac:dyDescent="0.25">
      <c r="A416" s="13">
        <f t="shared" si="14"/>
        <v>27</v>
      </c>
      <c r="B416" s="17"/>
      <c r="C416" s="17"/>
      <c r="D416" s="18"/>
      <c r="E416" s="11"/>
      <c r="F416" s="19"/>
      <c r="G416" s="20"/>
      <c r="H416" s="21"/>
      <c r="I416" s="22"/>
      <c r="J416" s="39"/>
      <c r="K416" s="24"/>
      <c r="N416" s="70"/>
      <c r="O416" s="27"/>
    </row>
    <row r="417" spans="1:15" x14ac:dyDescent="0.25">
      <c r="A417" s="13">
        <f t="shared" si="14"/>
        <v>27</v>
      </c>
      <c r="B417" s="17"/>
      <c r="C417" s="17"/>
      <c r="D417" s="18"/>
      <c r="E417" s="11"/>
      <c r="F417" s="19"/>
      <c r="G417" s="20"/>
      <c r="H417" s="21"/>
      <c r="I417" s="22"/>
      <c r="J417" s="39"/>
      <c r="K417" s="24"/>
      <c r="N417" s="70"/>
      <c r="O417" s="27"/>
    </row>
    <row r="418" spans="1:15" x14ac:dyDescent="0.25">
      <c r="A418" s="13">
        <f t="shared" si="14"/>
        <v>27</v>
      </c>
      <c r="B418" s="17"/>
      <c r="C418" s="17"/>
      <c r="D418" s="18"/>
      <c r="E418" s="11"/>
      <c r="F418" s="19"/>
      <c r="G418" s="20"/>
      <c r="H418" s="21"/>
      <c r="I418" s="22"/>
      <c r="J418" s="39"/>
      <c r="K418" s="24"/>
      <c r="N418" s="70"/>
      <c r="O418" s="27"/>
    </row>
    <row r="419" spans="1:15" x14ac:dyDescent="0.25">
      <c r="A419" s="13">
        <f t="shared" si="14"/>
        <v>27</v>
      </c>
      <c r="B419" s="17"/>
      <c r="C419" s="17"/>
      <c r="D419" s="18"/>
      <c r="E419" s="11"/>
      <c r="F419" s="19"/>
      <c r="G419" s="20"/>
      <c r="H419" s="21"/>
      <c r="I419" s="22"/>
      <c r="J419" s="39"/>
      <c r="K419" s="24"/>
      <c r="N419" s="70"/>
      <c r="O419" s="27"/>
    </row>
    <row r="420" spans="1:15" x14ac:dyDescent="0.25">
      <c r="A420" s="13">
        <f t="shared" si="14"/>
        <v>27</v>
      </c>
      <c r="B420" s="17"/>
      <c r="C420" s="17"/>
      <c r="D420" s="18"/>
      <c r="E420" s="11"/>
      <c r="F420" s="19"/>
      <c r="G420" s="20"/>
      <c r="H420" s="21"/>
      <c r="I420" s="22"/>
      <c r="J420" s="39"/>
      <c r="K420" s="24"/>
      <c r="N420" s="70"/>
      <c r="O420" s="27"/>
    </row>
    <row r="421" spans="1:15" x14ac:dyDescent="0.25">
      <c r="A421" s="13">
        <f t="shared" si="14"/>
        <v>27</v>
      </c>
      <c r="B421" s="17"/>
      <c r="C421" s="17"/>
      <c r="D421" s="18"/>
      <c r="E421" s="11"/>
      <c r="F421" s="19"/>
      <c r="G421" s="20"/>
      <c r="H421" s="21"/>
      <c r="I421" s="22"/>
      <c r="J421" s="39"/>
      <c r="K421" s="24"/>
      <c r="N421" s="70"/>
      <c r="O421" s="27"/>
    </row>
    <row r="422" spans="1:15" x14ac:dyDescent="0.25">
      <c r="A422" s="13">
        <f t="shared" si="14"/>
        <v>27</v>
      </c>
      <c r="B422" s="17"/>
      <c r="C422" s="17"/>
      <c r="D422" s="18"/>
      <c r="E422" s="11"/>
      <c r="F422" s="19"/>
      <c r="G422" s="20"/>
      <c r="H422" s="21"/>
      <c r="I422" s="22"/>
      <c r="J422" s="39"/>
      <c r="K422" s="24"/>
      <c r="N422" s="70"/>
      <c r="O422" s="27"/>
    </row>
    <row r="423" spans="1:15" x14ac:dyDescent="0.25">
      <c r="A423" s="13">
        <f t="shared" si="14"/>
        <v>27</v>
      </c>
      <c r="B423" s="17"/>
      <c r="C423" s="17"/>
      <c r="D423" s="18"/>
      <c r="E423" s="11"/>
      <c r="F423" s="19"/>
      <c r="G423" s="20"/>
      <c r="H423" s="21"/>
      <c r="I423" s="22"/>
      <c r="J423" s="39"/>
      <c r="K423" s="24"/>
      <c r="N423" s="70"/>
      <c r="O423" s="27"/>
    </row>
    <row r="424" spans="1:15" x14ac:dyDescent="0.25">
      <c r="A424" s="13">
        <f t="shared" si="14"/>
        <v>27</v>
      </c>
      <c r="B424" s="17"/>
      <c r="C424" s="17"/>
      <c r="D424" s="18"/>
      <c r="E424" s="11"/>
      <c r="F424" s="19"/>
      <c r="G424" s="20"/>
      <c r="H424" s="21"/>
      <c r="I424" s="22"/>
      <c r="J424" s="39"/>
      <c r="K424" s="24"/>
      <c r="N424" s="70"/>
      <c r="O424" s="27"/>
    </row>
    <row r="425" spans="1:15" x14ac:dyDescent="0.25">
      <c r="A425" s="13">
        <f t="shared" si="14"/>
        <v>27</v>
      </c>
      <c r="B425" s="17"/>
      <c r="C425" s="17"/>
      <c r="D425" s="18"/>
      <c r="E425" s="11"/>
      <c r="F425" s="19"/>
      <c r="G425" s="20"/>
      <c r="H425" s="21"/>
      <c r="I425" s="22"/>
      <c r="J425" s="39"/>
      <c r="K425" s="24"/>
      <c r="N425" s="70"/>
      <c r="O425" s="27"/>
    </row>
    <row r="426" spans="1:15" x14ac:dyDescent="0.25">
      <c r="A426" s="13">
        <f t="shared" si="14"/>
        <v>27</v>
      </c>
      <c r="B426" s="17"/>
      <c r="C426" s="17"/>
      <c r="D426" s="18"/>
      <c r="E426" s="11"/>
      <c r="F426" s="19"/>
      <c r="G426" s="20"/>
      <c r="H426" s="37"/>
      <c r="I426" s="22"/>
      <c r="J426" s="39"/>
      <c r="K426" s="24"/>
      <c r="N426" s="70"/>
      <c r="O426" s="27"/>
    </row>
    <row r="427" spans="1:15" x14ac:dyDescent="0.25">
      <c r="A427" s="13">
        <f t="shared" si="14"/>
        <v>27</v>
      </c>
      <c r="B427" s="17"/>
      <c r="C427" s="17"/>
      <c r="D427" s="18"/>
      <c r="E427" s="11"/>
      <c r="F427" s="19"/>
      <c r="G427" s="20"/>
      <c r="H427" s="37"/>
      <c r="I427" s="22"/>
      <c r="J427" s="39"/>
      <c r="K427" s="24"/>
      <c r="N427" s="70"/>
      <c r="O427" s="27"/>
    </row>
    <row r="428" spans="1:15" x14ac:dyDescent="0.25">
      <c r="A428" s="13">
        <f t="shared" si="14"/>
        <v>27</v>
      </c>
      <c r="B428" s="17"/>
      <c r="C428" s="17"/>
      <c r="D428" s="18"/>
      <c r="E428" s="11"/>
      <c r="F428" s="19"/>
      <c r="G428" s="20"/>
      <c r="H428" s="37"/>
      <c r="I428" s="22"/>
      <c r="J428" s="39"/>
      <c r="K428" s="24"/>
      <c r="N428" s="70"/>
      <c r="O428" s="27"/>
    </row>
    <row r="429" spans="1:15" x14ac:dyDescent="0.25">
      <c r="A429" s="13">
        <f t="shared" si="14"/>
        <v>27</v>
      </c>
      <c r="B429" s="17"/>
      <c r="C429" s="17"/>
      <c r="D429" s="18"/>
      <c r="E429" s="11"/>
      <c r="F429" s="19"/>
      <c r="G429" s="20"/>
      <c r="H429" s="37"/>
      <c r="I429" s="22"/>
      <c r="J429" s="39"/>
      <c r="K429" s="24"/>
      <c r="N429" s="70"/>
      <c r="O429" s="27"/>
    </row>
    <row r="430" spans="1:15" x14ac:dyDescent="0.25">
      <c r="A430" s="13">
        <f t="shared" si="14"/>
        <v>27</v>
      </c>
      <c r="B430" s="17"/>
      <c r="C430" s="17"/>
      <c r="D430" s="18"/>
      <c r="E430" s="11"/>
      <c r="F430" s="19"/>
      <c r="G430" s="20"/>
      <c r="H430" s="37"/>
      <c r="I430" s="22"/>
      <c r="J430" s="39"/>
      <c r="K430" s="24"/>
      <c r="N430" s="70"/>
      <c r="O430" s="27"/>
    </row>
    <row r="431" spans="1:15" x14ac:dyDescent="0.25">
      <c r="A431" s="13">
        <f t="shared" si="14"/>
        <v>27</v>
      </c>
      <c r="B431" s="17"/>
      <c r="C431" s="17"/>
      <c r="D431" s="18"/>
      <c r="E431" s="11"/>
      <c r="F431" s="19"/>
      <c r="G431" s="20"/>
      <c r="H431" s="37"/>
      <c r="I431" s="22"/>
      <c r="J431" s="39"/>
      <c r="K431" s="24"/>
      <c r="N431" s="70"/>
      <c r="O431" s="27"/>
    </row>
    <row r="432" spans="1:15" x14ac:dyDescent="0.25">
      <c r="A432" s="13">
        <f t="shared" si="14"/>
        <v>27</v>
      </c>
      <c r="B432" s="17"/>
      <c r="C432" s="17"/>
      <c r="D432" s="18"/>
      <c r="E432" s="11"/>
      <c r="F432" s="19"/>
      <c r="G432" s="20"/>
      <c r="H432" s="37"/>
      <c r="I432" s="22"/>
      <c r="J432" s="39"/>
      <c r="K432" s="24"/>
      <c r="N432" s="70"/>
      <c r="O432" s="27"/>
    </row>
    <row r="433" spans="1:15" x14ac:dyDescent="0.25">
      <c r="A433" s="13">
        <f t="shared" si="14"/>
        <v>27</v>
      </c>
      <c r="B433" s="17"/>
      <c r="C433" s="17"/>
      <c r="D433" s="18"/>
      <c r="E433" s="11"/>
      <c r="F433" s="19"/>
      <c r="G433" s="20"/>
      <c r="H433" s="37"/>
      <c r="I433" s="22"/>
      <c r="J433" s="39"/>
      <c r="K433" s="24"/>
      <c r="N433" s="70"/>
      <c r="O433" s="27"/>
    </row>
    <row r="434" spans="1:15" x14ac:dyDescent="0.25">
      <c r="A434" s="13">
        <f t="shared" si="14"/>
        <v>27</v>
      </c>
      <c r="B434" s="17"/>
      <c r="C434" s="17"/>
      <c r="D434" s="18"/>
      <c r="E434" s="11"/>
      <c r="F434" s="19"/>
      <c r="G434" s="20"/>
      <c r="H434" s="37"/>
      <c r="I434" s="22"/>
      <c r="J434" s="39"/>
      <c r="K434" s="24"/>
      <c r="N434" s="70"/>
      <c r="O434" s="27"/>
    </row>
    <row r="435" spans="1:15" x14ac:dyDescent="0.25">
      <c r="A435" s="13">
        <f t="shared" si="14"/>
        <v>27</v>
      </c>
      <c r="B435" s="17"/>
      <c r="C435" s="17"/>
      <c r="D435" s="18"/>
      <c r="E435" s="11"/>
      <c r="F435" s="19"/>
      <c r="G435" s="20"/>
      <c r="H435" s="37"/>
      <c r="I435" s="22"/>
      <c r="J435" s="39"/>
      <c r="K435" s="24"/>
      <c r="N435" s="70"/>
      <c r="O435" s="27"/>
    </row>
    <row r="436" spans="1:15" x14ac:dyDescent="0.25">
      <c r="A436" s="13">
        <f t="shared" si="14"/>
        <v>27</v>
      </c>
      <c r="B436" s="17"/>
      <c r="C436" s="17"/>
      <c r="D436" s="18"/>
      <c r="E436" s="11"/>
      <c r="F436" s="19"/>
      <c r="G436" s="20"/>
      <c r="H436" s="37"/>
      <c r="I436" s="22"/>
      <c r="J436" s="39"/>
      <c r="K436" s="24"/>
      <c r="N436" s="70"/>
      <c r="O436" s="27"/>
    </row>
    <row r="437" spans="1:15" x14ac:dyDescent="0.25">
      <c r="A437" s="13">
        <f t="shared" si="14"/>
        <v>27</v>
      </c>
      <c r="B437" s="17"/>
      <c r="C437" s="17"/>
      <c r="D437" s="18"/>
      <c r="E437" s="11"/>
      <c r="F437" s="19"/>
      <c r="G437" s="20"/>
      <c r="H437" s="21"/>
      <c r="I437" s="22"/>
      <c r="J437" s="39"/>
      <c r="K437" s="24"/>
      <c r="N437" s="70"/>
      <c r="O437" s="27"/>
    </row>
    <row r="438" spans="1:15" x14ac:dyDescent="0.25">
      <c r="A438" s="13">
        <f t="shared" si="14"/>
        <v>27</v>
      </c>
      <c r="B438" s="17"/>
      <c r="C438" s="17"/>
      <c r="D438" s="18"/>
      <c r="E438" s="11"/>
      <c r="F438" s="19"/>
      <c r="G438" s="20"/>
      <c r="H438" s="21"/>
      <c r="I438" s="22"/>
      <c r="J438" s="39"/>
      <c r="K438" s="24"/>
      <c r="N438" s="70"/>
      <c r="O438" s="27"/>
    </row>
    <row r="439" spans="1:15" x14ac:dyDescent="0.25">
      <c r="A439" s="13">
        <f t="shared" si="14"/>
        <v>27</v>
      </c>
      <c r="B439" s="17"/>
      <c r="C439" s="17"/>
      <c r="D439" s="18"/>
      <c r="E439" s="11"/>
      <c r="F439" s="19"/>
      <c r="G439" s="20"/>
      <c r="H439" s="37"/>
      <c r="I439" s="22"/>
      <c r="J439" s="39"/>
      <c r="K439" s="24"/>
      <c r="N439" s="70"/>
      <c r="O439" s="27"/>
    </row>
    <row r="440" spans="1:15" x14ac:dyDescent="0.25">
      <c r="A440" s="13">
        <f t="shared" si="14"/>
        <v>27</v>
      </c>
      <c r="B440" s="17"/>
      <c r="C440" s="17"/>
      <c r="D440" s="18"/>
      <c r="E440" s="11"/>
      <c r="F440" s="19"/>
      <c r="G440" s="36"/>
      <c r="H440" s="21"/>
      <c r="I440" s="22"/>
      <c r="J440" s="35"/>
      <c r="K440" s="24"/>
      <c r="N440" s="70"/>
      <c r="O440" s="27"/>
    </row>
    <row r="441" spans="1:15" x14ac:dyDescent="0.25">
      <c r="A441" s="13">
        <f t="shared" si="14"/>
        <v>27</v>
      </c>
      <c r="B441" s="17"/>
      <c r="C441" s="17"/>
      <c r="D441" s="18"/>
      <c r="E441" s="11"/>
      <c r="F441" s="19"/>
      <c r="G441" s="36"/>
      <c r="H441" s="21"/>
      <c r="I441" s="22"/>
      <c r="J441" s="35"/>
      <c r="K441" s="24"/>
      <c r="N441" s="70"/>
      <c r="O441" s="27"/>
    </row>
    <row r="442" spans="1:15" x14ac:dyDescent="0.25">
      <c r="A442" s="13">
        <f t="shared" si="14"/>
        <v>27</v>
      </c>
      <c r="B442" s="17"/>
      <c r="C442" s="17"/>
      <c r="D442" s="18"/>
      <c r="E442" s="11"/>
      <c r="F442" s="19"/>
      <c r="G442" s="36"/>
      <c r="H442" s="21"/>
      <c r="I442" s="22"/>
      <c r="J442" s="35"/>
      <c r="K442" s="24"/>
      <c r="N442" s="70"/>
      <c r="O442" s="27"/>
    </row>
    <row r="443" spans="1:15" x14ac:dyDescent="0.25">
      <c r="A443" s="13">
        <f t="shared" si="14"/>
        <v>27</v>
      </c>
      <c r="B443" s="17"/>
      <c r="C443" s="17"/>
      <c r="D443" s="18"/>
      <c r="E443" s="11"/>
      <c r="F443" s="19"/>
      <c r="G443" s="36"/>
      <c r="H443" s="21"/>
      <c r="I443" s="22"/>
      <c r="J443" s="35"/>
      <c r="K443" s="24"/>
      <c r="N443" s="70"/>
      <c r="O443" s="27"/>
    </row>
    <row r="444" spans="1:15" x14ac:dyDescent="0.25">
      <c r="A444" s="13">
        <f t="shared" si="14"/>
        <v>27</v>
      </c>
      <c r="B444" s="17"/>
      <c r="C444" s="17"/>
      <c r="D444" s="18"/>
      <c r="E444" s="11"/>
      <c r="F444" s="19"/>
      <c r="G444" s="36"/>
      <c r="H444" s="21"/>
      <c r="I444" s="22"/>
      <c r="J444" s="35"/>
      <c r="K444" s="24"/>
      <c r="N444" s="70"/>
      <c r="O444" s="27"/>
    </row>
    <row r="445" spans="1:15" x14ac:dyDescent="0.25">
      <c r="A445" s="13">
        <f t="shared" si="14"/>
        <v>27</v>
      </c>
      <c r="B445" s="17"/>
      <c r="C445" s="17"/>
      <c r="D445" s="18"/>
      <c r="E445" s="11"/>
      <c r="F445" s="19"/>
      <c r="G445" s="36"/>
      <c r="H445" s="21"/>
      <c r="I445" s="22"/>
      <c r="J445" s="35"/>
      <c r="K445" s="24"/>
      <c r="N445" s="70"/>
      <c r="O445" s="27"/>
    </row>
    <row r="446" spans="1:15" x14ac:dyDescent="0.25">
      <c r="A446" s="13">
        <f t="shared" si="14"/>
        <v>27</v>
      </c>
      <c r="B446" s="17"/>
      <c r="C446" s="17"/>
      <c r="D446" s="18"/>
      <c r="E446" s="11"/>
      <c r="F446" s="19"/>
      <c r="G446" s="36"/>
      <c r="H446" s="21"/>
      <c r="I446" s="22"/>
      <c r="J446" s="35"/>
      <c r="K446" s="24"/>
      <c r="N446" s="70"/>
      <c r="O446" s="27"/>
    </row>
    <row r="447" spans="1:15" x14ac:dyDescent="0.25">
      <c r="A447" s="13">
        <f t="shared" si="14"/>
        <v>27</v>
      </c>
      <c r="B447" s="17"/>
      <c r="C447" s="17"/>
      <c r="D447" s="18"/>
      <c r="E447" s="11"/>
      <c r="F447" s="19"/>
      <c r="G447" s="36"/>
      <c r="H447" s="21"/>
      <c r="I447" s="22"/>
      <c r="J447" s="35"/>
      <c r="K447" s="24"/>
      <c r="N447" s="70"/>
      <c r="O447" s="27"/>
    </row>
    <row r="448" spans="1:15" x14ac:dyDescent="0.25">
      <c r="A448" s="13">
        <f t="shared" si="14"/>
        <v>27</v>
      </c>
      <c r="B448" s="17"/>
      <c r="C448" s="17"/>
      <c r="D448" s="18"/>
      <c r="E448" s="11"/>
      <c r="F448" s="19"/>
      <c r="G448" s="36"/>
      <c r="H448" s="21"/>
      <c r="I448" s="22"/>
      <c r="J448" s="35"/>
      <c r="K448" s="24"/>
      <c r="N448" s="70"/>
      <c r="O448" s="27"/>
    </row>
    <row r="449" spans="1:15" x14ac:dyDescent="0.25">
      <c r="A449" s="13">
        <f t="shared" si="14"/>
        <v>27</v>
      </c>
      <c r="B449" s="17"/>
      <c r="C449" s="17"/>
      <c r="D449" s="18"/>
      <c r="E449" s="11"/>
      <c r="F449" s="19"/>
      <c r="G449" s="20"/>
      <c r="H449" s="37"/>
      <c r="I449" s="22"/>
      <c r="J449" s="39"/>
      <c r="K449" s="24"/>
      <c r="N449" s="70"/>
      <c r="O449" s="27"/>
    </row>
    <row r="450" spans="1:15" x14ac:dyDescent="0.25">
      <c r="A450" s="13">
        <f t="shared" ref="A450:A513" si="15">IF(B547=B546,A449,A449+1)</f>
        <v>27</v>
      </c>
      <c r="B450" s="17"/>
      <c r="C450" s="17"/>
      <c r="D450" s="18"/>
      <c r="E450" s="11"/>
      <c r="F450" s="19"/>
      <c r="G450" s="20"/>
      <c r="H450" s="37"/>
      <c r="I450" s="22"/>
      <c r="J450" s="39"/>
      <c r="K450" s="24"/>
      <c r="N450" s="70"/>
      <c r="O450" s="27"/>
    </row>
    <row r="451" spans="1:15" x14ac:dyDescent="0.25">
      <c r="A451" s="13">
        <f t="shared" si="15"/>
        <v>27</v>
      </c>
      <c r="B451" s="17"/>
      <c r="C451" s="17"/>
      <c r="D451" s="18"/>
      <c r="E451" s="11"/>
      <c r="F451" s="19"/>
      <c r="G451" s="20"/>
      <c r="H451" s="37"/>
      <c r="I451" s="22"/>
      <c r="J451" s="39"/>
      <c r="K451" s="24"/>
      <c r="N451" s="70"/>
      <c r="O451" s="27"/>
    </row>
    <row r="452" spans="1:15" x14ac:dyDescent="0.25">
      <c r="A452" s="13">
        <f t="shared" si="15"/>
        <v>27</v>
      </c>
      <c r="B452" s="17"/>
      <c r="C452" s="17"/>
      <c r="D452" s="18"/>
      <c r="E452" s="11"/>
      <c r="F452" s="19"/>
      <c r="G452" s="20"/>
      <c r="H452" s="37"/>
      <c r="I452" s="22"/>
      <c r="J452" s="39"/>
      <c r="K452" s="24"/>
      <c r="N452" s="70"/>
      <c r="O452" s="27"/>
    </row>
    <row r="453" spans="1:15" x14ac:dyDescent="0.25">
      <c r="A453" s="13">
        <f t="shared" si="15"/>
        <v>27</v>
      </c>
      <c r="B453" s="17"/>
      <c r="C453" s="17"/>
      <c r="D453" s="18"/>
      <c r="E453" s="11"/>
      <c r="F453" s="19"/>
      <c r="G453" s="20"/>
      <c r="H453" s="37"/>
      <c r="I453" s="22"/>
      <c r="J453" s="39"/>
      <c r="K453" s="24"/>
      <c r="N453" s="70"/>
      <c r="O453" s="27"/>
    </row>
    <row r="454" spans="1:15" x14ac:dyDescent="0.25">
      <c r="A454" s="13">
        <f t="shared" si="15"/>
        <v>27</v>
      </c>
      <c r="B454" s="17"/>
      <c r="C454" s="17"/>
      <c r="D454" s="18"/>
      <c r="E454" s="11"/>
      <c r="F454" s="19"/>
      <c r="G454" s="20"/>
      <c r="H454" s="37"/>
      <c r="I454" s="22"/>
      <c r="J454" s="39"/>
      <c r="K454" s="24"/>
      <c r="N454" s="70"/>
      <c r="O454" s="27"/>
    </row>
    <row r="455" spans="1:15" x14ac:dyDescent="0.25">
      <c r="A455" s="13">
        <f t="shared" si="15"/>
        <v>27</v>
      </c>
      <c r="B455" s="17"/>
      <c r="C455" s="17"/>
      <c r="D455" s="18"/>
      <c r="E455" s="11"/>
      <c r="F455" s="19"/>
      <c r="G455" s="20"/>
      <c r="H455" s="37"/>
      <c r="I455" s="22"/>
      <c r="J455" s="39"/>
      <c r="K455" s="24"/>
      <c r="N455" s="70"/>
      <c r="O455" s="27"/>
    </row>
    <row r="456" spans="1:15" x14ac:dyDescent="0.25">
      <c r="A456" s="13">
        <f t="shared" si="15"/>
        <v>27</v>
      </c>
      <c r="B456" s="17"/>
      <c r="C456" s="17"/>
      <c r="D456" s="18"/>
      <c r="E456" s="11"/>
      <c r="F456" s="19"/>
      <c r="G456" s="20"/>
      <c r="H456" s="37"/>
      <c r="I456" s="22"/>
      <c r="J456" s="39"/>
      <c r="K456" s="24"/>
      <c r="N456" s="70"/>
      <c r="O456" s="27"/>
    </row>
    <row r="457" spans="1:15" x14ac:dyDescent="0.25">
      <c r="A457" s="13">
        <f t="shared" si="15"/>
        <v>27</v>
      </c>
      <c r="B457" s="17"/>
      <c r="C457" s="17"/>
      <c r="D457" s="18"/>
      <c r="E457" s="11"/>
      <c r="F457" s="19"/>
      <c r="G457" s="20"/>
      <c r="H457" s="37"/>
      <c r="I457" s="22"/>
      <c r="J457" s="39"/>
      <c r="K457" s="24"/>
      <c r="N457" s="70"/>
      <c r="O457" s="27"/>
    </row>
    <row r="458" spans="1:15" x14ac:dyDescent="0.25">
      <c r="A458" s="13">
        <f t="shared" si="15"/>
        <v>27</v>
      </c>
      <c r="B458" s="17"/>
      <c r="C458" s="17"/>
      <c r="D458" s="18"/>
      <c r="E458" s="11"/>
      <c r="F458" s="19"/>
      <c r="G458" s="20"/>
      <c r="H458" s="37"/>
      <c r="I458" s="22"/>
      <c r="J458" s="39"/>
      <c r="K458" s="24"/>
      <c r="N458" s="70"/>
      <c r="O458" s="27"/>
    </row>
    <row r="459" spans="1:15" x14ac:dyDescent="0.25">
      <c r="A459" s="13">
        <f t="shared" si="15"/>
        <v>27</v>
      </c>
      <c r="B459" s="17"/>
      <c r="C459" s="17"/>
      <c r="D459" s="18"/>
      <c r="E459" s="11"/>
      <c r="F459" s="19"/>
      <c r="G459" s="20"/>
      <c r="H459" s="37"/>
      <c r="I459" s="22"/>
      <c r="J459" s="39"/>
      <c r="K459" s="24"/>
      <c r="N459" s="70"/>
      <c r="O459" s="27"/>
    </row>
    <row r="460" spans="1:15" x14ac:dyDescent="0.25">
      <c r="A460" s="13">
        <f t="shared" si="15"/>
        <v>27</v>
      </c>
      <c r="B460" s="17"/>
      <c r="C460" s="17"/>
      <c r="D460" s="18"/>
      <c r="E460" s="11"/>
      <c r="F460" s="19"/>
      <c r="G460" s="20"/>
      <c r="H460" s="37"/>
      <c r="I460" s="22"/>
      <c r="J460" s="39"/>
      <c r="K460" s="24"/>
      <c r="N460" s="70"/>
      <c r="O460" s="27"/>
    </row>
    <row r="461" spans="1:15" x14ac:dyDescent="0.25">
      <c r="A461" s="13">
        <f t="shared" si="15"/>
        <v>27</v>
      </c>
      <c r="B461" s="17"/>
      <c r="C461" s="17"/>
      <c r="D461" s="18"/>
      <c r="E461" s="11"/>
      <c r="F461" s="19"/>
      <c r="G461" s="20"/>
      <c r="H461" s="37"/>
      <c r="I461" s="22"/>
      <c r="J461" s="39"/>
      <c r="K461" s="24"/>
      <c r="N461" s="70"/>
      <c r="O461" s="27"/>
    </row>
    <row r="462" spans="1:15" x14ac:dyDescent="0.25">
      <c r="A462" s="13">
        <f t="shared" si="15"/>
        <v>27</v>
      </c>
      <c r="B462" s="17"/>
      <c r="C462" s="17"/>
      <c r="D462" s="18"/>
      <c r="E462" s="11"/>
      <c r="F462" s="19"/>
      <c r="G462" s="20"/>
      <c r="H462" s="37"/>
      <c r="I462" s="22"/>
      <c r="J462" s="39"/>
      <c r="K462" s="24"/>
      <c r="N462" s="70"/>
      <c r="O462" s="27"/>
    </row>
    <row r="463" spans="1:15" x14ac:dyDescent="0.25">
      <c r="A463" s="13">
        <f t="shared" si="15"/>
        <v>27</v>
      </c>
      <c r="B463" s="17"/>
      <c r="C463" s="17"/>
      <c r="D463" s="18"/>
      <c r="E463" s="11"/>
      <c r="F463" s="19"/>
      <c r="G463" s="20"/>
      <c r="H463" s="37"/>
      <c r="I463" s="22"/>
      <c r="J463" s="39"/>
      <c r="K463" s="24"/>
      <c r="N463" s="70"/>
      <c r="O463" s="27"/>
    </row>
    <row r="464" spans="1:15" x14ac:dyDescent="0.25">
      <c r="A464" s="13">
        <f t="shared" si="15"/>
        <v>27</v>
      </c>
      <c r="B464" s="17"/>
      <c r="C464" s="17"/>
      <c r="D464" s="18"/>
      <c r="E464" s="11"/>
      <c r="F464" s="19"/>
      <c r="G464" s="20"/>
      <c r="H464" s="37"/>
      <c r="I464" s="22"/>
      <c r="J464" s="39"/>
      <c r="K464" s="24"/>
      <c r="N464" s="70"/>
      <c r="O464" s="27"/>
    </row>
    <row r="465" spans="1:15" x14ac:dyDescent="0.25">
      <c r="A465" s="13">
        <f t="shared" si="15"/>
        <v>27</v>
      </c>
      <c r="B465" s="17"/>
      <c r="C465" s="17"/>
      <c r="D465" s="18"/>
      <c r="E465" s="11"/>
      <c r="F465" s="19"/>
      <c r="G465" s="20"/>
      <c r="H465" s="37"/>
      <c r="I465" s="22"/>
      <c r="J465" s="39"/>
      <c r="K465" s="24"/>
      <c r="N465" s="70"/>
      <c r="O465" s="27"/>
    </row>
    <row r="466" spans="1:15" x14ac:dyDescent="0.25">
      <c r="A466" s="13">
        <f t="shared" si="15"/>
        <v>27</v>
      </c>
      <c r="B466" s="17"/>
      <c r="C466" s="17"/>
      <c r="D466" s="18"/>
      <c r="E466" s="11"/>
      <c r="F466" s="19"/>
      <c r="G466" s="20"/>
      <c r="H466" s="37"/>
      <c r="I466" s="22"/>
      <c r="J466" s="39"/>
      <c r="K466" s="24"/>
      <c r="N466" s="70"/>
      <c r="O466" s="27"/>
    </row>
    <row r="467" spans="1:15" x14ac:dyDescent="0.25">
      <c r="A467" s="13">
        <f t="shared" si="15"/>
        <v>27</v>
      </c>
      <c r="B467" s="17"/>
      <c r="C467" s="17"/>
      <c r="D467" s="18"/>
      <c r="E467" s="11"/>
      <c r="F467" s="19"/>
      <c r="G467" s="20"/>
      <c r="H467" s="37"/>
      <c r="I467" s="22"/>
      <c r="J467" s="39"/>
      <c r="K467" s="24"/>
      <c r="N467" s="70"/>
      <c r="O467" s="27"/>
    </row>
    <row r="468" spans="1:15" x14ac:dyDescent="0.25">
      <c r="A468" s="13">
        <f t="shared" si="15"/>
        <v>27</v>
      </c>
      <c r="B468" s="17"/>
      <c r="C468" s="17"/>
      <c r="D468" s="18"/>
      <c r="E468" s="11"/>
      <c r="F468" s="19"/>
      <c r="G468" s="20"/>
      <c r="H468" s="37"/>
      <c r="I468" s="22"/>
      <c r="J468" s="39"/>
      <c r="K468" s="24"/>
      <c r="N468" s="70"/>
      <c r="O468" s="27"/>
    </row>
    <row r="469" spans="1:15" x14ac:dyDescent="0.25">
      <c r="A469" s="13">
        <f t="shared" si="15"/>
        <v>27</v>
      </c>
      <c r="B469" s="17"/>
      <c r="C469" s="17"/>
      <c r="D469" s="18"/>
      <c r="E469" s="11"/>
      <c r="F469" s="19"/>
      <c r="G469" s="20"/>
      <c r="H469" s="37"/>
      <c r="I469" s="22"/>
      <c r="J469" s="39"/>
      <c r="K469" s="24"/>
      <c r="N469" s="70"/>
      <c r="O469" s="27"/>
    </row>
    <row r="470" spans="1:15" x14ac:dyDescent="0.25">
      <c r="A470" s="13">
        <f t="shared" si="15"/>
        <v>27</v>
      </c>
      <c r="B470" s="17"/>
      <c r="C470" s="17"/>
      <c r="D470" s="18"/>
      <c r="E470" s="11"/>
      <c r="F470" s="19"/>
      <c r="G470" s="20"/>
      <c r="H470" s="37"/>
      <c r="I470" s="22"/>
      <c r="J470" s="39"/>
      <c r="K470" s="24"/>
      <c r="N470" s="70"/>
      <c r="O470" s="27"/>
    </row>
    <row r="471" spans="1:15" x14ac:dyDescent="0.25">
      <c r="A471" s="13">
        <f t="shared" si="15"/>
        <v>27</v>
      </c>
      <c r="B471" s="17"/>
      <c r="C471" s="17"/>
      <c r="D471" s="18"/>
      <c r="E471" s="11"/>
      <c r="F471" s="19"/>
      <c r="G471" s="20"/>
      <c r="H471" s="37"/>
      <c r="I471" s="22"/>
      <c r="J471" s="39"/>
      <c r="K471" s="24"/>
      <c r="N471" s="70"/>
      <c r="O471" s="27"/>
    </row>
    <row r="472" spans="1:15" x14ac:dyDescent="0.25">
      <c r="A472" s="13">
        <f t="shared" si="15"/>
        <v>27</v>
      </c>
      <c r="B472" s="17"/>
      <c r="C472" s="17"/>
      <c r="D472" s="18"/>
      <c r="E472" s="11"/>
      <c r="F472" s="19"/>
      <c r="G472" s="20"/>
      <c r="H472" s="37"/>
      <c r="I472" s="22"/>
      <c r="J472" s="39"/>
      <c r="K472" s="24"/>
      <c r="N472" s="70"/>
      <c r="O472" s="27"/>
    </row>
    <row r="473" spans="1:15" x14ac:dyDescent="0.25">
      <c r="A473" s="13">
        <f t="shared" si="15"/>
        <v>27</v>
      </c>
      <c r="B473" s="17"/>
      <c r="C473" s="17"/>
      <c r="D473" s="18"/>
      <c r="E473" s="11"/>
      <c r="F473" s="19"/>
      <c r="G473" s="20"/>
      <c r="H473" s="37"/>
      <c r="I473" s="22"/>
      <c r="J473" s="39"/>
      <c r="K473" s="24"/>
      <c r="N473" s="70"/>
      <c r="O473" s="27"/>
    </row>
    <row r="474" spans="1:15" x14ac:dyDescent="0.25">
      <c r="A474" s="13">
        <f t="shared" si="15"/>
        <v>27</v>
      </c>
      <c r="B474" s="17"/>
      <c r="C474" s="17"/>
      <c r="D474" s="18"/>
      <c r="E474" s="11"/>
      <c r="F474" s="19"/>
      <c r="G474" s="20"/>
      <c r="H474" s="37"/>
      <c r="I474" s="22"/>
      <c r="J474" s="39"/>
      <c r="K474" s="24"/>
      <c r="N474" s="70"/>
      <c r="O474" s="27"/>
    </row>
    <row r="475" spans="1:15" x14ac:dyDescent="0.25">
      <c r="A475" s="13">
        <f t="shared" si="15"/>
        <v>27</v>
      </c>
      <c r="B475" s="17"/>
      <c r="C475" s="17"/>
      <c r="D475" s="18"/>
      <c r="E475" s="11"/>
      <c r="F475" s="19"/>
      <c r="G475" s="20"/>
      <c r="H475" s="37"/>
      <c r="I475" s="22"/>
      <c r="J475" s="39"/>
      <c r="K475" s="24"/>
      <c r="N475" s="70"/>
      <c r="O475" s="27"/>
    </row>
    <row r="476" spans="1:15" x14ac:dyDescent="0.25">
      <c r="A476" s="13">
        <f t="shared" si="15"/>
        <v>27</v>
      </c>
      <c r="B476" s="17"/>
      <c r="C476" s="17"/>
      <c r="D476" s="18"/>
      <c r="E476" s="11"/>
      <c r="F476" s="19"/>
      <c r="G476" s="20"/>
      <c r="H476" s="37"/>
      <c r="I476" s="22"/>
      <c r="J476" s="39"/>
      <c r="K476" s="24"/>
      <c r="N476" s="70"/>
      <c r="O476" s="27"/>
    </row>
    <row r="477" spans="1:15" x14ac:dyDescent="0.25">
      <c r="A477" s="13">
        <f t="shared" si="15"/>
        <v>27</v>
      </c>
      <c r="B477" s="17"/>
      <c r="C477" s="17"/>
      <c r="D477" s="18"/>
      <c r="E477" s="11"/>
      <c r="F477" s="19"/>
      <c r="G477" s="20"/>
      <c r="H477" s="37"/>
      <c r="I477" s="22"/>
      <c r="J477" s="39"/>
      <c r="K477" s="24"/>
      <c r="N477" s="70"/>
      <c r="O477" s="27"/>
    </row>
    <row r="478" spans="1:15" x14ac:dyDescent="0.25">
      <c r="A478" s="13">
        <f t="shared" si="15"/>
        <v>27</v>
      </c>
      <c r="B478" s="17"/>
      <c r="C478" s="17"/>
      <c r="D478" s="18"/>
      <c r="E478" s="11"/>
      <c r="F478" s="19"/>
      <c r="G478" s="20"/>
      <c r="H478" s="37"/>
      <c r="I478" s="22"/>
      <c r="J478" s="39"/>
      <c r="K478" s="24"/>
      <c r="N478" s="70"/>
      <c r="O478" s="27"/>
    </row>
    <row r="479" spans="1:15" x14ac:dyDescent="0.25">
      <c r="A479" s="13">
        <f t="shared" si="15"/>
        <v>27</v>
      </c>
      <c r="B479" s="17"/>
      <c r="C479" s="17"/>
      <c r="D479" s="18"/>
      <c r="E479" s="11"/>
      <c r="F479" s="19"/>
      <c r="G479" s="20"/>
      <c r="H479" s="37"/>
      <c r="I479" s="22"/>
      <c r="J479" s="39"/>
      <c r="K479" s="24"/>
      <c r="N479" s="70"/>
      <c r="O479" s="27"/>
    </row>
    <row r="480" spans="1:15" x14ac:dyDescent="0.25">
      <c r="A480" s="13">
        <f t="shared" si="15"/>
        <v>27</v>
      </c>
      <c r="B480" s="17"/>
      <c r="C480" s="17"/>
      <c r="D480" s="18"/>
      <c r="E480" s="11"/>
      <c r="F480" s="19"/>
      <c r="G480" s="20"/>
      <c r="H480" s="21"/>
      <c r="I480" s="22"/>
      <c r="J480" s="23"/>
      <c r="K480" s="24"/>
      <c r="N480" s="70"/>
      <c r="O480" s="27"/>
    </row>
    <row r="481" spans="1:15" x14ac:dyDescent="0.25">
      <c r="A481" s="13">
        <f t="shared" si="15"/>
        <v>27</v>
      </c>
      <c r="B481" s="17"/>
      <c r="C481" s="17"/>
      <c r="D481" s="18"/>
      <c r="E481" s="11"/>
      <c r="F481" s="19"/>
      <c r="G481" s="36"/>
      <c r="H481" s="21"/>
      <c r="I481" s="22"/>
      <c r="J481" s="35"/>
      <c r="K481" s="24"/>
      <c r="N481" s="70"/>
      <c r="O481" s="27"/>
    </row>
    <row r="482" spans="1:15" x14ac:dyDescent="0.25">
      <c r="A482" s="13">
        <f t="shared" si="15"/>
        <v>27</v>
      </c>
      <c r="B482" s="17"/>
      <c r="C482" s="17"/>
      <c r="D482" s="18"/>
      <c r="E482" s="11"/>
      <c r="F482" s="19"/>
      <c r="G482" s="36"/>
      <c r="H482" s="21"/>
      <c r="I482" s="22"/>
      <c r="J482" s="35"/>
      <c r="K482" s="24"/>
      <c r="N482" s="70"/>
      <c r="O482" s="27"/>
    </row>
    <row r="483" spans="1:15" x14ac:dyDescent="0.25">
      <c r="A483" s="13">
        <f t="shared" si="15"/>
        <v>27</v>
      </c>
      <c r="B483" s="17"/>
      <c r="C483" s="17"/>
      <c r="D483" s="18"/>
      <c r="E483" s="11"/>
      <c r="F483" s="19"/>
      <c r="G483" s="36"/>
      <c r="H483" s="21"/>
      <c r="I483" s="22"/>
      <c r="J483" s="35"/>
      <c r="K483" s="24"/>
      <c r="N483" s="70"/>
      <c r="O483" s="27"/>
    </row>
    <row r="484" spans="1:15" x14ac:dyDescent="0.25">
      <c r="A484" s="13">
        <f t="shared" si="15"/>
        <v>27</v>
      </c>
      <c r="B484" s="17"/>
      <c r="C484" s="17"/>
      <c r="D484" s="18"/>
      <c r="E484" s="11"/>
      <c r="F484" s="19"/>
      <c r="G484" s="36"/>
      <c r="H484" s="21"/>
      <c r="I484" s="22"/>
      <c r="J484" s="35"/>
      <c r="K484" s="24"/>
      <c r="N484" s="70"/>
      <c r="O484" s="27"/>
    </row>
    <row r="485" spans="1:15" x14ac:dyDescent="0.25">
      <c r="A485" s="13">
        <f t="shared" si="15"/>
        <v>27</v>
      </c>
      <c r="B485" s="17"/>
      <c r="C485" s="17"/>
      <c r="D485" s="18"/>
      <c r="E485" s="11"/>
      <c r="F485" s="19"/>
      <c r="G485" s="36"/>
      <c r="H485" s="21"/>
      <c r="I485" s="22"/>
      <c r="J485" s="35"/>
      <c r="K485" s="24"/>
      <c r="N485" s="70"/>
      <c r="O485" s="27"/>
    </row>
    <row r="486" spans="1:15" x14ac:dyDescent="0.25">
      <c r="A486" s="13">
        <f t="shared" si="15"/>
        <v>27</v>
      </c>
      <c r="B486" s="17"/>
      <c r="C486" s="17"/>
      <c r="D486" s="18"/>
      <c r="E486" s="11"/>
      <c r="F486" s="19"/>
      <c r="G486" s="36"/>
      <c r="H486" s="21"/>
      <c r="I486" s="22"/>
      <c r="J486" s="35"/>
      <c r="K486" s="24"/>
      <c r="N486" s="70"/>
      <c r="O486" s="27"/>
    </row>
    <row r="487" spans="1:15" x14ac:dyDescent="0.25">
      <c r="A487" s="13">
        <f t="shared" si="15"/>
        <v>27</v>
      </c>
      <c r="B487" s="17"/>
      <c r="C487" s="17"/>
      <c r="D487" s="18"/>
      <c r="E487" s="11"/>
      <c r="F487" s="19"/>
      <c r="G487" s="36"/>
      <c r="H487" s="21"/>
      <c r="I487" s="22"/>
      <c r="J487" s="35"/>
      <c r="K487" s="24"/>
      <c r="N487" s="70"/>
      <c r="O487" s="27"/>
    </row>
    <row r="488" spans="1:15" x14ac:dyDescent="0.25">
      <c r="A488" s="13">
        <f t="shared" si="15"/>
        <v>27</v>
      </c>
      <c r="B488" s="17"/>
      <c r="C488" s="17"/>
      <c r="D488" s="18"/>
      <c r="E488" s="11"/>
      <c r="F488" s="19"/>
      <c r="G488" s="36"/>
      <c r="H488" s="21"/>
      <c r="I488" s="22"/>
      <c r="J488" s="35"/>
      <c r="K488" s="24"/>
      <c r="N488" s="70"/>
      <c r="O488" s="27"/>
    </row>
    <row r="489" spans="1:15" x14ac:dyDescent="0.25">
      <c r="A489" s="13">
        <f t="shared" si="15"/>
        <v>27</v>
      </c>
      <c r="B489" s="17"/>
      <c r="C489" s="17"/>
      <c r="D489" s="18"/>
      <c r="E489" s="11"/>
      <c r="F489" s="19"/>
      <c r="G489" s="36"/>
      <c r="H489" s="21"/>
      <c r="I489" s="22"/>
      <c r="J489" s="35"/>
      <c r="K489" s="24"/>
      <c r="N489" s="70"/>
      <c r="O489" s="27"/>
    </row>
    <row r="490" spans="1:15" x14ac:dyDescent="0.25">
      <c r="A490" s="13">
        <f t="shared" si="15"/>
        <v>27</v>
      </c>
      <c r="B490" s="17"/>
      <c r="C490" s="17"/>
      <c r="D490" s="18"/>
      <c r="E490" s="11"/>
      <c r="F490" s="19"/>
      <c r="G490" s="20"/>
      <c r="H490" s="37"/>
      <c r="I490" s="22"/>
      <c r="J490" s="39"/>
      <c r="K490" s="24"/>
      <c r="N490" s="70"/>
      <c r="O490" s="27"/>
    </row>
    <row r="491" spans="1:15" x14ac:dyDescent="0.25">
      <c r="A491" s="13">
        <f t="shared" si="15"/>
        <v>27</v>
      </c>
      <c r="B491" s="17"/>
      <c r="C491" s="17"/>
      <c r="D491" s="18"/>
      <c r="E491" s="11"/>
      <c r="F491" s="19"/>
      <c r="G491" s="20"/>
      <c r="H491" s="37"/>
      <c r="I491" s="22"/>
      <c r="J491" s="39"/>
      <c r="K491" s="24"/>
      <c r="N491" s="70"/>
      <c r="O491" s="27"/>
    </row>
    <row r="492" spans="1:15" x14ac:dyDescent="0.25">
      <c r="A492" s="13">
        <f t="shared" si="15"/>
        <v>27</v>
      </c>
      <c r="B492" s="17"/>
      <c r="C492" s="17"/>
      <c r="D492" s="18"/>
      <c r="E492" s="11"/>
      <c r="F492" s="19"/>
      <c r="G492" s="20"/>
      <c r="H492" s="37"/>
      <c r="I492" s="22"/>
      <c r="J492" s="39"/>
      <c r="K492" s="24"/>
      <c r="N492" s="70"/>
      <c r="O492" s="27"/>
    </row>
    <row r="493" spans="1:15" x14ac:dyDescent="0.25">
      <c r="A493" s="13">
        <f t="shared" si="15"/>
        <v>27</v>
      </c>
      <c r="B493" s="17"/>
      <c r="C493" s="17"/>
      <c r="D493" s="18"/>
      <c r="E493" s="11"/>
      <c r="F493" s="19"/>
      <c r="G493" s="20"/>
      <c r="H493" s="37"/>
      <c r="I493" s="22"/>
      <c r="J493" s="39"/>
      <c r="K493" s="24"/>
      <c r="N493" s="70"/>
      <c r="O493" s="27"/>
    </row>
    <row r="494" spans="1:15" x14ac:dyDescent="0.25">
      <c r="A494" s="13">
        <f t="shared" si="15"/>
        <v>27</v>
      </c>
      <c r="B494" s="17"/>
      <c r="C494" s="17"/>
      <c r="D494" s="18"/>
      <c r="E494" s="11"/>
      <c r="F494" s="19"/>
      <c r="G494" s="20"/>
      <c r="H494" s="37"/>
      <c r="I494" s="22"/>
      <c r="J494" s="39"/>
      <c r="K494" s="24"/>
      <c r="N494" s="70"/>
      <c r="O494" s="27"/>
    </row>
    <row r="495" spans="1:15" x14ac:dyDescent="0.25">
      <c r="A495" s="13">
        <f t="shared" si="15"/>
        <v>27</v>
      </c>
      <c r="B495" s="17"/>
      <c r="C495" s="17"/>
      <c r="D495" s="18"/>
      <c r="E495" s="11"/>
      <c r="F495" s="19"/>
      <c r="G495" s="20"/>
      <c r="H495" s="37"/>
      <c r="I495" s="22"/>
      <c r="J495" s="39"/>
      <c r="K495" s="24"/>
      <c r="N495" s="70"/>
      <c r="O495" s="27"/>
    </row>
    <row r="496" spans="1:15" x14ac:dyDescent="0.25">
      <c r="A496" s="13">
        <f t="shared" si="15"/>
        <v>27</v>
      </c>
      <c r="B496" s="17"/>
      <c r="C496" s="17"/>
      <c r="D496" s="18"/>
      <c r="E496" s="11"/>
      <c r="F496" s="19"/>
      <c r="G496" s="20"/>
      <c r="H496" s="37"/>
      <c r="I496" s="22"/>
      <c r="J496" s="39"/>
      <c r="K496" s="24"/>
      <c r="N496" s="70"/>
      <c r="O496" s="27"/>
    </row>
    <row r="497" spans="1:15" x14ac:dyDescent="0.25">
      <c r="A497" s="13">
        <f t="shared" si="15"/>
        <v>27</v>
      </c>
      <c r="B497" s="17"/>
      <c r="C497" s="17"/>
      <c r="D497" s="18"/>
      <c r="E497" s="11"/>
      <c r="F497" s="19"/>
      <c r="G497" s="20"/>
      <c r="H497" s="37"/>
      <c r="I497" s="22"/>
      <c r="J497" s="39"/>
      <c r="K497" s="24"/>
      <c r="N497" s="70"/>
      <c r="O497" s="27"/>
    </row>
    <row r="498" spans="1:15" x14ac:dyDescent="0.25">
      <c r="A498" s="13">
        <f t="shared" si="15"/>
        <v>27</v>
      </c>
      <c r="B498" s="17"/>
      <c r="C498" s="17"/>
      <c r="D498" s="18"/>
      <c r="E498" s="11"/>
      <c r="F498" s="19"/>
      <c r="G498" s="20"/>
      <c r="H498" s="37"/>
      <c r="I498" s="22"/>
      <c r="J498" s="39"/>
      <c r="K498" s="24"/>
      <c r="N498" s="70"/>
      <c r="O498" s="27"/>
    </row>
    <row r="499" spans="1:15" x14ac:dyDescent="0.25">
      <c r="A499" s="13">
        <f t="shared" si="15"/>
        <v>27</v>
      </c>
      <c r="B499" s="17"/>
      <c r="C499" s="17"/>
      <c r="D499" s="18"/>
      <c r="E499" s="11"/>
      <c r="F499" s="19"/>
      <c r="G499" s="20"/>
      <c r="H499" s="37"/>
      <c r="I499" s="22"/>
      <c r="J499" s="39"/>
      <c r="K499" s="24"/>
      <c r="N499" s="70"/>
      <c r="O499" s="27"/>
    </row>
    <row r="500" spans="1:15" x14ac:dyDescent="0.25">
      <c r="A500" s="13">
        <f t="shared" si="15"/>
        <v>27</v>
      </c>
      <c r="B500" s="17"/>
      <c r="C500" s="17"/>
      <c r="D500" s="18"/>
      <c r="E500" s="11"/>
      <c r="F500" s="19"/>
      <c r="G500" s="20"/>
      <c r="H500" s="37"/>
      <c r="I500" s="22"/>
      <c r="J500" s="39"/>
      <c r="K500" s="24"/>
      <c r="N500" s="70"/>
      <c r="O500" s="27"/>
    </row>
    <row r="501" spans="1:15" x14ac:dyDescent="0.25">
      <c r="A501" s="13">
        <f t="shared" si="15"/>
        <v>27</v>
      </c>
      <c r="B501" s="17"/>
      <c r="C501" s="17"/>
      <c r="D501" s="18"/>
      <c r="E501" s="11"/>
      <c r="F501" s="19"/>
      <c r="G501" s="20"/>
      <c r="H501" s="37"/>
      <c r="I501" s="22"/>
      <c r="J501" s="39"/>
      <c r="K501" s="24"/>
      <c r="N501" s="70"/>
      <c r="O501" s="27"/>
    </row>
    <row r="502" spans="1:15" x14ac:dyDescent="0.25">
      <c r="A502" s="13">
        <f t="shared" si="15"/>
        <v>27</v>
      </c>
      <c r="B502" s="17"/>
      <c r="C502" s="17"/>
      <c r="D502" s="18"/>
      <c r="E502" s="11"/>
      <c r="F502" s="19"/>
      <c r="G502" s="20"/>
      <c r="H502" s="37"/>
      <c r="I502" s="22"/>
      <c r="J502" s="39"/>
      <c r="K502" s="24"/>
      <c r="N502" s="70"/>
      <c r="O502" s="27"/>
    </row>
    <row r="503" spans="1:15" x14ac:dyDescent="0.25">
      <c r="A503" s="13">
        <f t="shared" si="15"/>
        <v>27</v>
      </c>
      <c r="B503" s="17"/>
      <c r="C503" s="17"/>
      <c r="D503" s="18"/>
      <c r="E503" s="11"/>
      <c r="F503" s="19"/>
      <c r="G503" s="20"/>
      <c r="H503" s="37"/>
      <c r="I503" s="22"/>
      <c r="J503" s="39"/>
      <c r="K503" s="24"/>
      <c r="N503" s="70"/>
      <c r="O503" s="27"/>
    </row>
    <row r="504" spans="1:15" x14ac:dyDescent="0.25">
      <c r="A504" s="13">
        <f t="shared" si="15"/>
        <v>27</v>
      </c>
      <c r="B504" s="17"/>
      <c r="C504" s="17"/>
      <c r="D504" s="18"/>
      <c r="E504" s="11"/>
      <c r="F504" s="19"/>
      <c r="G504" s="20"/>
      <c r="H504" s="37"/>
      <c r="I504" s="22"/>
      <c r="J504" s="39"/>
      <c r="K504" s="24"/>
      <c r="N504" s="70"/>
      <c r="O504" s="27"/>
    </row>
    <row r="505" spans="1:15" x14ac:dyDescent="0.25">
      <c r="A505" s="13">
        <f t="shared" si="15"/>
        <v>27</v>
      </c>
      <c r="B505" s="17"/>
      <c r="C505" s="17"/>
      <c r="D505" s="18"/>
      <c r="E505" s="11"/>
      <c r="F505" s="19"/>
      <c r="G505" s="20"/>
      <c r="H505" s="37"/>
      <c r="I505" s="22"/>
      <c r="J505" s="39"/>
      <c r="K505" s="24"/>
      <c r="N505" s="70"/>
      <c r="O505" s="27"/>
    </row>
    <row r="506" spans="1:15" x14ac:dyDescent="0.25">
      <c r="A506" s="13">
        <f t="shared" si="15"/>
        <v>27</v>
      </c>
      <c r="B506" s="17"/>
      <c r="C506" s="17"/>
      <c r="D506" s="18"/>
      <c r="E506" s="11"/>
      <c r="F506" s="19"/>
      <c r="G506" s="20"/>
      <c r="H506" s="21"/>
      <c r="I506" s="22"/>
      <c r="J506" s="39"/>
      <c r="K506" s="24"/>
      <c r="N506" s="70"/>
      <c r="O506" s="27"/>
    </row>
    <row r="507" spans="1:15" x14ac:dyDescent="0.25">
      <c r="A507" s="13">
        <f t="shared" si="15"/>
        <v>27</v>
      </c>
      <c r="B507" s="17"/>
      <c r="C507" s="17"/>
      <c r="D507" s="18"/>
      <c r="E507" s="11"/>
      <c r="F507" s="19"/>
      <c r="G507" s="20"/>
      <c r="H507" s="21"/>
      <c r="I507" s="22"/>
      <c r="J507" s="39"/>
      <c r="K507" s="24"/>
      <c r="N507" s="70"/>
      <c r="O507" s="27"/>
    </row>
    <row r="508" spans="1:15" x14ac:dyDescent="0.25">
      <c r="A508" s="13">
        <f t="shared" si="15"/>
        <v>27</v>
      </c>
      <c r="B508" s="17"/>
      <c r="C508" s="17"/>
      <c r="D508" s="18"/>
      <c r="E508" s="11"/>
      <c r="F508" s="19"/>
      <c r="G508" s="20"/>
      <c r="H508" s="21"/>
      <c r="I508" s="22"/>
      <c r="J508" s="39"/>
      <c r="K508" s="24"/>
      <c r="N508" s="70"/>
      <c r="O508" s="27"/>
    </row>
    <row r="509" spans="1:15" x14ac:dyDescent="0.25">
      <c r="A509" s="13">
        <f t="shared" si="15"/>
        <v>27</v>
      </c>
      <c r="B509" s="17"/>
      <c r="C509" s="17"/>
      <c r="D509" s="18"/>
      <c r="E509" s="11"/>
      <c r="F509" s="19"/>
      <c r="G509" s="20"/>
      <c r="H509" s="21"/>
      <c r="I509" s="22"/>
      <c r="J509" s="39"/>
      <c r="K509" s="24"/>
      <c r="N509" s="70"/>
      <c r="O509" s="27"/>
    </row>
    <row r="510" spans="1:15" x14ac:dyDescent="0.25">
      <c r="A510" s="13">
        <f t="shared" si="15"/>
        <v>27</v>
      </c>
      <c r="B510" s="17"/>
      <c r="C510" s="17"/>
      <c r="D510" s="18"/>
      <c r="E510" s="11"/>
      <c r="F510" s="19"/>
      <c r="G510" s="20"/>
      <c r="H510" s="21"/>
      <c r="I510" s="22"/>
      <c r="J510" s="39"/>
      <c r="K510" s="24"/>
      <c r="N510" s="70"/>
      <c r="O510" s="27"/>
    </row>
    <row r="511" spans="1:15" x14ac:dyDescent="0.25">
      <c r="A511" s="13">
        <f t="shared" si="15"/>
        <v>27</v>
      </c>
      <c r="B511" s="17"/>
      <c r="C511" s="17"/>
      <c r="D511" s="18"/>
      <c r="E511" s="11"/>
      <c r="F511" s="19"/>
      <c r="G511" s="20"/>
      <c r="H511" s="21"/>
      <c r="I511" s="22"/>
      <c r="J511" s="39"/>
      <c r="K511" s="24"/>
      <c r="N511" s="70"/>
      <c r="O511" s="27"/>
    </row>
    <row r="512" spans="1:15" x14ac:dyDescent="0.25">
      <c r="A512" s="13">
        <f t="shared" si="15"/>
        <v>27</v>
      </c>
      <c r="B512" s="17"/>
      <c r="C512" s="17"/>
      <c r="D512" s="18"/>
      <c r="E512" s="11"/>
      <c r="F512" s="19"/>
      <c r="G512" s="20"/>
      <c r="H512" s="21"/>
      <c r="I512" s="22"/>
      <c r="J512" s="39"/>
      <c r="K512" s="24"/>
      <c r="N512" s="70"/>
      <c r="O512" s="27"/>
    </row>
    <row r="513" spans="1:15" x14ac:dyDescent="0.25">
      <c r="A513" s="13">
        <f t="shared" si="15"/>
        <v>27</v>
      </c>
      <c r="B513" s="17"/>
      <c r="C513" s="17"/>
      <c r="D513" s="18"/>
      <c r="E513" s="11"/>
      <c r="F513" s="19"/>
      <c r="G513" s="36"/>
      <c r="H513" s="21"/>
      <c r="I513" s="22"/>
      <c r="J513" s="35"/>
      <c r="K513" s="24"/>
      <c r="N513" s="70"/>
      <c r="O513" s="27"/>
    </row>
    <row r="514" spans="1:15" x14ac:dyDescent="0.25">
      <c r="A514" s="13">
        <f t="shared" ref="A514:A577" si="16">IF(B611=B610,A513,A513+1)</f>
        <v>27</v>
      </c>
      <c r="B514" s="17"/>
      <c r="C514" s="17"/>
      <c r="D514" s="18"/>
      <c r="E514" s="11"/>
      <c r="F514" s="19"/>
      <c r="G514" s="36"/>
      <c r="H514" s="21"/>
      <c r="I514" s="22"/>
      <c r="J514" s="35"/>
      <c r="K514" s="24"/>
      <c r="N514" s="70"/>
      <c r="O514" s="27"/>
    </row>
    <row r="515" spans="1:15" x14ac:dyDescent="0.25">
      <c r="A515" s="13">
        <f t="shared" si="16"/>
        <v>27</v>
      </c>
      <c r="B515" s="17"/>
      <c r="C515" s="17"/>
      <c r="D515" s="18"/>
      <c r="E515" s="11"/>
      <c r="F515" s="19"/>
      <c r="G515" s="36"/>
      <c r="H515" s="21"/>
      <c r="I515" s="22"/>
      <c r="J515" s="35"/>
      <c r="K515" s="24"/>
      <c r="N515" s="70"/>
      <c r="O515" s="27"/>
    </row>
    <row r="516" spans="1:15" x14ac:dyDescent="0.25">
      <c r="A516" s="13">
        <f t="shared" si="16"/>
        <v>27</v>
      </c>
      <c r="B516" s="17"/>
      <c r="C516" s="17"/>
      <c r="D516" s="18"/>
      <c r="E516" s="11"/>
      <c r="F516" s="19"/>
      <c r="G516" s="36"/>
      <c r="H516" s="21"/>
      <c r="I516" s="22"/>
      <c r="J516" s="35"/>
      <c r="K516" s="24"/>
      <c r="N516" s="70"/>
      <c r="O516" s="27"/>
    </row>
    <row r="517" spans="1:15" x14ac:dyDescent="0.25">
      <c r="A517" s="13">
        <f t="shared" si="16"/>
        <v>27</v>
      </c>
      <c r="B517" s="17"/>
      <c r="C517" s="17"/>
      <c r="D517" s="18"/>
      <c r="E517" s="11"/>
      <c r="F517" s="19"/>
      <c r="G517" s="36"/>
      <c r="H517" s="21"/>
      <c r="I517" s="22"/>
      <c r="J517" s="35"/>
      <c r="K517" s="24"/>
      <c r="N517" s="70"/>
      <c r="O517" s="27"/>
    </row>
    <row r="518" spans="1:15" x14ac:dyDescent="0.25">
      <c r="A518" s="13">
        <f t="shared" si="16"/>
        <v>27</v>
      </c>
      <c r="B518" s="17"/>
      <c r="C518" s="17"/>
      <c r="D518" s="18"/>
      <c r="E518" s="11"/>
      <c r="F518" s="19"/>
      <c r="G518" s="36"/>
      <c r="H518" s="21"/>
      <c r="I518" s="22"/>
      <c r="J518" s="35"/>
      <c r="K518" s="24"/>
      <c r="N518" s="70"/>
      <c r="O518" s="27"/>
    </row>
    <row r="519" spans="1:15" x14ac:dyDescent="0.25">
      <c r="A519" s="13">
        <f t="shared" si="16"/>
        <v>27</v>
      </c>
      <c r="B519" s="17"/>
      <c r="C519" s="17"/>
      <c r="D519" s="18"/>
      <c r="E519" s="11"/>
      <c r="F519" s="19"/>
      <c r="G519" s="36"/>
      <c r="H519" s="21"/>
      <c r="I519" s="22"/>
      <c r="J519" s="35"/>
      <c r="K519" s="24"/>
      <c r="N519" s="70"/>
      <c r="O519" s="27"/>
    </row>
    <row r="520" spans="1:15" x14ac:dyDescent="0.25">
      <c r="A520" s="13">
        <f t="shared" si="16"/>
        <v>27</v>
      </c>
      <c r="B520" s="17"/>
      <c r="C520" s="17"/>
      <c r="D520" s="18"/>
      <c r="E520" s="11"/>
      <c r="F520" s="19"/>
      <c r="G520" s="36"/>
      <c r="H520" s="21"/>
      <c r="I520" s="22"/>
      <c r="J520" s="35"/>
      <c r="K520" s="24"/>
      <c r="N520" s="70"/>
      <c r="O520" s="27"/>
    </row>
    <row r="521" spans="1:15" x14ac:dyDescent="0.25">
      <c r="A521" s="13">
        <f t="shared" si="16"/>
        <v>27</v>
      </c>
      <c r="B521" s="17"/>
      <c r="C521" s="17"/>
      <c r="D521" s="18"/>
      <c r="E521" s="11"/>
      <c r="F521" s="19"/>
      <c r="G521" s="36"/>
      <c r="H521" s="21"/>
      <c r="I521" s="22"/>
      <c r="J521" s="35"/>
      <c r="K521" s="24"/>
      <c r="N521" s="70"/>
      <c r="O521" s="27"/>
    </row>
    <row r="522" spans="1:15" x14ac:dyDescent="0.25">
      <c r="A522" s="13">
        <f t="shared" si="16"/>
        <v>27</v>
      </c>
      <c r="B522" s="17"/>
      <c r="C522" s="17"/>
      <c r="D522" s="18"/>
      <c r="E522" s="11"/>
      <c r="F522" s="19"/>
      <c r="G522" s="36"/>
      <c r="H522" s="21"/>
      <c r="I522" s="22"/>
      <c r="J522" s="35"/>
      <c r="K522" s="24"/>
      <c r="N522" s="70"/>
      <c r="O522" s="27"/>
    </row>
    <row r="523" spans="1:15" x14ac:dyDescent="0.25">
      <c r="A523" s="13">
        <f t="shared" si="16"/>
        <v>27</v>
      </c>
      <c r="B523" s="17"/>
      <c r="C523" s="17"/>
      <c r="D523" s="18"/>
      <c r="E523" s="11"/>
      <c r="F523" s="19"/>
      <c r="G523" s="36"/>
      <c r="H523" s="21"/>
      <c r="I523" s="22"/>
      <c r="J523" s="35"/>
      <c r="K523" s="24"/>
      <c r="N523" s="70"/>
      <c r="O523" s="27"/>
    </row>
    <row r="524" spans="1:15" x14ac:dyDescent="0.25">
      <c r="A524" s="13">
        <f t="shared" si="16"/>
        <v>27</v>
      </c>
      <c r="B524" s="17"/>
      <c r="C524" s="17"/>
      <c r="D524" s="18"/>
      <c r="E524" s="11"/>
      <c r="F524" s="19"/>
      <c r="G524" s="36"/>
      <c r="H524" s="21"/>
      <c r="I524" s="22"/>
      <c r="J524" s="35"/>
      <c r="K524" s="24"/>
      <c r="N524" s="70"/>
      <c r="O524" s="27"/>
    </row>
    <row r="525" spans="1:15" x14ac:dyDescent="0.25">
      <c r="A525" s="13">
        <f t="shared" si="16"/>
        <v>27</v>
      </c>
      <c r="B525" s="17"/>
      <c r="C525" s="17"/>
      <c r="D525" s="18"/>
      <c r="E525" s="11"/>
      <c r="F525" s="19"/>
      <c r="G525" s="36"/>
      <c r="H525" s="21"/>
      <c r="I525" s="22"/>
      <c r="J525" s="35"/>
      <c r="K525" s="24"/>
      <c r="N525" s="70"/>
      <c r="O525" s="27"/>
    </row>
    <row r="526" spans="1:15" x14ac:dyDescent="0.25">
      <c r="A526" s="13">
        <f t="shared" si="16"/>
        <v>27</v>
      </c>
      <c r="B526" s="17"/>
      <c r="C526" s="17"/>
      <c r="D526" s="18"/>
      <c r="E526" s="11"/>
      <c r="F526" s="19"/>
      <c r="G526" s="36"/>
      <c r="H526" s="21"/>
      <c r="I526" s="22"/>
      <c r="J526" s="35"/>
      <c r="K526" s="24"/>
      <c r="N526" s="70"/>
      <c r="O526" s="27"/>
    </row>
    <row r="527" spans="1:15" x14ac:dyDescent="0.25">
      <c r="A527" s="13">
        <f t="shared" si="16"/>
        <v>27</v>
      </c>
      <c r="B527" s="17"/>
      <c r="C527" s="17"/>
      <c r="D527" s="18"/>
      <c r="E527" s="11"/>
      <c r="F527" s="19"/>
      <c r="G527" s="36"/>
      <c r="H527" s="21"/>
      <c r="I527" s="22"/>
      <c r="J527" s="35"/>
      <c r="K527" s="24"/>
      <c r="N527" s="70"/>
      <c r="O527" s="27"/>
    </row>
    <row r="528" spans="1:15" x14ac:dyDescent="0.25">
      <c r="A528" s="13">
        <f t="shared" si="16"/>
        <v>27</v>
      </c>
      <c r="B528" s="17"/>
      <c r="C528" s="17"/>
      <c r="D528" s="18"/>
      <c r="E528" s="11"/>
      <c r="F528" s="19"/>
      <c r="G528" s="20"/>
      <c r="H528" s="21"/>
      <c r="I528" s="22"/>
      <c r="J528" s="39"/>
      <c r="K528" s="24"/>
      <c r="N528" s="70"/>
      <c r="O528" s="27"/>
    </row>
    <row r="529" spans="1:15" x14ac:dyDescent="0.25">
      <c r="A529" s="13">
        <f t="shared" si="16"/>
        <v>27</v>
      </c>
      <c r="B529" s="17"/>
      <c r="C529" s="17"/>
      <c r="D529" s="18"/>
      <c r="E529" s="11"/>
      <c r="F529" s="19"/>
      <c r="G529" s="20"/>
      <c r="H529" s="21"/>
      <c r="I529" s="22"/>
      <c r="J529" s="39"/>
      <c r="K529" s="24"/>
      <c r="N529" s="70"/>
      <c r="O529" s="27"/>
    </row>
    <row r="530" spans="1:15" x14ac:dyDescent="0.25">
      <c r="A530" s="13">
        <f t="shared" si="16"/>
        <v>27</v>
      </c>
      <c r="B530" s="17"/>
      <c r="C530" s="17"/>
      <c r="D530" s="18"/>
      <c r="E530" s="11"/>
      <c r="F530" s="19"/>
      <c r="G530" s="20"/>
      <c r="H530" s="21"/>
      <c r="I530" s="22"/>
      <c r="J530" s="39"/>
      <c r="K530" s="24"/>
      <c r="N530" s="70"/>
      <c r="O530" s="27"/>
    </row>
    <row r="531" spans="1:15" x14ac:dyDescent="0.25">
      <c r="A531" s="13">
        <f t="shared" si="16"/>
        <v>27</v>
      </c>
      <c r="B531" s="17"/>
      <c r="C531" s="17"/>
      <c r="D531" s="18"/>
      <c r="E531" s="11"/>
      <c r="F531" s="19"/>
      <c r="G531" s="20"/>
      <c r="H531" s="21"/>
      <c r="I531" s="22"/>
      <c r="J531" s="39"/>
      <c r="K531" s="24"/>
      <c r="N531" s="70"/>
      <c r="O531" s="27"/>
    </row>
    <row r="532" spans="1:15" x14ac:dyDescent="0.25">
      <c r="A532" s="13">
        <f t="shared" si="16"/>
        <v>27</v>
      </c>
      <c r="B532" s="17"/>
      <c r="C532" s="17"/>
      <c r="D532" s="18"/>
      <c r="E532" s="11"/>
      <c r="F532" s="19"/>
      <c r="G532" s="20"/>
      <c r="H532" s="21"/>
      <c r="I532" s="22"/>
      <c r="J532" s="39"/>
      <c r="K532" s="24"/>
      <c r="N532" s="70"/>
      <c r="O532" s="27"/>
    </row>
    <row r="533" spans="1:15" x14ac:dyDescent="0.25">
      <c r="A533" s="13">
        <f t="shared" si="16"/>
        <v>27</v>
      </c>
      <c r="B533" s="17"/>
      <c r="C533" s="17"/>
      <c r="D533" s="18"/>
      <c r="E533" s="11"/>
      <c r="F533" s="19"/>
      <c r="G533" s="20"/>
      <c r="H533" s="21"/>
      <c r="I533" s="22"/>
      <c r="J533" s="39"/>
      <c r="K533" s="24"/>
      <c r="N533" s="70"/>
      <c r="O533" s="27"/>
    </row>
    <row r="534" spans="1:15" x14ac:dyDescent="0.25">
      <c r="A534" s="13">
        <f t="shared" si="16"/>
        <v>27</v>
      </c>
      <c r="B534" s="17"/>
      <c r="C534" s="17"/>
      <c r="D534" s="18"/>
      <c r="E534" s="11"/>
      <c r="F534" s="19"/>
      <c r="G534" s="20"/>
      <c r="H534" s="21"/>
      <c r="I534" s="22"/>
      <c r="J534" s="39"/>
      <c r="K534" s="24"/>
      <c r="N534" s="70"/>
      <c r="O534" s="27"/>
    </row>
    <row r="535" spans="1:15" x14ac:dyDescent="0.25">
      <c r="A535" s="13">
        <f t="shared" si="16"/>
        <v>27</v>
      </c>
      <c r="B535" s="17"/>
      <c r="C535" s="17"/>
      <c r="D535" s="18"/>
      <c r="E535" s="11"/>
      <c r="F535" s="19"/>
      <c r="G535" s="20"/>
      <c r="H535" s="21"/>
      <c r="I535" s="22"/>
      <c r="J535" s="39"/>
      <c r="K535" s="24"/>
      <c r="N535" s="70"/>
      <c r="O535" s="27"/>
    </row>
    <row r="536" spans="1:15" x14ac:dyDescent="0.25">
      <c r="A536" s="13">
        <f t="shared" si="16"/>
        <v>27</v>
      </c>
      <c r="B536" s="17"/>
      <c r="C536" s="17"/>
      <c r="D536" s="18"/>
      <c r="E536" s="11"/>
      <c r="F536" s="19"/>
      <c r="G536" s="20"/>
      <c r="H536" s="21"/>
      <c r="I536" s="22"/>
      <c r="J536" s="39"/>
      <c r="K536" s="24"/>
      <c r="N536" s="70"/>
      <c r="O536" s="27"/>
    </row>
    <row r="537" spans="1:15" x14ac:dyDescent="0.25">
      <c r="A537" s="13">
        <f t="shared" si="16"/>
        <v>27</v>
      </c>
      <c r="B537" s="17"/>
      <c r="C537" s="17"/>
      <c r="D537" s="18"/>
      <c r="E537" s="11"/>
      <c r="F537" s="19"/>
      <c r="G537" s="20"/>
      <c r="H537" s="21"/>
      <c r="I537" s="22"/>
      <c r="J537" s="39"/>
      <c r="K537" s="24"/>
      <c r="N537" s="70"/>
      <c r="O537" s="27"/>
    </row>
    <row r="538" spans="1:15" x14ac:dyDescent="0.25">
      <c r="A538" s="13">
        <f t="shared" si="16"/>
        <v>27</v>
      </c>
      <c r="B538" s="17"/>
      <c r="C538" s="17"/>
      <c r="D538" s="18"/>
      <c r="E538" s="11"/>
      <c r="F538" s="19"/>
      <c r="G538" s="20"/>
      <c r="H538" s="21"/>
      <c r="I538" s="22"/>
      <c r="J538" s="39"/>
      <c r="K538" s="24"/>
      <c r="N538" s="70"/>
      <c r="O538" s="27"/>
    </row>
    <row r="539" spans="1:15" x14ac:dyDescent="0.25">
      <c r="A539" s="13">
        <f t="shared" si="16"/>
        <v>27</v>
      </c>
      <c r="B539" s="17"/>
      <c r="C539" s="17"/>
      <c r="D539" s="18"/>
      <c r="E539" s="11"/>
      <c r="F539" s="19"/>
      <c r="G539" s="20"/>
      <c r="H539" s="21"/>
      <c r="I539" s="22"/>
      <c r="J539" s="39"/>
      <c r="K539" s="24"/>
      <c r="N539" s="70"/>
      <c r="O539" s="27"/>
    </row>
    <row r="540" spans="1:15" x14ac:dyDescent="0.25">
      <c r="A540" s="13">
        <f t="shared" si="16"/>
        <v>27</v>
      </c>
      <c r="B540" s="17"/>
      <c r="C540" s="17"/>
      <c r="D540" s="18"/>
      <c r="E540" s="11"/>
      <c r="F540" s="19"/>
      <c r="G540" s="20"/>
      <c r="H540" s="21"/>
      <c r="I540" s="22"/>
      <c r="J540" s="39"/>
      <c r="K540" s="24"/>
      <c r="N540" s="70"/>
      <c r="O540" s="27"/>
    </row>
    <row r="541" spans="1:15" x14ac:dyDescent="0.25">
      <c r="A541" s="13">
        <f t="shared" si="16"/>
        <v>27</v>
      </c>
      <c r="B541" s="17"/>
      <c r="C541" s="17"/>
      <c r="D541" s="18"/>
      <c r="E541" s="11"/>
      <c r="F541" s="19"/>
      <c r="G541" s="20"/>
      <c r="H541" s="21"/>
      <c r="I541" s="22"/>
      <c r="J541" s="39"/>
      <c r="K541" s="24"/>
      <c r="N541" s="70"/>
      <c r="O541" s="27"/>
    </row>
    <row r="542" spans="1:15" x14ac:dyDescent="0.25">
      <c r="A542" s="13">
        <f t="shared" si="16"/>
        <v>27</v>
      </c>
      <c r="B542" s="17"/>
      <c r="C542" s="17"/>
      <c r="D542" s="18"/>
      <c r="E542" s="11"/>
      <c r="F542" s="19"/>
      <c r="G542" s="20"/>
      <c r="H542" s="21"/>
      <c r="I542" s="22"/>
      <c r="J542" s="39"/>
      <c r="K542" s="24"/>
      <c r="N542" s="70"/>
      <c r="O542" s="27"/>
    </row>
    <row r="543" spans="1:15" x14ac:dyDescent="0.25">
      <c r="A543" s="13">
        <f t="shared" si="16"/>
        <v>27</v>
      </c>
      <c r="B543" s="17"/>
      <c r="C543" s="17"/>
      <c r="D543" s="18"/>
      <c r="E543" s="11"/>
      <c r="F543" s="19"/>
      <c r="G543" s="20"/>
      <c r="H543" s="21"/>
      <c r="I543" s="22"/>
      <c r="J543" s="39"/>
      <c r="K543" s="24"/>
      <c r="N543" s="70"/>
      <c r="O543" s="27"/>
    </row>
    <row r="544" spans="1:15" x14ac:dyDescent="0.25">
      <c r="A544" s="13">
        <f t="shared" si="16"/>
        <v>27</v>
      </c>
      <c r="B544" s="17"/>
      <c r="C544" s="17"/>
      <c r="D544" s="18"/>
      <c r="E544" s="11"/>
      <c r="F544" s="19"/>
      <c r="G544" s="20"/>
      <c r="H544" s="21"/>
      <c r="I544" s="22"/>
      <c r="J544" s="39"/>
      <c r="K544" s="24"/>
      <c r="N544" s="70"/>
      <c r="O544" s="27"/>
    </row>
    <row r="545" spans="1:15" x14ac:dyDescent="0.25">
      <c r="A545" s="13">
        <f t="shared" si="16"/>
        <v>27</v>
      </c>
      <c r="B545" s="17"/>
      <c r="C545" s="17"/>
      <c r="D545" s="18"/>
      <c r="E545" s="11"/>
      <c r="F545" s="19"/>
      <c r="G545" s="20"/>
      <c r="H545" s="21"/>
      <c r="I545" s="22"/>
      <c r="J545" s="39"/>
      <c r="K545" s="24"/>
      <c r="N545" s="70"/>
      <c r="O545" s="27"/>
    </row>
    <row r="546" spans="1:15" x14ac:dyDescent="0.25">
      <c r="A546" s="13">
        <f t="shared" si="16"/>
        <v>27</v>
      </c>
      <c r="B546" s="17"/>
      <c r="C546" s="17"/>
      <c r="D546" s="18"/>
      <c r="E546" s="11"/>
      <c r="F546" s="19"/>
      <c r="G546" s="20"/>
      <c r="H546" s="21"/>
      <c r="I546" s="22"/>
      <c r="J546" s="39"/>
      <c r="K546" s="24"/>
      <c r="N546" s="70"/>
      <c r="O546" s="27"/>
    </row>
    <row r="547" spans="1:15" x14ac:dyDescent="0.25">
      <c r="A547" s="13">
        <f t="shared" si="16"/>
        <v>27</v>
      </c>
      <c r="B547" s="17"/>
      <c r="C547" s="17"/>
      <c r="D547" s="18"/>
      <c r="E547" s="11"/>
      <c r="F547" s="19"/>
      <c r="G547" s="20"/>
      <c r="H547" s="21"/>
      <c r="I547" s="22"/>
      <c r="J547" s="39"/>
      <c r="K547" s="24"/>
      <c r="N547" s="70"/>
      <c r="O547" s="27"/>
    </row>
    <row r="548" spans="1:15" x14ac:dyDescent="0.25">
      <c r="A548" s="13">
        <f t="shared" si="16"/>
        <v>27</v>
      </c>
      <c r="B548" s="17"/>
      <c r="C548" s="17"/>
      <c r="D548" s="18"/>
      <c r="E548" s="11"/>
      <c r="F548" s="19"/>
      <c r="G548" s="20"/>
      <c r="H548" s="21"/>
      <c r="I548" s="22"/>
      <c r="J548" s="39"/>
      <c r="K548" s="24"/>
      <c r="N548" s="70"/>
      <c r="O548" s="27"/>
    </row>
    <row r="549" spans="1:15" x14ac:dyDescent="0.25">
      <c r="A549" s="13">
        <f t="shared" si="16"/>
        <v>27</v>
      </c>
      <c r="B549" s="17"/>
      <c r="C549" s="17"/>
      <c r="D549" s="18"/>
      <c r="E549" s="11"/>
      <c r="F549" s="19"/>
      <c r="G549" s="20"/>
      <c r="H549" s="21"/>
      <c r="I549" s="22"/>
      <c r="J549" s="39"/>
      <c r="K549" s="24"/>
      <c r="N549" s="70"/>
      <c r="O549" s="27"/>
    </row>
    <row r="550" spans="1:15" x14ac:dyDescent="0.25">
      <c r="A550" s="13">
        <f t="shared" si="16"/>
        <v>27</v>
      </c>
      <c r="B550" s="17"/>
      <c r="C550" s="17"/>
      <c r="D550" s="18"/>
      <c r="E550" s="11"/>
      <c r="F550" s="19"/>
      <c r="G550" s="20"/>
      <c r="H550" s="21"/>
      <c r="I550" s="22"/>
      <c r="J550" s="39"/>
      <c r="K550" s="24"/>
      <c r="N550" s="70"/>
      <c r="O550" s="27"/>
    </row>
    <row r="551" spans="1:15" x14ac:dyDescent="0.25">
      <c r="A551" s="13">
        <f t="shared" si="16"/>
        <v>27</v>
      </c>
      <c r="B551" s="17"/>
      <c r="C551" s="17"/>
      <c r="D551" s="18"/>
      <c r="E551" s="11"/>
      <c r="F551" s="19"/>
      <c r="G551" s="20"/>
      <c r="H551" s="21"/>
      <c r="I551" s="22"/>
      <c r="J551" s="39"/>
      <c r="K551" s="24"/>
      <c r="N551" s="70"/>
      <c r="O551" s="27"/>
    </row>
    <row r="552" spans="1:15" x14ac:dyDescent="0.25">
      <c r="A552" s="13">
        <f t="shared" si="16"/>
        <v>27</v>
      </c>
      <c r="B552" s="17"/>
      <c r="C552" s="17"/>
      <c r="D552" s="18"/>
      <c r="E552" s="11"/>
      <c r="F552" s="19"/>
      <c r="G552" s="20"/>
      <c r="H552" s="21"/>
      <c r="I552" s="22"/>
      <c r="J552" s="39"/>
      <c r="K552" s="24"/>
      <c r="N552" s="70"/>
      <c r="O552" s="27"/>
    </row>
    <row r="553" spans="1:15" x14ac:dyDescent="0.25">
      <c r="A553" s="13">
        <f t="shared" si="16"/>
        <v>27</v>
      </c>
      <c r="B553" s="17"/>
      <c r="C553" s="17"/>
      <c r="D553" s="18"/>
      <c r="E553" s="11"/>
      <c r="F553" s="19"/>
      <c r="G553" s="20"/>
      <c r="H553" s="21"/>
      <c r="I553" s="22"/>
      <c r="J553" s="39"/>
      <c r="K553" s="24"/>
      <c r="N553" s="70"/>
      <c r="O553" s="27"/>
    </row>
    <row r="554" spans="1:15" x14ac:dyDescent="0.25">
      <c r="A554" s="13">
        <f t="shared" si="16"/>
        <v>27</v>
      </c>
      <c r="B554" s="17"/>
      <c r="C554" s="17"/>
      <c r="D554" s="18"/>
      <c r="E554" s="11"/>
      <c r="F554" s="19"/>
      <c r="G554" s="20"/>
      <c r="H554" s="21"/>
      <c r="I554" s="22"/>
      <c r="J554" s="39"/>
      <c r="K554" s="24"/>
      <c r="N554" s="70"/>
      <c r="O554" s="27"/>
    </row>
    <row r="555" spans="1:15" x14ac:dyDescent="0.25">
      <c r="A555" s="13">
        <f t="shared" si="16"/>
        <v>27</v>
      </c>
      <c r="B555" s="17"/>
      <c r="C555" s="17"/>
      <c r="D555" s="18"/>
      <c r="E555" s="11"/>
      <c r="F555" s="19"/>
      <c r="G555" s="20"/>
      <c r="H555" s="21"/>
      <c r="I555" s="22"/>
      <c r="J555" s="39"/>
      <c r="K555" s="24"/>
      <c r="N555" s="70"/>
      <c r="O555" s="27"/>
    </row>
    <row r="556" spans="1:15" x14ac:dyDescent="0.25">
      <c r="A556" s="13">
        <f t="shared" si="16"/>
        <v>27</v>
      </c>
      <c r="B556" s="17"/>
      <c r="C556" s="17"/>
      <c r="D556" s="18"/>
      <c r="E556" s="11"/>
      <c r="F556" s="19"/>
      <c r="G556" s="20"/>
      <c r="H556" s="21"/>
      <c r="I556" s="22"/>
      <c r="J556" s="39"/>
      <c r="K556" s="24"/>
      <c r="N556" s="70"/>
      <c r="O556" s="27"/>
    </row>
    <row r="557" spans="1:15" x14ac:dyDescent="0.25">
      <c r="A557" s="13">
        <f t="shared" si="16"/>
        <v>27</v>
      </c>
      <c r="B557" s="17"/>
      <c r="C557" s="17"/>
      <c r="D557" s="18"/>
      <c r="E557" s="11"/>
      <c r="F557" s="19"/>
      <c r="G557" s="20"/>
      <c r="H557" s="21"/>
      <c r="I557" s="22"/>
      <c r="J557" s="39"/>
      <c r="K557" s="24"/>
      <c r="N557" s="70"/>
      <c r="O557" s="27"/>
    </row>
    <row r="558" spans="1:15" x14ac:dyDescent="0.25">
      <c r="A558" s="13">
        <f t="shared" si="16"/>
        <v>27</v>
      </c>
      <c r="B558" s="17"/>
      <c r="C558" s="17"/>
      <c r="D558" s="18"/>
      <c r="E558" s="11"/>
      <c r="F558" s="19"/>
      <c r="G558" s="20"/>
      <c r="H558" s="21"/>
      <c r="I558" s="22"/>
      <c r="J558" s="39"/>
      <c r="K558" s="24"/>
      <c r="N558" s="70"/>
      <c r="O558" s="27"/>
    </row>
    <row r="559" spans="1:15" x14ac:dyDescent="0.25">
      <c r="A559" s="13">
        <f t="shared" si="16"/>
        <v>27</v>
      </c>
      <c r="B559" s="17"/>
      <c r="C559" s="17"/>
      <c r="D559" s="18"/>
      <c r="E559" s="11"/>
      <c r="F559" s="19"/>
      <c r="G559" s="20"/>
      <c r="H559" s="21"/>
      <c r="I559" s="22"/>
      <c r="J559" s="39"/>
      <c r="K559" s="24"/>
      <c r="N559" s="70"/>
      <c r="O559" s="27"/>
    </row>
    <row r="560" spans="1:15" x14ac:dyDescent="0.25">
      <c r="A560" s="13">
        <f t="shared" si="16"/>
        <v>27</v>
      </c>
      <c r="B560" s="17"/>
      <c r="C560" s="17"/>
      <c r="D560" s="18"/>
      <c r="E560" s="11"/>
      <c r="F560" s="19"/>
      <c r="G560" s="20"/>
      <c r="H560" s="21"/>
      <c r="I560" s="22"/>
      <c r="J560" s="39"/>
      <c r="K560" s="24"/>
      <c r="N560" s="70"/>
      <c r="O560" s="27"/>
    </row>
    <row r="561" spans="1:15" x14ac:dyDescent="0.25">
      <c r="A561" s="13">
        <f t="shared" si="16"/>
        <v>27</v>
      </c>
      <c r="B561" s="17"/>
      <c r="C561" s="17"/>
      <c r="D561" s="18"/>
      <c r="E561" s="11"/>
      <c r="F561" s="19"/>
      <c r="G561" s="20"/>
      <c r="H561" s="21"/>
      <c r="I561" s="22"/>
      <c r="J561" s="39"/>
      <c r="K561" s="24"/>
      <c r="N561" s="70"/>
      <c r="O561" s="27"/>
    </row>
    <row r="562" spans="1:15" x14ac:dyDescent="0.25">
      <c r="A562" s="13">
        <f t="shared" si="16"/>
        <v>27</v>
      </c>
      <c r="B562" s="17"/>
      <c r="C562" s="17"/>
      <c r="D562" s="18"/>
      <c r="E562" s="11"/>
      <c r="F562" s="19"/>
      <c r="G562" s="20"/>
      <c r="H562" s="21"/>
      <c r="I562" s="22"/>
      <c r="J562" s="39"/>
      <c r="K562" s="24"/>
      <c r="N562" s="70"/>
      <c r="O562" s="27"/>
    </row>
    <row r="563" spans="1:15" x14ac:dyDescent="0.25">
      <c r="A563" s="13">
        <f t="shared" si="16"/>
        <v>27</v>
      </c>
      <c r="B563" s="17"/>
      <c r="C563" s="17"/>
      <c r="D563" s="18"/>
      <c r="E563" s="11"/>
      <c r="F563" s="19"/>
      <c r="G563" s="20"/>
      <c r="H563" s="21"/>
      <c r="I563" s="22"/>
      <c r="J563" s="39"/>
      <c r="K563" s="24"/>
      <c r="N563" s="70"/>
      <c r="O563" s="27"/>
    </row>
    <row r="564" spans="1:15" x14ac:dyDescent="0.25">
      <c r="A564" s="13">
        <f t="shared" si="16"/>
        <v>27</v>
      </c>
      <c r="B564" s="17"/>
      <c r="C564" s="17"/>
      <c r="D564" s="18"/>
      <c r="E564" s="11"/>
      <c r="F564" s="19"/>
      <c r="G564" s="20"/>
      <c r="H564" s="21"/>
      <c r="I564" s="22"/>
      <c r="J564" s="39"/>
      <c r="K564" s="24"/>
      <c r="N564" s="70"/>
      <c r="O564" s="27"/>
    </row>
    <row r="565" spans="1:15" x14ac:dyDescent="0.25">
      <c r="A565" s="13">
        <f t="shared" si="16"/>
        <v>27</v>
      </c>
      <c r="B565" s="17"/>
      <c r="C565" s="17"/>
      <c r="D565" s="18"/>
      <c r="E565" s="11"/>
      <c r="F565" s="19"/>
      <c r="G565" s="20"/>
      <c r="H565" s="21"/>
      <c r="I565" s="22"/>
      <c r="J565" s="39"/>
      <c r="K565" s="24"/>
      <c r="N565" s="70"/>
      <c r="O565" s="27"/>
    </row>
    <row r="566" spans="1:15" x14ac:dyDescent="0.25">
      <c r="A566" s="13">
        <f t="shared" si="16"/>
        <v>27</v>
      </c>
      <c r="B566" s="17"/>
      <c r="C566" s="17"/>
      <c r="D566" s="18"/>
      <c r="E566" s="11"/>
      <c r="F566" s="19"/>
      <c r="G566" s="20"/>
      <c r="H566" s="21"/>
      <c r="I566" s="22"/>
      <c r="J566" s="39"/>
      <c r="K566" s="24"/>
      <c r="N566" s="70"/>
      <c r="O566" s="27"/>
    </row>
    <row r="567" spans="1:15" x14ac:dyDescent="0.25">
      <c r="A567" s="13">
        <f t="shared" si="16"/>
        <v>27</v>
      </c>
      <c r="B567" s="17"/>
      <c r="C567" s="17"/>
      <c r="D567" s="18"/>
      <c r="E567" s="11"/>
      <c r="F567" s="19"/>
      <c r="G567" s="20"/>
      <c r="H567" s="21"/>
      <c r="I567" s="22"/>
      <c r="J567" s="39"/>
      <c r="K567" s="24"/>
      <c r="N567" s="70"/>
      <c r="O567" s="27"/>
    </row>
    <row r="568" spans="1:15" x14ac:dyDescent="0.25">
      <c r="A568" s="13">
        <f t="shared" si="16"/>
        <v>27</v>
      </c>
      <c r="B568" s="17"/>
      <c r="C568" s="17"/>
      <c r="D568" s="18"/>
      <c r="E568" s="11"/>
      <c r="F568" s="19"/>
      <c r="G568" s="20"/>
      <c r="H568" s="21"/>
      <c r="I568" s="22"/>
      <c r="J568" s="39"/>
      <c r="K568" s="24"/>
      <c r="N568" s="70"/>
      <c r="O568" s="27"/>
    </row>
    <row r="569" spans="1:15" x14ac:dyDescent="0.25">
      <c r="A569" s="13">
        <f t="shared" si="16"/>
        <v>27</v>
      </c>
      <c r="B569" s="17"/>
      <c r="C569" s="17"/>
      <c r="D569" s="18"/>
      <c r="E569" s="11"/>
      <c r="F569" s="19"/>
      <c r="G569" s="20"/>
      <c r="H569" s="21"/>
      <c r="I569" s="22"/>
      <c r="J569" s="39"/>
      <c r="K569" s="24"/>
      <c r="N569" s="70"/>
      <c r="O569" s="27"/>
    </row>
    <row r="570" spans="1:15" x14ac:dyDescent="0.25">
      <c r="A570" s="13">
        <f t="shared" si="16"/>
        <v>27</v>
      </c>
      <c r="B570" s="17"/>
      <c r="C570" s="17"/>
      <c r="D570" s="18"/>
      <c r="E570" s="11"/>
      <c r="F570" s="19"/>
      <c r="G570" s="20"/>
      <c r="H570" s="21"/>
      <c r="I570" s="22"/>
      <c r="J570" s="39"/>
      <c r="K570" s="24"/>
      <c r="N570" s="70"/>
      <c r="O570" s="27"/>
    </row>
    <row r="571" spans="1:15" x14ac:dyDescent="0.25">
      <c r="A571" s="13">
        <f t="shared" si="16"/>
        <v>27</v>
      </c>
      <c r="B571" s="17"/>
      <c r="C571" s="17"/>
      <c r="D571" s="18"/>
      <c r="E571" s="11"/>
      <c r="F571" s="19"/>
      <c r="G571" s="20"/>
      <c r="H571" s="21"/>
      <c r="I571" s="22"/>
      <c r="J571" s="39"/>
      <c r="K571" s="24"/>
      <c r="N571" s="70"/>
      <c r="O571" s="27"/>
    </row>
    <row r="572" spans="1:15" x14ac:dyDescent="0.25">
      <c r="A572" s="13">
        <f t="shared" si="16"/>
        <v>27</v>
      </c>
      <c r="B572" s="17"/>
      <c r="C572" s="17"/>
      <c r="D572" s="18"/>
      <c r="E572" s="11"/>
      <c r="F572" s="19"/>
      <c r="G572" s="20"/>
      <c r="H572" s="21"/>
      <c r="I572" s="22"/>
      <c r="J572" s="39"/>
      <c r="K572" s="24"/>
      <c r="N572" s="70"/>
      <c r="O572" s="27"/>
    </row>
    <row r="573" spans="1:15" x14ac:dyDescent="0.25">
      <c r="A573" s="13">
        <f t="shared" si="16"/>
        <v>27</v>
      </c>
      <c r="B573" s="17"/>
      <c r="C573" s="17"/>
      <c r="D573" s="18"/>
      <c r="E573" s="11"/>
      <c r="F573" s="19"/>
      <c r="G573" s="20"/>
      <c r="H573" s="21"/>
      <c r="I573" s="22"/>
      <c r="J573" s="39"/>
      <c r="K573" s="24"/>
      <c r="N573" s="70"/>
      <c r="O573" s="27"/>
    </row>
    <row r="574" spans="1:15" x14ac:dyDescent="0.25">
      <c r="A574" s="13">
        <f t="shared" si="16"/>
        <v>27</v>
      </c>
      <c r="B574" s="17"/>
      <c r="C574" s="17"/>
      <c r="D574" s="18"/>
      <c r="E574" s="11"/>
      <c r="F574" s="19"/>
      <c r="G574" s="20"/>
      <c r="H574" s="21"/>
      <c r="I574" s="22"/>
      <c r="J574" s="39"/>
      <c r="K574" s="24"/>
      <c r="N574" s="70"/>
      <c r="O574" s="27"/>
    </row>
    <row r="575" spans="1:15" x14ac:dyDescent="0.25">
      <c r="A575" s="13">
        <f t="shared" si="16"/>
        <v>27</v>
      </c>
      <c r="B575" s="17"/>
      <c r="C575" s="17"/>
      <c r="D575" s="18"/>
      <c r="E575" s="11"/>
      <c r="F575" s="19"/>
      <c r="G575" s="20"/>
      <c r="H575" s="21"/>
      <c r="I575" s="22"/>
      <c r="J575" s="39"/>
      <c r="K575" s="24"/>
      <c r="N575" s="70"/>
      <c r="O575" s="27"/>
    </row>
    <row r="576" spans="1:15" x14ac:dyDescent="0.25">
      <c r="A576" s="13">
        <f t="shared" si="16"/>
        <v>27</v>
      </c>
      <c r="B576" s="17"/>
      <c r="C576" s="17"/>
      <c r="D576" s="18"/>
      <c r="E576" s="11"/>
      <c r="F576" s="19"/>
      <c r="G576" s="20"/>
      <c r="H576" s="21"/>
      <c r="I576" s="22"/>
      <c r="J576" s="39"/>
      <c r="K576" s="24"/>
      <c r="N576" s="70"/>
      <c r="O576" s="27"/>
    </row>
    <row r="577" spans="1:15" x14ac:dyDescent="0.25">
      <c r="A577" s="13">
        <f t="shared" si="16"/>
        <v>27</v>
      </c>
      <c r="B577" s="17"/>
      <c r="C577" s="17"/>
      <c r="D577" s="18"/>
      <c r="E577" s="11"/>
      <c r="F577" s="19"/>
      <c r="G577" s="20"/>
      <c r="H577" s="21"/>
      <c r="I577" s="22"/>
      <c r="J577" s="39"/>
      <c r="K577" s="24"/>
      <c r="N577" s="70"/>
      <c r="O577" s="27"/>
    </row>
    <row r="578" spans="1:15" x14ac:dyDescent="0.25">
      <c r="A578" s="13">
        <f t="shared" ref="A578:A641" si="17">IF(B675=B674,A577,A577+1)</f>
        <v>27</v>
      </c>
      <c r="B578" s="17"/>
      <c r="C578" s="17"/>
      <c r="D578" s="18"/>
      <c r="E578" s="11"/>
      <c r="F578" s="19"/>
      <c r="G578" s="20"/>
      <c r="H578" s="21"/>
      <c r="I578" s="22"/>
      <c r="J578" s="39"/>
      <c r="K578" s="24"/>
      <c r="N578" s="70"/>
      <c r="O578" s="27"/>
    </row>
    <row r="579" spans="1:15" x14ac:dyDescent="0.25">
      <c r="A579" s="13">
        <f t="shared" si="17"/>
        <v>27</v>
      </c>
      <c r="B579" s="17"/>
      <c r="C579" s="17"/>
      <c r="D579" s="18"/>
      <c r="E579" s="11"/>
      <c r="F579" s="19"/>
      <c r="G579" s="20"/>
      <c r="H579" s="21"/>
      <c r="I579" s="22"/>
      <c r="J579" s="39"/>
      <c r="K579" s="24"/>
      <c r="N579" s="70"/>
      <c r="O579" s="27"/>
    </row>
    <row r="580" spans="1:15" x14ac:dyDescent="0.25">
      <c r="A580" s="13">
        <f t="shared" si="17"/>
        <v>27</v>
      </c>
      <c r="B580" s="17"/>
      <c r="C580" s="17"/>
      <c r="D580" s="18"/>
      <c r="E580" s="11"/>
      <c r="F580" s="19"/>
      <c r="G580" s="20"/>
      <c r="H580" s="21"/>
      <c r="I580" s="22"/>
      <c r="J580" s="23"/>
      <c r="K580" s="24"/>
      <c r="N580" s="70"/>
      <c r="O580" s="27"/>
    </row>
    <row r="581" spans="1:15" x14ac:dyDescent="0.25">
      <c r="A581" s="13">
        <f t="shared" si="17"/>
        <v>27</v>
      </c>
      <c r="B581" s="17"/>
      <c r="C581" s="17"/>
      <c r="D581" s="40"/>
      <c r="E581" s="41"/>
      <c r="F581" s="19"/>
      <c r="G581" s="20"/>
      <c r="H581" s="21"/>
      <c r="I581" s="22"/>
      <c r="J581" s="23"/>
      <c r="K581" s="24"/>
      <c r="N581" s="70"/>
      <c r="O581" s="27"/>
    </row>
    <row r="582" spans="1:15" x14ac:dyDescent="0.25">
      <c r="A582" s="13">
        <f t="shared" si="17"/>
        <v>27</v>
      </c>
      <c r="B582" s="17"/>
      <c r="C582" s="17"/>
      <c r="D582" s="18"/>
      <c r="E582" s="11"/>
      <c r="F582" s="19"/>
      <c r="G582" s="20"/>
      <c r="H582" s="21"/>
      <c r="I582" s="22"/>
      <c r="J582" s="23"/>
      <c r="K582" s="24"/>
      <c r="N582" s="70"/>
      <c r="O582" s="27"/>
    </row>
    <row r="583" spans="1:15" x14ac:dyDescent="0.25">
      <c r="A583" s="13">
        <f t="shared" si="17"/>
        <v>27</v>
      </c>
      <c r="B583" s="17"/>
      <c r="C583" s="17"/>
      <c r="D583" s="18"/>
      <c r="E583" s="11"/>
      <c r="F583" s="19"/>
      <c r="G583" s="20"/>
      <c r="H583" s="21"/>
      <c r="I583" s="22"/>
      <c r="J583" s="23"/>
      <c r="K583" s="24"/>
      <c r="N583" s="70"/>
      <c r="O583" s="27"/>
    </row>
    <row r="584" spans="1:15" x14ac:dyDescent="0.25">
      <c r="A584" s="13">
        <f t="shared" si="17"/>
        <v>27</v>
      </c>
      <c r="B584" s="17"/>
      <c r="C584" s="17"/>
      <c r="D584" s="18"/>
      <c r="E584" s="11"/>
      <c r="F584" s="19"/>
      <c r="G584" s="20"/>
      <c r="H584" s="21"/>
      <c r="I584" s="22"/>
      <c r="J584" s="23"/>
      <c r="K584" s="24"/>
      <c r="N584" s="70"/>
      <c r="O584" s="27"/>
    </row>
    <row r="585" spans="1:15" x14ac:dyDescent="0.25">
      <c r="A585" s="13">
        <f t="shared" si="17"/>
        <v>27</v>
      </c>
      <c r="B585" s="17"/>
      <c r="C585" s="17"/>
      <c r="D585" s="18"/>
      <c r="E585" s="11"/>
      <c r="F585" s="19"/>
      <c r="G585" s="20"/>
      <c r="H585" s="21"/>
      <c r="I585" s="22"/>
      <c r="J585" s="39"/>
      <c r="K585" s="24"/>
      <c r="N585" s="70"/>
      <c r="O585" s="27"/>
    </row>
    <row r="586" spans="1:15" x14ac:dyDescent="0.25">
      <c r="A586" s="13">
        <f t="shared" si="17"/>
        <v>27</v>
      </c>
      <c r="B586" s="17"/>
      <c r="C586" s="17"/>
      <c r="D586" s="18"/>
      <c r="E586" s="11"/>
      <c r="F586" s="19"/>
      <c r="G586" s="20"/>
      <c r="H586" s="21"/>
      <c r="I586" s="22"/>
      <c r="J586" s="39"/>
      <c r="K586" s="24"/>
      <c r="N586" s="70"/>
      <c r="O586" s="27"/>
    </row>
    <row r="587" spans="1:15" x14ac:dyDescent="0.25">
      <c r="A587" s="13">
        <f t="shared" si="17"/>
        <v>27</v>
      </c>
      <c r="B587" s="17"/>
      <c r="C587" s="17"/>
      <c r="D587" s="18"/>
      <c r="E587" s="11"/>
      <c r="F587" s="19"/>
      <c r="G587" s="20"/>
      <c r="H587" s="21"/>
      <c r="I587" s="22"/>
      <c r="J587" s="39"/>
      <c r="K587" s="24"/>
      <c r="N587" s="70"/>
      <c r="O587" s="27"/>
    </row>
    <row r="588" spans="1:15" x14ac:dyDescent="0.25">
      <c r="A588" s="13">
        <f t="shared" si="17"/>
        <v>27</v>
      </c>
      <c r="B588" s="17"/>
      <c r="C588" s="17"/>
      <c r="D588" s="18"/>
      <c r="E588" s="11"/>
      <c r="F588" s="19"/>
      <c r="G588" s="20"/>
      <c r="H588" s="21"/>
      <c r="I588" s="22"/>
      <c r="J588" s="39"/>
      <c r="K588" s="24"/>
      <c r="N588" s="70"/>
      <c r="O588" s="27"/>
    </row>
    <row r="589" spans="1:15" x14ac:dyDescent="0.25">
      <c r="A589" s="13">
        <f t="shared" si="17"/>
        <v>27</v>
      </c>
      <c r="B589" s="17"/>
      <c r="C589" s="17"/>
      <c r="D589" s="18"/>
      <c r="E589" s="11"/>
      <c r="F589" s="19"/>
      <c r="G589" s="20"/>
      <c r="H589" s="21"/>
      <c r="I589" s="22"/>
      <c r="J589" s="39"/>
      <c r="K589" s="24"/>
      <c r="N589" s="70"/>
      <c r="O589" s="27"/>
    </row>
    <row r="590" spans="1:15" x14ac:dyDescent="0.25">
      <c r="A590" s="13">
        <f t="shared" si="17"/>
        <v>27</v>
      </c>
      <c r="B590" s="17"/>
      <c r="C590" s="17"/>
      <c r="D590" s="18"/>
      <c r="E590" s="11"/>
      <c r="F590" s="19"/>
      <c r="G590" s="20"/>
      <c r="H590" s="21"/>
      <c r="I590" s="22"/>
      <c r="J590" s="39"/>
      <c r="K590" s="24"/>
      <c r="N590" s="70"/>
      <c r="O590" s="27"/>
    </row>
    <row r="591" spans="1:15" x14ac:dyDescent="0.25">
      <c r="A591" s="13">
        <f t="shared" si="17"/>
        <v>27</v>
      </c>
      <c r="B591" s="17"/>
      <c r="C591" s="17"/>
      <c r="D591" s="18"/>
      <c r="E591" s="11"/>
      <c r="F591" s="19"/>
      <c r="G591" s="20"/>
      <c r="H591" s="21"/>
      <c r="I591" s="22"/>
      <c r="J591" s="39"/>
      <c r="K591" s="24"/>
      <c r="N591" s="70"/>
      <c r="O591" s="27"/>
    </row>
    <row r="592" spans="1:15" x14ac:dyDescent="0.25">
      <c r="A592" s="13">
        <f t="shared" si="17"/>
        <v>27</v>
      </c>
      <c r="B592" s="17"/>
      <c r="C592" s="17"/>
      <c r="D592" s="18"/>
      <c r="E592" s="11"/>
      <c r="F592" s="19"/>
      <c r="G592" s="20"/>
      <c r="H592" s="21"/>
      <c r="I592" s="22"/>
      <c r="J592" s="39"/>
      <c r="K592" s="24"/>
      <c r="N592" s="70"/>
      <c r="O592" s="27"/>
    </row>
    <row r="593" spans="1:15" x14ac:dyDescent="0.25">
      <c r="A593" s="13">
        <f t="shared" si="17"/>
        <v>27</v>
      </c>
      <c r="B593" s="17"/>
      <c r="C593" s="17"/>
      <c r="D593" s="18"/>
      <c r="E593" s="11"/>
      <c r="F593" s="19"/>
      <c r="G593" s="20"/>
      <c r="H593" s="21"/>
      <c r="I593" s="22"/>
      <c r="J593" s="39"/>
      <c r="K593" s="24"/>
      <c r="N593" s="70"/>
      <c r="O593" s="27"/>
    </row>
    <row r="594" spans="1:15" x14ac:dyDescent="0.25">
      <c r="A594" s="13">
        <f t="shared" si="17"/>
        <v>27</v>
      </c>
      <c r="B594" s="17"/>
      <c r="C594" s="17"/>
      <c r="D594" s="18"/>
      <c r="E594" s="11"/>
      <c r="F594" s="19"/>
      <c r="G594" s="20"/>
      <c r="H594" s="21"/>
      <c r="I594" s="22"/>
      <c r="J594" s="39"/>
      <c r="K594" s="24"/>
      <c r="N594" s="70"/>
      <c r="O594" s="27"/>
    </row>
    <row r="595" spans="1:15" x14ac:dyDescent="0.25">
      <c r="A595" s="13">
        <f t="shared" si="17"/>
        <v>27</v>
      </c>
      <c r="B595" s="17"/>
      <c r="C595" s="17"/>
      <c r="D595" s="18"/>
      <c r="E595" s="11"/>
      <c r="F595" s="19"/>
      <c r="G595" s="20"/>
      <c r="H595" s="21"/>
      <c r="I595" s="22"/>
      <c r="J595" s="39"/>
      <c r="K595" s="24"/>
      <c r="N595" s="70"/>
      <c r="O595" s="27"/>
    </row>
    <row r="596" spans="1:15" x14ac:dyDescent="0.25">
      <c r="A596" s="13">
        <f t="shared" si="17"/>
        <v>27</v>
      </c>
      <c r="B596" s="17"/>
      <c r="C596" s="17"/>
      <c r="D596" s="18"/>
      <c r="E596" s="11"/>
      <c r="F596" s="19"/>
      <c r="G596" s="20"/>
      <c r="H596" s="21"/>
      <c r="I596" s="22"/>
      <c r="J596" s="39"/>
      <c r="K596" s="24"/>
      <c r="N596" s="70"/>
      <c r="O596" s="27"/>
    </row>
    <row r="597" spans="1:15" x14ac:dyDescent="0.25">
      <c r="A597" s="13">
        <f t="shared" si="17"/>
        <v>27</v>
      </c>
      <c r="B597" s="17"/>
      <c r="C597" s="17"/>
      <c r="D597" s="18"/>
      <c r="E597" s="11"/>
      <c r="F597" s="19"/>
      <c r="G597" s="20"/>
      <c r="H597" s="21"/>
      <c r="I597" s="22"/>
      <c r="J597" s="39"/>
      <c r="K597" s="24"/>
      <c r="N597" s="70"/>
      <c r="O597" s="27"/>
    </row>
    <row r="598" spans="1:15" x14ac:dyDescent="0.25">
      <c r="A598" s="13">
        <f t="shared" si="17"/>
        <v>27</v>
      </c>
      <c r="B598" s="17"/>
      <c r="C598" s="17"/>
      <c r="D598" s="18"/>
      <c r="E598" s="11"/>
      <c r="F598" s="19"/>
      <c r="G598" s="20"/>
      <c r="H598" s="21"/>
      <c r="I598" s="22"/>
      <c r="J598" s="39"/>
      <c r="K598" s="24"/>
      <c r="N598" s="70"/>
      <c r="O598" s="27"/>
    </row>
    <row r="599" spans="1:15" x14ac:dyDescent="0.25">
      <c r="A599" s="13">
        <f t="shared" si="17"/>
        <v>27</v>
      </c>
      <c r="B599" s="17"/>
      <c r="C599" s="17"/>
      <c r="D599" s="18"/>
      <c r="E599" s="11"/>
      <c r="F599" s="19"/>
      <c r="G599" s="20"/>
      <c r="H599" s="21"/>
      <c r="I599" s="22"/>
      <c r="J599" s="39"/>
      <c r="K599" s="24"/>
      <c r="N599" s="70"/>
      <c r="O599" s="27"/>
    </row>
    <row r="600" spans="1:15" x14ac:dyDescent="0.25">
      <c r="A600" s="13">
        <f t="shared" si="17"/>
        <v>27</v>
      </c>
      <c r="B600" s="17"/>
      <c r="C600" s="17"/>
      <c r="D600" s="18"/>
      <c r="E600" s="11"/>
      <c r="F600" s="19"/>
      <c r="G600" s="36"/>
      <c r="H600" s="21"/>
      <c r="I600" s="22"/>
      <c r="J600" s="35"/>
      <c r="K600" s="24"/>
      <c r="N600" s="70"/>
      <c r="O600" s="27"/>
    </row>
    <row r="601" spans="1:15" x14ac:dyDescent="0.25">
      <c r="A601" s="13">
        <f t="shared" si="17"/>
        <v>27</v>
      </c>
      <c r="B601" s="17"/>
      <c r="C601" s="17"/>
      <c r="D601" s="18"/>
      <c r="E601" s="11"/>
      <c r="F601" s="19"/>
      <c r="G601" s="36"/>
      <c r="H601" s="21"/>
      <c r="I601" s="22"/>
      <c r="J601" s="35"/>
      <c r="K601" s="24"/>
      <c r="N601" s="70"/>
      <c r="O601" s="27"/>
    </row>
    <row r="602" spans="1:15" x14ac:dyDescent="0.25">
      <c r="A602" s="13">
        <f t="shared" si="17"/>
        <v>27</v>
      </c>
      <c r="B602" s="17"/>
      <c r="C602" s="17"/>
      <c r="D602" s="18"/>
      <c r="E602" s="11"/>
      <c r="F602" s="19"/>
      <c r="G602" s="36"/>
      <c r="H602" s="21"/>
      <c r="I602" s="22"/>
      <c r="J602" s="35"/>
      <c r="K602" s="24"/>
      <c r="N602" s="70"/>
      <c r="O602" s="27"/>
    </row>
    <row r="603" spans="1:15" x14ac:dyDescent="0.25">
      <c r="A603" s="13">
        <f t="shared" si="17"/>
        <v>27</v>
      </c>
      <c r="B603" s="17"/>
      <c r="C603" s="17"/>
      <c r="D603" s="18"/>
      <c r="E603" s="11"/>
      <c r="F603" s="19"/>
      <c r="G603" s="36"/>
      <c r="H603" s="21"/>
      <c r="I603" s="22"/>
      <c r="J603" s="35"/>
      <c r="K603" s="24"/>
      <c r="N603" s="70"/>
      <c r="O603" s="27"/>
    </row>
    <row r="604" spans="1:15" x14ac:dyDescent="0.25">
      <c r="A604" s="13">
        <f t="shared" si="17"/>
        <v>27</v>
      </c>
      <c r="B604" s="17"/>
      <c r="C604" s="17"/>
      <c r="D604" s="18"/>
      <c r="E604" s="11"/>
      <c r="F604" s="19"/>
      <c r="G604" s="36"/>
      <c r="H604" s="21"/>
      <c r="I604" s="22"/>
      <c r="J604" s="35"/>
      <c r="K604" s="24"/>
      <c r="N604" s="70"/>
      <c r="O604" s="27"/>
    </row>
    <row r="605" spans="1:15" x14ac:dyDescent="0.25">
      <c r="A605" s="13">
        <f t="shared" si="17"/>
        <v>27</v>
      </c>
      <c r="B605" s="17"/>
      <c r="C605" s="17"/>
      <c r="D605" s="18"/>
      <c r="E605" s="11"/>
      <c r="F605" s="19"/>
      <c r="G605" s="36"/>
      <c r="H605" s="21"/>
      <c r="I605" s="22"/>
      <c r="J605" s="35"/>
      <c r="K605" s="24"/>
      <c r="N605" s="70"/>
      <c r="O605" s="27"/>
    </row>
    <row r="606" spans="1:15" x14ac:dyDescent="0.25">
      <c r="A606" s="13">
        <f t="shared" si="17"/>
        <v>27</v>
      </c>
      <c r="B606" s="17"/>
      <c r="C606" s="17"/>
      <c r="D606" s="18"/>
      <c r="E606" s="11"/>
      <c r="F606" s="19"/>
      <c r="G606" s="36"/>
      <c r="H606" s="21"/>
      <c r="I606" s="22"/>
      <c r="J606" s="35"/>
      <c r="K606" s="24"/>
      <c r="N606" s="70"/>
      <c r="O606" s="27"/>
    </row>
    <row r="607" spans="1:15" x14ac:dyDescent="0.25">
      <c r="A607" s="13">
        <f t="shared" si="17"/>
        <v>27</v>
      </c>
      <c r="B607" s="17"/>
      <c r="C607" s="17"/>
      <c r="D607" s="18"/>
      <c r="E607" s="11"/>
      <c r="F607" s="19"/>
      <c r="G607" s="36"/>
      <c r="H607" s="21"/>
      <c r="I607" s="22"/>
      <c r="J607" s="35"/>
      <c r="K607" s="24"/>
      <c r="N607" s="70"/>
      <c r="O607" s="27"/>
    </row>
    <row r="608" spans="1:15" x14ac:dyDescent="0.25">
      <c r="A608" s="13">
        <f t="shared" si="17"/>
        <v>27</v>
      </c>
      <c r="B608" s="17"/>
      <c r="C608" s="17"/>
      <c r="D608" s="18"/>
      <c r="E608" s="11"/>
      <c r="F608" s="19"/>
      <c r="G608" s="36"/>
      <c r="H608" s="21"/>
      <c r="I608" s="22"/>
      <c r="J608" s="35"/>
      <c r="K608" s="24"/>
      <c r="N608" s="70"/>
      <c r="O608" s="27"/>
    </row>
    <row r="609" spans="1:15" x14ac:dyDescent="0.25">
      <c r="A609" s="13">
        <f t="shared" si="17"/>
        <v>27</v>
      </c>
      <c r="B609" s="17"/>
      <c r="C609" s="17"/>
      <c r="D609" s="18"/>
      <c r="E609" s="11"/>
      <c r="F609" s="19"/>
      <c r="G609" s="36"/>
      <c r="H609" s="21"/>
      <c r="I609" s="22"/>
      <c r="J609" s="35"/>
      <c r="K609" s="24"/>
      <c r="N609" s="70"/>
      <c r="O609" s="27"/>
    </row>
    <row r="610" spans="1:15" x14ac:dyDescent="0.25">
      <c r="A610" s="13">
        <f t="shared" si="17"/>
        <v>27</v>
      </c>
      <c r="B610" s="17"/>
      <c r="C610" s="17"/>
      <c r="D610" s="18"/>
      <c r="E610" s="11"/>
      <c r="F610" s="19"/>
      <c r="G610" s="36"/>
      <c r="H610" s="21"/>
      <c r="I610" s="22"/>
      <c r="J610" s="35"/>
      <c r="K610" s="24"/>
      <c r="N610" s="70"/>
      <c r="O610" s="27"/>
    </row>
    <row r="611" spans="1:15" x14ac:dyDescent="0.25">
      <c r="A611" s="13">
        <f t="shared" si="17"/>
        <v>27</v>
      </c>
      <c r="B611" s="17"/>
      <c r="C611" s="17"/>
      <c r="D611" s="18"/>
      <c r="E611" s="11"/>
      <c r="F611" s="19"/>
      <c r="G611" s="36"/>
      <c r="H611" s="21"/>
      <c r="I611" s="22"/>
      <c r="J611" s="35"/>
      <c r="K611" s="24"/>
      <c r="N611" s="70"/>
      <c r="O611" s="27"/>
    </row>
    <row r="612" spans="1:15" x14ac:dyDescent="0.25">
      <c r="A612" s="13">
        <f t="shared" si="17"/>
        <v>27</v>
      </c>
      <c r="B612" s="17"/>
      <c r="C612" s="17"/>
      <c r="D612" s="18"/>
      <c r="E612" s="11"/>
      <c r="F612" s="19"/>
      <c r="G612" s="36"/>
      <c r="H612" s="21"/>
      <c r="I612" s="22"/>
      <c r="J612" s="35"/>
      <c r="K612" s="24"/>
      <c r="N612" s="70"/>
      <c r="O612" s="27"/>
    </row>
    <row r="613" spans="1:15" x14ac:dyDescent="0.25">
      <c r="A613" s="13">
        <f t="shared" si="17"/>
        <v>27</v>
      </c>
      <c r="B613" s="17"/>
      <c r="C613" s="17"/>
      <c r="D613" s="18"/>
      <c r="E613" s="11"/>
      <c r="F613" s="19"/>
      <c r="G613" s="36"/>
      <c r="H613" s="21"/>
      <c r="I613" s="22"/>
      <c r="J613" s="35"/>
      <c r="K613" s="24"/>
      <c r="N613" s="70"/>
      <c r="O613" s="27"/>
    </row>
    <row r="614" spans="1:15" x14ac:dyDescent="0.25">
      <c r="A614" s="13">
        <f t="shared" si="17"/>
        <v>27</v>
      </c>
      <c r="B614" s="17"/>
      <c r="C614" s="17"/>
      <c r="D614" s="18"/>
      <c r="E614" s="11"/>
      <c r="F614" s="19"/>
      <c r="G614" s="20"/>
      <c r="H614" s="21"/>
      <c r="I614" s="22"/>
      <c r="J614" s="39"/>
      <c r="K614" s="24"/>
      <c r="N614" s="70"/>
      <c r="O614" s="27"/>
    </row>
    <row r="615" spans="1:15" x14ac:dyDescent="0.25">
      <c r="A615" s="13">
        <f t="shared" si="17"/>
        <v>27</v>
      </c>
      <c r="B615" s="17"/>
      <c r="C615" s="17"/>
      <c r="D615" s="18"/>
      <c r="E615" s="11"/>
      <c r="F615" s="19"/>
      <c r="G615" s="20"/>
      <c r="H615" s="21"/>
      <c r="I615" s="22"/>
      <c r="J615" s="39"/>
      <c r="K615" s="24"/>
      <c r="N615" s="70"/>
      <c r="O615" s="27"/>
    </row>
    <row r="616" spans="1:15" x14ac:dyDescent="0.25">
      <c r="A616" s="13">
        <f t="shared" si="17"/>
        <v>27</v>
      </c>
      <c r="B616" s="17"/>
      <c r="C616" s="17"/>
      <c r="D616" s="18"/>
      <c r="E616" s="11"/>
      <c r="F616" s="19"/>
      <c r="G616" s="20"/>
      <c r="H616" s="21"/>
      <c r="I616" s="22"/>
      <c r="J616" s="39"/>
      <c r="K616" s="24"/>
      <c r="N616" s="70"/>
      <c r="O616" s="27"/>
    </row>
    <row r="617" spans="1:15" x14ac:dyDescent="0.25">
      <c r="A617" s="13">
        <f t="shared" si="17"/>
        <v>27</v>
      </c>
      <c r="B617" s="17"/>
      <c r="C617" s="17"/>
      <c r="D617" s="18"/>
      <c r="E617" s="11"/>
      <c r="F617" s="19"/>
      <c r="G617" s="20"/>
      <c r="H617" s="21"/>
      <c r="I617" s="22"/>
      <c r="J617" s="39"/>
      <c r="K617" s="24"/>
      <c r="N617" s="70"/>
      <c r="O617" s="27"/>
    </row>
    <row r="618" spans="1:15" x14ac:dyDescent="0.25">
      <c r="A618" s="13">
        <f t="shared" si="17"/>
        <v>27</v>
      </c>
      <c r="B618" s="17"/>
      <c r="C618" s="17"/>
      <c r="D618" s="18"/>
      <c r="E618" s="11"/>
      <c r="F618" s="19"/>
      <c r="G618" s="20"/>
      <c r="H618" s="21"/>
      <c r="I618" s="22"/>
      <c r="J618" s="39"/>
      <c r="K618" s="24"/>
      <c r="N618" s="70"/>
      <c r="O618" s="27"/>
    </row>
    <row r="619" spans="1:15" x14ac:dyDescent="0.25">
      <c r="A619" s="13">
        <f t="shared" si="17"/>
        <v>27</v>
      </c>
      <c r="B619" s="17"/>
      <c r="C619" s="17"/>
      <c r="D619" s="18"/>
      <c r="E619" s="11"/>
      <c r="F619" s="19"/>
      <c r="G619" s="20"/>
      <c r="H619" s="21"/>
      <c r="I619" s="22"/>
      <c r="J619" s="39"/>
      <c r="K619" s="24"/>
      <c r="N619" s="70"/>
      <c r="O619" s="27"/>
    </row>
    <row r="620" spans="1:15" x14ac:dyDescent="0.25">
      <c r="A620" s="13">
        <f t="shared" si="17"/>
        <v>27</v>
      </c>
      <c r="B620" s="17"/>
      <c r="C620" s="17"/>
      <c r="D620" s="18"/>
      <c r="E620" s="11"/>
      <c r="F620" s="19"/>
      <c r="G620" s="20"/>
      <c r="H620" s="21"/>
      <c r="I620" s="22"/>
      <c r="J620" s="39"/>
      <c r="K620" s="24"/>
      <c r="N620" s="70"/>
      <c r="O620" s="27"/>
    </row>
    <row r="621" spans="1:15" x14ac:dyDescent="0.25">
      <c r="A621" s="13">
        <f t="shared" si="17"/>
        <v>27</v>
      </c>
      <c r="B621" s="17"/>
      <c r="C621" s="17"/>
      <c r="D621" s="18"/>
      <c r="E621" s="11"/>
      <c r="F621" s="19"/>
      <c r="G621" s="20"/>
      <c r="H621" s="21"/>
      <c r="I621" s="22"/>
      <c r="J621" s="39"/>
      <c r="K621" s="24"/>
      <c r="N621" s="70"/>
      <c r="O621" s="27"/>
    </row>
    <row r="622" spans="1:15" x14ac:dyDescent="0.25">
      <c r="A622" s="13">
        <f t="shared" si="17"/>
        <v>27</v>
      </c>
      <c r="B622" s="17"/>
      <c r="C622" s="17"/>
      <c r="D622" s="18"/>
      <c r="E622" s="11"/>
      <c r="F622" s="19"/>
      <c r="G622" s="20"/>
      <c r="H622" s="21"/>
      <c r="I622" s="22"/>
      <c r="J622" s="39"/>
      <c r="K622" s="24"/>
      <c r="N622" s="70"/>
      <c r="O622" s="27"/>
    </row>
    <row r="623" spans="1:15" x14ac:dyDescent="0.25">
      <c r="A623" s="13">
        <f t="shared" si="17"/>
        <v>27</v>
      </c>
      <c r="B623" s="17"/>
      <c r="C623" s="17"/>
      <c r="D623" s="18"/>
      <c r="E623" s="11"/>
      <c r="F623" s="19"/>
      <c r="G623" s="20"/>
      <c r="H623" s="21"/>
      <c r="I623" s="22"/>
      <c r="J623" s="39"/>
      <c r="K623" s="24"/>
      <c r="N623" s="70"/>
      <c r="O623" s="27"/>
    </row>
    <row r="624" spans="1:15" x14ac:dyDescent="0.25">
      <c r="A624" s="13">
        <f t="shared" si="17"/>
        <v>27</v>
      </c>
      <c r="B624" s="17"/>
      <c r="C624" s="17"/>
      <c r="D624" s="18"/>
      <c r="E624" s="11"/>
      <c r="F624" s="19"/>
      <c r="G624" s="20"/>
      <c r="H624" s="21"/>
      <c r="I624" s="22"/>
      <c r="J624" s="39"/>
      <c r="K624" s="24"/>
      <c r="N624" s="70"/>
      <c r="O624" s="27"/>
    </row>
    <row r="625" spans="1:15" x14ac:dyDescent="0.25">
      <c r="A625" s="13">
        <f t="shared" si="17"/>
        <v>27</v>
      </c>
      <c r="B625" s="17"/>
      <c r="C625" s="17"/>
      <c r="D625" s="18"/>
      <c r="E625" s="11"/>
      <c r="F625" s="19"/>
      <c r="G625" s="20"/>
      <c r="H625" s="21"/>
      <c r="I625" s="22"/>
      <c r="J625" s="39"/>
      <c r="K625" s="24"/>
      <c r="N625" s="70"/>
      <c r="O625" s="27"/>
    </row>
    <row r="626" spans="1:15" x14ac:dyDescent="0.25">
      <c r="A626" s="13">
        <f t="shared" si="17"/>
        <v>27</v>
      </c>
      <c r="B626" s="17"/>
      <c r="C626" s="17"/>
      <c r="D626" s="18"/>
      <c r="E626" s="11"/>
      <c r="F626" s="19"/>
      <c r="G626" s="20"/>
      <c r="H626" s="21"/>
      <c r="I626" s="22"/>
      <c r="J626" s="39"/>
      <c r="K626" s="24"/>
      <c r="N626" s="70"/>
      <c r="O626" s="27"/>
    </row>
    <row r="627" spans="1:15" x14ac:dyDescent="0.25">
      <c r="A627" s="13">
        <f t="shared" si="17"/>
        <v>27</v>
      </c>
      <c r="B627" s="17"/>
      <c r="C627" s="17"/>
      <c r="D627" s="18"/>
      <c r="E627" s="11"/>
      <c r="F627" s="19"/>
      <c r="G627" s="20"/>
      <c r="H627" s="21"/>
      <c r="I627" s="22"/>
      <c r="J627" s="39"/>
      <c r="K627" s="24"/>
      <c r="N627" s="70"/>
      <c r="O627" s="27"/>
    </row>
    <row r="628" spans="1:15" x14ac:dyDescent="0.25">
      <c r="A628" s="13">
        <f t="shared" si="17"/>
        <v>27</v>
      </c>
      <c r="B628" s="17"/>
      <c r="C628" s="17"/>
      <c r="D628" s="18"/>
      <c r="E628" s="11"/>
      <c r="F628" s="19"/>
      <c r="G628" s="20"/>
      <c r="H628" s="21"/>
      <c r="I628" s="22"/>
      <c r="J628" s="39"/>
      <c r="K628" s="24"/>
      <c r="N628" s="70"/>
      <c r="O628" s="27"/>
    </row>
    <row r="629" spans="1:15" x14ac:dyDescent="0.25">
      <c r="A629" s="13">
        <f t="shared" si="17"/>
        <v>27</v>
      </c>
      <c r="B629" s="17"/>
      <c r="C629" s="17"/>
      <c r="D629" s="18"/>
      <c r="E629" s="11"/>
      <c r="F629" s="19"/>
      <c r="G629" s="20"/>
      <c r="H629" s="21"/>
      <c r="I629" s="22"/>
      <c r="J629" s="39"/>
      <c r="K629" s="24"/>
      <c r="N629" s="70"/>
      <c r="O629" s="27"/>
    </row>
    <row r="630" spans="1:15" x14ac:dyDescent="0.25">
      <c r="A630" s="13">
        <f t="shared" si="17"/>
        <v>27</v>
      </c>
      <c r="B630" s="17"/>
      <c r="C630" s="17"/>
      <c r="D630" s="18"/>
      <c r="E630" s="11"/>
      <c r="F630" s="19"/>
      <c r="G630" s="36"/>
      <c r="H630" s="21"/>
      <c r="I630" s="22"/>
      <c r="J630" s="35"/>
      <c r="K630" s="24"/>
      <c r="N630" s="70"/>
      <c r="O630" s="27"/>
    </row>
    <row r="631" spans="1:15" x14ac:dyDescent="0.25">
      <c r="A631" s="13">
        <f t="shared" si="17"/>
        <v>27</v>
      </c>
      <c r="B631" s="17"/>
      <c r="C631" s="17"/>
      <c r="D631" s="18"/>
      <c r="E631" s="11"/>
      <c r="F631" s="19"/>
      <c r="G631" s="36"/>
      <c r="H631" s="21"/>
      <c r="I631" s="22"/>
      <c r="J631" s="35"/>
      <c r="K631" s="24"/>
      <c r="N631" s="70"/>
      <c r="O631" s="27"/>
    </row>
    <row r="632" spans="1:15" x14ac:dyDescent="0.25">
      <c r="A632" s="13">
        <f t="shared" si="17"/>
        <v>27</v>
      </c>
      <c r="B632" s="17"/>
      <c r="C632" s="17"/>
      <c r="D632" s="18"/>
      <c r="E632" s="11"/>
      <c r="F632" s="19"/>
      <c r="G632" s="36"/>
      <c r="H632" s="21"/>
      <c r="I632" s="22"/>
      <c r="J632" s="35"/>
      <c r="K632" s="24"/>
      <c r="N632" s="70"/>
      <c r="O632" s="27"/>
    </row>
    <row r="633" spans="1:15" x14ac:dyDescent="0.25">
      <c r="A633" s="13">
        <f t="shared" si="17"/>
        <v>27</v>
      </c>
      <c r="B633" s="17"/>
      <c r="C633" s="17"/>
      <c r="D633" s="18"/>
      <c r="E633" s="11"/>
      <c r="F633" s="19"/>
      <c r="G633" s="36"/>
      <c r="H633" s="21"/>
      <c r="I633" s="22"/>
      <c r="J633" s="35"/>
      <c r="K633" s="24"/>
      <c r="N633" s="70"/>
      <c r="O633" s="27"/>
    </row>
    <row r="634" spans="1:15" x14ac:dyDescent="0.25">
      <c r="A634" s="13">
        <f t="shared" si="17"/>
        <v>27</v>
      </c>
      <c r="B634" s="17"/>
      <c r="C634" s="17"/>
      <c r="D634" s="18"/>
      <c r="E634" s="11"/>
      <c r="F634" s="19"/>
      <c r="G634" s="36"/>
      <c r="H634" s="21"/>
      <c r="I634" s="22"/>
      <c r="J634" s="35"/>
      <c r="K634" s="24"/>
      <c r="N634" s="70"/>
      <c r="O634" s="27"/>
    </row>
    <row r="635" spans="1:15" x14ac:dyDescent="0.25">
      <c r="A635" s="13">
        <f t="shared" si="17"/>
        <v>27</v>
      </c>
      <c r="B635" s="17"/>
      <c r="C635" s="17"/>
      <c r="D635" s="18"/>
      <c r="E635" s="11"/>
      <c r="F635" s="19"/>
      <c r="G635" s="36"/>
      <c r="H635" s="21"/>
      <c r="I635" s="22"/>
      <c r="J635" s="35"/>
      <c r="K635" s="24"/>
      <c r="N635" s="70"/>
      <c r="O635" s="27"/>
    </row>
    <row r="636" spans="1:15" x14ac:dyDescent="0.25">
      <c r="A636" s="13">
        <f t="shared" si="17"/>
        <v>27</v>
      </c>
      <c r="B636" s="17"/>
      <c r="C636" s="17"/>
      <c r="D636" s="18"/>
      <c r="E636" s="11"/>
      <c r="F636" s="19"/>
      <c r="G636" s="36"/>
      <c r="H636" s="21"/>
      <c r="I636" s="22"/>
      <c r="J636" s="35"/>
      <c r="K636" s="24"/>
      <c r="N636" s="70"/>
      <c r="O636" s="27"/>
    </row>
    <row r="637" spans="1:15" x14ac:dyDescent="0.25">
      <c r="A637" s="13">
        <f t="shared" si="17"/>
        <v>27</v>
      </c>
      <c r="B637" s="17"/>
      <c r="C637" s="17"/>
      <c r="D637" s="18"/>
      <c r="E637" s="11"/>
      <c r="F637" s="19"/>
      <c r="G637" s="36"/>
      <c r="H637" s="21"/>
      <c r="I637" s="22"/>
      <c r="J637" s="35"/>
      <c r="K637" s="24"/>
      <c r="N637" s="70"/>
      <c r="O637" s="27"/>
    </row>
    <row r="638" spans="1:15" x14ac:dyDescent="0.25">
      <c r="A638" s="13">
        <f t="shared" si="17"/>
        <v>27</v>
      </c>
      <c r="B638" s="17"/>
      <c r="C638" s="17"/>
      <c r="D638" s="18"/>
      <c r="E638" s="11"/>
      <c r="F638" s="19"/>
      <c r="G638" s="36"/>
      <c r="H638" s="21"/>
      <c r="I638" s="22"/>
      <c r="J638" s="35"/>
      <c r="K638" s="24"/>
      <c r="N638" s="70"/>
      <c r="O638" s="27"/>
    </row>
    <row r="639" spans="1:15" x14ac:dyDescent="0.25">
      <c r="A639" s="13">
        <f t="shared" si="17"/>
        <v>27</v>
      </c>
      <c r="B639" s="17"/>
      <c r="C639" s="17"/>
      <c r="D639" s="18"/>
      <c r="E639" s="11"/>
      <c r="F639" s="19"/>
      <c r="G639" s="36"/>
      <c r="H639" s="21"/>
      <c r="I639" s="22"/>
      <c r="J639" s="35"/>
      <c r="K639" s="24"/>
      <c r="N639" s="70"/>
      <c r="O639" s="27"/>
    </row>
    <row r="640" spans="1:15" x14ac:dyDescent="0.25">
      <c r="A640" s="13">
        <f t="shared" si="17"/>
        <v>27</v>
      </c>
      <c r="B640" s="17"/>
      <c r="C640" s="17"/>
      <c r="D640" s="18"/>
      <c r="E640" s="11"/>
      <c r="F640" s="19"/>
      <c r="G640" s="36"/>
      <c r="H640" s="21"/>
      <c r="I640" s="22"/>
      <c r="J640" s="35"/>
      <c r="K640" s="24"/>
      <c r="N640" s="70"/>
      <c r="O640" s="27"/>
    </row>
    <row r="641" spans="1:15" x14ac:dyDescent="0.25">
      <c r="A641" s="13">
        <f t="shared" si="17"/>
        <v>27</v>
      </c>
      <c r="B641" s="17"/>
      <c r="C641" s="17"/>
      <c r="D641" s="18"/>
      <c r="E641" s="11"/>
      <c r="F641" s="19"/>
      <c r="G641" s="36"/>
      <c r="H641" s="21"/>
      <c r="I641" s="22"/>
      <c r="J641" s="35"/>
      <c r="K641" s="24"/>
      <c r="N641" s="70"/>
      <c r="O641" s="27"/>
    </row>
    <row r="642" spans="1:15" x14ac:dyDescent="0.25">
      <c r="A642" s="13">
        <f t="shared" ref="A642:A705" si="18">IF(B739=B738,A641,A641+1)</f>
        <v>27</v>
      </c>
      <c r="B642" s="17"/>
      <c r="C642" s="17"/>
      <c r="D642" s="18"/>
      <c r="E642" s="11"/>
      <c r="F642" s="19"/>
      <c r="G642" s="36"/>
      <c r="H642" s="21"/>
      <c r="I642" s="22"/>
      <c r="J642" s="35"/>
      <c r="K642" s="24"/>
      <c r="N642" s="70"/>
      <c r="O642" s="27"/>
    </row>
    <row r="643" spans="1:15" x14ac:dyDescent="0.25">
      <c r="A643" s="13">
        <f t="shared" si="18"/>
        <v>27</v>
      </c>
      <c r="B643" s="17"/>
      <c r="C643" s="17"/>
      <c r="D643" s="18"/>
      <c r="E643" s="11"/>
      <c r="F643" s="19"/>
      <c r="G643" s="36"/>
      <c r="H643" s="21"/>
      <c r="I643" s="22"/>
      <c r="J643" s="35"/>
      <c r="K643" s="24"/>
      <c r="N643" s="70"/>
      <c r="O643" s="27"/>
    </row>
    <row r="644" spans="1:15" x14ac:dyDescent="0.25">
      <c r="A644" s="13">
        <f t="shared" si="18"/>
        <v>27</v>
      </c>
      <c r="B644" s="17"/>
      <c r="C644" s="17"/>
      <c r="D644" s="18"/>
      <c r="E644" s="11"/>
      <c r="F644" s="19"/>
      <c r="G644" s="36"/>
      <c r="H644" s="21"/>
      <c r="I644" s="22"/>
      <c r="J644" s="35"/>
      <c r="K644" s="24"/>
      <c r="N644" s="70"/>
      <c r="O644" s="27"/>
    </row>
    <row r="645" spans="1:15" x14ac:dyDescent="0.25">
      <c r="A645" s="13">
        <f t="shared" si="18"/>
        <v>27</v>
      </c>
      <c r="B645" s="17"/>
      <c r="C645" s="17"/>
      <c r="D645" s="18"/>
      <c r="E645" s="11"/>
      <c r="F645" s="19"/>
      <c r="G645" s="36"/>
      <c r="H645" s="21"/>
      <c r="I645" s="22"/>
      <c r="J645" s="35"/>
      <c r="K645" s="24"/>
      <c r="N645" s="70"/>
      <c r="O645" s="27"/>
    </row>
    <row r="646" spans="1:15" x14ac:dyDescent="0.25">
      <c r="A646" s="13">
        <f t="shared" si="18"/>
        <v>27</v>
      </c>
      <c r="B646" s="17"/>
      <c r="C646" s="17"/>
      <c r="D646" s="18"/>
      <c r="E646" s="11"/>
      <c r="F646" s="19"/>
      <c r="G646" s="36"/>
      <c r="H646" s="21"/>
      <c r="I646" s="22"/>
      <c r="J646" s="35"/>
      <c r="K646" s="24"/>
      <c r="N646" s="70"/>
      <c r="O646" s="27"/>
    </row>
    <row r="647" spans="1:15" x14ac:dyDescent="0.25">
      <c r="A647" s="13">
        <f t="shared" si="18"/>
        <v>27</v>
      </c>
      <c r="B647" s="17"/>
      <c r="C647" s="17"/>
      <c r="D647" s="18"/>
      <c r="E647" s="11"/>
      <c r="F647" s="19"/>
      <c r="G647" s="36"/>
      <c r="H647" s="21"/>
      <c r="I647" s="22"/>
      <c r="J647" s="35"/>
      <c r="K647" s="24"/>
      <c r="N647" s="70"/>
      <c r="O647" s="27"/>
    </row>
    <row r="648" spans="1:15" x14ac:dyDescent="0.25">
      <c r="A648" s="13">
        <f t="shared" si="18"/>
        <v>27</v>
      </c>
      <c r="B648" s="17"/>
      <c r="C648" s="17"/>
      <c r="D648" s="18"/>
      <c r="E648" s="11"/>
      <c r="F648" s="19"/>
      <c r="G648" s="36"/>
      <c r="H648" s="21"/>
      <c r="I648" s="22"/>
      <c r="J648" s="35"/>
      <c r="K648" s="24"/>
      <c r="N648" s="70"/>
      <c r="O648" s="27"/>
    </row>
    <row r="649" spans="1:15" x14ac:dyDescent="0.25">
      <c r="A649" s="13">
        <f t="shared" si="18"/>
        <v>27</v>
      </c>
      <c r="B649" s="17"/>
      <c r="C649" s="17"/>
      <c r="D649" s="18"/>
      <c r="E649" s="11"/>
      <c r="F649" s="19"/>
      <c r="G649" s="36"/>
      <c r="H649" s="21"/>
      <c r="I649" s="22"/>
      <c r="J649" s="35"/>
      <c r="K649" s="24"/>
      <c r="N649" s="70"/>
      <c r="O649" s="27"/>
    </row>
    <row r="650" spans="1:15" x14ac:dyDescent="0.25">
      <c r="A650" s="13">
        <f t="shared" si="18"/>
        <v>27</v>
      </c>
      <c r="B650" s="17"/>
      <c r="C650" s="17"/>
      <c r="D650" s="18"/>
      <c r="E650" s="11"/>
      <c r="F650" s="19"/>
      <c r="G650" s="36"/>
      <c r="H650" s="21"/>
      <c r="I650" s="22"/>
      <c r="J650" s="35"/>
      <c r="K650" s="24"/>
      <c r="N650" s="70"/>
      <c r="O650" s="27"/>
    </row>
    <row r="651" spans="1:15" x14ac:dyDescent="0.25">
      <c r="A651" s="13">
        <f t="shared" si="18"/>
        <v>27</v>
      </c>
      <c r="B651" s="17"/>
      <c r="C651" s="17"/>
      <c r="D651" s="18"/>
      <c r="E651" s="11"/>
      <c r="F651" s="19"/>
      <c r="G651" s="36"/>
      <c r="H651" s="21"/>
      <c r="I651" s="22"/>
      <c r="J651" s="35"/>
      <c r="K651" s="24"/>
      <c r="N651" s="70"/>
      <c r="O651" s="27"/>
    </row>
    <row r="652" spans="1:15" x14ac:dyDescent="0.25">
      <c r="A652" s="13">
        <f t="shared" si="18"/>
        <v>27</v>
      </c>
      <c r="B652" s="17"/>
      <c r="C652" s="17"/>
      <c r="D652" s="18"/>
      <c r="E652" s="11"/>
      <c r="F652" s="19"/>
      <c r="G652" s="36"/>
      <c r="H652" s="21"/>
      <c r="I652" s="22"/>
      <c r="J652" s="35"/>
      <c r="K652" s="24"/>
      <c r="N652" s="70"/>
      <c r="O652" s="27"/>
    </row>
    <row r="653" spans="1:15" x14ac:dyDescent="0.25">
      <c r="A653" s="13">
        <f t="shared" si="18"/>
        <v>27</v>
      </c>
      <c r="B653" s="17"/>
      <c r="C653" s="17"/>
      <c r="D653" s="18"/>
      <c r="E653" s="11"/>
      <c r="F653" s="19"/>
      <c r="G653" s="36"/>
      <c r="H653" s="21"/>
      <c r="I653" s="22"/>
      <c r="J653" s="35"/>
      <c r="K653" s="24"/>
      <c r="N653" s="70"/>
      <c r="O653" s="27"/>
    </row>
    <row r="654" spans="1:15" x14ac:dyDescent="0.25">
      <c r="A654" s="13">
        <f t="shared" si="18"/>
        <v>27</v>
      </c>
      <c r="B654" s="17"/>
      <c r="C654" s="17"/>
      <c r="D654" s="18"/>
      <c r="E654" s="11"/>
      <c r="F654" s="19"/>
      <c r="G654" s="20"/>
      <c r="H654" s="21"/>
      <c r="I654" s="22"/>
      <c r="J654" s="39"/>
      <c r="K654" s="24"/>
      <c r="N654" s="70"/>
      <c r="O654" s="27"/>
    </row>
    <row r="655" spans="1:15" x14ac:dyDescent="0.25">
      <c r="A655" s="13">
        <f t="shared" si="18"/>
        <v>27</v>
      </c>
      <c r="B655" s="17"/>
      <c r="C655" s="17"/>
      <c r="D655" s="18"/>
      <c r="E655" s="11"/>
      <c r="F655" s="19"/>
      <c r="G655" s="20"/>
      <c r="H655" s="21"/>
      <c r="I655" s="22"/>
      <c r="J655" s="39"/>
      <c r="K655" s="24"/>
      <c r="N655" s="70"/>
      <c r="O655" s="27"/>
    </row>
    <row r="656" spans="1:15" x14ac:dyDescent="0.25">
      <c r="A656" s="13">
        <f t="shared" si="18"/>
        <v>27</v>
      </c>
      <c r="B656" s="17"/>
      <c r="C656" s="17"/>
      <c r="D656" s="18"/>
      <c r="E656" s="11"/>
      <c r="F656" s="19"/>
      <c r="G656" s="20"/>
      <c r="H656" s="21"/>
      <c r="I656" s="22"/>
      <c r="J656" s="39"/>
      <c r="K656" s="24"/>
      <c r="N656" s="70"/>
      <c r="O656" s="27"/>
    </row>
    <row r="657" spans="1:15" x14ac:dyDescent="0.25">
      <c r="A657" s="13">
        <f t="shared" si="18"/>
        <v>27</v>
      </c>
      <c r="B657" s="17"/>
      <c r="C657" s="17"/>
      <c r="D657" s="18"/>
      <c r="E657" s="11"/>
      <c r="F657" s="19"/>
      <c r="G657" s="20"/>
      <c r="H657" s="21"/>
      <c r="I657" s="22"/>
      <c r="J657" s="39"/>
      <c r="K657" s="24"/>
      <c r="N657" s="70"/>
      <c r="O657" s="27"/>
    </row>
    <row r="658" spans="1:15" x14ac:dyDescent="0.25">
      <c r="A658" s="13">
        <f t="shared" si="18"/>
        <v>27</v>
      </c>
      <c r="B658" s="17"/>
      <c r="C658" s="17"/>
      <c r="D658" s="18"/>
      <c r="E658" s="11"/>
      <c r="F658" s="19"/>
      <c r="G658" s="20"/>
      <c r="H658" s="21"/>
      <c r="I658" s="22"/>
      <c r="J658" s="39"/>
      <c r="K658" s="24"/>
      <c r="N658" s="70"/>
      <c r="O658" s="27"/>
    </row>
    <row r="659" spans="1:15" x14ac:dyDescent="0.25">
      <c r="A659" s="13">
        <f t="shared" si="18"/>
        <v>27</v>
      </c>
      <c r="B659" s="17"/>
      <c r="C659" s="17"/>
      <c r="D659" s="18"/>
      <c r="E659" s="11"/>
      <c r="F659" s="19"/>
      <c r="G659" s="20"/>
      <c r="H659" s="21"/>
      <c r="I659" s="22"/>
      <c r="J659" s="39"/>
      <c r="K659" s="24"/>
      <c r="N659" s="70"/>
      <c r="O659" s="27"/>
    </row>
    <row r="660" spans="1:15" x14ac:dyDescent="0.25">
      <c r="A660" s="13">
        <f t="shared" si="18"/>
        <v>27</v>
      </c>
      <c r="B660" s="17"/>
      <c r="C660" s="17"/>
      <c r="D660" s="18"/>
      <c r="E660" s="11"/>
      <c r="F660" s="19"/>
      <c r="G660" s="20"/>
      <c r="H660" s="21"/>
      <c r="I660" s="22"/>
      <c r="J660" s="39"/>
      <c r="K660" s="24"/>
      <c r="N660" s="70"/>
      <c r="O660" s="27"/>
    </row>
    <row r="661" spans="1:15" x14ac:dyDescent="0.25">
      <c r="A661" s="13">
        <f t="shared" si="18"/>
        <v>27</v>
      </c>
      <c r="B661" s="17"/>
      <c r="C661" s="17"/>
      <c r="D661" s="18"/>
      <c r="E661" s="11"/>
      <c r="F661" s="19"/>
      <c r="G661" s="20"/>
      <c r="H661" s="21"/>
      <c r="I661" s="22"/>
      <c r="J661" s="39"/>
      <c r="K661" s="24"/>
      <c r="N661" s="70"/>
      <c r="O661" s="27"/>
    </row>
    <row r="662" spans="1:15" x14ac:dyDescent="0.25">
      <c r="A662" s="13">
        <f t="shared" si="18"/>
        <v>27</v>
      </c>
      <c r="B662" s="17"/>
      <c r="C662" s="17"/>
      <c r="D662" s="18"/>
      <c r="E662" s="11"/>
      <c r="F662" s="19"/>
      <c r="G662" s="20"/>
      <c r="H662" s="21"/>
      <c r="I662" s="22"/>
      <c r="J662" s="39"/>
      <c r="K662" s="24"/>
      <c r="N662" s="70"/>
      <c r="O662" s="27"/>
    </row>
    <row r="663" spans="1:15" x14ac:dyDescent="0.25">
      <c r="A663" s="13">
        <f t="shared" si="18"/>
        <v>27</v>
      </c>
      <c r="B663" s="17"/>
      <c r="C663" s="17"/>
      <c r="D663" s="18"/>
      <c r="E663" s="11"/>
      <c r="F663" s="19"/>
      <c r="G663" s="20"/>
      <c r="H663" s="21"/>
      <c r="I663" s="22"/>
      <c r="J663" s="39"/>
      <c r="K663" s="24"/>
      <c r="N663" s="70"/>
      <c r="O663" s="27"/>
    </row>
    <row r="664" spans="1:15" x14ac:dyDescent="0.25">
      <c r="A664" s="13">
        <f t="shared" si="18"/>
        <v>27</v>
      </c>
      <c r="B664" s="17"/>
      <c r="C664" s="17"/>
      <c r="D664" s="18"/>
      <c r="E664" s="11"/>
      <c r="F664" s="19"/>
      <c r="G664" s="20"/>
      <c r="H664" s="21"/>
      <c r="I664" s="22"/>
      <c r="J664" s="39"/>
      <c r="K664" s="24"/>
      <c r="N664" s="70"/>
      <c r="O664" s="27"/>
    </row>
    <row r="665" spans="1:15" x14ac:dyDescent="0.25">
      <c r="A665" s="13">
        <f t="shared" si="18"/>
        <v>27</v>
      </c>
      <c r="B665" s="17"/>
      <c r="C665" s="17"/>
      <c r="D665" s="18"/>
      <c r="E665" s="11"/>
      <c r="F665" s="19"/>
      <c r="G665" s="20"/>
      <c r="H665" s="21"/>
      <c r="I665" s="22"/>
      <c r="J665" s="39"/>
      <c r="K665" s="24"/>
      <c r="N665" s="70"/>
      <c r="O665" s="27"/>
    </row>
    <row r="666" spans="1:15" x14ac:dyDescent="0.25">
      <c r="A666" s="13">
        <f t="shared" si="18"/>
        <v>27</v>
      </c>
      <c r="B666" s="17"/>
      <c r="C666" s="17"/>
      <c r="D666" s="18"/>
      <c r="E666" s="11"/>
      <c r="F666" s="19"/>
      <c r="G666" s="20"/>
      <c r="H666" s="21"/>
      <c r="I666" s="22"/>
      <c r="J666" s="39"/>
      <c r="K666" s="24"/>
      <c r="N666" s="70"/>
      <c r="O666" s="27"/>
    </row>
    <row r="667" spans="1:15" x14ac:dyDescent="0.25">
      <c r="A667" s="13">
        <f t="shared" si="18"/>
        <v>27</v>
      </c>
      <c r="B667" s="17"/>
      <c r="C667" s="17"/>
      <c r="D667" s="18"/>
      <c r="E667" s="11"/>
      <c r="F667" s="19"/>
      <c r="G667" s="20"/>
      <c r="H667" s="21"/>
      <c r="I667" s="22"/>
      <c r="J667" s="39"/>
      <c r="K667" s="24"/>
      <c r="N667" s="70"/>
      <c r="O667" s="27"/>
    </row>
    <row r="668" spans="1:15" x14ac:dyDescent="0.25">
      <c r="A668" s="13">
        <f t="shared" si="18"/>
        <v>27</v>
      </c>
      <c r="B668" s="17"/>
      <c r="C668" s="17"/>
      <c r="D668" s="18"/>
      <c r="E668" s="11"/>
      <c r="F668" s="19"/>
      <c r="G668" s="20"/>
      <c r="H668" s="21"/>
      <c r="I668" s="22"/>
      <c r="J668" s="39"/>
      <c r="K668" s="24"/>
      <c r="N668" s="70"/>
      <c r="O668" s="27"/>
    </row>
    <row r="669" spans="1:15" x14ac:dyDescent="0.25">
      <c r="A669" s="13">
        <f t="shared" si="18"/>
        <v>27</v>
      </c>
      <c r="B669" s="17"/>
      <c r="C669" s="17"/>
      <c r="D669" s="18"/>
      <c r="E669" s="11"/>
      <c r="F669" s="19"/>
      <c r="G669" s="20"/>
      <c r="H669" s="21"/>
      <c r="I669" s="22"/>
      <c r="J669" s="39"/>
      <c r="K669" s="24"/>
      <c r="N669" s="70"/>
      <c r="O669" s="27"/>
    </row>
    <row r="670" spans="1:15" x14ac:dyDescent="0.25">
      <c r="A670" s="13">
        <f t="shared" si="18"/>
        <v>27</v>
      </c>
      <c r="B670" s="17"/>
      <c r="C670" s="17"/>
      <c r="D670" s="18"/>
      <c r="E670" s="11"/>
      <c r="F670" s="19"/>
      <c r="G670" s="20"/>
      <c r="H670" s="21"/>
      <c r="I670" s="22"/>
      <c r="J670" s="39"/>
      <c r="K670" s="24"/>
      <c r="N670" s="70"/>
      <c r="O670" s="27"/>
    </row>
    <row r="671" spans="1:15" x14ac:dyDescent="0.25">
      <c r="A671" s="13">
        <f t="shared" si="18"/>
        <v>27</v>
      </c>
      <c r="B671" s="17"/>
      <c r="C671" s="17"/>
      <c r="D671" s="18"/>
      <c r="E671" s="11"/>
      <c r="F671" s="19"/>
      <c r="G671" s="20"/>
      <c r="H671" s="21"/>
      <c r="I671" s="22"/>
      <c r="J671" s="39"/>
      <c r="K671" s="24"/>
      <c r="N671" s="70"/>
      <c r="O671" s="27"/>
    </row>
    <row r="672" spans="1:15" x14ac:dyDescent="0.25">
      <c r="A672" s="13">
        <f t="shared" si="18"/>
        <v>27</v>
      </c>
      <c r="B672" s="17"/>
      <c r="C672" s="17"/>
      <c r="D672" s="18"/>
      <c r="E672" s="11"/>
      <c r="F672" s="19"/>
      <c r="G672" s="20"/>
      <c r="H672" s="21"/>
      <c r="I672" s="22"/>
      <c r="J672" s="39"/>
      <c r="K672" s="24"/>
      <c r="N672" s="70"/>
      <c r="O672" s="27"/>
    </row>
    <row r="673" spans="1:15" x14ac:dyDescent="0.25">
      <c r="A673" s="13">
        <f t="shared" si="18"/>
        <v>27</v>
      </c>
      <c r="B673" s="17"/>
      <c r="C673" s="17"/>
      <c r="D673" s="18"/>
      <c r="E673" s="11"/>
      <c r="F673" s="19"/>
      <c r="G673" s="20"/>
      <c r="H673" s="21"/>
      <c r="I673" s="22"/>
      <c r="J673" s="39"/>
      <c r="K673" s="24"/>
      <c r="N673" s="70"/>
      <c r="O673" s="27"/>
    </row>
    <row r="674" spans="1:15" x14ac:dyDescent="0.25">
      <c r="A674" s="13">
        <f t="shared" si="18"/>
        <v>27</v>
      </c>
      <c r="B674" s="17"/>
      <c r="C674" s="17"/>
      <c r="D674" s="18"/>
      <c r="E674" s="11"/>
      <c r="F674" s="19"/>
      <c r="G674" s="20"/>
      <c r="H674" s="21"/>
      <c r="I674" s="22"/>
      <c r="J674" s="23"/>
      <c r="K674" s="24"/>
      <c r="N674" s="70"/>
      <c r="O674" s="27"/>
    </row>
    <row r="675" spans="1:15" x14ac:dyDescent="0.25">
      <c r="A675" s="13">
        <f t="shared" si="18"/>
        <v>27</v>
      </c>
      <c r="B675" s="17"/>
      <c r="C675" s="17"/>
      <c r="D675" s="18"/>
      <c r="E675" s="11"/>
      <c r="F675" s="19"/>
      <c r="G675" s="20"/>
      <c r="H675" s="21"/>
      <c r="I675" s="22"/>
      <c r="J675" s="23"/>
      <c r="K675" s="24"/>
      <c r="N675" s="70"/>
      <c r="O675" s="27"/>
    </row>
    <row r="676" spans="1:15" x14ac:dyDescent="0.25">
      <c r="A676" s="13">
        <f t="shared" si="18"/>
        <v>27</v>
      </c>
      <c r="B676" s="17"/>
      <c r="C676" s="17"/>
      <c r="D676" s="18"/>
      <c r="E676" s="11"/>
      <c r="F676" s="19"/>
      <c r="G676" s="20"/>
      <c r="H676" s="21"/>
      <c r="I676" s="22"/>
      <c r="J676" s="23"/>
      <c r="K676" s="24"/>
      <c r="N676" s="70"/>
      <c r="O676" s="27"/>
    </row>
    <row r="677" spans="1:15" x14ac:dyDescent="0.25">
      <c r="A677" s="13">
        <f t="shared" si="18"/>
        <v>27</v>
      </c>
      <c r="B677" s="17"/>
      <c r="C677" s="17"/>
      <c r="D677" s="18"/>
      <c r="E677" s="11"/>
      <c r="F677" s="19"/>
      <c r="G677" s="20"/>
      <c r="H677" s="21"/>
      <c r="I677" s="22"/>
      <c r="J677" s="23"/>
      <c r="K677" s="24"/>
      <c r="N677" s="70"/>
      <c r="O677" s="27"/>
    </row>
    <row r="678" spans="1:15" x14ac:dyDescent="0.25">
      <c r="A678" s="13">
        <f t="shared" si="18"/>
        <v>27</v>
      </c>
      <c r="B678" s="17"/>
      <c r="C678" s="17"/>
      <c r="D678" s="18"/>
      <c r="E678" s="11"/>
      <c r="F678" s="19"/>
      <c r="G678" s="36"/>
      <c r="H678" s="21"/>
      <c r="I678" s="22"/>
      <c r="J678" s="35"/>
      <c r="K678" s="24"/>
      <c r="N678" s="70"/>
      <c r="O678" s="27"/>
    </row>
    <row r="679" spans="1:15" x14ac:dyDescent="0.25">
      <c r="A679" s="13">
        <f t="shared" si="18"/>
        <v>27</v>
      </c>
      <c r="B679" s="17"/>
      <c r="C679" s="17"/>
      <c r="D679" s="18"/>
      <c r="E679" s="11"/>
      <c r="F679" s="19"/>
      <c r="G679" s="36"/>
      <c r="H679" s="21"/>
      <c r="I679" s="22"/>
      <c r="J679" s="35"/>
      <c r="K679" s="24"/>
      <c r="N679" s="70"/>
      <c r="O679" s="27"/>
    </row>
    <row r="680" spans="1:15" x14ac:dyDescent="0.25">
      <c r="A680" s="13">
        <f t="shared" si="18"/>
        <v>27</v>
      </c>
      <c r="B680" s="17"/>
      <c r="C680" s="17"/>
      <c r="D680" s="18"/>
      <c r="E680" s="11"/>
      <c r="F680" s="19"/>
      <c r="G680" s="36"/>
      <c r="H680" s="21"/>
      <c r="I680" s="22"/>
      <c r="J680" s="35"/>
      <c r="K680" s="24"/>
      <c r="N680" s="70"/>
      <c r="O680" s="27"/>
    </row>
    <row r="681" spans="1:15" x14ac:dyDescent="0.25">
      <c r="A681" s="13">
        <f t="shared" si="18"/>
        <v>27</v>
      </c>
      <c r="B681" s="17"/>
      <c r="C681" s="17"/>
      <c r="D681" s="18"/>
      <c r="E681" s="11"/>
      <c r="F681" s="19"/>
      <c r="G681" s="36"/>
      <c r="H681" s="21"/>
      <c r="I681" s="22"/>
      <c r="J681" s="35"/>
      <c r="K681" s="24"/>
      <c r="N681" s="70"/>
      <c r="O681" s="27"/>
    </row>
    <row r="682" spans="1:15" x14ac:dyDescent="0.25">
      <c r="A682" s="13">
        <f t="shared" si="18"/>
        <v>27</v>
      </c>
      <c r="B682" s="17"/>
      <c r="C682" s="17"/>
      <c r="D682" s="18"/>
      <c r="E682" s="11"/>
      <c r="F682" s="19"/>
      <c r="G682" s="36"/>
      <c r="H682" s="21"/>
      <c r="I682" s="22"/>
      <c r="J682" s="35"/>
      <c r="K682" s="24"/>
      <c r="N682" s="70"/>
      <c r="O682" s="27"/>
    </row>
    <row r="683" spans="1:15" x14ac:dyDescent="0.25">
      <c r="A683" s="13">
        <f t="shared" si="18"/>
        <v>27</v>
      </c>
      <c r="B683" s="17"/>
      <c r="C683" s="17"/>
      <c r="D683" s="18"/>
      <c r="E683" s="11"/>
      <c r="F683" s="19"/>
      <c r="G683" s="36"/>
      <c r="H683" s="21"/>
      <c r="I683" s="22"/>
      <c r="J683" s="35"/>
      <c r="K683" s="24"/>
      <c r="N683" s="70"/>
      <c r="O683" s="27"/>
    </row>
    <row r="684" spans="1:15" x14ac:dyDescent="0.25">
      <c r="A684" s="13">
        <f t="shared" si="18"/>
        <v>27</v>
      </c>
      <c r="B684" s="17"/>
      <c r="C684" s="17"/>
      <c r="D684" s="40"/>
      <c r="E684" s="41"/>
      <c r="F684" s="19"/>
      <c r="G684" s="36"/>
      <c r="H684" s="21"/>
      <c r="I684" s="22"/>
      <c r="J684" s="35"/>
      <c r="K684" s="24"/>
      <c r="N684" s="70"/>
      <c r="O684" s="27"/>
    </row>
    <row r="685" spans="1:15" x14ac:dyDescent="0.25">
      <c r="A685" s="13">
        <f t="shared" si="18"/>
        <v>27</v>
      </c>
      <c r="B685" s="17"/>
      <c r="C685" s="17"/>
      <c r="D685" s="18"/>
      <c r="E685" s="11"/>
      <c r="F685" s="19"/>
      <c r="G685" s="20"/>
      <c r="H685" s="21"/>
      <c r="I685" s="22"/>
      <c r="J685" s="39"/>
      <c r="K685" s="24"/>
      <c r="N685" s="70"/>
      <c r="O685" s="27"/>
    </row>
    <row r="686" spans="1:15" x14ac:dyDescent="0.25">
      <c r="A686" s="13">
        <f t="shared" si="18"/>
        <v>27</v>
      </c>
      <c r="B686" s="17"/>
      <c r="C686" s="17"/>
      <c r="D686" s="18"/>
      <c r="E686" s="11"/>
      <c r="F686" s="19"/>
      <c r="G686" s="20"/>
      <c r="H686" s="21"/>
      <c r="I686" s="22"/>
      <c r="J686" s="39"/>
      <c r="K686" s="24"/>
      <c r="N686" s="70"/>
      <c r="O686" s="27"/>
    </row>
    <row r="687" spans="1:15" x14ac:dyDescent="0.25">
      <c r="A687" s="13">
        <f t="shared" si="18"/>
        <v>27</v>
      </c>
      <c r="B687" s="17"/>
      <c r="C687" s="17"/>
      <c r="D687" s="18"/>
      <c r="E687" s="11"/>
      <c r="F687" s="19"/>
      <c r="G687" s="20"/>
      <c r="H687" s="21"/>
      <c r="I687" s="22"/>
      <c r="J687" s="39"/>
      <c r="K687" s="24"/>
      <c r="N687" s="70"/>
      <c r="O687" s="27"/>
    </row>
    <row r="688" spans="1:15" x14ac:dyDescent="0.25">
      <c r="A688" s="13">
        <f t="shared" si="18"/>
        <v>27</v>
      </c>
      <c r="B688" s="17"/>
      <c r="C688" s="17"/>
      <c r="D688" s="18"/>
      <c r="E688" s="11"/>
      <c r="F688" s="19"/>
      <c r="G688" s="20"/>
      <c r="H688" s="21"/>
      <c r="I688" s="22"/>
      <c r="J688" s="39"/>
      <c r="K688" s="24"/>
      <c r="N688" s="70"/>
      <c r="O688" s="27"/>
    </row>
    <row r="689" spans="1:15" x14ac:dyDescent="0.25">
      <c r="A689" s="13">
        <f t="shared" si="18"/>
        <v>27</v>
      </c>
      <c r="B689" s="17"/>
      <c r="C689" s="17"/>
      <c r="D689" s="18"/>
      <c r="E689" s="11"/>
      <c r="F689" s="19"/>
      <c r="G689" s="20"/>
      <c r="H689" s="21"/>
      <c r="I689" s="22"/>
      <c r="J689" s="39"/>
      <c r="K689" s="24"/>
      <c r="N689" s="70"/>
      <c r="O689" s="27"/>
    </row>
    <row r="690" spans="1:15" x14ac:dyDescent="0.25">
      <c r="A690" s="13">
        <f t="shared" si="18"/>
        <v>27</v>
      </c>
      <c r="B690" s="17"/>
      <c r="C690" s="17"/>
      <c r="D690" s="18"/>
      <c r="E690" s="11"/>
      <c r="F690" s="19"/>
      <c r="G690" s="20"/>
      <c r="H690" s="21"/>
      <c r="I690" s="22"/>
      <c r="J690" s="39"/>
      <c r="K690" s="24"/>
      <c r="N690" s="70"/>
      <c r="O690" s="27"/>
    </row>
    <row r="691" spans="1:15" x14ac:dyDescent="0.25">
      <c r="A691" s="13">
        <f t="shared" si="18"/>
        <v>27</v>
      </c>
      <c r="B691" s="17"/>
      <c r="C691" s="17"/>
      <c r="D691" s="18"/>
      <c r="E691" s="11"/>
      <c r="F691" s="19"/>
      <c r="G691" s="20"/>
      <c r="H691" s="21"/>
      <c r="I691" s="22"/>
      <c r="J691" s="39"/>
      <c r="K691" s="24"/>
      <c r="N691" s="70"/>
      <c r="O691" s="27"/>
    </row>
    <row r="692" spans="1:15" x14ac:dyDescent="0.25">
      <c r="A692" s="13">
        <f t="shared" si="18"/>
        <v>27</v>
      </c>
      <c r="B692" s="17"/>
      <c r="C692" s="17"/>
      <c r="D692" s="18"/>
      <c r="E692" s="11"/>
      <c r="F692" s="19"/>
      <c r="G692" s="20"/>
      <c r="H692" s="21"/>
      <c r="I692" s="22"/>
      <c r="J692" s="39"/>
      <c r="K692" s="24"/>
      <c r="N692" s="70"/>
      <c r="O692" s="27"/>
    </row>
    <row r="693" spans="1:15" x14ac:dyDescent="0.25">
      <c r="A693" s="13">
        <f t="shared" si="18"/>
        <v>27</v>
      </c>
      <c r="B693" s="17"/>
      <c r="C693" s="17"/>
      <c r="D693" s="18"/>
      <c r="E693" s="11"/>
      <c r="F693" s="19"/>
      <c r="G693" s="20"/>
      <c r="H693" s="21"/>
      <c r="I693" s="22"/>
      <c r="J693" s="39"/>
      <c r="K693" s="24"/>
      <c r="N693" s="70"/>
      <c r="O693" s="27"/>
    </row>
    <row r="694" spans="1:15" x14ac:dyDescent="0.25">
      <c r="A694" s="13">
        <f t="shared" si="18"/>
        <v>27</v>
      </c>
      <c r="B694" s="17"/>
      <c r="C694" s="17"/>
      <c r="D694" s="18"/>
      <c r="E694" s="11"/>
      <c r="F694" s="19"/>
      <c r="G694" s="20"/>
      <c r="H694" s="21"/>
      <c r="I694" s="22"/>
      <c r="J694" s="39"/>
      <c r="K694" s="24"/>
      <c r="N694" s="70"/>
      <c r="O694" s="27"/>
    </row>
    <row r="695" spans="1:15" x14ac:dyDescent="0.25">
      <c r="A695" s="13">
        <f t="shared" si="18"/>
        <v>27</v>
      </c>
      <c r="B695" s="17"/>
      <c r="C695" s="17"/>
      <c r="D695" s="18"/>
      <c r="E695" s="11"/>
      <c r="F695" s="19"/>
      <c r="G695" s="20"/>
      <c r="H695" s="21"/>
      <c r="I695" s="22"/>
      <c r="J695" s="39"/>
      <c r="K695" s="24"/>
      <c r="N695" s="70"/>
      <c r="O695" s="27"/>
    </row>
    <row r="696" spans="1:15" x14ac:dyDescent="0.25">
      <c r="A696" s="13">
        <f t="shared" si="18"/>
        <v>27</v>
      </c>
      <c r="B696" s="17"/>
      <c r="C696" s="17"/>
      <c r="D696" s="18"/>
      <c r="E696" s="11"/>
      <c r="F696" s="19"/>
      <c r="G696" s="36"/>
      <c r="H696" s="21"/>
      <c r="I696" s="22"/>
      <c r="J696" s="35"/>
      <c r="K696" s="24"/>
      <c r="N696" s="70"/>
      <c r="O696" s="27"/>
    </row>
    <row r="697" spans="1:15" x14ac:dyDescent="0.25">
      <c r="A697" s="13">
        <f t="shared" si="18"/>
        <v>27</v>
      </c>
      <c r="B697" s="17"/>
      <c r="C697" s="17"/>
      <c r="D697" s="18"/>
      <c r="E697" s="11"/>
      <c r="F697" s="19"/>
      <c r="G697" s="36"/>
      <c r="H697" s="21"/>
      <c r="I697" s="22"/>
      <c r="J697" s="35"/>
      <c r="K697" s="24"/>
      <c r="N697" s="70"/>
      <c r="O697" s="27"/>
    </row>
    <row r="698" spans="1:15" x14ac:dyDescent="0.25">
      <c r="A698" s="13">
        <f t="shared" si="18"/>
        <v>27</v>
      </c>
      <c r="B698" s="17"/>
      <c r="C698" s="17"/>
      <c r="D698" s="18"/>
      <c r="E698" s="11"/>
      <c r="F698" s="19"/>
      <c r="G698" s="36"/>
      <c r="H698" s="21"/>
      <c r="I698" s="22"/>
      <c r="J698" s="35"/>
      <c r="K698" s="24"/>
      <c r="N698" s="70"/>
      <c r="O698" s="27"/>
    </row>
    <row r="699" spans="1:15" x14ac:dyDescent="0.25">
      <c r="A699" s="13">
        <f t="shared" si="18"/>
        <v>27</v>
      </c>
      <c r="B699" s="17"/>
      <c r="C699" s="17"/>
      <c r="D699" s="18"/>
      <c r="E699" s="11"/>
      <c r="F699" s="19"/>
      <c r="G699" s="36"/>
      <c r="H699" s="21"/>
      <c r="I699" s="22"/>
      <c r="J699" s="35"/>
      <c r="K699" s="24"/>
      <c r="N699" s="70"/>
      <c r="O699" s="27"/>
    </row>
    <row r="700" spans="1:15" x14ac:dyDescent="0.25">
      <c r="A700" s="13">
        <f t="shared" si="18"/>
        <v>27</v>
      </c>
      <c r="B700" s="17"/>
      <c r="C700" s="17"/>
      <c r="D700" s="18"/>
      <c r="E700" s="11"/>
      <c r="F700" s="19"/>
      <c r="G700" s="36"/>
      <c r="H700" s="21"/>
      <c r="I700" s="22"/>
      <c r="J700" s="35"/>
      <c r="K700" s="24"/>
      <c r="N700" s="70"/>
      <c r="O700" s="27"/>
    </row>
    <row r="701" spans="1:15" x14ac:dyDescent="0.25">
      <c r="A701" s="13">
        <f t="shared" si="18"/>
        <v>27</v>
      </c>
      <c r="B701" s="17"/>
      <c r="C701" s="17"/>
      <c r="D701" s="18"/>
      <c r="E701" s="11"/>
      <c r="F701" s="19"/>
      <c r="G701" s="36"/>
      <c r="H701" s="21"/>
      <c r="I701" s="22"/>
      <c r="J701" s="35"/>
      <c r="K701" s="24"/>
      <c r="N701" s="70"/>
      <c r="O701" s="27"/>
    </row>
    <row r="702" spans="1:15" x14ac:dyDescent="0.25">
      <c r="A702" s="13">
        <f t="shared" si="18"/>
        <v>27</v>
      </c>
      <c r="B702" s="17"/>
      <c r="C702" s="17"/>
      <c r="D702" s="18"/>
      <c r="E702" s="11"/>
      <c r="F702" s="19"/>
      <c r="G702" s="36"/>
      <c r="H702" s="21"/>
      <c r="I702" s="22"/>
      <c r="J702" s="35"/>
      <c r="K702" s="24"/>
      <c r="N702" s="70"/>
      <c r="O702" s="27"/>
    </row>
    <row r="703" spans="1:15" x14ac:dyDescent="0.25">
      <c r="A703" s="13">
        <f t="shared" si="18"/>
        <v>27</v>
      </c>
      <c r="B703" s="17"/>
      <c r="C703" s="17"/>
      <c r="D703" s="18"/>
      <c r="E703" s="11"/>
      <c r="F703" s="19"/>
      <c r="G703" s="36"/>
      <c r="H703" s="21"/>
      <c r="I703" s="22"/>
      <c r="J703" s="35"/>
      <c r="K703" s="24"/>
      <c r="N703" s="70"/>
      <c r="O703" s="27"/>
    </row>
    <row r="704" spans="1:15" x14ac:dyDescent="0.25">
      <c r="A704" s="13">
        <f t="shared" si="18"/>
        <v>27</v>
      </c>
      <c r="B704" s="17"/>
      <c r="C704" s="17"/>
      <c r="D704" s="18"/>
      <c r="E704" s="11"/>
      <c r="F704" s="19"/>
      <c r="G704" s="36"/>
      <c r="H704" s="21"/>
      <c r="I704" s="22"/>
      <c r="J704" s="35"/>
      <c r="K704" s="24"/>
      <c r="N704" s="70"/>
      <c r="O704" s="27"/>
    </row>
    <row r="705" spans="1:15" x14ac:dyDescent="0.25">
      <c r="A705" s="13">
        <f t="shared" si="18"/>
        <v>27</v>
      </c>
      <c r="B705" s="17"/>
      <c r="C705" s="17"/>
      <c r="D705" s="18"/>
      <c r="E705" s="11"/>
      <c r="F705" s="19"/>
      <c r="G705" s="36"/>
      <c r="H705" s="21"/>
      <c r="I705" s="22"/>
      <c r="J705" s="35"/>
      <c r="K705" s="24"/>
      <c r="N705" s="70"/>
      <c r="O705" s="27"/>
    </row>
    <row r="706" spans="1:15" x14ac:dyDescent="0.25">
      <c r="A706" s="13">
        <f t="shared" ref="A706:A769" si="19">IF(B803=B802,A705,A705+1)</f>
        <v>27</v>
      </c>
      <c r="B706" s="17"/>
      <c r="C706" s="17"/>
      <c r="D706" s="18"/>
      <c r="E706" s="11"/>
      <c r="F706" s="19"/>
      <c r="G706" s="36"/>
      <c r="H706" s="21"/>
      <c r="I706" s="22"/>
      <c r="J706" s="35"/>
      <c r="K706" s="24"/>
      <c r="N706" s="70"/>
      <c r="O706" s="27"/>
    </row>
    <row r="707" spans="1:15" x14ac:dyDescent="0.25">
      <c r="A707" s="13">
        <f t="shared" si="19"/>
        <v>27</v>
      </c>
      <c r="B707" s="17"/>
      <c r="C707" s="17"/>
      <c r="D707" s="18"/>
      <c r="E707" s="11"/>
      <c r="F707" s="19"/>
      <c r="G707" s="36"/>
      <c r="H707" s="21"/>
      <c r="I707" s="22"/>
      <c r="J707" s="35"/>
      <c r="K707" s="24"/>
      <c r="N707" s="70"/>
      <c r="O707" s="27"/>
    </row>
    <row r="708" spans="1:15" x14ac:dyDescent="0.25">
      <c r="A708" s="13">
        <f t="shared" si="19"/>
        <v>27</v>
      </c>
      <c r="B708" s="17"/>
      <c r="C708" s="17"/>
      <c r="D708" s="18"/>
      <c r="E708" s="11"/>
      <c r="F708" s="19"/>
      <c r="G708" s="36"/>
      <c r="H708" s="21"/>
      <c r="I708" s="22"/>
      <c r="J708" s="35"/>
      <c r="K708" s="24"/>
      <c r="N708" s="70"/>
      <c r="O708" s="27"/>
    </row>
    <row r="709" spans="1:15" x14ac:dyDescent="0.25">
      <c r="A709" s="13">
        <f t="shared" si="19"/>
        <v>27</v>
      </c>
      <c r="B709" s="17"/>
      <c r="C709" s="17"/>
      <c r="D709" s="18"/>
      <c r="E709" s="11"/>
      <c r="F709" s="19"/>
      <c r="G709" s="36"/>
      <c r="H709" s="21"/>
      <c r="I709" s="22"/>
      <c r="J709" s="35"/>
      <c r="K709" s="24"/>
      <c r="N709" s="70"/>
      <c r="O709" s="27"/>
    </row>
    <row r="710" spans="1:15" x14ac:dyDescent="0.25">
      <c r="A710" s="13">
        <f t="shared" si="19"/>
        <v>27</v>
      </c>
      <c r="B710" s="17"/>
      <c r="C710" s="17"/>
      <c r="D710" s="18"/>
      <c r="E710" s="11"/>
      <c r="F710" s="19"/>
      <c r="G710" s="36"/>
      <c r="H710" s="21"/>
      <c r="I710" s="22"/>
      <c r="J710" s="35"/>
      <c r="K710" s="24"/>
      <c r="N710" s="70"/>
      <c r="O710" s="27"/>
    </row>
    <row r="711" spans="1:15" x14ac:dyDescent="0.25">
      <c r="A711" s="13">
        <f t="shared" si="19"/>
        <v>27</v>
      </c>
      <c r="B711" s="17"/>
      <c r="C711" s="17"/>
      <c r="D711" s="18"/>
      <c r="E711" s="11"/>
      <c r="F711" s="19"/>
      <c r="G711" s="36"/>
      <c r="H711" s="21"/>
      <c r="I711" s="22"/>
      <c r="J711" s="35"/>
      <c r="K711" s="24"/>
      <c r="N711" s="70"/>
      <c r="O711" s="27"/>
    </row>
    <row r="712" spans="1:15" x14ac:dyDescent="0.25">
      <c r="A712" s="13">
        <f t="shared" si="19"/>
        <v>27</v>
      </c>
      <c r="B712" s="17"/>
      <c r="C712" s="17"/>
      <c r="D712" s="40"/>
      <c r="E712" s="41"/>
      <c r="F712" s="19"/>
      <c r="G712" s="36"/>
      <c r="H712" s="21"/>
      <c r="I712" s="22"/>
      <c r="J712" s="35"/>
      <c r="K712" s="24"/>
      <c r="N712" s="70"/>
      <c r="O712" s="27"/>
    </row>
    <row r="713" spans="1:15" x14ac:dyDescent="0.25">
      <c r="A713" s="13">
        <f t="shared" si="19"/>
        <v>27</v>
      </c>
      <c r="B713" s="17"/>
      <c r="C713" s="17"/>
      <c r="D713" s="18"/>
      <c r="E713" s="11"/>
      <c r="F713" s="19"/>
      <c r="G713" s="20"/>
      <c r="H713" s="21"/>
      <c r="I713" s="22"/>
      <c r="J713" s="39"/>
      <c r="K713" s="24"/>
      <c r="N713" s="70"/>
      <c r="O713" s="27"/>
    </row>
    <row r="714" spans="1:15" x14ac:dyDescent="0.25">
      <c r="A714" s="13">
        <f t="shared" si="19"/>
        <v>27</v>
      </c>
      <c r="B714" s="17"/>
      <c r="C714" s="17"/>
      <c r="D714" s="18"/>
      <c r="E714" s="11"/>
      <c r="F714" s="19"/>
      <c r="G714" s="20"/>
      <c r="H714" s="21"/>
      <c r="I714" s="22"/>
      <c r="J714" s="39"/>
      <c r="K714" s="24"/>
      <c r="N714" s="70"/>
      <c r="O714" s="27"/>
    </row>
    <row r="715" spans="1:15" x14ac:dyDescent="0.25">
      <c r="A715" s="13">
        <f t="shared" si="19"/>
        <v>27</v>
      </c>
      <c r="B715" s="17"/>
      <c r="C715" s="17"/>
      <c r="D715" s="18"/>
      <c r="E715" s="11"/>
      <c r="F715" s="19"/>
      <c r="G715" s="20"/>
      <c r="H715" s="21"/>
      <c r="I715" s="22"/>
      <c r="J715" s="39"/>
      <c r="K715" s="24"/>
      <c r="N715" s="70"/>
      <c r="O715" s="27"/>
    </row>
    <row r="716" spans="1:15" x14ac:dyDescent="0.25">
      <c r="A716" s="13">
        <f t="shared" si="19"/>
        <v>27</v>
      </c>
      <c r="B716" s="17"/>
      <c r="C716" s="17"/>
      <c r="D716" s="18"/>
      <c r="E716" s="11"/>
      <c r="F716" s="19"/>
      <c r="G716" s="20"/>
      <c r="H716" s="21"/>
      <c r="I716" s="22"/>
      <c r="J716" s="39"/>
      <c r="K716" s="24"/>
      <c r="N716" s="70"/>
      <c r="O716" s="27"/>
    </row>
    <row r="717" spans="1:15" x14ac:dyDescent="0.25">
      <c r="A717" s="13">
        <f t="shared" si="19"/>
        <v>27</v>
      </c>
      <c r="B717" s="17"/>
      <c r="C717" s="17"/>
      <c r="D717" s="18"/>
      <c r="E717" s="11"/>
      <c r="F717" s="19"/>
      <c r="G717" s="20"/>
      <c r="H717" s="21"/>
      <c r="I717" s="22"/>
      <c r="J717" s="39"/>
      <c r="K717" s="24"/>
      <c r="N717" s="70"/>
      <c r="O717" s="27"/>
    </row>
    <row r="718" spans="1:15" x14ac:dyDescent="0.25">
      <c r="A718" s="13">
        <f t="shared" si="19"/>
        <v>27</v>
      </c>
      <c r="B718" s="17"/>
      <c r="C718" s="17"/>
      <c r="D718" s="18"/>
      <c r="E718" s="11"/>
      <c r="F718" s="19"/>
      <c r="G718" s="20"/>
      <c r="H718" s="21"/>
      <c r="I718" s="22"/>
      <c r="J718" s="39"/>
      <c r="K718" s="24"/>
      <c r="N718" s="70"/>
      <c r="O718" s="27"/>
    </row>
    <row r="719" spans="1:15" x14ac:dyDescent="0.25">
      <c r="A719" s="13">
        <f t="shared" si="19"/>
        <v>27</v>
      </c>
      <c r="B719" s="17"/>
      <c r="C719" s="17"/>
      <c r="D719" s="18"/>
      <c r="E719" s="11"/>
      <c r="F719" s="19"/>
      <c r="G719" s="20"/>
      <c r="H719" s="21"/>
      <c r="I719" s="22"/>
      <c r="J719" s="39"/>
      <c r="K719" s="24"/>
      <c r="N719" s="70"/>
      <c r="O719" s="27"/>
    </row>
    <row r="720" spans="1:15" x14ac:dyDescent="0.25">
      <c r="A720" s="13">
        <f t="shared" si="19"/>
        <v>27</v>
      </c>
      <c r="B720" s="17"/>
      <c r="C720" s="17"/>
      <c r="D720" s="18"/>
      <c r="E720" s="11"/>
      <c r="F720" s="19"/>
      <c r="G720" s="20"/>
      <c r="H720" s="21"/>
      <c r="I720" s="22"/>
      <c r="J720" s="39"/>
      <c r="K720" s="24"/>
      <c r="N720" s="70"/>
      <c r="O720" s="27"/>
    </row>
    <row r="721" spans="1:15" x14ac:dyDescent="0.25">
      <c r="A721" s="13">
        <f t="shared" si="19"/>
        <v>27</v>
      </c>
      <c r="B721" s="17"/>
      <c r="C721" s="17"/>
      <c r="D721" s="18"/>
      <c r="E721" s="11"/>
      <c r="F721" s="19"/>
      <c r="G721" s="20"/>
      <c r="H721" s="21"/>
      <c r="I721" s="22"/>
      <c r="J721" s="39"/>
      <c r="K721" s="24"/>
      <c r="N721" s="70"/>
      <c r="O721" s="27"/>
    </row>
    <row r="722" spans="1:15" x14ac:dyDescent="0.25">
      <c r="A722" s="13">
        <f t="shared" si="19"/>
        <v>27</v>
      </c>
      <c r="B722" s="17"/>
      <c r="C722" s="17"/>
      <c r="D722" s="18"/>
      <c r="E722" s="11"/>
      <c r="F722" s="19"/>
      <c r="G722" s="20"/>
      <c r="H722" s="21"/>
      <c r="I722" s="22"/>
      <c r="J722" s="39"/>
      <c r="K722" s="24"/>
      <c r="N722" s="70"/>
      <c r="O722" s="27"/>
    </row>
    <row r="723" spans="1:15" x14ac:dyDescent="0.25">
      <c r="A723" s="13">
        <f t="shared" si="19"/>
        <v>27</v>
      </c>
      <c r="B723" s="17"/>
      <c r="C723" s="17"/>
      <c r="D723" s="18"/>
      <c r="E723" s="11"/>
      <c r="F723" s="19"/>
      <c r="G723" s="20"/>
      <c r="H723" s="21"/>
      <c r="I723" s="22"/>
      <c r="J723" s="39"/>
      <c r="K723" s="24"/>
      <c r="N723" s="70"/>
      <c r="O723" s="27"/>
    </row>
    <row r="724" spans="1:15" x14ac:dyDescent="0.25">
      <c r="A724" s="13">
        <f t="shared" si="19"/>
        <v>27</v>
      </c>
      <c r="B724" s="17"/>
      <c r="C724" s="17"/>
      <c r="D724" s="18"/>
      <c r="E724" s="11"/>
      <c r="F724" s="19"/>
      <c r="G724" s="20"/>
      <c r="H724" s="21"/>
      <c r="I724" s="22"/>
      <c r="J724" s="39"/>
      <c r="K724" s="24"/>
      <c r="N724" s="70"/>
      <c r="O724" s="27"/>
    </row>
    <row r="725" spans="1:15" x14ac:dyDescent="0.25">
      <c r="A725" s="13">
        <f t="shared" si="19"/>
        <v>27</v>
      </c>
      <c r="B725" s="17"/>
      <c r="C725" s="17"/>
      <c r="D725" s="18"/>
      <c r="E725" s="11"/>
      <c r="F725" s="19"/>
      <c r="G725" s="20"/>
      <c r="H725" s="21"/>
      <c r="I725" s="22"/>
      <c r="J725" s="39"/>
      <c r="K725" s="24"/>
      <c r="N725" s="70"/>
      <c r="O725" s="27"/>
    </row>
    <row r="726" spans="1:15" x14ac:dyDescent="0.25">
      <c r="A726" s="13">
        <f t="shared" si="19"/>
        <v>27</v>
      </c>
      <c r="B726" s="17"/>
      <c r="C726" s="17"/>
      <c r="D726" s="18"/>
      <c r="E726" s="11"/>
      <c r="F726" s="19"/>
      <c r="G726" s="20"/>
      <c r="H726" s="21"/>
      <c r="I726" s="22"/>
      <c r="J726" s="39"/>
      <c r="K726" s="24"/>
      <c r="N726" s="70"/>
      <c r="O726" s="27"/>
    </row>
    <row r="727" spans="1:15" x14ac:dyDescent="0.25">
      <c r="A727" s="13">
        <f t="shared" si="19"/>
        <v>27</v>
      </c>
      <c r="B727" s="17"/>
      <c r="C727" s="17"/>
      <c r="D727" s="18"/>
      <c r="E727" s="11"/>
      <c r="F727" s="19"/>
      <c r="G727" s="20"/>
      <c r="H727" s="21"/>
      <c r="I727" s="22"/>
      <c r="J727" s="39"/>
      <c r="K727" s="24"/>
      <c r="N727" s="70"/>
      <c r="O727" s="27"/>
    </row>
    <row r="728" spans="1:15" x14ac:dyDescent="0.25">
      <c r="A728" s="13">
        <f t="shared" si="19"/>
        <v>27</v>
      </c>
      <c r="B728" s="17"/>
      <c r="C728" s="17"/>
      <c r="D728" s="18"/>
      <c r="E728" s="11"/>
      <c r="F728" s="19"/>
      <c r="G728" s="20"/>
      <c r="H728" s="21"/>
      <c r="I728" s="22"/>
      <c r="J728" s="39"/>
      <c r="K728" s="24"/>
      <c r="N728" s="70"/>
      <c r="O728" s="27"/>
    </row>
    <row r="729" spans="1:15" x14ac:dyDescent="0.25">
      <c r="A729" s="13">
        <f t="shared" si="19"/>
        <v>27</v>
      </c>
      <c r="B729" s="17"/>
      <c r="C729" s="17"/>
      <c r="D729" s="18"/>
      <c r="E729" s="11"/>
      <c r="F729" s="19"/>
      <c r="G729" s="20"/>
      <c r="H729" s="21"/>
      <c r="I729" s="22"/>
      <c r="J729" s="39"/>
      <c r="K729" s="24"/>
      <c r="N729" s="70"/>
      <c r="O729" s="27"/>
    </row>
    <row r="730" spans="1:15" x14ac:dyDescent="0.25">
      <c r="A730" s="13">
        <f t="shared" si="19"/>
        <v>27</v>
      </c>
      <c r="B730" s="17"/>
      <c r="C730" s="17"/>
      <c r="D730" s="18"/>
      <c r="E730" s="11"/>
      <c r="F730" s="19"/>
      <c r="G730" s="20"/>
      <c r="H730" s="21"/>
      <c r="I730" s="22"/>
      <c r="J730" s="39"/>
      <c r="K730" s="24"/>
      <c r="N730" s="70"/>
      <c r="O730" s="27"/>
    </row>
    <row r="731" spans="1:15" x14ac:dyDescent="0.25">
      <c r="A731" s="13">
        <f t="shared" si="19"/>
        <v>27</v>
      </c>
      <c r="B731" s="17"/>
      <c r="C731" s="17"/>
      <c r="D731" s="18"/>
      <c r="E731" s="11"/>
      <c r="F731" s="19"/>
      <c r="G731" s="20"/>
      <c r="H731" s="21"/>
      <c r="I731" s="22"/>
      <c r="J731" s="39"/>
      <c r="K731" s="24"/>
      <c r="N731" s="70"/>
      <c r="O731" s="27"/>
    </row>
    <row r="732" spans="1:15" x14ac:dyDescent="0.25">
      <c r="A732" s="13">
        <f t="shared" si="19"/>
        <v>27</v>
      </c>
      <c r="B732" s="17"/>
      <c r="C732" s="17"/>
      <c r="D732" s="18"/>
      <c r="E732" s="11"/>
      <c r="F732" s="19"/>
      <c r="G732" s="20"/>
      <c r="H732" s="21"/>
      <c r="I732" s="22"/>
      <c r="J732" s="39"/>
      <c r="K732" s="24"/>
      <c r="N732" s="70"/>
      <c r="O732" s="27"/>
    </row>
    <row r="733" spans="1:15" x14ac:dyDescent="0.25">
      <c r="A733" s="13">
        <f t="shared" si="19"/>
        <v>27</v>
      </c>
      <c r="B733" s="17"/>
      <c r="C733" s="17"/>
      <c r="D733" s="18"/>
      <c r="E733" s="11"/>
      <c r="F733" s="19"/>
      <c r="G733" s="20"/>
      <c r="H733" s="21"/>
      <c r="I733" s="22"/>
      <c r="J733" s="39"/>
      <c r="K733" s="24"/>
      <c r="N733" s="70"/>
      <c r="O733" s="27"/>
    </row>
    <row r="734" spans="1:15" x14ac:dyDescent="0.25">
      <c r="A734" s="13">
        <f t="shared" si="19"/>
        <v>27</v>
      </c>
      <c r="B734" s="17"/>
      <c r="C734" s="17"/>
      <c r="D734" s="18"/>
      <c r="E734" s="11"/>
      <c r="F734" s="19"/>
      <c r="G734" s="20"/>
      <c r="H734" s="21"/>
      <c r="I734" s="22"/>
      <c r="J734" s="39"/>
      <c r="K734" s="24"/>
      <c r="N734" s="70"/>
      <c r="O734" s="27"/>
    </row>
    <row r="735" spans="1:15" x14ac:dyDescent="0.25">
      <c r="A735" s="13">
        <f t="shared" si="19"/>
        <v>27</v>
      </c>
      <c r="B735" s="17"/>
      <c r="C735" s="17"/>
      <c r="D735" s="18"/>
      <c r="E735" s="11"/>
      <c r="F735" s="19"/>
      <c r="G735" s="20"/>
      <c r="H735" s="21"/>
      <c r="I735" s="22"/>
      <c r="J735" s="39"/>
      <c r="K735" s="24"/>
      <c r="N735" s="70"/>
      <c r="O735" s="27"/>
    </row>
    <row r="736" spans="1:15" x14ac:dyDescent="0.25">
      <c r="A736" s="13">
        <f t="shared" si="19"/>
        <v>27</v>
      </c>
      <c r="B736" s="17"/>
      <c r="C736" s="17"/>
      <c r="D736" s="18"/>
      <c r="E736" s="11"/>
      <c r="F736" s="19"/>
      <c r="G736" s="20"/>
      <c r="H736" s="21"/>
      <c r="I736" s="22"/>
      <c r="J736" s="39"/>
      <c r="K736" s="24"/>
      <c r="N736" s="70"/>
      <c r="O736" s="27"/>
    </row>
    <row r="737" spans="1:15" x14ac:dyDescent="0.25">
      <c r="A737" s="13">
        <f t="shared" si="19"/>
        <v>27</v>
      </c>
      <c r="B737" s="17"/>
      <c r="C737" s="17"/>
      <c r="D737" s="18"/>
      <c r="E737" s="11"/>
      <c r="F737" s="19"/>
      <c r="G737" s="20"/>
      <c r="H737" s="21"/>
      <c r="I737" s="22"/>
      <c r="J737" s="39"/>
      <c r="K737" s="24"/>
      <c r="N737" s="70"/>
      <c r="O737" s="27"/>
    </row>
    <row r="738" spans="1:15" x14ac:dyDescent="0.25">
      <c r="A738" s="13">
        <f t="shared" si="19"/>
        <v>27</v>
      </c>
      <c r="B738" s="17"/>
      <c r="C738" s="17"/>
      <c r="D738" s="18"/>
      <c r="E738" s="11"/>
      <c r="F738" s="19"/>
      <c r="G738" s="20"/>
      <c r="H738" s="21"/>
      <c r="I738" s="22"/>
      <c r="J738" s="39"/>
      <c r="K738" s="24"/>
      <c r="N738" s="70"/>
      <c r="O738" s="27"/>
    </row>
    <row r="739" spans="1:15" x14ac:dyDescent="0.25">
      <c r="A739" s="13">
        <f t="shared" si="19"/>
        <v>27</v>
      </c>
      <c r="B739" s="17"/>
      <c r="C739" s="17"/>
      <c r="D739" s="18"/>
      <c r="E739" s="11"/>
      <c r="F739" s="19"/>
      <c r="G739" s="20"/>
      <c r="H739" s="21"/>
      <c r="I739" s="22"/>
      <c r="J739" s="39"/>
      <c r="K739" s="24"/>
      <c r="N739" s="70"/>
      <c r="O739" s="27"/>
    </row>
    <row r="740" spans="1:15" x14ac:dyDescent="0.25">
      <c r="A740" s="13">
        <f t="shared" si="19"/>
        <v>27</v>
      </c>
      <c r="B740" s="17"/>
      <c r="C740" s="17"/>
      <c r="D740" s="40"/>
      <c r="E740" s="41"/>
      <c r="F740" s="19"/>
      <c r="G740" s="20"/>
      <c r="H740" s="21"/>
      <c r="I740" s="22"/>
      <c r="J740" s="39"/>
      <c r="K740" s="24"/>
      <c r="N740" s="70"/>
      <c r="O740" s="27"/>
    </row>
    <row r="741" spans="1:15" x14ac:dyDescent="0.25">
      <c r="A741" s="13">
        <f t="shared" si="19"/>
        <v>27</v>
      </c>
      <c r="B741" s="17"/>
      <c r="C741" s="17"/>
      <c r="D741" s="18"/>
      <c r="E741" s="11"/>
      <c r="F741" s="19"/>
      <c r="G741" s="20"/>
      <c r="H741" s="21"/>
      <c r="I741" s="22"/>
      <c r="J741" s="39"/>
      <c r="K741" s="24"/>
      <c r="N741" s="70"/>
      <c r="O741" s="27"/>
    </row>
    <row r="742" spans="1:15" x14ac:dyDescent="0.25">
      <c r="A742" s="13">
        <f t="shared" si="19"/>
        <v>27</v>
      </c>
      <c r="B742" s="17"/>
      <c r="C742" s="17"/>
      <c r="D742" s="18"/>
      <c r="E742" s="11"/>
      <c r="F742" s="19"/>
      <c r="G742" s="20"/>
      <c r="H742" s="21"/>
      <c r="I742" s="22"/>
      <c r="J742" s="39"/>
      <c r="K742" s="24"/>
      <c r="N742" s="70"/>
      <c r="O742" s="27"/>
    </row>
    <row r="743" spans="1:15" x14ac:dyDescent="0.25">
      <c r="A743" s="13">
        <f t="shared" si="19"/>
        <v>27</v>
      </c>
      <c r="B743" s="17"/>
      <c r="C743" s="17"/>
      <c r="D743" s="18"/>
      <c r="E743" s="11"/>
      <c r="F743" s="19"/>
      <c r="G743" s="20"/>
      <c r="H743" s="21"/>
      <c r="I743" s="22"/>
      <c r="J743" s="39"/>
      <c r="K743" s="24"/>
      <c r="N743" s="70"/>
      <c r="O743" s="27"/>
    </row>
    <row r="744" spans="1:15" x14ac:dyDescent="0.25">
      <c r="A744" s="13">
        <f t="shared" si="19"/>
        <v>27</v>
      </c>
      <c r="B744" s="17"/>
      <c r="C744" s="17"/>
      <c r="D744" s="18"/>
      <c r="E744" s="11"/>
      <c r="F744" s="19"/>
      <c r="G744" s="20"/>
      <c r="H744" s="21"/>
      <c r="I744" s="22"/>
      <c r="J744" s="39"/>
      <c r="K744" s="24"/>
      <c r="N744" s="70"/>
      <c r="O744" s="27"/>
    </row>
    <row r="745" spans="1:15" x14ac:dyDescent="0.25">
      <c r="A745" s="13">
        <f t="shared" si="19"/>
        <v>27</v>
      </c>
      <c r="B745" s="17"/>
      <c r="C745" s="17"/>
      <c r="D745" s="18"/>
      <c r="E745" s="11"/>
      <c r="F745" s="19"/>
      <c r="G745" s="20"/>
      <c r="H745" s="21"/>
      <c r="I745" s="22"/>
      <c r="J745" s="39"/>
      <c r="K745" s="24"/>
      <c r="N745" s="70"/>
      <c r="O745" s="27"/>
    </row>
    <row r="746" spans="1:15" x14ac:dyDescent="0.25">
      <c r="A746" s="13">
        <f t="shared" si="19"/>
        <v>27</v>
      </c>
      <c r="B746" s="17"/>
      <c r="C746" s="17"/>
      <c r="D746" s="18"/>
      <c r="E746" s="11"/>
      <c r="F746" s="19"/>
      <c r="G746" s="20"/>
      <c r="H746" s="21"/>
      <c r="I746" s="22"/>
      <c r="J746" s="39"/>
      <c r="K746" s="24"/>
      <c r="N746" s="70"/>
      <c r="O746" s="27"/>
    </row>
    <row r="747" spans="1:15" x14ac:dyDescent="0.25">
      <c r="A747" s="13">
        <f t="shared" si="19"/>
        <v>27</v>
      </c>
      <c r="B747" s="17"/>
      <c r="C747" s="17"/>
      <c r="D747" s="18"/>
      <c r="E747" s="11"/>
      <c r="F747" s="19"/>
      <c r="G747" s="20"/>
      <c r="H747" s="21"/>
      <c r="I747" s="22"/>
      <c r="J747" s="39"/>
      <c r="K747" s="24"/>
      <c r="N747" s="70"/>
      <c r="O747" s="27"/>
    </row>
    <row r="748" spans="1:15" x14ac:dyDescent="0.25">
      <c r="A748" s="13">
        <f t="shared" si="19"/>
        <v>27</v>
      </c>
      <c r="B748" s="17"/>
      <c r="C748" s="17"/>
      <c r="D748" s="18"/>
      <c r="E748" s="11"/>
      <c r="F748" s="19"/>
      <c r="G748" s="20"/>
      <c r="H748" s="21"/>
      <c r="I748" s="22"/>
      <c r="J748" s="39"/>
      <c r="K748" s="24"/>
      <c r="N748" s="70"/>
      <c r="O748" s="27"/>
    </row>
    <row r="749" spans="1:15" x14ac:dyDescent="0.25">
      <c r="A749" s="13">
        <f t="shared" si="19"/>
        <v>27</v>
      </c>
      <c r="B749" s="17"/>
      <c r="C749" s="17"/>
      <c r="D749" s="18"/>
      <c r="E749" s="11"/>
      <c r="F749" s="19"/>
      <c r="G749" s="20"/>
      <c r="H749" s="21"/>
      <c r="I749" s="22"/>
      <c r="J749" s="39"/>
      <c r="K749" s="24"/>
      <c r="N749" s="70"/>
      <c r="O749" s="27"/>
    </row>
    <row r="750" spans="1:15" x14ac:dyDescent="0.25">
      <c r="A750" s="13">
        <f t="shared" si="19"/>
        <v>27</v>
      </c>
      <c r="B750" s="17"/>
      <c r="C750" s="17"/>
      <c r="D750" s="18"/>
      <c r="E750" s="11"/>
      <c r="F750" s="19"/>
      <c r="G750" s="20"/>
      <c r="H750" s="21"/>
      <c r="I750" s="22"/>
      <c r="J750" s="39"/>
      <c r="K750" s="24"/>
      <c r="N750" s="70"/>
      <c r="O750" s="27"/>
    </row>
    <row r="751" spans="1:15" x14ac:dyDescent="0.25">
      <c r="A751" s="13">
        <f t="shared" si="19"/>
        <v>27</v>
      </c>
      <c r="B751" s="17"/>
      <c r="C751" s="17"/>
      <c r="D751" s="40"/>
      <c r="E751" s="41"/>
      <c r="F751" s="19"/>
      <c r="G751" s="20"/>
      <c r="H751" s="21"/>
      <c r="I751" s="22"/>
      <c r="J751" s="39"/>
      <c r="K751" s="24"/>
      <c r="N751" s="70"/>
      <c r="O751" s="27"/>
    </row>
    <row r="752" spans="1:15" x14ac:dyDescent="0.25">
      <c r="A752" s="13">
        <f t="shared" si="19"/>
        <v>27</v>
      </c>
      <c r="B752" s="17"/>
      <c r="C752" s="17"/>
      <c r="D752" s="18"/>
      <c r="E752" s="11"/>
      <c r="F752" s="19"/>
      <c r="G752" s="36"/>
      <c r="H752" s="21"/>
      <c r="I752" s="22"/>
      <c r="J752" s="35"/>
      <c r="K752" s="24"/>
      <c r="N752" s="70"/>
      <c r="O752" s="27"/>
    </row>
    <row r="753" spans="1:15" x14ac:dyDescent="0.25">
      <c r="A753" s="13">
        <f t="shared" si="19"/>
        <v>27</v>
      </c>
      <c r="B753" s="17"/>
      <c r="C753" s="17"/>
      <c r="D753" s="18"/>
      <c r="E753" s="11"/>
      <c r="F753" s="19"/>
      <c r="G753" s="36"/>
      <c r="H753" s="21"/>
      <c r="I753" s="22"/>
      <c r="J753" s="35"/>
      <c r="K753" s="24"/>
      <c r="N753" s="70"/>
      <c r="O753" s="27"/>
    </row>
    <row r="754" spans="1:15" x14ac:dyDescent="0.25">
      <c r="A754" s="13">
        <f t="shared" si="19"/>
        <v>27</v>
      </c>
      <c r="B754" s="17"/>
      <c r="C754" s="17"/>
      <c r="D754" s="18"/>
      <c r="E754" s="11"/>
      <c r="F754" s="19"/>
      <c r="G754" s="36"/>
      <c r="H754" s="21"/>
      <c r="I754" s="22"/>
      <c r="J754" s="35"/>
      <c r="K754" s="24"/>
      <c r="N754" s="70"/>
      <c r="O754" s="27"/>
    </row>
    <row r="755" spans="1:15" x14ac:dyDescent="0.25">
      <c r="A755" s="13">
        <f t="shared" si="19"/>
        <v>27</v>
      </c>
      <c r="B755" s="17"/>
      <c r="C755" s="17"/>
      <c r="D755" s="18"/>
      <c r="E755" s="11"/>
      <c r="F755" s="19"/>
      <c r="G755" s="36"/>
      <c r="H755" s="21"/>
      <c r="I755" s="22"/>
      <c r="J755" s="35"/>
      <c r="K755" s="24"/>
      <c r="N755" s="70"/>
      <c r="O755" s="27"/>
    </row>
    <row r="756" spans="1:15" x14ac:dyDescent="0.25">
      <c r="A756" s="13">
        <f t="shared" si="19"/>
        <v>27</v>
      </c>
      <c r="B756" s="17"/>
      <c r="C756" s="17"/>
      <c r="D756" s="18"/>
      <c r="E756" s="11"/>
      <c r="F756" s="19"/>
      <c r="G756" s="36"/>
      <c r="H756" s="21"/>
      <c r="I756" s="22"/>
      <c r="J756" s="35"/>
      <c r="K756" s="24"/>
      <c r="N756" s="70"/>
      <c r="O756" s="27"/>
    </row>
    <row r="757" spans="1:15" x14ac:dyDescent="0.25">
      <c r="A757" s="13">
        <f t="shared" si="19"/>
        <v>27</v>
      </c>
      <c r="B757" s="17"/>
      <c r="C757" s="17"/>
      <c r="D757" s="18"/>
      <c r="E757" s="11"/>
      <c r="F757" s="19"/>
      <c r="G757" s="36"/>
      <c r="H757" s="21"/>
      <c r="I757" s="22"/>
      <c r="J757" s="35"/>
      <c r="K757" s="24"/>
      <c r="N757" s="70"/>
      <c r="O757" s="27"/>
    </row>
    <row r="758" spans="1:15" x14ac:dyDescent="0.25">
      <c r="A758" s="13">
        <f t="shared" si="19"/>
        <v>27</v>
      </c>
      <c r="B758" s="17"/>
      <c r="C758" s="17"/>
      <c r="D758" s="18"/>
      <c r="E758" s="11"/>
      <c r="F758" s="19"/>
      <c r="G758" s="36"/>
      <c r="H758" s="21"/>
      <c r="I758" s="22"/>
      <c r="J758" s="35"/>
      <c r="K758" s="24"/>
      <c r="N758" s="70"/>
      <c r="O758" s="27"/>
    </row>
    <row r="759" spans="1:15" x14ac:dyDescent="0.25">
      <c r="A759" s="13">
        <f t="shared" si="19"/>
        <v>27</v>
      </c>
      <c r="B759" s="17"/>
      <c r="C759" s="17"/>
      <c r="D759" s="18"/>
      <c r="E759" s="11"/>
      <c r="F759" s="19"/>
      <c r="G759" s="20"/>
      <c r="H759" s="21"/>
      <c r="I759" s="22"/>
      <c r="J759" s="23"/>
      <c r="K759" s="24"/>
      <c r="N759" s="70"/>
      <c r="O759" s="27"/>
    </row>
    <row r="760" spans="1:15" x14ac:dyDescent="0.25">
      <c r="A760" s="13">
        <f t="shared" si="19"/>
        <v>27</v>
      </c>
      <c r="B760" s="17"/>
      <c r="C760" s="17"/>
      <c r="D760" s="18"/>
      <c r="E760" s="11"/>
      <c r="F760" s="19"/>
      <c r="G760" s="20"/>
      <c r="H760" s="21"/>
      <c r="I760" s="22"/>
      <c r="J760" s="23"/>
      <c r="K760" s="24"/>
      <c r="N760" s="70"/>
      <c r="O760" s="27"/>
    </row>
    <row r="761" spans="1:15" x14ac:dyDescent="0.25">
      <c r="A761" s="13">
        <f t="shared" si="19"/>
        <v>27</v>
      </c>
      <c r="B761" s="17"/>
      <c r="C761" s="17"/>
      <c r="D761" s="18"/>
      <c r="E761" s="11"/>
      <c r="F761" s="19"/>
      <c r="G761" s="20"/>
      <c r="H761" s="21"/>
      <c r="I761" s="22"/>
      <c r="J761" s="23"/>
      <c r="K761" s="24"/>
      <c r="N761" s="70"/>
      <c r="O761" s="27"/>
    </row>
    <row r="762" spans="1:15" x14ac:dyDescent="0.25">
      <c r="A762" s="13">
        <f t="shared" si="19"/>
        <v>27</v>
      </c>
      <c r="B762" s="17"/>
      <c r="C762" s="17"/>
      <c r="D762" s="18"/>
      <c r="E762" s="11"/>
      <c r="F762" s="19"/>
      <c r="G762" s="20"/>
      <c r="H762" s="21"/>
      <c r="I762" s="22"/>
      <c r="J762" s="23"/>
      <c r="K762" s="24"/>
      <c r="N762" s="70"/>
      <c r="O762" s="27"/>
    </row>
    <row r="763" spans="1:15" x14ac:dyDescent="0.25">
      <c r="A763" s="13">
        <f t="shared" si="19"/>
        <v>27</v>
      </c>
      <c r="B763" s="17"/>
      <c r="C763" s="17"/>
      <c r="D763" s="18"/>
      <c r="E763" s="11"/>
      <c r="F763" s="19"/>
      <c r="G763" s="20"/>
      <c r="H763" s="21"/>
      <c r="I763" s="22"/>
      <c r="J763" s="23"/>
      <c r="K763" s="24"/>
      <c r="N763" s="70"/>
      <c r="O763" s="27"/>
    </row>
    <row r="764" spans="1:15" x14ac:dyDescent="0.25">
      <c r="A764" s="13">
        <f t="shared" si="19"/>
        <v>27</v>
      </c>
      <c r="B764" s="17"/>
      <c r="C764" s="17"/>
      <c r="D764" s="18"/>
      <c r="E764" s="11"/>
      <c r="F764" s="19"/>
      <c r="G764" s="20"/>
      <c r="H764" s="21"/>
      <c r="I764" s="22"/>
      <c r="J764" s="23"/>
      <c r="K764" s="24"/>
      <c r="N764" s="70"/>
      <c r="O764" s="27"/>
    </row>
    <row r="765" spans="1:15" x14ac:dyDescent="0.25">
      <c r="A765" s="13">
        <f t="shared" si="19"/>
        <v>27</v>
      </c>
      <c r="B765" s="17"/>
      <c r="C765" s="17"/>
      <c r="D765" s="18"/>
      <c r="E765" s="11"/>
      <c r="F765" s="19"/>
      <c r="G765" s="20"/>
      <c r="H765" s="21"/>
      <c r="I765" s="22"/>
      <c r="J765" s="23"/>
      <c r="K765" s="24"/>
      <c r="N765" s="70"/>
      <c r="O765" s="27"/>
    </row>
    <row r="766" spans="1:15" x14ac:dyDescent="0.25">
      <c r="A766" s="13">
        <f t="shared" si="19"/>
        <v>27</v>
      </c>
      <c r="B766" s="17"/>
      <c r="C766" s="17"/>
      <c r="D766" s="18"/>
      <c r="E766" s="11"/>
      <c r="F766" s="19"/>
      <c r="G766" s="20"/>
      <c r="H766" s="21"/>
      <c r="I766" s="22"/>
      <c r="J766" s="23"/>
      <c r="K766" s="24"/>
      <c r="N766" s="70"/>
      <c r="O766" s="27"/>
    </row>
    <row r="767" spans="1:15" x14ac:dyDescent="0.25">
      <c r="A767" s="13">
        <f t="shared" si="19"/>
        <v>27</v>
      </c>
      <c r="B767" s="17"/>
      <c r="C767" s="17"/>
      <c r="D767" s="18"/>
      <c r="E767" s="11"/>
      <c r="F767" s="19"/>
      <c r="G767" s="20"/>
      <c r="H767" s="21"/>
      <c r="I767" s="22"/>
      <c r="J767" s="23"/>
      <c r="K767" s="24"/>
      <c r="N767" s="70"/>
      <c r="O767" s="27"/>
    </row>
    <row r="768" spans="1:15" x14ac:dyDescent="0.25">
      <c r="A768" s="13">
        <f t="shared" si="19"/>
        <v>27</v>
      </c>
      <c r="B768" s="17"/>
      <c r="C768" s="17"/>
      <c r="D768" s="18"/>
      <c r="E768" s="11"/>
      <c r="F768" s="19"/>
      <c r="G768" s="20"/>
      <c r="H768" s="21"/>
      <c r="I768" s="22"/>
      <c r="J768" s="23"/>
      <c r="K768" s="24"/>
      <c r="N768" s="70"/>
      <c r="O768" s="27"/>
    </row>
    <row r="769" spans="1:15" x14ac:dyDescent="0.25">
      <c r="A769" s="13">
        <f t="shared" si="19"/>
        <v>27</v>
      </c>
      <c r="B769" s="17"/>
      <c r="C769" s="17"/>
      <c r="D769" s="18"/>
      <c r="E769" s="11"/>
      <c r="F769" s="19"/>
      <c r="G769" s="20"/>
      <c r="H769" s="21"/>
      <c r="I769" s="22"/>
      <c r="J769" s="23"/>
      <c r="K769" s="24"/>
      <c r="N769" s="70"/>
      <c r="O769" s="27"/>
    </row>
    <row r="770" spans="1:15" x14ac:dyDescent="0.25">
      <c r="A770" s="13">
        <f t="shared" ref="A770:A833" si="20">IF(B867=B866,A769,A769+1)</f>
        <v>27</v>
      </c>
      <c r="B770" s="17"/>
      <c r="C770" s="17"/>
      <c r="D770" s="18"/>
      <c r="E770" s="11"/>
      <c r="F770" s="19"/>
      <c r="G770" s="20"/>
      <c r="H770" s="21"/>
      <c r="I770" s="22"/>
      <c r="J770" s="23"/>
      <c r="K770" s="24"/>
      <c r="N770" s="70"/>
      <c r="O770" s="27"/>
    </row>
    <row r="771" spans="1:15" x14ac:dyDescent="0.25">
      <c r="A771" s="13">
        <f t="shared" si="20"/>
        <v>27</v>
      </c>
      <c r="B771" s="17"/>
      <c r="C771" s="17"/>
      <c r="D771" s="18"/>
      <c r="E771" s="11"/>
      <c r="F771" s="19"/>
      <c r="G771" s="20"/>
      <c r="H771" s="21"/>
      <c r="I771" s="22"/>
      <c r="J771" s="23"/>
      <c r="K771" s="24"/>
      <c r="N771" s="70"/>
      <c r="O771" s="27"/>
    </row>
    <row r="772" spans="1:15" x14ac:dyDescent="0.25">
      <c r="A772" s="13">
        <f t="shared" si="20"/>
        <v>27</v>
      </c>
      <c r="B772" s="17"/>
      <c r="C772" s="17"/>
      <c r="D772" s="18"/>
      <c r="E772" s="11"/>
      <c r="F772" s="19"/>
      <c r="G772" s="20"/>
      <c r="H772" s="21"/>
      <c r="I772" s="22"/>
      <c r="J772" s="23"/>
      <c r="K772" s="24"/>
      <c r="N772" s="70"/>
      <c r="O772" s="27"/>
    </row>
    <row r="773" spans="1:15" x14ac:dyDescent="0.25">
      <c r="A773" s="13">
        <f t="shared" si="20"/>
        <v>27</v>
      </c>
      <c r="B773" s="17"/>
      <c r="C773" s="17"/>
      <c r="D773" s="40"/>
      <c r="E773" s="41"/>
      <c r="F773" s="19"/>
      <c r="G773" s="20"/>
      <c r="H773" s="21"/>
      <c r="I773" s="22"/>
      <c r="J773" s="23"/>
      <c r="K773" s="24"/>
      <c r="N773" s="70"/>
      <c r="O773" s="27"/>
    </row>
    <row r="774" spans="1:15" x14ac:dyDescent="0.25">
      <c r="A774" s="13">
        <f t="shared" si="20"/>
        <v>27</v>
      </c>
      <c r="B774" s="17"/>
      <c r="C774" s="17"/>
      <c r="D774" s="18"/>
      <c r="E774" s="11"/>
      <c r="F774" s="19"/>
      <c r="G774" s="36"/>
      <c r="H774" s="21"/>
      <c r="I774" s="22"/>
      <c r="J774" s="35"/>
      <c r="K774" s="24"/>
      <c r="N774" s="70"/>
      <c r="O774" s="27"/>
    </row>
    <row r="775" spans="1:15" x14ac:dyDescent="0.25">
      <c r="A775" s="13">
        <f t="shared" si="20"/>
        <v>27</v>
      </c>
      <c r="B775" s="17"/>
      <c r="C775" s="17"/>
      <c r="D775" s="18"/>
      <c r="E775" s="11"/>
      <c r="F775" s="19"/>
      <c r="G775" s="36"/>
      <c r="H775" s="21"/>
      <c r="I775" s="22"/>
      <c r="J775" s="35"/>
      <c r="K775" s="24"/>
      <c r="N775" s="70"/>
      <c r="O775" s="27"/>
    </row>
    <row r="776" spans="1:15" x14ac:dyDescent="0.25">
      <c r="A776" s="13">
        <f t="shared" si="20"/>
        <v>27</v>
      </c>
      <c r="B776" s="17"/>
      <c r="C776" s="17"/>
      <c r="D776" s="18"/>
      <c r="E776" s="11"/>
      <c r="F776" s="19"/>
      <c r="G776" s="36"/>
      <c r="H776" s="21"/>
      <c r="I776" s="22"/>
      <c r="J776" s="35"/>
      <c r="K776" s="24"/>
      <c r="N776" s="70"/>
      <c r="O776" s="27"/>
    </row>
    <row r="777" spans="1:15" x14ac:dyDescent="0.25">
      <c r="A777" s="13">
        <f t="shared" si="20"/>
        <v>27</v>
      </c>
      <c r="B777" s="17"/>
      <c r="C777" s="17"/>
      <c r="D777" s="18"/>
      <c r="E777" s="11"/>
      <c r="F777" s="19"/>
      <c r="G777" s="36"/>
      <c r="H777" s="21"/>
      <c r="I777" s="22"/>
      <c r="J777" s="35"/>
      <c r="K777" s="24"/>
      <c r="N777" s="70"/>
      <c r="O777" s="27"/>
    </row>
    <row r="778" spans="1:15" x14ac:dyDescent="0.25">
      <c r="A778" s="13">
        <f t="shared" si="20"/>
        <v>27</v>
      </c>
      <c r="B778" s="17"/>
      <c r="C778" s="17"/>
      <c r="D778" s="18"/>
      <c r="E778" s="11"/>
      <c r="F778" s="19"/>
      <c r="G778" s="36"/>
      <c r="H778" s="21"/>
      <c r="I778" s="22"/>
      <c r="J778" s="35"/>
      <c r="K778" s="24"/>
      <c r="N778" s="70"/>
      <c r="O778" s="27"/>
    </row>
    <row r="779" spans="1:15" x14ac:dyDescent="0.25">
      <c r="A779" s="13">
        <f t="shared" si="20"/>
        <v>27</v>
      </c>
      <c r="B779" s="17"/>
      <c r="C779" s="17"/>
      <c r="D779" s="18"/>
      <c r="E779" s="11"/>
      <c r="F779" s="19"/>
      <c r="G779" s="36"/>
      <c r="H779" s="21"/>
      <c r="I779" s="22"/>
      <c r="J779" s="35"/>
      <c r="K779" s="24"/>
      <c r="N779" s="70"/>
      <c r="O779" s="27"/>
    </row>
    <row r="780" spans="1:15" x14ac:dyDescent="0.25">
      <c r="A780" s="13">
        <f t="shared" si="20"/>
        <v>27</v>
      </c>
      <c r="B780" s="17"/>
      <c r="C780" s="17"/>
      <c r="D780" s="18"/>
      <c r="E780" s="11"/>
      <c r="F780" s="19"/>
      <c r="G780" s="36"/>
      <c r="H780" s="21"/>
      <c r="I780" s="22"/>
      <c r="J780" s="35"/>
      <c r="K780" s="24"/>
      <c r="N780" s="70"/>
      <c r="O780" s="27"/>
    </row>
    <row r="781" spans="1:15" x14ac:dyDescent="0.25">
      <c r="A781" s="13">
        <f t="shared" si="20"/>
        <v>27</v>
      </c>
      <c r="B781" s="17"/>
      <c r="C781" s="17"/>
      <c r="D781" s="18"/>
      <c r="E781" s="11"/>
      <c r="F781" s="19"/>
      <c r="G781" s="36"/>
      <c r="H781" s="21"/>
      <c r="I781" s="22"/>
      <c r="J781" s="35"/>
      <c r="K781" s="24"/>
      <c r="N781" s="70"/>
      <c r="O781" s="27"/>
    </row>
    <row r="782" spans="1:15" x14ac:dyDescent="0.25">
      <c r="A782" s="13">
        <f t="shared" si="20"/>
        <v>27</v>
      </c>
      <c r="B782" s="17"/>
      <c r="C782" s="17"/>
      <c r="D782" s="18"/>
      <c r="E782" s="11"/>
      <c r="F782" s="19"/>
      <c r="G782" s="36"/>
      <c r="H782" s="21"/>
      <c r="I782" s="22"/>
      <c r="J782" s="35"/>
      <c r="K782" s="24"/>
      <c r="N782" s="70"/>
      <c r="O782" s="27"/>
    </row>
    <row r="783" spans="1:15" x14ac:dyDescent="0.25">
      <c r="A783" s="13">
        <f t="shared" si="20"/>
        <v>27</v>
      </c>
      <c r="B783" s="17"/>
      <c r="C783" s="17"/>
      <c r="D783" s="40"/>
      <c r="E783" s="41"/>
      <c r="F783" s="19"/>
      <c r="G783" s="36"/>
      <c r="H783" s="21"/>
      <c r="I783" s="22"/>
      <c r="J783" s="35"/>
      <c r="K783" s="24"/>
      <c r="N783" s="70"/>
      <c r="O783" s="27"/>
    </row>
    <row r="784" spans="1:15" x14ac:dyDescent="0.25">
      <c r="A784" s="13">
        <f t="shared" si="20"/>
        <v>27</v>
      </c>
      <c r="B784" s="17"/>
      <c r="C784" s="17"/>
      <c r="D784" s="18"/>
      <c r="E784" s="11"/>
      <c r="F784" s="19"/>
      <c r="G784" s="20"/>
      <c r="H784" s="21"/>
      <c r="I784" s="22"/>
      <c r="J784" s="23"/>
      <c r="K784" s="24"/>
      <c r="N784" s="70"/>
      <c r="O784" s="27"/>
    </row>
    <row r="785" spans="1:15" x14ac:dyDescent="0.25">
      <c r="A785" s="13">
        <f t="shared" si="20"/>
        <v>27</v>
      </c>
      <c r="B785" s="17"/>
      <c r="C785" s="17"/>
      <c r="D785" s="18"/>
      <c r="E785" s="11"/>
      <c r="F785" s="19"/>
      <c r="G785" s="20"/>
      <c r="H785" s="21"/>
      <c r="I785" s="22"/>
      <c r="J785" s="23"/>
      <c r="K785" s="24"/>
      <c r="N785" s="70"/>
      <c r="O785" s="27"/>
    </row>
    <row r="786" spans="1:15" x14ac:dyDescent="0.25">
      <c r="A786" s="13">
        <f t="shared" si="20"/>
        <v>27</v>
      </c>
      <c r="B786" s="17"/>
      <c r="C786" s="17"/>
      <c r="D786" s="18"/>
      <c r="E786" s="11"/>
      <c r="F786" s="19"/>
      <c r="G786" s="20"/>
      <c r="H786" s="21"/>
      <c r="I786" s="22"/>
      <c r="J786" s="23"/>
      <c r="K786" s="24"/>
      <c r="N786" s="70"/>
      <c r="O786" s="27"/>
    </row>
    <row r="787" spans="1:15" x14ac:dyDescent="0.25">
      <c r="A787" s="13">
        <f t="shared" si="20"/>
        <v>27</v>
      </c>
      <c r="B787" s="17"/>
      <c r="C787" s="17"/>
      <c r="D787" s="18"/>
      <c r="E787" s="11"/>
      <c r="F787" s="19"/>
      <c r="G787" s="20"/>
      <c r="H787" s="21"/>
      <c r="I787" s="22"/>
      <c r="J787" s="23"/>
      <c r="K787" s="24"/>
      <c r="N787" s="70"/>
      <c r="O787" s="27"/>
    </row>
    <row r="788" spans="1:15" x14ac:dyDescent="0.25">
      <c r="A788" s="13">
        <f t="shared" si="20"/>
        <v>27</v>
      </c>
      <c r="B788" s="17"/>
      <c r="C788" s="17"/>
      <c r="D788" s="18"/>
      <c r="E788" s="11"/>
      <c r="F788" s="19"/>
      <c r="G788" s="20"/>
      <c r="H788" s="21"/>
      <c r="I788" s="22"/>
      <c r="J788" s="23"/>
      <c r="K788" s="24"/>
      <c r="N788" s="70"/>
      <c r="O788" s="27"/>
    </row>
    <row r="789" spans="1:15" x14ac:dyDescent="0.25">
      <c r="A789" s="13">
        <f t="shared" si="20"/>
        <v>27</v>
      </c>
      <c r="B789" s="17"/>
      <c r="C789" s="17"/>
      <c r="D789" s="18"/>
      <c r="E789" s="11"/>
      <c r="F789" s="19"/>
      <c r="G789" s="20"/>
      <c r="H789" s="21"/>
      <c r="I789" s="22"/>
      <c r="J789" s="23"/>
      <c r="K789" s="24"/>
      <c r="N789" s="70"/>
      <c r="O789" s="27"/>
    </row>
    <row r="790" spans="1:15" x14ac:dyDescent="0.25">
      <c r="A790" s="13">
        <f t="shared" si="20"/>
        <v>27</v>
      </c>
      <c r="B790" s="17"/>
      <c r="C790" s="17"/>
      <c r="D790" s="18"/>
      <c r="E790" s="11"/>
      <c r="F790" s="19"/>
      <c r="G790" s="20"/>
      <c r="H790" s="21"/>
      <c r="I790" s="22"/>
      <c r="J790" s="23"/>
      <c r="K790" s="24"/>
      <c r="N790" s="70"/>
      <c r="O790" s="27"/>
    </row>
    <row r="791" spans="1:15" x14ac:dyDescent="0.25">
      <c r="A791" s="13">
        <f t="shared" si="20"/>
        <v>27</v>
      </c>
      <c r="B791" s="17"/>
      <c r="C791" s="17"/>
      <c r="D791" s="18"/>
      <c r="E791" s="11"/>
      <c r="F791" s="19"/>
      <c r="G791" s="20"/>
      <c r="H791" s="21"/>
      <c r="I791" s="22"/>
      <c r="J791" s="23"/>
      <c r="K791" s="24"/>
      <c r="N791" s="70"/>
      <c r="O791" s="27"/>
    </row>
    <row r="792" spans="1:15" x14ac:dyDescent="0.25">
      <c r="A792" s="13">
        <f t="shared" si="20"/>
        <v>27</v>
      </c>
      <c r="B792" s="17"/>
      <c r="C792" s="17"/>
      <c r="D792" s="18"/>
      <c r="E792" s="11"/>
      <c r="F792" s="19"/>
      <c r="G792" s="20"/>
      <c r="H792" s="21"/>
      <c r="I792" s="22"/>
      <c r="J792" s="23"/>
      <c r="K792" s="24"/>
      <c r="N792" s="70"/>
      <c r="O792" s="27"/>
    </row>
    <row r="793" spans="1:15" x14ac:dyDescent="0.25">
      <c r="A793" s="13">
        <f t="shared" si="20"/>
        <v>27</v>
      </c>
      <c r="B793" s="17"/>
      <c r="C793" s="17"/>
      <c r="D793" s="18"/>
      <c r="E793" s="11"/>
      <c r="F793" s="19"/>
      <c r="G793" s="20"/>
      <c r="H793" s="21"/>
      <c r="I793" s="22"/>
      <c r="J793" s="23"/>
      <c r="K793" s="24"/>
      <c r="N793" s="70"/>
      <c r="O793" s="27"/>
    </row>
    <row r="794" spans="1:15" x14ac:dyDescent="0.25">
      <c r="A794" s="13">
        <f t="shared" si="20"/>
        <v>27</v>
      </c>
      <c r="B794" s="17"/>
      <c r="C794" s="17"/>
      <c r="D794" s="18"/>
      <c r="E794" s="11"/>
      <c r="F794" s="19"/>
      <c r="G794" s="36"/>
      <c r="H794" s="21"/>
      <c r="I794" s="22"/>
      <c r="J794" s="23"/>
      <c r="K794" s="24"/>
      <c r="N794" s="70"/>
      <c r="O794" s="27"/>
    </row>
    <row r="795" spans="1:15" x14ac:dyDescent="0.25">
      <c r="A795" s="13">
        <f t="shared" si="20"/>
        <v>27</v>
      </c>
      <c r="B795" s="17"/>
      <c r="C795" s="17"/>
      <c r="D795" s="18"/>
      <c r="E795" s="11"/>
      <c r="F795" s="19"/>
      <c r="G795" s="36"/>
      <c r="H795" s="21"/>
      <c r="I795" s="22"/>
      <c r="J795" s="23"/>
      <c r="K795" s="24"/>
      <c r="N795" s="70"/>
      <c r="O795" s="27"/>
    </row>
    <row r="796" spans="1:15" x14ac:dyDescent="0.25">
      <c r="A796" s="13">
        <f t="shared" si="20"/>
        <v>27</v>
      </c>
      <c r="B796" s="17"/>
      <c r="C796" s="17"/>
      <c r="D796" s="18"/>
      <c r="E796" s="11"/>
      <c r="F796" s="19"/>
      <c r="G796" s="36"/>
      <c r="H796" s="21"/>
      <c r="I796" s="22"/>
      <c r="J796" s="23"/>
      <c r="K796" s="24"/>
      <c r="N796" s="70"/>
      <c r="O796" s="27"/>
    </row>
    <row r="797" spans="1:15" x14ac:dyDescent="0.25">
      <c r="A797" s="13">
        <f t="shared" si="20"/>
        <v>27</v>
      </c>
      <c r="B797" s="17"/>
      <c r="C797" s="17"/>
      <c r="D797" s="18"/>
      <c r="E797" s="11"/>
      <c r="F797" s="19"/>
      <c r="G797" s="36"/>
      <c r="H797" s="21"/>
      <c r="I797" s="22"/>
      <c r="J797" s="23"/>
      <c r="K797" s="24"/>
      <c r="N797" s="70"/>
      <c r="O797" s="27"/>
    </row>
    <row r="798" spans="1:15" x14ac:dyDescent="0.25">
      <c r="A798" s="13">
        <f t="shared" si="20"/>
        <v>27</v>
      </c>
      <c r="B798" s="17"/>
      <c r="C798" s="17"/>
      <c r="D798" s="18"/>
      <c r="E798" s="11"/>
      <c r="F798" s="19"/>
      <c r="G798" s="36"/>
      <c r="H798" s="21"/>
      <c r="I798" s="22"/>
      <c r="J798" s="23"/>
      <c r="K798" s="24"/>
      <c r="N798" s="70"/>
      <c r="O798" s="27"/>
    </row>
    <row r="799" spans="1:15" x14ac:dyDescent="0.25">
      <c r="A799" s="13">
        <f t="shared" si="20"/>
        <v>27</v>
      </c>
      <c r="B799" s="17"/>
      <c r="C799" s="17"/>
      <c r="D799" s="18"/>
      <c r="E799" s="11"/>
      <c r="F799" s="19"/>
      <c r="G799" s="20"/>
      <c r="H799" s="21"/>
      <c r="I799" s="22"/>
      <c r="J799" s="23"/>
      <c r="K799" s="24"/>
      <c r="N799" s="70"/>
      <c r="O799" s="27"/>
    </row>
    <row r="800" spans="1:15" x14ac:dyDescent="0.25">
      <c r="A800" s="13">
        <f t="shared" si="20"/>
        <v>27</v>
      </c>
      <c r="B800" s="17"/>
      <c r="C800" s="17"/>
      <c r="D800" s="18"/>
      <c r="E800" s="11"/>
      <c r="F800" s="19"/>
      <c r="G800" s="20"/>
      <c r="H800" s="21"/>
      <c r="I800" s="22"/>
      <c r="J800" s="23"/>
      <c r="K800" s="24"/>
      <c r="N800" s="70"/>
      <c r="O800" s="27"/>
    </row>
    <row r="801" spans="1:15" x14ac:dyDescent="0.25">
      <c r="A801" s="13">
        <f t="shared" si="20"/>
        <v>27</v>
      </c>
      <c r="B801" s="17"/>
      <c r="C801" s="17"/>
      <c r="D801" s="18"/>
      <c r="E801" s="11"/>
      <c r="F801" s="19"/>
      <c r="G801" s="20"/>
      <c r="H801" s="21"/>
      <c r="I801" s="22"/>
      <c r="J801" s="23"/>
      <c r="K801" s="24"/>
      <c r="N801" s="70"/>
      <c r="O801" s="27"/>
    </row>
    <row r="802" spans="1:15" x14ac:dyDescent="0.25">
      <c r="A802" s="13">
        <f t="shared" si="20"/>
        <v>27</v>
      </c>
      <c r="B802" s="17"/>
      <c r="C802" s="17"/>
      <c r="D802" s="18"/>
      <c r="E802" s="11"/>
      <c r="F802" s="19"/>
      <c r="G802" s="20"/>
      <c r="H802" s="21"/>
      <c r="I802" s="22"/>
      <c r="J802" s="23"/>
      <c r="K802" s="24"/>
      <c r="N802" s="70"/>
      <c r="O802" s="27"/>
    </row>
    <row r="803" spans="1:15" x14ac:dyDescent="0.25">
      <c r="A803" s="13">
        <f t="shared" si="20"/>
        <v>27</v>
      </c>
      <c r="B803" s="17"/>
      <c r="C803" s="17"/>
      <c r="D803" s="18"/>
      <c r="E803" s="11"/>
      <c r="F803" s="19"/>
      <c r="G803" s="20"/>
      <c r="H803" s="21"/>
      <c r="I803" s="22"/>
      <c r="J803" s="23"/>
      <c r="K803" s="24"/>
      <c r="N803" s="70"/>
      <c r="O803" s="27"/>
    </row>
    <row r="804" spans="1:15" x14ac:dyDescent="0.25">
      <c r="A804" s="13">
        <f t="shared" si="20"/>
        <v>27</v>
      </c>
      <c r="B804" s="17"/>
      <c r="C804" s="17"/>
      <c r="D804" s="18"/>
      <c r="E804" s="11"/>
      <c r="F804" s="19"/>
      <c r="G804" s="20"/>
      <c r="H804" s="21"/>
      <c r="I804" s="22"/>
      <c r="J804" s="23"/>
      <c r="K804" s="24"/>
      <c r="N804" s="70"/>
      <c r="O804" s="27"/>
    </row>
    <row r="805" spans="1:15" x14ac:dyDescent="0.25">
      <c r="A805" s="13">
        <f t="shared" si="20"/>
        <v>27</v>
      </c>
      <c r="B805" s="17"/>
      <c r="C805" s="17"/>
      <c r="D805" s="18"/>
      <c r="E805" s="11"/>
      <c r="F805" s="19"/>
      <c r="G805" s="20"/>
      <c r="H805" s="21"/>
      <c r="I805" s="22"/>
      <c r="J805" s="23"/>
      <c r="K805" s="24"/>
      <c r="N805" s="70"/>
      <c r="O805" s="27"/>
    </row>
    <row r="806" spans="1:15" x14ac:dyDescent="0.25">
      <c r="A806" s="13">
        <f t="shared" si="20"/>
        <v>27</v>
      </c>
      <c r="B806" s="17"/>
      <c r="C806" s="17"/>
      <c r="D806" s="18"/>
      <c r="E806" s="11"/>
      <c r="F806" s="19"/>
      <c r="G806" s="36"/>
      <c r="H806" s="21"/>
      <c r="I806" s="22"/>
      <c r="J806" s="23"/>
      <c r="K806" s="24"/>
      <c r="N806" s="70"/>
      <c r="O806" s="27"/>
    </row>
    <row r="807" spans="1:15" x14ac:dyDescent="0.25">
      <c r="A807" s="13">
        <f t="shared" si="20"/>
        <v>27</v>
      </c>
      <c r="B807" s="17"/>
      <c r="C807" s="17"/>
      <c r="D807" s="18"/>
      <c r="E807" s="11"/>
      <c r="F807" s="19"/>
      <c r="G807" s="36"/>
      <c r="H807" s="21"/>
      <c r="I807" s="22"/>
      <c r="J807" s="23"/>
      <c r="K807" s="24"/>
      <c r="N807" s="70"/>
      <c r="O807" s="27"/>
    </row>
    <row r="808" spans="1:15" x14ac:dyDescent="0.25">
      <c r="A808" s="13">
        <f t="shared" si="20"/>
        <v>27</v>
      </c>
      <c r="B808" s="17"/>
      <c r="C808" s="17"/>
      <c r="D808" s="18"/>
      <c r="E808" s="11"/>
      <c r="F808" s="19"/>
      <c r="G808" s="36"/>
      <c r="H808" s="21"/>
      <c r="I808" s="22"/>
      <c r="J808" s="23"/>
      <c r="K808" s="24"/>
      <c r="N808" s="70"/>
      <c r="O808" s="27"/>
    </row>
    <row r="809" spans="1:15" x14ac:dyDescent="0.25">
      <c r="A809" s="13">
        <f t="shared" si="20"/>
        <v>27</v>
      </c>
      <c r="B809" s="17"/>
      <c r="C809" s="17"/>
      <c r="D809" s="18"/>
      <c r="E809" s="11"/>
      <c r="F809" s="19"/>
      <c r="G809" s="36"/>
      <c r="H809" s="21"/>
      <c r="I809" s="22"/>
      <c r="J809" s="23"/>
      <c r="K809" s="24"/>
      <c r="N809" s="70"/>
      <c r="O809" s="27"/>
    </row>
    <row r="810" spans="1:15" x14ac:dyDescent="0.25">
      <c r="A810" s="13">
        <f t="shared" si="20"/>
        <v>27</v>
      </c>
      <c r="B810" s="17"/>
      <c r="C810" s="17"/>
      <c r="D810" s="18"/>
      <c r="E810" s="11"/>
      <c r="F810" s="19"/>
      <c r="G810" s="36"/>
      <c r="H810" s="21"/>
      <c r="I810" s="22"/>
      <c r="J810" s="23"/>
      <c r="K810" s="24"/>
      <c r="N810" s="70"/>
      <c r="O810" s="27"/>
    </row>
    <row r="811" spans="1:15" x14ac:dyDescent="0.25">
      <c r="A811" s="13">
        <f t="shared" si="20"/>
        <v>27</v>
      </c>
      <c r="B811" s="17"/>
      <c r="C811" s="17"/>
      <c r="D811" s="18"/>
      <c r="E811" s="11"/>
      <c r="F811" s="19"/>
      <c r="G811" s="36"/>
      <c r="H811" s="21"/>
      <c r="I811" s="22"/>
      <c r="J811" s="23"/>
      <c r="K811" s="24"/>
      <c r="N811" s="70"/>
      <c r="O811" s="27"/>
    </row>
    <row r="812" spans="1:15" x14ac:dyDescent="0.25">
      <c r="A812" s="13">
        <f t="shared" si="20"/>
        <v>27</v>
      </c>
      <c r="B812" s="17"/>
      <c r="C812" s="17"/>
      <c r="D812" s="18"/>
      <c r="E812" s="11"/>
      <c r="F812" s="19"/>
      <c r="G812" s="36"/>
      <c r="H812" s="21"/>
      <c r="I812" s="22"/>
      <c r="J812" s="23"/>
      <c r="K812" s="24"/>
      <c r="N812" s="70"/>
      <c r="O812" s="27"/>
    </row>
    <row r="813" spans="1:15" x14ac:dyDescent="0.25">
      <c r="A813" s="13">
        <f t="shared" si="20"/>
        <v>27</v>
      </c>
      <c r="B813" s="17"/>
      <c r="C813" s="17"/>
      <c r="D813" s="18"/>
      <c r="E813" s="11"/>
      <c r="F813" s="19"/>
      <c r="G813" s="36"/>
      <c r="H813" s="21"/>
      <c r="I813" s="22"/>
      <c r="J813" s="23"/>
      <c r="K813" s="24"/>
      <c r="N813" s="70"/>
      <c r="O813" s="27"/>
    </row>
    <row r="814" spans="1:15" x14ac:dyDescent="0.25">
      <c r="A814" s="13">
        <f t="shared" si="20"/>
        <v>27</v>
      </c>
      <c r="B814" s="17"/>
      <c r="C814" s="17"/>
      <c r="D814" s="18"/>
      <c r="E814" s="11"/>
      <c r="F814" s="19"/>
      <c r="G814" s="36"/>
      <c r="H814" s="21"/>
      <c r="I814" s="22"/>
      <c r="J814" s="23"/>
      <c r="K814" s="24"/>
      <c r="N814" s="70"/>
      <c r="O814" s="27"/>
    </row>
    <row r="815" spans="1:15" x14ac:dyDescent="0.25">
      <c r="A815" s="13">
        <f t="shared" si="20"/>
        <v>27</v>
      </c>
      <c r="B815" s="17"/>
      <c r="C815" s="17"/>
      <c r="D815" s="18"/>
      <c r="E815" s="11"/>
      <c r="F815" s="19"/>
      <c r="G815" s="36"/>
      <c r="H815" s="21"/>
      <c r="I815" s="22"/>
      <c r="J815" s="23"/>
      <c r="K815" s="24"/>
      <c r="N815" s="70"/>
      <c r="O815" s="27"/>
    </row>
    <row r="816" spans="1:15" x14ac:dyDescent="0.25">
      <c r="A816" s="13">
        <f t="shared" si="20"/>
        <v>27</v>
      </c>
      <c r="B816" s="17"/>
      <c r="C816" s="17"/>
      <c r="D816" s="18"/>
      <c r="E816" s="11"/>
      <c r="F816" s="19"/>
      <c r="G816" s="36"/>
      <c r="H816" s="21"/>
      <c r="I816" s="22"/>
      <c r="J816" s="23"/>
      <c r="K816" s="24"/>
      <c r="N816" s="70"/>
      <c r="O816" s="27"/>
    </row>
    <row r="817" spans="1:15" x14ac:dyDescent="0.25">
      <c r="A817" s="13">
        <f t="shared" si="20"/>
        <v>27</v>
      </c>
      <c r="B817" s="17"/>
      <c r="C817" s="17"/>
      <c r="D817" s="18"/>
      <c r="E817" s="11"/>
      <c r="F817" s="19"/>
      <c r="G817" s="36"/>
      <c r="H817" s="21"/>
      <c r="I817" s="22"/>
      <c r="J817" s="23"/>
      <c r="K817" s="24"/>
      <c r="N817" s="70"/>
      <c r="O817" s="27"/>
    </row>
    <row r="818" spans="1:15" x14ac:dyDescent="0.25">
      <c r="A818" s="13">
        <f t="shared" si="20"/>
        <v>27</v>
      </c>
      <c r="B818" s="17"/>
      <c r="C818" s="17"/>
      <c r="D818" s="18"/>
      <c r="E818" s="11"/>
      <c r="F818" s="19"/>
      <c r="G818" s="36"/>
      <c r="H818" s="21"/>
      <c r="I818" s="22"/>
      <c r="J818" s="23"/>
      <c r="K818" s="24"/>
      <c r="N818" s="70"/>
      <c r="O818" s="27"/>
    </row>
    <row r="819" spans="1:15" x14ac:dyDescent="0.25">
      <c r="A819" s="13">
        <f t="shared" si="20"/>
        <v>27</v>
      </c>
      <c r="B819" s="17"/>
      <c r="C819" s="17"/>
      <c r="D819" s="18"/>
      <c r="E819" s="11"/>
      <c r="F819" s="19"/>
      <c r="G819" s="36"/>
      <c r="H819" s="21"/>
      <c r="I819" s="22"/>
      <c r="J819" s="23"/>
      <c r="K819" s="24"/>
      <c r="N819" s="70"/>
      <c r="O819" s="27"/>
    </row>
    <row r="820" spans="1:15" x14ac:dyDescent="0.25">
      <c r="A820" s="13">
        <f t="shared" si="20"/>
        <v>27</v>
      </c>
      <c r="B820" s="17"/>
      <c r="C820" s="17"/>
      <c r="D820" s="18"/>
      <c r="E820" s="11"/>
      <c r="F820" s="19"/>
      <c r="G820" s="36"/>
      <c r="H820" s="21"/>
      <c r="I820" s="22"/>
      <c r="J820" s="23"/>
      <c r="K820" s="24"/>
      <c r="N820" s="70"/>
      <c r="O820" s="27"/>
    </row>
    <row r="821" spans="1:15" x14ac:dyDescent="0.25">
      <c r="A821" s="13">
        <f t="shared" si="20"/>
        <v>27</v>
      </c>
      <c r="B821" s="17"/>
      <c r="C821" s="17"/>
      <c r="D821" s="18"/>
      <c r="E821" s="11"/>
      <c r="F821" s="19"/>
      <c r="G821" s="36"/>
      <c r="H821" s="21"/>
      <c r="I821" s="22"/>
      <c r="J821" s="23"/>
      <c r="K821" s="24"/>
      <c r="N821" s="70"/>
      <c r="O821" s="27"/>
    </row>
    <row r="822" spans="1:15" x14ac:dyDescent="0.25">
      <c r="A822" s="13">
        <f t="shared" si="20"/>
        <v>27</v>
      </c>
      <c r="B822" s="17"/>
      <c r="C822" s="17"/>
      <c r="D822" s="18"/>
      <c r="E822" s="11"/>
      <c r="F822" s="19"/>
      <c r="G822" s="20"/>
      <c r="H822" s="21"/>
      <c r="I822" s="22"/>
      <c r="J822" s="23"/>
      <c r="K822" s="24"/>
      <c r="N822" s="70"/>
      <c r="O822" s="27"/>
    </row>
    <row r="823" spans="1:15" x14ac:dyDescent="0.25">
      <c r="A823" s="13">
        <f t="shared" si="20"/>
        <v>27</v>
      </c>
      <c r="B823" s="17"/>
      <c r="C823" s="17"/>
      <c r="D823" s="18"/>
      <c r="E823" s="11"/>
      <c r="F823" s="19"/>
      <c r="G823" s="20"/>
      <c r="H823" s="21"/>
      <c r="I823" s="22"/>
      <c r="J823" s="23"/>
      <c r="K823" s="24"/>
      <c r="N823" s="70"/>
      <c r="O823" s="27"/>
    </row>
    <row r="824" spans="1:15" x14ac:dyDescent="0.25">
      <c r="A824" s="13">
        <f t="shared" si="20"/>
        <v>27</v>
      </c>
      <c r="B824" s="17"/>
      <c r="C824" s="17"/>
      <c r="D824" s="18"/>
      <c r="E824" s="11"/>
      <c r="F824" s="19"/>
      <c r="G824" s="20"/>
      <c r="H824" s="21"/>
      <c r="I824" s="22"/>
      <c r="J824" s="23"/>
      <c r="K824" s="24"/>
      <c r="N824" s="70"/>
      <c r="O824" s="27"/>
    </row>
    <row r="825" spans="1:15" x14ac:dyDescent="0.25">
      <c r="A825" s="13">
        <f t="shared" si="20"/>
        <v>27</v>
      </c>
      <c r="B825" s="17"/>
      <c r="C825" s="17"/>
      <c r="D825" s="18"/>
      <c r="E825" s="11"/>
      <c r="F825" s="19"/>
      <c r="G825" s="20"/>
      <c r="H825" s="21"/>
      <c r="I825" s="22"/>
      <c r="J825" s="23"/>
      <c r="K825" s="24"/>
      <c r="N825" s="70"/>
      <c r="O825" s="27"/>
    </row>
    <row r="826" spans="1:15" x14ac:dyDescent="0.25">
      <c r="A826" s="13">
        <f t="shared" si="20"/>
        <v>27</v>
      </c>
      <c r="B826" s="17"/>
      <c r="C826" s="17"/>
      <c r="D826" s="18"/>
      <c r="E826" s="11"/>
      <c r="F826" s="19"/>
      <c r="G826" s="20"/>
      <c r="H826" s="21"/>
      <c r="I826" s="22"/>
      <c r="J826" s="23"/>
      <c r="K826" s="24"/>
      <c r="N826" s="70"/>
      <c r="O826" s="27"/>
    </row>
    <row r="827" spans="1:15" x14ac:dyDescent="0.25">
      <c r="A827" s="13">
        <f t="shared" si="20"/>
        <v>27</v>
      </c>
      <c r="B827" s="17"/>
      <c r="C827" s="17"/>
      <c r="D827" s="18"/>
      <c r="E827" s="11"/>
      <c r="F827" s="19"/>
      <c r="G827" s="20"/>
      <c r="H827" s="21"/>
      <c r="I827" s="22"/>
      <c r="J827" s="23"/>
      <c r="K827" s="24"/>
      <c r="N827" s="70"/>
      <c r="O827" s="27"/>
    </row>
    <row r="828" spans="1:15" x14ac:dyDescent="0.25">
      <c r="A828" s="13">
        <f t="shared" si="20"/>
        <v>27</v>
      </c>
      <c r="B828" s="17"/>
      <c r="C828" s="17"/>
      <c r="D828" s="18"/>
      <c r="E828" s="11"/>
      <c r="F828" s="19"/>
      <c r="G828" s="20"/>
      <c r="H828" s="21"/>
      <c r="I828" s="22"/>
      <c r="J828" s="23"/>
      <c r="K828" s="24"/>
      <c r="N828" s="70"/>
      <c r="O828" s="27"/>
    </row>
    <row r="829" spans="1:15" x14ac:dyDescent="0.25">
      <c r="A829" s="13">
        <f t="shared" si="20"/>
        <v>27</v>
      </c>
      <c r="B829" s="17"/>
      <c r="C829" s="17"/>
      <c r="D829" s="18"/>
      <c r="E829" s="11"/>
      <c r="F829" s="19"/>
      <c r="G829" s="20"/>
      <c r="H829" s="21"/>
      <c r="I829" s="22"/>
      <c r="J829" s="23"/>
      <c r="K829" s="24"/>
      <c r="N829" s="70"/>
      <c r="O829" s="27"/>
    </row>
    <row r="830" spans="1:15" x14ac:dyDescent="0.25">
      <c r="A830" s="13">
        <f t="shared" si="20"/>
        <v>27</v>
      </c>
      <c r="B830" s="17"/>
      <c r="C830" s="17"/>
      <c r="D830" s="18"/>
      <c r="E830" s="11"/>
      <c r="F830" s="19"/>
      <c r="G830" s="20"/>
      <c r="H830" s="21"/>
      <c r="I830" s="22"/>
      <c r="J830" s="23"/>
      <c r="K830" s="24"/>
      <c r="N830" s="70"/>
      <c r="O830" s="27"/>
    </row>
    <row r="831" spans="1:15" x14ac:dyDescent="0.25">
      <c r="A831" s="13">
        <f t="shared" si="20"/>
        <v>27</v>
      </c>
      <c r="B831" s="17"/>
      <c r="C831" s="17"/>
      <c r="D831" s="18"/>
      <c r="E831" s="11"/>
      <c r="F831" s="19"/>
      <c r="G831" s="20"/>
      <c r="H831" s="21"/>
      <c r="I831" s="22"/>
      <c r="J831" s="23"/>
      <c r="K831" s="24"/>
      <c r="N831" s="70"/>
      <c r="O831" s="27"/>
    </row>
    <row r="832" spans="1:15" x14ac:dyDescent="0.25">
      <c r="A832" s="13">
        <f t="shared" si="20"/>
        <v>27</v>
      </c>
      <c r="B832" s="17"/>
      <c r="C832" s="17"/>
      <c r="D832" s="18"/>
      <c r="E832" s="11"/>
      <c r="F832" s="19"/>
      <c r="G832" s="20"/>
      <c r="H832" s="21"/>
      <c r="I832" s="22"/>
      <c r="J832" s="23"/>
      <c r="K832" s="24"/>
      <c r="N832" s="70"/>
      <c r="O832" s="27"/>
    </row>
    <row r="833" spans="1:15" x14ac:dyDescent="0.25">
      <c r="A833" s="13">
        <f t="shared" si="20"/>
        <v>27</v>
      </c>
      <c r="B833" s="17"/>
      <c r="C833" s="17"/>
      <c r="D833" s="18"/>
      <c r="E833" s="11"/>
      <c r="F833" s="19"/>
      <c r="G833" s="20"/>
      <c r="H833" s="21"/>
      <c r="I833" s="22"/>
      <c r="J833" s="23"/>
      <c r="K833" s="24"/>
      <c r="N833" s="70"/>
      <c r="O833" s="27"/>
    </row>
    <row r="834" spans="1:15" x14ac:dyDescent="0.25">
      <c r="A834" s="13">
        <f t="shared" ref="A834:A897" si="21">IF(B931=B930,A833,A833+1)</f>
        <v>27</v>
      </c>
      <c r="B834" s="17"/>
      <c r="C834" s="17"/>
      <c r="D834" s="18"/>
      <c r="E834" s="11"/>
      <c r="F834" s="19"/>
      <c r="G834" s="20"/>
      <c r="H834" s="21"/>
      <c r="I834" s="22"/>
      <c r="J834" s="23"/>
      <c r="K834" s="24"/>
      <c r="N834" s="70"/>
      <c r="O834" s="27"/>
    </row>
    <row r="835" spans="1:15" x14ac:dyDescent="0.25">
      <c r="A835" s="13">
        <f t="shared" si="21"/>
        <v>27</v>
      </c>
      <c r="B835" s="17"/>
      <c r="C835" s="17"/>
      <c r="D835" s="18"/>
      <c r="E835" s="11"/>
      <c r="F835" s="19"/>
      <c r="G835" s="20"/>
      <c r="H835" s="21"/>
      <c r="I835" s="22"/>
      <c r="J835" s="23"/>
      <c r="K835" s="24"/>
      <c r="N835" s="70"/>
      <c r="O835" s="27"/>
    </row>
    <row r="836" spans="1:15" x14ac:dyDescent="0.25">
      <c r="A836" s="13">
        <f t="shared" si="21"/>
        <v>27</v>
      </c>
      <c r="B836" s="17"/>
      <c r="C836" s="17"/>
      <c r="D836" s="18"/>
      <c r="E836" s="11"/>
      <c r="F836" s="19"/>
      <c r="G836" s="20"/>
      <c r="H836" s="21"/>
      <c r="I836" s="22"/>
      <c r="J836" s="23"/>
      <c r="K836" s="24"/>
      <c r="N836" s="70"/>
      <c r="O836" s="27"/>
    </row>
    <row r="837" spans="1:15" x14ac:dyDescent="0.25">
      <c r="A837" s="13">
        <f t="shared" si="21"/>
        <v>27</v>
      </c>
      <c r="B837" s="17"/>
      <c r="C837" s="17"/>
      <c r="D837" s="18"/>
      <c r="E837" s="11"/>
      <c r="F837" s="19"/>
      <c r="G837" s="20"/>
      <c r="H837" s="21"/>
      <c r="I837" s="22"/>
      <c r="J837" s="23"/>
      <c r="K837" s="24"/>
      <c r="N837" s="70"/>
      <c r="O837" s="27"/>
    </row>
    <row r="838" spans="1:15" x14ac:dyDescent="0.25">
      <c r="A838" s="13">
        <f t="shared" si="21"/>
        <v>27</v>
      </c>
      <c r="B838" s="17"/>
      <c r="C838" s="17"/>
      <c r="D838" s="18"/>
      <c r="E838" s="11"/>
      <c r="F838" s="19"/>
      <c r="G838" s="20"/>
      <c r="H838" s="21"/>
      <c r="I838" s="22"/>
      <c r="J838" s="23"/>
      <c r="K838" s="24"/>
      <c r="N838" s="70"/>
      <c r="O838" s="27"/>
    </row>
    <row r="839" spans="1:15" x14ac:dyDescent="0.25">
      <c r="A839" s="13">
        <f t="shared" si="21"/>
        <v>27</v>
      </c>
      <c r="B839" s="17"/>
      <c r="C839" s="17"/>
      <c r="D839" s="18"/>
      <c r="E839" s="11"/>
      <c r="F839" s="19"/>
      <c r="G839" s="20"/>
      <c r="H839" s="21"/>
      <c r="I839" s="22"/>
      <c r="J839" s="23"/>
      <c r="K839" s="24"/>
      <c r="N839" s="70"/>
      <c r="O839" s="27"/>
    </row>
    <row r="840" spans="1:15" x14ac:dyDescent="0.25">
      <c r="A840" s="13">
        <f t="shared" si="21"/>
        <v>27</v>
      </c>
      <c r="B840" s="17"/>
      <c r="C840" s="17"/>
      <c r="D840" s="18"/>
      <c r="E840" s="11"/>
      <c r="F840" s="19"/>
      <c r="G840" s="20"/>
      <c r="H840" s="21"/>
      <c r="I840" s="22"/>
      <c r="J840" s="23"/>
      <c r="K840" s="24"/>
      <c r="N840" s="70"/>
      <c r="O840" s="27"/>
    </row>
    <row r="841" spans="1:15" x14ac:dyDescent="0.25">
      <c r="A841" s="13">
        <f t="shared" si="21"/>
        <v>27</v>
      </c>
      <c r="B841" s="17"/>
      <c r="C841" s="17"/>
      <c r="D841" s="18"/>
      <c r="E841" s="11"/>
      <c r="F841" s="19"/>
      <c r="G841" s="36"/>
      <c r="H841" s="21"/>
      <c r="I841" s="22"/>
      <c r="J841" s="23"/>
      <c r="K841" s="24"/>
      <c r="N841" s="70"/>
      <c r="O841" s="27"/>
    </row>
    <row r="842" spans="1:15" x14ac:dyDescent="0.25">
      <c r="A842" s="13">
        <f t="shared" si="21"/>
        <v>27</v>
      </c>
      <c r="B842" s="17"/>
      <c r="C842" s="17"/>
      <c r="D842" s="18"/>
      <c r="E842" s="11"/>
      <c r="F842" s="19"/>
      <c r="G842" s="36"/>
      <c r="H842" s="21"/>
      <c r="I842" s="22"/>
      <c r="J842" s="23"/>
      <c r="K842" s="24"/>
      <c r="N842" s="70"/>
      <c r="O842" s="27"/>
    </row>
    <row r="843" spans="1:15" x14ac:dyDescent="0.25">
      <c r="A843" s="13">
        <f t="shared" si="21"/>
        <v>27</v>
      </c>
      <c r="B843" s="17"/>
      <c r="C843" s="17"/>
      <c r="D843" s="18"/>
      <c r="E843" s="11"/>
      <c r="F843" s="19"/>
      <c r="G843" s="36"/>
      <c r="H843" s="21"/>
      <c r="I843" s="22"/>
      <c r="J843" s="23"/>
      <c r="K843" s="24"/>
      <c r="N843" s="70"/>
      <c r="O843" s="27"/>
    </row>
    <row r="844" spans="1:15" x14ac:dyDescent="0.25">
      <c r="A844" s="13">
        <f t="shared" si="21"/>
        <v>27</v>
      </c>
      <c r="B844" s="17"/>
      <c r="C844" s="17"/>
      <c r="D844" s="18"/>
      <c r="E844" s="11"/>
      <c r="F844" s="19"/>
      <c r="G844" s="36"/>
      <c r="H844" s="21"/>
      <c r="I844" s="22"/>
      <c r="J844" s="23"/>
      <c r="K844" s="24"/>
      <c r="N844" s="70"/>
      <c r="O844" s="27"/>
    </row>
    <row r="845" spans="1:15" x14ac:dyDescent="0.25">
      <c r="A845" s="13">
        <f t="shared" si="21"/>
        <v>27</v>
      </c>
      <c r="B845" s="17"/>
      <c r="C845" s="17"/>
      <c r="D845" s="18"/>
      <c r="E845" s="11"/>
      <c r="F845" s="19"/>
      <c r="G845" s="36"/>
      <c r="H845" s="21"/>
      <c r="I845" s="22"/>
      <c r="J845" s="23"/>
      <c r="K845" s="24"/>
      <c r="N845" s="70"/>
      <c r="O845" s="27"/>
    </row>
    <row r="846" spans="1:15" x14ac:dyDescent="0.25">
      <c r="A846" s="13">
        <f t="shared" si="21"/>
        <v>27</v>
      </c>
      <c r="B846" s="17"/>
      <c r="C846" s="17"/>
      <c r="D846" s="18"/>
      <c r="E846" s="11"/>
      <c r="F846" s="19"/>
      <c r="G846" s="36"/>
      <c r="H846" s="21"/>
      <c r="I846" s="22"/>
      <c r="J846" s="23"/>
      <c r="K846" s="24"/>
      <c r="N846" s="70"/>
      <c r="O846" s="27"/>
    </row>
    <row r="847" spans="1:15" x14ac:dyDescent="0.25">
      <c r="A847" s="13">
        <f t="shared" si="21"/>
        <v>27</v>
      </c>
      <c r="B847" s="17"/>
      <c r="C847" s="17"/>
      <c r="D847" s="18"/>
      <c r="E847" s="11"/>
      <c r="F847" s="19"/>
      <c r="G847" s="36"/>
      <c r="H847" s="21"/>
      <c r="I847" s="22"/>
      <c r="J847" s="23"/>
      <c r="K847" s="24"/>
      <c r="N847" s="70"/>
      <c r="O847" s="27"/>
    </row>
    <row r="848" spans="1:15" x14ac:dyDescent="0.25">
      <c r="A848" s="13">
        <f t="shared" si="21"/>
        <v>27</v>
      </c>
      <c r="B848" s="17"/>
      <c r="C848" s="17"/>
      <c r="D848" s="18"/>
      <c r="E848" s="11"/>
      <c r="F848" s="19"/>
      <c r="G848" s="36"/>
      <c r="H848" s="21"/>
      <c r="I848" s="22"/>
      <c r="J848" s="23"/>
      <c r="K848" s="24"/>
      <c r="N848" s="70"/>
      <c r="O848" s="27"/>
    </row>
    <row r="849" spans="1:15" x14ac:dyDescent="0.25">
      <c r="A849" s="13">
        <f t="shared" si="21"/>
        <v>27</v>
      </c>
      <c r="B849" s="17"/>
      <c r="C849" s="17"/>
      <c r="D849" s="18"/>
      <c r="E849" s="11"/>
      <c r="F849" s="19"/>
      <c r="G849" s="36"/>
      <c r="H849" s="21"/>
      <c r="I849" s="22"/>
      <c r="J849" s="23"/>
      <c r="K849" s="24"/>
      <c r="N849" s="70"/>
      <c r="O849" s="27"/>
    </row>
    <row r="850" spans="1:15" x14ac:dyDescent="0.25">
      <c r="A850" s="13">
        <f t="shared" si="21"/>
        <v>27</v>
      </c>
      <c r="B850" s="17"/>
      <c r="C850" s="17"/>
      <c r="D850" s="18"/>
      <c r="E850" s="11"/>
      <c r="F850" s="19"/>
      <c r="G850" s="36"/>
      <c r="H850" s="21"/>
      <c r="I850" s="22"/>
      <c r="J850" s="23"/>
      <c r="K850" s="24"/>
      <c r="N850" s="70"/>
      <c r="O850" s="27"/>
    </row>
    <row r="851" spans="1:15" x14ac:dyDescent="0.25">
      <c r="A851" s="13">
        <f t="shared" si="21"/>
        <v>27</v>
      </c>
      <c r="B851" s="17"/>
      <c r="C851" s="17"/>
      <c r="D851" s="18"/>
      <c r="E851" s="11"/>
      <c r="F851" s="19"/>
      <c r="G851" s="36"/>
      <c r="H851" s="21"/>
      <c r="I851" s="22"/>
      <c r="J851" s="23"/>
      <c r="K851" s="24"/>
      <c r="N851" s="70"/>
      <c r="O851" s="27"/>
    </row>
    <row r="852" spans="1:15" x14ac:dyDescent="0.25">
      <c r="A852" s="13">
        <f t="shared" si="21"/>
        <v>27</v>
      </c>
      <c r="B852" s="17"/>
      <c r="C852" s="17"/>
      <c r="D852" s="18"/>
      <c r="E852" s="11"/>
      <c r="F852" s="19"/>
      <c r="G852" s="36"/>
      <c r="H852" s="21"/>
      <c r="I852" s="22"/>
      <c r="J852" s="23"/>
      <c r="K852" s="24"/>
      <c r="N852" s="70"/>
      <c r="O852" s="27"/>
    </row>
    <row r="853" spans="1:15" x14ac:dyDescent="0.25">
      <c r="A853" s="13">
        <f t="shared" si="21"/>
        <v>27</v>
      </c>
      <c r="B853" s="17"/>
      <c r="C853" s="17"/>
      <c r="D853" s="18"/>
      <c r="E853" s="11"/>
      <c r="F853" s="19"/>
      <c r="G853" s="36"/>
      <c r="H853" s="21"/>
      <c r="I853" s="22"/>
      <c r="J853" s="23"/>
      <c r="K853" s="24"/>
      <c r="N853" s="70"/>
      <c r="O853" s="27"/>
    </row>
    <row r="854" spans="1:15" x14ac:dyDescent="0.25">
      <c r="A854" s="13">
        <f t="shared" si="21"/>
        <v>27</v>
      </c>
      <c r="B854" s="17"/>
      <c r="C854" s="17"/>
      <c r="D854" s="18"/>
      <c r="E854" s="11"/>
      <c r="F854" s="19"/>
      <c r="G854" s="36"/>
      <c r="H854" s="21"/>
      <c r="I854" s="22"/>
      <c r="J854" s="23"/>
      <c r="K854" s="24"/>
      <c r="N854" s="70"/>
      <c r="O854" s="27"/>
    </row>
    <row r="855" spans="1:15" x14ac:dyDescent="0.25">
      <c r="A855" s="13">
        <f t="shared" si="21"/>
        <v>27</v>
      </c>
      <c r="B855" s="17"/>
      <c r="C855" s="17"/>
      <c r="D855" s="18"/>
      <c r="E855" s="11"/>
      <c r="F855" s="19"/>
      <c r="G855" s="36"/>
      <c r="H855" s="21"/>
      <c r="I855" s="22"/>
      <c r="J855" s="23"/>
      <c r="K855" s="24"/>
      <c r="N855" s="70"/>
      <c r="O855" s="27"/>
    </row>
    <row r="856" spans="1:15" x14ac:dyDescent="0.25">
      <c r="A856" s="13">
        <f t="shared" si="21"/>
        <v>27</v>
      </c>
      <c r="B856" s="17"/>
      <c r="C856" s="17"/>
      <c r="D856" s="18"/>
      <c r="E856" s="11"/>
      <c r="F856" s="19"/>
      <c r="G856" s="36"/>
      <c r="H856" s="21"/>
      <c r="I856" s="22"/>
      <c r="J856" s="23"/>
      <c r="K856" s="24"/>
      <c r="N856" s="70"/>
      <c r="O856" s="27"/>
    </row>
    <row r="857" spans="1:15" x14ac:dyDescent="0.25">
      <c r="A857" s="13">
        <f t="shared" si="21"/>
        <v>27</v>
      </c>
      <c r="B857" s="17"/>
      <c r="C857" s="17"/>
      <c r="D857" s="18"/>
      <c r="E857" s="11"/>
      <c r="F857" s="19"/>
      <c r="G857" s="36"/>
      <c r="H857" s="21"/>
      <c r="I857" s="22"/>
      <c r="J857" s="23"/>
      <c r="K857" s="24"/>
      <c r="N857" s="70"/>
      <c r="O857" s="27"/>
    </row>
    <row r="858" spans="1:15" x14ac:dyDescent="0.25">
      <c r="A858" s="13">
        <f t="shared" si="21"/>
        <v>27</v>
      </c>
      <c r="B858" s="17"/>
      <c r="C858" s="17"/>
      <c r="D858" s="18"/>
      <c r="E858" s="11"/>
      <c r="F858" s="19"/>
      <c r="G858" s="20"/>
      <c r="H858" s="21"/>
      <c r="I858" s="22"/>
      <c r="J858" s="23"/>
      <c r="K858" s="24"/>
      <c r="N858" s="70"/>
      <c r="O858" s="27"/>
    </row>
    <row r="859" spans="1:15" x14ac:dyDescent="0.25">
      <c r="A859" s="13">
        <f t="shared" si="21"/>
        <v>27</v>
      </c>
      <c r="B859" s="17"/>
      <c r="C859" s="17"/>
      <c r="D859" s="18"/>
      <c r="E859" s="11"/>
      <c r="F859" s="19"/>
      <c r="G859" s="20"/>
      <c r="H859" s="21"/>
      <c r="I859" s="22"/>
      <c r="J859" s="23"/>
      <c r="K859" s="24"/>
      <c r="N859" s="70"/>
      <c r="O859" s="27"/>
    </row>
    <row r="860" spans="1:15" x14ac:dyDescent="0.25">
      <c r="A860" s="13">
        <f t="shared" si="21"/>
        <v>27</v>
      </c>
      <c r="B860" s="17"/>
      <c r="C860" s="17"/>
      <c r="D860" s="18"/>
      <c r="E860" s="11"/>
      <c r="F860" s="19"/>
      <c r="G860" s="20"/>
      <c r="H860" s="21"/>
      <c r="I860" s="22"/>
      <c r="J860" s="23"/>
      <c r="K860" s="24"/>
      <c r="N860" s="70"/>
      <c r="O860" s="27"/>
    </row>
    <row r="861" spans="1:15" x14ac:dyDescent="0.25">
      <c r="A861" s="13">
        <f t="shared" si="21"/>
        <v>27</v>
      </c>
      <c r="B861" s="17"/>
      <c r="C861" s="17"/>
      <c r="D861" s="18"/>
      <c r="E861" s="11"/>
      <c r="F861" s="19"/>
      <c r="G861" s="20"/>
      <c r="H861" s="21"/>
      <c r="I861" s="22"/>
      <c r="J861" s="23"/>
      <c r="K861" s="24"/>
      <c r="N861" s="70"/>
      <c r="O861" s="27"/>
    </row>
    <row r="862" spans="1:15" x14ac:dyDescent="0.25">
      <c r="A862" s="13">
        <f t="shared" si="21"/>
        <v>27</v>
      </c>
      <c r="B862" s="17"/>
      <c r="C862" s="17"/>
      <c r="D862" s="18"/>
      <c r="E862" s="11"/>
      <c r="F862" s="19"/>
      <c r="G862" s="20"/>
      <c r="H862" s="21"/>
      <c r="I862" s="22"/>
      <c r="J862" s="23"/>
      <c r="K862" s="24"/>
      <c r="N862" s="70"/>
      <c r="O862" s="27"/>
    </row>
    <row r="863" spans="1:15" x14ac:dyDescent="0.25">
      <c r="A863" s="13">
        <f t="shared" si="21"/>
        <v>27</v>
      </c>
      <c r="B863" s="17"/>
      <c r="C863" s="17"/>
      <c r="D863" s="18"/>
      <c r="E863" s="11"/>
      <c r="F863" s="19"/>
      <c r="G863" s="20"/>
      <c r="H863" s="21"/>
      <c r="I863" s="22"/>
      <c r="J863" s="23"/>
      <c r="K863" s="24"/>
      <c r="N863" s="70"/>
      <c r="O863" s="27"/>
    </row>
    <row r="864" spans="1:15" x14ac:dyDescent="0.25">
      <c r="A864" s="13">
        <f t="shared" si="21"/>
        <v>27</v>
      </c>
      <c r="B864" s="17"/>
      <c r="C864" s="17"/>
      <c r="D864" s="18"/>
      <c r="E864" s="11"/>
      <c r="F864" s="19"/>
      <c r="G864" s="20"/>
      <c r="H864" s="21"/>
      <c r="I864" s="22"/>
      <c r="J864" s="23"/>
      <c r="K864" s="24"/>
      <c r="N864" s="70"/>
      <c r="O864" s="27"/>
    </row>
    <row r="865" spans="1:15" x14ac:dyDescent="0.25">
      <c r="A865" s="13">
        <f t="shared" si="21"/>
        <v>27</v>
      </c>
      <c r="B865" s="17"/>
      <c r="C865" s="17"/>
      <c r="D865" s="18"/>
      <c r="E865" s="11"/>
      <c r="F865" s="19"/>
      <c r="G865" s="20"/>
      <c r="H865" s="21"/>
      <c r="I865" s="22"/>
      <c r="J865" s="23"/>
      <c r="K865" s="24"/>
      <c r="N865" s="70"/>
      <c r="O865" s="27"/>
    </row>
    <row r="866" spans="1:15" x14ac:dyDescent="0.25">
      <c r="A866" s="13">
        <f t="shared" si="21"/>
        <v>27</v>
      </c>
      <c r="B866" s="17"/>
      <c r="C866" s="17"/>
      <c r="D866" s="18"/>
      <c r="E866" s="11"/>
      <c r="F866" s="19"/>
      <c r="G866" s="36"/>
      <c r="H866" s="21"/>
      <c r="I866" s="22"/>
      <c r="J866" s="23"/>
      <c r="K866" s="24"/>
      <c r="N866" s="70"/>
      <c r="O866" s="27"/>
    </row>
    <row r="867" spans="1:15" x14ac:dyDescent="0.25">
      <c r="A867" s="13">
        <f t="shared" si="21"/>
        <v>27</v>
      </c>
      <c r="B867" s="17"/>
      <c r="C867" s="17"/>
      <c r="D867" s="18"/>
      <c r="E867" s="11"/>
      <c r="F867" s="19"/>
      <c r="G867" s="36"/>
      <c r="H867" s="21"/>
      <c r="I867" s="22"/>
      <c r="J867" s="23"/>
      <c r="K867" s="24"/>
      <c r="N867" s="70"/>
      <c r="O867" s="27"/>
    </row>
    <row r="868" spans="1:15" x14ac:dyDescent="0.25">
      <c r="A868" s="13">
        <f t="shared" si="21"/>
        <v>27</v>
      </c>
      <c r="B868" s="17"/>
      <c r="C868" s="17"/>
      <c r="D868" s="18"/>
      <c r="E868" s="11"/>
      <c r="F868" s="19"/>
      <c r="G868" s="36"/>
      <c r="H868" s="21"/>
      <c r="I868" s="22"/>
      <c r="J868" s="23"/>
      <c r="K868" s="24"/>
      <c r="N868" s="70"/>
      <c r="O868" s="27"/>
    </row>
    <row r="869" spans="1:15" x14ac:dyDescent="0.25">
      <c r="A869" s="13">
        <f t="shared" si="21"/>
        <v>27</v>
      </c>
      <c r="B869" s="17"/>
      <c r="C869" s="17"/>
      <c r="D869" s="18"/>
      <c r="E869" s="11"/>
      <c r="F869" s="19"/>
      <c r="G869" s="36"/>
      <c r="H869" s="21"/>
      <c r="I869" s="22"/>
      <c r="J869" s="23"/>
      <c r="K869" s="24"/>
      <c r="N869" s="70"/>
      <c r="O869" s="27"/>
    </row>
    <row r="870" spans="1:15" x14ac:dyDescent="0.25">
      <c r="A870" s="13">
        <f t="shared" si="21"/>
        <v>27</v>
      </c>
      <c r="B870" s="17"/>
      <c r="C870" s="17"/>
      <c r="D870" s="18"/>
      <c r="E870" s="11"/>
      <c r="F870" s="19"/>
      <c r="G870" s="36"/>
      <c r="H870" s="21"/>
      <c r="I870" s="22"/>
      <c r="J870" s="23"/>
      <c r="K870" s="24"/>
      <c r="N870" s="70"/>
      <c r="O870" s="27"/>
    </row>
    <row r="871" spans="1:15" x14ac:dyDescent="0.25">
      <c r="A871" s="13">
        <f t="shared" si="21"/>
        <v>27</v>
      </c>
      <c r="B871" s="17"/>
      <c r="C871" s="17"/>
      <c r="D871" s="18"/>
      <c r="E871" s="11"/>
      <c r="F871" s="19"/>
      <c r="G871" s="36"/>
      <c r="H871" s="21"/>
      <c r="I871" s="22"/>
      <c r="J871" s="23"/>
      <c r="K871" s="24"/>
      <c r="N871" s="70"/>
      <c r="O871" s="27"/>
    </row>
    <row r="872" spans="1:15" x14ac:dyDescent="0.25">
      <c r="A872" s="13">
        <f t="shared" si="21"/>
        <v>27</v>
      </c>
      <c r="B872" s="17"/>
      <c r="C872" s="17"/>
      <c r="D872" s="18"/>
      <c r="E872" s="11"/>
      <c r="F872" s="19"/>
      <c r="G872" s="36"/>
      <c r="H872" s="21"/>
      <c r="I872" s="22"/>
      <c r="J872" s="23"/>
      <c r="K872" s="24"/>
      <c r="N872" s="70"/>
      <c r="O872" s="27"/>
    </row>
    <row r="873" spans="1:15" x14ac:dyDescent="0.25">
      <c r="A873" s="13">
        <f t="shared" si="21"/>
        <v>27</v>
      </c>
      <c r="B873" s="17"/>
      <c r="C873" s="17"/>
      <c r="D873" s="18"/>
      <c r="E873" s="11"/>
      <c r="F873" s="19"/>
      <c r="G873" s="36"/>
      <c r="H873" s="21"/>
      <c r="I873" s="22"/>
      <c r="J873" s="23"/>
      <c r="K873"/>
      <c r="N873" s="70"/>
      <c r="O873" s="27"/>
    </row>
    <row r="874" spans="1:15" x14ac:dyDescent="0.25">
      <c r="A874" s="13">
        <f t="shared" si="21"/>
        <v>27</v>
      </c>
      <c r="B874" s="17"/>
      <c r="C874" s="17"/>
      <c r="D874" s="18"/>
      <c r="E874" s="11"/>
      <c r="F874" s="19"/>
      <c r="G874" s="36"/>
      <c r="H874" s="21"/>
      <c r="I874" s="22"/>
      <c r="J874" s="23"/>
      <c r="K874"/>
      <c r="N874" s="70"/>
      <c r="O874" s="27"/>
    </row>
    <row r="875" spans="1:15" x14ac:dyDescent="0.25">
      <c r="A875" s="13">
        <f t="shared" si="21"/>
        <v>27</v>
      </c>
      <c r="B875" s="17"/>
      <c r="C875" s="17"/>
      <c r="D875" s="18"/>
      <c r="E875" s="11"/>
      <c r="F875" s="19"/>
      <c r="G875" s="36"/>
      <c r="H875" s="21"/>
      <c r="I875" s="22"/>
      <c r="J875" s="23"/>
      <c r="K875"/>
      <c r="N875" s="70"/>
      <c r="O875" s="27"/>
    </row>
    <row r="876" spans="1:15" x14ac:dyDescent="0.25">
      <c r="A876" s="13">
        <f t="shared" si="21"/>
        <v>27</v>
      </c>
      <c r="B876" s="17"/>
      <c r="C876" s="17"/>
      <c r="D876" s="18"/>
      <c r="E876" s="11"/>
      <c r="F876" s="19"/>
      <c r="G876" s="36"/>
      <c r="H876" s="21"/>
      <c r="I876" s="22"/>
      <c r="J876" s="23"/>
      <c r="K876"/>
      <c r="N876" s="70"/>
      <c r="O876" s="27"/>
    </row>
    <row r="877" spans="1:15" x14ac:dyDescent="0.25">
      <c r="A877" s="13">
        <f t="shared" si="21"/>
        <v>27</v>
      </c>
      <c r="B877" s="17"/>
      <c r="C877" s="17"/>
      <c r="D877" s="18"/>
      <c r="E877" s="11"/>
      <c r="F877" s="19"/>
      <c r="G877" s="36"/>
      <c r="H877" s="21"/>
      <c r="I877" s="22"/>
      <c r="J877" s="23"/>
      <c r="K877"/>
      <c r="N877" s="70"/>
      <c r="O877" s="27"/>
    </row>
    <row r="878" spans="1:15" x14ac:dyDescent="0.25">
      <c r="A878" s="13">
        <f t="shared" si="21"/>
        <v>27</v>
      </c>
      <c r="B878" s="17"/>
      <c r="C878" s="17"/>
      <c r="D878" s="18"/>
      <c r="E878" s="11"/>
      <c r="F878" s="19"/>
      <c r="G878" s="36"/>
      <c r="H878" s="21"/>
      <c r="I878" s="22"/>
      <c r="J878" s="23"/>
      <c r="K878"/>
      <c r="N878" s="70"/>
      <c r="O878" s="27"/>
    </row>
    <row r="879" spans="1:15" x14ac:dyDescent="0.25">
      <c r="A879" s="13">
        <f t="shared" si="21"/>
        <v>27</v>
      </c>
      <c r="B879" s="17"/>
      <c r="C879" s="17"/>
      <c r="D879" s="40"/>
      <c r="E879" s="41"/>
      <c r="F879" s="19"/>
      <c r="G879" s="36"/>
      <c r="H879" s="21"/>
      <c r="I879" s="22"/>
      <c r="J879" s="23"/>
      <c r="K879"/>
      <c r="N879" s="70"/>
      <c r="O879" s="27"/>
    </row>
    <row r="880" spans="1:15" x14ac:dyDescent="0.25">
      <c r="A880" s="13">
        <f t="shared" si="21"/>
        <v>27</v>
      </c>
      <c r="B880" s="17"/>
      <c r="C880" s="17"/>
      <c r="D880" s="18"/>
      <c r="E880" s="11"/>
      <c r="F880" s="19"/>
      <c r="G880" s="20"/>
      <c r="H880" s="21"/>
      <c r="I880" s="22"/>
      <c r="J880" s="23"/>
      <c r="K880"/>
      <c r="N880" s="70"/>
      <c r="O880" s="27"/>
    </row>
    <row r="881" spans="1:15" x14ac:dyDescent="0.25">
      <c r="A881" s="13">
        <f t="shared" si="21"/>
        <v>27</v>
      </c>
      <c r="B881" s="17"/>
      <c r="C881" s="17"/>
      <c r="D881" s="18"/>
      <c r="E881" s="11"/>
      <c r="F881" s="19"/>
      <c r="G881" s="20"/>
      <c r="H881" s="21"/>
      <c r="I881" s="22"/>
      <c r="J881" s="23"/>
      <c r="K881"/>
      <c r="N881" s="70"/>
      <c r="O881" s="27"/>
    </row>
    <row r="882" spans="1:15" x14ac:dyDescent="0.25">
      <c r="A882" s="13">
        <f t="shared" si="21"/>
        <v>27</v>
      </c>
      <c r="B882" s="17"/>
      <c r="C882" s="17"/>
      <c r="D882" s="18"/>
      <c r="E882" s="11"/>
      <c r="F882" s="19"/>
      <c r="G882" s="20"/>
      <c r="H882" s="21"/>
      <c r="I882" s="22"/>
      <c r="J882" s="23"/>
      <c r="K882"/>
      <c r="N882" s="70"/>
      <c r="O882" s="27"/>
    </row>
    <row r="883" spans="1:15" x14ac:dyDescent="0.25">
      <c r="A883" s="13">
        <f t="shared" si="21"/>
        <v>27</v>
      </c>
      <c r="B883" s="17"/>
      <c r="C883" s="17"/>
      <c r="D883" s="18"/>
      <c r="E883" s="11"/>
      <c r="F883" s="19"/>
      <c r="G883" s="20"/>
      <c r="H883" s="21"/>
      <c r="I883" s="22"/>
      <c r="J883" s="23"/>
      <c r="K883"/>
      <c r="N883" s="70"/>
      <c r="O883" s="27"/>
    </row>
    <row r="884" spans="1:15" x14ac:dyDescent="0.25">
      <c r="A884" s="13">
        <f t="shared" si="21"/>
        <v>27</v>
      </c>
      <c r="B884" s="17"/>
      <c r="C884" s="17"/>
      <c r="D884" s="18"/>
      <c r="E884" s="11"/>
      <c r="F884" s="19"/>
      <c r="G884" s="20"/>
      <c r="H884" s="21"/>
      <c r="I884" s="22"/>
      <c r="J884" s="23"/>
      <c r="K884"/>
      <c r="N884" s="70"/>
      <c r="O884" s="27"/>
    </row>
    <row r="885" spans="1:15" x14ac:dyDescent="0.25">
      <c r="A885" s="13">
        <f t="shared" si="21"/>
        <v>27</v>
      </c>
      <c r="B885" s="17"/>
      <c r="C885" s="17"/>
      <c r="D885" s="18"/>
      <c r="E885" s="11"/>
      <c r="F885" s="19"/>
      <c r="G885" s="20"/>
      <c r="H885" s="21"/>
      <c r="I885" s="22"/>
      <c r="J885" s="23"/>
      <c r="K885"/>
      <c r="N885" s="70"/>
      <c r="O885" s="27"/>
    </row>
    <row r="886" spans="1:15" x14ac:dyDescent="0.25">
      <c r="A886" s="13">
        <f t="shared" si="21"/>
        <v>27</v>
      </c>
      <c r="B886" s="17"/>
      <c r="C886" s="17"/>
      <c r="D886" s="18"/>
      <c r="E886" s="11"/>
      <c r="F886" s="19"/>
      <c r="G886" s="20"/>
      <c r="H886" s="21"/>
      <c r="I886" s="22"/>
      <c r="J886" s="23"/>
      <c r="K886"/>
      <c r="N886" s="70"/>
      <c r="O886" s="27"/>
    </row>
    <row r="887" spans="1:15" x14ac:dyDescent="0.25">
      <c r="A887" s="13">
        <f t="shared" si="21"/>
        <v>27</v>
      </c>
      <c r="B887" s="17"/>
      <c r="C887" s="17"/>
      <c r="D887" s="18"/>
      <c r="E887" s="11"/>
      <c r="F887" s="19"/>
      <c r="G887" s="20"/>
      <c r="H887" s="21"/>
      <c r="I887" s="22"/>
      <c r="J887" s="23"/>
      <c r="K887"/>
      <c r="N887" s="70"/>
      <c r="O887" s="27"/>
    </row>
    <row r="888" spans="1:15" x14ac:dyDescent="0.25">
      <c r="A888" s="13">
        <f t="shared" si="21"/>
        <v>27</v>
      </c>
      <c r="B888" s="17"/>
      <c r="C888" s="17"/>
      <c r="D888" s="18"/>
      <c r="E888" s="11"/>
      <c r="F888" s="19"/>
      <c r="G888" s="20"/>
      <c r="H888" s="21"/>
      <c r="I888" s="22"/>
      <c r="J888" s="23"/>
      <c r="K888" s="24"/>
      <c r="N888" s="70"/>
      <c r="O888" s="27"/>
    </row>
    <row r="889" spans="1:15" x14ac:dyDescent="0.25">
      <c r="A889" s="13">
        <f t="shared" si="21"/>
        <v>27</v>
      </c>
      <c r="B889" s="17"/>
      <c r="C889" s="17"/>
      <c r="D889" s="18"/>
      <c r="E889" s="11"/>
      <c r="F889" s="19"/>
      <c r="G889" s="20"/>
      <c r="H889" s="21"/>
      <c r="I889" s="22"/>
      <c r="J889" s="23"/>
      <c r="K889" s="24"/>
      <c r="N889" s="70"/>
      <c r="O889" s="27"/>
    </row>
    <row r="890" spans="1:15" x14ac:dyDescent="0.25">
      <c r="A890" s="13">
        <f t="shared" si="21"/>
        <v>27</v>
      </c>
      <c r="B890" s="17"/>
      <c r="C890" s="17"/>
      <c r="D890" s="18"/>
      <c r="E890" s="11"/>
      <c r="F890" s="19"/>
      <c r="G890" s="20"/>
      <c r="H890" s="21"/>
      <c r="I890" s="22"/>
      <c r="J890" s="23"/>
      <c r="K890" s="24"/>
      <c r="N890" s="70"/>
      <c r="O890" s="27"/>
    </row>
    <row r="891" spans="1:15" x14ac:dyDescent="0.25">
      <c r="A891" s="13">
        <f t="shared" si="21"/>
        <v>27</v>
      </c>
      <c r="B891" s="17"/>
      <c r="C891" s="17"/>
      <c r="D891" s="18"/>
      <c r="E891" s="11"/>
      <c r="F891" s="19"/>
      <c r="G891" s="20"/>
      <c r="H891" s="21"/>
      <c r="I891" s="22"/>
      <c r="J891" s="23"/>
      <c r="K891" s="24"/>
      <c r="N891" s="70"/>
      <c r="O891" s="27"/>
    </row>
    <row r="892" spans="1:15" x14ac:dyDescent="0.25">
      <c r="A892" s="13">
        <f t="shared" si="21"/>
        <v>27</v>
      </c>
      <c r="B892" s="17"/>
      <c r="C892" s="17"/>
      <c r="D892" s="18"/>
      <c r="E892" s="11"/>
      <c r="F892" s="19"/>
      <c r="G892" s="20"/>
      <c r="H892" s="21"/>
      <c r="I892" s="22"/>
      <c r="J892" s="23"/>
      <c r="K892" s="24"/>
      <c r="N892" s="70"/>
      <c r="O892" s="27"/>
    </row>
    <row r="893" spans="1:15" x14ac:dyDescent="0.25">
      <c r="A893" s="13">
        <f t="shared" si="21"/>
        <v>27</v>
      </c>
      <c r="B893" s="17"/>
      <c r="C893" s="17"/>
      <c r="D893" s="18"/>
      <c r="E893" s="11"/>
      <c r="F893" s="19"/>
      <c r="G893" s="20"/>
      <c r="H893" s="21"/>
      <c r="I893" s="22"/>
      <c r="J893" s="23"/>
      <c r="K893" s="24"/>
      <c r="N893" s="70"/>
      <c r="O893" s="27"/>
    </row>
    <row r="894" spans="1:15" x14ac:dyDescent="0.25">
      <c r="A894" s="13">
        <f t="shared" si="21"/>
        <v>27</v>
      </c>
      <c r="B894" s="17"/>
      <c r="C894" s="17"/>
      <c r="D894" s="18"/>
      <c r="E894" s="11"/>
      <c r="F894" s="19"/>
      <c r="G894" s="20"/>
      <c r="H894" s="21"/>
      <c r="I894" s="22"/>
      <c r="J894" s="23"/>
      <c r="K894" s="24"/>
      <c r="N894" s="70"/>
      <c r="O894" s="27"/>
    </row>
    <row r="895" spans="1:15" x14ac:dyDescent="0.25">
      <c r="A895" s="13">
        <f t="shared" si="21"/>
        <v>27</v>
      </c>
      <c r="B895" s="17"/>
      <c r="C895" s="17"/>
      <c r="D895" s="18"/>
      <c r="E895" s="11"/>
      <c r="F895" s="19"/>
      <c r="G895" s="20"/>
      <c r="H895" s="21"/>
      <c r="I895" s="22"/>
      <c r="J895" s="23"/>
      <c r="K895" s="24"/>
      <c r="N895" s="70"/>
      <c r="O895" s="27"/>
    </row>
    <row r="896" spans="1:15" x14ac:dyDescent="0.25">
      <c r="A896" s="13">
        <f t="shared" si="21"/>
        <v>27</v>
      </c>
      <c r="B896" s="17"/>
      <c r="C896" s="17"/>
      <c r="D896" s="18"/>
      <c r="E896" s="11"/>
      <c r="F896" s="19"/>
      <c r="G896" s="20"/>
      <c r="H896" s="21"/>
      <c r="I896" s="22"/>
      <c r="J896" s="23"/>
      <c r="K896" s="24"/>
      <c r="N896" s="70"/>
      <c r="O896" s="27"/>
    </row>
    <row r="897" spans="1:15" x14ac:dyDescent="0.25">
      <c r="A897" s="13">
        <f t="shared" si="21"/>
        <v>27</v>
      </c>
      <c r="B897" s="17"/>
      <c r="C897" s="17"/>
      <c r="D897" s="40"/>
      <c r="E897" s="41"/>
      <c r="F897" s="19"/>
      <c r="G897" s="20"/>
      <c r="H897" s="21"/>
      <c r="I897" s="22"/>
      <c r="J897" s="23"/>
      <c r="K897" s="24"/>
      <c r="N897" s="70"/>
      <c r="O897" s="27"/>
    </row>
    <row r="898" spans="1:15" x14ac:dyDescent="0.25">
      <c r="A898" s="13">
        <f t="shared" ref="A898:A961" si="22">IF(B995=B994,A897,A897+1)</f>
        <v>27</v>
      </c>
      <c r="B898" s="17"/>
      <c r="C898" s="17"/>
      <c r="D898" s="18"/>
      <c r="E898" s="11"/>
      <c r="F898" s="19"/>
      <c r="G898" s="36"/>
      <c r="H898" s="21"/>
      <c r="I898" s="22"/>
      <c r="J898" s="23"/>
      <c r="K898" s="24"/>
      <c r="N898" s="70"/>
      <c r="O898" s="27"/>
    </row>
    <row r="899" spans="1:15" x14ac:dyDescent="0.25">
      <c r="A899" s="13">
        <f t="shared" si="22"/>
        <v>27</v>
      </c>
      <c r="B899" s="17"/>
      <c r="C899" s="17"/>
      <c r="D899" s="18"/>
      <c r="E899" s="11"/>
      <c r="F899" s="19"/>
      <c r="G899" s="36"/>
      <c r="H899" s="21"/>
      <c r="I899" s="22"/>
      <c r="J899" s="23"/>
      <c r="K899" s="24"/>
      <c r="N899" s="70"/>
      <c r="O899" s="27"/>
    </row>
    <row r="900" spans="1:15" x14ac:dyDescent="0.25">
      <c r="A900" s="13">
        <f t="shared" si="22"/>
        <v>27</v>
      </c>
      <c r="B900" s="17"/>
      <c r="C900" s="17"/>
      <c r="D900" s="18"/>
      <c r="E900" s="11"/>
      <c r="F900" s="19"/>
      <c r="G900" s="36"/>
      <c r="H900" s="21"/>
      <c r="I900" s="22"/>
      <c r="J900" s="23"/>
      <c r="K900" s="24"/>
      <c r="N900" s="70"/>
      <c r="O900" s="27"/>
    </row>
    <row r="901" spans="1:15" x14ac:dyDescent="0.25">
      <c r="A901" s="13">
        <f t="shared" si="22"/>
        <v>27</v>
      </c>
      <c r="B901" s="17"/>
      <c r="C901" s="17"/>
      <c r="D901" s="18"/>
      <c r="E901" s="11"/>
      <c r="F901" s="19"/>
      <c r="G901" s="36"/>
      <c r="H901" s="21"/>
      <c r="I901" s="22"/>
      <c r="J901" s="23"/>
      <c r="N901" s="27"/>
    </row>
    <row r="902" spans="1:15" x14ac:dyDescent="0.25">
      <c r="A902" s="13">
        <f t="shared" si="22"/>
        <v>27</v>
      </c>
      <c r="B902" s="17"/>
      <c r="C902" s="17"/>
      <c r="D902" s="18"/>
      <c r="E902" s="11"/>
      <c r="F902" s="19"/>
      <c r="G902" s="36"/>
      <c r="H902" s="21"/>
      <c r="I902" s="22"/>
      <c r="J902" s="23"/>
      <c r="N902" s="27"/>
    </row>
    <row r="903" spans="1:15" x14ac:dyDescent="0.25">
      <c r="A903" s="13">
        <f t="shared" si="22"/>
        <v>27</v>
      </c>
      <c r="B903" s="17"/>
      <c r="C903" s="17"/>
      <c r="D903" s="18"/>
      <c r="E903" s="11"/>
      <c r="F903" s="19"/>
      <c r="G903" s="36"/>
      <c r="H903" s="21"/>
      <c r="I903" s="22"/>
      <c r="J903" s="23"/>
      <c r="N903" s="27"/>
    </row>
    <row r="904" spans="1:15" x14ac:dyDescent="0.25">
      <c r="A904" s="13">
        <f t="shared" si="22"/>
        <v>27</v>
      </c>
      <c r="B904" s="17"/>
      <c r="C904" s="17"/>
      <c r="D904" s="18"/>
      <c r="E904" s="11"/>
      <c r="F904" s="19"/>
      <c r="G904" s="36"/>
      <c r="H904" s="21"/>
      <c r="I904" s="22"/>
      <c r="J904" s="23"/>
      <c r="N904" s="27"/>
    </row>
    <row r="905" spans="1:15" x14ac:dyDescent="0.25">
      <c r="A905" s="13">
        <f t="shared" si="22"/>
        <v>27</v>
      </c>
      <c r="B905" s="17"/>
      <c r="C905" s="17"/>
      <c r="D905" s="18"/>
      <c r="E905" s="11"/>
      <c r="F905" s="19"/>
      <c r="G905" s="36"/>
      <c r="H905" s="21"/>
      <c r="I905" s="22"/>
      <c r="J905" s="23"/>
      <c r="N905" s="27"/>
    </row>
    <row r="906" spans="1:15" x14ac:dyDescent="0.25">
      <c r="A906" s="13">
        <f t="shared" si="22"/>
        <v>27</v>
      </c>
      <c r="B906" s="17"/>
      <c r="C906" s="17"/>
      <c r="D906" s="40"/>
      <c r="E906" s="41"/>
      <c r="F906" s="19"/>
      <c r="G906" s="36"/>
      <c r="H906" s="21"/>
      <c r="I906" s="22"/>
      <c r="J906" s="23"/>
      <c r="N906" s="27"/>
    </row>
    <row r="907" spans="1:15" x14ac:dyDescent="0.25">
      <c r="A907" s="13">
        <f t="shared" si="22"/>
        <v>27</v>
      </c>
      <c r="B907" s="17"/>
      <c r="C907" s="17"/>
      <c r="D907" s="18"/>
      <c r="E907" s="11"/>
      <c r="F907" s="19"/>
      <c r="G907" s="36"/>
      <c r="H907" s="21"/>
      <c r="I907" s="22"/>
      <c r="J907" s="23"/>
      <c r="N907" s="27"/>
    </row>
    <row r="908" spans="1:15" x14ac:dyDescent="0.25">
      <c r="A908" s="13">
        <f t="shared" si="22"/>
        <v>27</v>
      </c>
      <c r="B908" s="17"/>
      <c r="C908" s="17"/>
      <c r="D908" s="18"/>
      <c r="E908" s="11"/>
      <c r="F908" s="19"/>
      <c r="G908" s="36"/>
      <c r="H908" s="21"/>
      <c r="I908" s="22"/>
      <c r="J908" s="23"/>
      <c r="N908" s="27"/>
    </row>
    <row r="909" spans="1:15" x14ac:dyDescent="0.25">
      <c r="A909" s="13">
        <f t="shared" si="22"/>
        <v>27</v>
      </c>
      <c r="B909" s="17"/>
      <c r="C909" s="17"/>
      <c r="D909" s="18"/>
      <c r="E909" s="11"/>
      <c r="F909" s="19"/>
      <c r="G909" s="36"/>
      <c r="H909" s="21"/>
      <c r="I909" s="22"/>
      <c r="J909" s="23"/>
      <c r="N909" s="27"/>
    </row>
    <row r="910" spans="1:15" x14ac:dyDescent="0.25">
      <c r="A910" s="13">
        <f t="shared" si="22"/>
        <v>27</v>
      </c>
      <c r="B910" s="17"/>
      <c r="C910" s="17"/>
      <c r="D910" s="18"/>
      <c r="E910" s="11"/>
      <c r="F910" s="19"/>
      <c r="G910" s="36"/>
      <c r="H910" s="21"/>
      <c r="I910" s="22"/>
      <c r="J910" s="23"/>
      <c r="N910" s="27"/>
    </row>
    <row r="911" spans="1:15" x14ac:dyDescent="0.25">
      <c r="A911" s="13">
        <f t="shared" si="22"/>
        <v>27</v>
      </c>
      <c r="B911" s="17"/>
      <c r="C911" s="17"/>
      <c r="D911" s="18"/>
      <c r="E911" s="11"/>
      <c r="F911" s="19"/>
      <c r="G911" s="36"/>
      <c r="H911" s="21"/>
      <c r="I911" s="22"/>
      <c r="J911" s="23"/>
      <c r="N911" s="27"/>
    </row>
    <row r="912" spans="1:15" x14ac:dyDescent="0.25">
      <c r="A912" s="13">
        <f t="shared" si="22"/>
        <v>27</v>
      </c>
      <c r="B912" s="17"/>
      <c r="C912" s="17"/>
      <c r="D912" s="18"/>
      <c r="E912" s="11"/>
      <c r="F912" s="19"/>
      <c r="G912" s="36"/>
      <c r="H912" s="21"/>
      <c r="I912" s="22"/>
      <c r="J912" s="23"/>
      <c r="N912" s="27"/>
    </row>
    <row r="913" spans="1:14" x14ac:dyDescent="0.25">
      <c r="A913" s="13">
        <f t="shared" si="22"/>
        <v>27</v>
      </c>
      <c r="B913" s="17"/>
      <c r="C913" s="17"/>
      <c r="D913" s="18"/>
      <c r="E913" s="11"/>
      <c r="F913" s="19"/>
      <c r="G913" s="36"/>
      <c r="H913" s="21"/>
      <c r="I913" s="22"/>
      <c r="J913" s="23"/>
      <c r="N913" s="27"/>
    </row>
    <row r="914" spans="1:14" x14ac:dyDescent="0.25">
      <c r="A914" s="13">
        <f t="shared" si="22"/>
        <v>27</v>
      </c>
      <c r="B914" s="17"/>
      <c r="C914" s="17"/>
      <c r="D914" s="18"/>
      <c r="E914" s="11"/>
      <c r="F914" s="19"/>
      <c r="G914" s="36"/>
      <c r="H914" s="21"/>
      <c r="I914" s="22"/>
      <c r="J914" s="23"/>
      <c r="N914" s="27"/>
    </row>
    <row r="915" spans="1:14" x14ac:dyDescent="0.25">
      <c r="A915" s="13">
        <f t="shared" si="22"/>
        <v>27</v>
      </c>
      <c r="B915" s="17"/>
      <c r="C915" s="17"/>
      <c r="D915" s="18"/>
      <c r="E915" s="11"/>
      <c r="F915" s="19"/>
      <c r="G915" s="36"/>
      <c r="H915" s="21"/>
      <c r="I915" s="22"/>
      <c r="J915" s="23"/>
      <c r="N915" s="27"/>
    </row>
    <row r="916" spans="1:14" x14ac:dyDescent="0.25">
      <c r="A916" s="13">
        <f t="shared" si="22"/>
        <v>27</v>
      </c>
      <c r="B916" s="17"/>
      <c r="C916" s="17"/>
      <c r="D916" s="40"/>
      <c r="E916" s="41"/>
      <c r="F916" s="19"/>
      <c r="G916" s="36"/>
      <c r="H916" s="21"/>
      <c r="I916" s="22"/>
      <c r="J916" s="23"/>
      <c r="N916" s="27"/>
    </row>
    <row r="917" spans="1:14" x14ac:dyDescent="0.25">
      <c r="A917" s="13">
        <f t="shared" si="22"/>
        <v>27</v>
      </c>
      <c r="B917" s="17"/>
      <c r="C917" s="17"/>
      <c r="D917" s="18"/>
      <c r="E917" s="11"/>
      <c r="F917" s="19"/>
      <c r="G917" s="36"/>
      <c r="H917" s="21"/>
      <c r="I917" s="22"/>
      <c r="J917" s="23"/>
      <c r="N917" s="27"/>
    </row>
    <row r="918" spans="1:14" x14ac:dyDescent="0.25">
      <c r="A918" s="13">
        <f t="shared" si="22"/>
        <v>27</v>
      </c>
      <c r="B918" s="17"/>
      <c r="C918" s="17"/>
      <c r="D918" s="18"/>
      <c r="E918" s="11"/>
      <c r="F918" s="19"/>
      <c r="G918" s="36"/>
      <c r="H918" s="21"/>
      <c r="I918" s="22"/>
      <c r="J918" s="23"/>
      <c r="N918" s="27"/>
    </row>
    <row r="919" spans="1:14" x14ac:dyDescent="0.25">
      <c r="A919" s="13">
        <f t="shared" si="22"/>
        <v>27</v>
      </c>
      <c r="B919" s="17"/>
      <c r="C919" s="17"/>
      <c r="D919" s="18"/>
      <c r="E919" s="11"/>
      <c r="F919" s="19"/>
      <c r="G919" s="36"/>
      <c r="H919" s="21"/>
      <c r="I919" s="22"/>
      <c r="J919" s="23"/>
      <c r="N919" s="27"/>
    </row>
    <row r="920" spans="1:14" x14ac:dyDescent="0.25">
      <c r="A920" s="13">
        <f t="shared" si="22"/>
        <v>27</v>
      </c>
      <c r="B920" s="17"/>
      <c r="C920" s="17"/>
      <c r="D920" s="18"/>
      <c r="E920" s="11"/>
      <c r="F920" s="19"/>
      <c r="G920" s="36"/>
      <c r="H920" s="21"/>
      <c r="I920" s="22"/>
      <c r="J920" s="23"/>
      <c r="N920" s="27"/>
    </row>
    <row r="921" spans="1:14" x14ac:dyDescent="0.25">
      <c r="A921" s="13">
        <f t="shared" si="22"/>
        <v>27</v>
      </c>
      <c r="B921" s="17"/>
      <c r="C921" s="17"/>
      <c r="D921" s="18"/>
      <c r="E921" s="11"/>
      <c r="F921" s="19"/>
      <c r="G921" s="36"/>
      <c r="H921" s="21"/>
      <c r="I921" s="22"/>
      <c r="J921" s="23"/>
      <c r="N921" s="27"/>
    </row>
    <row r="922" spans="1:14" x14ac:dyDescent="0.25">
      <c r="A922" s="13">
        <f t="shared" si="22"/>
        <v>27</v>
      </c>
      <c r="B922" s="17"/>
      <c r="C922" s="17"/>
      <c r="D922" s="18"/>
      <c r="E922" s="11"/>
      <c r="F922" s="19"/>
      <c r="G922" s="36"/>
      <c r="H922" s="21"/>
      <c r="I922" s="22"/>
      <c r="J922" s="23"/>
      <c r="N922" s="27"/>
    </row>
    <row r="923" spans="1:14" x14ac:dyDescent="0.25">
      <c r="A923" s="13">
        <f t="shared" si="22"/>
        <v>27</v>
      </c>
      <c r="B923" s="17"/>
      <c r="C923" s="17"/>
      <c r="D923" s="18"/>
      <c r="E923" s="11"/>
      <c r="F923" s="19"/>
      <c r="G923" s="36"/>
      <c r="H923" s="21"/>
      <c r="I923" s="22"/>
      <c r="J923" s="23"/>
      <c r="N923" s="27"/>
    </row>
    <row r="924" spans="1:14" x14ac:dyDescent="0.25">
      <c r="A924" s="13">
        <f t="shared" si="22"/>
        <v>27</v>
      </c>
      <c r="B924" s="17"/>
      <c r="C924" s="17"/>
      <c r="D924" s="18"/>
      <c r="E924" s="11"/>
      <c r="F924" s="19"/>
      <c r="G924" s="36"/>
      <c r="H924" s="21"/>
      <c r="I924" s="22"/>
      <c r="J924" s="23"/>
      <c r="N924" s="27"/>
    </row>
    <row r="925" spans="1:14" x14ac:dyDescent="0.25">
      <c r="A925" s="13">
        <f t="shared" si="22"/>
        <v>27</v>
      </c>
      <c r="B925" s="17"/>
      <c r="C925" s="17"/>
      <c r="D925" s="18"/>
      <c r="E925" s="11"/>
      <c r="F925" s="19"/>
      <c r="G925" s="36"/>
      <c r="H925" s="21"/>
      <c r="I925" s="22"/>
      <c r="J925" s="23"/>
      <c r="N925" s="27"/>
    </row>
    <row r="926" spans="1:14" x14ac:dyDescent="0.25">
      <c r="A926" s="13">
        <f t="shared" si="22"/>
        <v>27</v>
      </c>
      <c r="B926" s="17"/>
      <c r="C926" s="17"/>
      <c r="D926" s="18"/>
      <c r="E926" s="11"/>
      <c r="F926" s="19"/>
      <c r="G926" s="36"/>
      <c r="H926" s="21"/>
      <c r="I926" s="22"/>
      <c r="J926" s="23"/>
      <c r="N926" s="27"/>
    </row>
    <row r="927" spans="1:14" x14ac:dyDescent="0.25">
      <c r="A927" s="13">
        <f t="shared" si="22"/>
        <v>27</v>
      </c>
      <c r="B927" s="17"/>
      <c r="C927" s="17"/>
      <c r="D927" s="18"/>
      <c r="E927" s="11"/>
      <c r="F927" s="19"/>
      <c r="G927" s="36"/>
      <c r="H927" s="21"/>
      <c r="I927" s="22"/>
      <c r="J927" s="23"/>
      <c r="N927" s="27"/>
    </row>
    <row r="928" spans="1:14" x14ac:dyDescent="0.25">
      <c r="A928" s="13">
        <f t="shared" si="22"/>
        <v>27</v>
      </c>
      <c r="B928" s="17"/>
      <c r="C928" s="17"/>
      <c r="D928" s="18"/>
      <c r="E928" s="11"/>
      <c r="F928" s="19"/>
      <c r="G928" s="36"/>
      <c r="H928" s="21"/>
      <c r="I928" s="22"/>
      <c r="J928" s="23"/>
      <c r="N928" s="27"/>
    </row>
    <row r="929" spans="1:14" x14ac:dyDescent="0.25">
      <c r="A929" s="13">
        <f t="shared" si="22"/>
        <v>27</v>
      </c>
      <c r="B929" s="17"/>
      <c r="C929" s="17"/>
      <c r="D929" s="18"/>
      <c r="E929" s="11"/>
      <c r="F929" s="19"/>
      <c r="G929" s="36"/>
      <c r="H929" s="21"/>
      <c r="I929" s="22"/>
      <c r="J929" s="23"/>
      <c r="N929" s="27"/>
    </row>
    <row r="930" spans="1:14" x14ac:dyDescent="0.25">
      <c r="A930" s="13">
        <f t="shared" si="22"/>
        <v>27</v>
      </c>
      <c r="B930" s="17"/>
      <c r="C930" s="17"/>
      <c r="D930" s="18"/>
      <c r="E930" s="11"/>
      <c r="F930" s="19"/>
      <c r="G930" s="36"/>
      <c r="H930" s="21"/>
      <c r="I930" s="22"/>
      <c r="J930" s="23"/>
      <c r="N930" s="27"/>
    </row>
    <row r="931" spans="1:14" x14ac:dyDescent="0.25">
      <c r="A931" s="13">
        <f t="shared" si="22"/>
        <v>27</v>
      </c>
      <c r="B931" s="17"/>
      <c r="C931" s="17"/>
      <c r="D931" s="18"/>
      <c r="E931" s="11"/>
      <c r="F931" s="19"/>
      <c r="G931" s="36"/>
      <c r="H931" s="21"/>
      <c r="I931" s="22"/>
      <c r="J931" s="23"/>
      <c r="N931" s="27"/>
    </row>
    <row r="932" spans="1:14" x14ac:dyDescent="0.25">
      <c r="A932" s="13">
        <f t="shared" si="22"/>
        <v>27</v>
      </c>
      <c r="B932" s="17"/>
      <c r="C932" s="17"/>
      <c r="D932" s="18"/>
      <c r="E932" s="11"/>
      <c r="F932" s="19"/>
      <c r="G932" s="36"/>
      <c r="H932" s="21"/>
      <c r="I932" s="22"/>
      <c r="J932" s="23"/>
      <c r="N932" s="27"/>
    </row>
    <row r="933" spans="1:14" x14ac:dyDescent="0.25">
      <c r="A933" s="13">
        <f t="shared" si="22"/>
        <v>27</v>
      </c>
      <c r="B933" s="17"/>
      <c r="C933" s="17"/>
      <c r="D933" s="18"/>
      <c r="E933" s="11"/>
      <c r="F933" s="19"/>
      <c r="G933" s="36"/>
      <c r="H933" s="21"/>
      <c r="I933" s="22"/>
      <c r="J933" s="23"/>
      <c r="N933" s="27"/>
    </row>
    <row r="934" spans="1:14" x14ac:dyDescent="0.25">
      <c r="A934" s="13">
        <f t="shared" si="22"/>
        <v>27</v>
      </c>
      <c r="B934" s="17"/>
      <c r="C934" s="17"/>
      <c r="D934" s="18"/>
      <c r="E934" s="11"/>
      <c r="F934" s="19"/>
      <c r="G934" s="36"/>
      <c r="H934" s="21"/>
      <c r="I934" s="22"/>
      <c r="J934" s="23"/>
      <c r="N934" s="27"/>
    </row>
    <row r="935" spans="1:14" x14ac:dyDescent="0.25">
      <c r="A935" s="13">
        <f t="shared" si="22"/>
        <v>27</v>
      </c>
      <c r="B935" s="17"/>
      <c r="C935" s="17"/>
      <c r="D935" s="18"/>
      <c r="E935" s="11"/>
      <c r="F935" s="19"/>
      <c r="G935" s="36"/>
      <c r="H935" s="21"/>
      <c r="I935" s="22"/>
      <c r="J935" s="23"/>
      <c r="N935" s="27"/>
    </row>
    <row r="936" spans="1:14" x14ac:dyDescent="0.25">
      <c r="A936" s="13">
        <f t="shared" si="22"/>
        <v>27</v>
      </c>
      <c r="B936" s="17"/>
      <c r="C936" s="17"/>
      <c r="D936" s="18"/>
      <c r="E936" s="11"/>
      <c r="F936" s="19"/>
      <c r="G936" s="36"/>
      <c r="H936" s="21"/>
      <c r="I936" s="22"/>
      <c r="J936" s="23"/>
      <c r="N936" s="27"/>
    </row>
    <row r="937" spans="1:14" x14ac:dyDescent="0.25">
      <c r="A937" s="13">
        <f t="shared" si="22"/>
        <v>27</v>
      </c>
      <c r="B937" s="17"/>
      <c r="C937" s="17"/>
      <c r="D937" s="18"/>
      <c r="E937" s="11"/>
      <c r="F937" s="19"/>
      <c r="G937" s="36"/>
      <c r="H937" s="21"/>
      <c r="I937" s="22"/>
      <c r="J937" s="23"/>
      <c r="N937" s="27"/>
    </row>
    <row r="938" spans="1:14" x14ac:dyDescent="0.25">
      <c r="A938" s="13">
        <f t="shared" si="22"/>
        <v>27</v>
      </c>
      <c r="B938" s="17"/>
      <c r="C938" s="17"/>
      <c r="D938" s="18"/>
      <c r="E938" s="11"/>
      <c r="F938" s="19"/>
      <c r="G938" s="36"/>
      <c r="H938" s="21"/>
      <c r="I938" s="22"/>
      <c r="J938" s="23"/>
      <c r="N938" s="27"/>
    </row>
    <row r="939" spans="1:14" x14ac:dyDescent="0.25">
      <c r="A939" s="13">
        <f t="shared" si="22"/>
        <v>27</v>
      </c>
      <c r="B939" s="17"/>
      <c r="C939" s="17"/>
      <c r="D939" s="18"/>
      <c r="E939" s="11"/>
      <c r="F939" s="19"/>
      <c r="G939" s="36"/>
      <c r="H939" s="21"/>
      <c r="I939" s="22"/>
      <c r="J939" s="23"/>
      <c r="N939" s="27"/>
    </row>
    <row r="940" spans="1:14" x14ac:dyDescent="0.25">
      <c r="A940" s="13">
        <f t="shared" si="22"/>
        <v>27</v>
      </c>
      <c r="B940" s="17"/>
      <c r="C940" s="17"/>
      <c r="D940" s="18"/>
      <c r="E940" s="11"/>
      <c r="F940" s="19"/>
      <c r="G940" s="20"/>
      <c r="H940" s="21"/>
      <c r="I940" s="22"/>
      <c r="J940" s="23"/>
      <c r="N940" s="27"/>
    </row>
    <row r="941" spans="1:14" x14ac:dyDescent="0.25">
      <c r="A941" s="13">
        <f t="shared" si="22"/>
        <v>27</v>
      </c>
      <c r="B941" s="17"/>
      <c r="C941" s="17"/>
      <c r="D941" s="18"/>
      <c r="E941" s="11"/>
      <c r="F941" s="19"/>
      <c r="G941" s="20"/>
      <c r="H941" s="21"/>
      <c r="I941" s="22"/>
      <c r="J941" s="23"/>
      <c r="N941" s="27"/>
    </row>
    <row r="942" spans="1:14" x14ac:dyDescent="0.25">
      <c r="A942" s="13">
        <f t="shared" si="22"/>
        <v>27</v>
      </c>
      <c r="B942" s="17"/>
      <c r="C942" s="17"/>
      <c r="D942" s="18"/>
      <c r="E942" s="11"/>
      <c r="F942" s="19"/>
      <c r="G942" s="20"/>
      <c r="H942" s="21"/>
      <c r="I942" s="22"/>
      <c r="J942" s="23"/>
      <c r="N942" s="27"/>
    </row>
    <row r="943" spans="1:14" x14ac:dyDescent="0.25">
      <c r="A943" s="13">
        <f t="shared" si="22"/>
        <v>27</v>
      </c>
      <c r="B943" s="17"/>
      <c r="C943" s="17"/>
      <c r="D943" s="18"/>
      <c r="E943" s="11"/>
      <c r="F943" s="19"/>
      <c r="G943" s="20"/>
      <c r="H943" s="21"/>
      <c r="I943" s="22"/>
      <c r="J943" s="23"/>
      <c r="N943" s="27"/>
    </row>
    <row r="944" spans="1:14" x14ac:dyDescent="0.25">
      <c r="A944" s="13">
        <f t="shared" si="22"/>
        <v>27</v>
      </c>
      <c r="B944" s="17"/>
      <c r="C944" s="17"/>
      <c r="D944" s="18"/>
      <c r="E944" s="11"/>
      <c r="F944" s="19"/>
      <c r="G944" s="20"/>
      <c r="H944" s="21"/>
      <c r="I944" s="22"/>
      <c r="J944" s="23"/>
      <c r="N944" s="27"/>
    </row>
    <row r="945" spans="1:14" x14ac:dyDescent="0.25">
      <c r="A945" s="13">
        <f t="shared" si="22"/>
        <v>27</v>
      </c>
      <c r="B945" s="17"/>
      <c r="C945" s="17"/>
      <c r="D945" s="18"/>
      <c r="E945" s="11"/>
      <c r="F945" s="19"/>
      <c r="G945" s="20"/>
      <c r="H945" s="21"/>
      <c r="I945" s="22"/>
      <c r="J945" s="23"/>
      <c r="N945" s="27"/>
    </row>
    <row r="946" spans="1:14" x14ac:dyDescent="0.25">
      <c r="A946" s="13">
        <f t="shared" si="22"/>
        <v>27</v>
      </c>
      <c r="B946" s="17"/>
      <c r="C946" s="17"/>
      <c r="D946" s="18"/>
      <c r="E946" s="11"/>
      <c r="F946" s="19"/>
      <c r="G946" s="20"/>
      <c r="H946" s="21"/>
      <c r="I946" s="22"/>
      <c r="J946" s="23"/>
      <c r="N946" s="27"/>
    </row>
    <row r="947" spans="1:14" x14ac:dyDescent="0.25">
      <c r="A947" s="13">
        <f t="shared" si="22"/>
        <v>27</v>
      </c>
      <c r="B947" s="17"/>
      <c r="C947" s="17"/>
      <c r="D947" s="18"/>
      <c r="E947" s="11"/>
      <c r="F947" s="19"/>
      <c r="G947" s="20"/>
      <c r="H947" s="21"/>
      <c r="I947" s="22"/>
      <c r="J947" s="23"/>
      <c r="N947" s="27"/>
    </row>
    <row r="948" spans="1:14" x14ac:dyDescent="0.25">
      <c r="A948" s="13">
        <f t="shared" si="22"/>
        <v>27</v>
      </c>
      <c r="B948" s="17"/>
      <c r="C948" s="17"/>
      <c r="D948" s="18"/>
      <c r="E948" s="11"/>
      <c r="F948" s="19"/>
      <c r="G948" s="20"/>
      <c r="H948" s="21"/>
      <c r="I948" s="22"/>
      <c r="J948" s="23"/>
      <c r="N948" s="27"/>
    </row>
    <row r="949" spans="1:14" x14ac:dyDescent="0.25">
      <c r="A949" s="13">
        <f t="shared" si="22"/>
        <v>27</v>
      </c>
      <c r="B949" s="17"/>
      <c r="C949" s="17"/>
      <c r="D949" s="18"/>
      <c r="E949" s="11"/>
      <c r="F949" s="19"/>
      <c r="G949" s="20"/>
      <c r="H949" s="21"/>
      <c r="I949" s="22"/>
      <c r="J949" s="23"/>
      <c r="N949" s="27"/>
    </row>
    <row r="950" spans="1:14" x14ac:dyDescent="0.25">
      <c r="A950" s="13">
        <f t="shared" si="22"/>
        <v>27</v>
      </c>
      <c r="B950" s="17"/>
      <c r="C950" s="17"/>
      <c r="D950" s="18"/>
      <c r="E950" s="11"/>
      <c r="F950" s="19"/>
      <c r="G950" s="20"/>
      <c r="H950" s="21"/>
      <c r="I950" s="22"/>
      <c r="J950" s="23"/>
      <c r="N950" s="27"/>
    </row>
    <row r="951" spans="1:14" x14ac:dyDescent="0.25">
      <c r="A951" s="13">
        <f t="shared" si="22"/>
        <v>27</v>
      </c>
      <c r="B951" s="17"/>
      <c r="C951" s="17"/>
      <c r="D951" s="18"/>
      <c r="E951" s="11"/>
      <c r="F951" s="19"/>
      <c r="G951" s="20"/>
      <c r="H951" s="21"/>
      <c r="I951" s="22"/>
      <c r="J951" s="23"/>
      <c r="N951" s="27"/>
    </row>
    <row r="952" spans="1:14" x14ac:dyDescent="0.25">
      <c r="A952" s="13">
        <f t="shared" si="22"/>
        <v>27</v>
      </c>
      <c r="B952" s="17"/>
      <c r="C952" s="17"/>
      <c r="D952" s="18"/>
      <c r="E952" s="11"/>
      <c r="F952" s="19"/>
      <c r="G952" s="20"/>
      <c r="H952" s="21"/>
      <c r="I952" s="22"/>
      <c r="J952" s="23"/>
      <c r="N952" s="27"/>
    </row>
    <row r="953" spans="1:14" x14ac:dyDescent="0.25">
      <c r="A953" s="13">
        <f t="shared" si="22"/>
        <v>27</v>
      </c>
      <c r="B953" s="17"/>
      <c r="C953" s="17"/>
      <c r="D953" s="18"/>
      <c r="E953" s="11"/>
      <c r="F953" s="19"/>
      <c r="G953" s="20"/>
      <c r="H953" s="21"/>
      <c r="I953" s="22"/>
      <c r="J953" s="23"/>
      <c r="N953" s="27"/>
    </row>
    <row r="954" spans="1:14" x14ac:dyDescent="0.25">
      <c r="A954" s="13">
        <f t="shared" si="22"/>
        <v>27</v>
      </c>
      <c r="B954" s="17"/>
      <c r="C954" s="17"/>
      <c r="D954" s="18"/>
      <c r="E954" s="11"/>
      <c r="F954" s="19"/>
      <c r="G954" s="36"/>
      <c r="H954" s="21"/>
      <c r="I954" s="22"/>
      <c r="J954" s="23"/>
      <c r="N954" s="27"/>
    </row>
    <row r="955" spans="1:14" x14ac:dyDescent="0.25">
      <c r="A955" s="13">
        <f t="shared" si="22"/>
        <v>27</v>
      </c>
      <c r="B955" s="17"/>
      <c r="C955" s="17"/>
      <c r="D955" s="18"/>
      <c r="E955" s="11"/>
      <c r="F955" s="19"/>
      <c r="G955" s="36"/>
      <c r="H955" s="21"/>
      <c r="I955" s="22"/>
      <c r="J955" s="23"/>
      <c r="N955" s="27"/>
    </row>
    <row r="956" spans="1:14" x14ac:dyDescent="0.25">
      <c r="A956" s="13">
        <f t="shared" si="22"/>
        <v>27</v>
      </c>
      <c r="B956" s="17"/>
      <c r="C956" s="17"/>
      <c r="D956" s="18"/>
      <c r="E956" s="11"/>
      <c r="F956" s="19"/>
      <c r="G956" s="36"/>
      <c r="H956" s="21"/>
      <c r="I956" s="22"/>
      <c r="J956" s="23"/>
      <c r="N956" s="27"/>
    </row>
    <row r="957" spans="1:14" x14ac:dyDescent="0.25">
      <c r="A957" s="13">
        <f t="shared" si="22"/>
        <v>27</v>
      </c>
      <c r="B957" s="17"/>
      <c r="C957" s="17"/>
      <c r="D957" s="18"/>
      <c r="E957" s="11"/>
      <c r="F957" s="19"/>
      <c r="G957" s="36"/>
      <c r="H957" s="21"/>
      <c r="I957" s="22"/>
      <c r="J957" s="23"/>
      <c r="N957" s="27"/>
    </row>
    <row r="958" spans="1:14" x14ac:dyDescent="0.25">
      <c r="A958" s="13">
        <f t="shared" si="22"/>
        <v>27</v>
      </c>
      <c r="B958" s="17"/>
      <c r="C958" s="17"/>
      <c r="D958" s="18"/>
      <c r="E958" s="11"/>
      <c r="F958" s="19"/>
      <c r="G958" s="36"/>
      <c r="H958" s="21"/>
      <c r="I958" s="22"/>
      <c r="J958" s="23"/>
      <c r="N958" s="27"/>
    </row>
    <row r="959" spans="1:14" x14ac:dyDescent="0.25">
      <c r="A959" s="13">
        <f t="shared" si="22"/>
        <v>27</v>
      </c>
      <c r="B959" s="17"/>
      <c r="C959" s="17"/>
      <c r="D959" s="18"/>
      <c r="E959" s="11"/>
      <c r="F959" s="19"/>
      <c r="G959" s="36"/>
      <c r="H959" s="21"/>
      <c r="I959" s="22"/>
      <c r="J959" s="23"/>
      <c r="N959" s="27"/>
    </row>
    <row r="960" spans="1:14" x14ac:dyDescent="0.25">
      <c r="A960" s="13">
        <f t="shared" si="22"/>
        <v>27</v>
      </c>
      <c r="B960" s="17"/>
      <c r="C960" s="17"/>
      <c r="D960" s="18"/>
      <c r="E960" s="11"/>
      <c r="F960" s="19"/>
      <c r="G960" s="36"/>
      <c r="H960" s="21"/>
      <c r="I960" s="22"/>
      <c r="J960" s="23"/>
      <c r="N960" s="27"/>
    </row>
    <row r="961" spans="1:14" x14ac:dyDescent="0.25">
      <c r="A961" s="13">
        <f t="shared" si="22"/>
        <v>27</v>
      </c>
      <c r="B961" s="17"/>
      <c r="C961" s="17"/>
      <c r="D961" s="18"/>
      <c r="E961" s="11"/>
      <c r="F961" s="19"/>
      <c r="G961" s="36"/>
      <c r="H961" s="21"/>
      <c r="I961" s="22"/>
      <c r="J961" s="23"/>
      <c r="N961" s="27"/>
    </row>
    <row r="962" spans="1:14" x14ac:dyDescent="0.25">
      <c r="A962" s="13">
        <f t="shared" ref="A962:A1025" si="23">IF(B1059=B1058,A961,A961+1)</f>
        <v>27</v>
      </c>
      <c r="B962" s="17"/>
      <c r="C962" s="17"/>
      <c r="D962" s="18"/>
      <c r="E962" s="11"/>
      <c r="F962" s="19"/>
      <c r="G962" s="36"/>
      <c r="H962" s="21"/>
      <c r="I962" s="22"/>
      <c r="J962" s="23"/>
      <c r="N962" s="27"/>
    </row>
    <row r="963" spans="1:14" x14ac:dyDescent="0.25">
      <c r="A963" s="13">
        <f t="shared" si="23"/>
        <v>27</v>
      </c>
      <c r="B963" s="17"/>
      <c r="C963" s="17"/>
      <c r="D963" s="18"/>
      <c r="E963" s="11"/>
      <c r="F963" s="19"/>
      <c r="G963" s="36"/>
      <c r="H963" s="21"/>
      <c r="I963" s="22"/>
      <c r="J963" s="23"/>
      <c r="N963" s="27"/>
    </row>
    <row r="964" spans="1:14" x14ac:dyDescent="0.25">
      <c r="A964" s="13">
        <f t="shared" si="23"/>
        <v>27</v>
      </c>
      <c r="B964" s="17"/>
      <c r="C964" s="17"/>
      <c r="D964" s="18"/>
      <c r="E964" s="11"/>
      <c r="F964" s="19"/>
      <c r="G964" s="36"/>
      <c r="H964" s="21"/>
      <c r="I964" s="22"/>
      <c r="J964" s="23"/>
      <c r="N964" s="27"/>
    </row>
    <row r="965" spans="1:14" x14ac:dyDescent="0.25">
      <c r="A965" s="13">
        <f t="shared" si="23"/>
        <v>27</v>
      </c>
      <c r="B965" s="17"/>
      <c r="C965" s="17"/>
      <c r="D965" s="18"/>
      <c r="E965" s="11"/>
      <c r="F965" s="19"/>
      <c r="G965" s="36"/>
      <c r="H965" s="21"/>
      <c r="I965" s="22"/>
      <c r="J965" s="23"/>
      <c r="N965" s="27"/>
    </row>
    <row r="966" spans="1:14" x14ac:dyDescent="0.25">
      <c r="A966" s="13">
        <f t="shared" si="23"/>
        <v>27</v>
      </c>
      <c r="B966" s="17"/>
      <c r="C966" s="17"/>
      <c r="D966" s="18"/>
      <c r="E966" s="11"/>
      <c r="F966" s="19"/>
      <c r="G966" s="36"/>
      <c r="H966" s="21"/>
      <c r="I966" s="22"/>
      <c r="J966" s="23"/>
      <c r="N966" s="27"/>
    </row>
    <row r="967" spans="1:14" x14ac:dyDescent="0.25">
      <c r="A967" s="13">
        <f t="shared" si="23"/>
        <v>27</v>
      </c>
      <c r="B967" s="17"/>
      <c r="C967" s="17"/>
      <c r="D967" s="18"/>
      <c r="E967" s="11"/>
      <c r="F967" s="19"/>
      <c r="G967" s="36"/>
      <c r="H967" s="21"/>
      <c r="I967" s="22"/>
      <c r="J967" s="23"/>
      <c r="N967" s="27"/>
    </row>
    <row r="968" spans="1:14" x14ac:dyDescent="0.25">
      <c r="A968" s="13">
        <f t="shared" si="23"/>
        <v>27</v>
      </c>
      <c r="B968" s="17"/>
      <c r="C968" s="17"/>
      <c r="D968" s="18"/>
      <c r="E968" s="11"/>
      <c r="F968" s="19"/>
      <c r="G968" s="36"/>
      <c r="H968" s="21"/>
      <c r="I968" s="22"/>
      <c r="J968" s="23"/>
      <c r="N968" s="27"/>
    </row>
    <row r="969" spans="1:14" x14ac:dyDescent="0.25">
      <c r="A969" s="13">
        <f t="shared" si="23"/>
        <v>27</v>
      </c>
      <c r="B969" s="17"/>
      <c r="C969" s="17"/>
      <c r="D969" s="18"/>
      <c r="E969" s="11"/>
      <c r="F969" s="19"/>
      <c r="G969" s="36"/>
      <c r="H969" s="21"/>
      <c r="I969" s="22"/>
      <c r="J969" s="23"/>
      <c r="N969" s="27"/>
    </row>
    <row r="970" spans="1:14" x14ac:dyDescent="0.25">
      <c r="A970" s="13">
        <f t="shared" si="23"/>
        <v>27</v>
      </c>
      <c r="B970" s="17"/>
      <c r="C970" s="17"/>
      <c r="D970" s="18"/>
      <c r="E970" s="11"/>
      <c r="F970" s="19"/>
      <c r="G970" s="36"/>
      <c r="H970" s="21"/>
      <c r="I970" s="22"/>
      <c r="J970" s="23"/>
      <c r="N970" s="27"/>
    </row>
    <row r="971" spans="1:14" x14ac:dyDescent="0.25">
      <c r="A971" s="13">
        <f t="shared" si="23"/>
        <v>27</v>
      </c>
      <c r="B971" s="17"/>
      <c r="C971" s="17"/>
      <c r="D971" s="18"/>
      <c r="E971" s="11"/>
      <c r="F971" s="19"/>
      <c r="G971" s="36"/>
      <c r="H971" s="21"/>
      <c r="I971" s="22"/>
      <c r="J971" s="23"/>
      <c r="N971" s="27"/>
    </row>
    <row r="972" spans="1:14" x14ac:dyDescent="0.25">
      <c r="A972" s="13">
        <f t="shared" si="23"/>
        <v>27</v>
      </c>
      <c r="B972" s="17"/>
      <c r="C972" s="17"/>
      <c r="D972" s="18"/>
      <c r="E972" s="11"/>
      <c r="F972" s="19"/>
      <c r="G972" s="36"/>
      <c r="H972" s="21"/>
      <c r="I972" s="22"/>
      <c r="J972" s="23"/>
      <c r="N972" s="27"/>
    </row>
    <row r="973" spans="1:14" x14ac:dyDescent="0.25">
      <c r="A973" s="13">
        <f t="shared" si="23"/>
        <v>27</v>
      </c>
      <c r="B973" s="17"/>
      <c r="C973" s="17"/>
      <c r="D973" s="18"/>
      <c r="E973" s="11"/>
      <c r="F973" s="19"/>
      <c r="G973" s="36"/>
      <c r="H973" s="21"/>
      <c r="I973" s="22"/>
      <c r="J973" s="23"/>
      <c r="N973" s="27"/>
    </row>
    <row r="974" spans="1:14" x14ac:dyDescent="0.25">
      <c r="A974" s="13">
        <f t="shared" si="23"/>
        <v>27</v>
      </c>
      <c r="B974" s="17"/>
      <c r="C974" s="17"/>
      <c r="D974" s="18"/>
      <c r="E974" s="11"/>
      <c r="F974" s="19"/>
      <c r="G974" s="36"/>
      <c r="H974" s="21"/>
      <c r="I974" s="22"/>
      <c r="J974" s="23"/>
      <c r="N974" s="27"/>
    </row>
    <row r="975" spans="1:14" x14ac:dyDescent="0.25">
      <c r="A975" s="13">
        <f t="shared" si="23"/>
        <v>27</v>
      </c>
      <c r="B975" s="17"/>
      <c r="C975" s="17"/>
      <c r="D975" s="18"/>
      <c r="E975" s="11"/>
      <c r="F975" s="19"/>
      <c r="G975" s="36"/>
      <c r="H975" s="21"/>
      <c r="I975" s="22"/>
      <c r="J975" s="23"/>
      <c r="N975" s="27"/>
    </row>
    <row r="976" spans="1:14" x14ac:dyDescent="0.25">
      <c r="A976" s="13">
        <f t="shared" si="23"/>
        <v>27</v>
      </c>
      <c r="B976" s="17"/>
      <c r="C976" s="17"/>
      <c r="D976" s="18"/>
      <c r="E976" s="11"/>
      <c r="F976" s="19"/>
      <c r="G976" s="36"/>
      <c r="H976" s="21"/>
      <c r="I976" s="22"/>
      <c r="J976" s="23"/>
      <c r="N976" s="27"/>
    </row>
    <row r="977" spans="1:14" x14ac:dyDescent="0.25">
      <c r="A977" s="13">
        <f t="shared" si="23"/>
        <v>27</v>
      </c>
      <c r="B977" s="17"/>
      <c r="C977" s="17"/>
      <c r="D977" s="18"/>
      <c r="E977" s="11"/>
      <c r="F977" s="19"/>
      <c r="G977" s="36"/>
      <c r="H977" s="21"/>
      <c r="I977" s="22"/>
      <c r="J977" s="23"/>
      <c r="N977" s="27"/>
    </row>
    <row r="978" spans="1:14" x14ac:dyDescent="0.25">
      <c r="A978" s="13">
        <f t="shared" si="23"/>
        <v>27</v>
      </c>
      <c r="B978" s="17"/>
      <c r="C978" s="17"/>
      <c r="D978" s="18"/>
      <c r="E978" s="11"/>
      <c r="F978" s="19"/>
      <c r="G978" s="36"/>
      <c r="H978" s="21"/>
      <c r="I978" s="22"/>
      <c r="J978" s="23"/>
      <c r="N978" s="27"/>
    </row>
    <row r="979" spans="1:14" x14ac:dyDescent="0.25">
      <c r="A979" s="13">
        <f t="shared" si="23"/>
        <v>27</v>
      </c>
      <c r="B979" s="17"/>
      <c r="C979" s="17"/>
      <c r="D979" s="18"/>
      <c r="E979" s="11"/>
      <c r="F979" s="19"/>
      <c r="G979" s="36"/>
      <c r="H979" s="21"/>
      <c r="I979" s="22"/>
      <c r="J979" s="23"/>
      <c r="N979" s="27"/>
    </row>
    <row r="980" spans="1:14" x14ac:dyDescent="0.25">
      <c r="A980" s="13">
        <f t="shared" si="23"/>
        <v>27</v>
      </c>
      <c r="B980" s="17"/>
      <c r="C980" s="17"/>
      <c r="D980" s="18"/>
      <c r="E980" s="11"/>
      <c r="F980" s="19"/>
      <c r="G980" s="36"/>
      <c r="H980" s="21"/>
      <c r="I980" s="22"/>
      <c r="J980" s="23"/>
      <c r="N980" s="27"/>
    </row>
    <row r="981" spans="1:14" x14ac:dyDescent="0.25">
      <c r="A981" s="13">
        <f t="shared" si="23"/>
        <v>27</v>
      </c>
      <c r="B981" s="17"/>
      <c r="C981" s="17"/>
      <c r="D981" s="42"/>
      <c r="E981" s="43"/>
      <c r="F981" s="19"/>
      <c r="G981" s="20"/>
      <c r="H981" s="21"/>
      <c r="I981" s="22"/>
      <c r="J981" s="23"/>
      <c r="N981" s="27"/>
    </row>
    <row r="982" spans="1:14" x14ac:dyDescent="0.25">
      <c r="A982" s="13">
        <f t="shared" si="23"/>
        <v>27</v>
      </c>
      <c r="B982" s="17"/>
      <c r="C982" s="17"/>
      <c r="D982" s="18"/>
      <c r="E982" s="11"/>
      <c r="F982" s="19"/>
      <c r="G982" s="20"/>
      <c r="H982" s="21"/>
      <c r="I982" s="22"/>
      <c r="J982" s="23"/>
      <c r="N982" s="27"/>
    </row>
    <row r="983" spans="1:14" x14ac:dyDescent="0.25">
      <c r="A983" s="13">
        <f t="shared" si="23"/>
        <v>27</v>
      </c>
      <c r="B983" s="17"/>
      <c r="C983" s="17"/>
      <c r="D983" s="18"/>
      <c r="E983" s="11"/>
      <c r="F983" s="19"/>
      <c r="G983" s="20"/>
      <c r="H983" s="21"/>
      <c r="I983" s="22"/>
      <c r="J983" s="23"/>
      <c r="N983" s="27"/>
    </row>
    <row r="984" spans="1:14" x14ac:dyDescent="0.25">
      <c r="A984" s="13">
        <f t="shared" si="23"/>
        <v>27</v>
      </c>
      <c r="B984" s="17"/>
      <c r="C984" s="17"/>
      <c r="D984" s="18"/>
      <c r="E984" s="11"/>
      <c r="F984" s="19"/>
      <c r="G984" s="20"/>
      <c r="H984" s="21"/>
      <c r="I984" s="22"/>
      <c r="J984" s="23"/>
      <c r="N984" s="27"/>
    </row>
    <row r="985" spans="1:14" x14ac:dyDescent="0.25">
      <c r="A985" s="13">
        <f t="shared" si="23"/>
        <v>27</v>
      </c>
      <c r="B985" s="17"/>
      <c r="C985" s="17"/>
      <c r="D985" s="18"/>
      <c r="E985" s="11"/>
      <c r="F985" s="19"/>
      <c r="G985" s="20"/>
      <c r="H985" s="21"/>
      <c r="I985" s="22"/>
      <c r="J985" s="23"/>
      <c r="N985" s="27"/>
    </row>
    <row r="986" spans="1:14" x14ac:dyDescent="0.25">
      <c r="A986" s="13">
        <f t="shared" si="23"/>
        <v>27</v>
      </c>
      <c r="B986" s="17"/>
      <c r="C986" s="17"/>
      <c r="D986" s="18"/>
      <c r="E986" s="11"/>
      <c r="F986" s="19"/>
      <c r="G986" s="20"/>
      <c r="H986" s="21"/>
      <c r="I986" s="22"/>
      <c r="J986" s="23"/>
      <c r="N986" s="27"/>
    </row>
    <row r="987" spans="1:14" x14ac:dyDescent="0.25">
      <c r="A987" s="13">
        <f t="shared" si="23"/>
        <v>27</v>
      </c>
      <c r="B987" s="17"/>
      <c r="C987" s="17"/>
      <c r="D987" s="18"/>
      <c r="E987" s="11"/>
      <c r="F987" s="19"/>
      <c r="G987" s="20"/>
      <c r="H987" s="21"/>
      <c r="I987" s="22"/>
      <c r="J987" s="23"/>
      <c r="N987" s="27"/>
    </row>
    <row r="988" spans="1:14" x14ac:dyDescent="0.25">
      <c r="A988" s="13">
        <f t="shared" si="23"/>
        <v>27</v>
      </c>
      <c r="B988" s="17"/>
      <c r="C988" s="17"/>
      <c r="D988" s="18"/>
      <c r="E988" s="11"/>
      <c r="F988" s="19"/>
      <c r="G988" s="20"/>
      <c r="H988" s="21"/>
      <c r="I988" s="22"/>
      <c r="J988" s="23"/>
      <c r="N988" s="27"/>
    </row>
    <row r="989" spans="1:14" x14ac:dyDescent="0.25">
      <c r="A989" s="13">
        <f t="shared" si="23"/>
        <v>27</v>
      </c>
      <c r="B989" s="17"/>
      <c r="C989" s="17"/>
      <c r="D989" s="40"/>
      <c r="E989" s="41"/>
      <c r="F989" s="19"/>
      <c r="G989" s="20"/>
      <c r="H989" s="21"/>
      <c r="I989" s="22"/>
      <c r="J989" s="23"/>
      <c r="N989" s="27"/>
    </row>
    <row r="990" spans="1:14" x14ac:dyDescent="0.25">
      <c r="A990" s="13">
        <f t="shared" si="23"/>
        <v>27</v>
      </c>
      <c r="B990" s="17"/>
      <c r="C990" s="17"/>
      <c r="D990" s="18"/>
      <c r="E990" s="11"/>
      <c r="F990" s="19"/>
      <c r="G990" s="20"/>
      <c r="H990" s="21"/>
      <c r="I990" s="22"/>
      <c r="J990" s="23"/>
      <c r="N990" s="27"/>
    </row>
    <row r="991" spans="1:14" x14ac:dyDescent="0.25">
      <c r="A991" s="13">
        <f t="shared" si="23"/>
        <v>27</v>
      </c>
      <c r="B991" s="17"/>
      <c r="C991" s="17"/>
      <c r="D991" s="18"/>
      <c r="E991" s="11"/>
      <c r="F991" s="19"/>
      <c r="G991" s="20"/>
      <c r="H991" s="21"/>
      <c r="I991" s="22"/>
      <c r="J991" s="23"/>
      <c r="N991" s="27"/>
    </row>
    <row r="992" spans="1:14" x14ac:dyDescent="0.25">
      <c r="A992" s="13">
        <f t="shared" si="23"/>
        <v>27</v>
      </c>
      <c r="B992" s="17"/>
      <c r="C992" s="17"/>
      <c r="D992" s="18"/>
      <c r="E992" s="11"/>
      <c r="F992" s="19"/>
      <c r="G992" s="36"/>
      <c r="H992" s="21"/>
      <c r="I992" s="22"/>
      <c r="J992" s="23"/>
      <c r="N992" s="27"/>
    </row>
    <row r="993" spans="1:14" x14ac:dyDescent="0.25">
      <c r="A993" s="13">
        <f t="shared" si="23"/>
        <v>27</v>
      </c>
      <c r="B993" s="17"/>
      <c r="C993" s="17"/>
      <c r="D993" s="18"/>
      <c r="E993" s="11"/>
      <c r="F993" s="19"/>
      <c r="G993" s="36"/>
      <c r="H993" s="21"/>
      <c r="I993" s="22"/>
      <c r="J993" s="23"/>
      <c r="N993" s="27"/>
    </row>
    <row r="994" spans="1:14" x14ac:dyDescent="0.25">
      <c r="A994" s="13">
        <f t="shared" si="23"/>
        <v>27</v>
      </c>
      <c r="B994" s="17"/>
      <c r="C994" s="17"/>
      <c r="D994" s="18"/>
      <c r="E994" s="11"/>
      <c r="F994" s="19"/>
      <c r="G994" s="36"/>
      <c r="H994" s="21"/>
      <c r="I994" s="22"/>
      <c r="J994" s="23"/>
      <c r="N994" s="27"/>
    </row>
    <row r="995" spans="1:14" x14ac:dyDescent="0.25">
      <c r="A995" s="13">
        <f t="shared" si="23"/>
        <v>27</v>
      </c>
      <c r="B995" s="17"/>
      <c r="C995" s="17"/>
      <c r="D995" s="18"/>
      <c r="E995" s="11"/>
      <c r="F995" s="19"/>
      <c r="G995" s="36"/>
      <c r="H995" s="21"/>
      <c r="I995" s="22"/>
      <c r="J995" s="23"/>
      <c r="N995" s="27"/>
    </row>
    <row r="996" spans="1:14" x14ac:dyDescent="0.25">
      <c r="A996" s="13">
        <f t="shared" si="23"/>
        <v>27</v>
      </c>
      <c r="B996" s="17"/>
      <c r="C996" s="17"/>
      <c r="D996" s="18"/>
      <c r="E996" s="11"/>
      <c r="F996" s="19"/>
      <c r="G996" s="36"/>
      <c r="H996" s="21"/>
      <c r="I996" s="22"/>
      <c r="J996" s="23"/>
      <c r="N996" s="27"/>
    </row>
    <row r="997" spans="1:14" x14ac:dyDescent="0.25">
      <c r="A997" s="13">
        <f t="shared" si="23"/>
        <v>27</v>
      </c>
      <c r="B997" s="17"/>
      <c r="C997" s="17"/>
      <c r="D997" s="18"/>
      <c r="E997" s="11"/>
      <c r="F997" s="19"/>
      <c r="G997" s="36"/>
      <c r="H997" s="21"/>
      <c r="I997" s="22"/>
      <c r="J997" s="23"/>
      <c r="N997" s="27"/>
    </row>
    <row r="998" spans="1:14" x14ac:dyDescent="0.25">
      <c r="A998" s="13">
        <f t="shared" si="23"/>
        <v>27</v>
      </c>
      <c r="B998" s="17"/>
      <c r="C998" s="17"/>
      <c r="D998" s="18"/>
      <c r="E998" s="11"/>
      <c r="F998" s="19"/>
      <c r="G998" s="36"/>
      <c r="H998" s="21"/>
      <c r="I998" s="22"/>
      <c r="J998" s="23"/>
      <c r="N998" s="27"/>
    </row>
    <row r="999" spans="1:14" x14ac:dyDescent="0.25">
      <c r="A999" s="13">
        <f t="shared" si="23"/>
        <v>27</v>
      </c>
      <c r="B999" s="17"/>
      <c r="C999" s="17"/>
      <c r="D999" s="18"/>
      <c r="E999" s="11"/>
      <c r="F999" s="19"/>
      <c r="G999" s="36"/>
      <c r="H999" s="21"/>
      <c r="I999" s="22"/>
      <c r="J999" s="23"/>
      <c r="N999" s="27"/>
    </row>
    <row r="1000" spans="1:14" x14ac:dyDescent="0.25">
      <c r="A1000" s="13">
        <f t="shared" si="23"/>
        <v>27</v>
      </c>
      <c r="B1000" s="17"/>
      <c r="C1000" s="17"/>
      <c r="D1000" s="18"/>
      <c r="E1000" s="11"/>
      <c r="F1000" s="19"/>
      <c r="G1000" s="36"/>
      <c r="H1000" s="21"/>
      <c r="I1000" s="22"/>
      <c r="J1000" s="23"/>
      <c r="N1000" s="27"/>
    </row>
    <row r="1001" spans="1:14" x14ac:dyDescent="0.25">
      <c r="A1001" s="13">
        <f t="shared" si="23"/>
        <v>27</v>
      </c>
      <c r="B1001" s="17"/>
      <c r="C1001" s="17"/>
      <c r="D1001" s="18"/>
      <c r="E1001" s="11"/>
      <c r="F1001" s="19"/>
      <c r="G1001" s="36"/>
      <c r="H1001" s="21"/>
      <c r="I1001" s="22"/>
      <c r="J1001" s="23"/>
      <c r="N1001" s="27"/>
    </row>
    <row r="1002" spans="1:14" x14ac:dyDescent="0.25">
      <c r="A1002" s="13">
        <f t="shared" si="23"/>
        <v>27</v>
      </c>
      <c r="B1002" s="17"/>
      <c r="C1002" s="17"/>
      <c r="D1002" s="18"/>
      <c r="E1002" s="11"/>
      <c r="F1002" s="19"/>
      <c r="G1002" s="36"/>
      <c r="H1002" s="21"/>
      <c r="I1002" s="22"/>
      <c r="J1002" s="23"/>
      <c r="N1002" s="27"/>
    </row>
    <row r="1003" spans="1:14" x14ac:dyDescent="0.25">
      <c r="A1003" s="13">
        <f t="shared" si="23"/>
        <v>27</v>
      </c>
      <c r="B1003" s="17"/>
      <c r="C1003" s="17"/>
      <c r="D1003" s="18"/>
      <c r="E1003" s="11"/>
      <c r="F1003" s="19"/>
      <c r="G1003" s="36"/>
      <c r="H1003" s="21"/>
      <c r="I1003" s="22"/>
      <c r="J1003" s="23"/>
      <c r="N1003" s="27"/>
    </row>
    <row r="1004" spans="1:14" x14ac:dyDescent="0.25">
      <c r="A1004" s="13">
        <f t="shared" si="23"/>
        <v>27</v>
      </c>
      <c r="B1004" s="17"/>
      <c r="C1004" s="17"/>
      <c r="D1004" s="18"/>
      <c r="E1004" s="11"/>
      <c r="F1004" s="19"/>
      <c r="G1004" s="36"/>
      <c r="H1004" s="21"/>
      <c r="I1004" s="22"/>
      <c r="J1004" s="23"/>
      <c r="N1004" s="27"/>
    </row>
    <row r="1005" spans="1:14" x14ac:dyDescent="0.25">
      <c r="A1005" s="13">
        <f t="shared" si="23"/>
        <v>27</v>
      </c>
      <c r="B1005" s="17"/>
      <c r="C1005" s="17"/>
      <c r="D1005" s="18"/>
      <c r="E1005" s="11"/>
      <c r="F1005" s="19"/>
      <c r="G1005" s="36"/>
      <c r="H1005" s="21"/>
      <c r="I1005" s="22"/>
      <c r="J1005" s="23"/>
      <c r="N1005" s="27"/>
    </row>
    <row r="1006" spans="1:14" x14ac:dyDescent="0.25">
      <c r="A1006" s="13">
        <f t="shared" si="23"/>
        <v>27</v>
      </c>
      <c r="B1006" s="17"/>
      <c r="C1006" s="17"/>
      <c r="D1006" s="18"/>
      <c r="E1006" s="11"/>
      <c r="F1006" s="19"/>
      <c r="G1006" s="36"/>
      <c r="H1006" s="21"/>
      <c r="I1006" s="22"/>
      <c r="J1006" s="23"/>
      <c r="N1006" s="27"/>
    </row>
    <row r="1007" spans="1:14" x14ac:dyDescent="0.25">
      <c r="A1007" s="13">
        <f t="shared" si="23"/>
        <v>27</v>
      </c>
      <c r="B1007" s="17"/>
      <c r="C1007" s="17"/>
      <c r="D1007" s="18"/>
      <c r="E1007" s="44"/>
      <c r="F1007" s="19"/>
      <c r="G1007" s="36"/>
      <c r="H1007" s="21"/>
      <c r="I1007" s="22"/>
      <c r="J1007" s="23"/>
      <c r="N1007" s="27"/>
    </row>
    <row r="1008" spans="1:14" x14ac:dyDescent="0.25">
      <c r="A1008" s="13">
        <f t="shared" si="23"/>
        <v>27</v>
      </c>
      <c r="B1008" s="17"/>
      <c r="C1008" s="17"/>
      <c r="D1008" s="18"/>
      <c r="E1008" s="11"/>
      <c r="F1008" s="19"/>
      <c r="G1008" s="36"/>
      <c r="H1008" s="21"/>
      <c r="I1008" s="22"/>
      <c r="J1008" s="23"/>
      <c r="N1008" s="27"/>
    </row>
    <row r="1009" spans="1:14" x14ac:dyDescent="0.25">
      <c r="A1009" s="13">
        <f t="shared" si="23"/>
        <v>27</v>
      </c>
      <c r="B1009" s="17"/>
      <c r="C1009" s="17"/>
      <c r="D1009" s="18"/>
      <c r="E1009" s="11"/>
      <c r="F1009" s="19"/>
      <c r="G1009" s="36"/>
      <c r="H1009" s="21"/>
      <c r="I1009" s="22"/>
      <c r="J1009" s="23"/>
      <c r="N1009" s="27"/>
    </row>
    <row r="1010" spans="1:14" x14ac:dyDescent="0.25">
      <c r="A1010" s="13">
        <f t="shared" si="23"/>
        <v>27</v>
      </c>
      <c r="B1010" s="17"/>
      <c r="C1010" s="17"/>
      <c r="D1010" s="18"/>
      <c r="E1010" s="11"/>
      <c r="F1010" s="19"/>
      <c r="G1010" s="36"/>
      <c r="H1010" s="21"/>
      <c r="I1010" s="22"/>
      <c r="J1010" s="23"/>
      <c r="N1010" s="27"/>
    </row>
    <row r="1011" spans="1:14" x14ac:dyDescent="0.25">
      <c r="A1011" s="13">
        <f t="shared" si="23"/>
        <v>27</v>
      </c>
      <c r="B1011" s="17"/>
      <c r="C1011" s="17"/>
      <c r="D1011" s="18"/>
      <c r="E1011" s="11"/>
      <c r="F1011" s="19"/>
      <c r="G1011" s="36"/>
      <c r="H1011" s="21"/>
      <c r="I1011" s="22"/>
      <c r="J1011" s="23"/>
      <c r="N1011" s="27"/>
    </row>
    <row r="1012" spans="1:14" x14ac:dyDescent="0.25">
      <c r="A1012" s="13">
        <f t="shared" si="23"/>
        <v>27</v>
      </c>
      <c r="B1012" s="17"/>
      <c r="C1012" s="17"/>
      <c r="D1012" s="18"/>
      <c r="E1012" s="11"/>
      <c r="F1012" s="19"/>
      <c r="G1012" s="36"/>
      <c r="H1012" s="21"/>
      <c r="I1012" s="22"/>
      <c r="J1012" s="23"/>
      <c r="N1012" s="27"/>
    </row>
    <row r="1013" spans="1:14" x14ac:dyDescent="0.25">
      <c r="A1013" s="13">
        <f t="shared" si="23"/>
        <v>27</v>
      </c>
      <c r="B1013" s="17"/>
      <c r="C1013" s="17"/>
      <c r="D1013" s="18"/>
      <c r="E1013" s="11"/>
      <c r="F1013" s="19"/>
      <c r="G1013" s="36"/>
      <c r="H1013" s="21"/>
      <c r="I1013" s="22"/>
      <c r="J1013" s="23"/>
      <c r="N1013" s="27"/>
    </row>
    <row r="1014" spans="1:14" x14ac:dyDescent="0.25">
      <c r="A1014" s="13">
        <f t="shared" si="23"/>
        <v>27</v>
      </c>
      <c r="B1014" s="17"/>
      <c r="C1014" s="17"/>
      <c r="D1014" s="18"/>
      <c r="E1014" s="11"/>
      <c r="F1014" s="19"/>
      <c r="G1014" s="36"/>
      <c r="H1014" s="21"/>
      <c r="I1014" s="22"/>
      <c r="J1014" s="23"/>
      <c r="N1014" s="27"/>
    </row>
    <row r="1015" spans="1:14" x14ac:dyDescent="0.25">
      <c r="A1015" s="13">
        <f t="shared" si="23"/>
        <v>27</v>
      </c>
      <c r="B1015" s="17"/>
      <c r="C1015" s="17"/>
      <c r="D1015" s="18"/>
      <c r="E1015" s="11"/>
      <c r="F1015" s="19"/>
      <c r="G1015" s="36"/>
      <c r="H1015" s="21"/>
      <c r="I1015" s="22"/>
      <c r="J1015" s="23"/>
      <c r="N1015" s="27"/>
    </row>
    <row r="1016" spans="1:14" x14ac:dyDescent="0.25">
      <c r="A1016" s="13">
        <f t="shared" si="23"/>
        <v>27</v>
      </c>
      <c r="B1016" s="17"/>
      <c r="C1016" s="17"/>
      <c r="D1016" s="18"/>
      <c r="E1016" s="11"/>
      <c r="F1016" s="19"/>
      <c r="G1016" s="36"/>
      <c r="H1016" s="21"/>
      <c r="I1016" s="22"/>
      <c r="J1016" s="23"/>
      <c r="N1016" s="27"/>
    </row>
    <row r="1017" spans="1:14" x14ac:dyDescent="0.25">
      <c r="A1017" s="13">
        <f t="shared" si="23"/>
        <v>27</v>
      </c>
      <c r="B1017" s="17"/>
      <c r="C1017" s="17"/>
      <c r="D1017" s="18"/>
      <c r="E1017" s="11"/>
      <c r="F1017" s="19"/>
      <c r="G1017" s="36"/>
      <c r="H1017" s="21"/>
      <c r="I1017" s="22"/>
      <c r="J1017" s="23"/>
      <c r="N1017" s="27"/>
    </row>
    <row r="1018" spans="1:14" x14ac:dyDescent="0.25">
      <c r="A1018" s="13">
        <f t="shared" si="23"/>
        <v>27</v>
      </c>
      <c r="B1018" s="17"/>
      <c r="C1018" s="17"/>
      <c r="D1018" s="18"/>
      <c r="E1018" s="11"/>
      <c r="F1018" s="19"/>
      <c r="G1018" s="36"/>
      <c r="H1018" s="21"/>
      <c r="I1018" s="22"/>
      <c r="J1018" s="23"/>
      <c r="N1018" s="27"/>
    </row>
    <row r="1019" spans="1:14" x14ac:dyDescent="0.25">
      <c r="A1019" s="13">
        <f t="shared" si="23"/>
        <v>27</v>
      </c>
      <c r="B1019" s="17"/>
      <c r="C1019" s="17"/>
      <c r="D1019" s="18"/>
      <c r="E1019" s="11"/>
      <c r="F1019" s="19"/>
      <c r="G1019" s="36"/>
      <c r="H1019" s="21"/>
      <c r="I1019" s="22"/>
      <c r="J1019" s="23"/>
      <c r="N1019" s="27"/>
    </row>
    <row r="1020" spans="1:14" x14ac:dyDescent="0.25">
      <c r="A1020" s="13">
        <f t="shared" si="23"/>
        <v>27</v>
      </c>
      <c r="B1020" s="17"/>
      <c r="C1020" s="17"/>
      <c r="D1020" s="18"/>
      <c r="E1020" s="11"/>
      <c r="F1020" s="19"/>
      <c r="G1020" s="36"/>
      <c r="H1020" s="21"/>
      <c r="I1020" s="22"/>
      <c r="J1020" s="23"/>
      <c r="N1020" s="27"/>
    </row>
    <row r="1021" spans="1:14" x14ac:dyDescent="0.25">
      <c r="A1021" s="13">
        <f t="shared" si="23"/>
        <v>27</v>
      </c>
      <c r="B1021" s="17"/>
      <c r="C1021" s="17"/>
      <c r="D1021" s="18"/>
      <c r="E1021" s="11"/>
      <c r="F1021" s="19"/>
      <c r="G1021" s="36"/>
      <c r="H1021" s="21"/>
      <c r="I1021" s="22"/>
      <c r="J1021" s="23"/>
      <c r="N1021" s="27"/>
    </row>
    <row r="1022" spans="1:14" x14ac:dyDescent="0.25">
      <c r="A1022" s="13">
        <f t="shared" si="23"/>
        <v>27</v>
      </c>
      <c r="B1022" s="17"/>
      <c r="C1022" s="17"/>
      <c r="D1022" s="18"/>
      <c r="E1022" s="11"/>
      <c r="F1022" s="19"/>
      <c r="G1022" s="36"/>
      <c r="H1022" s="21"/>
      <c r="I1022" s="22"/>
      <c r="J1022" s="23"/>
      <c r="N1022" s="27"/>
    </row>
    <row r="1023" spans="1:14" x14ac:dyDescent="0.25">
      <c r="A1023" s="13">
        <f t="shared" si="23"/>
        <v>27</v>
      </c>
      <c r="B1023" s="17"/>
      <c r="C1023" s="17"/>
      <c r="D1023" s="18"/>
      <c r="E1023" s="11"/>
      <c r="F1023" s="19"/>
      <c r="G1023" s="20"/>
      <c r="H1023" s="21"/>
      <c r="I1023" s="45"/>
      <c r="J1023" s="23"/>
      <c r="N1023" s="27"/>
    </row>
    <row r="1024" spans="1:14" x14ac:dyDescent="0.25">
      <c r="A1024" s="13">
        <f t="shared" si="23"/>
        <v>27</v>
      </c>
      <c r="B1024" s="17"/>
      <c r="C1024" s="17"/>
      <c r="D1024" s="18"/>
      <c r="E1024" s="11"/>
      <c r="F1024" s="19"/>
      <c r="G1024" s="20"/>
      <c r="H1024" s="21"/>
      <c r="I1024" s="45"/>
      <c r="J1024" s="23"/>
      <c r="N1024" s="27"/>
    </row>
    <row r="1025" spans="1:14" x14ac:dyDescent="0.25">
      <c r="A1025" s="13">
        <f t="shared" si="23"/>
        <v>27</v>
      </c>
      <c r="B1025" s="17"/>
      <c r="C1025" s="17"/>
      <c r="D1025" s="18"/>
      <c r="E1025" s="11"/>
      <c r="F1025" s="19"/>
      <c r="G1025" s="20"/>
      <c r="H1025" s="21"/>
      <c r="I1025" s="45"/>
      <c r="J1025" s="23"/>
      <c r="N1025" s="27"/>
    </row>
    <row r="1026" spans="1:14" x14ac:dyDescent="0.25">
      <c r="A1026" s="13">
        <f t="shared" ref="A1026:A1089" si="24">IF(B1123=B1122,A1025,A1025+1)</f>
        <v>27</v>
      </c>
      <c r="B1026" s="17"/>
      <c r="C1026" s="17"/>
      <c r="D1026" s="18"/>
      <c r="E1026" s="11"/>
      <c r="F1026" s="19"/>
      <c r="G1026" s="36"/>
      <c r="H1026" s="21"/>
      <c r="I1026" s="45"/>
      <c r="J1026" s="23"/>
      <c r="N1026" s="27"/>
    </row>
    <row r="1027" spans="1:14" x14ac:dyDescent="0.25">
      <c r="A1027" s="13">
        <f t="shared" si="24"/>
        <v>27</v>
      </c>
      <c r="B1027" s="17"/>
      <c r="C1027" s="17"/>
      <c r="D1027" s="18"/>
      <c r="E1027" s="11"/>
      <c r="F1027" s="19"/>
      <c r="G1027" s="36"/>
      <c r="H1027" s="21"/>
      <c r="I1027" s="45"/>
      <c r="J1027" s="23"/>
      <c r="N1027" s="27"/>
    </row>
    <row r="1028" spans="1:14" x14ac:dyDescent="0.25">
      <c r="A1028" s="13">
        <f t="shared" si="24"/>
        <v>27</v>
      </c>
      <c r="B1028" s="17"/>
      <c r="C1028" s="17"/>
      <c r="D1028" s="18"/>
      <c r="E1028" s="11"/>
      <c r="F1028" s="19"/>
      <c r="G1028" s="36"/>
      <c r="H1028" s="21"/>
      <c r="I1028" s="45"/>
      <c r="J1028" s="23"/>
      <c r="N1028" s="27"/>
    </row>
    <row r="1029" spans="1:14" x14ac:dyDescent="0.25">
      <c r="A1029" s="13">
        <f t="shared" si="24"/>
        <v>27</v>
      </c>
      <c r="B1029" s="17"/>
      <c r="C1029" s="17"/>
      <c r="D1029" s="18"/>
      <c r="E1029" s="11"/>
      <c r="F1029" s="19"/>
      <c r="G1029" s="36"/>
      <c r="H1029" s="21"/>
      <c r="I1029" s="45"/>
      <c r="J1029" s="23"/>
      <c r="N1029" s="27"/>
    </row>
    <row r="1030" spans="1:14" x14ac:dyDescent="0.25">
      <c r="A1030" s="13">
        <f t="shared" si="24"/>
        <v>27</v>
      </c>
      <c r="J1030" s="24"/>
      <c r="N1030" s="27"/>
    </row>
    <row r="1031" spans="1:14" x14ac:dyDescent="0.25">
      <c r="A1031" s="13">
        <f t="shared" si="24"/>
        <v>27</v>
      </c>
      <c r="J1031" s="24"/>
      <c r="N1031" s="27"/>
    </row>
    <row r="1032" spans="1:14" x14ac:dyDescent="0.25">
      <c r="A1032" s="13">
        <f t="shared" si="24"/>
        <v>27</v>
      </c>
      <c r="J1032" s="24"/>
      <c r="N1032" s="27"/>
    </row>
    <row r="1033" spans="1:14" x14ac:dyDescent="0.25">
      <c r="A1033" s="13">
        <f t="shared" si="24"/>
        <v>27</v>
      </c>
      <c r="J1033" s="24"/>
      <c r="N1033" s="27"/>
    </row>
    <row r="1034" spans="1:14" x14ac:dyDescent="0.25">
      <c r="A1034" s="13">
        <f t="shared" si="24"/>
        <v>27</v>
      </c>
      <c r="J1034" s="24"/>
      <c r="N1034" s="27"/>
    </row>
    <row r="1035" spans="1:14" x14ac:dyDescent="0.25">
      <c r="A1035" s="13">
        <f t="shared" si="24"/>
        <v>27</v>
      </c>
      <c r="J1035" s="24"/>
      <c r="N1035" s="27"/>
    </row>
    <row r="1036" spans="1:14" x14ac:dyDescent="0.25">
      <c r="A1036" s="13">
        <f t="shared" si="24"/>
        <v>27</v>
      </c>
      <c r="J1036" s="24"/>
      <c r="N1036" s="27"/>
    </row>
    <row r="1037" spans="1:14" x14ac:dyDescent="0.25">
      <c r="A1037" s="13">
        <f t="shared" si="24"/>
        <v>27</v>
      </c>
      <c r="J1037" s="24"/>
      <c r="N1037" s="27"/>
    </row>
    <row r="1038" spans="1:14" x14ac:dyDescent="0.25">
      <c r="A1038" s="13">
        <f t="shared" si="24"/>
        <v>27</v>
      </c>
      <c r="J1038" s="24"/>
      <c r="N1038" s="27"/>
    </row>
    <row r="1039" spans="1:14" x14ac:dyDescent="0.25">
      <c r="A1039" s="13">
        <f t="shared" si="24"/>
        <v>27</v>
      </c>
      <c r="J1039" s="24"/>
      <c r="N1039" s="27"/>
    </row>
    <row r="1040" spans="1:14" x14ac:dyDescent="0.25">
      <c r="A1040" s="13">
        <f t="shared" si="24"/>
        <v>27</v>
      </c>
      <c r="J1040" s="24"/>
      <c r="N1040" s="27"/>
    </row>
    <row r="1041" spans="1:14" x14ac:dyDescent="0.25">
      <c r="A1041" s="13">
        <f t="shared" si="24"/>
        <v>27</v>
      </c>
      <c r="J1041" s="24"/>
      <c r="N1041" s="27"/>
    </row>
    <row r="1042" spans="1:14" x14ac:dyDescent="0.25">
      <c r="A1042" s="13">
        <f t="shared" si="24"/>
        <v>27</v>
      </c>
      <c r="J1042" s="24"/>
      <c r="N1042" s="27"/>
    </row>
    <row r="1043" spans="1:14" x14ac:dyDescent="0.25">
      <c r="A1043" s="13">
        <f t="shared" si="24"/>
        <v>27</v>
      </c>
      <c r="J1043" s="24"/>
      <c r="N1043" s="27"/>
    </row>
    <row r="1044" spans="1:14" x14ac:dyDescent="0.25">
      <c r="A1044" s="13">
        <f t="shared" si="24"/>
        <v>27</v>
      </c>
      <c r="J1044" s="24"/>
      <c r="N1044" s="27"/>
    </row>
    <row r="1045" spans="1:14" x14ac:dyDescent="0.25">
      <c r="A1045" s="13">
        <f t="shared" si="24"/>
        <v>27</v>
      </c>
      <c r="J1045" s="24"/>
      <c r="N1045" s="27"/>
    </row>
    <row r="1046" spans="1:14" x14ac:dyDescent="0.25">
      <c r="A1046" s="13">
        <f t="shared" si="24"/>
        <v>27</v>
      </c>
      <c r="J1046" s="24"/>
      <c r="N1046" s="27"/>
    </row>
    <row r="1047" spans="1:14" x14ac:dyDescent="0.25">
      <c r="A1047" s="13">
        <f t="shared" si="24"/>
        <v>27</v>
      </c>
      <c r="J1047" s="24"/>
      <c r="N1047" s="27"/>
    </row>
    <row r="1048" spans="1:14" x14ac:dyDescent="0.25">
      <c r="A1048" s="13">
        <f t="shared" si="24"/>
        <v>27</v>
      </c>
      <c r="J1048" s="24"/>
      <c r="N1048" s="27"/>
    </row>
    <row r="1049" spans="1:14" x14ac:dyDescent="0.25">
      <c r="A1049" s="13">
        <f t="shared" si="24"/>
        <v>27</v>
      </c>
      <c r="J1049" s="24"/>
      <c r="N1049" s="27"/>
    </row>
    <row r="1050" spans="1:14" x14ac:dyDescent="0.25">
      <c r="A1050" s="13">
        <f t="shared" si="24"/>
        <v>27</v>
      </c>
      <c r="J1050" s="24"/>
      <c r="N1050" s="27"/>
    </row>
    <row r="1051" spans="1:14" x14ac:dyDescent="0.25">
      <c r="A1051" s="13">
        <f t="shared" si="24"/>
        <v>27</v>
      </c>
      <c r="J1051" s="24"/>
      <c r="N1051" s="27"/>
    </row>
    <row r="1052" spans="1:14" x14ac:dyDescent="0.25">
      <c r="A1052" s="13">
        <f t="shared" si="24"/>
        <v>27</v>
      </c>
      <c r="J1052" s="24"/>
      <c r="N1052" s="27"/>
    </row>
    <row r="1053" spans="1:14" x14ac:dyDescent="0.25">
      <c r="A1053" s="13">
        <f t="shared" si="24"/>
        <v>27</v>
      </c>
      <c r="J1053" s="24"/>
      <c r="N1053" s="27"/>
    </row>
    <row r="1054" spans="1:14" x14ac:dyDescent="0.25">
      <c r="A1054" s="13">
        <f t="shared" si="24"/>
        <v>27</v>
      </c>
      <c r="J1054" s="24"/>
      <c r="N1054" s="27"/>
    </row>
    <row r="1055" spans="1:14" x14ac:dyDescent="0.25">
      <c r="A1055" s="13">
        <f t="shared" si="24"/>
        <v>27</v>
      </c>
      <c r="J1055" s="24"/>
      <c r="N1055" s="27"/>
    </row>
    <row r="1056" spans="1:14" x14ac:dyDescent="0.25">
      <c r="A1056" s="13">
        <f t="shared" si="24"/>
        <v>27</v>
      </c>
      <c r="J1056" s="24"/>
      <c r="N1056" s="27"/>
    </row>
    <row r="1057" spans="1:14" x14ac:dyDescent="0.25">
      <c r="A1057" s="13">
        <f t="shared" si="24"/>
        <v>27</v>
      </c>
      <c r="J1057" s="24"/>
      <c r="N1057" s="27"/>
    </row>
    <row r="1058" spans="1:14" x14ac:dyDescent="0.25">
      <c r="A1058" s="13">
        <f t="shared" si="24"/>
        <v>27</v>
      </c>
      <c r="J1058" s="24"/>
      <c r="N1058" s="27"/>
    </row>
    <row r="1059" spans="1:14" x14ac:dyDescent="0.25">
      <c r="A1059" s="13">
        <f t="shared" si="24"/>
        <v>27</v>
      </c>
      <c r="J1059" s="24"/>
      <c r="N1059" s="27"/>
    </row>
    <row r="1060" spans="1:14" x14ac:dyDescent="0.25">
      <c r="A1060" s="13">
        <f t="shared" si="24"/>
        <v>27</v>
      </c>
      <c r="J1060" s="24"/>
      <c r="N1060" s="27"/>
    </row>
    <row r="1061" spans="1:14" x14ac:dyDescent="0.25">
      <c r="A1061" s="13">
        <f t="shared" si="24"/>
        <v>27</v>
      </c>
      <c r="J1061" s="24"/>
      <c r="N1061" s="27"/>
    </row>
    <row r="1062" spans="1:14" x14ac:dyDescent="0.25">
      <c r="A1062" s="13">
        <f t="shared" si="24"/>
        <v>27</v>
      </c>
      <c r="J1062" s="24"/>
      <c r="N1062" s="27"/>
    </row>
    <row r="1063" spans="1:14" x14ac:dyDescent="0.25">
      <c r="A1063" s="13">
        <f t="shared" si="24"/>
        <v>27</v>
      </c>
      <c r="J1063" s="24"/>
      <c r="N1063" s="27"/>
    </row>
    <row r="1064" spans="1:14" x14ac:dyDescent="0.25">
      <c r="A1064" s="13">
        <f t="shared" si="24"/>
        <v>27</v>
      </c>
      <c r="J1064" s="24"/>
      <c r="N1064" s="27"/>
    </row>
    <row r="1065" spans="1:14" x14ac:dyDescent="0.25">
      <c r="A1065" s="13">
        <f t="shared" si="24"/>
        <v>27</v>
      </c>
      <c r="J1065" s="24"/>
      <c r="N1065" s="27"/>
    </row>
    <row r="1066" spans="1:14" x14ac:dyDescent="0.25">
      <c r="A1066" s="13">
        <f t="shared" si="24"/>
        <v>27</v>
      </c>
      <c r="J1066" s="24"/>
      <c r="N1066" s="27"/>
    </row>
    <row r="1067" spans="1:14" x14ac:dyDescent="0.25">
      <c r="A1067" s="13">
        <f t="shared" si="24"/>
        <v>27</v>
      </c>
      <c r="J1067" s="24"/>
      <c r="N1067" s="27"/>
    </row>
    <row r="1068" spans="1:14" x14ac:dyDescent="0.25">
      <c r="A1068" s="13">
        <f t="shared" si="24"/>
        <v>27</v>
      </c>
      <c r="J1068" s="24"/>
      <c r="N1068" s="27"/>
    </row>
    <row r="1069" spans="1:14" x14ac:dyDescent="0.25">
      <c r="A1069" s="13">
        <f t="shared" si="24"/>
        <v>27</v>
      </c>
      <c r="J1069" s="24"/>
      <c r="N1069" s="27"/>
    </row>
    <row r="1070" spans="1:14" x14ac:dyDescent="0.25">
      <c r="A1070" s="13">
        <f t="shared" si="24"/>
        <v>27</v>
      </c>
      <c r="J1070" s="24"/>
      <c r="N1070" s="27"/>
    </row>
    <row r="1071" spans="1:14" x14ac:dyDescent="0.25">
      <c r="A1071" s="13">
        <f t="shared" si="24"/>
        <v>27</v>
      </c>
      <c r="J1071" s="24"/>
      <c r="N1071" s="27"/>
    </row>
    <row r="1072" spans="1:14" x14ac:dyDescent="0.25">
      <c r="A1072" s="13">
        <f t="shared" si="24"/>
        <v>27</v>
      </c>
      <c r="J1072" s="24"/>
      <c r="N1072" s="27"/>
    </row>
    <row r="1073" spans="1:14" x14ac:dyDescent="0.25">
      <c r="A1073" s="13">
        <f t="shared" si="24"/>
        <v>27</v>
      </c>
      <c r="J1073" s="24"/>
      <c r="N1073" s="27"/>
    </row>
    <row r="1074" spans="1:14" x14ac:dyDescent="0.25">
      <c r="A1074" s="13">
        <f t="shared" si="24"/>
        <v>27</v>
      </c>
      <c r="J1074" s="24"/>
      <c r="N1074" s="27"/>
    </row>
    <row r="1075" spans="1:14" x14ac:dyDescent="0.25">
      <c r="A1075" s="13">
        <f t="shared" si="24"/>
        <v>27</v>
      </c>
      <c r="J1075" s="24"/>
      <c r="N1075" s="27"/>
    </row>
    <row r="1076" spans="1:14" x14ac:dyDescent="0.25">
      <c r="A1076" s="13">
        <f t="shared" si="24"/>
        <v>27</v>
      </c>
      <c r="J1076" s="24"/>
      <c r="N1076" s="27"/>
    </row>
    <row r="1077" spans="1:14" x14ac:dyDescent="0.25">
      <c r="A1077" s="13">
        <f t="shared" si="24"/>
        <v>27</v>
      </c>
      <c r="J1077" s="24"/>
      <c r="N1077" s="27"/>
    </row>
    <row r="1078" spans="1:14" x14ac:dyDescent="0.25">
      <c r="A1078" s="13">
        <f t="shared" si="24"/>
        <v>27</v>
      </c>
      <c r="J1078" s="24"/>
      <c r="N1078" s="27"/>
    </row>
    <row r="1079" spans="1:14" x14ac:dyDescent="0.25">
      <c r="A1079" s="13">
        <f t="shared" si="24"/>
        <v>27</v>
      </c>
      <c r="J1079" s="24"/>
      <c r="N1079" s="27"/>
    </row>
    <row r="1080" spans="1:14" x14ac:dyDescent="0.25">
      <c r="A1080" s="13">
        <f t="shared" si="24"/>
        <v>27</v>
      </c>
      <c r="J1080" s="24"/>
      <c r="N1080" s="27"/>
    </row>
    <row r="1081" spans="1:14" x14ac:dyDescent="0.25">
      <c r="A1081" s="13">
        <f t="shared" si="24"/>
        <v>27</v>
      </c>
      <c r="J1081" s="24"/>
      <c r="N1081" s="27"/>
    </row>
    <row r="1082" spans="1:14" x14ac:dyDescent="0.25">
      <c r="A1082" s="13">
        <f t="shared" si="24"/>
        <v>27</v>
      </c>
      <c r="J1082" s="24"/>
      <c r="N1082" s="27"/>
    </row>
    <row r="1083" spans="1:14" x14ac:dyDescent="0.25">
      <c r="A1083" s="13">
        <f t="shared" si="24"/>
        <v>27</v>
      </c>
      <c r="J1083" s="24"/>
      <c r="N1083" s="27"/>
    </row>
    <row r="1084" spans="1:14" x14ac:dyDescent="0.25">
      <c r="A1084" s="13">
        <f t="shared" si="24"/>
        <v>27</v>
      </c>
      <c r="J1084" s="24"/>
      <c r="N1084" s="27"/>
    </row>
    <row r="1085" spans="1:14" x14ac:dyDescent="0.25">
      <c r="A1085" s="13">
        <f t="shared" si="24"/>
        <v>27</v>
      </c>
      <c r="J1085" s="24"/>
      <c r="N1085" s="27"/>
    </row>
    <row r="1086" spans="1:14" x14ac:dyDescent="0.25">
      <c r="A1086" s="13">
        <f t="shared" si="24"/>
        <v>27</v>
      </c>
      <c r="J1086" s="24"/>
      <c r="N1086" s="27"/>
    </row>
    <row r="1087" spans="1:14" x14ac:dyDescent="0.25">
      <c r="A1087" s="13">
        <f t="shared" si="24"/>
        <v>27</v>
      </c>
      <c r="J1087" s="24"/>
      <c r="N1087" s="27"/>
    </row>
    <row r="1088" spans="1:14" x14ac:dyDescent="0.25">
      <c r="A1088" s="13">
        <f t="shared" si="24"/>
        <v>27</v>
      </c>
      <c r="J1088" s="24"/>
      <c r="N1088" s="27"/>
    </row>
    <row r="1089" spans="1:14" x14ac:dyDescent="0.25">
      <c r="A1089" s="13">
        <f t="shared" si="24"/>
        <v>27</v>
      </c>
      <c r="J1089" s="24"/>
      <c r="N1089" s="27"/>
    </row>
    <row r="1090" spans="1:14" x14ac:dyDescent="0.25">
      <c r="A1090" s="13">
        <f t="shared" ref="A1090:A1153" si="25">IF(B1187=B1186,A1089,A1089+1)</f>
        <v>27</v>
      </c>
      <c r="J1090" s="24"/>
      <c r="N1090" s="27"/>
    </row>
    <row r="1091" spans="1:14" x14ac:dyDescent="0.25">
      <c r="A1091" s="13">
        <f t="shared" si="25"/>
        <v>27</v>
      </c>
      <c r="J1091" s="24"/>
      <c r="N1091" s="27"/>
    </row>
    <row r="1092" spans="1:14" x14ac:dyDescent="0.25">
      <c r="A1092" s="13">
        <f t="shared" si="25"/>
        <v>27</v>
      </c>
      <c r="J1092" s="24"/>
      <c r="N1092" s="27"/>
    </row>
    <row r="1093" spans="1:14" x14ac:dyDescent="0.25">
      <c r="A1093" s="13">
        <f t="shared" si="25"/>
        <v>27</v>
      </c>
      <c r="J1093" s="24"/>
      <c r="N1093" s="27"/>
    </row>
    <row r="1094" spans="1:14" x14ac:dyDescent="0.25">
      <c r="A1094" s="13">
        <f t="shared" si="25"/>
        <v>27</v>
      </c>
      <c r="J1094" s="24"/>
      <c r="N1094" s="27"/>
    </row>
    <row r="1095" spans="1:14" x14ac:dyDescent="0.25">
      <c r="A1095" s="13">
        <f t="shared" si="25"/>
        <v>27</v>
      </c>
      <c r="J1095" s="24"/>
      <c r="N1095" s="27"/>
    </row>
    <row r="1096" spans="1:14" x14ac:dyDescent="0.25">
      <c r="A1096" s="13">
        <f t="shared" si="25"/>
        <v>27</v>
      </c>
      <c r="J1096" s="24"/>
      <c r="N1096" s="27"/>
    </row>
    <row r="1097" spans="1:14" x14ac:dyDescent="0.25">
      <c r="A1097" s="13">
        <f t="shared" si="25"/>
        <v>27</v>
      </c>
      <c r="J1097" s="24"/>
      <c r="N1097" s="27"/>
    </row>
    <row r="1098" spans="1:14" x14ac:dyDescent="0.25">
      <c r="A1098" s="13">
        <f t="shared" si="25"/>
        <v>27</v>
      </c>
      <c r="J1098" s="24"/>
      <c r="N1098" s="27"/>
    </row>
    <row r="1099" spans="1:14" x14ac:dyDescent="0.25">
      <c r="A1099" s="13">
        <f t="shared" si="25"/>
        <v>27</v>
      </c>
      <c r="J1099" s="24"/>
      <c r="N1099" s="27"/>
    </row>
    <row r="1100" spans="1:14" x14ac:dyDescent="0.25">
      <c r="A1100" s="13">
        <f t="shared" si="25"/>
        <v>27</v>
      </c>
      <c r="J1100" s="24"/>
      <c r="N1100" s="27"/>
    </row>
    <row r="1101" spans="1:14" x14ac:dyDescent="0.25">
      <c r="A1101" s="13">
        <f t="shared" si="25"/>
        <v>27</v>
      </c>
      <c r="J1101" s="24"/>
      <c r="N1101" s="27"/>
    </row>
    <row r="1102" spans="1:14" x14ac:dyDescent="0.25">
      <c r="A1102" s="13">
        <f t="shared" si="25"/>
        <v>27</v>
      </c>
      <c r="J1102" s="24"/>
      <c r="N1102" s="27"/>
    </row>
    <row r="1103" spans="1:14" x14ac:dyDescent="0.25">
      <c r="A1103" s="13">
        <f t="shared" si="25"/>
        <v>27</v>
      </c>
      <c r="J1103" s="24"/>
      <c r="N1103" s="27"/>
    </row>
    <row r="1104" spans="1:14" x14ac:dyDescent="0.25">
      <c r="A1104" s="13">
        <f t="shared" si="25"/>
        <v>27</v>
      </c>
      <c r="J1104" s="24"/>
      <c r="N1104" s="27"/>
    </row>
    <row r="1105" spans="1:14" x14ac:dyDescent="0.25">
      <c r="A1105" s="13">
        <f t="shared" si="25"/>
        <v>27</v>
      </c>
      <c r="J1105" s="24"/>
      <c r="N1105" s="27"/>
    </row>
    <row r="1106" spans="1:14" x14ac:dyDescent="0.25">
      <c r="A1106" s="13">
        <f t="shared" si="25"/>
        <v>27</v>
      </c>
      <c r="J1106" s="24"/>
      <c r="N1106" s="27"/>
    </row>
    <row r="1107" spans="1:14" x14ac:dyDescent="0.25">
      <c r="A1107" s="13">
        <f t="shared" si="25"/>
        <v>27</v>
      </c>
      <c r="J1107" s="24"/>
      <c r="N1107" s="27"/>
    </row>
    <row r="1108" spans="1:14" x14ac:dyDescent="0.25">
      <c r="A1108" s="13">
        <f t="shared" si="25"/>
        <v>27</v>
      </c>
      <c r="J1108" s="24"/>
      <c r="N1108" s="27"/>
    </row>
    <row r="1109" spans="1:14" x14ac:dyDescent="0.25">
      <c r="A1109" s="13">
        <f t="shared" si="25"/>
        <v>27</v>
      </c>
      <c r="J1109" s="24"/>
      <c r="N1109" s="27"/>
    </row>
    <row r="1110" spans="1:14" x14ac:dyDescent="0.25">
      <c r="A1110" s="13">
        <f t="shared" si="25"/>
        <v>27</v>
      </c>
      <c r="J1110" s="24"/>
      <c r="N1110" s="27"/>
    </row>
    <row r="1111" spans="1:14" x14ac:dyDescent="0.25">
      <c r="A1111" s="13">
        <f t="shared" si="25"/>
        <v>27</v>
      </c>
      <c r="J1111" s="24"/>
      <c r="N1111" s="27"/>
    </row>
    <row r="1112" spans="1:14" x14ac:dyDescent="0.25">
      <c r="A1112" s="13">
        <f t="shared" si="25"/>
        <v>27</v>
      </c>
      <c r="J1112" s="24"/>
      <c r="N1112" s="27"/>
    </row>
    <row r="1113" spans="1:14" x14ac:dyDescent="0.25">
      <c r="A1113" s="13">
        <f t="shared" si="25"/>
        <v>27</v>
      </c>
      <c r="J1113" s="24"/>
      <c r="N1113" s="27"/>
    </row>
    <row r="1114" spans="1:14" x14ac:dyDescent="0.25">
      <c r="A1114" s="13">
        <f t="shared" si="25"/>
        <v>27</v>
      </c>
      <c r="J1114" s="24"/>
      <c r="N1114" s="27"/>
    </row>
    <row r="1115" spans="1:14" x14ac:dyDescent="0.25">
      <c r="A1115" s="13">
        <f t="shared" si="25"/>
        <v>27</v>
      </c>
      <c r="J1115" s="24"/>
      <c r="N1115" s="27"/>
    </row>
    <row r="1116" spans="1:14" x14ac:dyDescent="0.25">
      <c r="A1116" s="13">
        <f t="shared" si="25"/>
        <v>27</v>
      </c>
      <c r="J1116" s="24"/>
      <c r="N1116" s="27"/>
    </row>
    <row r="1117" spans="1:14" x14ac:dyDescent="0.25">
      <c r="A1117" s="13">
        <f t="shared" si="25"/>
        <v>27</v>
      </c>
      <c r="J1117" s="24"/>
      <c r="N1117" s="27"/>
    </row>
    <row r="1118" spans="1:14" x14ac:dyDescent="0.25">
      <c r="A1118" s="13">
        <f t="shared" si="25"/>
        <v>27</v>
      </c>
      <c r="J1118" s="24"/>
      <c r="N1118" s="27"/>
    </row>
    <row r="1119" spans="1:14" x14ac:dyDescent="0.25">
      <c r="A1119" s="13">
        <f t="shared" si="25"/>
        <v>27</v>
      </c>
      <c r="J1119" s="24"/>
      <c r="N1119" s="27"/>
    </row>
    <row r="1120" spans="1:14" x14ac:dyDescent="0.25">
      <c r="A1120" s="13">
        <f t="shared" si="25"/>
        <v>27</v>
      </c>
      <c r="J1120" s="24"/>
      <c r="N1120" s="27"/>
    </row>
    <row r="1121" spans="1:14" x14ac:dyDescent="0.25">
      <c r="A1121" s="13">
        <f t="shared" si="25"/>
        <v>27</v>
      </c>
      <c r="J1121" s="24"/>
      <c r="N1121" s="27"/>
    </row>
    <row r="1122" spans="1:14" x14ac:dyDescent="0.25">
      <c r="A1122" s="13">
        <f t="shared" si="25"/>
        <v>27</v>
      </c>
      <c r="J1122" s="24"/>
      <c r="N1122" s="27"/>
    </row>
    <row r="1123" spans="1:14" x14ac:dyDescent="0.25">
      <c r="A1123" s="13">
        <f t="shared" si="25"/>
        <v>27</v>
      </c>
      <c r="J1123" s="24"/>
      <c r="N1123" s="27"/>
    </row>
    <row r="1124" spans="1:14" x14ac:dyDescent="0.25">
      <c r="A1124" s="13">
        <f t="shared" si="25"/>
        <v>27</v>
      </c>
      <c r="J1124" s="24"/>
      <c r="N1124" s="27"/>
    </row>
    <row r="1125" spans="1:14" x14ac:dyDescent="0.25">
      <c r="A1125" s="13">
        <f t="shared" si="25"/>
        <v>27</v>
      </c>
      <c r="J1125" s="24"/>
      <c r="N1125" s="27"/>
    </row>
    <row r="1126" spans="1:14" x14ac:dyDescent="0.25">
      <c r="A1126" s="13">
        <f t="shared" si="25"/>
        <v>27</v>
      </c>
      <c r="J1126" s="24"/>
      <c r="N1126" s="27"/>
    </row>
    <row r="1127" spans="1:14" x14ac:dyDescent="0.25">
      <c r="A1127" s="13">
        <f t="shared" si="25"/>
        <v>27</v>
      </c>
      <c r="J1127" s="24"/>
      <c r="N1127" s="27"/>
    </row>
    <row r="1128" spans="1:14" x14ac:dyDescent="0.25">
      <c r="A1128" s="13">
        <f t="shared" si="25"/>
        <v>27</v>
      </c>
      <c r="J1128" s="24"/>
      <c r="N1128" s="27"/>
    </row>
    <row r="1129" spans="1:14" x14ac:dyDescent="0.25">
      <c r="A1129" s="13">
        <f t="shared" si="25"/>
        <v>27</v>
      </c>
      <c r="J1129" s="24"/>
      <c r="N1129" s="27"/>
    </row>
    <row r="1130" spans="1:14" x14ac:dyDescent="0.25">
      <c r="A1130" s="13">
        <f t="shared" si="25"/>
        <v>27</v>
      </c>
      <c r="J1130" s="24"/>
      <c r="N1130" s="27"/>
    </row>
    <row r="1131" spans="1:14" x14ac:dyDescent="0.25">
      <c r="A1131" s="13">
        <f t="shared" si="25"/>
        <v>27</v>
      </c>
      <c r="J1131" s="24"/>
      <c r="N1131" s="27"/>
    </row>
    <row r="1132" spans="1:14" x14ac:dyDescent="0.25">
      <c r="A1132" s="13">
        <f t="shared" si="25"/>
        <v>27</v>
      </c>
      <c r="J1132" s="24"/>
      <c r="N1132" s="27"/>
    </row>
    <row r="1133" spans="1:14" x14ac:dyDescent="0.25">
      <c r="A1133" s="13">
        <f t="shared" si="25"/>
        <v>27</v>
      </c>
      <c r="J1133" s="24"/>
      <c r="N1133" s="27"/>
    </row>
    <row r="1134" spans="1:14" x14ac:dyDescent="0.25">
      <c r="A1134" s="13">
        <f t="shared" si="25"/>
        <v>27</v>
      </c>
      <c r="J1134" s="24"/>
      <c r="N1134" s="27"/>
    </row>
    <row r="1135" spans="1:14" x14ac:dyDescent="0.25">
      <c r="A1135" s="13">
        <f t="shared" si="25"/>
        <v>27</v>
      </c>
      <c r="J1135" s="24"/>
      <c r="N1135" s="27"/>
    </row>
    <row r="1136" spans="1:14" x14ac:dyDescent="0.25">
      <c r="A1136" s="13">
        <f t="shared" si="25"/>
        <v>27</v>
      </c>
      <c r="J1136" s="24"/>
      <c r="N1136" s="27"/>
    </row>
    <row r="1137" spans="1:14" x14ac:dyDescent="0.25">
      <c r="A1137" s="13">
        <f t="shared" si="25"/>
        <v>27</v>
      </c>
      <c r="J1137" s="24"/>
      <c r="N1137" s="27"/>
    </row>
    <row r="1138" spans="1:14" x14ac:dyDescent="0.25">
      <c r="A1138" s="13">
        <f t="shared" si="25"/>
        <v>27</v>
      </c>
      <c r="J1138" s="24"/>
      <c r="N1138" s="27"/>
    </row>
    <row r="1139" spans="1:14" x14ac:dyDescent="0.25">
      <c r="A1139" s="13">
        <f t="shared" si="25"/>
        <v>27</v>
      </c>
      <c r="J1139" s="24"/>
      <c r="N1139" s="27"/>
    </row>
    <row r="1140" spans="1:14" x14ac:dyDescent="0.25">
      <c r="A1140" s="13">
        <f t="shared" si="25"/>
        <v>27</v>
      </c>
      <c r="J1140" s="24"/>
      <c r="N1140" s="27"/>
    </row>
    <row r="1141" spans="1:14" x14ac:dyDescent="0.25">
      <c r="A1141" s="13">
        <f t="shared" si="25"/>
        <v>27</v>
      </c>
      <c r="J1141" s="24"/>
      <c r="N1141" s="27"/>
    </row>
    <row r="1142" spans="1:14" x14ac:dyDescent="0.25">
      <c r="A1142" s="13">
        <f t="shared" si="25"/>
        <v>27</v>
      </c>
      <c r="J1142" s="24"/>
      <c r="N1142" s="27"/>
    </row>
    <row r="1143" spans="1:14" x14ac:dyDescent="0.25">
      <c r="A1143" s="13">
        <f t="shared" si="25"/>
        <v>27</v>
      </c>
      <c r="J1143" s="24"/>
      <c r="N1143" s="27"/>
    </row>
    <row r="1144" spans="1:14" x14ac:dyDescent="0.25">
      <c r="A1144" s="13">
        <f t="shared" si="25"/>
        <v>27</v>
      </c>
      <c r="J1144" s="24"/>
      <c r="N1144" s="27"/>
    </row>
    <row r="1145" spans="1:14" x14ac:dyDescent="0.25">
      <c r="A1145" s="13">
        <f t="shared" si="25"/>
        <v>27</v>
      </c>
      <c r="J1145" s="24"/>
      <c r="N1145" s="27"/>
    </row>
    <row r="1146" spans="1:14" x14ac:dyDescent="0.25">
      <c r="A1146" s="13">
        <f t="shared" si="25"/>
        <v>27</v>
      </c>
      <c r="J1146" s="24"/>
      <c r="N1146" s="27"/>
    </row>
    <row r="1147" spans="1:14" x14ac:dyDescent="0.25">
      <c r="A1147" s="13">
        <f t="shared" si="25"/>
        <v>27</v>
      </c>
      <c r="J1147" s="24"/>
      <c r="N1147" s="27"/>
    </row>
    <row r="1148" spans="1:14" x14ac:dyDescent="0.25">
      <c r="A1148" s="13">
        <f t="shared" si="25"/>
        <v>27</v>
      </c>
      <c r="J1148" s="24"/>
      <c r="N1148" s="27"/>
    </row>
    <row r="1149" spans="1:14" x14ac:dyDescent="0.25">
      <c r="A1149" s="13">
        <f t="shared" si="25"/>
        <v>27</v>
      </c>
      <c r="J1149" s="24"/>
      <c r="N1149" s="27"/>
    </row>
    <row r="1150" spans="1:14" x14ac:dyDescent="0.25">
      <c r="A1150" s="13">
        <f t="shared" si="25"/>
        <v>27</v>
      </c>
      <c r="J1150" s="24"/>
      <c r="N1150" s="27"/>
    </row>
    <row r="1151" spans="1:14" x14ac:dyDescent="0.25">
      <c r="A1151" s="13">
        <f t="shared" si="25"/>
        <v>27</v>
      </c>
      <c r="J1151" s="24"/>
      <c r="N1151" s="27"/>
    </row>
    <row r="1152" spans="1:14" x14ac:dyDescent="0.25">
      <c r="A1152" s="13">
        <f t="shared" si="25"/>
        <v>27</v>
      </c>
      <c r="J1152" s="24"/>
      <c r="N1152" s="27"/>
    </row>
    <row r="1153" spans="1:14" x14ac:dyDescent="0.25">
      <c r="A1153" s="13">
        <f t="shared" si="25"/>
        <v>27</v>
      </c>
      <c r="J1153" s="24"/>
      <c r="N1153" s="27"/>
    </row>
    <row r="1154" spans="1:14" x14ac:dyDescent="0.25">
      <c r="A1154" s="13">
        <f t="shared" ref="A1154:A1217" si="26">IF(B1251=B1250,A1153,A1153+1)</f>
        <v>27</v>
      </c>
      <c r="J1154" s="24"/>
      <c r="N1154" s="27"/>
    </row>
    <row r="1155" spans="1:14" x14ac:dyDescent="0.25">
      <c r="A1155" s="13">
        <f t="shared" si="26"/>
        <v>27</v>
      </c>
      <c r="J1155" s="24"/>
      <c r="N1155" s="27"/>
    </row>
    <row r="1156" spans="1:14" x14ac:dyDescent="0.25">
      <c r="A1156" s="13">
        <f t="shared" si="26"/>
        <v>27</v>
      </c>
      <c r="J1156" s="24"/>
      <c r="N1156" s="27"/>
    </row>
    <row r="1157" spans="1:14" x14ac:dyDescent="0.25">
      <c r="A1157" s="13">
        <f t="shared" si="26"/>
        <v>27</v>
      </c>
      <c r="J1157" s="24"/>
      <c r="N1157" s="27"/>
    </row>
    <row r="1158" spans="1:14" x14ac:dyDescent="0.25">
      <c r="A1158" s="13">
        <f t="shared" si="26"/>
        <v>27</v>
      </c>
      <c r="J1158" s="24"/>
      <c r="N1158" s="27"/>
    </row>
    <row r="1159" spans="1:14" x14ac:dyDescent="0.25">
      <c r="A1159" s="13">
        <f t="shared" si="26"/>
        <v>27</v>
      </c>
      <c r="J1159" s="24"/>
      <c r="N1159" s="27"/>
    </row>
    <row r="1160" spans="1:14" x14ac:dyDescent="0.25">
      <c r="A1160" s="13">
        <f t="shared" si="26"/>
        <v>27</v>
      </c>
      <c r="J1160" s="24"/>
      <c r="N1160" s="27"/>
    </row>
    <row r="1161" spans="1:14" x14ac:dyDescent="0.25">
      <c r="A1161" s="13">
        <f t="shared" si="26"/>
        <v>27</v>
      </c>
      <c r="J1161" s="24"/>
      <c r="N1161" s="27"/>
    </row>
    <row r="1162" spans="1:14" x14ac:dyDescent="0.25">
      <c r="A1162" s="13">
        <f t="shared" si="26"/>
        <v>27</v>
      </c>
      <c r="J1162" s="24"/>
      <c r="N1162" s="27"/>
    </row>
    <row r="1163" spans="1:14" x14ac:dyDescent="0.25">
      <c r="A1163" s="13">
        <f t="shared" si="26"/>
        <v>27</v>
      </c>
      <c r="J1163" s="24"/>
      <c r="N1163" s="27"/>
    </row>
    <row r="1164" spans="1:14" x14ac:dyDescent="0.25">
      <c r="A1164" s="13">
        <f t="shared" si="26"/>
        <v>27</v>
      </c>
      <c r="J1164" s="24"/>
      <c r="N1164" s="27"/>
    </row>
    <row r="1165" spans="1:14" x14ac:dyDescent="0.25">
      <c r="A1165" s="13">
        <f t="shared" si="26"/>
        <v>27</v>
      </c>
      <c r="J1165" s="24"/>
      <c r="N1165" s="27"/>
    </row>
    <row r="1166" spans="1:14" x14ac:dyDescent="0.25">
      <c r="A1166" s="13">
        <f t="shared" si="26"/>
        <v>27</v>
      </c>
      <c r="J1166" s="24"/>
      <c r="N1166" s="27"/>
    </row>
    <row r="1167" spans="1:14" x14ac:dyDescent="0.25">
      <c r="A1167" s="13">
        <f t="shared" si="26"/>
        <v>27</v>
      </c>
      <c r="J1167" s="24"/>
      <c r="N1167" s="27"/>
    </row>
    <row r="1168" spans="1:14" x14ac:dyDescent="0.25">
      <c r="A1168" s="13">
        <f t="shared" si="26"/>
        <v>27</v>
      </c>
      <c r="J1168" s="24"/>
      <c r="N1168" s="27"/>
    </row>
    <row r="1169" spans="1:14" x14ac:dyDescent="0.25">
      <c r="A1169" s="13">
        <f t="shared" si="26"/>
        <v>27</v>
      </c>
      <c r="J1169" s="24"/>
      <c r="N1169" s="27"/>
    </row>
    <row r="1170" spans="1:14" x14ac:dyDescent="0.25">
      <c r="A1170" s="13">
        <f t="shared" si="26"/>
        <v>27</v>
      </c>
      <c r="J1170" s="24"/>
      <c r="N1170" s="27"/>
    </row>
    <row r="1171" spans="1:14" x14ac:dyDescent="0.25">
      <c r="A1171" s="13">
        <f t="shared" si="26"/>
        <v>27</v>
      </c>
      <c r="J1171" s="24"/>
      <c r="N1171" s="27"/>
    </row>
    <row r="1172" spans="1:14" x14ac:dyDescent="0.25">
      <c r="A1172" s="13">
        <f t="shared" si="26"/>
        <v>27</v>
      </c>
      <c r="J1172" s="24"/>
      <c r="N1172" s="27"/>
    </row>
    <row r="1173" spans="1:14" x14ac:dyDescent="0.25">
      <c r="A1173" s="13">
        <f t="shared" si="26"/>
        <v>27</v>
      </c>
      <c r="J1173" s="24"/>
      <c r="N1173" s="27"/>
    </row>
    <row r="1174" spans="1:14" x14ac:dyDescent="0.25">
      <c r="A1174" s="13">
        <f t="shared" si="26"/>
        <v>27</v>
      </c>
      <c r="J1174" s="24"/>
      <c r="N1174" s="27"/>
    </row>
    <row r="1175" spans="1:14" x14ac:dyDescent="0.25">
      <c r="A1175" s="13">
        <f t="shared" si="26"/>
        <v>27</v>
      </c>
      <c r="J1175" s="24"/>
      <c r="N1175" s="27"/>
    </row>
    <row r="1176" spans="1:14" x14ac:dyDescent="0.25">
      <c r="A1176" s="13">
        <f t="shared" si="26"/>
        <v>27</v>
      </c>
      <c r="J1176" s="24"/>
      <c r="N1176" s="27"/>
    </row>
    <row r="1177" spans="1:14" x14ac:dyDescent="0.25">
      <c r="A1177" s="13">
        <f t="shared" si="26"/>
        <v>27</v>
      </c>
      <c r="J1177" s="24"/>
      <c r="N1177" s="27"/>
    </row>
    <row r="1178" spans="1:14" x14ac:dyDescent="0.25">
      <c r="A1178" s="13">
        <f t="shared" si="26"/>
        <v>27</v>
      </c>
      <c r="J1178" s="24"/>
      <c r="N1178" s="27"/>
    </row>
    <row r="1179" spans="1:14" x14ac:dyDescent="0.25">
      <c r="A1179" s="13">
        <f t="shared" si="26"/>
        <v>27</v>
      </c>
      <c r="J1179" s="24"/>
      <c r="N1179" s="27"/>
    </row>
    <row r="1180" spans="1:14" x14ac:dyDescent="0.25">
      <c r="A1180" s="13">
        <f t="shared" si="26"/>
        <v>27</v>
      </c>
      <c r="J1180" s="24"/>
      <c r="N1180" s="27"/>
    </row>
    <row r="1181" spans="1:14" x14ac:dyDescent="0.25">
      <c r="A1181" s="13">
        <f t="shared" si="26"/>
        <v>27</v>
      </c>
      <c r="J1181" s="24"/>
      <c r="N1181" s="27"/>
    </row>
    <row r="1182" spans="1:14" x14ac:dyDescent="0.25">
      <c r="A1182" s="13">
        <f t="shared" si="26"/>
        <v>27</v>
      </c>
      <c r="J1182" s="24"/>
      <c r="N1182" s="27"/>
    </row>
    <row r="1183" spans="1:14" x14ac:dyDescent="0.25">
      <c r="A1183" s="13">
        <f t="shared" si="26"/>
        <v>27</v>
      </c>
      <c r="J1183" s="24"/>
      <c r="N1183" s="27"/>
    </row>
    <row r="1184" spans="1:14" x14ac:dyDescent="0.25">
      <c r="A1184" s="13">
        <f t="shared" si="26"/>
        <v>27</v>
      </c>
      <c r="J1184" s="24"/>
      <c r="N1184" s="27"/>
    </row>
    <row r="1185" spans="1:14" x14ac:dyDescent="0.25">
      <c r="A1185" s="13">
        <f t="shared" si="26"/>
        <v>27</v>
      </c>
      <c r="J1185" s="24"/>
      <c r="N1185" s="27"/>
    </row>
    <row r="1186" spans="1:14" x14ac:dyDescent="0.25">
      <c r="A1186" s="13">
        <f t="shared" si="26"/>
        <v>27</v>
      </c>
      <c r="J1186" s="24"/>
      <c r="N1186" s="27"/>
    </row>
    <row r="1187" spans="1:14" x14ac:dyDescent="0.25">
      <c r="A1187" s="13">
        <f t="shared" si="26"/>
        <v>27</v>
      </c>
      <c r="J1187" s="24"/>
      <c r="N1187" s="27"/>
    </row>
    <row r="1188" spans="1:14" x14ac:dyDescent="0.25">
      <c r="A1188" s="13">
        <f t="shared" si="26"/>
        <v>27</v>
      </c>
      <c r="J1188" s="24"/>
      <c r="N1188" s="27"/>
    </row>
    <row r="1189" spans="1:14" x14ac:dyDescent="0.25">
      <c r="A1189" s="13">
        <f t="shared" si="26"/>
        <v>27</v>
      </c>
      <c r="J1189" s="24"/>
      <c r="N1189" s="27"/>
    </row>
    <row r="1190" spans="1:14" x14ac:dyDescent="0.25">
      <c r="A1190" s="13">
        <f t="shared" si="26"/>
        <v>27</v>
      </c>
      <c r="J1190" s="24"/>
      <c r="N1190" s="27"/>
    </row>
    <row r="1191" spans="1:14" x14ac:dyDescent="0.25">
      <c r="A1191" s="13">
        <f t="shared" si="26"/>
        <v>27</v>
      </c>
      <c r="J1191" s="24"/>
      <c r="N1191" s="27"/>
    </row>
    <row r="1192" spans="1:14" x14ac:dyDescent="0.25">
      <c r="A1192" s="13">
        <f t="shared" si="26"/>
        <v>27</v>
      </c>
      <c r="J1192" s="24"/>
      <c r="N1192" s="27"/>
    </row>
    <row r="1193" spans="1:14" x14ac:dyDescent="0.25">
      <c r="A1193" s="13">
        <f t="shared" si="26"/>
        <v>27</v>
      </c>
      <c r="J1193" s="24"/>
      <c r="N1193" s="27"/>
    </row>
    <row r="1194" spans="1:14" x14ac:dyDescent="0.25">
      <c r="A1194" s="13">
        <f t="shared" si="26"/>
        <v>27</v>
      </c>
      <c r="J1194" s="24"/>
      <c r="N1194" s="27"/>
    </row>
    <row r="1195" spans="1:14" x14ac:dyDescent="0.25">
      <c r="A1195" s="13">
        <f t="shared" si="26"/>
        <v>27</v>
      </c>
      <c r="J1195" s="24"/>
      <c r="N1195" s="27"/>
    </row>
    <row r="1196" spans="1:14" x14ac:dyDescent="0.25">
      <c r="A1196" s="13">
        <f t="shared" si="26"/>
        <v>27</v>
      </c>
      <c r="J1196" s="24"/>
      <c r="N1196" s="27"/>
    </row>
    <row r="1197" spans="1:14" x14ac:dyDescent="0.25">
      <c r="A1197" s="13">
        <f t="shared" si="26"/>
        <v>27</v>
      </c>
      <c r="J1197" s="24"/>
      <c r="N1197" s="27"/>
    </row>
    <row r="1198" spans="1:14" x14ac:dyDescent="0.25">
      <c r="A1198" s="13">
        <f t="shared" si="26"/>
        <v>27</v>
      </c>
      <c r="J1198" s="24"/>
      <c r="N1198" s="27"/>
    </row>
    <row r="1199" spans="1:14" x14ac:dyDescent="0.25">
      <c r="A1199" s="13">
        <f t="shared" si="26"/>
        <v>27</v>
      </c>
      <c r="J1199" s="24"/>
      <c r="N1199" s="27"/>
    </row>
    <row r="1200" spans="1:14" x14ac:dyDescent="0.25">
      <c r="A1200" s="13">
        <f t="shared" si="26"/>
        <v>27</v>
      </c>
      <c r="J1200" s="24"/>
      <c r="N1200" s="27"/>
    </row>
    <row r="1201" spans="1:14" x14ac:dyDescent="0.25">
      <c r="A1201" s="13">
        <f t="shared" si="26"/>
        <v>27</v>
      </c>
      <c r="J1201" s="24"/>
      <c r="N1201" s="27"/>
    </row>
    <row r="1202" spans="1:14" x14ac:dyDescent="0.25">
      <c r="A1202" s="13">
        <f t="shared" si="26"/>
        <v>27</v>
      </c>
      <c r="J1202" s="24"/>
      <c r="N1202" s="27"/>
    </row>
    <row r="1203" spans="1:14" x14ac:dyDescent="0.25">
      <c r="A1203" s="13">
        <f t="shared" si="26"/>
        <v>27</v>
      </c>
      <c r="J1203" s="24"/>
      <c r="N1203" s="27"/>
    </row>
    <row r="1204" spans="1:14" x14ac:dyDescent="0.25">
      <c r="A1204" s="13">
        <f t="shared" si="26"/>
        <v>27</v>
      </c>
      <c r="J1204" s="24"/>
      <c r="N1204" s="27"/>
    </row>
    <row r="1205" spans="1:14" x14ac:dyDescent="0.25">
      <c r="A1205" s="13">
        <f t="shared" si="26"/>
        <v>27</v>
      </c>
      <c r="J1205" s="24"/>
      <c r="N1205" s="27"/>
    </row>
    <row r="1206" spans="1:14" x14ac:dyDescent="0.25">
      <c r="A1206" s="13">
        <f t="shared" si="26"/>
        <v>27</v>
      </c>
      <c r="J1206" s="24"/>
      <c r="N1206" s="27"/>
    </row>
    <row r="1207" spans="1:14" x14ac:dyDescent="0.25">
      <c r="A1207" s="13">
        <f t="shared" si="26"/>
        <v>27</v>
      </c>
      <c r="J1207" s="24"/>
      <c r="N1207" s="27"/>
    </row>
    <row r="1208" spans="1:14" x14ac:dyDescent="0.25">
      <c r="A1208" s="13">
        <f t="shared" si="26"/>
        <v>27</v>
      </c>
      <c r="J1208" s="24"/>
      <c r="N1208" s="27"/>
    </row>
    <row r="1209" spans="1:14" x14ac:dyDescent="0.25">
      <c r="A1209" s="13">
        <f t="shared" si="26"/>
        <v>27</v>
      </c>
      <c r="J1209" s="24"/>
      <c r="N1209" s="27"/>
    </row>
    <row r="1210" spans="1:14" x14ac:dyDescent="0.25">
      <c r="A1210" s="13">
        <f t="shared" si="26"/>
        <v>27</v>
      </c>
      <c r="J1210" s="24"/>
      <c r="N1210" s="27"/>
    </row>
    <row r="1211" spans="1:14" x14ac:dyDescent="0.25">
      <c r="A1211" s="13">
        <f t="shared" si="26"/>
        <v>27</v>
      </c>
      <c r="J1211" s="24"/>
      <c r="N1211" s="27"/>
    </row>
    <row r="1212" spans="1:14" x14ac:dyDescent="0.25">
      <c r="A1212" s="13">
        <f t="shared" si="26"/>
        <v>27</v>
      </c>
      <c r="J1212" s="24"/>
      <c r="N1212" s="27"/>
    </row>
    <row r="1213" spans="1:14" x14ac:dyDescent="0.25">
      <c r="A1213" s="13">
        <f t="shared" si="26"/>
        <v>27</v>
      </c>
      <c r="J1213" s="24"/>
      <c r="N1213" s="27"/>
    </row>
    <row r="1214" spans="1:14" x14ac:dyDescent="0.25">
      <c r="A1214" s="13">
        <f t="shared" si="26"/>
        <v>27</v>
      </c>
      <c r="J1214" s="24"/>
      <c r="N1214" s="27"/>
    </row>
    <row r="1215" spans="1:14" x14ac:dyDescent="0.25">
      <c r="A1215" s="13">
        <f t="shared" si="26"/>
        <v>27</v>
      </c>
      <c r="J1215" s="24"/>
    </row>
    <row r="1216" spans="1:14" x14ac:dyDescent="0.25">
      <c r="A1216" s="13">
        <f t="shared" si="26"/>
        <v>27</v>
      </c>
      <c r="J1216" s="24"/>
    </row>
    <row r="1217" spans="1:10" x14ac:dyDescent="0.25">
      <c r="A1217" s="13">
        <f t="shared" si="26"/>
        <v>27</v>
      </c>
      <c r="J1217" s="24"/>
    </row>
    <row r="1218" spans="1:10" x14ac:dyDescent="0.25">
      <c r="A1218" s="13">
        <f t="shared" ref="A1218:A1281" si="27">IF(B1315=B1314,A1217,A1217+1)</f>
        <v>27</v>
      </c>
      <c r="J1218" s="24"/>
    </row>
    <row r="1219" spans="1:10" x14ac:dyDescent="0.25">
      <c r="A1219" s="13">
        <f t="shared" si="27"/>
        <v>27</v>
      </c>
      <c r="J1219" s="24"/>
    </row>
    <row r="1220" spans="1:10" x14ac:dyDescent="0.25">
      <c r="A1220" s="13">
        <f t="shared" si="27"/>
        <v>27</v>
      </c>
      <c r="J1220" s="24"/>
    </row>
    <row r="1221" spans="1:10" x14ac:dyDescent="0.25">
      <c r="A1221" s="13">
        <f t="shared" si="27"/>
        <v>27</v>
      </c>
      <c r="J1221" s="24"/>
    </row>
    <row r="1222" spans="1:10" x14ac:dyDescent="0.25">
      <c r="A1222" s="13">
        <f t="shared" si="27"/>
        <v>27</v>
      </c>
      <c r="J1222" s="24"/>
    </row>
    <row r="1223" spans="1:10" x14ac:dyDescent="0.25">
      <c r="A1223" s="13">
        <f t="shared" si="27"/>
        <v>27</v>
      </c>
      <c r="J1223" s="24"/>
    </row>
    <row r="1224" spans="1:10" x14ac:dyDescent="0.25">
      <c r="A1224" s="13">
        <f t="shared" si="27"/>
        <v>27</v>
      </c>
      <c r="J1224" s="24"/>
    </row>
    <row r="1225" spans="1:10" x14ac:dyDescent="0.25">
      <c r="A1225" s="13">
        <f t="shared" si="27"/>
        <v>27</v>
      </c>
      <c r="J1225" s="24"/>
    </row>
    <row r="1226" spans="1:10" x14ac:dyDescent="0.25">
      <c r="A1226" s="13">
        <f t="shared" si="27"/>
        <v>27</v>
      </c>
      <c r="J1226" s="24"/>
    </row>
    <row r="1227" spans="1:10" x14ac:dyDescent="0.25">
      <c r="A1227" s="13">
        <f t="shared" si="27"/>
        <v>27</v>
      </c>
      <c r="J1227" s="24"/>
    </row>
    <row r="1228" spans="1:10" x14ac:dyDescent="0.25">
      <c r="A1228" s="13">
        <f t="shared" si="27"/>
        <v>27</v>
      </c>
      <c r="J1228" s="24"/>
    </row>
    <row r="1229" spans="1:10" x14ac:dyDescent="0.25">
      <c r="A1229" s="13">
        <f t="shared" si="27"/>
        <v>27</v>
      </c>
      <c r="J1229" s="24"/>
    </row>
    <row r="1230" spans="1:10" x14ac:dyDescent="0.25">
      <c r="A1230" s="13">
        <f t="shared" si="27"/>
        <v>27</v>
      </c>
      <c r="J1230" s="24"/>
    </row>
    <row r="1231" spans="1:10" x14ac:dyDescent="0.25">
      <c r="A1231" s="13">
        <f t="shared" si="27"/>
        <v>27</v>
      </c>
      <c r="J1231" s="24"/>
    </row>
    <row r="1232" spans="1:10" x14ac:dyDescent="0.25">
      <c r="A1232" s="13">
        <f t="shared" si="27"/>
        <v>27</v>
      </c>
      <c r="J1232" s="24"/>
    </row>
    <row r="1233" spans="1:10" x14ac:dyDescent="0.25">
      <c r="A1233" s="13">
        <f t="shared" si="27"/>
        <v>27</v>
      </c>
      <c r="J1233" s="24"/>
    </row>
    <row r="1234" spans="1:10" x14ac:dyDescent="0.25">
      <c r="A1234" s="13">
        <f t="shared" si="27"/>
        <v>27</v>
      </c>
      <c r="J1234" s="24"/>
    </row>
    <row r="1235" spans="1:10" x14ac:dyDescent="0.25">
      <c r="A1235" s="13">
        <f t="shared" si="27"/>
        <v>27</v>
      </c>
      <c r="J1235" s="24"/>
    </row>
    <row r="1236" spans="1:10" x14ac:dyDescent="0.25">
      <c r="A1236" s="13">
        <f t="shared" si="27"/>
        <v>27</v>
      </c>
      <c r="J1236" s="24"/>
    </row>
    <row r="1237" spans="1:10" x14ac:dyDescent="0.25">
      <c r="A1237" s="13">
        <f t="shared" si="27"/>
        <v>27</v>
      </c>
      <c r="J1237" s="24"/>
    </row>
    <row r="1238" spans="1:10" x14ac:dyDescent="0.25">
      <c r="A1238" s="13">
        <f t="shared" si="27"/>
        <v>27</v>
      </c>
      <c r="J1238" s="24"/>
    </row>
    <row r="1239" spans="1:10" x14ac:dyDescent="0.25">
      <c r="A1239" s="13">
        <f t="shared" si="27"/>
        <v>27</v>
      </c>
      <c r="J1239" s="24"/>
    </row>
    <row r="1240" spans="1:10" x14ac:dyDescent="0.25">
      <c r="A1240" s="13">
        <f t="shared" si="27"/>
        <v>27</v>
      </c>
      <c r="J1240" s="24"/>
    </row>
    <row r="1241" spans="1:10" x14ac:dyDescent="0.25">
      <c r="A1241" s="13">
        <f t="shared" si="27"/>
        <v>27</v>
      </c>
      <c r="J1241" s="24"/>
    </row>
    <row r="1242" spans="1:10" x14ac:dyDescent="0.25">
      <c r="A1242" s="13">
        <f t="shared" si="27"/>
        <v>27</v>
      </c>
      <c r="J1242" s="24"/>
    </row>
    <row r="1243" spans="1:10" x14ac:dyDescent="0.25">
      <c r="A1243" s="13">
        <f t="shared" si="27"/>
        <v>27</v>
      </c>
      <c r="J1243" s="24"/>
    </row>
    <row r="1244" spans="1:10" x14ac:dyDescent="0.25">
      <c r="A1244" s="13">
        <f t="shared" si="27"/>
        <v>27</v>
      </c>
      <c r="J1244" s="24"/>
    </row>
    <row r="1245" spans="1:10" x14ac:dyDescent="0.25">
      <c r="A1245" s="13">
        <f t="shared" si="27"/>
        <v>27</v>
      </c>
      <c r="J1245" s="24"/>
    </row>
    <row r="1246" spans="1:10" x14ac:dyDescent="0.25">
      <c r="A1246" s="13">
        <f t="shared" si="27"/>
        <v>27</v>
      </c>
      <c r="J1246" s="24"/>
    </row>
    <row r="1247" spans="1:10" x14ac:dyDescent="0.25">
      <c r="A1247" s="13">
        <f t="shared" si="27"/>
        <v>27</v>
      </c>
      <c r="J1247" s="24"/>
    </row>
    <row r="1248" spans="1:10" x14ac:dyDescent="0.25">
      <c r="A1248" s="13">
        <f t="shared" si="27"/>
        <v>27</v>
      </c>
      <c r="J1248" s="24"/>
    </row>
    <row r="1249" spans="1:10" x14ac:dyDescent="0.25">
      <c r="A1249" s="13">
        <f t="shared" si="27"/>
        <v>27</v>
      </c>
      <c r="J1249" s="24"/>
    </row>
    <row r="1250" spans="1:10" x14ac:dyDescent="0.25">
      <c r="A1250" s="13">
        <f t="shared" si="27"/>
        <v>27</v>
      </c>
      <c r="J1250" s="24"/>
    </row>
    <row r="1251" spans="1:10" x14ac:dyDescent="0.25">
      <c r="A1251" s="13">
        <f t="shared" si="27"/>
        <v>27</v>
      </c>
      <c r="J1251" s="24"/>
    </row>
    <row r="1252" spans="1:10" x14ac:dyDescent="0.25">
      <c r="A1252" s="13">
        <f t="shared" si="27"/>
        <v>27</v>
      </c>
      <c r="J1252" s="24"/>
    </row>
    <row r="1253" spans="1:10" x14ac:dyDescent="0.25">
      <c r="A1253" s="13">
        <f t="shared" si="27"/>
        <v>27</v>
      </c>
      <c r="J1253" s="24"/>
    </row>
    <row r="1254" spans="1:10" x14ac:dyDescent="0.25">
      <c r="A1254" s="13">
        <f t="shared" si="27"/>
        <v>27</v>
      </c>
      <c r="J1254" s="24"/>
    </row>
    <row r="1255" spans="1:10" x14ac:dyDescent="0.25">
      <c r="A1255" s="13">
        <f t="shared" si="27"/>
        <v>27</v>
      </c>
      <c r="J1255" s="24"/>
    </row>
    <row r="1256" spans="1:10" x14ac:dyDescent="0.25">
      <c r="A1256" s="13">
        <f t="shared" si="27"/>
        <v>27</v>
      </c>
      <c r="J1256" s="24"/>
    </row>
    <row r="1257" spans="1:10" x14ac:dyDescent="0.25">
      <c r="A1257" s="13">
        <f t="shared" si="27"/>
        <v>27</v>
      </c>
      <c r="J1257" s="24"/>
    </row>
    <row r="1258" spans="1:10" x14ac:dyDescent="0.25">
      <c r="A1258" s="13">
        <f t="shared" si="27"/>
        <v>27</v>
      </c>
      <c r="J1258" s="24"/>
    </row>
    <row r="1259" spans="1:10" x14ac:dyDescent="0.25">
      <c r="A1259" s="13">
        <f t="shared" si="27"/>
        <v>27</v>
      </c>
      <c r="J1259" s="24"/>
    </row>
    <row r="1260" spans="1:10" x14ac:dyDescent="0.25">
      <c r="A1260" s="13">
        <f t="shared" si="27"/>
        <v>27</v>
      </c>
      <c r="J1260" s="24"/>
    </row>
    <row r="1261" spans="1:10" x14ac:dyDescent="0.25">
      <c r="A1261" s="13">
        <f t="shared" si="27"/>
        <v>27</v>
      </c>
      <c r="J1261" s="24"/>
    </row>
    <row r="1262" spans="1:10" x14ac:dyDescent="0.25">
      <c r="A1262" s="13">
        <f t="shared" si="27"/>
        <v>27</v>
      </c>
      <c r="J1262" s="24"/>
    </row>
    <row r="1263" spans="1:10" x14ac:dyDescent="0.25">
      <c r="A1263" s="13">
        <f t="shared" si="27"/>
        <v>27</v>
      </c>
      <c r="J1263" s="24"/>
    </row>
    <row r="1264" spans="1:10" x14ac:dyDescent="0.25">
      <c r="A1264" s="13">
        <f t="shared" si="27"/>
        <v>27</v>
      </c>
      <c r="J1264" s="24"/>
    </row>
    <row r="1265" spans="1:10" x14ac:dyDescent="0.25">
      <c r="A1265" s="13">
        <f t="shared" si="27"/>
        <v>27</v>
      </c>
      <c r="J1265" s="24"/>
    </row>
    <row r="1266" spans="1:10" x14ac:dyDescent="0.25">
      <c r="A1266" s="13">
        <f t="shared" si="27"/>
        <v>27</v>
      </c>
      <c r="J1266" s="24"/>
    </row>
    <row r="1267" spans="1:10" x14ac:dyDescent="0.25">
      <c r="A1267" s="13">
        <f t="shared" si="27"/>
        <v>27</v>
      </c>
      <c r="J1267" s="24"/>
    </row>
    <row r="1268" spans="1:10" x14ac:dyDescent="0.25">
      <c r="A1268" s="13">
        <f t="shared" si="27"/>
        <v>27</v>
      </c>
      <c r="J1268" s="24"/>
    </row>
    <row r="1269" spans="1:10" x14ac:dyDescent="0.25">
      <c r="A1269" s="13">
        <f t="shared" si="27"/>
        <v>27</v>
      </c>
      <c r="J1269" s="24"/>
    </row>
    <row r="1270" spans="1:10" x14ac:dyDescent="0.25">
      <c r="A1270" s="13">
        <f t="shared" si="27"/>
        <v>27</v>
      </c>
      <c r="J1270" s="24"/>
    </row>
    <row r="1271" spans="1:10" x14ac:dyDescent="0.25">
      <c r="A1271" s="13">
        <f t="shared" si="27"/>
        <v>27</v>
      </c>
      <c r="J1271" s="24"/>
    </row>
    <row r="1272" spans="1:10" x14ac:dyDescent="0.25">
      <c r="A1272" s="13">
        <f t="shared" si="27"/>
        <v>27</v>
      </c>
      <c r="J1272" s="24"/>
    </row>
    <row r="1273" spans="1:10" x14ac:dyDescent="0.25">
      <c r="A1273" s="13">
        <f t="shared" si="27"/>
        <v>27</v>
      </c>
      <c r="J1273" s="24"/>
    </row>
    <row r="1274" spans="1:10" x14ac:dyDescent="0.25">
      <c r="A1274" s="13">
        <f t="shared" si="27"/>
        <v>27</v>
      </c>
      <c r="J1274" s="24"/>
    </row>
    <row r="1275" spans="1:10" x14ac:dyDescent="0.25">
      <c r="A1275" s="13">
        <f t="shared" si="27"/>
        <v>27</v>
      </c>
      <c r="J1275" s="24"/>
    </row>
    <row r="1276" spans="1:10" x14ac:dyDescent="0.25">
      <c r="A1276" s="13">
        <f t="shared" si="27"/>
        <v>27</v>
      </c>
      <c r="J1276" s="24"/>
    </row>
    <row r="1277" spans="1:10" x14ac:dyDescent="0.25">
      <c r="A1277" s="13">
        <f t="shared" si="27"/>
        <v>27</v>
      </c>
      <c r="J1277" s="24"/>
    </row>
    <row r="1278" spans="1:10" x14ac:dyDescent="0.25">
      <c r="A1278" s="13">
        <f t="shared" si="27"/>
        <v>27</v>
      </c>
      <c r="J1278" s="24"/>
    </row>
    <row r="1279" spans="1:10" x14ac:dyDescent="0.25">
      <c r="A1279" s="13">
        <f t="shared" si="27"/>
        <v>27</v>
      </c>
      <c r="J1279" s="24"/>
    </row>
    <row r="1280" spans="1:10" x14ac:dyDescent="0.25">
      <c r="A1280" s="13">
        <f t="shared" si="27"/>
        <v>27</v>
      </c>
      <c r="J1280" s="24"/>
    </row>
    <row r="1281" spans="1:10" x14ac:dyDescent="0.25">
      <c r="A1281" s="13">
        <f t="shared" si="27"/>
        <v>27</v>
      </c>
      <c r="J1281" s="24"/>
    </row>
    <row r="1282" spans="1:10" x14ac:dyDescent="0.25">
      <c r="A1282" s="13">
        <f t="shared" ref="A1282:A1345" si="28">IF(B1379=B1378,A1281,A1281+1)</f>
        <v>27</v>
      </c>
      <c r="J1282" s="24"/>
    </row>
    <row r="1283" spans="1:10" x14ac:dyDescent="0.25">
      <c r="A1283" s="13">
        <f t="shared" si="28"/>
        <v>27</v>
      </c>
      <c r="J1283" s="24"/>
    </row>
    <row r="1284" spans="1:10" x14ac:dyDescent="0.25">
      <c r="A1284" s="13">
        <f t="shared" si="28"/>
        <v>27</v>
      </c>
      <c r="J1284" s="24"/>
    </row>
    <row r="1285" spans="1:10" x14ac:dyDescent="0.25">
      <c r="A1285" s="13">
        <f t="shared" si="28"/>
        <v>27</v>
      </c>
      <c r="J1285" s="24"/>
    </row>
    <row r="1286" spans="1:10" x14ac:dyDescent="0.25">
      <c r="A1286" s="13">
        <f t="shared" si="28"/>
        <v>27</v>
      </c>
      <c r="J1286" s="24"/>
    </row>
    <row r="1287" spans="1:10" x14ac:dyDescent="0.25">
      <c r="A1287" s="13">
        <f t="shared" si="28"/>
        <v>27</v>
      </c>
      <c r="J1287" s="24"/>
    </row>
    <row r="1288" spans="1:10" x14ac:dyDescent="0.25">
      <c r="A1288" s="13">
        <f t="shared" si="28"/>
        <v>27</v>
      </c>
      <c r="J1288" s="24"/>
    </row>
    <row r="1289" spans="1:10" x14ac:dyDescent="0.25">
      <c r="A1289" s="13">
        <f t="shared" si="28"/>
        <v>27</v>
      </c>
      <c r="J1289" s="24"/>
    </row>
    <row r="1290" spans="1:10" x14ac:dyDescent="0.25">
      <c r="A1290" s="13">
        <f t="shared" si="28"/>
        <v>27</v>
      </c>
      <c r="J1290" s="24"/>
    </row>
    <row r="1291" spans="1:10" x14ac:dyDescent="0.25">
      <c r="A1291" s="13">
        <f t="shared" si="28"/>
        <v>27</v>
      </c>
      <c r="J1291" s="24"/>
    </row>
    <row r="1292" spans="1:10" x14ac:dyDescent="0.25">
      <c r="A1292" s="13">
        <f t="shared" si="28"/>
        <v>27</v>
      </c>
      <c r="J1292" s="24"/>
    </row>
    <row r="1293" spans="1:10" x14ac:dyDescent="0.25">
      <c r="A1293" s="13">
        <f t="shared" si="28"/>
        <v>27</v>
      </c>
      <c r="J1293" s="24"/>
    </row>
    <row r="1294" spans="1:10" x14ac:dyDescent="0.25">
      <c r="A1294" s="13">
        <f t="shared" si="28"/>
        <v>27</v>
      </c>
      <c r="J1294" s="24"/>
    </row>
    <row r="1295" spans="1:10" x14ac:dyDescent="0.25">
      <c r="A1295" s="13">
        <f t="shared" si="28"/>
        <v>27</v>
      </c>
      <c r="J1295" s="24"/>
    </row>
    <row r="1296" spans="1:10" x14ac:dyDescent="0.25">
      <c r="A1296" s="13">
        <f t="shared" si="28"/>
        <v>27</v>
      </c>
      <c r="J1296" s="24"/>
    </row>
    <row r="1297" spans="1:10" x14ac:dyDescent="0.25">
      <c r="A1297" s="13">
        <f t="shared" si="28"/>
        <v>27</v>
      </c>
      <c r="J1297" s="24"/>
    </row>
    <row r="1298" spans="1:10" x14ac:dyDescent="0.25">
      <c r="A1298" s="13">
        <f t="shared" si="28"/>
        <v>27</v>
      </c>
      <c r="J1298" s="24"/>
    </row>
    <row r="1299" spans="1:10" x14ac:dyDescent="0.25">
      <c r="A1299" s="13">
        <f t="shared" si="28"/>
        <v>27</v>
      </c>
      <c r="J1299" s="24"/>
    </row>
    <row r="1300" spans="1:10" x14ac:dyDescent="0.25">
      <c r="A1300" s="13">
        <f t="shared" si="28"/>
        <v>27</v>
      </c>
      <c r="J1300" s="24"/>
    </row>
    <row r="1301" spans="1:10" x14ac:dyDescent="0.25">
      <c r="A1301" s="13">
        <f t="shared" si="28"/>
        <v>27</v>
      </c>
      <c r="J1301" s="24"/>
    </row>
    <row r="1302" spans="1:10" x14ac:dyDescent="0.25">
      <c r="A1302" s="13">
        <f t="shared" si="28"/>
        <v>27</v>
      </c>
      <c r="J1302" s="24"/>
    </row>
    <row r="1303" spans="1:10" x14ac:dyDescent="0.25">
      <c r="A1303" s="13">
        <f t="shared" si="28"/>
        <v>27</v>
      </c>
      <c r="J1303" s="24"/>
    </row>
    <row r="1304" spans="1:10" x14ac:dyDescent="0.25">
      <c r="A1304" s="13">
        <f t="shared" si="28"/>
        <v>27</v>
      </c>
      <c r="J1304" s="24"/>
    </row>
    <row r="1305" spans="1:10" x14ac:dyDescent="0.25">
      <c r="A1305" s="13">
        <f t="shared" si="28"/>
        <v>27</v>
      </c>
      <c r="J1305" s="24"/>
    </row>
    <row r="1306" spans="1:10" x14ac:dyDescent="0.25">
      <c r="A1306" s="13">
        <f t="shared" si="28"/>
        <v>27</v>
      </c>
      <c r="J1306" s="24"/>
    </row>
    <row r="1307" spans="1:10" x14ac:dyDescent="0.25">
      <c r="A1307" s="13">
        <f t="shared" si="28"/>
        <v>27</v>
      </c>
      <c r="J1307" s="24"/>
    </row>
    <row r="1308" spans="1:10" x14ac:dyDescent="0.25">
      <c r="A1308" s="13">
        <f t="shared" si="28"/>
        <v>27</v>
      </c>
      <c r="J1308" s="24"/>
    </row>
    <row r="1309" spans="1:10" x14ac:dyDescent="0.25">
      <c r="A1309" s="13">
        <f t="shared" si="28"/>
        <v>27</v>
      </c>
      <c r="J1309" s="24"/>
    </row>
    <row r="1310" spans="1:10" x14ac:dyDescent="0.25">
      <c r="A1310" s="13">
        <f t="shared" si="28"/>
        <v>27</v>
      </c>
      <c r="J1310" s="24"/>
    </row>
    <row r="1311" spans="1:10" x14ac:dyDescent="0.25">
      <c r="A1311" s="13">
        <f t="shared" si="28"/>
        <v>27</v>
      </c>
      <c r="J1311" s="24"/>
    </row>
    <row r="1312" spans="1:10" x14ac:dyDescent="0.25">
      <c r="A1312" s="13">
        <f t="shared" si="28"/>
        <v>27</v>
      </c>
      <c r="J1312" s="24"/>
    </row>
    <row r="1313" spans="1:10" x14ac:dyDescent="0.25">
      <c r="A1313" s="13">
        <f t="shared" si="28"/>
        <v>27</v>
      </c>
      <c r="J1313" s="24"/>
    </row>
    <row r="1314" spans="1:10" x14ac:dyDescent="0.25">
      <c r="A1314" s="13">
        <f t="shared" si="28"/>
        <v>27</v>
      </c>
      <c r="J1314" s="24"/>
    </row>
    <row r="1315" spans="1:10" x14ac:dyDescent="0.25">
      <c r="A1315" s="13">
        <f t="shared" si="28"/>
        <v>27</v>
      </c>
      <c r="J1315" s="24"/>
    </row>
    <row r="1316" spans="1:10" x14ac:dyDescent="0.25">
      <c r="A1316" s="13">
        <f t="shared" si="28"/>
        <v>27</v>
      </c>
      <c r="J1316" s="24"/>
    </row>
    <row r="1317" spans="1:10" x14ac:dyDescent="0.25">
      <c r="A1317" s="13">
        <f t="shared" si="28"/>
        <v>27</v>
      </c>
      <c r="J1317" s="24"/>
    </row>
    <row r="1318" spans="1:10" x14ac:dyDescent="0.25">
      <c r="A1318" s="13">
        <f t="shared" si="28"/>
        <v>27</v>
      </c>
      <c r="J1318" s="24"/>
    </row>
    <row r="1319" spans="1:10" x14ac:dyDescent="0.25">
      <c r="A1319" s="13">
        <f t="shared" si="28"/>
        <v>27</v>
      </c>
      <c r="J1319" s="24"/>
    </row>
    <row r="1320" spans="1:10" x14ac:dyDescent="0.25">
      <c r="A1320" s="13">
        <f t="shared" si="28"/>
        <v>27</v>
      </c>
      <c r="J1320" s="24"/>
    </row>
    <row r="1321" spans="1:10" x14ac:dyDescent="0.25">
      <c r="A1321" s="13">
        <f t="shared" si="28"/>
        <v>27</v>
      </c>
      <c r="J1321" s="24"/>
    </row>
    <row r="1322" spans="1:10" x14ac:dyDescent="0.25">
      <c r="A1322" s="13">
        <f t="shared" si="28"/>
        <v>27</v>
      </c>
      <c r="J1322" s="24"/>
    </row>
    <row r="1323" spans="1:10" x14ac:dyDescent="0.25">
      <c r="A1323" s="13">
        <f t="shared" si="28"/>
        <v>27</v>
      </c>
      <c r="J1323" s="24"/>
    </row>
    <row r="1324" spans="1:10" x14ac:dyDescent="0.25">
      <c r="A1324" s="13">
        <f t="shared" si="28"/>
        <v>27</v>
      </c>
      <c r="J1324" s="24"/>
    </row>
    <row r="1325" spans="1:10" x14ac:dyDescent="0.25">
      <c r="A1325" s="13">
        <f t="shared" si="28"/>
        <v>27</v>
      </c>
      <c r="J1325" s="24"/>
    </row>
    <row r="1326" spans="1:10" x14ac:dyDescent="0.25">
      <c r="A1326" s="13">
        <f t="shared" si="28"/>
        <v>27</v>
      </c>
      <c r="J1326" s="24"/>
    </row>
    <row r="1327" spans="1:10" x14ac:dyDescent="0.25">
      <c r="A1327" s="13">
        <f t="shared" si="28"/>
        <v>27</v>
      </c>
      <c r="J1327" s="24"/>
    </row>
    <row r="1328" spans="1:10" x14ac:dyDescent="0.25">
      <c r="A1328" s="13">
        <f t="shared" si="28"/>
        <v>27</v>
      </c>
      <c r="J1328" s="24"/>
    </row>
    <row r="1329" spans="1:10" x14ac:dyDescent="0.25">
      <c r="A1329" s="13">
        <f t="shared" si="28"/>
        <v>27</v>
      </c>
      <c r="J1329" s="24"/>
    </row>
    <row r="1330" spans="1:10" x14ac:dyDescent="0.25">
      <c r="A1330" s="13">
        <f t="shared" si="28"/>
        <v>27</v>
      </c>
      <c r="J1330" s="24"/>
    </row>
    <row r="1331" spans="1:10" x14ac:dyDescent="0.25">
      <c r="A1331" s="13">
        <f t="shared" si="28"/>
        <v>27</v>
      </c>
      <c r="J1331" s="24"/>
    </row>
    <row r="1332" spans="1:10" x14ac:dyDescent="0.25">
      <c r="A1332" s="13">
        <f t="shared" si="28"/>
        <v>27</v>
      </c>
      <c r="J1332" s="24"/>
    </row>
    <row r="1333" spans="1:10" x14ac:dyDescent="0.25">
      <c r="A1333" s="13">
        <f t="shared" si="28"/>
        <v>27</v>
      </c>
      <c r="J1333" s="24"/>
    </row>
    <row r="1334" spans="1:10" x14ac:dyDescent="0.25">
      <c r="A1334" s="13">
        <f t="shared" si="28"/>
        <v>27</v>
      </c>
    </row>
    <row r="1335" spans="1:10" x14ac:dyDescent="0.25">
      <c r="A1335" s="13">
        <f t="shared" si="28"/>
        <v>27</v>
      </c>
    </row>
    <row r="1336" spans="1:10" x14ac:dyDescent="0.25">
      <c r="A1336" s="13">
        <f t="shared" si="28"/>
        <v>27</v>
      </c>
    </row>
    <row r="1337" spans="1:10" x14ac:dyDescent="0.25">
      <c r="A1337" s="13">
        <f t="shared" si="28"/>
        <v>27</v>
      </c>
    </row>
    <row r="1338" spans="1:10" x14ac:dyDescent="0.25">
      <c r="A1338" s="13">
        <f t="shared" si="28"/>
        <v>27</v>
      </c>
    </row>
    <row r="1339" spans="1:10" x14ac:dyDescent="0.25">
      <c r="A1339" s="13">
        <f t="shared" si="28"/>
        <v>27</v>
      </c>
    </row>
    <row r="1340" spans="1:10" x14ac:dyDescent="0.25">
      <c r="A1340" s="13">
        <f t="shared" si="28"/>
        <v>27</v>
      </c>
    </row>
    <row r="1341" spans="1:10" x14ac:dyDescent="0.25">
      <c r="A1341" s="13">
        <f t="shared" si="28"/>
        <v>27</v>
      </c>
    </row>
    <row r="1342" spans="1:10" x14ac:dyDescent="0.25">
      <c r="A1342" s="13">
        <f t="shared" si="28"/>
        <v>27</v>
      </c>
    </row>
    <row r="1343" spans="1:10" x14ac:dyDescent="0.25">
      <c r="A1343" s="13">
        <f t="shared" si="28"/>
        <v>27</v>
      </c>
    </row>
    <row r="1344" spans="1:10" x14ac:dyDescent="0.25">
      <c r="A1344" s="13">
        <f t="shared" si="28"/>
        <v>27</v>
      </c>
    </row>
    <row r="1345" spans="1:1" x14ac:dyDescent="0.25">
      <c r="A1345" s="13">
        <f t="shared" si="28"/>
        <v>27</v>
      </c>
    </row>
    <row r="1346" spans="1:1" x14ac:dyDescent="0.25">
      <c r="A1346" s="13">
        <f t="shared" ref="A1346:A1409" si="29">IF(B1443=B1442,A1345,A1345+1)</f>
        <v>27</v>
      </c>
    </row>
    <row r="1347" spans="1:1" x14ac:dyDescent="0.25">
      <c r="A1347" s="13">
        <f t="shared" si="29"/>
        <v>27</v>
      </c>
    </row>
    <row r="1348" spans="1:1" x14ac:dyDescent="0.25">
      <c r="A1348" s="13">
        <f t="shared" si="29"/>
        <v>27</v>
      </c>
    </row>
    <row r="1349" spans="1:1" x14ac:dyDescent="0.25">
      <c r="A1349" s="13">
        <f t="shared" si="29"/>
        <v>27</v>
      </c>
    </row>
    <row r="1350" spans="1:1" x14ac:dyDescent="0.25">
      <c r="A1350" s="13">
        <f t="shared" si="29"/>
        <v>27</v>
      </c>
    </row>
    <row r="1351" spans="1:1" x14ac:dyDescent="0.25">
      <c r="A1351" s="13">
        <f t="shared" si="29"/>
        <v>27</v>
      </c>
    </row>
    <row r="1352" spans="1:1" x14ac:dyDescent="0.25">
      <c r="A1352" s="13">
        <f t="shared" si="29"/>
        <v>27</v>
      </c>
    </row>
    <row r="1353" spans="1:1" x14ac:dyDescent="0.25">
      <c r="A1353" s="13">
        <f t="shared" si="29"/>
        <v>27</v>
      </c>
    </row>
    <row r="1354" spans="1:1" x14ac:dyDescent="0.25">
      <c r="A1354" s="13">
        <f t="shared" si="29"/>
        <v>27</v>
      </c>
    </row>
    <row r="1355" spans="1:1" x14ac:dyDescent="0.25">
      <c r="A1355" s="13">
        <f t="shared" si="29"/>
        <v>27</v>
      </c>
    </row>
    <row r="1356" spans="1:1" x14ac:dyDescent="0.25">
      <c r="A1356" s="13">
        <f t="shared" si="29"/>
        <v>27</v>
      </c>
    </row>
    <row r="1357" spans="1:1" x14ac:dyDescent="0.25">
      <c r="A1357" s="13">
        <f t="shared" si="29"/>
        <v>27</v>
      </c>
    </row>
    <row r="1358" spans="1:1" x14ac:dyDescent="0.25">
      <c r="A1358" s="13">
        <f t="shared" si="29"/>
        <v>27</v>
      </c>
    </row>
    <row r="1359" spans="1:1" x14ac:dyDescent="0.25">
      <c r="A1359" s="13">
        <f t="shared" si="29"/>
        <v>27</v>
      </c>
    </row>
    <row r="1360" spans="1:1" x14ac:dyDescent="0.25">
      <c r="A1360" s="13">
        <f t="shared" si="29"/>
        <v>27</v>
      </c>
    </row>
    <row r="1361" spans="1:1" x14ac:dyDescent="0.25">
      <c r="A1361" s="13">
        <f t="shared" si="29"/>
        <v>27</v>
      </c>
    </row>
    <row r="1362" spans="1:1" x14ac:dyDescent="0.25">
      <c r="A1362" s="13">
        <f t="shared" si="29"/>
        <v>27</v>
      </c>
    </row>
    <row r="1363" spans="1:1" x14ac:dyDescent="0.25">
      <c r="A1363" s="13">
        <f t="shared" si="29"/>
        <v>27</v>
      </c>
    </row>
    <row r="1364" spans="1:1" x14ac:dyDescent="0.25">
      <c r="A1364" s="13">
        <f t="shared" si="29"/>
        <v>27</v>
      </c>
    </row>
    <row r="1365" spans="1:1" x14ac:dyDescent="0.25">
      <c r="A1365" s="13">
        <f t="shared" si="29"/>
        <v>27</v>
      </c>
    </row>
    <row r="1366" spans="1:1" x14ac:dyDescent="0.25">
      <c r="A1366" s="13">
        <f t="shared" si="29"/>
        <v>27</v>
      </c>
    </row>
    <row r="1367" spans="1:1" x14ac:dyDescent="0.25">
      <c r="A1367" s="13">
        <f t="shared" si="29"/>
        <v>27</v>
      </c>
    </row>
    <row r="1368" spans="1:1" x14ac:dyDescent="0.25">
      <c r="A1368" s="13">
        <f t="shared" si="29"/>
        <v>27</v>
      </c>
    </row>
    <row r="1369" spans="1:1" x14ac:dyDescent="0.25">
      <c r="A1369" s="13">
        <f t="shared" si="29"/>
        <v>27</v>
      </c>
    </row>
    <row r="1370" spans="1:1" x14ac:dyDescent="0.25">
      <c r="A1370" s="13">
        <f t="shared" si="29"/>
        <v>27</v>
      </c>
    </row>
    <row r="1371" spans="1:1" x14ac:dyDescent="0.25">
      <c r="A1371" s="13">
        <f t="shared" si="29"/>
        <v>27</v>
      </c>
    </row>
    <row r="1372" spans="1:1" x14ac:dyDescent="0.25">
      <c r="A1372" s="13">
        <f t="shared" si="29"/>
        <v>27</v>
      </c>
    </row>
    <row r="1373" spans="1:1" x14ac:dyDescent="0.25">
      <c r="A1373" s="13">
        <f t="shared" si="29"/>
        <v>27</v>
      </c>
    </row>
    <row r="1374" spans="1:1" x14ac:dyDescent="0.25">
      <c r="A1374" s="13">
        <f t="shared" si="29"/>
        <v>27</v>
      </c>
    </row>
    <row r="1375" spans="1:1" x14ac:dyDescent="0.25">
      <c r="A1375" s="13">
        <f t="shared" si="29"/>
        <v>27</v>
      </c>
    </row>
    <row r="1376" spans="1:1" x14ac:dyDescent="0.25">
      <c r="A1376" s="13">
        <f t="shared" si="29"/>
        <v>27</v>
      </c>
    </row>
    <row r="1377" spans="1:1" x14ac:dyDescent="0.25">
      <c r="A1377" s="13">
        <f t="shared" si="29"/>
        <v>27</v>
      </c>
    </row>
    <row r="1378" spans="1:1" x14ac:dyDescent="0.25">
      <c r="A1378" s="13">
        <f t="shared" si="29"/>
        <v>27</v>
      </c>
    </row>
    <row r="1379" spans="1:1" x14ac:dyDescent="0.25">
      <c r="A1379" s="13">
        <f t="shared" si="29"/>
        <v>27</v>
      </c>
    </row>
    <row r="1380" spans="1:1" x14ac:dyDescent="0.25">
      <c r="A1380" s="13">
        <f t="shared" si="29"/>
        <v>27</v>
      </c>
    </row>
    <row r="1381" spans="1:1" x14ac:dyDescent="0.25">
      <c r="A1381" s="13">
        <f t="shared" si="29"/>
        <v>27</v>
      </c>
    </row>
    <row r="1382" spans="1:1" x14ac:dyDescent="0.25">
      <c r="A1382" s="13">
        <f t="shared" si="29"/>
        <v>27</v>
      </c>
    </row>
    <row r="1383" spans="1:1" x14ac:dyDescent="0.25">
      <c r="A1383" s="13">
        <f t="shared" si="29"/>
        <v>27</v>
      </c>
    </row>
    <row r="1384" spans="1:1" x14ac:dyDescent="0.25">
      <c r="A1384" s="13">
        <f t="shared" si="29"/>
        <v>27</v>
      </c>
    </row>
    <row r="1385" spans="1:1" x14ac:dyDescent="0.25">
      <c r="A1385" s="13">
        <f t="shared" si="29"/>
        <v>27</v>
      </c>
    </row>
    <row r="1386" spans="1:1" x14ac:dyDescent="0.25">
      <c r="A1386" s="13">
        <f t="shared" si="29"/>
        <v>27</v>
      </c>
    </row>
    <row r="1387" spans="1:1" x14ac:dyDescent="0.25">
      <c r="A1387" s="13">
        <f t="shared" si="29"/>
        <v>27</v>
      </c>
    </row>
    <row r="1388" spans="1:1" x14ac:dyDescent="0.25">
      <c r="A1388" s="13">
        <f t="shared" si="29"/>
        <v>27</v>
      </c>
    </row>
    <row r="1389" spans="1:1" x14ac:dyDescent="0.25">
      <c r="A1389" s="13">
        <f t="shared" si="29"/>
        <v>27</v>
      </c>
    </row>
    <row r="1390" spans="1:1" x14ac:dyDescent="0.25">
      <c r="A1390" s="13">
        <f t="shared" si="29"/>
        <v>27</v>
      </c>
    </row>
    <row r="1391" spans="1:1" x14ac:dyDescent="0.25">
      <c r="A1391" s="13">
        <f t="shared" si="29"/>
        <v>27</v>
      </c>
    </row>
    <row r="1392" spans="1:1" x14ac:dyDescent="0.25">
      <c r="A1392" s="13">
        <f t="shared" si="29"/>
        <v>27</v>
      </c>
    </row>
    <row r="1393" spans="1:1" x14ac:dyDescent="0.25">
      <c r="A1393" s="13">
        <f t="shared" si="29"/>
        <v>27</v>
      </c>
    </row>
    <row r="1394" spans="1:1" x14ac:dyDescent="0.25">
      <c r="A1394" s="13">
        <f t="shared" si="29"/>
        <v>27</v>
      </c>
    </row>
    <row r="1395" spans="1:1" x14ac:dyDescent="0.25">
      <c r="A1395" s="13">
        <f t="shared" si="29"/>
        <v>27</v>
      </c>
    </row>
    <row r="1396" spans="1:1" x14ac:dyDescent="0.25">
      <c r="A1396" s="13">
        <f t="shared" si="29"/>
        <v>27</v>
      </c>
    </row>
    <row r="1397" spans="1:1" x14ac:dyDescent="0.25">
      <c r="A1397" s="13">
        <f t="shared" si="29"/>
        <v>27</v>
      </c>
    </row>
    <row r="1398" spans="1:1" x14ac:dyDescent="0.25">
      <c r="A1398" s="13">
        <f t="shared" si="29"/>
        <v>27</v>
      </c>
    </row>
    <row r="1399" spans="1:1" x14ac:dyDescent="0.25">
      <c r="A1399" s="13">
        <f t="shared" si="29"/>
        <v>27</v>
      </c>
    </row>
    <row r="1400" spans="1:1" x14ac:dyDescent="0.25">
      <c r="A1400" s="13">
        <f t="shared" si="29"/>
        <v>27</v>
      </c>
    </row>
    <row r="1401" spans="1:1" x14ac:dyDescent="0.25">
      <c r="A1401" s="13">
        <f t="shared" si="29"/>
        <v>27</v>
      </c>
    </row>
    <row r="1402" spans="1:1" x14ac:dyDescent="0.25">
      <c r="A1402" s="13">
        <f t="shared" si="29"/>
        <v>27</v>
      </c>
    </row>
    <row r="1403" spans="1:1" x14ac:dyDescent="0.25">
      <c r="A1403" s="13">
        <f t="shared" si="29"/>
        <v>27</v>
      </c>
    </row>
    <row r="1404" spans="1:1" x14ac:dyDescent="0.25">
      <c r="A1404" s="13">
        <f t="shared" si="29"/>
        <v>27</v>
      </c>
    </row>
    <row r="1405" spans="1:1" x14ac:dyDescent="0.25">
      <c r="A1405" s="13">
        <f t="shared" si="29"/>
        <v>27</v>
      </c>
    </row>
    <row r="1406" spans="1:1" x14ac:dyDescent="0.25">
      <c r="A1406" s="13">
        <f t="shared" si="29"/>
        <v>27</v>
      </c>
    </row>
    <row r="1407" spans="1:1" x14ac:dyDescent="0.25">
      <c r="A1407" s="13">
        <f t="shared" si="29"/>
        <v>27</v>
      </c>
    </row>
    <row r="1408" spans="1:1" x14ac:dyDescent="0.25">
      <c r="A1408" s="13">
        <f t="shared" si="29"/>
        <v>27</v>
      </c>
    </row>
    <row r="1409" spans="1:1" x14ac:dyDescent="0.25">
      <c r="A1409" s="13">
        <f t="shared" si="29"/>
        <v>27</v>
      </c>
    </row>
    <row r="1410" spans="1:1" x14ac:dyDescent="0.25">
      <c r="A1410" s="13">
        <f t="shared" ref="A1410:A1473" si="30">IF(B1507=B1506,A1409,A1409+1)</f>
        <v>27</v>
      </c>
    </row>
    <row r="1411" spans="1:1" x14ac:dyDescent="0.25">
      <c r="A1411" s="13">
        <f t="shared" si="30"/>
        <v>27</v>
      </c>
    </row>
    <row r="1412" spans="1:1" x14ac:dyDescent="0.25">
      <c r="A1412" s="13">
        <f t="shared" si="30"/>
        <v>27</v>
      </c>
    </row>
    <row r="1413" spans="1:1" x14ac:dyDescent="0.25">
      <c r="A1413" s="13">
        <f t="shared" si="30"/>
        <v>27</v>
      </c>
    </row>
    <row r="1414" spans="1:1" x14ac:dyDescent="0.25">
      <c r="A1414" s="13">
        <f t="shared" si="30"/>
        <v>27</v>
      </c>
    </row>
    <row r="1415" spans="1:1" x14ac:dyDescent="0.25">
      <c r="A1415" s="13">
        <f t="shared" si="30"/>
        <v>27</v>
      </c>
    </row>
    <row r="1416" spans="1:1" x14ac:dyDescent="0.25">
      <c r="A1416" s="13">
        <f t="shared" si="30"/>
        <v>27</v>
      </c>
    </row>
    <row r="1417" spans="1:1" x14ac:dyDescent="0.25">
      <c r="A1417" s="13">
        <f t="shared" si="30"/>
        <v>27</v>
      </c>
    </row>
    <row r="1418" spans="1:1" x14ac:dyDescent="0.25">
      <c r="A1418" s="13">
        <f t="shared" si="30"/>
        <v>27</v>
      </c>
    </row>
    <row r="1419" spans="1:1" x14ac:dyDescent="0.25">
      <c r="A1419" s="13">
        <f t="shared" si="30"/>
        <v>27</v>
      </c>
    </row>
    <row r="1420" spans="1:1" x14ac:dyDescent="0.25">
      <c r="A1420" s="13">
        <f t="shared" si="30"/>
        <v>27</v>
      </c>
    </row>
    <row r="1421" spans="1:1" x14ac:dyDescent="0.25">
      <c r="A1421" s="13">
        <f t="shared" si="30"/>
        <v>27</v>
      </c>
    </row>
    <row r="1422" spans="1:1" x14ac:dyDescent="0.25">
      <c r="A1422" s="13">
        <f t="shared" si="30"/>
        <v>27</v>
      </c>
    </row>
    <row r="1423" spans="1:1" x14ac:dyDescent="0.25">
      <c r="A1423" s="13">
        <f t="shared" si="30"/>
        <v>27</v>
      </c>
    </row>
    <row r="1424" spans="1:1" x14ac:dyDescent="0.25">
      <c r="A1424" s="13">
        <f t="shared" si="30"/>
        <v>27</v>
      </c>
    </row>
    <row r="1425" spans="1:1" x14ac:dyDescent="0.25">
      <c r="A1425" s="13">
        <f t="shared" si="30"/>
        <v>27</v>
      </c>
    </row>
    <row r="1426" spans="1:1" x14ac:dyDescent="0.25">
      <c r="A1426" s="13">
        <f t="shared" si="30"/>
        <v>27</v>
      </c>
    </row>
    <row r="1427" spans="1:1" x14ac:dyDescent="0.25">
      <c r="A1427" s="13">
        <f t="shared" si="30"/>
        <v>27</v>
      </c>
    </row>
    <row r="1428" spans="1:1" x14ac:dyDescent="0.25">
      <c r="A1428" s="13">
        <f t="shared" si="30"/>
        <v>27</v>
      </c>
    </row>
    <row r="1429" spans="1:1" x14ac:dyDescent="0.25">
      <c r="A1429" s="13">
        <f t="shared" si="30"/>
        <v>27</v>
      </c>
    </row>
    <row r="1430" spans="1:1" x14ac:dyDescent="0.25">
      <c r="A1430" s="13">
        <f t="shared" si="30"/>
        <v>27</v>
      </c>
    </row>
    <row r="1431" spans="1:1" x14ac:dyDescent="0.25">
      <c r="A1431" s="13">
        <f t="shared" si="30"/>
        <v>27</v>
      </c>
    </row>
    <row r="1432" spans="1:1" x14ac:dyDescent="0.25">
      <c r="A1432" s="13">
        <f t="shared" si="30"/>
        <v>27</v>
      </c>
    </row>
    <row r="1433" spans="1:1" x14ac:dyDescent="0.25">
      <c r="A1433" s="13">
        <f t="shared" si="30"/>
        <v>27</v>
      </c>
    </row>
    <row r="1434" spans="1:1" x14ac:dyDescent="0.25">
      <c r="A1434" s="13">
        <f t="shared" si="30"/>
        <v>27</v>
      </c>
    </row>
    <row r="1435" spans="1:1" x14ac:dyDescent="0.25">
      <c r="A1435" s="13">
        <f t="shared" si="30"/>
        <v>27</v>
      </c>
    </row>
    <row r="1436" spans="1:1" x14ac:dyDescent="0.25">
      <c r="A1436" s="13">
        <f t="shared" si="30"/>
        <v>27</v>
      </c>
    </row>
    <row r="1437" spans="1:1" x14ac:dyDescent="0.25">
      <c r="A1437" s="13">
        <f t="shared" si="30"/>
        <v>27</v>
      </c>
    </row>
    <row r="1438" spans="1:1" x14ac:dyDescent="0.25">
      <c r="A1438" s="13">
        <f t="shared" si="30"/>
        <v>27</v>
      </c>
    </row>
    <row r="1439" spans="1:1" x14ac:dyDescent="0.25">
      <c r="A1439" s="13">
        <f t="shared" si="30"/>
        <v>27</v>
      </c>
    </row>
    <row r="1440" spans="1:1" x14ac:dyDescent="0.25">
      <c r="A1440" s="13">
        <f t="shared" si="30"/>
        <v>27</v>
      </c>
    </row>
    <row r="1441" spans="1:1" x14ac:dyDescent="0.25">
      <c r="A1441" s="13">
        <f t="shared" si="30"/>
        <v>27</v>
      </c>
    </row>
    <row r="1442" spans="1:1" x14ac:dyDescent="0.25">
      <c r="A1442" s="13">
        <f t="shared" si="30"/>
        <v>27</v>
      </c>
    </row>
    <row r="1443" spans="1:1" x14ac:dyDescent="0.25">
      <c r="A1443" s="13">
        <f t="shared" si="30"/>
        <v>27</v>
      </c>
    </row>
    <row r="1444" spans="1:1" x14ac:dyDescent="0.25">
      <c r="A1444" s="13">
        <f t="shared" si="30"/>
        <v>27</v>
      </c>
    </row>
    <row r="1445" spans="1:1" x14ac:dyDescent="0.25">
      <c r="A1445" s="13">
        <f t="shared" si="30"/>
        <v>27</v>
      </c>
    </row>
    <row r="1446" spans="1:1" x14ac:dyDescent="0.25">
      <c r="A1446" s="13">
        <f t="shared" si="30"/>
        <v>27</v>
      </c>
    </row>
    <row r="1447" spans="1:1" x14ac:dyDescent="0.25">
      <c r="A1447" s="13">
        <f t="shared" si="30"/>
        <v>27</v>
      </c>
    </row>
    <row r="1448" spans="1:1" x14ac:dyDescent="0.25">
      <c r="A1448" s="13">
        <f t="shared" si="30"/>
        <v>27</v>
      </c>
    </row>
    <row r="1449" spans="1:1" x14ac:dyDescent="0.25">
      <c r="A1449" s="13">
        <f t="shared" si="30"/>
        <v>27</v>
      </c>
    </row>
    <row r="1450" spans="1:1" x14ac:dyDescent="0.25">
      <c r="A1450" s="13">
        <f t="shared" si="30"/>
        <v>27</v>
      </c>
    </row>
    <row r="1451" spans="1:1" x14ac:dyDescent="0.25">
      <c r="A1451" s="13">
        <f t="shared" si="30"/>
        <v>27</v>
      </c>
    </row>
    <row r="1452" spans="1:1" x14ac:dyDescent="0.25">
      <c r="A1452" s="13">
        <f t="shared" si="30"/>
        <v>27</v>
      </c>
    </row>
    <row r="1453" spans="1:1" x14ac:dyDescent="0.25">
      <c r="A1453" s="13">
        <f t="shared" si="30"/>
        <v>27</v>
      </c>
    </row>
    <row r="1454" spans="1:1" x14ac:dyDescent="0.25">
      <c r="A1454" s="13">
        <f t="shared" si="30"/>
        <v>27</v>
      </c>
    </row>
    <row r="1455" spans="1:1" x14ac:dyDescent="0.25">
      <c r="A1455" s="13">
        <f t="shared" si="30"/>
        <v>27</v>
      </c>
    </row>
    <row r="1456" spans="1:1" x14ac:dyDescent="0.25">
      <c r="A1456" s="13">
        <f t="shared" si="30"/>
        <v>27</v>
      </c>
    </row>
    <row r="1457" spans="1:1" x14ac:dyDescent="0.25">
      <c r="A1457" s="13">
        <f t="shared" si="30"/>
        <v>27</v>
      </c>
    </row>
    <row r="1458" spans="1:1" x14ac:dyDescent="0.25">
      <c r="A1458" s="13">
        <f t="shared" si="30"/>
        <v>27</v>
      </c>
    </row>
    <row r="1459" spans="1:1" x14ac:dyDescent="0.25">
      <c r="A1459" s="13">
        <f t="shared" si="30"/>
        <v>27</v>
      </c>
    </row>
    <row r="1460" spans="1:1" x14ac:dyDescent="0.25">
      <c r="A1460" s="13">
        <f t="shared" si="30"/>
        <v>27</v>
      </c>
    </row>
    <row r="1461" spans="1:1" x14ac:dyDescent="0.25">
      <c r="A1461" s="13">
        <f t="shared" si="30"/>
        <v>27</v>
      </c>
    </row>
    <row r="1462" spans="1:1" x14ac:dyDescent="0.25">
      <c r="A1462" s="13">
        <f t="shared" si="30"/>
        <v>27</v>
      </c>
    </row>
    <row r="1463" spans="1:1" x14ac:dyDescent="0.25">
      <c r="A1463" s="13">
        <f t="shared" si="30"/>
        <v>27</v>
      </c>
    </row>
    <row r="1464" spans="1:1" x14ac:dyDescent="0.25">
      <c r="A1464" s="13">
        <f t="shared" si="30"/>
        <v>27</v>
      </c>
    </row>
    <row r="1465" spans="1:1" x14ac:dyDescent="0.25">
      <c r="A1465" s="13">
        <f t="shared" si="30"/>
        <v>27</v>
      </c>
    </row>
    <row r="1466" spans="1:1" x14ac:dyDescent="0.25">
      <c r="A1466" s="13">
        <f t="shared" si="30"/>
        <v>27</v>
      </c>
    </row>
    <row r="1467" spans="1:1" x14ac:dyDescent="0.25">
      <c r="A1467" s="13">
        <f t="shared" si="30"/>
        <v>27</v>
      </c>
    </row>
    <row r="1468" spans="1:1" x14ac:dyDescent="0.25">
      <c r="A1468" s="13">
        <f t="shared" si="30"/>
        <v>27</v>
      </c>
    </row>
    <row r="1469" spans="1:1" x14ac:dyDescent="0.25">
      <c r="A1469" s="13">
        <f t="shared" si="30"/>
        <v>27</v>
      </c>
    </row>
    <row r="1470" spans="1:1" x14ac:dyDescent="0.25">
      <c r="A1470" s="13">
        <f t="shared" si="30"/>
        <v>27</v>
      </c>
    </row>
    <row r="1471" spans="1:1" x14ac:dyDescent="0.25">
      <c r="A1471" s="13">
        <f t="shared" si="30"/>
        <v>27</v>
      </c>
    </row>
    <row r="1472" spans="1:1" x14ac:dyDescent="0.25">
      <c r="A1472" s="13">
        <f t="shared" si="30"/>
        <v>27</v>
      </c>
    </row>
    <row r="1473" spans="1:1" x14ac:dyDescent="0.25">
      <c r="A1473" s="13">
        <f t="shared" si="30"/>
        <v>27</v>
      </c>
    </row>
    <row r="1474" spans="1:1" x14ac:dyDescent="0.25">
      <c r="A1474" s="13">
        <f t="shared" ref="A1474:A1537" si="31">IF(B1571=B1570,A1473,A1473+1)</f>
        <v>27</v>
      </c>
    </row>
    <row r="1475" spans="1:1" x14ac:dyDescent="0.25">
      <c r="A1475" s="13">
        <f t="shared" si="31"/>
        <v>27</v>
      </c>
    </row>
    <row r="1476" spans="1:1" x14ac:dyDescent="0.25">
      <c r="A1476" s="13">
        <f t="shared" si="31"/>
        <v>27</v>
      </c>
    </row>
    <row r="1477" spans="1:1" x14ac:dyDescent="0.25">
      <c r="A1477" s="13">
        <f t="shared" si="31"/>
        <v>27</v>
      </c>
    </row>
    <row r="1478" spans="1:1" x14ac:dyDescent="0.25">
      <c r="A1478" s="13">
        <f t="shared" si="31"/>
        <v>27</v>
      </c>
    </row>
    <row r="1479" spans="1:1" x14ac:dyDescent="0.25">
      <c r="A1479" s="13">
        <f t="shared" si="31"/>
        <v>27</v>
      </c>
    </row>
    <row r="1480" spans="1:1" x14ac:dyDescent="0.25">
      <c r="A1480" s="13">
        <f t="shared" si="31"/>
        <v>27</v>
      </c>
    </row>
    <row r="1481" spans="1:1" x14ac:dyDescent="0.25">
      <c r="A1481" s="13">
        <f t="shared" si="31"/>
        <v>27</v>
      </c>
    </row>
    <row r="1482" spans="1:1" x14ac:dyDescent="0.25">
      <c r="A1482" s="13">
        <f t="shared" si="31"/>
        <v>27</v>
      </c>
    </row>
    <row r="1483" spans="1:1" x14ac:dyDescent="0.25">
      <c r="A1483" s="13">
        <f t="shared" si="31"/>
        <v>27</v>
      </c>
    </row>
    <row r="1484" spans="1:1" x14ac:dyDescent="0.25">
      <c r="A1484" s="13">
        <f t="shared" si="31"/>
        <v>27</v>
      </c>
    </row>
    <row r="1485" spans="1:1" x14ac:dyDescent="0.25">
      <c r="A1485" s="13">
        <f t="shared" si="31"/>
        <v>27</v>
      </c>
    </row>
    <row r="1486" spans="1:1" x14ac:dyDescent="0.25">
      <c r="A1486" s="13">
        <f t="shared" si="31"/>
        <v>27</v>
      </c>
    </row>
    <row r="1487" spans="1:1" x14ac:dyDescent="0.25">
      <c r="A1487" s="13">
        <f t="shared" si="31"/>
        <v>27</v>
      </c>
    </row>
    <row r="1488" spans="1:1" x14ac:dyDescent="0.25">
      <c r="A1488" s="13">
        <f t="shared" si="31"/>
        <v>27</v>
      </c>
    </row>
    <row r="1489" spans="1:1" x14ac:dyDescent="0.25">
      <c r="A1489" s="13">
        <f t="shared" si="31"/>
        <v>27</v>
      </c>
    </row>
    <row r="1490" spans="1:1" x14ac:dyDescent="0.25">
      <c r="A1490" s="13">
        <f t="shared" si="31"/>
        <v>27</v>
      </c>
    </row>
    <row r="1491" spans="1:1" x14ac:dyDescent="0.25">
      <c r="A1491" s="13">
        <f t="shared" si="31"/>
        <v>27</v>
      </c>
    </row>
    <row r="1492" spans="1:1" x14ac:dyDescent="0.25">
      <c r="A1492" s="13">
        <f t="shared" si="31"/>
        <v>27</v>
      </c>
    </row>
    <row r="1493" spans="1:1" x14ac:dyDescent="0.25">
      <c r="A1493" s="13">
        <f t="shared" si="31"/>
        <v>27</v>
      </c>
    </row>
    <row r="1494" spans="1:1" x14ac:dyDescent="0.25">
      <c r="A1494" s="13">
        <f t="shared" si="31"/>
        <v>27</v>
      </c>
    </row>
    <row r="1495" spans="1:1" x14ac:dyDescent="0.25">
      <c r="A1495" s="13">
        <f t="shared" si="31"/>
        <v>27</v>
      </c>
    </row>
    <row r="1496" spans="1:1" x14ac:dyDescent="0.25">
      <c r="A1496" s="13">
        <f t="shared" si="31"/>
        <v>27</v>
      </c>
    </row>
    <row r="1497" spans="1:1" x14ac:dyDescent="0.25">
      <c r="A1497" s="13">
        <f t="shared" si="31"/>
        <v>27</v>
      </c>
    </row>
    <row r="1498" spans="1:1" x14ac:dyDescent="0.25">
      <c r="A1498" s="13">
        <f t="shared" si="31"/>
        <v>27</v>
      </c>
    </row>
    <row r="1499" spans="1:1" x14ac:dyDescent="0.25">
      <c r="A1499" s="13">
        <f t="shared" si="31"/>
        <v>27</v>
      </c>
    </row>
    <row r="1500" spans="1:1" x14ac:dyDescent="0.25">
      <c r="A1500" s="13">
        <f t="shared" si="31"/>
        <v>27</v>
      </c>
    </row>
    <row r="1501" spans="1:1" x14ac:dyDescent="0.25">
      <c r="A1501" s="13">
        <f t="shared" si="31"/>
        <v>27</v>
      </c>
    </row>
    <row r="1502" spans="1:1" x14ac:dyDescent="0.25">
      <c r="A1502" s="13">
        <f t="shared" si="31"/>
        <v>27</v>
      </c>
    </row>
    <row r="1503" spans="1:1" x14ac:dyDescent="0.25">
      <c r="A1503" s="13">
        <f t="shared" si="31"/>
        <v>27</v>
      </c>
    </row>
    <row r="1504" spans="1:1" x14ac:dyDescent="0.25">
      <c r="A1504" s="13">
        <f t="shared" si="31"/>
        <v>27</v>
      </c>
    </row>
    <row r="1505" spans="1:1" x14ac:dyDescent="0.25">
      <c r="A1505" s="13">
        <f t="shared" si="31"/>
        <v>27</v>
      </c>
    </row>
    <row r="1506" spans="1:1" x14ac:dyDescent="0.25">
      <c r="A1506" s="13">
        <f t="shared" si="31"/>
        <v>27</v>
      </c>
    </row>
    <row r="1507" spans="1:1" x14ac:dyDescent="0.25">
      <c r="A1507" s="13">
        <f t="shared" si="31"/>
        <v>27</v>
      </c>
    </row>
    <row r="1508" spans="1:1" x14ac:dyDescent="0.25">
      <c r="A1508" s="13">
        <f t="shared" si="31"/>
        <v>27</v>
      </c>
    </row>
    <row r="1509" spans="1:1" x14ac:dyDescent="0.25">
      <c r="A1509" s="13">
        <f t="shared" si="31"/>
        <v>27</v>
      </c>
    </row>
    <row r="1510" spans="1:1" x14ac:dyDescent="0.25">
      <c r="A1510" s="13">
        <f t="shared" si="31"/>
        <v>27</v>
      </c>
    </row>
    <row r="1511" spans="1:1" x14ac:dyDescent="0.25">
      <c r="A1511" s="13">
        <f t="shared" si="31"/>
        <v>27</v>
      </c>
    </row>
    <row r="1512" spans="1:1" x14ac:dyDescent="0.25">
      <c r="A1512" s="13">
        <f t="shared" si="31"/>
        <v>27</v>
      </c>
    </row>
    <row r="1513" spans="1:1" x14ac:dyDescent="0.25">
      <c r="A1513" s="13">
        <f t="shared" si="31"/>
        <v>27</v>
      </c>
    </row>
    <row r="1514" spans="1:1" x14ac:dyDescent="0.25">
      <c r="A1514" s="13">
        <f t="shared" si="31"/>
        <v>27</v>
      </c>
    </row>
    <row r="1515" spans="1:1" x14ac:dyDescent="0.25">
      <c r="A1515" s="13">
        <f t="shared" si="31"/>
        <v>27</v>
      </c>
    </row>
    <row r="1516" spans="1:1" x14ac:dyDescent="0.25">
      <c r="A1516" s="13">
        <f t="shared" si="31"/>
        <v>27</v>
      </c>
    </row>
    <row r="1517" spans="1:1" x14ac:dyDescent="0.25">
      <c r="A1517" s="13">
        <f t="shared" si="31"/>
        <v>27</v>
      </c>
    </row>
    <row r="1518" spans="1:1" x14ac:dyDescent="0.25">
      <c r="A1518" s="13">
        <f t="shared" si="31"/>
        <v>27</v>
      </c>
    </row>
    <row r="1519" spans="1:1" x14ac:dyDescent="0.25">
      <c r="A1519" s="13">
        <f t="shared" si="31"/>
        <v>27</v>
      </c>
    </row>
    <row r="1520" spans="1:1" x14ac:dyDescent="0.25">
      <c r="A1520" s="13">
        <f t="shared" si="31"/>
        <v>27</v>
      </c>
    </row>
    <row r="1521" spans="1:1" x14ac:dyDescent="0.25">
      <c r="A1521" s="13">
        <f t="shared" si="31"/>
        <v>27</v>
      </c>
    </row>
    <row r="1522" spans="1:1" x14ac:dyDescent="0.25">
      <c r="A1522" s="13">
        <f t="shared" si="31"/>
        <v>27</v>
      </c>
    </row>
    <row r="1523" spans="1:1" x14ac:dyDescent="0.25">
      <c r="A1523" s="13">
        <f t="shared" si="31"/>
        <v>27</v>
      </c>
    </row>
    <row r="1524" spans="1:1" x14ac:dyDescent="0.25">
      <c r="A1524" s="13">
        <f t="shared" si="31"/>
        <v>27</v>
      </c>
    </row>
    <row r="1525" spans="1:1" x14ac:dyDescent="0.25">
      <c r="A1525" s="13">
        <f t="shared" si="31"/>
        <v>27</v>
      </c>
    </row>
    <row r="1526" spans="1:1" x14ac:dyDescent="0.25">
      <c r="A1526" s="13">
        <f t="shared" si="31"/>
        <v>27</v>
      </c>
    </row>
    <row r="1527" spans="1:1" x14ac:dyDescent="0.25">
      <c r="A1527" s="13">
        <f t="shared" si="31"/>
        <v>27</v>
      </c>
    </row>
    <row r="1528" spans="1:1" x14ac:dyDescent="0.25">
      <c r="A1528" s="13">
        <f t="shared" si="31"/>
        <v>27</v>
      </c>
    </row>
    <row r="1529" spans="1:1" x14ac:dyDescent="0.25">
      <c r="A1529" s="13">
        <f t="shared" si="31"/>
        <v>27</v>
      </c>
    </row>
    <row r="1530" spans="1:1" x14ac:dyDescent="0.25">
      <c r="A1530" s="13">
        <f t="shared" si="31"/>
        <v>27</v>
      </c>
    </row>
    <row r="1531" spans="1:1" x14ac:dyDescent="0.25">
      <c r="A1531" s="13">
        <f t="shared" si="31"/>
        <v>27</v>
      </c>
    </row>
    <row r="1532" spans="1:1" x14ac:dyDescent="0.25">
      <c r="A1532" s="13">
        <f t="shared" si="31"/>
        <v>27</v>
      </c>
    </row>
    <row r="1533" spans="1:1" x14ac:dyDescent="0.25">
      <c r="A1533" s="13">
        <f t="shared" si="31"/>
        <v>27</v>
      </c>
    </row>
    <row r="1534" spans="1:1" x14ac:dyDescent="0.25">
      <c r="A1534" s="13">
        <f t="shared" si="31"/>
        <v>27</v>
      </c>
    </row>
    <row r="1535" spans="1:1" x14ac:dyDescent="0.25">
      <c r="A1535" s="13">
        <f t="shared" si="31"/>
        <v>27</v>
      </c>
    </row>
    <row r="1536" spans="1:1" x14ac:dyDescent="0.25">
      <c r="A1536" s="13">
        <f t="shared" si="31"/>
        <v>27</v>
      </c>
    </row>
    <row r="1537" spans="1:1" x14ac:dyDescent="0.25">
      <c r="A1537" s="13">
        <f t="shared" si="31"/>
        <v>27</v>
      </c>
    </row>
    <row r="1538" spans="1:1" x14ac:dyDescent="0.25">
      <c r="A1538" s="13">
        <f t="shared" ref="A1538:A1601" si="32">IF(B1635=B1634,A1537,A1537+1)</f>
        <v>27</v>
      </c>
    </row>
    <row r="1539" spans="1:1" x14ac:dyDescent="0.25">
      <c r="A1539" s="13">
        <f t="shared" si="32"/>
        <v>27</v>
      </c>
    </row>
    <row r="1540" spans="1:1" x14ac:dyDescent="0.25">
      <c r="A1540" s="13">
        <f t="shared" si="32"/>
        <v>27</v>
      </c>
    </row>
    <row r="1541" spans="1:1" x14ac:dyDescent="0.25">
      <c r="A1541" s="13">
        <f t="shared" si="32"/>
        <v>27</v>
      </c>
    </row>
    <row r="1542" spans="1:1" x14ac:dyDescent="0.25">
      <c r="A1542" s="13">
        <f t="shared" si="32"/>
        <v>27</v>
      </c>
    </row>
    <row r="1543" spans="1:1" x14ac:dyDescent="0.25">
      <c r="A1543" s="13">
        <f t="shared" si="32"/>
        <v>27</v>
      </c>
    </row>
    <row r="1544" spans="1:1" x14ac:dyDescent="0.25">
      <c r="A1544" s="13">
        <f t="shared" si="32"/>
        <v>27</v>
      </c>
    </row>
    <row r="1545" spans="1:1" x14ac:dyDescent="0.25">
      <c r="A1545" s="13">
        <f t="shared" si="32"/>
        <v>27</v>
      </c>
    </row>
    <row r="1546" spans="1:1" x14ac:dyDescent="0.25">
      <c r="A1546" s="13">
        <f t="shared" si="32"/>
        <v>27</v>
      </c>
    </row>
    <row r="1547" spans="1:1" x14ac:dyDescent="0.25">
      <c r="A1547" s="13">
        <f t="shared" si="32"/>
        <v>27</v>
      </c>
    </row>
    <row r="1548" spans="1:1" x14ac:dyDescent="0.25">
      <c r="A1548" s="13">
        <f t="shared" si="32"/>
        <v>27</v>
      </c>
    </row>
    <row r="1549" spans="1:1" x14ac:dyDescent="0.25">
      <c r="A1549" s="13">
        <f t="shared" si="32"/>
        <v>27</v>
      </c>
    </row>
    <row r="1550" spans="1:1" x14ac:dyDescent="0.25">
      <c r="A1550" s="13">
        <f t="shared" si="32"/>
        <v>27</v>
      </c>
    </row>
    <row r="1551" spans="1:1" x14ac:dyDescent="0.25">
      <c r="A1551" s="13">
        <f t="shared" si="32"/>
        <v>27</v>
      </c>
    </row>
    <row r="1552" spans="1:1" x14ac:dyDescent="0.25">
      <c r="A1552" s="13">
        <f t="shared" si="32"/>
        <v>27</v>
      </c>
    </row>
    <row r="1553" spans="1:1" x14ac:dyDescent="0.25">
      <c r="A1553" s="13">
        <f t="shared" si="32"/>
        <v>27</v>
      </c>
    </row>
    <row r="1554" spans="1:1" x14ac:dyDescent="0.25">
      <c r="A1554" s="13">
        <f t="shared" si="32"/>
        <v>27</v>
      </c>
    </row>
    <row r="1555" spans="1:1" x14ac:dyDescent="0.25">
      <c r="A1555" s="13">
        <f t="shared" si="32"/>
        <v>27</v>
      </c>
    </row>
    <row r="1556" spans="1:1" x14ac:dyDescent="0.25">
      <c r="A1556" s="13">
        <f t="shared" si="32"/>
        <v>27</v>
      </c>
    </row>
    <row r="1557" spans="1:1" x14ac:dyDescent="0.25">
      <c r="A1557" s="13">
        <f t="shared" si="32"/>
        <v>27</v>
      </c>
    </row>
    <row r="1558" spans="1:1" x14ac:dyDescent="0.25">
      <c r="A1558" s="13">
        <f t="shared" si="32"/>
        <v>27</v>
      </c>
    </row>
    <row r="1559" spans="1:1" x14ac:dyDescent="0.25">
      <c r="A1559" s="13">
        <f t="shared" si="32"/>
        <v>27</v>
      </c>
    </row>
    <row r="1560" spans="1:1" x14ac:dyDescent="0.25">
      <c r="A1560" s="13">
        <f t="shared" si="32"/>
        <v>27</v>
      </c>
    </row>
    <row r="1561" spans="1:1" x14ac:dyDescent="0.25">
      <c r="A1561" s="13">
        <f t="shared" si="32"/>
        <v>27</v>
      </c>
    </row>
    <row r="1562" spans="1:1" x14ac:dyDescent="0.25">
      <c r="A1562" s="13">
        <f t="shared" si="32"/>
        <v>27</v>
      </c>
    </row>
    <row r="1563" spans="1:1" x14ac:dyDescent="0.25">
      <c r="A1563" s="13">
        <f t="shared" si="32"/>
        <v>27</v>
      </c>
    </row>
    <row r="1564" spans="1:1" x14ac:dyDescent="0.25">
      <c r="A1564" s="13">
        <f t="shared" si="32"/>
        <v>27</v>
      </c>
    </row>
    <row r="1565" spans="1:1" x14ac:dyDescent="0.25">
      <c r="A1565" s="13">
        <f t="shared" si="32"/>
        <v>27</v>
      </c>
    </row>
    <row r="1566" spans="1:1" x14ac:dyDescent="0.25">
      <c r="A1566" s="13">
        <f t="shared" si="32"/>
        <v>27</v>
      </c>
    </row>
    <row r="1567" spans="1:1" x14ac:dyDescent="0.25">
      <c r="A1567" s="13">
        <f t="shared" si="32"/>
        <v>27</v>
      </c>
    </row>
    <row r="1568" spans="1:1" x14ac:dyDescent="0.25">
      <c r="A1568" s="13">
        <f t="shared" si="32"/>
        <v>27</v>
      </c>
    </row>
    <row r="1569" spans="1:1" x14ac:dyDescent="0.25">
      <c r="A1569" s="13">
        <f t="shared" si="32"/>
        <v>27</v>
      </c>
    </row>
    <row r="1570" spans="1:1" x14ac:dyDescent="0.25">
      <c r="A1570" s="13">
        <f t="shared" si="32"/>
        <v>27</v>
      </c>
    </row>
    <row r="1571" spans="1:1" x14ac:dyDescent="0.25">
      <c r="A1571" s="13">
        <f t="shared" si="32"/>
        <v>27</v>
      </c>
    </row>
    <row r="1572" spans="1:1" x14ac:dyDescent="0.25">
      <c r="A1572" s="13">
        <f t="shared" si="32"/>
        <v>27</v>
      </c>
    </row>
    <row r="1573" spans="1:1" x14ac:dyDescent="0.25">
      <c r="A1573" s="13">
        <f t="shared" si="32"/>
        <v>27</v>
      </c>
    </row>
    <row r="1574" spans="1:1" x14ac:dyDescent="0.25">
      <c r="A1574" s="13">
        <f t="shared" si="32"/>
        <v>27</v>
      </c>
    </row>
    <row r="1575" spans="1:1" x14ac:dyDescent="0.25">
      <c r="A1575" s="13">
        <f t="shared" si="32"/>
        <v>27</v>
      </c>
    </row>
    <row r="1576" spans="1:1" x14ac:dyDescent="0.25">
      <c r="A1576" s="13">
        <f t="shared" si="32"/>
        <v>27</v>
      </c>
    </row>
    <row r="1577" spans="1:1" x14ac:dyDescent="0.25">
      <c r="A1577" s="13">
        <f t="shared" si="32"/>
        <v>27</v>
      </c>
    </row>
    <row r="1578" spans="1:1" x14ac:dyDescent="0.25">
      <c r="A1578" s="13">
        <f t="shared" si="32"/>
        <v>27</v>
      </c>
    </row>
    <row r="1579" spans="1:1" x14ac:dyDescent="0.25">
      <c r="A1579" s="13">
        <f t="shared" si="32"/>
        <v>27</v>
      </c>
    </row>
    <row r="1580" spans="1:1" x14ac:dyDescent="0.25">
      <c r="A1580" s="13">
        <f t="shared" si="32"/>
        <v>27</v>
      </c>
    </row>
    <row r="1581" spans="1:1" x14ac:dyDescent="0.25">
      <c r="A1581" s="13">
        <f t="shared" si="32"/>
        <v>27</v>
      </c>
    </row>
    <row r="1582" spans="1:1" x14ac:dyDescent="0.25">
      <c r="A1582" s="13">
        <f t="shared" si="32"/>
        <v>27</v>
      </c>
    </row>
    <row r="1583" spans="1:1" x14ac:dyDescent="0.25">
      <c r="A1583" s="13">
        <f t="shared" si="32"/>
        <v>27</v>
      </c>
    </row>
    <row r="1584" spans="1:1" x14ac:dyDescent="0.25">
      <c r="A1584" s="13">
        <f t="shared" si="32"/>
        <v>27</v>
      </c>
    </row>
    <row r="1585" spans="1:1" x14ac:dyDescent="0.25">
      <c r="A1585" s="13">
        <f t="shared" si="32"/>
        <v>27</v>
      </c>
    </row>
    <row r="1586" spans="1:1" x14ac:dyDescent="0.25">
      <c r="A1586" s="13">
        <f t="shared" si="32"/>
        <v>27</v>
      </c>
    </row>
    <row r="1587" spans="1:1" x14ac:dyDescent="0.25">
      <c r="A1587" s="13">
        <f t="shared" si="32"/>
        <v>27</v>
      </c>
    </row>
    <row r="1588" spans="1:1" x14ac:dyDescent="0.25">
      <c r="A1588" s="13">
        <f t="shared" si="32"/>
        <v>27</v>
      </c>
    </row>
    <row r="1589" spans="1:1" x14ac:dyDescent="0.25">
      <c r="A1589" s="13">
        <f t="shared" si="32"/>
        <v>27</v>
      </c>
    </row>
    <row r="1590" spans="1:1" x14ac:dyDescent="0.25">
      <c r="A1590" s="13">
        <f t="shared" si="32"/>
        <v>27</v>
      </c>
    </row>
    <row r="1591" spans="1:1" x14ac:dyDescent="0.25">
      <c r="A1591" s="13">
        <f t="shared" si="32"/>
        <v>27</v>
      </c>
    </row>
    <row r="1592" spans="1:1" x14ac:dyDescent="0.25">
      <c r="A1592" s="13">
        <f t="shared" si="32"/>
        <v>27</v>
      </c>
    </row>
    <row r="1593" spans="1:1" x14ac:dyDescent="0.25">
      <c r="A1593" s="13">
        <f t="shared" si="32"/>
        <v>27</v>
      </c>
    </row>
    <row r="1594" spans="1:1" x14ac:dyDescent="0.25">
      <c r="A1594" s="13">
        <f t="shared" si="32"/>
        <v>27</v>
      </c>
    </row>
    <row r="1595" spans="1:1" x14ac:dyDescent="0.25">
      <c r="A1595" s="13">
        <f t="shared" si="32"/>
        <v>27</v>
      </c>
    </row>
    <row r="1596" spans="1:1" x14ac:dyDescent="0.25">
      <c r="A1596" s="13">
        <f t="shared" si="32"/>
        <v>27</v>
      </c>
    </row>
    <row r="1597" spans="1:1" x14ac:dyDescent="0.25">
      <c r="A1597" s="13">
        <f t="shared" si="32"/>
        <v>27</v>
      </c>
    </row>
    <row r="1598" spans="1:1" x14ac:dyDescent="0.25">
      <c r="A1598" s="13">
        <f t="shared" si="32"/>
        <v>27</v>
      </c>
    </row>
    <row r="1599" spans="1:1" x14ac:dyDescent="0.25">
      <c r="A1599" s="13">
        <f t="shared" si="32"/>
        <v>27</v>
      </c>
    </row>
    <row r="1600" spans="1:1" x14ac:dyDescent="0.25">
      <c r="A1600" s="13">
        <f t="shared" si="32"/>
        <v>27</v>
      </c>
    </row>
    <row r="1601" spans="1:1" x14ac:dyDescent="0.25">
      <c r="A1601" s="13">
        <f t="shared" si="32"/>
        <v>27</v>
      </c>
    </row>
    <row r="1602" spans="1:1" x14ac:dyDescent="0.25">
      <c r="A1602" s="13">
        <f t="shared" ref="A1602:A1665" si="33">IF(B1699=B1698,A1601,A1601+1)</f>
        <v>27</v>
      </c>
    </row>
    <row r="1603" spans="1:1" x14ac:dyDescent="0.25">
      <c r="A1603" s="13">
        <f t="shared" si="33"/>
        <v>27</v>
      </c>
    </row>
    <row r="1604" spans="1:1" x14ac:dyDescent="0.25">
      <c r="A1604" s="13">
        <f t="shared" si="33"/>
        <v>27</v>
      </c>
    </row>
    <row r="1605" spans="1:1" x14ac:dyDescent="0.25">
      <c r="A1605" s="13">
        <f t="shared" si="33"/>
        <v>27</v>
      </c>
    </row>
    <row r="1606" spans="1:1" x14ac:dyDescent="0.25">
      <c r="A1606" s="13">
        <f t="shared" si="33"/>
        <v>27</v>
      </c>
    </row>
    <row r="1607" spans="1:1" x14ac:dyDescent="0.25">
      <c r="A1607" s="13">
        <f t="shared" si="33"/>
        <v>27</v>
      </c>
    </row>
    <row r="1608" spans="1:1" x14ac:dyDescent="0.25">
      <c r="A1608" s="13">
        <f t="shared" si="33"/>
        <v>27</v>
      </c>
    </row>
    <row r="1609" spans="1:1" x14ac:dyDescent="0.25">
      <c r="A1609" s="13">
        <f t="shared" si="33"/>
        <v>27</v>
      </c>
    </row>
    <row r="1610" spans="1:1" x14ac:dyDescent="0.25">
      <c r="A1610" s="13">
        <f t="shared" si="33"/>
        <v>27</v>
      </c>
    </row>
    <row r="1611" spans="1:1" x14ac:dyDescent="0.25">
      <c r="A1611" s="13">
        <f t="shared" si="33"/>
        <v>27</v>
      </c>
    </row>
    <row r="1612" spans="1:1" x14ac:dyDescent="0.25">
      <c r="A1612" s="13">
        <f t="shared" si="33"/>
        <v>27</v>
      </c>
    </row>
    <row r="1613" spans="1:1" x14ac:dyDescent="0.25">
      <c r="A1613" s="13">
        <f t="shared" si="33"/>
        <v>27</v>
      </c>
    </row>
    <row r="1614" spans="1:1" x14ac:dyDescent="0.25">
      <c r="A1614" s="13">
        <f t="shared" si="33"/>
        <v>27</v>
      </c>
    </row>
    <row r="1615" spans="1:1" x14ac:dyDescent="0.25">
      <c r="A1615" s="13">
        <f t="shared" si="33"/>
        <v>27</v>
      </c>
    </row>
    <row r="1616" spans="1:1" x14ac:dyDescent="0.25">
      <c r="A1616" s="13">
        <f t="shared" si="33"/>
        <v>27</v>
      </c>
    </row>
    <row r="1617" spans="1:1" x14ac:dyDescent="0.25">
      <c r="A1617" s="13">
        <f t="shared" si="33"/>
        <v>27</v>
      </c>
    </row>
    <row r="1618" spans="1:1" x14ac:dyDescent="0.25">
      <c r="A1618" s="13">
        <f t="shared" si="33"/>
        <v>27</v>
      </c>
    </row>
    <row r="1619" spans="1:1" x14ac:dyDescent="0.25">
      <c r="A1619" s="13">
        <f t="shared" si="33"/>
        <v>27</v>
      </c>
    </row>
    <row r="1620" spans="1:1" x14ac:dyDescent="0.25">
      <c r="A1620" s="13">
        <f t="shared" si="33"/>
        <v>27</v>
      </c>
    </row>
    <row r="1621" spans="1:1" x14ac:dyDescent="0.25">
      <c r="A1621" s="13">
        <f t="shared" si="33"/>
        <v>27</v>
      </c>
    </row>
    <row r="1622" spans="1:1" x14ac:dyDescent="0.25">
      <c r="A1622" s="13">
        <f t="shared" si="33"/>
        <v>27</v>
      </c>
    </row>
    <row r="1623" spans="1:1" x14ac:dyDescent="0.25">
      <c r="A1623" s="13">
        <f t="shared" si="33"/>
        <v>27</v>
      </c>
    </row>
    <row r="1624" spans="1:1" x14ac:dyDescent="0.25">
      <c r="A1624" s="13">
        <f t="shared" si="33"/>
        <v>27</v>
      </c>
    </row>
    <row r="1625" spans="1:1" x14ac:dyDescent="0.25">
      <c r="A1625" s="13">
        <f t="shared" si="33"/>
        <v>27</v>
      </c>
    </row>
    <row r="1626" spans="1:1" x14ac:dyDescent="0.25">
      <c r="A1626" s="13">
        <f t="shared" si="33"/>
        <v>27</v>
      </c>
    </row>
    <row r="1627" spans="1:1" x14ac:dyDescent="0.25">
      <c r="A1627" s="13">
        <f t="shared" si="33"/>
        <v>27</v>
      </c>
    </row>
    <row r="1628" spans="1:1" x14ac:dyDescent="0.25">
      <c r="A1628" s="13">
        <f t="shared" si="33"/>
        <v>27</v>
      </c>
    </row>
    <row r="1629" spans="1:1" x14ac:dyDescent="0.25">
      <c r="A1629" s="13">
        <f t="shared" si="33"/>
        <v>27</v>
      </c>
    </row>
    <row r="1630" spans="1:1" x14ac:dyDescent="0.25">
      <c r="A1630" s="13">
        <f t="shared" si="33"/>
        <v>27</v>
      </c>
    </row>
    <row r="1631" spans="1:1" x14ac:dyDescent="0.25">
      <c r="A1631" s="13">
        <f t="shared" si="33"/>
        <v>27</v>
      </c>
    </row>
    <row r="1632" spans="1:1" x14ac:dyDescent="0.25">
      <c r="A1632" s="13">
        <f t="shared" si="33"/>
        <v>27</v>
      </c>
    </row>
    <row r="1633" spans="1:1" x14ac:dyDescent="0.25">
      <c r="A1633" s="13">
        <f t="shared" si="33"/>
        <v>27</v>
      </c>
    </row>
    <row r="1634" spans="1:1" x14ac:dyDescent="0.25">
      <c r="A1634" s="13">
        <f t="shared" si="33"/>
        <v>27</v>
      </c>
    </row>
    <row r="1635" spans="1:1" x14ac:dyDescent="0.25">
      <c r="A1635" s="13">
        <f t="shared" si="33"/>
        <v>27</v>
      </c>
    </row>
    <row r="1636" spans="1:1" x14ac:dyDescent="0.25">
      <c r="A1636" s="13">
        <f t="shared" si="33"/>
        <v>27</v>
      </c>
    </row>
    <row r="1637" spans="1:1" x14ac:dyDescent="0.25">
      <c r="A1637" s="13">
        <f t="shared" si="33"/>
        <v>27</v>
      </c>
    </row>
    <row r="1638" spans="1:1" x14ac:dyDescent="0.25">
      <c r="A1638" s="13">
        <f t="shared" si="33"/>
        <v>27</v>
      </c>
    </row>
    <row r="1639" spans="1:1" x14ac:dyDescent="0.25">
      <c r="A1639" s="13">
        <f t="shared" si="33"/>
        <v>27</v>
      </c>
    </row>
    <row r="1640" spans="1:1" x14ac:dyDescent="0.25">
      <c r="A1640" s="13">
        <f t="shared" si="33"/>
        <v>27</v>
      </c>
    </row>
    <row r="1641" spans="1:1" x14ac:dyDescent="0.25">
      <c r="A1641" s="13">
        <f t="shared" si="33"/>
        <v>27</v>
      </c>
    </row>
    <row r="1642" spans="1:1" x14ac:dyDescent="0.25">
      <c r="A1642" s="13">
        <f t="shared" si="33"/>
        <v>27</v>
      </c>
    </row>
    <row r="1643" spans="1:1" x14ac:dyDescent="0.25">
      <c r="A1643" s="13">
        <f t="shared" si="33"/>
        <v>27</v>
      </c>
    </row>
    <row r="1644" spans="1:1" x14ac:dyDescent="0.25">
      <c r="A1644" s="13">
        <f t="shared" si="33"/>
        <v>27</v>
      </c>
    </row>
    <row r="1645" spans="1:1" x14ac:dyDescent="0.25">
      <c r="A1645" s="13">
        <f t="shared" si="33"/>
        <v>27</v>
      </c>
    </row>
    <row r="1646" spans="1:1" x14ac:dyDescent="0.25">
      <c r="A1646" s="13">
        <f t="shared" si="33"/>
        <v>27</v>
      </c>
    </row>
    <row r="1647" spans="1:1" x14ac:dyDescent="0.25">
      <c r="A1647" s="13">
        <f t="shared" si="33"/>
        <v>27</v>
      </c>
    </row>
    <row r="1648" spans="1:1" x14ac:dyDescent="0.25">
      <c r="A1648" s="13">
        <f t="shared" si="33"/>
        <v>27</v>
      </c>
    </row>
    <row r="1649" spans="1:1" x14ac:dyDescent="0.25">
      <c r="A1649" s="13">
        <f t="shared" si="33"/>
        <v>27</v>
      </c>
    </row>
    <row r="1650" spans="1:1" x14ac:dyDescent="0.25">
      <c r="A1650" s="13">
        <f t="shared" si="33"/>
        <v>27</v>
      </c>
    </row>
    <row r="1651" spans="1:1" x14ac:dyDescent="0.25">
      <c r="A1651" s="13">
        <f t="shared" si="33"/>
        <v>27</v>
      </c>
    </row>
    <row r="1652" spans="1:1" x14ac:dyDescent="0.25">
      <c r="A1652" s="13">
        <f t="shared" si="33"/>
        <v>27</v>
      </c>
    </row>
    <row r="1653" spans="1:1" x14ac:dyDescent="0.25">
      <c r="A1653" s="13">
        <f t="shared" si="33"/>
        <v>27</v>
      </c>
    </row>
    <row r="1654" spans="1:1" x14ac:dyDescent="0.25">
      <c r="A1654" s="13">
        <f t="shared" si="33"/>
        <v>27</v>
      </c>
    </row>
    <row r="1655" spans="1:1" x14ac:dyDescent="0.25">
      <c r="A1655" s="13">
        <f t="shared" si="33"/>
        <v>27</v>
      </c>
    </row>
    <row r="1656" spans="1:1" x14ac:dyDescent="0.25">
      <c r="A1656" s="13">
        <f t="shared" si="33"/>
        <v>27</v>
      </c>
    </row>
    <row r="1657" spans="1:1" x14ac:dyDescent="0.25">
      <c r="A1657" s="13">
        <f t="shared" si="33"/>
        <v>27</v>
      </c>
    </row>
    <row r="1658" spans="1:1" x14ac:dyDescent="0.25">
      <c r="A1658" s="13">
        <f t="shared" si="33"/>
        <v>27</v>
      </c>
    </row>
    <row r="1659" spans="1:1" x14ac:dyDescent="0.25">
      <c r="A1659" s="13">
        <f t="shared" si="33"/>
        <v>27</v>
      </c>
    </row>
    <row r="1660" spans="1:1" x14ac:dyDescent="0.25">
      <c r="A1660" s="13">
        <f t="shared" si="33"/>
        <v>27</v>
      </c>
    </row>
    <row r="1661" spans="1:1" x14ac:dyDescent="0.25">
      <c r="A1661" s="13">
        <f t="shared" si="33"/>
        <v>27</v>
      </c>
    </row>
    <row r="1662" spans="1:1" x14ac:dyDescent="0.25">
      <c r="A1662" s="13">
        <f t="shared" si="33"/>
        <v>27</v>
      </c>
    </row>
    <row r="1663" spans="1:1" x14ac:dyDescent="0.25">
      <c r="A1663" s="13">
        <f t="shared" si="33"/>
        <v>27</v>
      </c>
    </row>
    <row r="1664" spans="1:1" x14ac:dyDescent="0.25">
      <c r="A1664" s="13">
        <f t="shared" si="33"/>
        <v>27</v>
      </c>
    </row>
    <row r="1665" spans="1:1" x14ac:dyDescent="0.25">
      <c r="A1665" s="13">
        <f t="shared" si="33"/>
        <v>27</v>
      </c>
    </row>
    <row r="1666" spans="1:1" x14ac:dyDescent="0.25">
      <c r="A1666" s="13">
        <f t="shared" ref="A1666:A1729" si="34">IF(B1763=B1762,A1665,A1665+1)</f>
        <v>27</v>
      </c>
    </row>
    <row r="1667" spans="1:1" x14ac:dyDescent="0.25">
      <c r="A1667" s="13">
        <f t="shared" si="34"/>
        <v>27</v>
      </c>
    </row>
    <row r="1668" spans="1:1" x14ac:dyDescent="0.25">
      <c r="A1668" s="13">
        <f t="shared" si="34"/>
        <v>27</v>
      </c>
    </row>
    <row r="1669" spans="1:1" x14ac:dyDescent="0.25">
      <c r="A1669" s="13">
        <f t="shared" si="34"/>
        <v>27</v>
      </c>
    </row>
    <row r="1670" spans="1:1" x14ac:dyDescent="0.25">
      <c r="A1670" s="13">
        <f t="shared" si="34"/>
        <v>27</v>
      </c>
    </row>
    <row r="1671" spans="1:1" x14ac:dyDescent="0.25">
      <c r="A1671" s="13">
        <f t="shared" si="34"/>
        <v>27</v>
      </c>
    </row>
    <row r="1672" spans="1:1" x14ac:dyDescent="0.25">
      <c r="A1672" s="13">
        <f t="shared" si="34"/>
        <v>27</v>
      </c>
    </row>
    <row r="1673" spans="1:1" x14ac:dyDescent="0.25">
      <c r="A1673" s="13">
        <f t="shared" si="34"/>
        <v>27</v>
      </c>
    </row>
    <row r="1674" spans="1:1" x14ac:dyDescent="0.25">
      <c r="A1674" s="13">
        <f t="shared" si="34"/>
        <v>27</v>
      </c>
    </row>
    <row r="1675" spans="1:1" x14ac:dyDescent="0.25">
      <c r="A1675" s="13">
        <f t="shared" si="34"/>
        <v>27</v>
      </c>
    </row>
    <row r="1676" spans="1:1" x14ac:dyDescent="0.25">
      <c r="A1676" s="13">
        <f t="shared" si="34"/>
        <v>27</v>
      </c>
    </row>
    <row r="1677" spans="1:1" x14ac:dyDescent="0.25">
      <c r="A1677" s="13">
        <f t="shared" si="34"/>
        <v>27</v>
      </c>
    </row>
    <row r="1678" spans="1:1" x14ac:dyDescent="0.25">
      <c r="A1678" s="13">
        <f t="shared" si="34"/>
        <v>27</v>
      </c>
    </row>
    <row r="1679" spans="1:1" x14ac:dyDescent="0.25">
      <c r="A1679" s="13">
        <f t="shared" si="34"/>
        <v>27</v>
      </c>
    </row>
    <row r="1680" spans="1:1" x14ac:dyDescent="0.25">
      <c r="A1680" s="13">
        <f t="shared" si="34"/>
        <v>27</v>
      </c>
    </row>
    <row r="1681" spans="1:1" x14ac:dyDescent="0.25">
      <c r="A1681" s="13">
        <f t="shared" si="34"/>
        <v>27</v>
      </c>
    </row>
    <row r="1682" spans="1:1" x14ac:dyDescent="0.25">
      <c r="A1682" s="13">
        <f t="shared" si="34"/>
        <v>27</v>
      </c>
    </row>
    <row r="1683" spans="1:1" x14ac:dyDescent="0.25">
      <c r="A1683" s="13">
        <f t="shared" si="34"/>
        <v>27</v>
      </c>
    </row>
    <row r="1684" spans="1:1" x14ac:dyDescent="0.25">
      <c r="A1684" s="13">
        <f t="shared" si="34"/>
        <v>27</v>
      </c>
    </row>
    <row r="1685" spans="1:1" x14ac:dyDescent="0.25">
      <c r="A1685" s="13">
        <f t="shared" si="34"/>
        <v>27</v>
      </c>
    </row>
    <row r="1686" spans="1:1" x14ac:dyDescent="0.25">
      <c r="A1686" s="13">
        <f t="shared" si="34"/>
        <v>27</v>
      </c>
    </row>
    <row r="1687" spans="1:1" x14ac:dyDescent="0.25">
      <c r="A1687" s="13">
        <f t="shared" si="34"/>
        <v>27</v>
      </c>
    </row>
    <row r="1688" spans="1:1" x14ac:dyDescent="0.25">
      <c r="A1688" s="13">
        <f t="shared" si="34"/>
        <v>27</v>
      </c>
    </row>
    <row r="1689" spans="1:1" x14ac:dyDescent="0.25">
      <c r="A1689" s="13">
        <f t="shared" si="34"/>
        <v>27</v>
      </c>
    </row>
    <row r="1690" spans="1:1" x14ac:dyDescent="0.25">
      <c r="A1690" s="13">
        <f t="shared" si="34"/>
        <v>27</v>
      </c>
    </row>
    <row r="1691" spans="1:1" x14ac:dyDescent="0.25">
      <c r="A1691" s="13">
        <f t="shared" si="34"/>
        <v>27</v>
      </c>
    </row>
    <row r="1692" spans="1:1" x14ac:dyDescent="0.25">
      <c r="A1692" s="13">
        <f t="shared" si="34"/>
        <v>27</v>
      </c>
    </row>
    <row r="1693" spans="1:1" x14ac:dyDescent="0.25">
      <c r="A1693" s="13">
        <f t="shared" si="34"/>
        <v>27</v>
      </c>
    </row>
    <row r="1694" spans="1:1" x14ac:dyDescent="0.25">
      <c r="A1694" s="13">
        <f t="shared" si="34"/>
        <v>27</v>
      </c>
    </row>
    <row r="1695" spans="1:1" x14ac:dyDescent="0.25">
      <c r="A1695" s="13">
        <f t="shared" si="34"/>
        <v>27</v>
      </c>
    </row>
    <row r="1696" spans="1:1" x14ac:dyDescent="0.25">
      <c r="A1696" s="13">
        <f t="shared" si="34"/>
        <v>27</v>
      </c>
    </row>
    <row r="1697" spans="1:1" x14ac:dyDescent="0.25">
      <c r="A1697" s="13">
        <f t="shared" si="34"/>
        <v>27</v>
      </c>
    </row>
    <row r="1698" spans="1:1" x14ac:dyDescent="0.25">
      <c r="A1698" s="13">
        <f t="shared" si="34"/>
        <v>27</v>
      </c>
    </row>
    <row r="1699" spans="1:1" x14ac:dyDescent="0.25">
      <c r="A1699" s="13">
        <f t="shared" si="34"/>
        <v>27</v>
      </c>
    </row>
    <row r="1700" spans="1:1" x14ac:dyDescent="0.25">
      <c r="A1700" s="13">
        <f t="shared" si="34"/>
        <v>27</v>
      </c>
    </row>
    <row r="1701" spans="1:1" x14ac:dyDescent="0.25">
      <c r="A1701" s="13">
        <f t="shared" si="34"/>
        <v>27</v>
      </c>
    </row>
    <row r="1702" spans="1:1" x14ac:dyDescent="0.25">
      <c r="A1702" s="13">
        <f t="shared" si="34"/>
        <v>27</v>
      </c>
    </row>
    <row r="1703" spans="1:1" x14ac:dyDescent="0.25">
      <c r="A1703" s="13">
        <f t="shared" si="34"/>
        <v>27</v>
      </c>
    </row>
    <row r="1704" spans="1:1" x14ac:dyDescent="0.25">
      <c r="A1704" s="13">
        <f t="shared" si="34"/>
        <v>27</v>
      </c>
    </row>
    <row r="1705" spans="1:1" x14ac:dyDescent="0.25">
      <c r="A1705" s="13">
        <f t="shared" si="34"/>
        <v>27</v>
      </c>
    </row>
    <row r="1706" spans="1:1" x14ac:dyDescent="0.25">
      <c r="A1706" s="13">
        <f t="shared" si="34"/>
        <v>27</v>
      </c>
    </row>
    <row r="1707" spans="1:1" x14ac:dyDescent="0.25">
      <c r="A1707" s="13">
        <f t="shared" si="34"/>
        <v>27</v>
      </c>
    </row>
    <row r="1708" spans="1:1" x14ac:dyDescent="0.25">
      <c r="A1708" s="13">
        <f t="shared" si="34"/>
        <v>27</v>
      </c>
    </row>
    <row r="1709" spans="1:1" x14ac:dyDescent="0.25">
      <c r="A1709" s="13">
        <f t="shared" si="34"/>
        <v>27</v>
      </c>
    </row>
    <row r="1710" spans="1:1" x14ac:dyDescent="0.25">
      <c r="A1710" s="13">
        <f t="shared" si="34"/>
        <v>27</v>
      </c>
    </row>
    <row r="1711" spans="1:1" x14ac:dyDescent="0.25">
      <c r="A1711" s="13">
        <f t="shared" si="34"/>
        <v>27</v>
      </c>
    </row>
    <row r="1712" spans="1:1" x14ac:dyDescent="0.25">
      <c r="A1712" s="13">
        <f t="shared" si="34"/>
        <v>27</v>
      </c>
    </row>
    <row r="1713" spans="1:1" x14ac:dyDescent="0.25">
      <c r="A1713" s="13">
        <f t="shared" si="34"/>
        <v>27</v>
      </c>
    </row>
    <row r="1714" spans="1:1" x14ac:dyDescent="0.25">
      <c r="A1714" s="13">
        <f t="shared" si="34"/>
        <v>27</v>
      </c>
    </row>
    <row r="1715" spans="1:1" x14ac:dyDescent="0.25">
      <c r="A1715" s="13">
        <f t="shared" si="34"/>
        <v>27</v>
      </c>
    </row>
    <row r="1716" spans="1:1" x14ac:dyDescent="0.25">
      <c r="A1716" s="13">
        <f t="shared" si="34"/>
        <v>27</v>
      </c>
    </row>
    <row r="1717" spans="1:1" x14ac:dyDescent="0.25">
      <c r="A1717" s="13">
        <f t="shared" si="34"/>
        <v>27</v>
      </c>
    </row>
    <row r="1718" spans="1:1" x14ac:dyDescent="0.25">
      <c r="A1718" s="13">
        <f t="shared" si="34"/>
        <v>27</v>
      </c>
    </row>
    <row r="1719" spans="1:1" x14ac:dyDescent="0.25">
      <c r="A1719" s="13">
        <f t="shared" si="34"/>
        <v>27</v>
      </c>
    </row>
    <row r="1720" spans="1:1" x14ac:dyDescent="0.25">
      <c r="A1720" s="13">
        <f t="shared" si="34"/>
        <v>27</v>
      </c>
    </row>
    <row r="1721" spans="1:1" x14ac:dyDescent="0.25">
      <c r="A1721" s="13">
        <f t="shared" si="34"/>
        <v>27</v>
      </c>
    </row>
    <row r="1722" spans="1:1" x14ac:dyDescent="0.25">
      <c r="A1722" s="13">
        <f t="shared" si="34"/>
        <v>27</v>
      </c>
    </row>
    <row r="1723" spans="1:1" x14ac:dyDescent="0.25">
      <c r="A1723" s="13">
        <f t="shared" si="34"/>
        <v>27</v>
      </c>
    </row>
    <row r="1724" spans="1:1" x14ac:dyDescent="0.25">
      <c r="A1724" s="13">
        <f t="shared" si="34"/>
        <v>27</v>
      </c>
    </row>
    <row r="1725" spans="1:1" x14ac:dyDescent="0.25">
      <c r="A1725" s="13">
        <f t="shared" si="34"/>
        <v>27</v>
      </c>
    </row>
    <row r="1726" spans="1:1" x14ac:dyDescent="0.25">
      <c r="A1726" s="13">
        <f t="shared" si="34"/>
        <v>27</v>
      </c>
    </row>
    <row r="1727" spans="1:1" x14ac:dyDescent="0.25">
      <c r="A1727" s="13">
        <f t="shared" si="34"/>
        <v>27</v>
      </c>
    </row>
    <row r="1728" spans="1:1" x14ac:dyDescent="0.25">
      <c r="A1728" s="13">
        <f t="shared" si="34"/>
        <v>27</v>
      </c>
    </row>
    <row r="1729" spans="1:1" x14ac:dyDescent="0.25">
      <c r="A1729" s="13">
        <f t="shared" si="34"/>
        <v>27</v>
      </c>
    </row>
    <row r="1730" spans="1:1" x14ac:dyDescent="0.25">
      <c r="A1730" s="13">
        <f t="shared" ref="A1730:A1748" si="35">IF(B1827=B1826,A1729,A1729+1)</f>
        <v>27</v>
      </c>
    </row>
    <row r="1731" spans="1:1" x14ac:dyDescent="0.25">
      <c r="A1731" s="13">
        <f t="shared" si="35"/>
        <v>27</v>
      </c>
    </row>
    <row r="1732" spans="1:1" x14ac:dyDescent="0.25">
      <c r="A1732" s="13">
        <f t="shared" si="35"/>
        <v>27</v>
      </c>
    </row>
    <row r="1733" spans="1:1" x14ac:dyDescent="0.25">
      <c r="A1733" s="13">
        <f t="shared" si="35"/>
        <v>27</v>
      </c>
    </row>
    <row r="1734" spans="1:1" x14ac:dyDescent="0.25">
      <c r="A1734" s="13">
        <f t="shared" si="35"/>
        <v>27</v>
      </c>
    </row>
    <row r="1735" spans="1:1" x14ac:dyDescent="0.25">
      <c r="A1735" s="13">
        <f t="shared" si="35"/>
        <v>27</v>
      </c>
    </row>
    <row r="1736" spans="1:1" x14ac:dyDescent="0.25">
      <c r="A1736" s="13">
        <f t="shared" si="35"/>
        <v>27</v>
      </c>
    </row>
    <row r="1737" spans="1:1" x14ac:dyDescent="0.25">
      <c r="A1737" s="13">
        <f t="shared" si="35"/>
        <v>27</v>
      </c>
    </row>
    <row r="1738" spans="1:1" x14ac:dyDescent="0.25">
      <c r="A1738" s="13">
        <f t="shared" si="35"/>
        <v>27</v>
      </c>
    </row>
    <row r="1739" spans="1:1" x14ac:dyDescent="0.25">
      <c r="A1739" s="13">
        <f t="shared" si="35"/>
        <v>27</v>
      </c>
    </row>
    <row r="1740" spans="1:1" x14ac:dyDescent="0.25">
      <c r="A1740" s="13">
        <f t="shared" si="35"/>
        <v>27</v>
      </c>
    </row>
    <row r="1741" spans="1:1" x14ac:dyDescent="0.25">
      <c r="A1741" s="13">
        <f t="shared" si="35"/>
        <v>27</v>
      </c>
    </row>
    <row r="1742" spans="1:1" x14ac:dyDescent="0.25">
      <c r="A1742" s="13">
        <f t="shared" si="35"/>
        <v>27</v>
      </c>
    </row>
    <row r="1743" spans="1:1" x14ac:dyDescent="0.25">
      <c r="A1743" s="13">
        <f t="shared" si="35"/>
        <v>27</v>
      </c>
    </row>
    <row r="1744" spans="1:1" x14ac:dyDescent="0.25">
      <c r="A1744" s="13">
        <f t="shared" si="35"/>
        <v>27</v>
      </c>
    </row>
    <row r="1745" spans="1:1" x14ac:dyDescent="0.25">
      <c r="A1745" s="13">
        <f t="shared" si="35"/>
        <v>27</v>
      </c>
    </row>
    <row r="1746" spans="1:1" x14ac:dyDescent="0.25">
      <c r="A1746" s="13">
        <f t="shared" si="35"/>
        <v>27</v>
      </c>
    </row>
    <row r="1747" spans="1:1" x14ac:dyDescent="0.25">
      <c r="A1747" s="13">
        <f t="shared" si="35"/>
        <v>27</v>
      </c>
    </row>
    <row r="1748" spans="1:1" x14ac:dyDescent="0.25">
      <c r="A1748" s="13">
        <f t="shared" si="35"/>
        <v>27</v>
      </c>
    </row>
  </sheetData>
  <mergeCells count="3">
    <mergeCell ref="M3:N3"/>
    <mergeCell ref="O3:P3"/>
    <mergeCell ref="V3:W3"/>
  </mergeCells>
  <conditionalFormatting sqref="B4:J4 G159:G167 G5:J158 B5:F167 F168:F172 B168:C174 B173:G174 I159:J174 B175:J214 B215:G228 I215:J228 B355:J13097 B229:J237 B346:J353 B238:G345 I238:J345">
    <cfRule type="expression" dxfId="107" priority="12">
      <formula>IF($B4=$B3,0,1)</formula>
    </cfRule>
  </conditionalFormatting>
  <conditionalFormatting sqref="J1017:J1349">
    <cfRule type="expression" dxfId="106" priority="11">
      <formula>IF($J1017=0,1,0)</formula>
    </cfRule>
  </conditionalFormatting>
  <conditionalFormatting sqref="K888:L900 L873:L887 K159:L872 O159:O900">
    <cfRule type="expression" dxfId="105" priority="10">
      <formula>IF($K159=0,0,1)</formula>
    </cfRule>
  </conditionalFormatting>
  <conditionalFormatting sqref="N901:N1214">
    <cfRule type="expression" dxfId="104" priority="9">
      <formula>IF(ISNUMBER(CODE($N901)),1,0)</formula>
    </cfRule>
  </conditionalFormatting>
  <conditionalFormatting sqref="L4:P4 L5:L464 M5:N900 O5:P464">
    <cfRule type="expression" dxfId="103" priority="13">
      <formula>IF($L4=0,1,0)</formula>
    </cfRule>
    <cfRule type="expression" dxfId="102" priority="14">
      <formula>IF($L4=0,0,1)</formula>
    </cfRule>
  </conditionalFormatting>
  <conditionalFormatting sqref="O4:P158">
    <cfRule type="expression" dxfId="101" priority="15">
      <formula>IF(ISNUMBER(CODE($P4)),1,0)</formula>
    </cfRule>
  </conditionalFormatting>
  <conditionalFormatting sqref="K888:L900 L873:L887 O159:O900 K159:L872">
    <cfRule type="expression" dxfId="100" priority="16">
      <formula>IF($K159=0,1,0)</formula>
    </cfRule>
  </conditionalFormatting>
  <conditionalFormatting sqref="O159:O900">
    <cfRule type="expression" dxfId="99" priority="17">
      <formula>IF(ISNUMBER(CODE($O159)),1,0)</formula>
    </cfRule>
  </conditionalFormatting>
  <conditionalFormatting sqref="L901:M1214">
    <cfRule type="expression" dxfId="98" priority="18">
      <formula>IF($K901=0,1,0)</formula>
    </cfRule>
    <cfRule type="expression" dxfId="97" priority="19">
      <formula>IF($K901=0,0,1)</formula>
    </cfRule>
  </conditionalFormatting>
  <conditionalFormatting sqref="K1215:N1230 K901:K1214 N901:N1214">
    <cfRule type="expression" dxfId="96" priority="20">
      <formula>IF($J1020=0,1,0)</formula>
    </cfRule>
  </conditionalFormatting>
  <conditionalFormatting sqref="H159:H167">
    <cfRule type="expression" dxfId="95" priority="8">
      <formula>IF($B159=$B158,0,1)</formula>
    </cfRule>
  </conditionalFormatting>
  <conditionalFormatting sqref="D168:E172">
    <cfRule type="expression" dxfId="94" priority="7">
      <formula>IF($B168=$B167,0,1)</formula>
    </cfRule>
  </conditionalFormatting>
  <conditionalFormatting sqref="G168:G172">
    <cfRule type="expression" dxfId="93" priority="6">
      <formula>IF($B168=$B167,0,1)</formula>
    </cfRule>
  </conditionalFormatting>
  <conditionalFormatting sqref="H168:H174">
    <cfRule type="expression" dxfId="92" priority="5">
      <formula>IF($B168=$B167,0,1)</formula>
    </cfRule>
  </conditionalFormatting>
  <conditionalFormatting sqref="H215:H221">
    <cfRule type="expression" dxfId="91" priority="4">
      <formula>IF($B215=$B214,0,1)</formula>
    </cfRule>
  </conditionalFormatting>
  <conditionalFormatting sqref="H222:H228">
    <cfRule type="expression" dxfId="90" priority="3">
      <formula>IF($B222=$B221,0,1)</formula>
    </cfRule>
  </conditionalFormatting>
  <conditionalFormatting sqref="B354:J354">
    <cfRule type="expression" dxfId="89" priority="36">
      <formula>IF($B354=$B256,0,1)</formula>
    </cfRule>
  </conditionalFormatting>
  <conditionalFormatting sqref="H329:H345">
    <cfRule type="expression" dxfId="88" priority="2">
      <formula>IF($B329=$B328,0,1)</formula>
    </cfRule>
  </conditionalFormatting>
  <conditionalFormatting sqref="H238:H345">
    <cfRule type="expression" dxfId="87" priority="1">
      <formula>IF($A238&lt;&gt;$A237,1,0)</formula>
    </cfRule>
  </conditionalFormatting>
  <dataValidations count="1">
    <dataValidation type="list" allowBlank="1" showInputMessage="1" showErrorMessage="1" sqref="T2">
      <formula1>$Y$4:$Y$10</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A1748"/>
  <sheetViews>
    <sheetView topLeftCell="B324" zoomScaleNormal="100" workbookViewId="0">
      <selection activeCell="F333" sqref="F333"/>
    </sheetView>
  </sheetViews>
  <sheetFormatPr defaultRowHeight="15" x14ac:dyDescent="0.25"/>
  <cols>
    <col min="1" max="1" width="1.28515625" style="13" customWidth="1"/>
    <col min="2" max="2" width="9.7109375" bestFit="1" customWidth="1"/>
    <col min="3" max="3" width="12.7109375" bestFit="1" customWidth="1"/>
    <col min="4" max="4" width="25.7109375" style="14" bestFit="1" customWidth="1"/>
    <col min="5" max="5" width="21.5703125" customWidth="1"/>
    <col min="6" max="6" width="9.7109375" bestFit="1" customWidth="1"/>
    <col min="7" max="7" width="11.140625" bestFit="1" customWidth="1"/>
    <col min="10" max="10" width="15.5703125" style="69" bestFit="1" customWidth="1"/>
    <col min="11" max="12" width="10.7109375" style="69" bestFit="1" customWidth="1"/>
    <col min="13" max="13" width="7.140625" style="69" customWidth="1"/>
    <col min="14" max="14" width="8.28515625" bestFit="1" customWidth="1"/>
    <col min="15" max="15" width="7.7109375" bestFit="1" customWidth="1"/>
    <col min="18" max="18" width="8.85546875" bestFit="1" customWidth="1"/>
    <col min="19" max="19" width="12" bestFit="1" customWidth="1"/>
    <col min="20" max="20" width="17.140625" bestFit="1" customWidth="1"/>
    <col min="21" max="21" width="14.5703125" bestFit="1" customWidth="1"/>
    <col min="22" max="22" width="12.7109375" bestFit="1" customWidth="1"/>
    <col min="26" max="26" width="11" bestFit="1" customWidth="1"/>
  </cols>
  <sheetData>
    <row r="2" spans="1:27" ht="18" customHeight="1" x14ac:dyDescent="0.25">
      <c r="T2" t="s">
        <v>802</v>
      </c>
    </row>
    <row r="3" spans="1:27" x14ac:dyDescent="0.25">
      <c r="B3" s="69" t="s">
        <v>786</v>
      </c>
      <c r="C3" s="69" t="s">
        <v>785</v>
      </c>
      <c r="D3" s="69" t="s">
        <v>787</v>
      </c>
      <c r="E3" s="69" t="s">
        <v>782</v>
      </c>
      <c r="F3" s="69" t="s">
        <v>788</v>
      </c>
      <c r="G3" s="69" t="s">
        <v>789</v>
      </c>
      <c r="H3" s="69" t="s">
        <v>790</v>
      </c>
      <c r="I3" s="69" t="s">
        <v>791</v>
      </c>
      <c r="J3" s="69" t="s">
        <v>792</v>
      </c>
      <c r="K3"/>
      <c r="L3" s="15" t="s">
        <v>786</v>
      </c>
      <c r="M3" s="93" t="s">
        <v>793</v>
      </c>
      <c r="N3" s="93"/>
      <c r="O3" s="93" t="s">
        <v>794</v>
      </c>
      <c r="P3" s="94"/>
      <c r="Q3" t="s">
        <v>1345</v>
      </c>
      <c r="R3" t="s">
        <v>1345</v>
      </c>
      <c r="T3" s="16" t="s">
        <v>795</v>
      </c>
      <c r="U3" s="16" t="s">
        <v>793</v>
      </c>
      <c r="V3" s="93" t="s">
        <v>794</v>
      </c>
      <c r="W3" s="94"/>
    </row>
    <row r="4" spans="1:27" x14ac:dyDescent="0.25">
      <c r="A4" s="13">
        <f t="shared" ref="A4:A67" si="0">IF(B4=B3,A3,A3+1)</f>
        <v>1</v>
      </c>
      <c r="B4" s="17">
        <v>43578</v>
      </c>
      <c r="C4" s="17" t="s">
        <v>802</v>
      </c>
      <c r="D4" s="18" t="s">
        <v>811</v>
      </c>
      <c r="E4" s="11" t="s">
        <v>812</v>
      </c>
      <c r="F4" s="19">
        <f>IF(Bets35[[#This Row],[Odds]]&lt;0,Bets35[[#This Row],[Odds]]/-10,1000/Bets3[[#This Row],[Odds]])</f>
        <v>4.7619047619047619</v>
      </c>
      <c r="G4" s="46" t="s">
        <v>813</v>
      </c>
      <c r="H4" s="21" t="s">
        <v>262</v>
      </c>
      <c r="I4" s="22">
        <f>IF(Bets3[[#This Row],[Result]]="L",0-Bets3[[#This Row],[Risk]],IF(Bets3[[#This Row],[Result]]="Push",0,IF(Bets3[[#This Row],[Result]]="No Action",0,IF(Bets3[[#This Row],[Result]]="W",IF(Bets3[[#This Row],[Odds]]&gt;0,Bets3[[#This Row],[Odds]]/100*Bets3[[#This Row],[Risk]],(Bets3[[#This Row],[Risk]]/Bets3[[#This Row],[Odds]]*-100)),""))))</f>
        <v>10</v>
      </c>
      <c r="J4" s="23" t="str">
        <f>IF(ISNUMBER(SEARCH(CHAR(10),Bets3[[#This Row],[Bet]])),"P",IF(ISNUMBER(FIND("Under",Bets3[[#This Row],[Bet]])),"U",IF(ISNUMBER(SEARCH("Over",Bets3[[#This Row],[Bet]])),"O",IF(ISNUMBER(SEARCH("+",Bets3[[#This Row],[Bet]])),"D",IF(ISNUMBER(SEARCH("-",Bets3[[#This Row],[Bet]])),"F",IF(ISNUMBER(SEARCH("Moneyline",Bets3[[#This Row],[Bet]])),IF(Bets3[[#This Row],[Odds]]&lt;0,"MF","MD"),""))))))</f>
        <v>MD</v>
      </c>
      <c r="K4"/>
      <c r="L4" s="24">
        <f t="shared" ref="L4:L67" si="1">IFERROR(VLOOKUP(ROW()-3,A:B,2,0),0)</f>
        <v>43578</v>
      </c>
      <c r="M4" s="1" t="str">
        <f>COUNTIFS(Bets3[Date],L4,Bets3[Result],"W")&amp;"-"&amp;COUNTIFS(Bets3[Date],L4,Bets3[Result],"L")&amp;IF(COUNTIFS(Bets3[Date],L4,Bets3[Result],"Push")&gt;0,"-"&amp;COUNTIFS(Bets3[Date],L4,Bets3[Result],"Push"),"")</f>
        <v>11-7-1</v>
      </c>
      <c r="N4" s="25">
        <f>IFERROR(COUNTIFS(Bets3[Date],L4,Bets3[Result],"W")/(COUNTIFS(Bets3[Date],L4,Bets3[Result],"W")+COUNTIFS(Bets3[Date],L4,Bets3[Result],"L")),"")</f>
        <v>0.61111111111111116</v>
      </c>
      <c r="O4" s="26">
        <f>SUMIF(Bets3[Date],L4,Bets3[Net])</f>
        <v>34.704632726371855</v>
      </c>
      <c r="P4" s="27" t="str">
        <f>IFERROR("("&amp;ROUND(SUMIF(Bets3[Date],L4,Bets3[Net])/SUMIF(Bets3[Date],L4,Bets3[Risk]),2)*100&amp;"%)","")</f>
        <v>(17%)</v>
      </c>
      <c r="Q4" s="72">
        <f>O4</f>
        <v>34.704632726371855</v>
      </c>
      <c r="R4" s="73">
        <f>IFERROR(SUMIF(Bets3[Date],"&lt;="&amp;L4,Bets3[Net])/SUMIF(Bets3[Date],"&lt;="&amp;L4,Bets3[Risk]),"")</f>
        <v>0.16621310243274173</v>
      </c>
      <c r="S4" s="28" t="s">
        <v>796</v>
      </c>
      <c r="T4" s="29" t="s">
        <v>797</v>
      </c>
      <c r="U4" s="16" t="str">
        <f>IFERROR(IF($T$2="All",COUNTIFS(Bets3[Bet Type],S4,Bets3[Result],"W")&amp;"-"&amp;COUNTIFS(Bets3[Bet Type],S4,Bets3[Result],"L")&amp;IF(COUNTIFS(Bets3[Bet Type],S4,Bets3[Result],"Push")&gt;0,"-"&amp;COUNTIFS(Bets3[Bet Type],S4,Bets3[Result],"Push"),"")&amp;" ("&amp;ROUND(COUNTIFS(Bets3[Bet Type],S4,Bets3[Result],"W")/(COUNTIFS(Bets3[Bet Type],S4,Bets3[Result],"W")+COUNTIFS(Bets3[Bet Type],S4,Bets3[Result],"L"))*100,1)&amp;"%)",COUNTIFS(Bets3[Sport],$T$2,Bets3[Bet Type],S4,Bets3[Result],"W")&amp;"-"&amp;COUNTIFS(Bets3[Sport],$T$2,Bets3[Bet Type],S4,Bets3[Result],"L")&amp;IF(COUNTIFS(Bets3[Sport],$T$2,Bets3[Bet Type],S4,Bets3[Result],"Push")&gt;0,"-"&amp;COUNTIFS(Bets3[Sport],$T$2,Bets3[Bet Type],S4,Bets3[Result],"Push"),"")&amp;" ("&amp;ROUND(COUNTIFS(Bets3[Sport],$T$2,Bets3[Bet Type],S4,Bets3[Result],"W")/(COUNTIFS(Bets3[Sport],$T$2,Bets3[Bet Type],S4,Bets3[Result],"W")+COUNTIFS(Bets3[Sport],$T$2,Bets3[Bet Type],S4,Bets3[Result],"L"))*100,1)&amp;"%)"),"No Bets")</f>
        <v>40-31-3 (56.3%)</v>
      </c>
      <c r="V4" s="30">
        <f>IF($T$2="All",SUMIF(Bets3[Bet Type],S4,Bets3[Net]),SUMIFS(Bets3[Net],Bets3[Bet Type],S4,Bets3[Sport],$T$2))</f>
        <v>84.868773521600872</v>
      </c>
      <c r="W4" s="31" t="str">
        <f>IF($T$2="All",IFERROR("("&amp;ROUND((SUMIF(Bets3[Bet Type],S4,Bets3[Net]))/SUMIF(Bets3[Bet Type],S4,Bets3[Risk]),2)*100&amp;"%)",""),IFERROR("("&amp;ROUND((SUMIFS(Bets3[Net],Bets3[Bet Type],S4,Bets3[Sport],$T$2))/SUMIFS(Bets3[Risk],Bets3[Bet Type],S4,Bets3[Sport],$T$2),2)*100&amp;"%)",""))</f>
        <v>(12%)</v>
      </c>
    </row>
    <row r="5" spans="1:27" x14ac:dyDescent="0.25">
      <c r="A5" s="13">
        <f t="shared" si="0"/>
        <v>1</v>
      </c>
      <c r="B5" s="17">
        <v>43578</v>
      </c>
      <c r="C5" s="17" t="s">
        <v>802</v>
      </c>
      <c r="D5" s="18" t="s">
        <v>814</v>
      </c>
      <c r="E5" s="11" t="s">
        <v>815</v>
      </c>
      <c r="F5" s="19">
        <f>IF(Bets35[[#This Row],[Odds]]&lt;0,Bets35[[#This Row],[Odds]]/-10,1000/Bets3[[#This Row],[Odds]])</f>
        <v>11.5</v>
      </c>
      <c r="G5" s="46">
        <v>-115</v>
      </c>
      <c r="H5" s="21" t="s">
        <v>263</v>
      </c>
      <c r="I5" s="22">
        <f>IF(Bets3[[#This Row],[Result]]="L",0-Bets3[[#This Row],[Risk]],IF(Bets3[[#This Row],[Result]]="Push",0,IF(Bets3[[#This Row],[Result]]="No Action",0,IF(Bets3[[#This Row],[Result]]="W",IF(Bets3[[#This Row],[Odds]]&gt;0,Bets3[[#This Row],[Odds]]/100*Bets3[[#This Row],[Risk]],(Bets3[[#This Row],[Risk]]/Bets3[[#This Row],[Odds]]*-100)),""))))</f>
        <v>-11.5</v>
      </c>
      <c r="J5" s="23" t="str">
        <f>IF(ISNUMBER(SEARCH(CHAR(10),Bets3[[#This Row],[Bet]])),"P",IF(ISNUMBER(FIND("Under",Bets3[[#This Row],[Bet]])),"U",IF(ISNUMBER(SEARCH("Over",Bets3[[#This Row],[Bet]])),"O",IF(ISNUMBER(SEARCH("+",Bets3[[#This Row],[Bet]])),"D",IF(ISNUMBER(SEARCH("-",Bets3[[#This Row],[Bet]])),"F",IF(ISNUMBER(SEARCH("Moneyline",Bets3[[#This Row],[Bet]])),IF(Bets3[[#This Row],[Odds]]&lt;0,"MF","MD"),""))))))</f>
        <v>MF</v>
      </c>
      <c r="K5"/>
      <c r="L5" s="24">
        <f t="shared" si="1"/>
        <v>43579</v>
      </c>
      <c r="M5" s="1" t="str">
        <f>COUNTIFS(Bets3[Date],L5,Bets3[Result],"W")&amp;"-"&amp;COUNTIFS(Bets3[Date],L5,Bets3[Result],"L")&amp;IF(COUNTIFS(Bets3[Date],L5,Bets3[Result],"Push")&gt;0,"-"&amp;COUNTIFS(Bets3[Date],L5,Bets3[Result],"Push"),"")</f>
        <v>11-9</v>
      </c>
      <c r="N5" s="25">
        <f>IFERROR(COUNTIFS(Bets3[Date],L5,Bets3[Result],"W")/(COUNTIFS(Bets3[Date],L5,Bets3[Result],"W")+COUNTIFS(Bets3[Date],L5,Bets3[Result],"L")),"")</f>
        <v>0.55000000000000004</v>
      </c>
      <c r="O5" s="26">
        <f>SUMIF(Bets3[Date],L5,Bets3[Net])</f>
        <v>13.929625929625928</v>
      </c>
      <c r="P5" s="27" t="str">
        <f>IFERROR("("&amp;ROUND(SUMIF(Bets3[Date],L5,Bets3[Net])/SUMIF(Bets3[Date],L5,Bets3[Risk]),2)*100&amp;"%)","")</f>
        <v>(6%)</v>
      </c>
      <c r="Q5" s="72">
        <f>IF(L5&lt;&gt;0,Q4+O5,"")</f>
        <v>48.634258655997783</v>
      </c>
      <c r="R5" s="73">
        <f>IFERROR(SUMIF(Bets3[Date],"&lt;="&amp;L5,Bets3[Net])/SUMIF(Bets3[Date],"&lt;="&amp;L5,Bets3[Risk]),"")</f>
        <v>0.11217370180848188</v>
      </c>
      <c r="S5" s="28" t="s">
        <v>798</v>
      </c>
      <c r="T5" s="29" t="s">
        <v>799</v>
      </c>
      <c r="U5" s="16" t="str">
        <f>IFERROR(IF($T$2="All",COUNTIFS(Bets3[Bet Type],S5,Bets3[Result],"W")&amp;"-"&amp;COUNTIFS(Bets3[Bet Type],S5,Bets3[Result],"L")&amp;IF(COUNTIFS(Bets3[Bet Type],S5,Bets3[Result],"Push")&gt;0,"-"&amp;COUNTIFS(Bets3[Bet Type],S5,Bets3[Result],"Push"),"")&amp;" ("&amp;ROUND(COUNTIFS(Bets3[Bet Type],S5,Bets3[Result],"W")/(COUNTIFS(Bets3[Bet Type],S5,Bets3[Result],"W")+COUNTIFS(Bets3[Bet Type],S5,Bets3[Result],"L"))*100,1)&amp;"%)",COUNTIFS(Bets3[Sport],$T$2,Bets3[Bet Type],S5,Bets3[Result],"W")&amp;"-"&amp;COUNTIFS(Bets3[Sport],$T$2,Bets3[Bet Type],S5,Bets3[Result],"L")&amp;IF(COUNTIFS(Bets3[Sport],$T$2,Bets3[Bet Type],S5,Bets3[Result],"Push")&gt;0,"-"&amp;COUNTIFS(Bets3[Sport],$T$2,Bets3[Bet Type],S5,Bets3[Result],"Push"),"")&amp;" ("&amp;ROUND(COUNTIFS(Bets3[Sport],$T$2,Bets3[Bet Type],S5,Bets3[Result],"W")/(COUNTIFS(Bets3[Sport],$T$2,Bets3[Bet Type],S5,Bets3[Result],"W")+COUNTIFS(Bets3[Sport],$T$2,Bets3[Bet Type],S5,Bets3[Result],"L"))*100,1)&amp;"%)"),"No Bets")</f>
        <v>34-28-6 (54.8%)</v>
      </c>
      <c r="V5" s="30">
        <f>IF($T$2="All",SUMIF(Bets3[Bet Type],S5,Bets3[Net]),SUMIFS(Bets3[Net],Bets3[Bet Type],S5,Bets3[Sport],$T$2))</f>
        <v>72.546226394027457</v>
      </c>
      <c r="W5" s="31" t="str">
        <f>IF($T$2="All",IFERROR("("&amp;ROUND((SUMIF(Bets3[Bet Type],S5,Bets3[Net]))/SUMIF(Bets3[Bet Type],S5,Bets3[Risk]),2)*100&amp;"%)",""),IFERROR("("&amp;ROUND((SUMIFS(Bets3[Net],Bets3[Bet Type],S5,Bets3[Sport],$T$2))/SUMIFS(Bets3[Risk],Bets3[Bet Type],S5,Bets3[Sport],$T$2),2)*100&amp;"%)",""))</f>
        <v>(10%)</v>
      </c>
    </row>
    <row r="6" spans="1:27" x14ac:dyDescent="0.25">
      <c r="A6" s="13">
        <f t="shared" si="0"/>
        <v>1</v>
      </c>
      <c r="B6" s="17">
        <v>43578</v>
      </c>
      <c r="C6" s="17" t="s">
        <v>802</v>
      </c>
      <c r="D6" s="18" t="s">
        <v>816</v>
      </c>
      <c r="E6" s="11" t="s">
        <v>810</v>
      </c>
      <c r="F6" s="19">
        <f>IF(Bets35[[#This Row],[Odds]]&lt;0,Bets35[[#This Row],[Odds]]/-10,1000/Bets3[[#This Row],[Odds]])</f>
        <v>8.3333333333333339</v>
      </c>
      <c r="G6" s="47" t="s">
        <v>817</v>
      </c>
      <c r="H6" s="21" t="s">
        <v>262</v>
      </c>
      <c r="I6" s="45">
        <f>IF(Bets3[[#This Row],[Result]]="L",0-Bets3[[#This Row],[Risk]],IF(Bets3[[#This Row],[Result]]="Push",0,IF(Bets3[[#This Row],[Result]]="No Action",0,IF(Bets3[[#This Row],[Result]]="W",IF(Bets3[[#This Row],[Odds]]&gt;0,Bets3[[#This Row],[Odds]]/100*Bets3[[#This Row],[Risk]],(Bets3[[#This Row],[Risk]]/Bets3[[#This Row],[Odds]]*-100)),""))))</f>
        <v>10</v>
      </c>
      <c r="J6" s="23" t="str">
        <f>IF(ISNUMBER(SEARCH(CHAR(10),Bets3[[#This Row],[Bet]])),"P",IF(ISNUMBER(FIND("Under",Bets3[[#This Row],[Bet]])),"U",IF(ISNUMBER(SEARCH("Over",Bets3[[#This Row],[Bet]])),"O",IF(ISNUMBER(SEARCH("+",Bets3[[#This Row],[Bet]])),"D",IF(ISNUMBER(SEARCH("-",Bets3[[#This Row],[Bet]])),"F",IF(ISNUMBER(SEARCH("Moneyline",Bets3[[#This Row],[Bet]])),IF(Bets3[[#This Row],[Odds]]&lt;0,"MF","MD"),""))))))</f>
        <v>MD</v>
      </c>
      <c r="K6"/>
      <c r="L6" s="24">
        <f t="shared" si="1"/>
        <v>43580</v>
      </c>
      <c r="M6" s="1" t="str">
        <f>COUNTIFS(Bets3[Date],L6,Bets3[Result],"W")&amp;"-"&amp;COUNTIFS(Bets3[Date],L6,Bets3[Result],"L")&amp;IF(COUNTIFS(Bets3[Date],L6,Bets3[Result],"Push")&gt;0,"-"&amp;COUNTIFS(Bets3[Date],L6,Bets3[Result],"Push"),"")</f>
        <v>3-2</v>
      </c>
      <c r="N6" s="25">
        <f>IFERROR(COUNTIFS(Bets3[Date],L6,Bets3[Result],"W")/(COUNTIFS(Bets3[Date],L6,Bets3[Result],"W")+COUNTIFS(Bets3[Date],L6,Bets3[Result],"L")),"")</f>
        <v>0.6</v>
      </c>
      <c r="O6" s="26">
        <f>SUMIF(Bets3[Date],L6,Bets3[Net])</f>
        <v>16.758893280632414</v>
      </c>
      <c r="P6" s="27" t="str">
        <f>IFERROR("("&amp;ROUND(SUMIF(Bets3[Date],L6,Bets3[Net])/SUMIF(Bets3[Date],L6,Bets3[Risk]),2)*100&amp;"%)","")</f>
        <v>(44%)</v>
      </c>
      <c r="Q6" s="72">
        <f t="shared" ref="Q6:Q69" si="2">IF(L6&lt;&gt;0,Q5+O6,"")</f>
        <v>65.393151936630204</v>
      </c>
      <c r="R6" s="73">
        <f>IFERROR(SUMIF(Bets3[Date],"&lt;="&amp;L6,Bets3[Net])/SUMIF(Bets3[Date],"&lt;="&amp;L6,Bets3[Risk]),"")</f>
        <v>0.13857591877800055</v>
      </c>
      <c r="S6" s="28" t="s">
        <v>800</v>
      </c>
      <c r="T6" s="29" t="s">
        <v>1211</v>
      </c>
      <c r="U6" s="16" t="str">
        <f>IFERROR(IF($T$2="All",COUNTIFS(Bets3[Bet Type],S6,Bets3[Result],"W")&amp;"-"&amp;COUNTIFS(Bets3[Bet Type],S6,Bets3[Result],"L")&amp;IF(COUNTIFS(Bets3[Bet Type],S6,Bets3[Result],"Push")&gt;0,"-"&amp;COUNTIFS(Bets3[Bet Type],S6,Bets3[Result],"Push"),"")&amp;" ("&amp;ROUND(COUNTIFS(Bets3[Bet Type],S6,Bets3[Result],"W")/(COUNTIFS(Bets3[Bet Type],S6,Bets3[Result],"W")+COUNTIFS(Bets3[Bet Type],S6,Bets3[Result],"L"))*100,1)&amp;"%)",COUNTIFS(Bets3[Sport],$T$2,Bets3[Bet Type],S6,Bets3[Result],"W")&amp;"-"&amp;COUNTIFS(Bets3[Sport],$T$2,Bets3[Bet Type],S6,Bets3[Result],"L")&amp;IF(COUNTIFS(Bets3[Sport],$T$2,Bets3[Bet Type],S6,Bets3[Result],"Push")&gt;0,"-"&amp;COUNTIFS(Bets3[Sport],$T$2,Bets3[Bet Type],S6,Bets3[Result],"Push"),"")&amp;" ("&amp;ROUND(COUNTIFS(Bets3[Sport],$T$2,Bets3[Bet Type],S6,Bets3[Result],"W")/(COUNTIFS(Bets3[Sport],$T$2,Bets3[Bet Type],S6,Bets3[Result],"W")+COUNTIFS(Bets3[Sport],$T$2,Bets3[Bet Type],S6,Bets3[Result],"L"))*100,1)&amp;"%)"),"No Bets")</f>
        <v>No Bets</v>
      </c>
      <c r="V6" s="30">
        <f>IF($T$2="All",SUMIF(Bets3[Bet Type],S6,Bets3[Net]),SUMIFS(Bets3[Net],Bets3[Bet Type],S6,Bets3[Sport],$T$2))</f>
        <v>0</v>
      </c>
      <c r="W6" s="31" t="str">
        <f>IF($T$2="All",IFERROR("("&amp;ROUND((SUMIF(Bets3[Bet Type],S6,Bets3[Net]))/SUMIF(Bets3[Bet Type],S6,Bets3[Risk]),2)*100&amp;"%)",""),IFERROR("("&amp;ROUND((SUMIFS(Bets3[Net],Bets3[Bet Type],S6,Bets3[Sport],$T$2))/SUMIFS(Bets3[Risk],Bets3[Bet Type],S6,Bets3[Sport],$T$2),2)*100&amp;"%)",""))</f>
        <v/>
      </c>
    </row>
    <row r="7" spans="1:27" x14ac:dyDescent="0.25">
      <c r="A7" s="13">
        <f t="shared" si="0"/>
        <v>1</v>
      </c>
      <c r="B7" s="17">
        <v>43578</v>
      </c>
      <c r="C7" s="17" t="s">
        <v>802</v>
      </c>
      <c r="D7" s="18" t="s">
        <v>818</v>
      </c>
      <c r="E7" s="11" t="s">
        <v>819</v>
      </c>
      <c r="F7" s="19">
        <f>IF(Bets35[[#This Row],[Odds]]&lt;0,Bets35[[#This Row],[Odds]]/-10,1000/Bets3[[#This Row],[Odds]])</f>
        <v>20</v>
      </c>
      <c r="G7" s="47">
        <v>-200</v>
      </c>
      <c r="H7" s="21" t="s">
        <v>262</v>
      </c>
      <c r="I7" s="45">
        <f>IF(Bets3[[#This Row],[Result]]="L",0-Bets3[[#This Row],[Risk]],IF(Bets3[[#This Row],[Result]]="Push",0,IF(Bets3[[#This Row],[Result]]="No Action",0,IF(Bets3[[#This Row],[Result]]="W",IF(Bets3[[#This Row],[Odds]]&gt;0,Bets3[[#This Row],[Odds]]/100*Bets3[[#This Row],[Risk]],(Bets3[[#This Row],[Risk]]/Bets3[[#This Row],[Odds]]*-100)),""))))</f>
        <v>10</v>
      </c>
      <c r="J7" s="23" t="str">
        <f>IF(ISNUMBER(SEARCH(CHAR(10),Bets3[[#This Row],[Bet]])),"P",IF(ISNUMBER(FIND("Under",Bets3[[#This Row],[Bet]])),"U",IF(ISNUMBER(SEARCH("Over",Bets3[[#This Row],[Bet]])),"O",IF(ISNUMBER(SEARCH("+",Bets3[[#This Row],[Bet]])),"D",IF(ISNUMBER(SEARCH("-",Bets3[[#This Row],[Bet]])),"F",IF(ISNUMBER(SEARCH("Moneyline",Bets3[[#This Row],[Bet]])),IF(Bets3[[#This Row],[Odds]]&lt;0,"MF","MD"),""))))))</f>
        <v>MF</v>
      </c>
      <c r="K7"/>
      <c r="L7" s="24">
        <f t="shared" si="1"/>
        <v>43581</v>
      </c>
      <c r="M7" s="1" t="str">
        <f>COUNTIFS(Bets3[Date],L7,Bets3[Result],"W")&amp;"-"&amp;COUNTIFS(Bets3[Date],L7,Bets3[Result],"L")&amp;IF(COUNTIFS(Bets3[Date],L7,Bets3[Result],"Push")&gt;0,"-"&amp;COUNTIFS(Bets3[Date],L7,Bets3[Result],"Push"),"")</f>
        <v>4-4-2</v>
      </c>
      <c r="N7" s="25">
        <f>IFERROR(COUNTIFS(Bets3[Date],L7,Bets3[Result],"W")/(COUNTIFS(Bets3[Date],L7,Bets3[Result],"W")+COUNTIFS(Bets3[Date],L7,Bets3[Result],"L")),"")</f>
        <v>0.5</v>
      </c>
      <c r="O7" s="26">
        <f>SUMIF(Bets3[Date],L7,Bets3[Net])</f>
        <v>-17.299999999999997</v>
      </c>
      <c r="P7" s="27" t="str">
        <f>IFERROR("("&amp;ROUND(SUMIF(Bets3[Date],L7,Bets3[Net])/SUMIF(Bets3[Date],L7,Bets3[Risk]),2)*100&amp;"%)","")</f>
        <v>(-13%)</v>
      </c>
      <c r="Q7" s="72">
        <f t="shared" si="2"/>
        <v>48.093151936630207</v>
      </c>
      <c r="R7" s="73">
        <f>IFERROR(SUMIF(Bets3[Date],"&lt;="&amp;L7,Bets3[Net])/SUMIF(Bets3[Date],"&lt;="&amp;L7,Bets3[Risk]),"")</f>
        <v>7.9150326078989156E-2</v>
      </c>
      <c r="S7" s="28" t="s">
        <v>801</v>
      </c>
      <c r="T7" s="29" t="s">
        <v>1212</v>
      </c>
      <c r="U7" s="16" t="str">
        <f>IFERROR(IF($T$2="All",COUNTIFS(Bets3[Bet Type],S7,Bets3[Result],"W")&amp;"-"&amp;COUNTIFS(Bets3[Bet Type],S7,Bets3[Result],"L")&amp;IF(COUNTIFS(Bets3[Bet Type],S7,Bets3[Result],"Push")&gt;0,"-"&amp;COUNTIFS(Bets3[Bet Type],S7,Bets3[Result],"Push"),"")&amp;" ("&amp;ROUND(COUNTIFS(Bets3[Bet Type],S7,Bets3[Result],"W")/(COUNTIFS(Bets3[Bet Type],S7,Bets3[Result],"W")+COUNTIFS(Bets3[Bet Type],S7,Bets3[Result],"L"))*100,1)&amp;"%)",COUNTIFS(Bets3[Sport],$T$2,Bets3[Bet Type],S7,Bets3[Result],"W")&amp;"-"&amp;COUNTIFS(Bets3[Sport],$T$2,Bets3[Bet Type],S7,Bets3[Result],"L")&amp;IF(COUNTIFS(Bets3[Sport],$T$2,Bets3[Bet Type],S7,Bets3[Result],"Push")&gt;0,"-"&amp;COUNTIFS(Bets3[Sport],$T$2,Bets3[Bet Type],S7,Bets3[Result],"Push"),"")&amp;" ("&amp;ROUND(COUNTIFS(Bets3[Sport],$T$2,Bets3[Bet Type],S7,Bets3[Result],"W")/(COUNTIFS(Bets3[Sport],$T$2,Bets3[Bet Type],S7,Bets3[Result],"W")+COUNTIFS(Bets3[Sport],$T$2,Bets3[Bet Type],S7,Bets3[Result],"L"))*100,1)&amp;"%)"),"No Bets")</f>
        <v>No Bets</v>
      </c>
      <c r="V7" s="30">
        <f>IF($T$2="All",SUMIF(Bets3[Bet Type],S7,Bets3[Net]),SUMIFS(Bets3[Net],Bets3[Bet Type],S7,Bets3[Sport],$T$2))</f>
        <v>0</v>
      </c>
      <c r="W7" s="31" t="str">
        <f>IF($T$2="All",IFERROR("("&amp;ROUND((SUMIF(Bets3[Bet Type],S7,Bets3[Net]))/SUMIF(Bets3[Bet Type],S7,Bets3[Risk]),2)*100&amp;"%)",""),IFERROR("("&amp;ROUND((SUMIFS(Bets3[Net],Bets3[Bet Type],S7,Bets3[Sport],$T$2))/SUMIFS(Bets3[Risk],Bets3[Bet Type],S7,Bets3[Sport],$T$2),2)*100&amp;"%)",""))</f>
        <v/>
      </c>
    </row>
    <row r="8" spans="1:27" x14ac:dyDescent="0.25">
      <c r="A8" s="13">
        <f t="shared" si="0"/>
        <v>1</v>
      </c>
      <c r="B8" s="17">
        <v>43578</v>
      </c>
      <c r="C8" s="17" t="s">
        <v>802</v>
      </c>
      <c r="D8" s="18" t="s">
        <v>811</v>
      </c>
      <c r="E8" s="11" t="s">
        <v>812</v>
      </c>
      <c r="F8" s="19">
        <f>IF(Bets35[[#This Row],[Odds]]&lt;0,Bets35[[#This Row],[Odds]]/-10,1000/Bets3[[#This Row],[Odds]])</f>
        <v>5.4054054054054053</v>
      </c>
      <c r="G8" s="47" t="s">
        <v>820</v>
      </c>
      <c r="H8" s="21" t="s">
        <v>262</v>
      </c>
      <c r="I8" s="45">
        <f>IF(Bets3[[#This Row],[Result]]="L",0-Bets3[[#This Row],[Risk]],IF(Bets3[[#This Row],[Result]]="Push",0,IF(Bets3[[#This Row],[Result]]="No Action",0,IF(Bets3[[#This Row],[Result]]="W",IF(Bets3[[#This Row],[Odds]]&gt;0,Bets3[[#This Row],[Odds]]/100*Bets3[[#This Row],[Risk]],(Bets3[[#This Row],[Risk]]/Bets3[[#This Row],[Odds]]*-100)),""))))</f>
        <v>10</v>
      </c>
      <c r="J8" s="23" t="str">
        <f>IF(ISNUMBER(SEARCH(CHAR(10),Bets3[[#This Row],[Bet]])),"P",IF(ISNUMBER(FIND("Under",Bets3[[#This Row],[Bet]])),"U",IF(ISNUMBER(SEARCH("Over",Bets3[[#This Row],[Bet]])),"O",IF(ISNUMBER(SEARCH("+",Bets3[[#This Row],[Bet]])),"D",IF(ISNUMBER(SEARCH("-",Bets3[[#This Row],[Bet]])),"F",IF(ISNUMBER(SEARCH("Moneyline",Bets3[[#This Row],[Bet]])),IF(Bets3[[#This Row],[Odds]]&lt;0,"MF","MD"),""))))))</f>
        <v>MD</v>
      </c>
      <c r="K8"/>
      <c r="L8" s="24">
        <f t="shared" si="1"/>
        <v>43584</v>
      </c>
      <c r="M8" s="1" t="str">
        <f>COUNTIFS(Bets3[Date],L8,Bets3[Result],"W")&amp;"-"&amp;COUNTIFS(Bets3[Date],L8,Bets3[Result],"L")&amp;IF(COUNTIFS(Bets3[Date],L8,Bets3[Result],"Push")&gt;0,"-"&amp;COUNTIFS(Bets3[Date],L8,Bets3[Result],"Push"),"")</f>
        <v>6-3</v>
      </c>
      <c r="N8" s="25">
        <f>IFERROR(COUNTIFS(Bets3[Date],L8,Bets3[Result],"W")/(COUNTIFS(Bets3[Date],L8,Bets3[Result],"W")+COUNTIFS(Bets3[Date],L8,Bets3[Result],"L")),"")</f>
        <v>0.66666666666666663</v>
      </c>
      <c r="O8" s="26">
        <f>SUMIF(Bets3[Date],L8,Bets3[Net])</f>
        <v>28.266233766233764</v>
      </c>
      <c r="P8" s="27" t="str">
        <f>IFERROR("("&amp;ROUND(SUMIF(Bets3[Date],L8,Bets3[Net])/SUMIF(Bets3[Date],L8,Bets3[Risk]),2)*100&amp;"%)","")</f>
        <v>(33%)</v>
      </c>
      <c r="Q8" s="72">
        <f t="shared" si="2"/>
        <v>76.359385702863975</v>
      </c>
      <c r="R8" s="73">
        <f>IFERROR(SUMIF(Bets3[Date],"&lt;="&amp;L8,Bets3[Net])/SUMIF(Bets3[Date],"&lt;="&amp;L8,Bets3[Risk]),"")</f>
        <v>0.11019605051906817</v>
      </c>
      <c r="S8" s="28" t="s">
        <v>803</v>
      </c>
      <c r="T8" s="29" t="s">
        <v>804</v>
      </c>
      <c r="U8" s="16" t="str">
        <f>IFERROR(IF($T$2="All",COUNTIFS(Bets3[Bet Type],S8,Bets3[Result],"W")&amp;"-"&amp;COUNTIFS(Bets3[Bet Type],S8,Bets3[Result],"L")&amp;IF(COUNTIFS(Bets3[Bet Type],S8,Bets3[Result],"Push")&gt;0,"-"&amp;COUNTIFS(Bets3[Bet Type],S8,Bets3[Result],"Push"),"")&amp;" ("&amp;ROUND(COUNTIFS(Bets3[Bet Type],S8,Bets3[Result],"W")/(COUNTIFS(Bets3[Bet Type],S8,Bets3[Result],"W")+COUNTIFS(Bets3[Bet Type],S8,Bets3[Result],"L"))*100,1)&amp;"%)",COUNTIFS(Bets3[Sport],$T$2,Bets3[Bet Type],S8,Bets3[Result],"W")&amp;"-"&amp;COUNTIFS(Bets3[Sport],$T$2,Bets3[Bet Type],S8,Bets3[Result],"L")&amp;IF(COUNTIFS(Bets3[Sport],$T$2,Bets3[Bet Type],S8,Bets3[Result],"Push")&gt;0,"-"&amp;COUNTIFS(Bets3[Sport],$T$2,Bets3[Bet Type],S8,Bets3[Result],"Push"),"")&amp;" ("&amp;ROUND(COUNTIFS(Bets3[Sport],$T$2,Bets3[Bet Type],S8,Bets3[Result],"W")/(COUNTIFS(Bets3[Sport],$T$2,Bets3[Bet Type],S8,Bets3[Result],"W")+COUNTIFS(Bets3[Sport],$T$2,Bets3[Bet Type],S8,Bets3[Result],"L"))*100,1)&amp;"%)"),"No Bets")</f>
        <v>75-42-1 (64.1%)</v>
      </c>
      <c r="V8" s="30">
        <f>IF($T$2="All",SUMIF(Bets3[Bet Type],S8,Bets3[Net]),SUMIFS(Bets3[Net],Bets3[Bet Type],S8,Bets3[Sport],$T$2))</f>
        <v>102.86533361639023</v>
      </c>
      <c r="W8" s="31" t="str">
        <f>IF($T$2="All",IFERROR("("&amp;ROUND((SUMIF(Bets3[Bet Type],S8,Bets3[Net]))/SUMIF(Bets3[Bet Type],S8,Bets3[Risk]),2)*100&amp;"%)",""),IFERROR("("&amp;ROUND((SUMIFS(Bets3[Net],Bets3[Bet Type],S8,Bets3[Sport],$T$2))/SUMIFS(Bets3[Risk],Bets3[Bet Type],S8,Bets3[Sport],$T$2),2)*100&amp;"%)",""))</f>
        <v>(6%)</v>
      </c>
    </row>
    <row r="9" spans="1:27" x14ac:dyDescent="0.25">
      <c r="A9" s="13">
        <f t="shared" si="0"/>
        <v>1</v>
      </c>
      <c r="B9" s="17">
        <v>43578</v>
      </c>
      <c r="C9" s="17" t="s">
        <v>802</v>
      </c>
      <c r="D9" s="18" t="s">
        <v>821</v>
      </c>
      <c r="E9" s="11" t="s">
        <v>822</v>
      </c>
      <c r="F9" s="19">
        <f>IF(Bets35[[#This Row],[Odds]]&lt;0,Bets35[[#This Row],[Odds]]/-10,1000/Bets3[[#This Row],[Odds]])</f>
        <v>7.4074074074074074</v>
      </c>
      <c r="G9" s="47" t="s">
        <v>823</v>
      </c>
      <c r="H9" s="21" t="s">
        <v>263</v>
      </c>
      <c r="I9" s="45">
        <f>IF(Bets3[[#This Row],[Result]]="L",0-Bets3[[#This Row],[Risk]],IF(Bets3[[#This Row],[Result]]="Push",0,IF(Bets3[[#This Row],[Result]]="No Action",0,IF(Bets3[[#This Row],[Result]]="W",IF(Bets3[[#This Row],[Odds]]&gt;0,Bets3[[#This Row],[Odds]]/100*Bets3[[#This Row],[Risk]],(Bets3[[#This Row],[Risk]]/Bets3[[#This Row],[Odds]]*-100)),""))))</f>
        <v>-7.4074074074074074</v>
      </c>
      <c r="J9" s="23" t="str">
        <f>IF(ISNUMBER(SEARCH(CHAR(10),Bets3[[#This Row],[Bet]])),"P",IF(ISNUMBER(FIND("Under",Bets3[[#This Row],[Bet]])),"U",IF(ISNUMBER(SEARCH("Over",Bets3[[#This Row],[Bet]])),"O",IF(ISNUMBER(SEARCH("+",Bets3[[#This Row],[Bet]])),"D",IF(ISNUMBER(SEARCH("-",Bets3[[#This Row],[Bet]])),"F",IF(ISNUMBER(SEARCH("Moneyline",Bets3[[#This Row],[Bet]])),IF(Bets3[[#This Row],[Odds]]&lt;0,"MF","MD"),""))))))</f>
        <v>MD</v>
      </c>
      <c r="K9"/>
      <c r="L9" s="24">
        <f t="shared" si="1"/>
        <v>43585</v>
      </c>
      <c r="M9" s="1" t="str">
        <f>COUNTIFS(Bets3[Date],L9,Bets3[Result],"W")&amp;"-"&amp;COUNTIFS(Bets3[Date],L9,Bets3[Result],"L")&amp;IF(COUNTIFS(Bets3[Date],L9,Bets3[Result],"Push")&gt;0,"-"&amp;COUNTIFS(Bets3[Date],L9,Bets3[Result],"Push"),"")</f>
        <v>9-5-3</v>
      </c>
      <c r="N9" s="25">
        <f>IFERROR(COUNTIFS(Bets3[Date],L9,Bets3[Result],"W")/(COUNTIFS(Bets3[Date],L9,Bets3[Result],"W")+COUNTIFS(Bets3[Date],L9,Bets3[Result],"L")),"")</f>
        <v>0.6428571428571429</v>
      </c>
      <c r="O9" s="26">
        <f>SUMIF(Bets3[Date],L9,Bets3[Net])</f>
        <v>25.666666666666664</v>
      </c>
      <c r="P9" s="27" t="str">
        <f>IFERROR("("&amp;ROUND(SUMIF(Bets3[Date],L9,Bets3[Net])/SUMIF(Bets3[Date],L9,Bets3[Risk]),2)*100&amp;"%)","")</f>
        <v>(12%)</v>
      </c>
      <c r="Q9" s="72">
        <f t="shared" si="2"/>
        <v>102.02605236953065</v>
      </c>
      <c r="R9" s="73">
        <f>IFERROR(SUMIF(Bets3[Date],"&lt;="&amp;L9,Bets3[Net])/SUMIF(Bets3[Date],"&lt;="&amp;L9,Bets3[Risk]),"")</f>
        <v>0.11247908697360638</v>
      </c>
      <c r="S9" s="28" t="s">
        <v>805</v>
      </c>
      <c r="T9" s="29" t="s">
        <v>806</v>
      </c>
      <c r="U9" s="16" t="str">
        <f>IFERROR(IF($T$2="All",COUNTIFS(Bets3[Bet Type],S9,Bets3[Result],"W")&amp;"-"&amp;COUNTIFS(Bets3[Bet Type],S9,Bets3[Result],"L")&amp;IF(COUNTIFS(Bets3[Bet Type],S9,Bets3[Result],"Push")&gt;0,"-"&amp;COUNTIFS(Bets3[Bet Type],S9,Bets3[Result],"Push"),"")&amp;" ("&amp;ROUND(COUNTIFS(Bets3[Bet Type],S9,Bets3[Result],"W")/(COUNTIFS(Bets3[Bet Type],S9,Bets3[Result],"W")+COUNTIFS(Bets3[Bet Type],S9,Bets3[Result],"L"))*100,1)&amp;"%)",COUNTIFS(Bets3[Sport],$T$2,Bets3[Bet Type],S9,Bets3[Result],"W")&amp;"-"&amp;COUNTIFS(Bets3[Sport],$T$2,Bets3[Bet Type],S9,Bets3[Result],"L")&amp;IF(COUNTIFS(Bets3[Sport],$T$2,Bets3[Bet Type],S9,Bets3[Result],"Push")&gt;0,"-"&amp;COUNTIFS(Bets3[Sport],$T$2,Bets3[Bet Type],S9,Bets3[Result],"Push"),"")&amp;" ("&amp;ROUND(COUNTIFS(Bets3[Sport],$T$2,Bets3[Bet Type],S9,Bets3[Result],"W")/(COUNTIFS(Bets3[Sport],$T$2,Bets3[Bet Type],S9,Bets3[Result],"W")+COUNTIFS(Bets3[Sport],$T$2,Bets3[Bet Type],S9,Bets3[Result],"L"))*100,1)&amp;"%)"),"No Bets")</f>
        <v>32-38-1 (45.7%)</v>
      </c>
      <c r="V9" s="30">
        <f>IF($T$2="All",SUMIF(Bets3[Bet Type],S9,Bets3[Net]),SUMIFS(Bets3[Net],Bets3[Bet Type],S9,Bets3[Sport],$T$2))</f>
        <v>63.76224150648379</v>
      </c>
      <c r="W9" s="31" t="str">
        <f>IF($T$2="All",IFERROR("("&amp;ROUND((SUMIF(Bets3[Bet Type],S9,Bets3[Net]))/SUMIF(Bets3[Bet Type],S9,Bets3[Risk]),2)*100&amp;"%)",""),IFERROR("("&amp;ROUND((SUMIFS(Bets3[Net],Bets3[Bet Type],S9,Bets3[Sport],$T$2))/SUMIFS(Bets3[Risk],Bets3[Bet Type],S9,Bets3[Sport],$T$2),2)*100&amp;"%)",""))</f>
        <v>(10%)</v>
      </c>
    </row>
    <row r="10" spans="1:27" x14ac:dyDescent="0.25">
      <c r="A10" s="13">
        <f t="shared" si="0"/>
        <v>1</v>
      </c>
      <c r="B10" s="17">
        <v>43578</v>
      </c>
      <c r="C10" s="17" t="s">
        <v>802</v>
      </c>
      <c r="D10" s="18" t="s">
        <v>824</v>
      </c>
      <c r="E10" s="11" t="s">
        <v>809</v>
      </c>
      <c r="F10" s="19">
        <f>IF(Bets35[[#This Row],[Odds]]&lt;0,Bets35[[#This Row],[Odds]]/-10,1000/Bets3[[#This Row],[Odds]])</f>
        <v>7.6923076923076925</v>
      </c>
      <c r="G10" s="47" t="s">
        <v>825</v>
      </c>
      <c r="H10" s="21" t="s">
        <v>263</v>
      </c>
      <c r="I10" s="45">
        <f>IF(Bets3[[#This Row],[Result]]="L",0-Bets3[[#This Row],[Risk]],IF(Bets3[[#This Row],[Result]]="Push",0,IF(Bets3[[#This Row],[Result]]="No Action",0,IF(Bets3[[#This Row],[Result]]="W",IF(Bets3[[#This Row],[Odds]]&gt;0,Bets3[[#This Row],[Odds]]/100*Bets3[[#This Row],[Risk]],(Bets3[[#This Row],[Risk]]/Bets3[[#This Row],[Odds]]*-100)),""))))</f>
        <v>-7.6923076923076925</v>
      </c>
      <c r="J10" s="23" t="str">
        <f>IF(ISNUMBER(SEARCH(CHAR(10),Bets3[[#This Row],[Bet]])),"P",IF(ISNUMBER(FIND("Under",Bets3[[#This Row],[Bet]])),"U",IF(ISNUMBER(SEARCH("Over",Bets3[[#This Row],[Bet]])),"O",IF(ISNUMBER(SEARCH("+",Bets3[[#This Row],[Bet]])),"D",IF(ISNUMBER(SEARCH("-",Bets3[[#This Row],[Bet]])),"F",IF(ISNUMBER(SEARCH("Moneyline",Bets3[[#This Row],[Bet]])),IF(Bets3[[#This Row],[Odds]]&lt;0,"MF","MD"),""))))))</f>
        <v>MD</v>
      </c>
      <c r="K10"/>
      <c r="L10" s="24">
        <f t="shared" si="1"/>
        <v>43586</v>
      </c>
      <c r="M10" s="1" t="str">
        <f>COUNTIFS(Bets3[Date],L10,Bets3[Result],"W")&amp;"-"&amp;COUNTIFS(Bets3[Date],L10,Bets3[Result],"L")&amp;IF(COUNTIFS(Bets3[Date],L10,Bets3[Result],"Push")&gt;0,"-"&amp;COUNTIFS(Bets3[Date],L10,Bets3[Result],"Push"),"")</f>
        <v>7-6-1</v>
      </c>
      <c r="N10" s="25">
        <f>IFERROR(COUNTIFS(Bets3[Date],L10,Bets3[Result],"W")/(COUNTIFS(Bets3[Date],L10,Bets3[Result],"W")+COUNTIFS(Bets3[Date],L10,Bets3[Result],"L")),"")</f>
        <v>0.53846153846153844</v>
      </c>
      <c r="O10" s="26">
        <f>SUMIF(Bets3[Date],L10,Bets3[Net])</f>
        <v>-3.0999999999999996</v>
      </c>
      <c r="P10" s="27" t="str">
        <f>IFERROR("("&amp;ROUND(SUMIF(Bets3[Date],L10,Bets3[Net])/SUMIF(Bets3[Date],L10,Bets3[Risk]),2)*100&amp;"%)","")</f>
        <v>(-2%)</v>
      </c>
      <c r="Q10" s="72">
        <f t="shared" si="2"/>
        <v>98.926052369530652</v>
      </c>
      <c r="R10" s="73">
        <f>IFERROR(SUMIF(Bets3[Date],"&lt;="&amp;L10,Bets3[Net])/SUMIF(Bets3[Date],"&lt;="&amp;L10,Bets3[Risk]),"")</f>
        <v>9.2263224225818966E-2</v>
      </c>
      <c r="S10" s="28" t="s">
        <v>807</v>
      </c>
      <c r="T10" s="29" t="s">
        <v>808</v>
      </c>
      <c r="U10" s="16" t="str">
        <f>IFERROR(IF($T$2="All",COUNTIFS(Bets3[Bet Type],S10,Bets3[Result],"W")&amp;"-"&amp;COUNTIFS(Bets3[Bet Type],S10,Bets3[Result],"L")&amp;IF(COUNTIFS(Bets3[Bet Type],S10,Bets3[Result],"Push")&gt;0,"-"&amp;COUNTIFS(Bets3[Bet Type],S10,Bets3[Result],"Push"),"")&amp;" ("&amp;ROUND(COUNTIFS(Bets3[Bet Type],S10,Bets3[Result],"W")/(COUNTIFS(Bets3[Bet Type],S10,Bets3[Result],"W")+COUNTIFS(Bets3[Bet Type],S10,Bets3[Result],"L"))*100,1)&amp;"%)",COUNTIFS(Bets3[Sport],$T$2,Bets3[Bet Type],S10,Bets3[Result],"W")&amp;"-"&amp;COUNTIFS(Bets3[Sport],$T$2,Bets3[Bet Type],S10,Bets3[Result],"L")&amp;IF(COUNTIFS(Bets3[Sport],$T$2,Bets3[Bet Type],S10,Bets3[Result],"Push")&gt;0,"-"&amp;COUNTIFS(Bets3[Sport],$T$2,Bets3[Bet Type],S10,Bets3[Result],"Push"),"")&amp;" ("&amp;ROUND(COUNTIFS(Bets3[Sport],$T$2,Bets3[Bet Type],S10,Bets3[Result],"W")/(COUNTIFS(Bets3[Sport],$T$2,Bets3[Bet Type],S10,Bets3[Result],"W")+COUNTIFS(Bets3[Sport],$T$2,Bets3[Bet Type],S10,Bets3[Result],"L"))*100,1)&amp;"%)"),"No Bets")</f>
        <v>No Bets</v>
      </c>
      <c r="V10" s="30">
        <f>IF($T$2="All",SUMIF(Bets3[Bet Type],S10,Bets3[Net]),SUMIFS(Bets3[Net],Bets3[Bet Type],S10,Bets3[Sport],$T$2))</f>
        <v>0</v>
      </c>
      <c r="W10" s="31" t="str">
        <f>IF($T$2="All",IFERROR("("&amp;ROUND((SUMIF(Bets3[Bet Type],S10,Bets3[Net]))/SUMIF(Bets3[Bet Type],S10,Bets3[Risk]),2)*100&amp;"%)",""),IFERROR("("&amp;ROUND((SUMIFS(Bets3[Net],Bets3[Bet Type],S10,Bets3[Sport],$T$2))/SUMIFS(Bets3[Risk],Bets3[Bet Type],S10,Bets3[Sport],$T$2),2)*100&amp;"%)",""))</f>
        <v/>
      </c>
    </row>
    <row r="11" spans="1:27" x14ac:dyDescent="0.25">
      <c r="A11" s="13">
        <f t="shared" si="0"/>
        <v>1</v>
      </c>
      <c r="B11" s="17">
        <v>43578</v>
      </c>
      <c r="C11" s="17" t="s">
        <v>802</v>
      </c>
      <c r="D11" s="18" t="s">
        <v>826</v>
      </c>
      <c r="E11" s="11" t="s">
        <v>827</v>
      </c>
      <c r="F11" s="19">
        <f>IF(Bets35[[#This Row],[Odds]]&lt;0,Bets35[[#This Row],[Odds]]/-10,1000/Bets3[[#This Row],[Odds]])</f>
        <v>8.695652173913043</v>
      </c>
      <c r="G11" s="47" t="s">
        <v>828</v>
      </c>
      <c r="H11" s="21" t="s">
        <v>263</v>
      </c>
      <c r="I11" s="45">
        <f>IF(Bets3[[#This Row],[Result]]="L",0-Bets3[[#This Row],[Risk]],IF(Bets3[[#This Row],[Result]]="Push",0,IF(Bets3[[#This Row],[Result]]="No Action",0,IF(Bets3[[#This Row],[Result]]="W",IF(Bets3[[#This Row],[Odds]]&gt;0,Bets3[[#This Row],[Odds]]/100*Bets3[[#This Row],[Risk]],(Bets3[[#This Row],[Risk]]/Bets3[[#This Row],[Odds]]*-100)),""))))</f>
        <v>-8.695652173913043</v>
      </c>
      <c r="J11" s="23" t="str">
        <f>IF(ISNUMBER(SEARCH(CHAR(10),Bets3[[#This Row],[Bet]])),"P",IF(ISNUMBER(FIND("Under",Bets3[[#This Row],[Bet]])),"U",IF(ISNUMBER(SEARCH("Over",Bets3[[#This Row],[Bet]])),"O",IF(ISNUMBER(SEARCH("+",Bets3[[#This Row],[Bet]])),"D",IF(ISNUMBER(SEARCH("-",Bets3[[#This Row],[Bet]])),"F",IF(ISNUMBER(SEARCH("Moneyline",Bets3[[#This Row],[Bet]])),IF(Bets3[[#This Row],[Odds]]&lt;0,"MF","MD"),""))))))</f>
        <v>MD</v>
      </c>
      <c r="K11"/>
      <c r="L11" s="24">
        <f t="shared" si="1"/>
        <v>43587</v>
      </c>
      <c r="M11" s="1" t="str">
        <f>COUNTIFS(Bets3[Date],L11,Bets3[Result],"W")&amp;"-"&amp;COUNTIFS(Bets3[Date],L11,Bets3[Result],"L")&amp;IF(COUNTIFS(Bets3[Date],L11,Bets3[Result],"Push")&gt;0,"-"&amp;COUNTIFS(Bets3[Date],L11,Bets3[Result],"Push"),"")</f>
        <v>2-2</v>
      </c>
      <c r="N11" s="25">
        <f>IFERROR(COUNTIFS(Bets3[Date],L11,Bets3[Result],"W")/(COUNTIFS(Bets3[Date],L11,Bets3[Result],"W")+COUNTIFS(Bets3[Date],L11,Bets3[Result],"L")),"")</f>
        <v>0.5</v>
      </c>
      <c r="O11" s="26">
        <f>SUMIF(Bets3[Date],L11,Bets3[Net])</f>
        <v>-2</v>
      </c>
      <c r="P11" s="27" t="str">
        <f>IFERROR("("&amp;ROUND(SUMIF(Bets3[Date],L11,Bets3[Net])/SUMIF(Bets3[Date],L11,Bets3[Risk]),2)*100&amp;"%)","")</f>
        <v>(-4%)</v>
      </c>
      <c r="Q11" s="72">
        <f t="shared" si="2"/>
        <v>96.926052369530652</v>
      </c>
      <c r="R11" s="73">
        <f>IFERROR(SUMIF(Bets3[Date],"&lt;="&amp;L11,Bets3[Net])/SUMIF(Bets3[Date],"&lt;="&amp;L11,Bets3[Risk]),"")</f>
        <v>8.6278014375462231E-2</v>
      </c>
      <c r="AA11" s="32"/>
    </row>
    <row r="12" spans="1:27" x14ac:dyDescent="0.25">
      <c r="A12" s="13">
        <f t="shared" si="0"/>
        <v>1</v>
      </c>
      <c r="B12" s="17">
        <v>43578</v>
      </c>
      <c r="C12" s="17" t="s">
        <v>802</v>
      </c>
      <c r="D12" s="18" t="s">
        <v>829</v>
      </c>
      <c r="E12" s="11" t="s">
        <v>830</v>
      </c>
      <c r="F12" s="19">
        <f>IF(Bets35[[#This Row],[Odds]]&lt;0,Bets35[[#This Row],[Odds]]/-10,1000/Bets3[[#This Row],[Odds]])</f>
        <v>13</v>
      </c>
      <c r="G12" s="47">
        <v>-130</v>
      </c>
      <c r="H12" s="21" t="s">
        <v>262</v>
      </c>
      <c r="I12" s="45">
        <f>IF(Bets3[[#This Row],[Result]]="L",0-Bets3[[#This Row],[Risk]],IF(Bets3[[#This Row],[Result]]="Push",0,IF(Bets3[[#This Row],[Result]]="No Action",0,IF(Bets3[[#This Row],[Result]]="W",IF(Bets3[[#This Row],[Odds]]&gt;0,Bets3[[#This Row],[Odds]]/100*Bets3[[#This Row],[Risk]],(Bets3[[#This Row],[Risk]]/Bets3[[#This Row],[Odds]]*-100)),""))))</f>
        <v>10</v>
      </c>
      <c r="J12" s="23" t="str">
        <f>IF(ISNUMBER(SEARCH(CHAR(10),Bets3[[#This Row],[Bet]])),"P",IF(ISNUMBER(FIND("Under",Bets3[[#This Row],[Bet]])),"U",IF(ISNUMBER(SEARCH("Over",Bets3[[#This Row],[Bet]])),"O",IF(ISNUMBER(SEARCH("+",Bets3[[#This Row],[Bet]])),"D",IF(ISNUMBER(SEARCH("-",Bets3[[#This Row],[Bet]])),"F",IF(ISNUMBER(SEARCH("Moneyline",Bets3[[#This Row],[Bet]])),IF(Bets3[[#This Row],[Odds]]&lt;0,"MF","MD"),""))))))</f>
        <v>MF</v>
      </c>
      <c r="K12"/>
      <c r="L12" s="24">
        <f t="shared" si="1"/>
        <v>43592</v>
      </c>
      <c r="M12" s="1" t="str">
        <f>COUNTIFS(Bets3[Date],L12,Bets3[Result],"W")&amp;"-"&amp;COUNTIFS(Bets3[Date],L12,Bets3[Result],"L")&amp;IF(COUNTIFS(Bets3[Date],L12,Bets3[Result],"Push")&gt;0,"-"&amp;COUNTIFS(Bets3[Date],L12,Bets3[Result],"Push"),"")</f>
        <v>7-9</v>
      </c>
      <c r="N12" s="25">
        <f>IFERROR(COUNTIFS(Bets3[Date],L12,Bets3[Result],"W")/(COUNTIFS(Bets3[Date],L12,Bets3[Result],"W")+COUNTIFS(Bets3[Date],L12,Bets3[Result],"L")),"")</f>
        <v>0.4375</v>
      </c>
      <c r="O12" s="26">
        <f>SUMIF(Bets3[Date],L12,Bets3[Net])</f>
        <v>-23.297273097273091</v>
      </c>
      <c r="P12" s="27" t="str">
        <f>IFERROR("("&amp;ROUND(SUMIF(Bets3[Date],L12,Bets3[Net])/SUMIF(Bets3[Date],L12,Bets3[Risk]),2)*100&amp;"%)","")</f>
        <v>(-13%)</v>
      </c>
      <c r="Q12" s="72">
        <f t="shared" si="2"/>
        <v>73.62877927225756</v>
      </c>
      <c r="R12" s="73">
        <f>IFERROR(SUMIF(Bets3[Date],"&lt;="&amp;L12,Bets3[Net])/SUMIF(Bets3[Date],"&lt;="&amp;L12,Bets3[Risk]),"")</f>
        <v>5.6601101461753671E-2</v>
      </c>
      <c r="AA12" s="32"/>
    </row>
    <row r="13" spans="1:27" x14ac:dyDescent="0.25">
      <c r="A13" s="13">
        <f t="shared" si="0"/>
        <v>1</v>
      </c>
      <c r="B13" s="17">
        <v>43578</v>
      </c>
      <c r="C13" s="17" t="s">
        <v>802</v>
      </c>
      <c r="D13" s="18" t="s">
        <v>831</v>
      </c>
      <c r="E13" s="11" t="s">
        <v>832</v>
      </c>
      <c r="F13" s="19">
        <f>IF(Bets35[[#This Row],[Odds]]&lt;0,Bets35[[#This Row],[Odds]]/-10,1000/Bets3[[#This Row],[Odds]])</f>
        <v>12</v>
      </c>
      <c r="G13" s="47">
        <v>-120</v>
      </c>
      <c r="H13" s="21" t="s">
        <v>262</v>
      </c>
      <c r="I13" s="45">
        <f>IF(Bets3[[#This Row],[Result]]="L",0-Bets3[[#This Row],[Risk]],IF(Bets3[[#This Row],[Result]]="Push",0,IF(Bets3[[#This Row],[Result]]="No Action",0,IF(Bets3[[#This Row],[Result]]="W",IF(Bets3[[#This Row],[Odds]]&gt;0,Bets3[[#This Row],[Odds]]/100*Bets3[[#This Row],[Risk]],(Bets3[[#This Row],[Risk]]/Bets3[[#This Row],[Odds]]*-100)),""))))</f>
        <v>10</v>
      </c>
      <c r="J13" s="23" t="str">
        <f>IF(ISNUMBER(SEARCH(CHAR(10),Bets3[[#This Row],[Bet]])),"P",IF(ISNUMBER(FIND("Under",Bets3[[#This Row],[Bet]])),"U",IF(ISNUMBER(SEARCH("Over",Bets3[[#This Row],[Bet]])),"O",IF(ISNUMBER(SEARCH("+",Bets3[[#This Row],[Bet]])),"D",IF(ISNUMBER(SEARCH("-",Bets3[[#This Row],[Bet]])),"F",IF(ISNUMBER(SEARCH("Moneyline",Bets3[[#This Row],[Bet]])),IF(Bets3[[#This Row],[Odds]]&lt;0,"MF","MD"),""))))))</f>
        <v>MF</v>
      </c>
      <c r="K13"/>
      <c r="L13" s="24">
        <f t="shared" si="1"/>
        <v>43593</v>
      </c>
      <c r="M13" s="1" t="str">
        <f>COUNTIFS(Bets3[Date],L13,Bets3[Result],"W")&amp;"-"&amp;COUNTIFS(Bets3[Date],L13,Bets3[Result],"L")&amp;IF(COUNTIFS(Bets3[Date],L13,Bets3[Result],"Push")&gt;0,"-"&amp;COUNTIFS(Bets3[Date],L13,Bets3[Result],"Push"),"")</f>
        <v>8-4-1</v>
      </c>
      <c r="N13" s="25">
        <f>IFERROR(COUNTIFS(Bets3[Date],L13,Bets3[Result],"W")/(COUNTIFS(Bets3[Date],L13,Bets3[Result],"W")+COUNTIFS(Bets3[Date],L13,Bets3[Result],"L")),"")</f>
        <v>0.66666666666666663</v>
      </c>
      <c r="O13" s="26">
        <f>SUMIF(Bets3[Date],L13,Bets3[Net])</f>
        <v>36.299999999999997</v>
      </c>
      <c r="P13" s="27" t="str">
        <f>IFERROR("("&amp;ROUND(SUMIF(Bets3[Date],L13,Bets3[Net])/SUMIF(Bets3[Date],L13,Bets3[Risk]),2)*100&amp;"%)","")</f>
        <v>(18%)</v>
      </c>
      <c r="Q13" s="72">
        <f t="shared" si="2"/>
        <v>109.92877927225756</v>
      </c>
      <c r="R13" s="73">
        <f>IFERROR(SUMIF(Bets3[Date],"&lt;="&amp;L13,Bets3[Net])/SUMIF(Bets3[Date],"&lt;="&amp;L13,Bets3[Risk]),"")</f>
        <v>7.3193655635619262E-2</v>
      </c>
      <c r="AA13" s="32"/>
    </row>
    <row r="14" spans="1:27" x14ac:dyDescent="0.25">
      <c r="A14" s="13">
        <f t="shared" si="0"/>
        <v>1</v>
      </c>
      <c r="B14" s="17">
        <v>43578</v>
      </c>
      <c r="C14" s="17" t="s">
        <v>802</v>
      </c>
      <c r="D14" s="18" t="s">
        <v>833</v>
      </c>
      <c r="E14" s="11" t="s">
        <v>834</v>
      </c>
      <c r="F14" s="19">
        <f>IF(Bets35[[#This Row],[Odds]]&lt;0,Bets35[[#This Row],[Odds]]/-10,1000/Bets3[[#This Row],[Odds]])</f>
        <v>15</v>
      </c>
      <c r="G14" s="47">
        <v>-150</v>
      </c>
      <c r="H14" s="21" t="s">
        <v>262</v>
      </c>
      <c r="I14" s="45">
        <f>IF(Bets3[[#This Row],[Result]]="L",0-Bets3[[#This Row],[Risk]],IF(Bets3[[#This Row],[Result]]="Push",0,IF(Bets3[[#This Row],[Result]]="No Action",0,IF(Bets3[[#This Row],[Result]]="W",IF(Bets3[[#This Row],[Odds]]&gt;0,Bets3[[#This Row],[Odds]]/100*Bets3[[#This Row],[Risk]],(Bets3[[#This Row],[Risk]]/Bets3[[#This Row],[Odds]]*-100)),""))))</f>
        <v>10</v>
      </c>
      <c r="J14" s="23" t="str">
        <f>IF(ISNUMBER(SEARCH(CHAR(10),Bets3[[#This Row],[Bet]])),"P",IF(ISNUMBER(FIND("Under",Bets3[[#This Row],[Bet]])),"U",IF(ISNUMBER(SEARCH("Over",Bets3[[#This Row],[Bet]])),"O",IF(ISNUMBER(SEARCH("+",Bets3[[#This Row],[Bet]])),"D",IF(ISNUMBER(SEARCH("-",Bets3[[#This Row],[Bet]])),"F",IF(ISNUMBER(SEARCH("Moneyline",Bets3[[#This Row],[Bet]])),IF(Bets3[[#This Row],[Odds]]&lt;0,"MF","MD"),""))))))</f>
        <v>MF</v>
      </c>
      <c r="K14"/>
      <c r="L14" s="24">
        <f t="shared" si="1"/>
        <v>43594</v>
      </c>
      <c r="M14" s="1" t="str">
        <f>COUNTIFS(Bets3[Date],L14,Bets3[Result],"W")&amp;"-"&amp;COUNTIFS(Bets3[Date],L14,Bets3[Result],"L")&amp;IF(COUNTIFS(Bets3[Date],L14,Bets3[Result],"Push")&gt;0,"-"&amp;COUNTIFS(Bets3[Date],L14,Bets3[Result],"Push"),"")</f>
        <v>3-5</v>
      </c>
      <c r="N14" s="25">
        <f>IFERROR(COUNTIFS(Bets3[Date],L14,Bets3[Result],"W")/(COUNTIFS(Bets3[Date],L14,Bets3[Result],"W")+COUNTIFS(Bets3[Date],L14,Bets3[Result],"L")),"")</f>
        <v>0.375</v>
      </c>
      <c r="O14" s="26">
        <f>SUMIF(Bets3[Date],L14,Bets3[Net])</f>
        <v>-26.2</v>
      </c>
      <c r="P14" s="27" t="str">
        <f>IFERROR("("&amp;ROUND(SUMIF(Bets3[Date],L14,Bets3[Net])/SUMIF(Bets3[Date],L14,Bets3[Risk]),2)*100&amp;"%)","")</f>
        <v>(-26%)</v>
      </c>
      <c r="Q14" s="72">
        <f t="shared" si="2"/>
        <v>83.728779272257555</v>
      </c>
      <c r="R14" s="73">
        <f>IFERROR(SUMIF(Bets3[Date],"&lt;="&amp;L14,Bets3[Net])/SUMIF(Bets3[Date],"&lt;="&amp;L14,Bets3[Risk]),"")</f>
        <v>5.2278553174150103E-2</v>
      </c>
      <c r="T14" s="29" t="s">
        <v>782</v>
      </c>
      <c r="U14" s="55">
        <f ca="1">SUMIF(Bets3[Date],"&lt;"&amp;TODAY(),Bets3[Risk])</f>
        <v>3741.3103879787645</v>
      </c>
      <c r="AA14" s="32"/>
    </row>
    <row r="15" spans="1:27" x14ac:dyDescent="0.25">
      <c r="A15" s="13">
        <f t="shared" si="0"/>
        <v>1</v>
      </c>
      <c r="B15" s="17">
        <v>43578</v>
      </c>
      <c r="C15" s="17" t="s">
        <v>802</v>
      </c>
      <c r="D15" s="18" t="s">
        <v>835</v>
      </c>
      <c r="E15" s="11" t="s">
        <v>836</v>
      </c>
      <c r="F15" s="19">
        <f>IF(Bets35[[#This Row],[Odds]]&lt;0,Bets35[[#This Row],[Odds]]/-10,1000/Bets3[[#This Row],[Odds]])</f>
        <v>18</v>
      </c>
      <c r="G15" s="47">
        <v>-180</v>
      </c>
      <c r="H15" s="21" t="s">
        <v>263</v>
      </c>
      <c r="I15" s="45">
        <f>IF(Bets3[[#This Row],[Result]]="L",0-Bets3[[#This Row],[Risk]],IF(Bets3[[#This Row],[Result]]="Push",0,IF(Bets3[[#This Row],[Result]]="No Action",0,IF(Bets3[[#This Row],[Result]]="W",IF(Bets3[[#This Row],[Odds]]&gt;0,Bets3[[#This Row],[Odds]]/100*Bets3[[#This Row],[Risk]],(Bets3[[#This Row],[Risk]]/Bets3[[#This Row],[Odds]]*-100)),""))))</f>
        <v>-18</v>
      </c>
      <c r="J15" s="23" t="str">
        <f>IF(ISNUMBER(SEARCH(CHAR(10),Bets3[[#This Row],[Bet]])),"P",IF(ISNUMBER(FIND("Under",Bets3[[#This Row],[Bet]])),"U",IF(ISNUMBER(SEARCH("Over",Bets3[[#This Row],[Bet]])),"O",IF(ISNUMBER(SEARCH("+",Bets3[[#This Row],[Bet]])),"D",IF(ISNUMBER(SEARCH("-",Bets3[[#This Row],[Bet]])),"F",IF(ISNUMBER(SEARCH("Moneyline",Bets3[[#This Row],[Bet]])),IF(Bets3[[#This Row],[Odds]]&lt;0,"MF","MD"),""))))))</f>
        <v>MF</v>
      </c>
      <c r="K15"/>
      <c r="L15" s="24">
        <f t="shared" si="1"/>
        <v>43595</v>
      </c>
      <c r="M15" s="1" t="str">
        <f>COUNTIFS(Bets3[Date],L15,Bets3[Result],"W")&amp;"-"&amp;COUNTIFS(Bets3[Date],L15,Bets3[Result],"L")&amp;IF(COUNTIFS(Bets3[Date],L15,Bets3[Result],"Push")&gt;0,"-"&amp;COUNTIFS(Bets3[Date],L15,Bets3[Result],"Push"),"")</f>
        <v>3-7</v>
      </c>
      <c r="N15" s="25">
        <f>IFERROR(COUNTIFS(Bets3[Date],L15,Bets3[Result],"W")/(COUNTIFS(Bets3[Date],L15,Bets3[Result],"W")+COUNTIFS(Bets3[Date],L15,Bets3[Result],"L")),"")</f>
        <v>0.3</v>
      </c>
      <c r="O15" s="26">
        <f>SUMIF(Bets3[Date],L15,Bets3[Net])</f>
        <v>-45.060606060606062</v>
      </c>
      <c r="P15" s="27" t="str">
        <f>IFERROR("("&amp;ROUND(SUMIF(Bets3[Date],L15,Bets3[Net])/SUMIF(Bets3[Date],L15,Bets3[Risk]),2)*100&amp;"%)","")</f>
        <v>(-35%)</v>
      </c>
      <c r="Q15" s="72">
        <f t="shared" si="2"/>
        <v>38.668173211651492</v>
      </c>
      <c r="R15" s="73">
        <f>IFERROR(SUMIF(Bets3[Date],"&lt;="&amp;L15,Bets3[Net])/SUMIF(Bets3[Date],"&lt;="&amp;L15,Bets3[Risk]),"")</f>
        <v>2.2356067376718133E-2</v>
      </c>
      <c r="T15" s="29" t="s">
        <v>882</v>
      </c>
      <c r="U15" s="56">
        <f>SUM(Bets3[Net])</f>
        <v>324.04257503850226</v>
      </c>
    </row>
    <row r="16" spans="1:27" x14ac:dyDescent="0.25">
      <c r="A16" s="13">
        <f t="shared" si="0"/>
        <v>1</v>
      </c>
      <c r="B16" s="17">
        <v>43578</v>
      </c>
      <c r="C16" s="17" t="s">
        <v>802</v>
      </c>
      <c r="D16" s="18" t="s">
        <v>811</v>
      </c>
      <c r="E16" s="11" t="s">
        <v>839</v>
      </c>
      <c r="F16" s="19">
        <f>IF(Bets35[[#This Row],[Odds]]&lt;0,Bets35[[#This Row],[Odds]]/-10,1000/Bets3[[#This Row],[Odds]])</f>
        <v>11</v>
      </c>
      <c r="G16" s="37">
        <v>-110</v>
      </c>
      <c r="H16" s="21" t="s">
        <v>262</v>
      </c>
      <c r="I16" s="45">
        <f>IF(Bets3[[#This Row],[Result]]="L",0-Bets3[[#This Row],[Risk]],IF(Bets3[[#This Row],[Result]]="Push",0,IF(Bets3[[#This Row],[Result]]="No Action",0,IF(Bets3[[#This Row],[Result]]="W",IF(Bets3[[#This Row],[Odds]]&gt;0,Bets3[[#This Row],[Odds]]/100*Bets3[[#This Row],[Risk]],(Bets3[[#This Row],[Risk]]/Bets3[[#This Row],[Odds]]*-100)),""))))</f>
        <v>10</v>
      </c>
      <c r="J16" s="23" t="str">
        <f>IF(ISNUMBER(SEARCH(CHAR(10),Bets3[[#This Row],[Bet]])),"P",IF(ISNUMBER(FIND("Under",Bets3[[#This Row],[Bet]])),"U",IF(ISNUMBER(SEARCH("Over",Bets3[[#This Row],[Bet]])),"O",IF(ISNUMBER(SEARCH("+",Bets3[[#This Row],[Bet]])),"D",IF(ISNUMBER(SEARCH("-",Bets3[[#This Row],[Bet]])),"F",IF(ISNUMBER(SEARCH("Moneyline",Bets3[[#This Row],[Bet]])),IF(Bets3[[#This Row],[Odds]]&lt;0,"MF","MD"),""))))))</f>
        <v>O</v>
      </c>
      <c r="K16"/>
      <c r="L16" s="24">
        <f t="shared" si="1"/>
        <v>43598</v>
      </c>
      <c r="M16" s="1" t="str">
        <f>COUNTIFS(Bets3[Date],L16,Bets3[Result],"W")&amp;"-"&amp;COUNTIFS(Bets3[Date],L16,Bets3[Result],"L")&amp;IF(COUNTIFS(Bets3[Date],L16,Bets3[Result],"Push")&gt;0,"-"&amp;COUNTIFS(Bets3[Date],L16,Bets3[Result],"Push"),"")</f>
        <v>5-3</v>
      </c>
      <c r="N16" s="25">
        <f>IFERROR(COUNTIFS(Bets3[Date],L16,Bets3[Result],"W")/(COUNTIFS(Bets3[Date],L16,Bets3[Result],"W")+COUNTIFS(Bets3[Date],L16,Bets3[Result],"L")),"")</f>
        <v>0.625</v>
      </c>
      <c r="O16" s="26">
        <f>SUMIF(Bets3[Date],L16,Bets3[Net])</f>
        <v>10.100000000000001</v>
      </c>
      <c r="P16" s="27" t="str">
        <f>IFERROR("("&amp;ROUND(SUMIF(Bets3[Date],L16,Bets3[Net])/SUMIF(Bets3[Date],L16,Bets3[Risk]),2)*100&amp;"%)","")</f>
        <v>(10%)</v>
      </c>
      <c r="Q16" s="72">
        <f t="shared" si="2"/>
        <v>48.768173211651494</v>
      </c>
      <c r="R16" s="73">
        <f>IFERROR(SUMIF(Bets3[Date],"&lt;="&amp;L16,Bets3[Net])/SUMIF(Bets3[Date],"&lt;="&amp;L16,Bets3[Risk]),"")</f>
        <v>2.6577384505122016E-2</v>
      </c>
      <c r="T16" s="29" t="s">
        <v>883</v>
      </c>
      <c r="U16" s="57">
        <f ca="1">U15/U14</f>
        <v>8.6612053380998852E-2</v>
      </c>
    </row>
    <row r="17" spans="1:21" x14ac:dyDescent="0.25">
      <c r="A17" s="13">
        <f t="shared" si="0"/>
        <v>1</v>
      </c>
      <c r="B17" s="17">
        <v>43578</v>
      </c>
      <c r="C17" s="17" t="s">
        <v>802</v>
      </c>
      <c r="D17" s="18" t="s">
        <v>840</v>
      </c>
      <c r="E17" s="11" t="s">
        <v>841</v>
      </c>
      <c r="F17" s="19">
        <f>IF(Bets35[[#This Row],[Odds]]&lt;0,Bets35[[#This Row],[Odds]]/-10,1000/Bets3[[#This Row],[Odds]])</f>
        <v>11</v>
      </c>
      <c r="G17" s="37">
        <v>-110</v>
      </c>
      <c r="H17" s="21" t="s">
        <v>263</v>
      </c>
      <c r="I17" s="45">
        <f>IF(Bets3[[#This Row],[Result]]="L",0-Bets3[[#This Row],[Risk]],IF(Bets3[[#This Row],[Result]]="Push",0,IF(Bets3[[#This Row],[Result]]="No Action",0,IF(Bets3[[#This Row],[Result]]="W",IF(Bets3[[#This Row],[Odds]]&gt;0,Bets3[[#This Row],[Odds]]/100*Bets3[[#This Row],[Risk]],(Bets3[[#This Row],[Risk]]/Bets3[[#This Row],[Odds]]*-100)),""))))</f>
        <v>-11</v>
      </c>
      <c r="J17" s="23" t="str">
        <f>IF(ISNUMBER(SEARCH(CHAR(10),Bets3[[#This Row],[Bet]])),"P",IF(ISNUMBER(FIND("Under",Bets3[[#This Row],[Bet]])),"U",IF(ISNUMBER(SEARCH("Over",Bets3[[#This Row],[Bet]])),"O",IF(ISNUMBER(SEARCH("+",Bets3[[#This Row],[Bet]])),"D",IF(ISNUMBER(SEARCH("-",Bets3[[#This Row],[Bet]])),"F",IF(ISNUMBER(SEARCH("Moneyline",Bets3[[#This Row],[Bet]])),IF(Bets3[[#This Row],[Odds]]&lt;0,"MF","MD"),""))))))</f>
        <v>O</v>
      </c>
      <c r="K17"/>
      <c r="L17" s="24">
        <f t="shared" si="1"/>
        <v>43599</v>
      </c>
      <c r="M17" s="1" t="str">
        <f>COUNTIFS(Bets3[Date],L17,Bets3[Result],"W")&amp;"-"&amp;COUNTIFS(Bets3[Date],L17,Bets3[Result],"L")&amp;IF(COUNTIFS(Bets3[Date],L17,Bets3[Result],"Push")&gt;0,"-"&amp;COUNTIFS(Bets3[Date],L17,Bets3[Result],"Push"),"")</f>
        <v>6-3</v>
      </c>
      <c r="N17" s="25">
        <f>IFERROR(COUNTIFS(Bets3[Date],L17,Bets3[Result],"W")/(COUNTIFS(Bets3[Date],L17,Bets3[Result],"W")+COUNTIFS(Bets3[Date],L17,Bets3[Result],"L")),"")</f>
        <v>0.66666666666666663</v>
      </c>
      <c r="O17" s="26">
        <f>SUMIF(Bets3[Date],L17,Bets3[Net])</f>
        <v>26.409090909090907</v>
      </c>
      <c r="P17" s="27" t="str">
        <f>IFERROR("("&amp;ROUND(SUMIF(Bets3[Date],L17,Bets3[Net])/SUMIF(Bets3[Date],L17,Bets3[Risk]),2)*100&amp;"%)","")</f>
        <v>(22%)</v>
      </c>
      <c r="Q17" s="72">
        <f t="shared" si="2"/>
        <v>75.177264120742393</v>
      </c>
      <c r="R17" s="73">
        <f>IFERROR(SUMIF(Bets3[Date],"&lt;="&amp;L17,Bets3[Net])/SUMIF(Bets3[Date],"&lt;="&amp;L17,Bets3[Risk]),"")</f>
        <v>3.8443205959714601E-2</v>
      </c>
      <c r="T17" s="29" t="s">
        <v>793</v>
      </c>
      <c r="U17" s="58" t="str">
        <f>COUNTIFS(Bets3[Result],"W")&amp;"-"&amp;COUNTIFS(Bets3[Result],"L")&amp;IF(COUNTIFS(Bets3[Result],"Push")&gt;0,"-"&amp;COUNTIFS(Bets3[Result],"Push"),"")</f>
        <v>181-139-11</v>
      </c>
    </row>
    <row r="18" spans="1:21" x14ac:dyDescent="0.25">
      <c r="A18" s="13">
        <f t="shared" si="0"/>
        <v>1</v>
      </c>
      <c r="B18" s="17">
        <v>43578</v>
      </c>
      <c r="C18" s="17" t="s">
        <v>802</v>
      </c>
      <c r="D18" s="18" t="s">
        <v>814</v>
      </c>
      <c r="E18" s="11" t="s">
        <v>842</v>
      </c>
      <c r="F18" s="19">
        <f>IF(Bets35[[#This Row],[Odds]]&lt;0,Bets35[[#This Row],[Odds]]/-10,1000/Bets3[[#This Row],[Odds]])</f>
        <v>11</v>
      </c>
      <c r="G18" s="37">
        <v>-110</v>
      </c>
      <c r="H18" s="21" t="s">
        <v>263</v>
      </c>
      <c r="I18" s="45">
        <f>IF(Bets3[[#This Row],[Result]]="L",0-Bets3[[#This Row],[Risk]],IF(Bets3[[#This Row],[Result]]="Push",0,IF(Bets3[[#This Row],[Result]]="No Action",0,IF(Bets3[[#This Row],[Result]]="W",IF(Bets3[[#This Row],[Odds]]&gt;0,Bets3[[#This Row],[Odds]]/100*Bets3[[#This Row],[Risk]],(Bets3[[#This Row],[Risk]]/Bets3[[#This Row],[Odds]]*-100)),""))))</f>
        <v>-11</v>
      </c>
      <c r="J18" s="23" t="str">
        <f>IF(ISNUMBER(SEARCH(CHAR(10),Bets3[[#This Row],[Bet]])),"P",IF(ISNUMBER(FIND("Under",Bets3[[#This Row],[Bet]])),"U",IF(ISNUMBER(SEARCH("Over",Bets3[[#This Row],[Bet]])),"O",IF(ISNUMBER(SEARCH("+",Bets3[[#This Row],[Bet]])),"D",IF(ISNUMBER(SEARCH("-",Bets3[[#This Row],[Bet]])),"F",IF(ISNUMBER(SEARCH("Moneyline",Bets3[[#This Row],[Bet]])),IF(Bets3[[#This Row],[Odds]]&lt;0,"MF","MD"),""))))))</f>
        <v>U</v>
      </c>
      <c r="K18"/>
      <c r="L18" s="24">
        <f t="shared" si="1"/>
        <v>43600</v>
      </c>
      <c r="M18" s="1" t="str">
        <f>COUNTIFS(Bets3[Date],L18,Bets3[Result],"W")&amp;"-"&amp;COUNTIFS(Bets3[Date],L18,Bets3[Result],"L")&amp;IF(COUNTIFS(Bets3[Date],L18,Bets3[Result],"Push")&gt;0,"-"&amp;COUNTIFS(Bets3[Date],L18,Bets3[Result],"Push"),"")</f>
        <v>6-1</v>
      </c>
      <c r="N18" s="25">
        <f>IFERROR(COUNTIFS(Bets3[Date],L18,Bets3[Result],"W")/(COUNTIFS(Bets3[Date],L18,Bets3[Result],"W")+COUNTIFS(Bets3[Date],L18,Bets3[Result],"L")),"")</f>
        <v>0.8571428571428571</v>
      </c>
      <c r="O18" s="26">
        <f>SUMIF(Bets3[Date],L18,Bets3[Net])</f>
        <v>52.481203007518801</v>
      </c>
      <c r="P18" s="27" t="str">
        <f>IFERROR("("&amp;ROUND(SUMIF(Bets3[Date],L18,Bets3[Net])/SUMIF(Bets3[Date],L18,Bets3[Risk]),2)*100&amp;"%)","")</f>
        <v>(46%)</v>
      </c>
      <c r="Q18" s="72">
        <f t="shared" si="2"/>
        <v>127.65846712826119</v>
      </c>
      <c r="R18" s="73">
        <f>IFERROR(SUMIF(Bets3[Date],"&lt;="&amp;L18,Bets3[Net])/SUMIF(Bets3[Date],"&lt;="&amp;L18,Bets3[Risk]),"")</f>
        <v>6.1698781933773608E-2</v>
      </c>
      <c r="T18" s="29" t="s">
        <v>884</v>
      </c>
      <c r="U18" s="59">
        <f>COUNTIFS(Bets3[Result],"W")/(COUNTIFS(Bets3[Result],"L")+COUNTIFS(Bets3[Result],"W"))</f>
        <v>0.56562500000000004</v>
      </c>
    </row>
    <row r="19" spans="1:21" x14ac:dyDescent="0.25">
      <c r="A19" s="13">
        <f t="shared" si="0"/>
        <v>1</v>
      </c>
      <c r="B19" s="17">
        <v>43578</v>
      </c>
      <c r="C19" s="17" t="s">
        <v>802</v>
      </c>
      <c r="D19" s="18" t="s">
        <v>843</v>
      </c>
      <c r="E19" s="11" t="s">
        <v>844</v>
      </c>
      <c r="F19" s="19">
        <f>IF(Bets35[[#This Row],[Odds]]&lt;0,Bets35[[#This Row],[Odds]]/-10,1000/Bets3[[#This Row],[Odds]])</f>
        <v>11</v>
      </c>
      <c r="G19" s="37">
        <v>-110</v>
      </c>
      <c r="H19" s="21" t="s">
        <v>846</v>
      </c>
      <c r="I19" s="45">
        <f>IF(Bets3[[#This Row],[Result]]="L",0-Bets3[[#This Row],[Risk]],IF(Bets3[[#This Row],[Result]]="Push",0,IF(Bets3[[#This Row],[Result]]="No Action",0,IF(Bets3[[#This Row],[Result]]="W",IF(Bets3[[#This Row],[Odds]]&gt;0,Bets3[[#This Row],[Odds]]/100*Bets3[[#This Row],[Risk]],(Bets3[[#This Row],[Risk]]/Bets3[[#This Row],[Odds]]*-100)),""))))</f>
        <v>0</v>
      </c>
      <c r="J19" s="23" t="str">
        <f>IF(ISNUMBER(SEARCH(CHAR(10),Bets3[[#This Row],[Bet]])),"P",IF(ISNUMBER(FIND("Under",Bets3[[#This Row],[Bet]])),"U",IF(ISNUMBER(SEARCH("Over",Bets3[[#This Row],[Bet]])),"O",IF(ISNUMBER(SEARCH("+",Bets3[[#This Row],[Bet]])),"D",IF(ISNUMBER(SEARCH("-",Bets3[[#This Row],[Bet]])),"F",IF(ISNUMBER(SEARCH("Moneyline",Bets3[[#This Row],[Bet]])),IF(Bets3[[#This Row],[Odds]]&lt;0,"MF","MD"),""))))))</f>
        <v>O</v>
      </c>
      <c r="K19" s="22"/>
      <c r="L19" s="24">
        <f t="shared" si="1"/>
        <v>43601</v>
      </c>
      <c r="M19" s="1" t="str">
        <f>COUNTIFS(Bets3[Date],L19,Bets3[Result],"W")&amp;"-"&amp;COUNTIFS(Bets3[Date],L19,Bets3[Result],"L")&amp;IF(COUNTIFS(Bets3[Date],L19,Bets3[Result],"Push")&gt;0,"-"&amp;COUNTIFS(Bets3[Date],L19,Bets3[Result],"Push"),"")</f>
        <v>2-4</v>
      </c>
      <c r="N19" s="25">
        <f>IFERROR(COUNTIFS(Bets3[Date],L19,Bets3[Result],"W")/(COUNTIFS(Bets3[Date],L19,Bets3[Result],"W")+COUNTIFS(Bets3[Date],L19,Bets3[Result],"L")),"")</f>
        <v>0.33333333333333331</v>
      </c>
      <c r="O19" s="26">
        <f>SUMIF(Bets3[Date],L19,Bets3[Net])</f>
        <v>-21.590909090909093</v>
      </c>
      <c r="P19" s="27" t="str">
        <f>IFERROR("("&amp;ROUND(SUMIF(Bets3[Date],L19,Bets3[Net])/SUMIF(Bets3[Date],L19,Bets3[Risk]),2)*100&amp;"%)","")</f>
        <v>(-34%)</v>
      </c>
      <c r="Q19" s="72">
        <f t="shared" si="2"/>
        <v>106.0675580373521</v>
      </c>
      <c r="R19" s="73">
        <f>IFERROR(SUMIF(Bets3[Date],"&lt;="&amp;L19,Bets3[Net])/SUMIF(Bets3[Date],"&lt;="&amp;L19,Bets3[Risk]),"")</f>
        <v>4.9746746054740276E-2</v>
      </c>
      <c r="T19" s="33"/>
      <c r="U19" s="34"/>
    </row>
    <row r="20" spans="1:21" x14ac:dyDescent="0.25">
      <c r="A20" s="13">
        <f t="shared" si="0"/>
        <v>1</v>
      </c>
      <c r="B20" s="17">
        <v>43578</v>
      </c>
      <c r="C20" s="17" t="s">
        <v>802</v>
      </c>
      <c r="D20" s="18" t="s">
        <v>821</v>
      </c>
      <c r="E20" s="11" t="s">
        <v>845</v>
      </c>
      <c r="F20" s="19">
        <f>IF(Bets35[[#This Row],[Odds]]&lt;0,Bets35[[#This Row],[Odds]]/-10,1000/Bets3[[#This Row],[Odds]])</f>
        <v>11</v>
      </c>
      <c r="G20" s="37">
        <v>-110</v>
      </c>
      <c r="H20" s="21" t="s">
        <v>262</v>
      </c>
      <c r="I20" s="45">
        <f>IF(Bets3[[#This Row],[Result]]="L",0-Bets3[[#This Row],[Risk]],IF(Bets3[[#This Row],[Result]]="Push",0,IF(Bets3[[#This Row],[Result]]="No Action",0,IF(Bets3[[#This Row],[Result]]="W",IF(Bets3[[#This Row],[Odds]]&gt;0,Bets3[[#This Row],[Odds]]/100*Bets3[[#This Row],[Risk]],(Bets3[[#This Row],[Risk]]/Bets3[[#This Row],[Odds]]*-100)),""))))</f>
        <v>10</v>
      </c>
      <c r="J20" s="23" t="str">
        <f>IF(ISNUMBER(SEARCH(CHAR(10),Bets3[[#This Row],[Bet]])),"P",IF(ISNUMBER(FIND("Under",Bets3[[#This Row],[Bet]])),"U",IF(ISNUMBER(SEARCH("Over",Bets3[[#This Row],[Bet]])),"O",IF(ISNUMBER(SEARCH("+",Bets3[[#This Row],[Bet]])),"D",IF(ISNUMBER(SEARCH("-",Bets3[[#This Row],[Bet]])),"F",IF(ISNUMBER(SEARCH("Moneyline",Bets3[[#This Row],[Bet]])),IF(Bets3[[#This Row],[Odds]]&lt;0,"MF","MD"),""))))))</f>
        <v>O</v>
      </c>
      <c r="K20" s="22"/>
      <c r="L20" s="24">
        <f t="shared" si="1"/>
        <v>43602</v>
      </c>
      <c r="M20" s="1" t="str">
        <f>COUNTIFS(Bets3[Date],L20,Bets3[Result],"W")&amp;"-"&amp;COUNTIFS(Bets3[Date],L20,Bets3[Result],"L")&amp;IF(COUNTIFS(Bets3[Date],L20,Bets3[Result],"Push")&gt;0,"-"&amp;COUNTIFS(Bets3[Date],L20,Bets3[Result],"Push"),"")</f>
        <v>5-1-1</v>
      </c>
      <c r="N20" s="25">
        <f>IFERROR(COUNTIFS(Bets3[Date],L20,Bets3[Result],"W")/(COUNTIFS(Bets3[Date],L20,Bets3[Result],"W")+COUNTIFS(Bets3[Date],L20,Bets3[Result],"L")),"")</f>
        <v>0.83333333333333337</v>
      </c>
      <c r="O20" s="26">
        <f>SUMIF(Bets3[Date],L20,Bets3[Net])</f>
        <v>33.799999999999997</v>
      </c>
      <c r="P20" s="27" t="str">
        <f>IFERROR("("&amp;ROUND(SUMIF(Bets3[Date],L20,Bets3[Net])/SUMIF(Bets3[Date],L20,Bets3[Risk]),2)*100&amp;"%)","")</f>
        <v>(42%)</v>
      </c>
      <c r="Q20" s="72">
        <f t="shared" si="2"/>
        <v>139.8675580373521</v>
      </c>
      <c r="R20" s="73">
        <f>IFERROR(SUMIF(Bets3[Date],"&lt;="&amp;L20,Bets3[Net])/SUMIF(Bets3[Date],"&lt;="&amp;L20,Bets3[Risk]),"")</f>
        <v>6.3228490858342964E-2</v>
      </c>
      <c r="T20" s="33"/>
    </row>
    <row r="21" spans="1:21" x14ac:dyDescent="0.25">
      <c r="A21" s="13">
        <f t="shared" si="0"/>
        <v>1</v>
      </c>
      <c r="B21" s="17">
        <v>43578</v>
      </c>
      <c r="C21" s="17" t="s">
        <v>802</v>
      </c>
      <c r="D21" s="18" t="s">
        <v>826</v>
      </c>
      <c r="E21" s="11" t="s">
        <v>839</v>
      </c>
      <c r="F21" s="19">
        <f>IF(Bets35[[#This Row],[Odds]]&lt;0,Bets35[[#This Row],[Odds]]/-10,1000/Bets3[[#This Row],[Odds]])</f>
        <v>11</v>
      </c>
      <c r="G21" s="37">
        <v>-110</v>
      </c>
      <c r="H21" s="21" t="s">
        <v>262</v>
      </c>
      <c r="I21" s="45">
        <f>IF(Bets3[[#This Row],[Result]]="L",0-Bets3[[#This Row],[Risk]],IF(Bets3[[#This Row],[Result]]="Push",0,IF(Bets3[[#This Row],[Result]]="No Action",0,IF(Bets3[[#This Row],[Result]]="W",IF(Bets3[[#This Row],[Odds]]&gt;0,Bets3[[#This Row],[Odds]]/100*Bets3[[#This Row],[Risk]],(Bets3[[#This Row],[Risk]]/Bets3[[#This Row],[Odds]]*-100)),""))))</f>
        <v>10</v>
      </c>
      <c r="J21" s="23" t="str">
        <f>IF(ISNUMBER(SEARCH(CHAR(10),Bets3[[#This Row],[Bet]])),"P",IF(ISNUMBER(FIND("Under",Bets3[[#This Row],[Bet]])),"U",IF(ISNUMBER(SEARCH("Over",Bets3[[#This Row],[Bet]])),"O",IF(ISNUMBER(SEARCH("+",Bets3[[#This Row],[Bet]])),"D",IF(ISNUMBER(SEARCH("-",Bets3[[#This Row],[Bet]])),"F",IF(ISNUMBER(SEARCH("Moneyline",Bets3[[#This Row],[Bet]])),IF(Bets3[[#This Row],[Odds]]&lt;0,"MF","MD"),""))))))</f>
        <v>O</v>
      </c>
      <c r="K21" s="22"/>
      <c r="L21" s="24">
        <f t="shared" si="1"/>
        <v>43606</v>
      </c>
      <c r="M21" s="1" t="str">
        <f>COUNTIFS(Bets3[Date],L21,Bets3[Result],"W")&amp;"-"&amp;COUNTIFS(Bets3[Date],L21,Bets3[Result],"L")&amp;IF(COUNTIFS(Bets3[Date],L21,Bets3[Result],"Push")&gt;0,"-"&amp;COUNTIFS(Bets3[Date],L21,Bets3[Result],"Push"),"")</f>
        <v>5-6</v>
      </c>
      <c r="N21" s="25">
        <f>IFERROR(COUNTIFS(Bets3[Date],L21,Bets3[Result],"W")/(COUNTIFS(Bets3[Date],L21,Bets3[Result],"W")+COUNTIFS(Bets3[Date],L21,Bets3[Result],"L")),"")</f>
        <v>0.45454545454545453</v>
      </c>
      <c r="O21" s="26">
        <f>SUMIF(Bets3[Date],L21,Bets3[Net])</f>
        <v>-12.574015748031496</v>
      </c>
      <c r="P21" s="27" t="str">
        <f>IFERROR("("&amp;ROUND(SUMIF(Bets3[Date],L21,Bets3[Net])/SUMIF(Bets3[Date],L21,Bets3[Risk]),2)*100&amp;"%)","")</f>
        <v>(-11%)</v>
      </c>
      <c r="Q21" s="72">
        <f t="shared" si="2"/>
        <v>127.2935422893206</v>
      </c>
      <c r="R21" s="73">
        <f>IFERROR(SUMIF(Bets3[Date],"&lt;="&amp;L21,Bets3[Net])/SUMIF(Bets3[Date],"&lt;="&amp;L21,Bets3[Risk]),"")</f>
        <v>5.4622333472352583E-2</v>
      </c>
    </row>
    <row r="22" spans="1:21" x14ac:dyDescent="0.25">
      <c r="A22" s="13">
        <f t="shared" si="0"/>
        <v>1</v>
      </c>
      <c r="B22" s="17">
        <v>43578</v>
      </c>
      <c r="C22" s="17" t="s">
        <v>802</v>
      </c>
      <c r="D22" s="18" t="s">
        <v>833</v>
      </c>
      <c r="E22" s="11" t="s">
        <v>839</v>
      </c>
      <c r="F22" s="19">
        <f>IF(Bets35[[#This Row],[Odds]]&lt;0,Bets35[[#This Row],[Odds]]/-10,1000/Bets3[[#This Row],[Odds]])</f>
        <v>11</v>
      </c>
      <c r="G22" s="37">
        <v>-110</v>
      </c>
      <c r="H22" s="21" t="s">
        <v>262</v>
      </c>
      <c r="I22" s="45">
        <f>IF(Bets3[[#This Row],[Result]]="L",0-Bets3[[#This Row],[Risk]],IF(Bets3[[#This Row],[Result]]="Push",0,IF(Bets3[[#This Row],[Result]]="No Action",0,IF(Bets3[[#This Row],[Result]]="W",IF(Bets3[[#This Row],[Odds]]&gt;0,Bets3[[#This Row],[Odds]]/100*Bets3[[#This Row],[Risk]],(Bets3[[#This Row],[Risk]]/Bets3[[#This Row],[Odds]]*-100)),""))))</f>
        <v>10</v>
      </c>
      <c r="J22" s="23" t="str">
        <f>IF(ISNUMBER(SEARCH(CHAR(10),Bets3[[#This Row],[Bet]])),"P",IF(ISNUMBER(FIND("Under",Bets3[[#This Row],[Bet]])),"U",IF(ISNUMBER(SEARCH("Over",Bets3[[#This Row],[Bet]])),"O",IF(ISNUMBER(SEARCH("+",Bets3[[#This Row],[Bet]])),"D",IF(ISNUMBER(SEARCH("-",Bets3[[#This Row],[Bet]])),"F",IF(ISNUMBER(SEARCH("Moneyline",Bets3[[#This Row],[Bet]])),IF(Bets3[[#This Row],[Odds]]&lt;0,"MF","MD"),""))))))</f>
        <v>O</v>
      </c>
      <c r="K22" s="22"/>
      <c r="L22" s="24">
        <f t="shared" si="1"/>
        <v>43608</v>
      </c>
      <c r="M22" s="1" t="str">
        <f>COUNTIFS(Bets3[Date],L22,Bets3[Result],"W")&amp;"-"&amp;COUNTIFS(Bets3[Date],L22,Bets3[Result],"L")&amp;IF(COUNTIFS(Bets3[Date],L22,Bets3[Result],"Push")&gt;0,"-"&amp;COUNTIFS(Bets3[Date],L22,Bets3[Result],"Push"),"")</f>
        <v>4-3-1</v>
      </c>
      <c r="N22" s="25">
        <f>IFERROR(COUNTIFS(Bets3[Date],L22,Bets3[Result],"W")/(COUNTIFS(Bets3[Date],L22,Bets3[Result],"W")+COUNTIFS(Bets3[Date],L22,Bets3[Result],"L")),"")</f>
        <v>0.5714285714285714</v>
      </c>
      <c r="O22" s="26">
        <f>SUMIF(Bets3[Date],L22,Bets3[Net])</f>
        <v>6.4761904761904763</v>
      </c>
      <c r="P22" s="27" t="str">
        <f>IFERROR("("&amp;ROUND(SUMIF(Bets3[Date],L22,Bets3[Net])/SUMIF(Bets3[Date],L22,Bets3[Risk]),2)*100&amp;"%)","")</f>
        <v>(7%)</v>
      </c>
      <c r="Q22" s="72">
        <f t="shared" si="2"/>
        <v>133.76973276551107</v>
      </c>
      <c r="R22" s="73">
        <f>IFERROR(SUMIF(Bets3[Date],"&lt;="&amp;L22,Bets3[Net])/SUMIF(Bets3[Date],"&lt;="&amp;L22,Bets3[Risk]),"")</f>
        <v>5.5220749452638281E-2</v>
      </c>
    </row>
    <row r="23" spans="1:21" x14ac:dyDescent="0.25">
      <c r="A23" s="13">
        <f t="shared" si="0"/>
        <v>2</v>
      </c>
      <c r="B23" s="17">
        <v>43579</v>
      </c>
      <c r="C23" s="17" t="s">
        <v>802</v>
      </c>
      <c r="D23" s="18" t="s">
        <v>826</v>
      </c>
      <c r="E23" s="11" t="s">
        <v>867</v>
      </c>
      <c r="F23" s="19">
        <f>IF(Bets35[[#This Row],[Odds]]&lt;0,Bets35[[#This Row],[Odds]]/-10,1000/Bets3[[#This Row],[Odds]])</f>
        <v>8</v>
      </c>
      <c r="G23" s="37" t="s">
        <v>868</v>
      </c>
      <c r="H23" s="21" t="s">
        <v>262</v>
      </c>
      <c r="I23" s="45">
        <f>IF(Bets3[[#This Row],[Result]]="L",0-Bets3[[#This Row],[Risk]],IF(Bets3[[#This Row],[Result]]="Push",0,IF(Bets3[[#This Row],[Result]]="No Action",0,IF(Bets3[[#This Row],[Result]]="W",IF(Bets3[[#This Row],[Odds]]&gt;0,Bets3[[#This Row],[Odds]]/100*Bets3[[#This Row],[Risk]],(Bets3[[#This Row],[Risk]]/Bets3[[#This Row],[Odds]]*-100)),""))))</f>
        <v>10</v>
      </c>
      <c r="J23" s="23" t="str">
        <f>IF(ISNUMBER(SEARCH(CHAR(10),Bets3[[#This Row],[Bet]])),"P",IF(ISNUMBER(FIND("Under",Bets3[[#This Row],[Bet]])),"U",IF(ISNUMBER(SEARCH("Over",Bets3[[#This Row],[Bet]])),"O",IF(ISNUMBER(SEARCH("+",Bets3[[#This Row],[Bet]])),"D",IF(ISNUMBER(SEARCH("-",Bets3[[#This Row],[Bet]])),"F",IF(ISNUMBER(SEARCH("Moneyline",Bets3[[#This Row],[Bet]])),IF(Bets3[[#This Row],[Odds]]&lt;0,"MF","MD"),""))))))</f>
        <v>MD</v>
      </c>
      <c r="K23" s="22"/>
      <c r="L23" s="24">
        <f t="shared" si="1"/>
        <v>43613</v>
      </c>
      <c r="M23" s="1" t="str">
        <f>COUNTIFS(Bets3[Date],L23,Bets3[Result],"W")&amp;"-"&amp;COUNTIFS(Bets3[Date],L23,Bets3[Result],"L")&amp;IF(COUNTIFS(Bets3[Date],L23,Bets3[Result],"Push")&gt;0,"-"&amp;COUNTIFS(Bets3[Date],L23,Bets3[Result],"Push"),"")</f>
        <v>4-4</v>
      </c>
      <c r="N23" s="25">
        <f>IFERROR(COUNTIFS(Bets3[Date],L23,Bets3[Result],"W")/(COUNTIFS(Bets3[Date],L23,Bets3[Result],"W")+COUNTIFS(Bets3[Date],L23,Bets3[Result],"L")),"")</f>
        <v>0.5</v>
      </c>
      <c r="O23" s="26">
        <f>SUMIF(Bets3[Date],L23,Bets3[Net])</f>
        <v>1.6142050040350853E-3</v>
      </c>
      <c r="P23" s="27" t="str">
        <f>IFERROR("("&amp;ROUND(SUMIF(Bets3[Date],L23,Bets3[Net])/SUMIF(Bets3[Date],L23,Bets3[Risk]),2)*100&amp;"%)","")</f>
        <v>(0%)</v>
      </c>
      <c r="Q23" s="72">
        <f t="shared" si="2"/>
        <v>133.77134697051511</v>
      </c>
      <c r="R23" s="73">
        <f>IFERROR(SUMIF(Bets3[Date],"&lt;="&amp;L23,Bets3[Net])/SUMIF(Bets3[Date],"&lt;="&amp;L23,Bets3[Risk]),"")</f>
        <v>5.3338867439597912E-2</v>
      </c>
    </row>
    <row r="24" spans="1:21" x14ac:dyDescent="0.25">
      <c r="A24" s="13">
        <f t="shared" si="0"/>
        <v>2</v>
      </c>
      <c r="B24" s="17">
        <v>43579</v>
      </c>
      <c r="C24" s="17" t="s">
        <v>802</v>
      </c>
      <c r="D24" s="18" t="s">
        <v>831</v>
      </c>
      <c r="E24" s="11" t="s">
        <v>832</v>
      </c>
      <c r="F24" s="19">
        <f>IF(Bets35[[#This Row],[Odds]]&lt;0,Bets35[[#This Row],[Odds]]/-10,1000/Bets3[[#This Row],[Odds]])</f>
        <v>8.695652173913043</v>
      </c>
      <c r="G24" s="37" t="s">
        <v>828</v>
      </c>
      <c r="H24" s="21" t="s">
        <v>262</v>
      </c>
      <c r="I24" s="45">
        <f>IF(Bets3[[#This Row],[Result]]="L",0-Bets3[[#This Row],[Risk]],IF(Bets3[[#This Row],[Result]]="Push",0,IF(Bets3[[#This Row],[Result]]="No Action",0,IF(Bets3[[#This Row],[Result]]="W",IF(Bets3[[#This Row],[Odds]]&gt;0,Bets3[[#This Row],[Odds]]/100*Bets3[[#This Row],[Risk]],(Bets3[[#This Row],[Risk]]/Bets3[[#This Row],[Odds]]*-100)),""))))</f>
        <v>9.9999999999999982</v>
      </c>
      <c r="J24" s="23" t="str">
        <f>IF(ISNUMBER(SEARCH(CHAR(10),Bets3[[#This Row],[Bet]])),"P",IF(ISNUMBER(FIND("Under",Bets3[[#This Row],[Bet]])),"U",IF(ISNUMBER(SEARCH("Over",Bets3[[#This Row],[Bet]])),"O",IF(ISNUMBER(SEARCH("+",Bets3[[#This Row],[Bet]])),"D",IF(ISNUMBER(SEARCH("-",Bets3[[#This Row],[Bet]])),"F",IF(ISNUMBER(SEARCH("Moneyline",Bets3[[#This Row],[Bet]])),IF(Bets3[[#This Row],[Odds]]&lt;0,"MF","MD"),""))))))</f>
        <v>MD</v>
      </c>
      <c r="K24" s="22"/>
      <c r="L24" s="24">
        <f t="shared" si="1"/>
        <v>43614</v>
      </c>
      <c r="M24" s="1" t="str">
        <f>COUNTIFS(Bets3[Date],L24,Bets3[Result],"W")&amp;"-"&amp;COUNTIFS(Bets3[Date],L24,Bets3[Result],"L")&amp;IF(COUNTIFS(Bets3[Date],L24,Bets3[Result],"Push")&gt;0,"-"&amp;COUNTIFS(Bets3[Date],L24,Bets3[Result],"Push"),"")</f>
        <v>2-5</v>
      </c>
      <c r="N24" s="25">
        <f>IFERROR(COUNTIFS(Bets3[Date],L24,Bets3[Result],"W")/(COUNTIFS(Bets3[Date],L24,Bets3[Result],"W")+COUNTIFS(Bets3[Date],L24,Bets3[Result],"L")),"")</f>
        <v>0.2857142857142857</v>
      </c>
      <c r="O24" s="26">
        <f>SUMIF(Bets3[Date],L24,Bets3[Net])</f>
        <v>-41.5</v>
      </c>
      <c r="P24" s="27" t="str">
        <f>IFERROR("("&amp;ROUND(SUMIF(Bets3[Date],L24,Bets3[Net])/SUMIF(Bets3[Date],L24,Bets3[Risk]),2)*100&amp;"%)","")</f>
        <v>(-50%)</v>
      </c>
      <c r="Q24" s="72">
        <f t="shared" si="2"/>
        <v>92.271346970515111</v>
      </c>
      <c r="R24" s="73">
        <f>IFERROR(SUMIF(Bets3[Date],"&lt;="&amp;L24,Bets3[Net])/SUMIF(Bets3[Date],"&lt;="&amp;L24,Bets3[Risk]),"")</f>
        <v>3.5606034177412815E-2</v>
      </c>
    </row>
    <row r="25" spans="1:21" x14ac:dyDescent="0.25">
      <c r="A25" s="13">
        <f t="shared" si="0"/>
        <v>2</v>
      </c>
      <c r="B25" s="17">
        <v>43579</v>
      </c>
      <c r="C25" s="17" t="s">
        <v>802</v>
      </c>
      <c r="D25" s="18" t="s">
        <v>840</v>
      </c>
      <c r="E25" s="11" t="s">
        <v>869</v>
      </c>
      <c r="F25" s="19">
        <f>IF(Bets35[[#This Row],[Odds]]&lt;0,Bets35[[#This Row],[Odds]]/-10,1000/Bets3[[#This Row],[Odds]])</f>
        <v>18</v>
      </c>
      <c r="G25" s="37">
        <v>-180</v>
      </c>
      <c r="H25" s="21" t="s">
        <v>262</v>
      </c>
      <c r="I25" s="45">
        <f>IF(Bets3[[#This Row],[Result]]="L",0-Bets3[[#This Row],[Risk]],IF(Bets3[[#This Row],[Result]]="Push",0,IF(Bets3[[#This Row],[Result]]="No Action",0,IF(Bets3[[#This Row],[Result]]="W",IF(Bets3[[#This Row],[Odds]]&gt;0,Bets3[[#This Row],[Odds]]/100*Bets3[[#This Row],[Risk]],(Bets3[[#This Row],[Risk]]/Bets3[[#This Row],[Odds]]*-100)),""))))</f>
        <v>10</v>
      </c>
      <c r="J25" s="23" t="str">
        <f>IF(ISNUMBER(SEARCH(CHAR(10),Bets3[[#This Row],[Bet]])),"P",IF(ISNUMBER(FIND("Under",Bets3[[#This Row],[Bet]])),"U",IF(ISNUMBER(SEARCH("Over",Bets3[[#This Row],[Bet]])),"O",IF(ISNUMBER(SEARCH("+",Bets3[[#This Row],[Bet]])),"D",IF(ISNUMBER(SEARCH("-",Bets3[[#This Row],[Bet]])),"F",IF(ISNUMBER(SEARCH("Moneyline",Bets3[[#This Row],[Bet]])),IF(Bets3[[#This Row],[Odds]]&lt;0,"MF","MD"),""))))))</f>
        <v>MF</v>
      </c>
      <c r="K25" s="22"/>
      <c r="L25" s="24">
        <f t="shared" si="1"/>
        <v>43616</v>
      </c>
      <c r="M25" s="1" t="str">
        <f>COUNTIFS(Bets3[Date],L25,Bets3[Result],"W")&amp;"-"&amp;COUNTIFS(Bets3[Date],L25,Bets3[Result],"L")&amp;IF(COUNTIFS(Bets3[Date],L25,Bets3[Result],"Push")&gt;0,"-"&amp;COUNTIFS(Bets3[Date],L25,Bets3[Result],"Push"),"")</f>
        <v>3-4</v>
      </c>
      <c r="N25" s="25">
        <f>IFERROR(COUNTIFS(Bets3[Date],L25,Bets3[Result],"W")/(COUNTIFS(Bets3[Date],L25,Bets3[Result],"W")+COUNTIFS(Bets3[Date],L25,Bets3[Result],"L")),"")</f>
        <v>0.42857142857142855</v>
      </c>
      <c r="O25" s="26">
        <f>SUMIF(Bets3[Date],L25,Bets3[Net])</f>
        <v>-22.593006993006988</v>
      </c>
      <c r="P25" s="27" t="str">
        <f>IFERROR("("&amp;ROUND(SUMIF(Bets3[Date],L25,Bets3[Net])/SUMIF(Bets3[Date],L25,Bets3[Risk]),2)*100&amp;"%)","")</f>
        <v>(-25%)</v>
      </c>
      <c r="Q25" s="72">
        <f t="shared" si="2"/>
        <v>69.678339977508131</v>
      </c>
      <c r="R25" s="73">
        <f>IFERROR(SUMIF(Bets3[Date],"&lt;="&amp;L25,Bets3[Net])/SUMIF(Bets3[Date],"&lt;="&amp;L25,Bets3[Risk]),"")</f>
        <v>2.5991826863265084E-2</v>
      </c>
    </row>
    <row r="26" spans="1:21" x14ac:dyDescent="0.25">
      <c r="A26" s="13">
        <f t="shared" si="0"/>
        <v>2</v>
      </c>
      <c r="B26" s="17">
        <v>43579</v>
      </c>
      <c r="C26" s="17" t="s">
        <v>802</v>
      </c>
      <c r="D26" s="18" t="s">
        <v>818</v>
      </c>
      <c r="E26" s="11" t="s">
        <v>819</v>
      </c>
      <c r="F26" s="19">
        <f>IF(Bets35[[#This Row],[Odds]]&lt;0,Bets35[[#This Row],[Odds]]/-10,1000/Bets3[[#This Row],[Odds]])</f>
        <v>27</v>
      </c>
      <c r="G26" s="37">
        <v>-270</v>
      </c>
      <c r="H26" s="21" t="s">
        <v>263</v>
      </c>
      <c r="I26" s="45">
        <f>IF(Bets3[[#This Row],[Result]]="L",0-Bets3[[#This Row],[Risk]],IF(Bets3[[#This Row],[Result]]="Push",0,IF(Bets3[[#This Row],[Result]]="No Action",0,IF(Bets3[[#This Row],[Result]]="W",IF(Bets3[[#This Row],[Odds]]&gt;0,Bets3[[#This Row],[Odds]]/100*Bets3[[#This Row],[Risk]],(Bets3[[#This Row],[Risk]]/Bets3[[#This Row],[Odds]]*-100)),""))))</f>
        <v>-27</v>
      </c>
      <c r="J26" s="23" t="str">
        <f>IF(ISNUMBER(SEARCH(CHAR(10),Bets3[[#This Row],[Bet]])),"P",IF(ISNUMBER(FIND("Under",Bets3[[#This Row],[Bet]])),"U",IF(ISNUMBER(SEARCH("Over",Bets3[[#This Row],[Bet]])),"O",IF(ISNUMBER(SEARCH("+",Bets3[[#This Row],[Bet]])),"D",IF(ISNUMBER(SEARCH("-",Bets3[[#This Row],[Bet]])),"F",IF(ISNUMBER(SEARCH("Moneyline",Bets3[[#This Row],[Bet]])),IF(Bets3[[#This Row],[Odds]]&lt;0,"MF","MD"),""))))))</f>
        <v>MF</v>
      </c>
      <c r="K26" s="22"/>
      <c r="L26" s="24">
        <f t="shared" si="1"/>
        <v>43662</v>
      </c>
      <c r="M26" s="1" t="str">
        <f>COUNTIFS(Bets3[Date],L26,Bets3[Result],"W")&amp;"-"&amp;COUNTIFS(Bets3[Date],L26,Bets3[Result],"L")&amp;IF(COUNTIFS(Bets3[Date],L26,Bets3[Result],"Push")&gt;0,"-"&amp;COUNTIFS(Bets3[Date],L26,Bets3[Result],"Push"),"")</f>
        <v>11-8</v>
      </c>
      <c r="N26" s="25">
        <f>IFERROR(COUNTIFS(Bets3[Date],L26,Bets3[Result],"W")/(COUNTIFS(Bets3[Date],L26,Bets3[Result],"W")+COUNTIFS(Bets3[Date],L26,Bets3[Result],"L")),"")</f>
        <v>0.57894736842105265</v>
      </c>
      <c r="O26" s="26">
        <f>SUMIF(Bets3[Date],L26,Bets3[Net])</f>
        <v>61.942893450109707</v>
      </c>
      <c r="P26" s="27" t="str">
        <f>IFERROR("("&amp;ROUND(SUMIF(Bets3[Date],L26,Bets3[Net])/SUMIF(Bets3[Date],L26,Bets3[Risk]),2)*100&amp;"%)","")</f>
        <v>(43%)</v>
      </c>
      <c r="Q26" s="72">
        <f t="shared" si="2"/>
        <v>131.62123342761782</v>
      </c>
      <c r="R26" s="73">
        <f>IFERROR(SUMIF(Bets3[Date],"&lt;="&amp;L26,Bets3[Net])/SUMIF(Bets3[Date],"&lt;="&amp;L26,Bets3[Risk]),"")</f>
        <v>4.6575089744736238E-2</v>
      </c>
    </row>
    <row r="27" spans="1:21" x14ac:dyDescent="0.25">
      <c r="A27" s="13">
        <f t="shared" si="0"/>
        <v>2</v>
      </c>
      <c r="B27" s="17">
        <v>43579</v>
      </c>
      <c r="C27" s="17" t="s">
        <v>802</v>
      </c>
      <c r="D27" s="18" t="s">
        <v>833</v>
      </c>
      <c r="E27" s="11" t="s">
        <v>870</v>
      </c>
      <c r="F27" s="19">
        <f>IF(Bets35[[#This Row],[Odds]]&lt;0,Bets35[[#This Row],[Odds]]/-10,1000/Bets3[[#This Row],[Odds]])</f>
        <v>6.0606060606060606</v>
      </c>
      <c r="G27" s="37" t="s">
        <v>871</v>
      </c>
      <c r="H27" s="21" t="s">
        <v>263</v>
      </c>
      <c r="I27" s="45">
        <f>IF(Bets3[[#This Row],[Result]]="L",0-Bets3[[#This Row],[Risk]],IF(Bets3[[#This Row],[Result]]="Push",0,IF(Bets3[[#This Row],[Result]]="No Action",0,IF(Bets3[[#This Row],[Result]]="W",IF(Bets3[[#This Row],[Odds]]&gt;0,Bets3[[#This Row],[Odds]]/100*Bets3[[#This Row],[Risk]],(Bets3[[#This Row],[Risk]]/Bets3[[#This Row],[Odds]]*-100)),""))))</f>
        <v>-6.0606060606060606</v>
      </c>
      <c r="J27" s="23" t="str">
        <f>IF(ISNUMBER(SEARCH(CHAR(10),Bets3[[#This Row],[Bet]])),"P",IF(ISNUMBER(FIND("Under",Bets3[[#This Row],[Bet]])),"U",IF(ISNUMBER(SEARCH("Over",Bets3[[#This Row],[Bet]])),"O",IF(ISNUMBER(SEARCH("+",Bets3[[#This Row],[Bet]])),"D",IF(ISNUMBER(SEARCH("-",Bets3[[#This Row],[Bet]])),"F",IF(ISNUMBER(SEARCH("Moneyline",Bets3[[#This Row],[Bet]])),IF(Bets3[[#This Row],[Odds]]&lt;0,"MF","MD"),""))))))</f>
        <v>MD</v>
      </c>
      <c r="K27" s="22"/>
      <c r="L27" s="24">
        <f t="shared" si="1"/>
        <v>43663</v>
      </c>
      <c r="M27" s="1" t="str">
        <f>COUNTIFS(Bets3[Date],L27,Bets3[Result],"W")&amp;"-"&amp;COUNTIFS(Bets3[Date],L27,Bets3[Result],"L")&amp;IF(COUNTIFS(Bets3[Date],L27,Bets3[Result],"Push")&gt;0,"-"&amp;COUNTIFS(Bets3[Date],L27,Bets3[Result],"Push"),"")</f>
        <v>9-6-1</v>
      </c>
      <c r="N27" s="25">
        <f>IFERROR(COUNTIFS(Bets3[Date],L27,Bets3[Result],"W")/(COUNTIFS(Bets3[Date],L27,Bets3[Result],"W")+COUNTIFS(Bets3[Date],L27,Bets3[Result],"L")),"")</f>
        <v>0.6</v>
      </c>
      <c r="O27" s="26">
        <f>SUMIF(Bets3[Date],L27,Bets3[Net])</f>
        <v>-7.4706349206349252</v>
      </c>
      <c r="P27" s="27" t="str">
        <f>IFERROR("("&amp;ROUND(SUMIF(Bets3[Date],L27,Bets3[Net])/SUMIF(Bets3[Date],L27,Bets3[Risk]),2)*100&amp;"%)","")</f>
        <v>(-4%)</v>
      </c>
      <c r="Q27" s="72">
        <f t="shared" si="2"/>
        <v>124.1505985069829</v>
      </c>
      <c r="R27" s="73">
        <f>IFERROR(SUMIF(Bets3[Date],"&lt;="&amp;L27,Bets3[Net])/SUMIF(Bets3[Date],"&lt;="&amp;L27,Bets3[Risk]),"")</f>
        <v>4.1305371637869584E-2</v>
      </c>
    </row>
    <row r="28" spans="1:21" x14ac:dyDescent="0.25">
      <c r="A28" s="13">
        <f t="shared" si="0"/>
        <v>2</v>
      </c>
      <c r="B28" s="17">
        <v>43579</v>
      </c>
      <c r="C28" s="17" t="s">
        <v>802</v>
      </c>
      <c r="D28" s="18" t="s">
        <v>835</v>
      </c>
      <c r="E28" s="11" t="s">
        <v>836</v>
      </c>
      <c r="F28" s="19">
        <f>IF(Bets35[[#This Row],[Odds]]&lt;0,Bets35[[#This Row],[Odds]]/-10,1000/Bets3[[#This Row],[Odds]])</f>
        <v>5.5555555555555554</v>
      </c>
      <c r="G28" s="37" t="s">
        <v>872</v>
      </c>
      <c r="H28" s="21" t="s">
        <v>263</v>
      </c>
      <c r="I28" s="45">
        <f>IF(Bets3[[#This Row],[Result]]="L",0-Bets3[[#This Row],[Risk]],IF(Bets3[[#This Row],[Result]]="Push",0,IF(Bets3[[#This Row],[Result]]="No Action",0,IF(Bets3[[#This Row],[Result]]="W",IF(Bets3[[#This Row],[Odds]]&gt;0,Bets3[[#This Row],[Odds]]/100*Bets3[[#This Row],[Risk]],(Bets3[[#This Row],[Risk]]/Bets3[[#This Row],[Odds]]*-100)),""))))</f>
        <v>-5.5555555555555554</v>
      </c>
      <c r="J28" s="23" t="str">
        <f>IF(ISNUMBER(SEARCH(CHAR(10),Bets3[[#This Row],[Bet]])),"P",IF(ISNUMBER(FIND("Under",Bets3[[#This Row],[Bet]])),"U",IF(ISNUMBER(SEARCH("Over",Bets3[[#This Row],[Bet]])),"O",IF(ISNUMBER(SEARCH("+",Bets3[[#This Row],[Bet]])),"D",IF(ISNUMBER(SEARCH("-",Bets3[[#This Row],[Bet]])),"F",IF(ISNUMBER(SEARCH("Moneyline",Bets3[[#This Row],[Bet]])),IF(Bets3[[#This Row],[Odds]]&lt;0,"MF","MD"),""))))))</f>
        <v>MD</v>
      </c>
      <c r="K28" s="22"/>
      <c r="L28" s="24">
        <f t="shared" si="1"/>
        <v>43664</v>
      </c>
      <c r="M28" s="1" t="str">
        <f>COUNTIFS(Bets3[Date],L28,Bets3[Result],"W")&amp;"-"&amp;COUNTIFS(Bets3[Date],L28,Bets3[Result],"L")&amp;IF(COUNTIFS(Bets3[Date],L28,Bets3[Result],"Push")&gt;0,"-"&amp;COUNTIFS(Bets3[Date],L28,Bets3[Result],"Push"),"")</f>
        <v>2-5</v>
      </c>
      <c r="N28" s="25">
        <f>IFERROR(COUNTIFS(Bets3[Date],L28,Bets3[Result],"W")/(COUNTIFS(Bets3[Date],L28,Bets3[Result],"W")+COUNTIFS(Bets3[Date],L28,Bets3[Result],"L")),"")</f>
        <v>0.2857142857142857</v>
      </c>
      <c r="O28" s="26">
        <f>SUMIF(Bets3[Date],L28,Bets3[Net])</f>
        <v>-14.806512328251458</v>
      </c>
      <c r="P28" s="27" t="str">
        <f>IFERROR("("&amp;ROUND(SUMIF(Bets3[Date],L28,Bets3[Net])/SUMIF(Bets3[Date],L28,Bets3[Risk]),2)*100&amp;"%)","")</f>
        <v>(-26%)</v>
      </c>
      <c r="Q28" s="72">
        <f t="shared" si="2"/>
        <v>109.34408617873144</v>
      </c>
      <c r="R28" s="73">
        <f>IFERROR(SUMIF(Bets3[Date],"&lt;="&amp;L28,Bets3[Net])/SUMIF(Bets3[Date],"&lt;="&amp;L28,Bets3[Risk]),"")</f>
        <v>3.5698582463578973E-2</v>
      </c>
    </row>
    <row r="29" spans="1:21" x14ac:dyDescent="0.25">
      <c r="A29" s="13">
        <f t="shared" si="0"/>
        <v>2</v>
      </c>
      <c r="B29" s="17">
        <v>43579</v>
      </c>
      <c r="C29" s="17" t="s">
        <v>802</v>
      </c>
      <c r="D29" s="18" t="s">
        <v>816</v>
      </c>
      <c r="E29" s="11" t="s">
        <v>873</v>
      </c>
      <c r="F29" s="19">
        <f>IF(Bets35[[#This Row],[Odds]]&lt;0,Bets35[[#This Row],[Odds]]/-10,1000/Bets3[[#This Row],[Odds]])</f>
        <v>7.6923076923076925</v>
      </c>
      <c r="G29" s="37" t="s">
        <v>825</v>
      </c>
      <c r="H29" s="21" t="s">
        <v>263</v>
      </c>
      <c r="I29" s="45">
        <f>IF(Bets3[[#This Row],[Result]]="L",0-Bets3[[#This Row],[Risk]],IF(Bets3[[#This Row],[Result]]="Push",0,IF(Bets3[[#This Row],[Result]]="No Action",0,IF(Bets3[[#This Row],[Result]]="W",IF(Bets3[[#This Row],[Odds]]&gt;0,Bets3[[#This Row],[Odds]]/100*Bets3[[#This Row],[Risk]],(Bets3[[#This Row],[Risk]]/Bets3[[#This Row],[Odds]]*-100)),""))))</f>
        <v>-7.6923076923076925</v>
      </c>
      <c r="J29" s="23" t="str">
        <f>IF(ISNUMBER(SEARCH(CHAR(10),Bets3[[#This Row],[Bet]])),"P",IF(ISNUMBER(FIND("Under",Bets3[[#This Row],[Bet]])),"U",IF(ISNUMBER(SEARCH("Over",Bets3[[#This Row],[Bet]])),"O",IF(ISNUMBER(SEARCH("+",Bets3[[#This Row],[Bet]])),"D",IF(ISNUMBER(SEARCH("-",Bets3[[#This Row],[Bet]])),"F",IF(ISNUMBER(SEARCH("Moneyline",Bets3[[#This Row],[Bet]])),IF(Bets3[[#This Row],[Odds]]&lt;0,"MF","MD"),""))))))</f>
        <v>MD</v>
      </c>
      <c r="K29" s="22"/>
      <c r="L29" s="24">
        <f t="shared" si="1"/>
        <v>43671</v>
      </c>
      <c r="M29" s="1" t="str">
        <f>COUNTIFS(Bets3[Date],L29,Bets3[Result],"W")&amp;"-"&amp;COUNTIFS(Bets3[Date],L29,Bets3[Result],"L")&amp;IF(COUNTIFS(Bets3[Date],L29,Bets3[Result],"Push")&gt;0,"-"&amp;COUNTIFS(Bets3[Date],L29,Bets3[Result],"Push"),"")</f>
        <v>4-3</v>
      </c>
      <c r="N29" s="25">
        <f>IFERROR(COUNTIFS(Bets3[Date],L29,Bets3[Result],"W")/(COUNTIFS(Bets3[Date],L29,Bets3[Result],"W")+COUNTIFS(Bets3[Date],L29,Bets3[Result],"L")),"")</f>
        <v>0.5714285714285714</v>
      </c>
      <c r="O29" s="26">
        <f>SUMIF(Bets3[Date],L29,Bets3[Net])</f>
        <v>23.949883913842452</v>
      </c>
      <c r="P29" s="27" t="str">
        <f>IFERROR("("&amp;ROUND(SUMIF(Bets3[Date],L29,Bets3[Net])/SUMIF(Bets3[Date],L29,Bets3[Risk]),2)*100&amp;"%)","")</f>
        <v>(54%)</v>
      </c>
      <c r="Q29" s="72">
        <f t="shared" si="2"/>
        <v>133.29397009257389</v>
      </c>
      <c r="R29" s="73">
        <f>IFERROR(SUMIF(Bets3[Date],"&lt;="&amp;L29,Bets3[Net])/SUMIF(Bets3[Date],"&lt;="&amp;L29,Bets3[Risk]),"")</f>
        <v>4.2900640356107397E-2</v>
      </c>
    </row>
    <row r="30" spans="1:21" x14ac:dyDescent="0.25">
      <c r="A30" s="13">
        <f t="shared" si="0"/>
        <v>2</v>
      </c>
      <c r="B30" s="17">
        <v>43579</v>
      </c>
      <c r="C30" s="17" t="s">
        <v>802</v>
      </c>
      <c r="D30" s="18" t="s">
        <v>814</v>
      </c>
      <c r="E30" s="11" t="s">
        <v>815</v>
      </c>
      <c r="F30" s="19">
        <f>IF(Bets35[[#This Row],[Odds]]&lt;0,Bets35[[#This Row],[Odds]]/-10,1000/Bets3[[#This Row],[Odds]])</f>
        <v>13</v>
      </c>
      <c r="G30" s="37">
        <v>-130</v>
      </c>
      <c r="H30" s="21" t="s">
        <v>262</v>
      </c>
      <c r="I30" s="45">
        <f>IF(Bets3[[#This Row],[Result]]="L",0-Bets3[[#This Row],[Risk]],IF(Bets3[[#This Row],[Result]]="Push",0,IF(Bets3[[#This Row],[Result]]="No Action",0,IF(Bets3[[#This Row],[Result]]="W",IF(Bets3[[#This Row],[Odds]]&gt;0,Bets3[[#This Row],[Odds]]/100*Bets3[[#This Row],[Risk]],(Bets3[[#This Row],[Risk]]/Bets3[[#This Row],[Odds]]*-100)),""))))</f>
        <v>10</v>
      </c>
      <c r="J30" s="23" t="str">
        <f>IF(ISNUMBER(SEARCH(CHAR(10),Bets3[[#This Row],[Bet]])),"P",IF(ISNUMBER(FIND("Under",Bets3[[#This Row],[Bet]])),"U",IF(ISNUMBER(SEARCH("Over",Bets3[[#This Row],[Bet]])),"O",IF(ISNUMBER(SEARCH("+",Bets3[[#This Row],[Bet]])),"D",IF(ISNUMBER(SEARCH("-",Bets3[[#This Row],[Bet]])),"F",IF(ISNUMBER(SEARCH("Moneyline",Bets3[[#This Row],[Bet]])),IF(Bets3[[#This Row],[Odds]]&lt;0,"MF","MD"),""))))))</f>
        <v>MF</v>
      </c>
      <c r="K30" s="22"/>
      <c r="L30" s="24">
        <f t="shared" si="1"/>
        <v>43672</v>
      </c>
      <c r="M30" s="1" t="str">
        <f>COUNTIFS(Bets3[Date],L30,Bets3[Result],"W")&amp;"-"&amp;COUNTIFS(Bets3[Date],L30,Bets3[Result],"L")&amp;IF(COUNTIFS(Bets3[Date],L30,Bets3[Result],"Push")&gt;0,"-"&amp;COUNTIFS(Bets3[Date],L30,Bets3[Result],"Push"),"")</f>
        <v>5-2</v>
      </c>
      <c r="N30" s="25">
        <f>IFERROR(COUNTIFS(Bets3[Date],L30,Bets3[Result],"W")/(COUNTIFS(Bets3[Date],L30,Bets3[Result],"W")+COUNTIFS(Bets3[Date],L30,Bets3[Result],"L")),"")</f>
        <v>0.7142857142857143</v>
      </c>
      <c r="O30" s="26">
        <f>SUMIF(Bets3[Date],L30,Bets3[Net])</f>
        <v>2.9204341072596449</v>
      </c>
      <c r="P30" s="27" t="str">
        <f>IFERROR("("&amp;ROUND(SUMIF(Bets3[Date],L30,Bets3[Net])/SUMIF(Bets3[Date],L30,Bets3[Risk]),2)*100&amp;"%)","")</f>
        <v>(4%)</v>
      </c>
      <c r="Q30" s="72">
        <f t="shared" si="2"/>
        <v>136.21440419983352</v>
      </c>
      <c r="R30" s="73">
        <f>IFERROR(SUMIF(Bets3[Date],"&lt;="&amp;L30,Bets3[Net])/SUMIF(Bets3[Date],"&lt;="&amp;L30,Bets3[Risk]),"")</f>
        <v>4.2850164732728957E-2</v>
      </c>
    </row>
    <row r="31" spans="1:21" x14ac:dyDescent="0.25">
      <c r="A31" s="13">
        <f t="shared" si="0"/>
        <v>2</v>
      </c>
      <c r="B31" s="17">
        <v>43579</v>
      </c>
      <c r="C31" s="17" t="s">
        <v>802</v>
      </c>
      <c r="D31" s="18" t="s">
        <v>843</v>
      </c>
      <c r="E31" s="11" t="s">
        <v>874</v>
      </c>
      <c r="F31" s="19">
        <f>IF(Bets35[[#This Row],[Odds]]&lt;0,Bets35[[#This Row],[Odds]]/-10,1000/Bets3[[#This Row],[Odds]])</f>
        <v>13</v>
      </c>
      <c r="G31" s="37">
        <v>-130</v>
      </c>
      <c r="H31" s="21" t="s">
        <v>262</v>
      </c>
      <c r="I31" s="45">
        <f>IF(Bets3[[#This Row],[Result]]="L",0-Bets3[[#This Row],[Risk]],IF(Bets3[[#This Row],[Result]]="Push",0,IF(Bets3[[#This Row],[Result]]="No Action",0,IF(Bets3[[#This Row],[Result]]="W",IF(Bets3[[#This Row],[Odds]]&gt;0,Bets3[[#This Row],[Odds]]/100*Bets3[[#This Row],[Risk]],(Bets3[[#This Row],[Risk]]/Bets3[[#This Row],[Odds]]*-100)),""))))</f>
        <v>10</v>
      </c>
      <c r="J31" s="23" t="str">
        <f>IF(ISNUMBER(SEARCH(CHAR(10),Bets3[[#This Row],[Bet]])),"P",IF(ISNUMBER(FIND("Under",Bets3[[#This Row],[Bet]])),"U",IF(ISNUMBER(SEARCH("Over",Bets3[[#This Row],[Bet]])),"O",IF(ISNUMBER(SEARCH("+",Bets3[[#This Row],[Bet]])),"D",IF(ISNUMBER(SEARCH("-",Bets3[[#This Row],[Bet]])),"F",IF(ISNUMBER(SEARCH("Moneyline",Bets3[[#This Row],[Bet]])),IF(Bets3[[#This Row],[Odds]]&lt;0,"MF","MD"),""))))))</f>
        <v>MF</v>
      </c>
      <c r="K31" s="22"/>
      <c r="L31" s="24">
        <f t="shared" si="1"/>
        <v>43675</v>
      </c>
      <c r="M31" s="1" t="str">
        <f>COUNTIFS(Bets3[Date],L31,Bets3[Result],"W")&amp;"-"&amp;COUNTIFS(Bets3[Date],L31,Bets3[Result],"L")&amp;IF(COUNTIFS(Bets3[Date],L31,Bets3[Result],"Push")&gt;0,"-"&amp;COUNTIFS(Bets3[Date],L31,Bets3[Result],"Push"),"")</f>
        <v>3-4</v>
      </c>
      <c r="N31" s="25">
        <f>IFERROR(COUNTIFS(Bets3[Date],L31,Bets3[Result],"W")/(COUNTIFS(Bets3[Date],L31,Bets3[Result],"W")+COUNTIFS(Bets3[Date],L31,Bets3[Result],"L")),"")</f>
        <v>0.42857142857142855</v>
      </c>
      <c r="O31" s="26">
        <f>SUMIF(Bets3[Date],L31,Bets3[Net])</f>
        <v>-33.319008264462809</v>
      </c>
      <c r="P31" s="27" t="str">
        <f>IFERROR("("&amp;ROUND(SUMIF(Bets3[Date],L31,Bets3[Net])/SUMIF(Bets3[Date],L31,Bets3[Risk]),2)*100&amp;"%)","")</f>
        <v>(-54%)</v>
      </c>
      <c r="Q31" s="72">
        <f t="shared" si="2"/>
        <v>102.89539593537071</v>
      </c>
      <c r="R31" s="73">
        <f>IFERROR(SUMIF(Bets3[Date],"&lt;="&amp;L31,Bets3[Net])/SUMIF(Bets3[Date],"&lt;="&amp;L31,Bets3[Risk]),"")</f>
        <v>3.1756616172257501E-2</v>
      </c>
    </row>
    <row r="32" spans="1:21" x14ac:dyDescent="0.25">
      <c r="A32" s="13">
        <f t="shared" si="0"/>
        <v>2</v>
      </c>
      <c r="B32" s="17">
        <v>43579</v>
      </c>
      <c r="C32" s="17" t="s">
        <v>802</v>
      </c>
      <c r="D32" s="18" t="s">
        <v>875</v>
      </c>
      <c r="E32" s="11" t="s">
        <v>876</v>
      </c>
      <c r="F32" s="19">
        <f>IF(Bets35[[#This Row],[Odds]]&lt;0,Bets35[[#This Row],[Odds]]/-10,1000/Bets3[[#This Row],[Odds]])</f>
        <v>12</v>
      </c>
      <c r="G32" s="37">
        <v>-120</v>
      </c>
      <c r="H32" s="21" t="s">
        <v>263</v>
      </c>
      <c r="I32" s="45">
        <f>IF(Bets3[[#This Row],[Result]]="L",0-Bets3[[#This Row],[Risk]],IF(Bets3[[#This Row],[Result]]="Push",0,IF(Bets3[[#This Row],[Result]]="No Action",0,IF(Bets3[[#This Row],[Result]]="W",IF(Bets3[[#This Row],[Odds]]&gt;0,Bets3[[#This Row],[Odds]]/100*Bets3[[#This Row],[Risk]],(Bets3[[#This Row],[Risk]]/Bets3[[#This Row],[Odds]]*-100)),""))))</f>
        <v>-12</v>
      </c>
      <c r="J32" s="23" t="str">
        <f>IF(ISNUMBER(SEARCH(CHAR(10),Bets3[[#This Row],[Bet]])),"P",IF(ISNUMBER(FIND("Under",Bets3[[#This Row],[Bet]])),"U",IF(ISNUMBER(SEARCH("Over",Bets3[[#This Row],[Bet]])),"O",IF(ISNUMBER(SEARCH("+",Bets3[[#This Row],[Bet]])),"D",IF(ISNUMBER(SEARCH("-",Bets3[[#This Row],[Bet]])),"F",IF(ISNUMBER(SEARCH("Moneyline",Bets3[[#This Row],[Bet]])),IF(Bets3[[#This Row],[Odds]]&lt;0,"MF","MD"),""))))))</f>
        <v>MF</v>
      </c>
      <c r="K32" s="22"/>
      <c r="L32" s="24">
        <f t="shared" si="1"/>
        <v>43676</v>
      </c>
      <c r="M32" s="1" t="str">
        <f>COUNTIFS(Bets3[Date],L32,Bets3[Result],"W")&amp;"-"&amp;COUNTIFS(Bets3[Date],L32,Bets3[Result],"L")&amp;IF(COUNTIFS(Bets3[Date],L32,Bets3[Result],"Push")&gt;0,"-"&amp;COUNTIFS(Bets3[Date],L32,Bets3[Result],"Push"),"")</f>
        <v>9-2</v>
      </c>
      <c r="N32" s="25">
        <f>IFERROR(COUNTIFS(Bets3[Date],L32,Bets3[Result],"W")/(COUNTIFS(Bets3[Date],L32,Bets3[Result],"W")+COUNTIFS(Bets3[Date],L32,Bets3[Result],"L")),"")</f>
        <v>0.81818181818181823</v>
      </c>
      <c r="O32" s="26">
        <f>SUMIF(Bets3[Date],L32,Bets3[Net])</f>
        <v>72.243221446690256</v>
      </c>
      <c r="P32" s="27" t="str">
        <f>IFERROR("("&amp;ROUND(SUMIF(Bets3[Date],L32,Bets3[Net])/SUMIF(Bets3[Date],L32,Bets3[Risk]),2)*100&amp;"%)","")</f>
        <v>(100%)</v>
      </c>
      <c r="Q32" s="72">
        <f t="shared" si="2"/>
        <v>175.13861738206097</v>
      </c>
      <c r="R32" s="73">
        <f>IFERROR(SUMIF(Bets3[Date],"&lt;="&amp;L32,Bets3[Net])/SUMIF(Bets3[Date],"&lt;="&amp;L32,Bets3[Risk]),"")</f>
        <v>5.2869352932749615E-2</v>
      </c>
    </row>
    <row r="33" spans="1:18" x14ac:dyDescent="0.25">
      <c r="A33" s="13">
        <f t="shared" si="0"/>
        <v>2</v>
      </c>
      <c r="B33" s="17">
        <v>43579</v>
      </c>
      <c r="C33" s="17" t="s">
        <v>802</v>
      </c>
      <c r="D33" s="18" t="s">
        <v>811</v>
      </c>
      <c r="E33" s="11" t="s">
        <v>812</v>
      </c>
      <c r="F33" s="19">
        <f>IF(Bets35[[#This Row],[Odds]]&lt;0,Bets35[[#This Row],[Odds]]/-10,1000/Bets3[[#This Row],[Odds]])</f>
        <v>4.7619047619047619</v>
      </c>
      <c r="G33" s="37" t="s">
        <v>813</v>
      </c>
      <c r="H33" s="21" t="s">
        <v>263</v>
      </c>
      <c r="I33" s="45">
        <f>IF(Bets3[[#This Row],[Result]]="L",0-Bets3[[#This Row],[Risk]],IF(Bets3[[#This Row],[Result]]="Push",0,IF(Bets3[[#This Row],[Result]]="No Action",0,IF(Bets3[[#This Row],[Result]]="W",IF(Bets3[[#This Row],[Odds]]&gt;0,Bets3[[#This Row],[Odds]]/100*Bets3[[#This Row],[Risk]],(Bets3[[#This Row],[Risk]]/Bets3[[#This Row],[Odds]]*-100)),""))))</f>
        <v>-4.7619047619047619</v>
      </c>
      <c r="J33" s="23" t="str">
        <f>IF(ISNUMBER(SEARCH(CHAR(10),Bets3[[#This Row],[Bet]])),"P",IF(ISNUMBER(FIND("Under",Bets3[[#This Row],[Bet]])),"U",IF(ISNUMBER(SEARCH("Over",Bets3[[#This Row],[Bet]])),"O",IF(ISNUMBER(SEARCH("+",Bets3[[#This Row],[Bet]])),"D",IF(ISNUMBER(SEARCH("-",Bets3[[#This Row],[Bet]])),"F",IF(ISNUMBER(SEARCH("Moneyline",Bets3[[#This Row],[Bet]])),IF(Bets3[[#This Row],[Odds]]&lt;0,"MF","MD"),""))))))</f>
        <v>MD</v>
      </c>
      <c r="K33" s="22"/>
      <c r="L33" s="24">
        <f t="shared" si="1"/>
        <v>43677</v>
      </c>
      <c r="M33" s="1" t="str">
        <f>COUNTIFS(Bets3[Date],L33,Bets3[Result],"W")&amp;"-"&amp;COUNTIFS(Bets3[Date],L33,Bets3[Result],"L")&amp;IF(COUNTIFS(Bets3[Date],L33,Bets3[Result],"Push")&gt;0,"-"&amp;COUNTIFS(Bets3[Date],L33,Bets3[Result],"Push"),"")</f>
        <v>5-6</v>
      </c>
      <c r="N33" s="25">
        <f>IFERROR(COUNTIFS(Bets3[Date],L33,Bets3[Result],"W")/(COUNTIFS(Bets3[Date],L33,Bets3[Result],"W")+COUNTIFS(Bets3[Date],L33,Bets3[Result],"L")),"")</f>
        <v>0.45454545454545453</v>
      </c>
      <c r="O33" s="26">
        <f>SUMIF(Bets3[Date],L33,Bets3[Net])</f>
        <v>20.520255470124447</v>
      </c>
      <c r="P33" s="27" t="str">
        <f>IFERROR("("&amp;ROUND(SUMIF(Bets3[Date],L33,Bets3[Net])/SUMIF(Bets3[Date],L33,Bets3[Risk]),2)*100&amp;"%)","")</f>
        <v>(22%)</v>
      </c>
      <c r="Q33" s="72">
        <f t="shared" si="2"/>
        <v>195.65887285218543</v>
      </c>
      <c r="R33" s="73">
        <f>IFERROR(SUMIF(Bets3[Date],"&lt;="&amp;L33,Bets3[Net])/SUMIF(Bets3[Date],"&lt;="&amp;L33,Bets3[Risk]),"")</f>
        <v>5.7467393378234879E-2</v>
      </c>
    </row>
    <row r="34" spans="1:18" x14ac:dyDescent="0.25">
      <c r="A34" s="13">
        <f t="shared" si="0"/>
        <v>2</v>
      </c>
      <c r="B34" s="17">
        <v>43579</v>
      </c>
      <c r="C34" s="17" t="s">
        <v>802</v>
      </c>
      <c r="D34" s="18" t="s">
        <v>821</v>
      </c>
      <c r="E34" s="11" t="s">
        <v>822</v>
      </c>
      <c r="F34" s="19">
        <f>IF(Bets35[[#This Row],[Odds]]&lt;0,Bets35[[#This Row],[Odds]]/-10,1000/Bets3[[#This Row],[Odds]])</f>
        <v>13</v>
      </c>
      <c r="G34" s="37">
        <v>-130</v>
      </c>
      <c r="H34" s="21" t="s">
        <v>262</v>
      </c>
      <c r="I34" s="45">
        <f>IF(Bets3[[#This Row],[Result]]="L",0-Bets3[[#This Row],[Risk]],IF(Bets3[[#This Row],[Result]]="Push",0,IF(Bets3[[#This Row],[Result]]="No Action",0,IF(Bets3[[#This Row],[Result]]="W",IF(Bets3[[#This Row],[Odds]]&gt;0,Bets3[[#This Row],[Odds]]/100*Bets3[[#This Row],[Risk]],(Bets3[[#This Row],[Risk]]/Bets3[[#This Row],[Odds]]*-100)),""))))</f>
        <v>10</v>
      </c>
      <c r="J34" s="23" t="str">
        <f>IF(ISNUMBER(SEARCH(CHAR(10),Bets3[[#This Row],[Bet]])),"P",IF(ISNUMBER(FIND("Under",Bets3[[#This Row],[Bet]])),"U",IF(ISNUMBER(SEARCH("Over",Bets3[[#This Row],[Bet]])),"O",IF(ISNUMBER(SEARCH("+",Bets3[[#This Row],[Bet]])),"D",IF(ISNUMBER(SEARCH("-",Bets3[[#This Row],[Bet]])),"F",IF(ISNUMBER(SEARCH("Moneyline",Bets3[[#This Row],[Bet]])),IF(Bets3[[#This Row],[Odds]]&lt;0,"MF","MD"),""))))))</f>
        <v>MF</v>
      </c>
      <c r="K34" s="22"/>
      <c r="L34" s="24">
        <f t="shared" si="1"/>
        <v>43678</v>
      </c>
      <c r="M34" s="1" t="str">
        <f>COUNTIFS(Bets3[Date],L34,Bets3[Result],"W")&amp;"-"&amp;COUNTIFS(Bets3[Date],L34,Bets3[Result],"L")&amp;IF(COUNTIFS(Bets3[Date],L34,Bets3[Result],"Push")&gt;0,"-"&amp;COUNTIFS(Bets3[Date],L34,Bets3[Result],"Push"),"")</f>
        <v>2-4</v>
      </c>
      <c r="N34" s="25">
        <f>IFERROR(COUNTIFS(Bets3[Date],L34,Bets3[Result],"W")/(COUNTIFS(Bets3[Date],L34,Bets3[Result],"W")+COUNTIFS(Bets3[Date],L34,Bets3[Result],"L")),"")</f>
        <v>0.33333333333333331</v>
      </c>
      <c r="O34" s="26">
        <f>SUMIF(Bets3[Date],L34,Bets3[Net])</f>
        <v>1.6075567194994207</v>
      </c>
      <c r="P34" s="27" t="str">
        <f>IFERROR("("&amp;ROUND(SUMIF(Bets3[Date],L34,Bets3[Net])/SUMIF(Bets3[Date],L34,Bets3[Risk]),2)*100&amp;"%)","")</f>
        <v>(13%)</v>
      </c>
      <c r="Q34" s="72">
        <f t="shared" si="2"/>
        <v>197.26642957168485</v>
      </c>
      <c r="R34" s="73">
        <f>IFERROR(SUMIF(Bets3[Date],"&lt;="&amp;L34,Bets3[Net])/SUMIF(Bets3[Date],"&lt;="&amp;L34,Bets3[Risk]),"")</f>
        <v>5.7731927890567754E-2</v>
      </c>
    </row>
    <row r="35" spans="1:18" x14ac:dyDescent="0.25">
      <c r="A35" s="13">
        <f t="shared" si="0"/>
        <v>2</v>
      </c>
      <c r="B35" s="17">
        <v>43579</v>
      </c>
      <c r="C35" s="17" t="s">
        <v>802</v>
      </c>
      <c r="D35" s="18" t="s">
        <v>826</v>
      </c>
      <c r="E35" s="11" t="s">
        <v>839</v>
      </c>
      <c r="F35" s="19">
        <f>IF(Bets35[[#This Row],[Odds]]&lt;0,Bets35[[#This Row],[Odds]]/-10,1000/Bets3[[#This Row],[Odds]])</f>
        <v>11</v>
      </c>
      <c r="G35" s="37">
        <v>-110</v>
      </c>
      <c r="H35" s="21" t="s">
        <v>262</v>
      </c>
      <c r="I35" s="45">
        <f>IF(Bets3[[#This Row],[Result]]="L",0-Bets3[[#This Row],[Risk]],IF(Bets3[[#This Row],[Result]]="Push",0,IF(Bets3[[#This Row],[Result]]="No Action",0,IF(Bets3[[#This Row],[Result]]="W",IF(Bets3[[#This Row],[Odds]]&gt;0,Bets3[[#This Row],[Odds]]/100*Bets3[[#This Row],[Risk]],(Bets3[[#This Row],[Risk]]/Bets3[[#This Row],[Odds]]*-100)),""))))</f>
        <v>10</v>
      </c>
      <c r="J35" s="23" t="str">
        <f>IF(ISNUMBER(SEARCH(CHAR(10),Bets3[[#This Row],[Bet]])),"P",IF(ISNUMBER(FIND("Under",Bets3[[#This Row],[Bet]])),"U",IF(ISNUMBER(SEARCH("Over",Bets3[[#This Row],[Bet]])),"O",IF(ISNUMBER(SEARCH("+",Bets3[[#This Row],[Bet]])),"D",IF(ISNUMBER(SEARCH("-",Bets3[[#This Row],[Bet]])),"F",IF(ISNUMBER(SEARCH("Moneyline",Bets3[[#This Row],[Bet]])),IF(Bets3[[#This Row],[Odds]]&lt;0,"MF","MD"),""))))))</f>
        <v>O</v>
      </c>
      <c r="K35" s="22"/>
      <c r="L35" s="24">
        <f t="shared" si="1"/>
        <v>43679</v>
      </c>
      <c r="M35" s="1" t="str">
        <f>COUNTIFS(Bets3[Date],L35,Bets3[Result],"W")&amp;"-"&amp;COUNTIFS(Bets3[Date],L35,Bets3[Result],"L")&amp;IF(COUNTIFS(Bets3[Date],L35,Bets3[Result],"Push")&gt;0,"-"&amp;COUNTIFS(Bets3[Date],L35,Bets3[Result],"Push"),"")</f>
        <v>5-1</v>
      </c>
      <c r="N35" s="25">
        <f>IFERROR(COUNTIFS(Bets3[Date],L35,Bets3[Result],"W")/(COUNTIFS(Bets3[Date],L35,Bets3[Result],"W")+COUNTIFS(Bets3[Date],L35,Bets3[Result],"L")),"")</f>
        <v>0.83333333333333337</v>
      </c>
      <c r="O35" s="26">
        <f>SUMIF(Bets3[Date],L35,Bets3[Net])</f>
        <v>60.756672238239481</v>
      </c>
      <c r="P35" s="27" t="str">
        <f>IFERROR("("&amp;ROUND(SUMIF(Bets3[Date],L35,Bets3[Net])/SUMIF(Bets3[Date],L35,Bets3[Risk]),2)*100&amp;"%)","")</f>
        <v>(97%)</v>
      </c>
      <c r="Q35" s="72">
        <f t="shared" si="2"/>
        <v>258.02310180992436</v>
      </c>
      <c r="R35" s="73">
        <f>IFERROR(SUMIF(Bets3[Date],"&lt;="&amp;L35,Bets3[Net])/SUMIF(Bets3[Date],"&lt;="&amp;L35,Bets3[Risk]),"")</f>
        <v>7.4157264989476029E-2</v>
      </c>
    </row>
    <row r="36" spans="1:18" x14ac:dyDescent="0.25">
      <c r="A36" s="13">
        <f t="shared" si="0"/>
        <v>2</v>
      </c>
      <c r="B36" s="17">
        <v>43579</v>
      </c>
      <c r="C36" s="17" t="s">
        <v>802</v>
      </c>
      <c r="D36" s="18" t="s">
        <v>840</v>
      </c>
      <c r="E36" s="11" t="s">
        <v>877</v>
      </c>
      <c r="F36" s="19">
        <f>IF(Bets35[[#This Row],[Odds]]&lt;0,Bets35[[#This Row],[Odds]]/-10,1000/Bets3[[#This Row],[Odds]])</f>
        <v>11</v>
      </c>
      <c r="G36" s="37">
        <v>-110</v>
      </c>
      <c r="H36" s="21" t="s">
        <v>262</v>
      </c>
      <c r="I36" s="45">
        <f>IF(Bets3[[#This Row],[Result]]="L",0-Bets3[[#This Row],[Risk]],IF(Bets3[[#This Row],[Result]]="Push",0,IF(Bets3[[#This Row],[Result]]="No Action",0,IF(Bets3[[#This Row],[Result]]="W",IF(Bets3[[#This Row],[Odds]]&gt;0,Bets3[[#This Row],[Odds]]/100*Bets3[[#This Row],[Risk]],(Bets3[[#This Row],[Risk]]/Bets3[[#This Row],[Odds]]*-100)),""))))</f>
        <v>10</v>
      </c>
      <c r="J36" s="23" t="str">
        <f>IF(ISNUMBER(SEARCH(CHAR(10),Bets3[[#This Row],[Bet]])),"P",IF(ISNUMBER(FIND("Under",Bets3[[#This Row],[Bet]])),"U",IF(ISNUMBER(SEARCH("Over",Bets3[[#This Row],[Bet]])),"O",IF(ISNUMBER(SEARCH("+",Bets3[[#This Row],[Bet]])),"D",IF(ISNUMBER(SEARCH("-",Bets3[[#This Row],[Bet]])),"F",IF(ISNUMBER(SEARCH("Moneyline",Bets3[[#This Row],[Bet]])),IF(Bets3[[#This Row],[Odds]]&lt;0,"MF","MD"),""))))))</f>
        <v>U</v>
      </c>
      <c r="K36" s="22"/>
      <c r="L36" s="24">
        <f t="shared" si="1"/>
        <v>43680</v>
      </c>
      <c r="M36" s="1" t="str">
        <f>COUNTIFS(Bets3[Date],L36,Bets3[Result],"W")&amp;"-"&amp;COUNTIFS(Bets3[Date],L36,Bets3[Result],"L")&amp;IF(COUNTIFS(Bets3[Date],L36,Bets3[Result],"Push")&gt;0,"-"&amp;COUNTIFS(Bets3[Date],L36,Bets3[Result],"Push"),"")</f>
        <v>6-0</v>
      </c>
      <c r="N36" s="25">
        <f>IFERROR(COUNTIFS(Bets3[Date],L36,Bets3[Result],"W")/(COUNTIFS(Bets3[Date],L36,Bets3[Result],"W")+COUNTIFS(Bets3[Date],L36,Bets3[Result],"L")),"")</f>
        <v>1</v>
      </c>
      <c r="O36" s="26">
        <f>SUMIF(Bets3[Date],L36,Bets3[Net])</f>
        <v>38.398513476256049</v>
      </c>
      <c r="P36" s="27" t="str">
        <f>IFERROR("("&amp;ROUND(SUMIF(Bets3[Date],L36,Bets3[Net])/SUMIF(Bets3[Date],L36,Bets3[Risk]),2)*100&amp;"%)","")</f>
        <v>(56%)</v>
      </c>
      <c r="Q36" s="72">
        <f t="shared" si="2"/>
        <v>296.42161528618038</v>
      </c>
      <c r="R36" s="73">
        <f>IFERROR(SUMIF(Bets3[Date],"&lt;="&amp;L36,Bets3[Net])/SUMIF(Bets3[Date],"&lt;="&amp;L36,Bets3[Risk]),"")</f>
        <v>8.3546879364012325E-2</v>
      </c>
    </row>
    <row r="37" spans="1:18" x14ac:dyDescent="0.25">
      <c r="A37" s="13">
        <f t="shared" si="0"/>
        <v>2</v>
      </c>
      <c r="B37" s="17">
        <v>43579</v>
      </c>
      <c r="C37" s="17" t="s">
        <v>802</v>
      </c>
      <c r="D37" s="18" t="s">
        <v>818</v>
      </c>
      <c r="E37" s="11" t="s">
        <v>878</v>
      </c>
      <c r="F37" s="19">
        <f>IF(Bets35[[#This Row],[Odds]]&lt;0,Bets35[[#This Row],[Odds]]/-10,1000/Bets3[[#This Row],[Odds]])</f>
        <v>11</v>
      </c>
      <c r="G37" s="37">
        <v>-110</v>
      </c>
      <c r="H37" s="21" t="s">
        <v>262</v>
      </c>
      <c r="I37" s="45">
        <f>IF(Bets3[[#This Row],[Result]]="L",0-Bets3[[#This Row],[Risk]],IF(Bets3[[#This Row],[Result]]="Push",0,IF(Bets3[[#This Row],[Result]]="No Action",0,IF(Bets3[[#This Row],[Result]]="W",IF(Bets3[[#This Row],[Odds]]&gt;0,Bets3[[#This Row],[Odds]]/100*Bets3[[#This Row],[Risk]],(Bets3[[#This Row],[Risk]]/Bets3[[#This Row],[Odds]]*-100)),""))))</f>
        <v>10</v>
      </c>
      <c r="J37" s="23" t="str">
        <f>IF(ISNUMBER(SEARCH(CHAR(10),Bets3[[#This Row],[Bet]])),"P",IF(ISNUMBER(FIND("Under",Bets3[[#This Row],[Bet]])),"U",IF(ISNUMBER(SEARCH("Over",Bets3[[#This Row],[Bet]])),"O",IF(ISNUMBER(SEARCH("+",Bets3[[#This Row],[Bet]])),"D",IF(ISNUMBER(SEARCH("-",Bets3[[#This Row],[Bet]])),"F",IF(ISNUMBER(SEARCH("Moneyline",Bets3[[#This Row],[Bet]])),IF(Bets3[[#This Row],[Odds]]&lt;0,"MF","MD"),""))))))</f>
        <v>O</v>
      </c>
      <c r="K37" s="22"/>
      <c r="L37" s="24">
        <f t="shared" si="1"/>
        <v>43681</v>
      </c>
      <c r="M37" s="1" t="str">
        <f>COUNTIFS(Bets3[Date],L37,Bets3[Result],"W")&amp;"-"&amp;COUNTIFS(Bets3[Date],L37,Bets3[Result],"L")&amp;IF(COUNTIFS(Bets3[Date],L37,Bets3[Result],"Push")&gt;0,"-"&amp;COUNTIFS(Bets3[Date],L37,Bets3[Result],"Push"),"")</f>
        <v>4-1</v>
      </c>
      <c r="N37" s="25">
        <f>IFERROR(COUNTIFS(Bets3[Date],L37,Bets3[Result],"W")/(COUNTIFS(Bets3[Date],L37,Bets3[Result],"W")+COUNTIFS(Bets3[Date],L37,Bets3[Result],"L")),"")</f>
        <v>0.8</v>
      </c>
      <c r="O37" s="26">
        <f>SUMIF(Bets3[Date],L37,Bets3[Net])</f>
        <v>27.62095975232198</v>
      </c>
      <c r="P37" s="27" t="str">
        <f>IFERROR("("&amp;ROUND(SUMIF(Bets3[Date],L37,Bets3[Net])/SUMIF(Bets3[Date],L37,Bets3[Risk]),2)*100&amp;"%)","")</f>
        <v>(29%)</v>
      </c>
      <c r="Q37" s="72">
        <f t="shared" si="2"/>
        <v>324.04257503850238</v>
      </c>
      <c r="R37" s="73">
        <f>IFERROR(SUMIF(Bets3[Date],"&lt;="&amp;L37,Bets3[Net])/SUMIF(Bets3[Date],"&lt;="&amp;L37,Bets3[Risk]),"")</f>
        <v>8.8981921686882168E-2</v>
      </c>
    </row>
    <row r="38" spans="1:18" x14ac:dyDescent="0.25">
      <c r="A38" s="13">
        <f t="shared" si="0"/>
        <v>2</v>
      </c>
      <c r="B38" s="17">
        <v>43579</v>
      </c>
      <c r="C38" s="17" t="s">
        <v>802</v>
      </c>
      <c r="D38" s="18" t="s">
        <v>824</v>
      </c>
      <c r="E38" s="11" t="s">
        <v>845</v>
      </c>
      <c r="F38" s="19">
        <f>IF(Bets35[[#This Row],[Odds]]&lt;0,Bets35[[#This Row],[Odds]]/-10,1000/Bets3[[#This Row],[Odds]])</f>
        <v>11</v>
      </c>
      <c r="G38" s="37">
        <v>-110</v>
      </c>
      <c r="H38" s="21" t="s">
        <v>263</v>
      </c>
      <c r="I38" s="45">
        <f>IF(Bets3[[#This Row],[Result]]="L",0-Bets3[[#This Row],[Risk]],IF(Bets3[[#This Row],[Result]]="Push",0,IF(Bets3[[#This Row],[Result]]="No Action",0,IF(Bets3[[#This Row],[Result]]="W",IF(Bets3[[#This Row],[Odds]]&gt;0,Bets3[[#This Row],[Odds]]/100*Bets3[[#This Row],[Risk]],(Bets3[[#This Row],[Risk]]/Bets3[[#This Row],[Odds]]*-100)),""))))</f>
        <v>-11</v>
      </c>
      <c r="J38" s="23" t="str">
        <f>IF(ISNUMBER(SEARCH(CHAR(10),Bets3[[#This Row],[Bet]])),"P",IF(ISNUMBER(FIND("Under",Bets3[[#This Row],[Bet]])),"U",IF(ISNUMBER(SEARCH("Over",Bets3[[#This Row],[Bet]])),"O",IF(ISNUMBER(SEARCH("+",Bets3[[#This Row],[Bet]])),"D",IF(ISNUMBER(SEARCH("-",Bets3[[#This Row],[Bet]])),"F",IF(ISNUMBER(SEARCH("Moneyline",Bets3[[#This Row],[Bet]])),IF(Bets3[[#This Row],[Odds]]&lt;0,"MF","MD"),""))))))</f>
        <v>O</v>
      </c>
      <c r="K38" s="22"/>
      <c r="L38" s="24">
        <f t="shared" si="1"/>
        <v>43682</v>
      </c>
      <c r="M38" s="1" t="str">
        <f>COUNTIFS(Bets3[Date],L38,Bets3[Result],"W")&amp;"-"&amp;COUNTIFS(Bets3[Date],L38,Bets3[Result],"L")&amp;IF(COUNTIFS(Bets3[Date],L38,Bets3[Result],"Push")&gt;0,"-"&amp;COUNTIFS(Bets3[Date],L38,Bets3[Result],"Push"),"")</f>
        <v>0-0</v>
      </c>
      <c r="N38" s="25" t="str">
        <f>IFERROR(COUNTIFS(Bets3[Date],L38,Bets3[Result],"W")/(COUNTIFS(Bets3[Date],L38,Bets3[Result],"W")+COUNTIFS(Bets3[Date],L38,Bets3[Result],"L")),"")</f>
        <v/>
      </c>
      <c r="O38" s="26">
        <f>SUMIF(Bets3[Date],L38,Bets3[Net])</f>
        <v>0</v>
      </c>
      <c r="P38" s="27" t="str">
        <f>IFERROR("("&amp;ROUND(SUMIF(Bets3[Date],L38,Bets3[Net])/SUMIF(Bets3[Date],L38,Bets3[Risk]),2)*100&amp;"%)","")</f>
        <v>(0%)</v>
      </c>
      <c r="Q38" s="72">
        <f t="shared" si="2"/>
        <v>324.04257503850238</v>
      </c>
      <c r="R38" s="73">
        <f>IFERROR(SUMIF(Bets3[Date],"&lt;="&amp;L38,Bets3[Net])/SUMIF(Bets3[Date],"&lt;="&amp;L38,Bets3[Risk]),"")</f>
        <v>8.6612053380998852E-2</v>
      </c>
    </row>
    <row r="39" spans="1:18" x14ac:dyDescent="0.25">
      <c r="A39" s="13">
        <f t="shared" si="0"/>
        <v>2</v>
      </c>
      <c r="B39" s="17">
        <v>43579</v>
      </c>
      <c r="C39" s="17" t="s">
        <v>802</v>
      </c>
      <c r="D39" s="18" t="s">
        <v>829</v>
      </c>
      <c r="E39" s="11" t="s">
        <v>879</v>
      </c>
      <c r="F39" s="19">
        <f>IF(Bets35[[#This Row],[Odds]]&lt;0,Bets35[[#This Row],[Odds]]/-10,1000/Bets3[[#This Row],[Odds]])</f>
        <v>11</v>
      </c>
      <c r="G39" s="37">
        <v>-110</v>
      </c>
      <c r="H39" s="21" t="s">
        <v>263</v>
      </c>
      <c r="I39" s="45">
        <f>IF(Bets3[[#This Row],[Result]]="L",0-Bets3[[#This Row],[Risk]],IF(Bets3[[#This Row],[Result]]="Push",0,IF(Bets3[[#This Row],[Result]]="No Action",0,IF(Bets3[[#This Row],[Result]]="W",IF(Bets3[[#This Row],[Odds]]&gt;0,Bets3[[#This Row],[Odds]]/100*Bets3[[#This Row],[Risk]],(Bets3[[#This Row],[Risk]]/Bets3[[#This Row],[Odds]]*-100)),""))))</f>
        <v>-11</v>
      </c>
      <c r="J39" s="23" t="str">
        <f>IF(ISNUMBER(SEARCH(CHAR(10),Bets3[[#This Row],[Bet]])),"P",IF(ISNUMBER(FIND("Under",Bets3[[#This Row],[Bet]])),"U",IF(ISNUMBER(SEARCH("Over",Bets3[[#This Row],[Bet]])),"O",IF(ISNUMBER(SEARCH("+",Bets3[[#This Row],[Bet]])),"D",IF(ISNUMBER(SEARCH("-",Bets3[[#This Row],[Bet]])),"F",IF(ISNUMBER(SEARCH("Moneyline",Bets3[[#This Row],[Bet]])),IF(Bets3[[#This Row],[Odds]]&lt;0,"MF","MD"),""))))))</f>
        <v>U</v>
      </c>
      <c r="K39" s="22"/>
      <c r="L39" s="24">
        <f t="shared" si="1"/>
        <v>0</v>
      </c>
      <c r="M39" s="1" t="str">
        <f>COUNTIFS(Bets3[Date],L39,Bets3[Result],"W")&amp;"-"&amp;COUNTIFS(Bets3[Date],L39,Bets3[Result],"L")&amp;IF(COUNTIFS(Bets3[Date],L39,Bets3[Result],"Push")&gt;0,"-"&amp;COUNTIFS(Bets3[Date],L39,Bets3[Result],"Push"),"")</f>
        <v>0-0</v>
      </c>
      <c r="N39" s="25" t="str">
        <f>IFERROR(COUNTIFS(Bets3[Date],L39,Bets3[Result],"W")/(COUNTIFS(Bets3[Date],L39,Bets3[Result],"W")+COUNTIFS(Bets3[Date],L39,Bets3[Result],"L")),"")</f>
        <v/>
      </c>
      <c r="O39" s="26">
        <f>SUMIF(Bets3[Date],L39,Bets3[Net])</f>
        <v>0</v>
      </c>
      <c r="P39" s="27" t="str">
        <f>IFERROR("("&amp;ROUND(SUMIF(Bets3[Date],L39,Bets3[Net])/SUMIF(Bets3[Date],L39,Bets3[Risk]),2)*100&amp;"%)","")</f>
        <v/>
      </c>
      <c r="Q39" s="72" t="str">
        <f t="shared" si="2"/>
        <v/>
      </c>
      <c r="R39" s="73" t="str">
        <f>IFERROR(SUMIF(Bets3[Date],"&lt;="&amp;L39,Bets3[Net])/SUMIF(Bets3[Date],"&lt;="&amp;L39,Bets3[Risk]),"")</f>
        <v/>
      </c>
    </row>
    <row r="40" spans="1:18" x14ac:dyDescent="0.25">
      <c r="A40" s="13">
        <f t="shared" si="0"/>
        <v>2</v>
      </c>
      <c r="B40" s="17">
        <v>43579</v>
      </c>
      <c r="C40" s="17" t="s">
        <v>802</v>
      </c>
      <c r="D40" s="18" t="s">
        <v>816</v>
      </c>
      <c r="E40" s="11" t="s">
        <v>877</v>
      </c>
      <c r="F40" s="19">
        <f>IF(Bets35[[#This Row],[Odds]]&lt;0,Bets35[[#This Row],[Odds]]/-10,1000/Bets3[[#This Row],[Odds]])</f>
        <v>11</v>
      </c>
      <c r="G40" s="37">
        <v>-110</v>
      </c>
      <c r="H40" s="21" t="s">
        <v>262</v>
      </c>
      <c r="I40" s="45">
        <f>IF(Bets3[[#This Row],[Result]]="L",0-Bets3[[#This Row],[Risk]],IF(Bets3[[#This Row],[Result]]="Push",0,IF(Bets3[[#This Row],[Result]]="No Action",0,IF(Bets3[[#This Row],[Result]]="W",IF(Bets3[[#This Row],[Odds]]&gt;0,Bets3[[#This Row],[Odds]]/100*Bets3[[#This Row],[Risk]],(Bets3[[#This Row],[Risk]]/Bets3[[#This Row],[Odds]]*-100)),""))))</f>
        <v>10</v>
      </c>
      <c r="J40" s="23" t="str">
        <f>IF(ISNUMBER(SEARCH(CHAR(10),Bets3[[#This Row],[Bet]])),"P",IF(ISNUMBER(FIND("Under",Bets3[[#This Row],[Bet]])),"U",IF(ISNUMBER(SEARCH("Over",Bets3[[#This Row],[Bet]])),"O",IF(ISNUMBER(SEARCH("+",Bets3[[#This Row],[Bet]])),"D",IF(ISNUMBER(SEARCH("-",Bets3[[#This Row],[Bet]])),"F",IF(ISNUMBER(SEARCH("Moneyline",Bets3[[#This Row],[Bet]])),IF(Bets3[[#This Row],[Odds]]&lt;0,"MF","MD"),""))))))</f>
        <v>U</v>
      </c>
      <c r="K40" s="22"/>
      <c r="L40" s="24">
        <f t="shared" si="1"/>
        <v>0</v>
      </c>
      <c r="M40" s="1" t="str">
        <f>COUNTIFS(Bets3[Date],L40,Bets3[Result],"W")&amp;"-"&amp;COUNTIFS(Bets3[Date],L40,Bets3[Result],"L")&amp;IF(COUNTIFS(Bets3[Date],L40,Bets3[Result],"Push")&gt;0,"-"&amp;COUNTIFS(Bets3[Date],L40,Bets3[Result],"Push"),"")</f>
        <v>0-0</v>
      </c>
      <c r="N40" s="25" t="str">
        <f>IFERROR(COUNTIFS(Bets3[Date],L40,Bets3[Result],"W")/(COUNTIFS(Bets3[Date],L40,Bets3[Result],"W")+COUNTIFS(Bets3[Date],L40,Bets3[Result],"L")),"")</f>
        <v/>
      </c>
      <c r="O40" s="26">
        <f>SUMIF(Bets3[Date],L40,Bets3[Net])</f>
        <v>0</v>
      </c>
      <c r="P40" s="27" t="str">
        <f>IFERROR("("&amp;ROUND(SUMIF(Bets3[Date],L40,Bets3[Net])/SUMIF(Bets3[Date],L40,Bets3[Risk]),2)*100&amp;"%)","")</f>
        <v/>
      </c>
      <c r="Q40" s="72" t="str">
        <f t="shared" si="2"/>
        <v/>
      </c>
      <c r="R40" s="73" t="str">
        <f>IFERROR(SUMIF(Bets3[Date],"&lt;="&amp;L40,Bets3[Net])/SUMIF(Bets3[Date],"&lt;="&amp;L40,Bets3[Risk]),"")</f>
        <v/>
      </c>
    </row>
    <row r="41" spans="1:18" x14ac:dyDescent="0.25">
      <c r="A41" s="13">
        <f t="shared" si="0"/>
        <v>2</v>
      </c>
      <c r="B41" s="17">
        <v>43579</v>
      </c>
      <c r="C41" s="17" t="s">
        <v>802</v>
      </c>
      <c r="D41" s="18" t="s">
        <v>814</v>
      </c>
      <c r="E41" s="11" t="s">
        <v>880</v>
      </c>
      <c r="F41" s="19">
        <f>IF(Bets35[[#This Row],[Odds]]&lt;0,Bets35[[#This Row],[Odds]]/-10,1000/Bets3[[#This Row],[Odds]])</f>
        <v>11</v>
      </c>
      <c r="G41" s="37">
        <v>-110</v>
      </c>
      <c r="H41" s="21" t="s">
        <v>262</v>
      </c>
      <c r="I41" s="45">
        <f>IF(Bets3[[#This Row],[Result]]="L",0-Bets3[[#This Row],[Risk]],IF(Bets3[[#This Row],[Result]]="Push",0,IF(Bets3[[#This Row],[Result]]="No Action",0,IF(Bets3[[#This Row],[Result]]="W",IF(Bets3[[#This Row],[Odds]]&gt;0,Bets3[[#This Row],[Odds]]/100*Bets3[[#This Row],[Risk]],(Bets3[[#This Row],[Risk]]/Bets3[[#This Row],[Odds]]*-100)),""))))</f>
        <v>10</v>
      </c>
      <c r="J41" s="23" t="str">
        <f>IF(ISNUMBER(SEARCH(CHAR(10),Bets3[[#This Row],[Bet]])),"P",IF(ISNUMBER(FIND("Under",Bets3[[#This Row],[Bet]])),"U",IF(ISNUMBER(SEARCH("Over",Bets3[[#This Row],[Bet]])),"O",IF(ISNUMBER(SEARCH("+",Bets3[[#This Row],[Bet]])),"D",IF(ISNUMBER(SEARCH("-",Bets3[[#This Row],[Bet]])),"F",IF(ISNUMBER(SEARCH("Moneyline",Bets3[[#This Row],[Bet]])),IF(Bets3[[#This Row],[Odds]]&lt;0,"MF","MD"),""))))))</f>
        <v>U</v>
      </c>
      <c r="K41" s="22"/>
      <c r="L41" s="24">
        <f t="shared" si="1"/>
        <v>0</v>
      </c>
      <c r="M41" s="1" t="str">
        <f>COUNTIFS(Bets3[Date],L41,Bets3[Result],"W")&amp;"-"&amp;COUNTIFS(Bets3[Date],L41,Bets3[Result],"L")&amp;IF(COUNTIFS(Bets3[Date],L41,Bets3[Result],"Push")&gt;0,"-"&amp;COUNTIFS(Bets3[Date],L41,Bets3[Result],"Push"),"")</f>
        <v>0-0</v>
      </c>
      <c r="N41" s="25" t="str">
        <f>IFERROR(COUNTIFS(Bets3[Date],L41,Bets3[Result],"W")/(COUNTIFS(Bets3[Date],L41,Bets3[Result],"W")+COUNTIFS(Bets3[Date],L41,Bets3[Result],"L")),"")</f>
        <v/>
      </c>
      <c r="O41" s="26">
        <f>SUMIF(Bets3[Date],L41,Bets3[Net])</f>
        <v>0</v>
      </c>
      <c r="P41" s="27" t="str">
        <f>IFERROR("("&amp;ROUND(SUMIF(Bets3[Date],L41,Bets3[Net])/SUMIF(Bets3[Date],L41,Bets3[Risk]),2)*100&amp;"%)","")</f>
        <v/>
      </c>
      <c r="Q41" s="72" t="str">
        <f t="shared" si="2"/>
        <v/>
      </c>
      <c r="R41" s="73" t="str">
        <f>IFERROR(SUMIF(Bets3[Date],"&lt;="&amp;L41,Bets3[Net])/SUMIF(Bets3[Date],"&lt;="&amp;L41,Bets3[Risk]),"")</f>
        <v/>
      </c>
    </row>
    <row r="42" spans="1:18" x14ac:dyDescent="0.25">
      <c r="A42" s="13">
        <f t="shared" si="0"/>
        <v>2</v>
      </c>
      <c r="B42" s="17">
        <v>43579</v>
      </c>
      <c r="C42" s="17" t="s">
        <v>802</v>
      </c>
      <c r="D42" s="18" t="s">
        <v>821</v>
      </c>
      <c r="E42" s="11" t="s">
        <v>881</v>
      </c>
      <c r="F42" s="19">
        <f>IF(Bets35[[#This Row],[Odds]]&lt;0,Bets35[[#This Row],[Odds]]/-10,1000/Bets3[[#This Row],[Odds]])</f>
        <v>11</v>
      </c>
      <c r="G42" s="37">
        <v>-110</v>
      </c>
      <c r="H42" s="21" t="s">
        <v>263</v>
      </c>
      <c r="I42" s="45">
        <f>IF(Bets3[[#This Row],[Result]]="L",0-Bets3[[#This Row],[Risk]],IF(Bets3[[#This Row],[Result]]="Push",0,IF(Bets3[[#This Row],[Result]]="No Action",0,IF(Bets3[[#This Row],[Result]]="W",IF(Bets3[[#This Row],[Odds]]&gt;0,Bets3[[#This Row],[Odds]]/100*Bets3[[#This Row],[Risk]],(Bets3[[#This Row],[Risk]]/Bets3[[#This Row],[Odds]]*-100)),""))))</f>
        <v>-11</v>
      </c>
      <c r="J42" s="23" t="str">
        <f>IF(ISNUMBER(SEARCH(CHAR(10),Bets3[[#This Row],[Bet]])),"P",IF(ISNUMBER(FIND("Under",Bets3[[#This Row],[Bet]])),"U",IF(ISNUMBER(SEARCH("Over",Bets3[[#This Row],[Bet]])),"O",IF(ISNUMBER(SEARCH("+",Bets3[[#This Row],[Bet]])),"D",IF(ISNUMBER(SEARCH("-",Bets3[[#This Row],[Bet]])),"F",IF(ISNUMBER(SEARCH("Moneyline",Bets3[[#This Row],[Bet]])),IF(Bets3[[#This Row],[Odds]]&lt;0,"MF","MD"),""))))))</f>
        <v>O</v>
      </c>
      <c r="K42" s="22"/>
      <c r="L42" s="24">
        <f t="shared" si="1"/>
        <v>0</v>
      </c>
      <c r="M42" s="1" t="str">
        <f>COUNTIFS(Bets3[Date],L42,Bets3[Result],"W")&amp;"-"&amp;COUNTIFS(Bets3[Date],L42,Bets3[Result],"L")&amp;IF(COUNTIFS(Bets3[Date],L42,Bets3[Result],"Push")&gt;0,"-"&amp;COUNTIFS(Bets3[Date],L42,Bets3[Result],"Push"),"")</f>
        <v>0-0</v>
      </c>
      <c r="N42" s="25" t="str">
        <f>IFERROR(COUNTIFS(Bets3[Date],L42,Bets3[Result],"W")/(COUNTIFS(Bets3[Date],L42,Bets3[Result],"W")+COUNTIFS(Bets3[Date],L42,Bets3[Result],"L")),"")</f>
        <v/>
      </c>
      <c r="O42" s="26">
        <f>SUMIF(Bets3[Date],L42,Bets3[Net])</f>
        <v>0</v>
      </c>
      <c r="P42" s="27" t="str">
        <f>IFERROR("("&amp;ROUND(SUMIF(Bets3[Date],L42,Bets3[Net])/SUMIF(Bets3[Date],L42,Bets3[Risk]),2)*100&amp;"%)","")</f>
        <v/>
      </c>
      <c r="Q42" s="72" t="str">
        <f t="shared" si="2"/>
        <v/>
      </c>
      <c r="R42" s="73" t="str">
        <f>IFERROR(SUMIF(Bets3[Date],"&lt;="&amp;L42,Bets3[Net])/SUMIF(Bets3[Date],"&lt;="&amp;L42,Bets3[Risk]),"")</f>
        <v/>
      </c>
    </row>
    <row r="43" spans="1:18" x14ac:dyDescent="0.25">
      <c r="A43" s="13">
        <f t="shared" si="0"/>
        <v>3</v>
      </c>
      <c r="B43" s="17">
        <v>43580</v>
      </c>
      <c r="C43" s="17" t="s">
        <v>802</v>
      </c>
      <c r="D43" s="18" t="s">
        <v>831</v>
      </c>
      <c r="E43" s="11" t="s">
        <v>832</v>
      </c>
      <c r="F43" s="19">
        <f>IF(Bets35[[#This Row],[Odds]]&lt;0,Bets35[[#This Row],[Odds]]/-10,1000/Bets3[[#This Row],[Odds]])</f>
        <v>8.695652173913043</v>
      </c>
      <c r="G43" s="37" t="s">
        <v>828</v>
      </c>
      <c r="H43" s="21" t="s">
        <v>263</v>
      </c>
      <c r="I43" s="45">
        <f>IF(Bets3[[#This Row],[Result]]="L",0-Bets3[[#This Row],[Risk]],IF(Bets3[[#This Row],[Result]]="Push",0,IF(Bets3[[#This Row],[Result]]="No Action",0,IF(Bets3[[#This Row],[Result]]="W",IF(Bets3[[#This Row],[Odds]]&gt;0,Bets3[[#This Row],[Odds]]/100*Bets3[[#This Row],[Risk]],(Bets3[[#This Row],[Risk]]/Bets3[[#This Row],[Odds]]*-100)),""))))</f>
        <v>-8.695652173913043</v>
      </c>
      <c r="J43" s="23" t="str">
        <f>IF(ISNUMBER(SEARCH(CHAR(10),Bets3[[#This Row],[Bet]])),"P",IF(ISNUMBER(FIND("Under",Bets3[[#This Row],[Bet]])),"U",IF(ISNUMBER(SEARCH("Over",Bets3[[#This Row],[Bet]])),"O",IF(ISNUMBER(SEARCH("+",Bets3[[#This Row],[Bet]])),"D",IF(ISNUMBER(SEARCH("-",Bets3[[#This Row],[Bet]])),"F",IF(ISNUMBER(SEARCH("Moneyline",Bets3[[#This Row],[Bet]])),IF(Bets3[[#This Row],[Odds]]&lt;0,"MF","MD"),""))))))</f>
        <v>MD</v>
      </c>
      <c r="K43" s="22"/>
      <c r="L43" s="24">
        <f t="shared" si="1"/>
        <v>0</v>
      </c>
      <c r="M43" s="1" t="str">
        <f>COUNTIFS(Bets3[Date],L43,Bets3[Result],"W")&amp;"-"&amp;COUNTIFS(Bets3[Date],L43,Bets3[Result],"L")&amp;IF(COUNTIFS(Bets3[Date],L43,Bets3[Result],"Push")&gt;0,"-"&amp;COUNTIFS(Bets3[Date],L43,Bets3[Result],"Push"),"")</f>
        <v>0-0</v>
      </c>
      <c r="N43" s="25" t="str">
        <f>IFERROR(COUNTIFS(Bets3[Date],L43,Bets3[Result],"W")/(COUNTIFS(Bets3[Date],L43,Bets3[Result],"W")+COUNTIFS(Bets3[Date],L43,Bets3[Result],"L")),"")</f>
        <v/>
      </c>
      <c r="O43" s="26">
        <f>SUMIF(Bets3[Date],L43,Bets3[Net])</f>
        <v>0</v>
      </c>
      <c r="P43" s="27" t="str">
        <f>IFERROR("("&amp;ROUND(SUMIF(Bets3[Date],L43,Bets3[Net])/SUMIF(Bets3[Date],L43,Bets3[Risk]),2)*100&amp;"%)","")</f>
        <v/>
      </c>
      <c r="Q43" s="72" t="str">
        <f t="shared" si="2"/>
        <v/>
      </c>
      <c r="R43" s="73" t="str">
        <f>IFERROR(SUMIF(Bets3[Date],"&lt;="&amp;L43,Bets3[Net])/SUMIF(Bets3[Date],"&lt;="&amp;L43,Bets3[Risk]),"")</f>
        <v/>
      </c>
    </row>
    <row r="44" spans="1:18" x14ac:dyDescent="0.25">
      <c r="A44" s="13">
        <f t="shared" si="0"/>
        <v>3</v>
      </c>
      <c r="B44" s="17">
        <v>43580</v>
      </c>
      <c r="C44" s="17" t="s">
        <v>802</v>
      </c>
      <c r="D44" s="18" t="s">
        <v>826</v>
      </c>
      <c r="E44" s="11" t="s">
        <v>827</v>
      </c>
      <c r="F44" s="19">
        <f>IF(Bets35[[#This Row],[Odds]]&lt;0,Bets35[[#This Row],[Odds]]/-10,1000/Bets3[[#This Row],[Odds]])</f>
        <v>9.0909090909090917</v>
      </c>
      <c r="G44" s="37" t="s">
        <v>886</v>
      </c>
      <c r="H44" s="21" t="s">
        <v>262</v>
      </c>
      <c r="I44" s="45">
        <f>IF(Bets3[[#This Row],[Result]]="L",0-Bets3[[#This Row],[Risk]],IF(Bets3[[#This Row],[Result]]="Push",0,IF(Bets3[[#This Row],[Result]]="No Action",0,IF(Bets3[[#This Row],[Result]]="W",IF(Bets3[[#This Row],[Odds]]&gt;0,Bets3[[#This Row],[Odds]]/100*Bets3[[#This Row],[Risk]],(Bets3[[#This Row],[Risk]]/Bets3[[#This Row],[Odds]]*-100)),""))))</f>
        <v>10.000000000000002</v>
      </c>
      <c r="J44" s="23" t="str">
        <f>IF(ISNUMBER(SEARCH(CHAR(10),Bets3[[#This Row],[Bet]])),"P",IF(ISNUMBER(FIND("Under",Bets3[[#This Row],[Bet]])),"U",IF(ISNUMBER(SEARCH("Over",Bets3[[#This Row],[Bet]])),"O",IF(ISNUMBER(SEARCH("+",Bets3[[#This Row],[Bet]])),"D",IF(ISNUMBER(SEARCH("-",Bets3[[#This Row],[Bet]])),"F",IF(ISNUMBER(SEARCH("Moneyline",Bets3[[#This Row],[Bet]])),IF(Bets3[[#This Row],[Odds]]&lt;0,"MF","MD"),""))))))</f>
        <v>MD</v>
      </c>
      <c r="K44" s="22"/>
      <c r="L44" s="24">
        <f t="shared" si="1"/>
        <v>0</v>
      </c>
      <c r="M44" s="1" t="str">
        <f>COUNTIFS(Bets3[Date],L44,Bets3[Result],"W")&amp;"-"&amp;COUNTIFS(Bets3[Date],L44,Bets3[Result],"L")&amp;IF(COUNTIFS(Bets3[Date],L44,Bets3[Result],"Push")&gt;0,"-"&amp;COUNTIFS(Bets3[Date],L44,Bets3[Result],"Push"),"")</f>
        <v>0-0</v>
      </c>
      <c r="N44" s="25" t="str">
        <f>IFERROR(COUNTIFS(Bets3[Date],L44,Bets3[Result],"W")/(COUNTIFS(Bets3[Date],L44,Bets3[Result],"W")+COUNTIFS(Bets3[Date],L44,Bets3[Result],"L")),"")</f>
        <v/>
      </c>
      <c r="O44" s="26">
        <f>SUMIF(Bets3[Date],L44,Bets3[Net])</f>
        <v>0</v>
      </c>
      <c r="P44" s="27" t="str">
        <f>IFERROR("("&amp;ROUND(SUMIF(Bets3[Date],L44,Bets3[Net])/SUMIF(Bets3[Date],L44,Bets3[Risk]),2)*100&amp;"%)","")</f>
        <v/>
      </c>
      <c r="Q44" s="72" t="str">
        <f t="shared" si="2"/>
        <v/>
      </c>
      <c r="R44" s="73" t="str">
        <f>IFERROR(SUMIF(Bets3[Date],"&lt;="&amp;L44,Bets3[Net])/SUMIF(Bets3[Date],"&lt;="&amp;L44,Bets3[Risk]),"")</f>
        <v/>
      </c>
    </row>
    <row r="45" spans="1:18" x14ac:dyDescent="0.25">
      <c r="A45" s="13">
        <f t="shared" si="0"/>
        <v>3</v>
      </c>
      <c r="B45" s="17">
        <v>43580</v>
      </c>
      <c r="C45" s="17" t="s">
        <v>802</v>
      </c>
      <c r="D45" s="18" t="s">
        <v>887</v>
      </c>
      <c r="E45" s="11" t="s">
        <v>888</v>
      </c>
      <c r="F45" s="19">
        <f>IF(Bets35[[#This Row],[Odds]]&lt;0,Bets35[[#This Row],[Odds]]/-10,1000/Bets3[[#This Row],[Odds]])</f>
        <v>5</v>
      </c>
      <c r="G45" s="37" t="s">
        <v>889</v>
      </c>
      <c r="H45" s="21" t="s">
        <v>262</v>
      </c>
      <c r="I45" s="45">
        <f>IF(Bets3[[#This Row],[Result]]="L",0-Bets3[[#This Row],[Risk]],IF(Bets3[[#This Row],[Result]]="Push",0,IF(Bets3[[#This Row],[Result]]="No Action",0,IF(Bets3[[#This Row],[Result]]="W",IF(Bets3[[#This Row],[Odds]]&gt;0,Bets3[[#This Row],[Odds]]/100*Bets3[[#This Row],[Risk]],(Bets3[[#This Row],[Risk]]/Bets3[[#This Row],[Odds]]*-100)),""))))</f>
        <v>10</v>
      </c>
      <c r="J45" s="23" t="str">
        <f>IF(ISNUMBER(SEARCH(CHAR(10),Bets3[[#This Row],[Bet]])),"P",IF(ISNUMBER(FIND("Under",Bets3[[#This Row],[Bet]])),"U",IF(ISNUMBER(SEARCH("Over",Bets3[[#This Row],[Bet]])),"O",IF(ISNUMBER(SEARCH("+",Bets3[[#This Row],[Bet]])),"D",IF(ISNUMBER(SEARCH("-",Bets3[[#This Row],[Bet]])),"F",IF(ISNUMBER(SEARCH("Moneyline",Bets3[[#This Row],[Bet]])),IF(Bets3[[#This Row],[Odds]]&lt;0,"MF","MD"),""))))))</f>
        <v>MD</v>
      </c>
      <c r="K45" s="22"/>
      <c r="L45" s="24">
        <f t="shared" si="1"/>
        <v>0</v>
      </c>
      <c r="M45" s="1" t="str">
        <f>COUNTIFS(Bets3[Date],L45,Bets3[Result],"W")&amp;"-"&amp;COUNTIFS(Bets3[Date],L45,Bets3[Result],"L")&amp;IF(COUNTIFS(Bets3[Date],L45,Bets3[Result],"Push")&gt;0,"-"&amp;COUNTIFS(Bets3[Date],L45,Bets3[Result],"Push"),"")</f>
        <v>0-0</v>
      </c>
      <c r="N45" s="25" t="str">
        <f>IFERROR(COUNTIFS(Bets3[Date],L45,Bets3[Result],"W")/(COUNTIFS(Bets3[Date],L45,Bets3[Result],"W")+COUNTIFS(Bets3[Date],L45,Bets3[Result],"L")),"")</f>
        <v/>
      </c>
      <c r="O45" s="26">
        <f>SUMIF(Bets3[Date],L45,Bets3[Net])</f>
        <v>0</v>
      </c>
      <c r="P45" s="27" t="str">
        <f>IFERROR("("&amp;ROUND(SUMIF(Bets3[Date],L45,Bets3[Net])/SUMIF(Bets3[Date],L45,Bets3[Risk]),2)*100&amp;"%)","")</f>
        <v/>
      </c>
      <c r="Q45" s="72" t="str">
        <f t="shared" si="2"/>
        <v/>
      </c>
      <c r="R45" s="73" t="str">
        <f>IFERROR(SUMIF(Bets3[Date],"&lt;="&amp;L45,Bets3[Net])/SUMIF(Bets3[Date],"&lt;="&amp;L45,Bets3[Risk]),"")</f>
        <v/>
      </c>
    </row>
    <row r="46" spans="1:18" x14ac:dyDescent="0.25">
      <c r="A46" s="13">
        <f t="shared" si="0"/>
        <v>3</v>
      </c>
      <c r="B46" s="17">
        <v>43580</v>
      </c>
      <c r="C46" s="17" t="s">
        <v>802</v>
      </c>
      <c r="D46" s="18" t="s">
        <v>811</v>
      </c>
      <c r="E46" s="11" t="s">
        <v>812</v>
      </c>
      <c r="F46" s="19">
        <f>IF(Bets35[[#This Row],[Odds]]&lt;0,Bets35[[#This Row],[Odds]]/-10,1000/Bets3[[#This Row],[Odds]])</f>
        <v>4.5454545454545459</v>
      </c>
      <c r="G46" s="37" t="s">
        <v>890</v>
      </c>
      <c r="H46" s="21" t="s">
        <v>263</v>
      </c>
      <c r="I46" s="45">
        <f>IF(Bets3[[#This Row],[Result]]="L",0-Bets3[[#This Row],[Risk]],IF(Bets3[[#This Row],[Result]]="Push",0,IF(Bets3[[#This Row],[Result]]="No Action",0,IF(Bets3[[#This Row],[Result]]="W",IF(Bets3[[#This Row],[Odds]]&gt;0,Bets3[[#This Row],[Odds]]/100*Bets3[[#This Row],[Risk]],(Bets3[[#This Row],[Risk]]/Bets3[[#This Row],[Odds]]*-100)),""))))</f>
        <v>-4.5454545454545459</v>
      </c>
      <c r="J46" s="23" t="str">
        <f>IF(ISNUMBER(SEARCH(CHAR(10),Bets3[[#This Row],[Bet]])),"P",IF(ISNUMBER(FIND("Under",Bets3[[#This Row],[Bet]])),"U",IF(ISNUMBER(SEARCH("Over",Bets3[[#This Row],[Bet]])),"O",IF(ISNUMBER(SEARCH("+",Bets3[[#This Row],[Bet]])),"D",IF(ISNUMBER(SEARCH("-",Bets3[[#This Row],[Bet]])),"F",IF(ISNUMBER(SEARCH("Moneyline",Bets3[[#This Row],[Bet]])),IF(Bets3[[#This Row],[Odds]]&lt;0,"MF","MD"),""))))))</f>
        <v>MD</v>
      </c>
      <c r="K46" s="22"/>
      <c r="L46" s="24">
        <f t="shared" si="1"/>
        <v>0</v>
      </c>
      <c r="M46" s="1" t="str">
        <f>COUNTIFS(Bets3[Date],L46,Bets3[Result],"W")&amp;"-"&amp;COUNTIFS(Bets3[Date],L46,Bets3[Result],"L")&amp;IF(COUNTIFS(Bets3[Date],L46,Bets3[Result],"Push")&gt;0,"-"&amp;COUNTIFS(Bets3[Date],L46,Bets3[Result],"Push"),"")</f>
        <v>0-0</v>
      </c>
      <c r="N46" s="25" t="str">
        <f>IFERROR(COUNTIFS(Bets3[Date],L46,Bets3[Result],"W")/(COUNTIFS(Bets3[Date],L46,Bets3[Result],"W")+COUNTIFS(Bets3[Date],L46,Bets3[Result],"L")),"")</f>
        <v/>
      </c>
      <c r="O46" s="26">
        <f>SUMIF(Bets3[Date],L46,Bets3[Net])</f>
        <v>0</v>
      </c>
      <c r="P46" s="27" t="str">
        <f>IFERROR("("&amp;ROUND(SUMIF(Bets3[Date],L46,Bets3[Net])/SUMIF(Bets3[Date],L46,Bets3[Risk]),2)*100&amp;"%)","")</f>
        <v/>
      </c>
      <c r="Q46" s="72" t="str">
        <f t="shared" si="2"/>
        <v/>
      </c>
      <c r="R46" s="73" t="str">
        <f>IFERROR(SUMIF(Bets3[Date],"&lt;="&amp;L46,Bets3[Net])/SUMIF(Bets3[Date],"&lt;="&amp;L46,Bets3[Risk]),"")</f>
        <v/>
      </c>
    </row>
    <row r="47" spans="1:18" x14ac:dyDescent="0.25">
      <c r="A47" s="13">
        <f t="shared" si="0"/>
        <v>3</v>
      </c>
      <c r="B47" s="17">
        <v>43580</v>
      </c>
      <c r="C47" s="17" t="s">
        <v>802</v>
      </c>
      <c r="D47" s="18" t="s">
        <v>891</v>
      </c>
      <c r="E47" s="11" t="s">
        <v>845</v>
      </c>
      <c r="F47" s="19">
        <f>IF(Bets35[[#This Row],[Odds]]&lt;0,Bets35[[#This Row],[Odds]]/-10,1000/Bets3[[#This Row],[Odds]])</f>
        <v>11</v>
      </c>
      <c r="G47" s="37">
        <v>-110</v>
      </c>
      <c r="H47" s="21" t="s">
        <v>262</v>
      </c>
      <c r="I47" s="45">
        <f>IF(Bets3[[#This Row],[Result]]="L",0-Bets3[[#This Row],[Risk]],IF(Bets3[[#This Row],[Result]]="Push",0,IF(Bets3[[#This Row],[Result]]="No Action",0,IF(Bets3[[#This Row],[Result]]="W",IF(Bets3[[#This Row],[Odds]]&gt;0,Bets3[[#This Row],[Odds]]/100*Bets3[[#This Row],[Risk]],(Bets3[[#This Row],[Risk]]/Bets3[[#This Row],[Odds]]*-100)),""))))</f>
        <v>10</v>
      </c>
      <c r="J47" s="23" t="str">
        <f>IF(ISNUMBER(SEARCH(CHAR(10),Bets3[[#This Row],[Bet]])),"P",IF(ISNUMBER(FIND("Under",Bets3[[#This Row],[Bet]])),"U",IF(ISNUMBER(SEARCH("Over",Bets3[[#This Row],[Bet]])),"O",IF(ISNUMBER(SEARCH("+",Bets3[[#This Row],[Bet]])),"D",IF(ISNUMBER(SEARCH("-",Bets3[[#This Row],[Bet]])),"F",IF(ISNUMBER(SEARCH("Moneyline",Bets3[[#This Row],[Bet]])),IF(Bets3[[#This Row],[Odds]]&lt;0,"MF","MD"),""))))))</f>
        <v>O</v>
      </c>
      <c r="K47" s="22"/>
      <c r="L47" s="24">
        <f t="shared" si="1"/>
        <v>0</v>
      </c>
      <c r="M47" s="1" t="str">
        <f>COUNTIFS(Bets3[Date],L47,Bets3[Result],"W")&amp;"-"&amp;COUNTIFS(Bets3[Date],L47,Bets3[Result],"L")&amp;IF(COUNTIFS(Bets3[Date],L47,Bets3[Result],"Push")&gt;0,"-"&amp;COUNTIFS(Bets3[Date],L47,Bets3[Result],"Push"),"")</f>
        <v>0-0</v>
      </c>
      <c r="N47" s="25" t="str">
        <f>IFERROR(COUNTIFS(Bets3[Date],L47,Bets3[Result],"W")/(COUNTIFS(Bets3[Date],L47,Bets3[Result],"W")+COUNTIFS(Bets3[Date],L47,Bets3[Result],"L")),"")</f>
        <v/>
      </c>
      <c r="O47" s="26">
        <f>SUMIF(Bets3[Date],L47,Bets3[Net])</f>
        <v>0</v>
      </c>
      <c r="P47" s="27" t="str">
        <f>IFERROR("("&amp;ROUND(SUMIF(Bets3[Date],L47,Bets3[Net])/SUMIF(Bets3[Date],L47,Bets3[Risk]),2)*100&amp;"%)","")</f>
        <v/>
      </c>
      <c r="Q47" s="72" t="str">
        <f t="shared" si="2"/>
        <v/>
      </c>
      <c r="R47" s="73" t="str">
        <f>IFERROR(SUMIF(Bets3[Date],"&lt;="&amp;L47,Bets3[Net])/SUMIF(Bets3[Date],"&lt;="&amp;L47,Bets3[Risk]),"")</f>
        <v/>
      </c>
    </row>
    <row r="48" spans="1:18" x14ac:dyDescent="0.25">
      <c r="A48" s="13">
        <f t="shared" si="0"/>
        <v>4</v>
      </c>
      <c r="B48" s="17">
        <v>43581</v>
      </c>
      <c r="C48" s="17" t="s">
        <v>802</v>
      </c>
      <c r="D48" s="18" t="s">
        <v>887</v>
      </c>
      <c r="E48" s="11" t="s">
        <v>822</v>
      </c>
      <c r="F48" s="19">
        <f>IF(Bets35[[#This Row],[Odds]]&lt;0,Bets35[[#This Row],[Odds]]/-10,1000/Bets3[[#This Row],[Odds]])</f>
        <v>17.2</v>
      </c>
      <c r="G48" s="37">
        <v>-172</v>
      </c>
      <c r="H48" s="21" t="s">
        <v>262</v>
      </c>
      <c r="I48" s="45">
        <f>IF(Bets3[[#This Row],[Result]]="L",0-Bets3[[#This Row],[Risk]],IF(Bets3[[#This Row],[Result]]="Push",0,IF(Bets3[[#This Row],[Result]]="No Action",0,IF(Bets3[[#This Row],[Result]]="W",IF(Bets3[[#This Row],[Odds]]&gt;0,Bets3[[#This Row],[Odds]]/100*Bets3[[#This Row],[Risk]],(Bets3[[#This Row],[Risk]]/Bets3[[#This Row],[Odds]]*-100)),""))))</f>
        <v>10</v>
      </c>
      <c r="J48" s="23" t="str">
        <f>IF(ISNUMBER(SEARCH(CHAR(10),Bets3[[#This Row],[Bet]])),"P",IF(ISNUMBER(FIND("Under",Bets3[[#This Row],[Bet]])),"U",IF(ISNUMBER(SEARCH("Over",Bets3[[#This Row],[Bet]])),"O",IF(ISNUMBER(SEARCH("+",Bets3[[#This Row],[Bet]])),"D",IF(ISNUMBER(SEARCH("-",Bets3[[#This Row],[Bet]])),"F",IF(ISNUMBER(SEARCH("Moneyline",Bets3[[#This Row],[Bet]])),IF(Bets3[[#This Row],[Odds]]&lt;0,"MF","MD"),""))))))</f>
        <v>MF</v>
      </c>
      <c r="K48" s="22"/>
      <c r="L48" s="24">
        <f t="shared" si="1"/>
        <v>0</v>
      </c>
      <c r="M48" s="1" t="str">
        <f>COUNTIFS(Bets3[Date],L48,Bets3[Result],"W")&amp;"-"&amp;COUNTIFS(Bets3[Date],L48,Bets3[Result],"L")&amp;IF(COUNTIFS(Bets3[Date],L48,Bets3[Result],"Push")&gt;0,"-"&amp;COUNTIFS(Bets3[Date],L48,Bets3[Result],"Push"),"")</f>
        <v>0-0</v>
      </c>
      <c r="N48" s="25" t="str">
        <f>IFERROR(COUNTIFS(Bets3[Date],L48,Bets3[Result],"W")/(COUNTIFS(Bets3[Date],L48,Bets3[Result],"W")+COUNTIFS(Bets3[Date],L48,Bets3[Result],"L")),"")</f>
        <v/>
      </c>
      <c r="O48" s="26">
        <f>SUMIF(Bets3[Date],L48,Bets3[Net])</f>
        <v>0</v>
      </c>
      <c r="P48" s="27" t="str">
        <f>IFERROR("("&amp;ROUND(SUMIF(Bets3[Date],L48,Bets3[Net])/SUMIF(Bets3[Date],L48,Bets3[Risk]),2)*100&amp;"%)","")</f>
        <v/>
      </c>
      <c r="Q48" s="72" t="str">
        <f t="shared" si="2"/>
        <v/>
      </c>
      <c r="R48" s="73" t="str">
        <f>IFERROR(SUMIF(Bets3[Date],"&lt;="&amp;L48,Bets3[Net])/SUMIF(Bets3[Date],"&lt;="&amp;L48,Bets3[Risk]),"")</f>
        <v/>
      </c>
    </row>
    <row r="49" spans="1:18" x14ac:dyDescent="0.25">
      <c r="A49" s="13">
        <f t="shared" si="0"/>
        <v>4</v>
      </c>
      <c r="B49" s="17">
        <v>43581</v>
      </c>
      <c r="C49" s="17" t="s">
        <v>802</v>
      </c>
      <c r="D49" s="18" t="s">
        <v>895</v>
      </c>
      <c r="E49" s="11" t="s">
        <v>815</v>
      </c>
      <c r="F49" s="19">
        <f>IF(Bets35[[#This Row],[Odds]]&lt;0,Bets35[[#This Row],[Odds]]/-10,1000/Bets3[[#This Row],[Odds]])</f>
        <v>17.2</v>
      </c>
      <c r="G49" s="37">
        <v>-172</v>
      </c>
      <c r="H49" s="21" t="s">
        <v>263</v>
      </c>
      <c r="I49" s="45">
        <f>IF(Bets3[[#This Row],[Result]]="L",0-Bets3[[#This Row],[Risk]],IF(Bets3[[#This Row],[Result]]="Push",0,IF(Bets3[[#This Row],[Result]]="No Action",0,IF(Bets3[[#This Row],[Result]]="W",IF(Bets3[[#This Row],[Odds]]&gt;0,Bets3[[#This Row],[Odds]]/100*Bets3[[#This Row],[Risk]],(Bets3[[#This Row],[Risk]]/Bets3[[#This Row],[Odds]]*-100)),""))))</f>
        <v>-17.2</v>
      </c>
      <c r="J49" s="23" t="str">
        <f>IF(ISNUMBER(SEARCH(CHAR(10),Bets3[[#This Row],[Bet]])),"P",IF(ISNUMBER(FIND("Under",Bets3[[#This Row],[Bet]])),"U",IF(ISNUMBER(SEARCH("Over",Bets3[[#This Row],[Bet]])),"O",IF(ISNUMBER(SEARCH("+",Bets3[[#This Row],[Bet]])),"D",IF(ISNUMBER(SEARCH("-",Bets3[[#This Row],[Bet]])),"F",IF(ISNUMBER(SEARCH("Moneyline",Bets3[[#This Row],[Bet]])),IF(Bets3[[#This Row],[Odds]]&lt;0,"MF","MD"),""))))))</f>
        <v>MF</v>
      </c>
      <c r="K49" s="22"/>
      <c r="L49" s="24">
        <f t="shared" si="1"/>
        <v>0</v>
      </c>
      <c r="M49" s="1" t="str">
        <f>COUNTIFS(Bets3[Date],L49,Bets3[Result],"W")&amp;"-"&amp;COUNTIFS(Bets3[Date],L49,Bets3[Result],"L")&amp;IF(COUNTIFS(Bets3[Date],L49,Bets3[Result],"Push")&gt;0,"-"&amp;COUNTIFS(Bets3[Date],L49,Bets3[Result],"Push"),"")</f>
        <v>0-0</v>
      </c>
      <c r="N49" s="25" t="str">
        <f>IFERROR(COUNTIFS(Bets3[Date],L49,Bets3[Result],"W")/(COUNTIFS(Bets3[Date],L49,Bets3[Result],"W")+COUNTIFS(Bets3[Date],L49,Bets3[Result],"L")),"")</f>
        <v/>
      </c>
      <c r="O49" s="26">
        <f>SUMIF(Bets3[Date],L49,Bets3[Net])</f>
        <v>0</v>
      </c>
      <c r="P49" s="27" t="str">
        <f>IFERROR("("&amp;ROUND(SUMIF(Bets3[Date],L49,Bets3[Net])/SUMIF(Bets3[Date],L49,Bets3[Risk]),2)*100&amp;"%)","")</f>
        <v/>
      </c>
      <c r="Q49" s="72" t="str">
        <f t="shared" si="2"/>
        <v/>
      </c>
      <c r="R49" s="73" t="str">
        <f>IFERROR(SUMIF(Bets3[Date],"&lt;="&amp;L49,Bets3[Net])/SUMIF(Bets3[Date],"&lt;="&amp;L49,Bets3[Risk]),"")</f>
        <v/>
      </c>
    </row>
    <row r="50" spans="1:18" x14ac:dyDescent="0.25">
      <c r="A50" s="13">
        <f t="shared" si="0"/>
        <v>4</v>
      </c>
      <c r="B50" s="17">
        <v>43581</v>
      </c>
      <c r="C50" s="17" t="s">
        <v>802</v>
      </c>
      <c r="D50" s="18" t="s">
        <v>896</v>
      </c>
      <c r="E50" s="11" t="s">
        <v>897</v>
      </c>
      <c r="F50" s="19">
        <f>IF(Bets35[[#This Row],[Odds]]&lt;0,Bets35[[#This Row],[Odds]]/-10,1000/Bets3[[#This Row],[Odds]])</f>
        <v>12.4</v>
      </c>
      <c r="G50" s="37">
        <v>-124</v>
      </c>
      <c r="H50" s="21" t="s">
        <v>263</v>
      </c>
      <c r="I50" s="45">
        <f>IF(Bets3[[#This Row],[Result]]="L",0-Bets3[[#This Row],[Risk]],IF(Bets3[[#This Row],[Result]]="Push",0,IF(Bets3[[#This Row],[Result]]="No Action",0,IF(Bets3[[#This Row],[Result]]="W",IF(Bets3[[#This Row],[Odds]]&gt;0,Bets3[[#This Row],[Odds]]/100*Bets3[[#This Row],[Risk]],(Bets3[[#This Row],[Risk]]/Bets3[[#This Row],[Odds]]*-100)),""))))</f>
        <v>-12.4</v>
      </c>
      <c r="J50" s="23" t="str">
        <f>IF(ISNUMBER(SEARCH(CHAR(10),Bets3[[#This Row],[Bet]])),"P",IF(ISNUMBER(FIND("Under",Bets3[[#This Row],[Bet]])),"U",IF(ISNUMBER(SEARCH("Over",Bets3[[#This Row],[Bet]])),"O",IF(ISNUMBER(SEARCH("+",Bets3[[#This Row],[Bet]])),"D",IF(ISNUMBER(SEARCH("-",Bets3[[#This Row],[Bet]])),"F",IF(ISNUMBER(SEARCH("Moneyline",Bets3[[#This Row],[Bet]])),IF(Bets3[[#This Row],[Odds]]&lt;0,"MF","MD"),""))))))</f>
        <v>MF</v>
      </c>
      <c r="K50" s="22"/>
      <c r="L50" s="24">
        <f t="shared" si="1"/>
        <v>0</v>
      </c>
      <c r="M50" s="1" t="str">
        <f>COUNTIFS(Bets3[Date],L50,Bets3[Result],"W")&amp;"-"&amp;COUNTIFS(Bets3[Date],L50,Bets3[Result],"L")&amp;IF(COUNTIFS(Bets3[Date],L50,Bets3[Result],"Push")&gt;0,"-"&amp;COUNTIFS(Bets3[Date],L50,Bets3[Result],"Push"),"")</f>
        <v>0-0</v>
      </c>
      <c r="N50" s="25" t="str">
        <f>IFERROR(COUNTIFS(Bets3[Date],L50,Bets3[Result],"W")/(COUNTIFS(Bets3[Date],L50,Bets3[Result],"W")+COUNTIFS(Bets3[Date],L50,Bets3[Result],"L")),"")</f>
        <v/>
      </c>
      <c r="O50" s="26">
        <f>SUMIF(Bets3[Date],L50,Bets3[Net])</f>
        <v>0</v>
      </c>
      <c r="P50" s="27" t="str">
        <f>IFERROR("("&amp;ROUND(SUMIF(Bets3[Date],L50,Bets3[Net])/SUMIF(Bets3[Date],L50,Bets3[Risk]),2)*100&amp;"%)","")</f>
        <v/>
      </c>
      <c r="Q50" s="72" t="str">
        <f t="shared" si="2"/>
        <v/>
      </c>
      <c r="R50" s="73" t="str">
        <f>IFERROR(SUMIF(Bets3[Date],"&lt;="&amp;L50,Bets3[Net])/SUMIF(Bets3[Date],"&lt;="&amp;L50,Bets3[Risk]),"")</f>
        <v/>
      </c>
    </row>
    <row r="51" spans="1:18" x14ac:dyDescent="0.25">
      <c r="A51" s="13">
        <f t="shared" si="0"/>
        <v>4</v>
      </c>
      <c r="B51" s="17">
        <v>43581</v>
      </c>
      <c r="C51" s="17" t="s">
        <v>802</v>
      </c>
      <c r="D51" s="18" t="s">
        <v>898</v>
      </c>
      <c r="E51" s="11" t="s">
        <v>899</v>
      </c>
      <c r="F51" s="19">
        <f>IF(Bets35[[#This Row],[Odds]]&lt;0,Bets35[[#This Row],[Odds]]/-10,1000/Bets3[[#This Row],[Odds]])</f>
        <v>15.2</v>
      </c>
      <c r="G51" s="37">
        <v>-152</v>
      </c>
      <c r="H51" s="21" t="s">
        <v>263</v>
      </c>
      <c r="I51" s="45">
        <f>IF(Bets3[[#This Row],[Result]]="L",0-Bets3[[#This Row],[Risk]],IF(Bets3[[#This Row],[Result]]="Push",0,IF(Bets3[[#This Row],[Result]]="No Action",0,IF(Bets3[[#This Row],[Result]]="W",IF(Bets3[[#This Row],[Odds]]&gt;0,Bets3[[#This Row],[Odds]]/100*Bets3[[#This Row],[Risk]],(Bets3[[#This Row],[Risk]]/Bets3[[#This Row],[Odds]]*-100)),""))))</f>
        <v>-15.2</v>
      </c>
      <c r="J51" s="23" t="str">
        <f>IF(ISNUMBER(SEARCH(CHAR(10),Bets3[[#This Row],[Bet]])),"P",IF(ISNUMBER(FIND("Under",Bets3[[#This Row],[Bet]])),"U",IF(ISNUMBER(SEARCH("Over",Bets3[[#This Row],[Bet]])),"O",IF(ISNUMBER(SEARCH("+",Bets3[[#This Row],[Bet]])),"D",IF(ISNUMBER(SEARCH("-",Bets3[[#This Row],[Bet]])),"F",IF(ISNUMBER(SEARCH("Moneyline",Bets3[[#This Row],[Bet]])),IF(Bets3[[#This Row],[Odds]]&lt;0,"MF","MD"),""))))))</f>
        <v>MF</v>
      </c>
      <c r="K51" s="22"/>
      <c r="L51" s="24">
        <f t="shared" si="1"/>
        <v>0</v>
      </c>
      <c r="M51" s="1" t="str">
        <f>COUNTIFS(Bets3[Date],L51,Bets3[Result],"W")&amp;"-"&amp;COUNTIFS(Bets3[Date],L51,Bets3[Result],"L")&amp;IF(COUNTIFS(Bets3[Date],L51,Bets3[Result],"Push")&gt;0,"-"&amp;COUNTIFS(Bets3[Date],L51,Bets3[Result],"Push"),"")</f>
        <v>0-0</v>
      </c>
      <c r="N51" s="25" t="str">
        <f>IFERROR(COUNTIFS(Bets3[Date],L51,Bets3[Result],"W")/(COUNTIFS(Bets3[Date],L51,Bets3[Result],"W")+COUNTIFS(Bets3[Date],L51,Bets3[Result],"L")),"")</f>
        <v/>
      </c>
      <c r="O51" s="26">
        <f>SUMIF(Bets3[Date],L51,Bets3[Net])</f>
        <v>0</v>
      </c>
      <c r="P51" s="27" t="str">
        <f>IFERROR("("&amp;ROUND(SUMIF(Bets3[Date],L51,Bets3[Net])/SUMIF(Bets3[Date],L51,Bets3[Risk]),2)*100&amp;"%)","")</f>
        <v/>
      </c>
      <c r="Q51" s="72" t="str">
        <f t="shared" si="2"/>
        <v/>
      </c>
      <c r="R51" s="73" t="str">
        <f>IFERROR(SUMIF(Bets3[Date],"&lt;="&amp;L51,Bets3[Net])/SUMIF(Bets3[Date],"&lt;="&amp;L51,Bets3[Risk]),"")</f>
        <v/>
      </c>
    </row>
    <row r="52" spans="1:18" x14ac:dyDescent="0.25">
      <c r="A52" s="13">
        <f t="shared" si="0"/>
        <v>4</v>
      </c>
      <c r="B52" s="17">
        <v>43581</v>
      </c>
      <c r="C52" s="17" t="s">
        <v>802</v>
      </c>
      <c r="D52" s="18" t="s">
        <v>891</v>
      </c>
      <c r="E52" s="11" t="s">
        <v>836</v>
      </c>
      <c r="F52" s="19">
        <f>IF(Bets35[[#This Row],[Odds]]&lt;0,Bets35[[#This Row],[Odds]]/-10,1000/Bets3[[#This Row],[Odds]])</f>
        <v>15.7</v>
      </c>
      <c r="G52" s="37">
        <v>-157</v>
      </c>
      <c r="H52" s="21" t="s">
        <v>262</v>
      </c>
      <c r="I52" s="45">
        <f>IF(Bets3[[#This Row],[Result]]="L",0-Bets3[[#This Row],[Risk]],IF(Bets3[[#This Row],[Result]]="Push",0,IF(Bets3[[#This Row],[Result]]="No Action",0,IF(Bets3[[#This Row],[Result]]="W",IF(Bets3[[#This Row],[Odds]]&gt;0,Bets3[[#This Row],[Odds]]/100*Bets3[[#This Row],[Risk]],(Bets3[[#This Row],[Risk]]/Bets3[[#This Row],[Odds]]*-100)),""))))</f>
        <v>10</v>
      </c>
      <c r="J52" s="23" t="str">
        <f>IF(ISNUMBER(SEARCH(CHAR(10),Bets3[[#This Row],[Bet]])),"P",IF(ISNUMBER(FIND("Under",Bets3[[#This Row],[Bet]])),"U",IF(ISNUMBER(SEARCH("Over",Bets3[[#This Row],[Bet]])),"O",IF(ISNUMBER(SEARCH("+",Bets3[[#This Row],[Bet]])),"D",IF(ISNUMBER(SEARCH("-",Bets3[[#This Row],[Bet]])),"F",IF(ISNUMBER(SEARCH("Moneyline",Bets3[[#This Row],[Bet]])),IF(Bets3[[#This Row],[Odds]]&lt;0,"MF","MD"),""))))))</f>
        <v>MF</v>
      </c>
      <c r="K52" s="22"/>
      <c r="L52" s="24">
        <f t="shared" si="1"/>
        <v>0</v>
      </c>
      <c r="M52" s="1" t="str">
        <f>COUNTIFS(Bets3[Date],L52,Bets3[Result],"W")&amp;"-"&amp;COUNTIFS(Bets3[Date],L52,Bets3[Result],"L")&amp;IF(COUNTIFS(Bets3[Date],L52,Bets3[Result],"Push")&gt;0,"-"&amp;COUNTIFS(Bets3[Date],L52,Bets3[Result],"Push"),"")</f>
        <v>0-0</v>
      </c>
      <c r="N52" s="25" t="str">
        <f>IFERROR(COUNTIFS(Bets3[Date],L52,Bets3[Result],"W")/(COUNTIFS(Bets3[Date],L52,Bets3[Result],"W")+COUNTIFS(Bets3[Date],L52,Bets3[Result],"L")),"")</f>
        <v/>
      </c>
      <c r="O52" s="26">
        <f>SUMIF(Bets3[Date],L52,Bets3[Net])</f>
        <v>0</v>
      </c>
      <c r="P52" s="27" t="str">
        <f>IFERROR("("&amp;ROUND(SUMIF(Bets3[Date],L52,Bets3[Net])/SUMIF(Bets3[Date],L52,Bets3[Risk]),2)*100&amp;"%)","")</f>
        <v/>
      </c>
      <c r="Q52" s="72" t="str">
        <f t="shared" si="2"/>
        <v/>
      </c>
      <c r="R52" s="73" t="str">
        <f>IFERROR(SUMIF(Bets3[Date],"&lt;="&amp;L52,Bets3[Net])/SUMIF(Bets3[Date],"&lt;="&amp;L52,Bets3[Risk]),"")</f>
        <v/>
      </c>
    </row>
    <row r="53" spans="1:18" x14ac:dyDescent="0.25">
      <c r="A53" s="13">
        <f t="shared" si="0"/>
        <v>4</v>
      </c>
      <c r="B53" s="17">
        <v>43581</v>
      </c>
      <c r="C53" s="17" t="s">
        <v>802</v>
      </c>
      <c r="D53" s="18" t="s">
        <v>900</v>
      </c>
      <c r="E53" s="11" t="s">
        <v>832</v>
      </c>
      <c r="F53" s="19">
        <f>IF(Bets35[[#This Row],[Odds]]&lt;0,Bets35[[#This Row],[Odds]]/-10,1000/Bets3[[#This Row],[Odds]])</f>
        <v>13</v>
      </c>
      <c r="G53" s="37">
        <v>-130</v>
      </c>
      <c r="H53" s="21" t="s">
        <v>262</v>
      </c>
      <c r="I53" s="45">
        <f>IF(Bets3[[#This Row],[Result]]="L",0-Bets3[[#This Row],[Risk]],IF(Bets3[[#This Row],[Result]]="Push",0,IF(Bets3[[#This Row],[Result]]="No Action",0,IF(Bets3[[#This Row],[Result]]="W",IF(Bets3[[#This Row],[Odds]]&gt;0,Bets3[[#This Row],[Odds]]/100*Bets3[[#This Row],[Risk]],(Bets3[[#This Row],[Risk]]/Bets3[[#This Row],[Odds]]*-100)),""))))</f>
        <v>10</v>
      </c>
      <c r="J53" s="23" t="str">
        <f>IF(ISNUMBER(SEARCH(CHAR(10),Bets3[[#This Row],[Bet]])),"P",IF(ISNUMBER(FIND("Under",Bets3[[#This Row],[Bet]])),"U",IF(ISNUMBER(SEARCH("Over",Bets3[[#This Row],[Bet]])),"O",IF(ISNUMBER(SEARCH("+",Bets3[[#This Row],[Bet]])),"D",IF(ISNUMBER(SEARCH("-",Bets3[[#This Row],[Bet]])),"F",IF(ISNUMBER(SEARCH("Moneyline",Bets3[[#This Row],[Bet]])),IF(Bets3[[#This Row],[Odds]]&lt;0,"MF","MD"),""))))))</f>
        <v>MF</v>
      </c>
      <c r="K53" s="22"/>
      <c r="L53" s="24">
        <f t="shared" si="1"/>
        <v>0</v>
      </c>
      <c r="M53" s="1" t="str">
        <f>COUNTIFS(Bets3[Date],L53,Bets3[Result],"W")&amp;"-"&amp;COUNTIFS(Bets3[Date],L53,Bets3[Result],"L")&amp;IF(COUNTIFS(Bets3[Date],L53,Bets3[Result],"Push")&gt;0,"-"&amp;COUNTIFS(Bets3[Date],L53,Bets3[Result],"Push"),"")</f>
        <v>0-0</v>
      </c>
      <c r="N53" s="25" t="str">
        <f>IFERROR(COUNTIFS(Bets3[Date],L53,Bets3[Result],"W")/(COUNTIFS(Bets3[Date],L53,Bets3[Result],"W")+COUNTIFS(Bets3[Date],L53,Bets3[Result],"L")),"")</f>
        <v/>
      </c>
      <c r="O53" s="26">
        <f>SUMIF(Bets3[Date],L53,Bets3[Net])</f>
        <v>0</v>
      </c>
      <c r="P53" s="27" t="str">
        <f>IFERROR("("&amp;ROUND(SUMIF(Bets3[Date],L53,Bets3[Net])/SUMIF(Bets3[Date],L53,Bets3[Risk]),2)*100&amp;"%)","")</f>
        <v/>
      </c>
      <c r="Q53" s="72" t="str">
        <f t="shared" si="2"/>
        <v/>
      </c>
      <c r="R53" s="73" t="str">
        <f>IFERROR(SUMIF(Bets3[Date],"&lt;="&amp;L53,Bets3[Net])/SUMIF(Bets3[Date],"&lt;="&amp;L53,Bets3[Risk]),"")</f>
        <v/>
      </c>
    </row>
    <row r="54" spans="1:18" x14ac:dyDescent="0.25">
      <c r="A54" s="13">
        <f t="shared" si="0"/>
        <v>4</v>
      </c>
      <c r="B54" s="17">
        <v>43581</v>
      </c>
      <c r="C54" s="17" t="s">
        <v>802</v>
      </c>
      <c r="D54" s="18" t="s">
        <v>901</v>
      </c>
      <c r="E54" s="11" t="s">
        <v>902</v>
      </c>
      <c r="F54" s="19">
        <f>IF(Bets35[[#This Row],[Odds]]&lt;0,Bets35[[#This Row],[Odds]]/-10,1000/Bets3[[#This Row],[Odds]])</f>
        <v>11.5</v>
      </c>
      <c r="G54" s="37">
        <v>-115</v>
      </c>
      <c r="H54" s="21" t="s">
        <v>846</v>
      </c>
      <c r="I54" s="45">
        <f>IF(Bets3[[#This Row],[Result]]="L",0-Bets3[[#This Row],[Risk]],IF(Bets3[[#This Row],[Result]]="Push",0,IF(Bets3[[#This Row],[Result]]="No Action",0,IF(Bets3[[#This Row],[Result]]="W",IF(Bets3[[#This Row],[Odds]]&gt;0,Bets3[[#This Row],[Odds]]/100*Bets3[[#This Row],[Risk]],(Bets3[[#This Row],[Risk]]/Bets3[[#This Row],[Odds]]*-100)),""))))</f>
        <v>0</v>
      </c>
      <c r="J54" s="23" t="str">
        <f>IF(ISNUMBER(SEARCH(CHAR(10),Bets3[[#This Row],[Bet]])),"P",IF(ISNUMBER(FIND("Under",Bets3[[#This Row],[Bet]])),"U",IF(ISNUMBER(SEARCH("Over",Bets3[[#This Row],[Bet]])),"O",IF(ISNUMBER(SEARCH("+",Bets3[[#This Row],[Bet]])),"D",IF(ISNUMBER(SEARCH("-",Bets3[[#This Row],[Bet]])),"F",IF(ISNUMBER(SEARCH("Moneyline",Bets3[[#This Row],[Bet]])),IF(Bets3[[#This Row],[Odds]]&lt;0,"MF","MD"),""))))))</f>
        <v>O</v>
      </c>
      <c r="K54" s="22"/>
      <c r="L54" s="24">
        <f t="shared" si="1"/>
        <v>0</v>
      </c>
      <c r="M54" s="1" t="str">
        <f>COUNTIFS(Bets3[Date],L54,Bets3[Result],"W")&amp;"-"&amp;COUNTIFS(Bets3[Date],L54,Bets3[Result],"L")&amp;IF(COUNTIFS(Bets3[Date],L54,Bets3[Result],"Push")&gt;0,"-"&amp;COUNTIFS(Bets3[Date],L54,Bets3[Result],"Push"),"")</f>
        <v>0-0</v>
      </c>
      <c r="N54" s="25" t="str">
        <f>IFERROR(COUNTIFS(Bets3[Date],L54,Bets3[Result],"W")/(COUNTIFS(Bets3[Date],L54,Bets3[Result],"W")+COUNTIFS(Bets3[Date],L54,Bets3[Result],"L")),"")</f>
        <v/>
      </c>
      <c r="O54" s="26">
        <f>SUMIF(Bets3[Date],L54,Bets3[Net])</f>
        <v>0</v>
      </c>
      <c r="P54" s="27" t="str">
        <f>IFERROR("("&amp;ROUND(SUMIF(Bets3[Date],L54,Bets3[Net])/SUMIF(Bets3[Date],L54,Bets3[Risk]),2)*100&amp;"%)","")</f>
        <v/>
      </c>
      <c r="Q54" s="72" t="str">
        <f t="shared" si="2"/>
        <v/>
      </c>
      <c r="R54" s="73" t="str">
        <f>IFERROR(SUMIF(Bets3[Date],"&lt;="&amp;L54,Bets3[Net])/SUMIF(Bets3[Date],"&lt;="&amp;L54,Bets3[Risk]),"")</f>
        <v/>
      </c>
    </row>
    <row r="55" spans="1:18" x14ac:dyDescent="0.25">
      <c r="A55" s="13">
        <f t="shared" si="0"/>
        <v>4</v>
      </c>
      <c r="B55" s="17">
        <v>43581</v>
      </c>
      <c r="C55" s="17" t="s">
        <v>802</v>
      </c>
      <c r="D55" s="18" t="s">
        <v>903</v>
      </c>
      <c r="E55" s="11" t="s">
        <v>841</v>
      </c>
      <c r="F55" s="19">
        <f>IF(Bets35[[#This Row],[Odds]]&lt;0,Bets35[[#This Row],[Odds]]/-10,1000/Bets3[[#This Row],[Odds]])</f>
        <v>9.5238095238095237</v>
      </c>
      <c r="G55" s="37">
        <v>105</v>
      </c>
      <c r="H55" s="21" t="s">
        <v>262</v>
      </c>
      <c r="I55" s="45">
        <f>IF(Bets3[[#This Row],[Result]]="L",0-Bets3[[#This Row],[Risk]],IF(Bets3[[#This Row],[Result]]="Push",0,IF(Bets3[[#This Row],[Result]]="No Action",0,IF(Bets3[[#This Row],[Result]]="W",IF(Bets3[[#This Row],[Odds]]&gt;0,Bets3[[#This Row],[Odds]]/100*Bets3[[#This Row],[Risk]],(Bets3[[#This Row],[Risk]]/Bets3[[#This Row],[Odds]]*-100)),""))))</f>
        <v>10</v>
      </c>
      <c r="J55" s="23" t="str">
        <f>IF(ISNUMBER(SEARCH(CHAR(10),Bets3[[#This Row],[Bet]])),"P",IF(ISNUMBER(FIND("Under",Bets3[[#This Row],[Bet]])),"U",IF(ISNUMBER(SEARCH("Over",Bets3[[#This Row],[Bet]])),"O",IF(ISNUMBER(SEARCH("+",Bets3[[#This Row],[Bet]])),"D",IF(ISNUMBER(SEARCH("-",Bets3[[#This Row],[Bet]])),"F",IF(ISNUMBER(SEARCH("Moneyline",Bets3[[#This Row],[Bet]])),IF(Bets3[[#This Row],[Odds]]&lt;0,"MF","MD"),""))))))</f>
        <v>O</v>
      </c>
      <c r="K55" s="22"/>
      <c r="L55" s="24">
        <f t="shared" si="1"/>
        <v>0</v>
      </c>
      <c r="M55" s="1" t="str">
        <f>COUNTIFS(Bets3[Date],L55,Bets3[Result],"W")&amp;"-"&amp;COUNTIFS(Bets3[Date],L55,Bets3[Result],"L")&amp;IF(COUNTIFS(Bets3[Date],L55,Bets3[Result],"Push")&gt;0,"-"&amp;COUNTIFS(Bets3[Date],L55,Bets3[Result],"Push"),"")</f>
        <v>0-0</v>
      </c>
      <c r="N55" s="25" t="str">
        <f>IFERROR(COUNTIFS(Bets3[Date],L55,Bets3[Result],"W")/(COUNTIFS(Bets3[Date],L55,Bets3[Result],"W")+COUNTIFS(Bets3[Date],L55,Bets3[Result],"L")),"")</f>
        <v/>
      </c>
      <c r="O55" s="26">
        <f>SUMIF(Bets3[Date],L55,Bets3[Net])</f>
        <v>0</v>
      </c>
      <c r="P55" s="27" t="str">
        <f>IFERROR("("&amp;ROUND(SUMIF(Bets3[Date],L55,Bets3[Net])/SUMIF(Bets3[Date],L55,Bets3[Risk]),2)*100&amp;"%)","")</f>
        <v/>
      </c>
      <c r="Q55" s="72" t="str">
        <f t="shared" si="2"/>
        <v/>
      </c>
      <c r="R55" s="73" t="str">
        <f>IFERROR(SUMIF(Bets3[Date],"&lt;="&amp;L55,Bets3[Net])/SUMIF(Bets3[Date],"&lt;="&amp;L55,Bets3[Risk]),"")</f>
        <v/>
      </c>
    </row>
    <row r="56" spans="1:18" x14ac:dyDescent="0.25">
      <c r="A56" s="13">
        <f t="shared" si="0"/>
        <v>4</v>
      </c>
      <c r="B56" s="17">
        <v>43581</v>
      </c>
      <c r="C56" s="17" t="s">
        <v>802</v>
      </c>
      <c r="D56" s="18" t="s">
        <v>904</v>
      </c>
      <c r="E56" s="11" t="s">
        <v>905</v>
      </c>
      <c r="F56" s="19">
        <f>IF(Bets35[[#This Row],[Odds]]&lt;0,Bets35[[#This Row],[Odds]]/-10,1000/Bets3[[#This Row],[Odds]])</f>
        <v>12.5</v>
      </c>
      <c r="G56" s="37">
        <v>-125</v>
      </c>
      <c r="H56" s="21" t="s">
        <v>263</v>
      </c>
      <c r="I56" s="45">
        <f>IF(Bets3[[#This Row],[Result]]="L",0-Bets3[[#This Row],[Risk]],IF(Bets3[[#This Row],[Result]]="Push",0,IF(Bets3[[#This Row],[Result]]="No Action",0,IF(Bets3[[#This Row],[Result]]="W",IF(Bets3[[#This Row],[Odds]]&gt;0,Bets3[[#This Row],[Odds]]/100*Bets3[[#This Row],[Risk]],(Bets3[[#This Row],[Risk]]/Bets3[[#This Row],[Odds]]*-100)),""))))</f>
        <v>-12.5</v>
      </c>
      <c r="J56" s="23" t="str">
        <f>IF(ISNUMBER(SEARCH(CHAR(10),Bets3[[#This Row],[Bet]])),"P",IF(ISNUMBER(FIND("Under",Bets3[[#This Row],[Bet]])),"U",IF(ISNUMBER(SEARCH("Over",Bets3[[#This Row],[Bet]])),"O",IF(ISNUMBER(SEARCH("+",Bets3[[#This Row],[Bet]])),"D",IF(ISNUMBER(SEARCH("-",Bets3[[#This Row],[Bet]])),"F",IF(ISNUMBER(SEARCH("Moneyline",Bets3[[#This Row],[Bet]])),IF(Bets3[[#This Row],[Odds]]&lt;0,"MF","MD"),""))))))</f>
        <v>O</v>
      </c>
      <c r="K56" s="22"/>
      <c r="L56" s="24">
        <f t="shared" si="1"/>
        <v>0</v>
      </c>
      <c r="M56" s="1" t="str">
        <f>COUNTIFS(Bets3[Date],L56,Bets3[Result],"W")&amp;"-"&amp;COUNTIFS(Bets3[Date],L56,Bets3[Result],"L")&amp;IF(COUNTIFS(Bets3[Date],L56,Bets3[Result],"Push")&gt;0,"-"&amp;COUNTIFS(Bets3[Date],L56,Bets3[Result],"Push"),"")</f>
        <v>0-0</v>
      </c>
      <c r="N56" s="25" t="str">
        <f>IFERROR(COUNTIFS(Bets3[Date],L56,Bets3[Result],"W")/(COUNTIFS(Bets3[Date],L56,Bets3[Result],"W")+COUNTIFS(Bets3[Date],L56,Bets3[Result],"L")),"")</f>
        <v/>
      </c>
      <c r="O56" s="26">
        <f>SUMIF(Bets3[Date],L56,Bets3[Net])</f>
        <v>0</v>
      </c>
      <c r="P56" s="27" t="str">
        <f>IFERROR("("&amp;ROUND(SUMIF(Bets3[Date],L56,Bets3[Net])/SUMIF(Bets3[Date],L56,Bets3[Risk]),2)*100&amp;"%)","")</f>
        <v/>
      </c>
      <c r="Q56" s="72" t="str">
        <f t="shared" si="2"/>
        <v/>
      </c>
      <c r="R56" s="73" t="str">
        <f>IFERROR(SUMIF(Bets3[Date],"&lt;="&amp;L56,Bets3[Net])/SUMIF(Bets3[Date],"&lt;="&amp;L56,Bets3[Risk]),"")</f>
        <v/>
      </c>
    </row>
    <row r="57" spans="1:18" x14ac:dyDescent="0.25">
      <c r="A57" s="13">
        <f t="shared" si="0"/>
        <v>4</v>
      </c>
      <c r="B57" s="17">
        <v>43581</v>
      </c>
      <c r="C57" s="17" t="s">
        <v>802</v>
      </c>
      <c r="D57" s="18" t="s">
        <v>891</v>
      </c>
      <c r="E57" s="11" t="s">
        <v>905</v>
      </c>
      <c r="F57" s="19">
        <f>IF(Bets35[[#This Row],[Odds]]&lt;0,Bets35[[#This Row],[Odds]]/-10,1000/Bets3[[#This Row],[Odds]])</f>
        <v>11.5</v>
      </c>
      <c r="G57" s="37">
        <v>-115</v>
      </c>
      <c r="H57" s="21" t="s">
        <v>846</v>
      </c>
      <c r="I57" s="45">
        <f>IF(Bets3[[#This Row],[Result]]="L",0-Bets3[[#This Row],[Risk]],IF(Bets3[[#This Row],[Result]]="Push",0,IF(Bets3[[#This Row],[Result]]="No Action",0,IF(Bets3[[#This Row],[Result]]="W",IF(Bets3[[#This Row],[Odds]]&gt;0,Bets3[[#This Row],[Odds]]/100*Bets3[[#This Row],[Risk]],(Bets3[[#This Row],[Risk]]/Bets3[[#This Row],[Odds]]*-100)),""))))</f>
        <v>0</v>
      </c>
      <c r="J57" s="23" t="str">
        <f>IF(ISNUMBER(SEARCH(CHAR(10),Bets3[[#This Row],[Bet]])),"P",IF(ISNUMBER(FIND("Under",Bets3[[#This Row],[Bet]])),"U",IF(ISNUMBER(SEARCH("Over",Bets3[[#This Row],[Bet]])),"O",IF(ISNUMBER(SEARCH("+",Bets3[[#This Row],[Bet]])),"D",IF(ISNUMBER(SEARCH("-",Bets3[[#This Row],[Bet]])),"F",IF(ISNUMBER(SEARCH("Moneyline",Bets3[[#This Row],[Bet]])),IF(Bets3[[#This Row],[Odds]]&lt;0,"MF","MD"),""))))))</f>
        <v>O</v>
      </c>
      <c r="K57" s="22"/>
      <c r="L57" s="24">
        <f t="shared" si="1"/>
        <v>0</v>
      </c>
      <c r="M57" s="1" t="str">
        <f>COUNTIFS(Bets3[Date],L57,Bets3[Result],"W")&amp;"-"&amp;COUNTIFS(Bets3[Date],L57,Bets3[Result],"L")&amp;IF(COUNTIFS(Bets3[Date],L57,Bets3[Result],"Push")&gt;0,"-"&amp;COUNTIFS(Bets3[Date],L57,Bets3[Result],"Push"),"")</f>
        <v>0-0</v>
      </c>
      <c r="N57" s="25" t="str">
        <f>IFERROR(COUNTIFS(Bets3[Date],L57,Bets3[Result],"W")/(COUNTIFS(Bets3[Date],L57,Bets3[Result],"W")+COUNTIFS(Bets3[Date],L57,Bets3[Result],"L")),"")</f>
        <v/>
      </c>
      <c r="O57" s="26">
        <f>SUMIF(Bets3[Date],L57,Bets3[Net])</f>
        <v>0</v>
      </c>
      <c r="P57" s="27" t="str">
        <f>IFERROR("("&amp;ROUND(SUMIF(Bets3[Date],L57,Bets3[Net])/SUMIF(Bets3[Date],L57,Bets3[Risk]),2)*100&amp;"%)","")</f>
        <v/>
      </c>
      <c r="Q57" s="72" t="str">
        <f t="shared" si="2"/>
        <v/>
      </c>
      <c r="R57" s="73" t="str">
        <f>IFERROR(SUMIF(Bets3[Date],"&lt;="&amp;L57,Bets3[Net])/SUMIF(Bets3[Date],"&lt;="&amp;L57,Bets3[Risk]),"")</f>
        <v/>
      </c>
    </row>
    <row r="58" spans="1:18" x14ac:dyDescent="0.25">
      <c r="A58" s="13">
        <f t="shared" si="0"/>
        <v>5</v>
      </c>
      <c r="B58" s="17">
        <v>43584</v>
      </c>
      <c r="C58" s="17" t="s">
        <v>802</v>
      </c>
      <c r="D58" s="18" t="s">
        <v>926</v>
      </c>
      <c r="E58" s="11" t="s">
        <v>830</v>
      </c>
      <c r="F58" s="19">
        <f>IF(Bets35[[#This Row],[Odds]]&lt;0,Bets35[[#This Row],[Odds]]/-10,1000/Bets3[[#This Row],[Odds]])</f>
        <v>7.1428571428571432</v>
      </c>
      <c r="G58" s="37" t="s">
        <v>934</v>
      </c>
      <c r="H58" s="21" t="s">
        <v>263</v>
      </c>
      <c r="I58" s="45">
        <f>IF(Bets3[[#This Row],[Result]]="L",0-Bets3[[#This Row],[Risk]],IF(Bets3[[#This Row],[Result]]="Push",0,IF(Bets3[[#This Row],[Result]]="No Action",0,IF(Bets3[[#This Row],[Result]]="W",IF(Bets3[[#This Row],[Odds]]&gt;0,Bets3[[#This Row],[Odds]]/100*Bets3[[#This Row],[Risk]],(Bets3[[#This Row],[Risk]]/Bets3[[#This Row],[Odds]]*-100)),""))))</f>
        <v>-7.1428571428571432</v>
      </c>
      <c r="J58" s="23" t="str">
        <f>IF(ISNUMBER(SEARCH(CHAR(10),Bets3[[#This Row],[Bet]])),"P",IF(ISNUMBER(FIND("Under",Bets3[[#This Row],[Bet]])),"U",IF(ISNUMBER(SEARCH("Over",Bets3[[#This Row],[Bet]])),"O",IF(ISNUMBER(SEARCH("+",Bets3[[#This Row],[Bet]])),"D",IF(ISNUMBER(SEARCH("-",Bets3[[#This Row],[Bet]])),"F",IF(ISNUMBER(SEARCH("Moneyline",Bets3[[#This Row],[Bet]])),IF(Bets3[[#This Row],[Odds]]&lt;0,"MF","MD"),""))))))</f>
        <v>MD</v>
      </c>
      <c r="K58" s="22"/>
      <c r="L58" s="24">
        <f t="shared" si="1"/>
        <v>0</v>
      </c>
      <c r="M58" s="1" t="str">
        <f>COUNTIFS(Bets3[Date],L58,Bets3[Result],"W")&amp;"-"&amp;COUNTIFS(Bets3[Date],L58,Bets3[Result],"L")&amp;IF(COUNTIFS(Bets3[Date],L58,Bets3[Result],"Push")&gt;0,"-"&amp;COUNTIFS(Bets3[Date],L58,Bets3[Result],"Push"),"")</f>
        <v>0-0</v>
      </c>
      <c r="N58" s="25" t="str">
        <f>IFERROR(COUNTIFS(Bets3[Date],L58,Bets3[Result],"W")/(COUNTIFS(Bets3[Date],L58,Bets3[Result],"W")+COUNTIFS(Bets3[Date],L58,Bets3[Result],"L")),"")</f>
        <v/>
      </c>
      <c r="O58" s="26">
        <f>SUMIF(Bets3[Date],L58,Bets3[Net])</f>
        <v>0</v>
      </c>
      <c r="P58" s="27" t="str">
        <f>IFERROR("("&amp;ROUND(SUMIF(Bets3[Date],L58,Bets3[Net])/SUMIF(Bets3[Date],L58,Bets3[Risk]),2)*100&amp;"%)","")</f>
        <v/>
      </c>
      <c r="Q58" s="72" t="str">
        <f t="shared" si="2"/>
        <v/>
      </c>
      <c r="R58" s="73" t="str">
        <f>IFERROR(SUMIF(Bets3[Date],"&lt;="&amp;L58,Bets3[Net])/SUMIF(Bets3[Date],"&lt;="&amp;L58,Bets3[Risk]),"")</f>
        <v/>
      </c>
    </row>
    <row r="59" spans="1:18" x14ac:dyDescent="0.25">
      <c r="A59" s="13">
        <f t="shared" si="0"/>
        <v>5</v>
      </c>
      <c r="B59" s="17">
        <v>43584</v>
      </c>
      <c r="C59" s="17" t="s">
        <v>802</v>
      </c>
      <c r="D59" s="18" t="s">
        <v>925</v>
      </c>
      <c r="E59" s="11" t="s">
        <v>834</v>
      </c>
      <c r="F59" s="19">
        <f>IF(Bets35[[#This Row],[Odds]]&lt;0,Bets35[[#This Row],[Odds]]/-10,1000/Bets3[[#This Row],[Odds]])</f>
        <v>15.5</v>
      </c>
      <c r="G59" s="37">
        <v>-155</v>
      </c>
      <c r="H59" s="21" t="s">
        <v>263</v>
      </c>
      <c r="I59" s="45">
        <f>IF(Bets3[[#This Row],[Result]]="L",0-Bets3[[#This Row],[Risk]],IF(Bets3[[#This Row],[Result]]="Push",0,IF(Bets3[[#This Row],[Result]]="No Action",0,IF(Bets3[[#This Row],[Result]]="W",IF(Bets3[[#This Row],[Odds]]&gt;0,Bets3[[#This Row],[Odds]]/100*Bets3[[#This Row],[Risk]],(Bets3[[#This Row],[Risk]]/Bets3[[#This Row],[Odds]]*-100)),""))))</f>
        <v>-15.5</v>
      </c>
      <c r="J59" s="23" t="str">
        <f>IF(ISNUMBER(SEARCH(CHAR(10),Bets3[[#This Row],[Bet]])),"P",IF(ISNUMBER(FIND("Under",Bets3[[#This Row],[Bet]])),"U",IF(ISNUMBER(SEARCH("Over",Bets3[[#This Row],[Bet]])),"O",IF(ISNUMBER(SEARCH("+",Bets3[[#This Row],[Bet]])),"D",IF(ISNUMBER(SEARCH("-",Bets3[[#This Row],[Bet]])),"F",IF(ISNUMBER(SEARCH("Moneyline",Bets3[[#This Row],[Bet]])),IF(Bets3[[#This Row],[Odds]]&lt;0,"MF","MD"),""))))))</f>
        <v>MF</v>
      </c>
      <c r="K59" s="22"/>
      <c r="L59" s="24">
        <f t="shared" si="1"/>
        <v>0</v>
      </c>
      <c r="M59" s="1" t="str">
        <f>COUNTIFS(Bets3[Date],L59,Bets3[Result],"W")&amp;"-"&amp;COUNTIFS(Bets3[Date],L59,Bets3[Result],"L")&amp;IF(COUNTIFS(Bets3[Date],L59,Bets3[Result],"Push")&gt;0,"-"&amp;COUNTIFS(Bets3[Date],L59,Bets3[Result],"Push"),"")</f>
        <v>0-0</v>
      </c>
      <c r="N59" s="25" t="str">
        <f>IFERROR(COUNTIFS(Bets3[Date],L59,Bets3[Result],"W")/(COUNTIFS(Bets3[Date],L59,Bets3[Result],"W")+COUNTIFS(Bets3[Date],L59,Bets3[Result],"L")),"")</f>
        <v/>
      </c>
      <c r="O59" s="26">
        <f>SUMIF(Bets3[Date],L59,Bets3[Net])</f>
        <v>0</v>
      </c>
      <c r="P59" s="27" t="str">
        <f>IFERROR("("&amp;ROUND(SUMIF(Bets3[Date],L59,Bets3[Net])/SUMIF(Bets3[Date],L59,Bets3[Risk]),2)*100&amp;"%)","")</f>
        <v/>
      </c>
      <c r="Q59" s="72" t="str">
        <f t="shared" si="2"/>
        <v/>
      </c>
      <c r="R59" s="73" t="str">
        <f>IFERROR(SUMIF(Bets3[Date],"&lt;="&amp;L59,Bets3[Net])/SUMIF(Bets3[Date],"&lt;="&amp;L59,Bets3[Risk]),"")</f>
        <v/>
      </c>
    </row>
    <row r="60" spans="1:18" x14ac:dyDescent="0.25">
      <c r="A60" s="13">
        <f t="shared" si="0"/>
        <v>5</v>
      </c>
      <c r="B60" s="17">
        <v>43584</v>
      </c>
      <c r="C60" s="17" t="s">
        <v>802</v>
      </c>
      <c r="D60" s="18" t="s">
        <v>932</v>
      </c>
      <c r="E60" s="11" t="s">
        <v>815</v>
      </c>
      <c r="F60" s="19">
        <f>IF(Bets35[[#This Row],[Odds]]&lt;0,Bets35[[#This Row],[Odds]]/-10,1000/Bets3[[#This Row],[Odds]])</f>
        <v>8.3333333333333339</v>
      </c>
      <c r="G60" s="37" t="s">
        <v>817</v>
      </c>
      <c r="H60" s="21" t="s">
        <v>262</v>
      </c>
      <c r="I60" s="45">
        <f>IF(Bets3[[#This Row],[Result]]="L",0-Bets3[[#This Row],[Risk]],IF(Bets3[[#This Row],[Result]]="Push",0,IF(Bets3[[#This Row],[Result]]="No Action",0,IF(Bets3[[#This Row],[Result]]="W",IF(Bets3[[#This Row],[Odds]]&gt;0,Bets3[[#This Row],[Odds]]/100*Bets3[[#This Row],[Risk]],(Bets3[[#This Row],[Risk]]/Bets3[[#This Row],[Odds]]*-100)),""))))</f>
        <v>10</v>
      </c>
      <c r="J60" s="23" t="str">
        <f>IF(ISNUMBER(SEARCH(CHAR(10),Bets3[[#This Row],[Bet]])),"P",IF(ISNUMBER(FIND("Under",Bets3[[#This Row],[Bet]])),"U",IF(ISNUMBER(SEARCH("Over",Bets3[[#This Row],[Bet]])),"O",IF(ISNUMBER(SEARCH("+",Bets3[[#This Row],[Bet]])),"D",IF(ISNUMBER(SEARCH("-",Bets3[[#This Row],[Bet]])),"F",IF(ISNUMBER(SEARCH("Moneyline",Bets3[[#This Row],[Bet]])),IF(Bets3[[#This Row],[Odds]]&lt;0,"MF","MD"),""))))))</f>
        <v>MD</v>
      </c>
      <c r="K60" s="22"/>
      <c r="L60" s="24">
        <f t="shared" si="1"/>
        <v>0</v>
      </c>
      <c r="M60" s="1" t="str">
        <f>COUNTIFS(Bets3[Date],L60,Bets3[Result],"W")&amp;"-"&amp;COUNTIFS(Bets3[Date],L60,Bets3[Result],"L")&amp;IF(COUNTIFS(Bets3[Date],L60,Bets3[Result],"Push")&gt;0,"-"&amp;COUNTIFS(Bets3[Date],L60,Bets3[Result],"Push"),"")</f>
        <v>0-0</v>
      </c>
      <c r="N60" s="25" t="str">
        <f>IFERROR(COUNTIFS(Bets3[Date],L60,Bets3[Result],"W")/(COUNTIFS(Bets3[Date],L60,Bets3[Result],"W")+COUNTIFS(Bets3[Date],L60,Bets3[Result],"L")),"")</f>
        <v/>
      </c>
      <c r="O60" s="26">
        <f>SUMIF(Bets3[Date],L60,Bets3[Net])</f>
        <v>0</v>
      </c>
      <c r="P60" s="27" t="str">
        <f>IFERROR("("&amp;ROUND(SUMIF(Bets3[Date],L60,Bets3[Net])/SUMIF(Bets3[Date],L60,Bets3[Risk]),2)*100&amp;"%)","")</f>
        <v/>
      </c>
      <c r="Q60" s="72" t="str">
        <f t="shared" si="2"/>
        <v/>
      </c>
      <c r="R60" s="73" t="str">
        <f>IFERROR(SUMIF(Bets3[Date],"&lt;="&amp;L60,Bets3[Net])/SUMIF(Bets3[Date],"&lt;="&amp;L60,Bets3[Risk]),"")</f>
        <v/>
      </c>
    </row>
    <row r="61" spans="1:18" x14ac:dyDescent="0.25">
      <c r="A61" s="13">
        <f t="shared" si="0"/>
        <v>5</v>
      </c>
      <c r="B61" s="17">
        <v>43584</v>
      </c>
      <c r="C61" s="17" t="s">
        <v>802</v>
      </c>
      <c r="D61" s="18" t="s">
        <v>928</v>
      </c>
      <c r="E61" s="11" t="s">
        <v>809</v>
      </c>
      <c r="F61" s="19">
        <f>IF(Bets35[[#This Row],[Odds]]&lt;0,Bets35[[#This Row],[Odds]]/-10,1000/Bets3[[#This Row],[Odds]])</f>
        <v>6.0606060606060606</v>
      </c>
      <c r="G61" s="37" t="s">
        <v>871</v>
      </c>
      <c r="H61" s="21" t="s">
        <v>262</v>
      </c>
      <c r="I61" s="45">
        <f>IF(Bets3[[#This Row],[Result]]="L",0-Bets3[[#This Row],[Risk]],IF(Bets3[[#This Row],[Result]]="Push",0,IF(Bets3[[#This Row],[Result]]="No Action",0,IF(Bets3[[#This Row],[Result]]="W",IF(Bets3[[#This Row],[Odds]]&gt;0,Bets3[[#This Row],[Odds]]/100*Bets3[[#This Row],[Risk]],(Bets3[[#This Row],[Risk]]/Bets3[[#This Row],[Odds]]*-100)),""))))</f>
        <v>10</v>
      </c>
      <c r="J61" s="23" t="str">
        <f>IF(ISNUMBER(SEARCH(CHAR(10),Bets3[[#This Row],[Bet]])),"P",IF(ISNUMBER(FIND("Under",Bets3[[#This Row],[Bet]])),"U",IF(ISNUMBER(SEARCH("Over",Bets3[[#This Row],[Bet]])),"O",IF(ISNUMBER(SEARCH("+",Bets3[[#This Row],[Bet]])),"D",IF(ISNUMBER(SEARCH("-",Bets3[[#This Row],[Bet]])),"F",IF(ISNUMBER(SEARCH("Moneyline",Bets3[[#This Row],[Bet]])),IF(Bets3[[#This Row],[Odds]]&lt;0,"MF","MD"),""))))))</f>
        <v>MD</v>
      </c>
      <c r="K61" s="22"/>
      <c r="L61" s="24">
        <f t="shared" si="1"/>
        <v>0</v>
      </c>
      <c r="M61" s="1" t="str">
        <f>COUNTIFS(Bets3[Date],L61,Bets3[Result],"W")&amp;"-"&amp;COUNTIFS(Bets3[Date],L61,Bets3[Result],"L")&amp;IF(COUNTIFS(Bets3[Date],L61,Bets3[Result],"Push")&gt;0,"-"&amp;COUNTIFS(Bets3[Date],L61,Bets3[Result],"Push"),"")</f>
        <v>0-0</v>
      </c>
      <c r="N61" s="25" t="str">
        <f>IFERROR(COUNTIFS(Bets3[Date],L61,Bets3[Result],"W")/(COUNTIFS(Bets3[Date],L61,Bets3[Result],"W")+COUNTIFS(Bets3[Date],L61,Bets3[Result],"L")),"")</f>
        <v/>
      </c>
      <c r="O61" s="26">
        <f>SUMIF(Bets3[Date],L61,Bets3[Net])</f>
        <v>0</v>
      </c>
      <c r="P61" s="27" t="str">
        <f>IFERROR("("&amp;ROUND(SUMIF(Bets3[Date],L61,Bets3[Net])/SUMIF(Bets3[Date],L61,Bets3[Risk]),2)*100&amp;"%)","")</f>
        <v/>
      </c>
      <c r="Q61" s="72" t="str">
        <f t="shared" si="2"/>
        <v/>
      </c>
      <c r="R61" s="73" t="str">
        <f>IFERROR(SUMIF(Bets3[Date],"&lt;="&amp;L61,Bets3[Net])/SUMIF(Bets3[Date],"&lt;="&amp;L61,Bets3[Risk]),"")</f>
        <v/>
      </c>
    </row>
    <row r="62" spans="1:18" x14ac:dyDescent="0.25">
      <c r="A62" s="13">
        <f t="shared" si="0"/>
        <v>5</v>
      </c>
      <c r="B62" s="17">
        <v>43584</v>
      </c>
      <c r="C62" s="17" t="s">
        <v>802</v>
      </c>
      <c r="D62" s="18" t="s">
        <v>930</v>
      </c>
      <c r="E62" s="11" t="s">
        <v>819</v>
      </c>
      <c r="F62" s="19">
        <f>IF(Bets35[[#This Row],[Odds]]&lt;0,Bets35[[#This Row],[Odds]]/-10,1000/Bets3[[#This Row],[Odds]])</f>
        <v>8.695652173913043</v>
      </c>
      <c r="G62" s="37" t="s">
        <v>828</v>
      </c>
      <c r="H62" s="21" t="s">
        <v>262</v>
      </c>
      <c r="I62" s="45">
        <f>IF(Bets3[[#This Row],[Result]]="L",0-Bets3[[#This Row],[Risk]],IF(Bets3[[#This Row],[Result]]="Push",0,IF(Bets3[[#This Row],[Result]]="No Action",0,IF(Bets3[[#This Row],[Result]]="W",IF(Bets3[[#This Row],[Odds]]&gt;0,Bets3[[#This Row],[Odds]]/100*Bets3[[#This Row],[Risk]],(Bets3[[#This Row],[Risk]]/Bets3[[#This Row],[Odds]]*-100)),""))))</f>
        <v>9.9999999999999982</v>
      </c>
      <c r="J62" s="23" t="str">
        <f>IF(ISNUMBER(SEARCH(CHAR(10),Bets3[[#This Row],[Bet]])),"P",IF(ISNUMBER(FIND("Under",Bets3[[#This Row],[Bet]])),"U",IF(ISNUMBER(SEARCH("Over",Bets3[[#This Row],[Bet]])),"O",IF(ISNUMBER(SEARCH("+",Bets3[[#This Row],[Bet]])),"D",IF(ISNUMBER(SEARCH("-",Bets3[[#This Row],[Bet]])),"F",IF(ISNUMBER(SEARCH("Moneyline",Bets3[[#This Row],[Bet]])),IF(Bets3[[#This Row],[Odds]]&lt;0,"MF","MD"),""))))))</f>
        <v>MD</v>
      </c>
      <c r="K62" s="22"/>
      <c r="L62" s="24">
        <f t="shared" si="1"/>
        <v>0</v>
      </c>
      <c r="M62" s="1" t="str">
        <f>COUNTIFS(Bets3[Date],L62,Bets3[Result],"W")&amp;"-"&amp;COUNTIFS(Bets3[Date],L62,Bets3[Result],"L")&amp;IF(COUNTIFS(Bets3[Date],L62,Bets3[Result],"Push")&gt;0,"-"&amp;COUNTIFS(Bets3[Date],L62,Bets3[Result],"Push"),"")</f>
        <v>0-0</v>
      </c>
      <c r="N62" s="25" t="str">
        <f>IFERROR(COUNTIFS(Bets3[Date],L62,Bets3[Result],"W")/(COUNTIFS(Bets3[Date],L62,Bets3[Result],"W")+COUNTIFS(Bets3[Date],L62,Bets3[Result],"L")),"")</f>
        <v/>
      </c>
      <c r="O62" s="26">
        <f>SUMIF(Bets3[Date],L62,Bets3[Net])</f>
        <v>0</v>
      </c>
      <c r="P62" s="27" t="str">
        <f>IFERROR("("&amp;ROUND(SUMIF(Bets3[Date],L62,Bets3[Net])/SUMIF(Bets3[Date],L62,Bets3[Risk]),2)*100&amp;"%)","")</f>
        <v/>
      </c>
      <c r="Q62" s="72" t="str">
        <f t="shared" si="2"/>
        <v/>
      </c>
      <c r="R62" s="73" t="str">
        <f>IFERROR(SUMIF(Bets3[Date],"&lt;="&amp;L62,Bets3[Net])/SUMIF(Bets3[Date],"&lt;="&amp;L62,Bets3[Risk]),"")</f>
        <v/>
      </c>
    </row>
    <row r="63" spans="1:18" x14ac:dyDescent="0.25">
      <c r="A63" s="13">
        <f t="shared" si="0"/>
        <v>5</v>
      </c>
      <c r="B63" s="17">
        <v>43584</v>
      </c>
      <c r="C63" s="17" t="s">
        <v>802</v>
      </c>
      <c r="D63" s="18" t="s">
        <v>935</v>
      </c>
      <c r="E63" s="11" t="s">
        <v>827</v>
      </c>
      <c r="F63" s="19">
        <f>IF(Bets35[[#This Row],[Odds]]&lt;0,Bets35[[#This Row],[Odds]]/-10,1000/Bets3[[#This Row],[Odds]])</f>
        <v>9.0909090909090917</v>
      </c>
      <c r="G63" s="37" t="s">
        <v>886</v>
      </c>
      <c r="H63" s="21" t="s">
        <v>263</v>
      </c>
      <c r="I63" s="45">
        <f>IF(Bets3[[#This Row],[Result]]="L",0-Bets3[[#This Row],[Risk]],IF(Bets3[[#This Row],[Result]]="Push",0,IF(Bets3[[#This Row],[Result]]="No Action",0,IF(Bets3[[#This Row],[Result]]="W",IF(Bets3[[#This Row],[Odds]]&gt;0,Bets3[[#This Row],[Odds]]/100*Bets3[[#This Row],[Risk]],(Bets3[[#This Row],[Risk]]/Bets3[[#This Row],[Odds]]*-100)),""))))</f>
        <v>-9.0909090909090917</v>
      </c>
      <c r="J63" s="23" t="str">
        <f>IF(ISNUMBER(SEARCH(CHAR(10),Bets3[[#This Row],[Bet]])),"P",IF(ISNUMBER(FIND("Under",Bets3[[#This Row],[Bet]])),"U",IF(ISNUMBER(SEARCH("Over",Bets3[[#This Row],[Bet]])),"O",IF(ISNUMBER(SEARCH("+",Bets3[[#This Row],[Bet]])),"D",IF(ISNUMBER(SEARCH("-",Bets3[[#This Row],[Bet]])),"F",IF(ISNUMBER(SEARCH("Moneyline",Bets3[[#This Row],[Bet]])),IF(Bets3[[#This Row],[Odds]]&lt;0,"MF","MD"),""))))))</f>
        <v>MD</v>
      </c>
      <c r="K63" s="22"/>
      <c r="L63" s="24">
        <f t="shared" si="1"/>
        <v>0</v>
      </c>
      <c r="M63" s="1" t="str">
        <f>COUNTIFS(Bets3[Date],L63,Bets3[Result],"W")&amp;"-"&amp;COUNTIFS(Bets3[Date],L63,Bets3[Result],"L")&amp;IF(COUNTIFS(Bets3[Date],L63,Bets3[Result],"Push")&gt;0,"-"&amp;COUNTIFS(Bets3[Date],L63,Bets3[Result],"Push"),"")</f>
        <v>0-0</v>
      </c>
      <c r="N63" s="25" t="str">
        <f>IFERROR(COUNTIFS(Bets3[Date],L63,Bets3[Result],"W")/(COUNTIFS(Bets3[Date],L63,Bets3[Result],"W")+COUNTIFS(Bets3[Date],L63,Bets3[Result],"L")),"")</f>
        <v/>
      </c>
      <c r="O63" s="26">
        <f>SUMIF(Bets3[Date],L63,Bets3[Net])</f>
        <v>0</v>
      </c>
      <c r="P63" s="27" t="str">
        <f>IFERROR("("&amp;ROUND(SUMIF(Bets3[Date],L63,Bets3[Net])/SUMIF(Bets3[Date],L63,Bets3[Risk]),2)*100&amp;"%)","")</f>
        <v/>
      </c>
      <c r="Q63" s="72" t="str">
        <f t="shared" si="2"/>
        <v/>
      </c>
      <c r="R63" s="73" t="str">
        <f>IFERROR(SUMIF(Bets3[Date],"&lt;="&amp;L63,Bets3[Net])/SUMIF(Bets3[Date],"&lt;="&amp;L63,Bets3[Risk]),"")</f>
        <v/>
      </c>
    </row>
    <row r="64" spans="1:18" x14ac:dyDescent="0.25">
      <c r="A64" s="13">
        <f t="shared" si="0"/>
        <v>5</v>
      </c>
      <c r="B64" s="17">
        <v>43584</v>
      </c>
      <c r="C64" s="17" t="s">
        <v>802</v>
      </c>
      <c r="D64" s="18" t="s">
        <v>926</v>
      </c>
      <c r="E64" s="11" t="s">
        <v>845</v>
      </c>
      <c r="F64" s="19">
        <f>IF(Bets35[[#This Row],[Odds]]&lt;0,Bets35[[#This Row],[Odds]]/-10,1000/Bets3[[#This Row],[Odds]])</f>
        <v>10</v>
      </c>
      <c r="G64" s="37">
        <v>100</v>
      </c>
      <c r="H64" s="21" t="s">
        <v>262</v>
      </c>
      <c r="I64" s="45">
        <f>IF(Bets3[[#This Row],[Result]]="L",0-Bets3[[#This Row],[Risk]],IF(Bets3[[#This Row],[Result]]="Push",0,IF(Bets3[[#This Row],[Result]]="No Action",0,IF(Bets3[[#This Row],[Result]]="W",IF(Bets3[[#This Row],[Odds]]&gt;0,Bets3[[#This Row],[Odds]]/100*Bets3[[#This Row],[Risk]],(Bets3[[#This Row],[Risk]]/Bets3[[#This Row],[Odds]]*-100)),""))))</f>
        <v>10</v>
      </c>
      <c r="J64" s="23" t="str">
        <f>IF(ISNUMBER(SEARCH(CHAR(10),Bets3[[#This Row],[Bet]])),"P",IF(ISNUMBER(FIND("Under",Bets3[[#This Row],[Bet]])),"U",IF(ISNUMBER(SEARCH("Over",Bets3[[#This Row],[Bet]])),"O",IF(ISNUMBER(SEARCH("+",Bets3[[#This Row],[Bet]])),"D",IF(ISNUMBER(SEARCH("-",Bets3[[#This Row],[Bet]])),"F",IF(ISNUMBER(SEARCH("Moneyline",Bets3[[#This Row],[Bet]])),IF(Bets3[[#This Row],[Odds]]&lt;0,"MF","MD"),""))))))</f>
        <v>O</v>
      </c>
      <c r="K64" s="22"/>
      <c r="L64" s="24">
        <f t="shared" si="1"/>
        <v>0</v>
      </c>
      <c r="M64" s="1" t="str">
        <f>COUNTIFS(Bets3[Date],L64,Bets3[Result],"W")&amp;"-"&amp;COUNTIFS(Bets3[Date],L64,Bets3[Result],"L")&amp;IF(COUNTIFS(Bets3[Date],L64,Bets3[Result],"Push")&gt;0,"-"&amp;COUNTIFS(Bets3[Date],L64,Bets3[Result],"Push"),"")</f>
        <v>0-0</v>
      </c>
      <c r="N64" s="25" t="str">
        <f>IFERROR(COUNTIFS(Bets3[Date],L64,Bets3[Result],"W")/(COUNTIFS(Bets3[Date],L64,Bets3[Result],"W")+COUNTIFS(Bets3[Date],L64,Bets3[Result],"L")),"")</f>
        <v/>
      </c>
      <c r="O64" s="26">
        <f>SUMIF(Bets3[Date],L64,Bets3[Net])</f>
        <v>0</v>
      </c>
      <c r="P64" s="27" t="str">
        <f>IFERROR("("&amp;ROUND(SUMIF(Bets3[Date],L64,Bets3[Net])/SUMIF(Bets3[Date],L64,Bets3[Risk]),2)*100&amp;"%)","")</f>
        <v/>
      </c>
      <c r="Q64" s="72" t="str">
        <f t="shared" si="2"/>
        <v/>
      </c>
      <c r="R64" s="73" t="str">
        <f>IFERROR(SUMIF(Bets3[Date],"&lt;="&amp;L64,Bets3[Net])/SUMIF(Bets3[Date],"&lt;="&amp;L64,Bets3[Risk]),"")</f>
        <v/>
      </c>
    </row>
    <row r="65" spans="1:18" x14ac:dyDescent="0.25">
      <c r="A65" s="13">
        <f t="shared" si="0"/>
        <v>5</v>
      </c>
      <c r="B65" s="17">
        <v>43584</v>
      </c>
      <c r="C65" s="17" t="s">
        <v>802</v>
      </c>
      <c r="D65" s="18" t="s">
        <v>927</v>
      </c>
      <c r="E65" s="11" t="s">
        <v>931</v>
      </c>
      <c r="F65" s="19">
        <f>IF(Bets35[[#This Row],[Odds]]&lt;0,Bets35[[#This Row],[Odds]]/-10,1000/Bets3[[#This Row],[Odds]])</f>
        <v>10.5</v>
      </c>
      <c r="G65" s="37">
        <v>-105</v>
      </c>
      <c r="H65" s="21" t="s">
        <v>262</v>
      </c>
      <c r="I65" s="45">
        <f>IF(Bets3[[#This Row],[Result]]="L",0-Bets3[[#This Row],[Risk]],IF(Bets3[[#This Row],[Result]]="Push",0,IF(Bets3[[#This Row],[Result]]="No Action",0,IF(Bets3[[#This Row],[Result]]="W",IF(Bets3[[#This Row],[Odds]]&gt;0,Bets3[[#This Row],[Odds]]/100*Bets3[[#This Row],[Risk]],(Bets3[[#This Row],[Risk]]/Bets3[[#This Row],[Odds]]*-100)),""))))</f>
        <v>10</v>
      </c>
      <c r="J65" s="23" t="str">
        <f>IF(ISNUMBER(SEARCH(CHAR(10),Bets3[[#This Row],[Bet]])),"P",IF(ISNUMBER(FIND("Under",Bets3[[#This Row],[Bet]])),"U",IF(ISNUMBER(SEARCH("Over",Bets3[[#This Row],[Bet]])),"O",IF(ISNUMBER(SEARCH("+",Bets3[[#This Row],[Bet]])),"D",IF(ISNUMBER(SEARCH("-",Bets3[[#This Row],[Bet]])),"F",IF(ISNUMBER(SEARCH("Moneyline",Bets3[[#This Row],[Bet]])),IF(Bets3[[#This Row],[Odds]]&lt;0,"MF","MD"),""))))))</f>
        <v>O</v>
      </c>
      <c r="K65" s="22"/>
      <c r="L65" s="24">
        <f t="shared" si="1"/>
        <v>0</v>
      </c>
      <c r="M65" s="1" t="str">
        <f>COUNTIFS(Bets3[Date],L65,Bets3[Result],"W")&amp;"-"&amp;COUNTIFS(Bets3[Date],L65,Bets3[Result],"L")&amp;IF(COUNTIFS(Bets3[Date],L65,Bets3[Result],"Push")&gt;0,"-"&amp;COUNTIFS(Bets3[Date],L65,Bets3[Result],"Push"),"")</f>
        <v>0-0</v>
      </c>
      <c r="N65" s="25" t="str">
        <f>IFERROR(COUNTIFS(Bets3[Date],L65,Bets3[Result],"W")/(COUNTIFS(Bets3[Date],L65,Bets3[Result],"W")+COUNTIFS(Bets3[Date],L65,Bets3[Result],"L")),"")</f>
        <v/>
      </c>
      <c r="O65" s="26">
        <f>SUMIF(Bets3[Date],L65,Bets3[Net])</f>
        <v>0</v>
      </c>
      <c r="P65" s="27" t="str">
        <f>IFERROR("("&amp;ROUND(SUMIF(Bets3[Date],L65,Bets3[Net])/SUMIF(Bets3[Date],L65,Bets3[Risk]),2)*100&amp;"%)","")</f>
        <v/>
      </c>
      <c r="Q65" s="72" t="str">
        <f t="shared" si="2"/>
        <v/>
      </c>
      <c r="R65" s="73" t="str">
        <f>IFERROR(SUMIF(Bets3[Date],"&lt;="&amp;L65,Bets3[Net])/SUMIF(Bets3[Date],"&lt;="&amp;L65,Bets3[Risk]),"")</f>
        <v/>
      </c>
    </row>
    <row r="66" spans="1:18" x14ac:dyDescent="0.25">
      <c r="A66" s="13">
        <f t="shared" si="0"/>
        <v>5</v>
      </c>
      <c r="B66" s="17">
        <v>43584</v>
      </c>
      <c r="C66" s="17" t="s">
        <v>802</v>
      </c>
      <c r="D66" s="18" t="s">
        <v>932</v>
      </c>
      <c r="E66" s="11" t="s">
        <v>933</v>
      </c>
      <c r="F66" s="19">
        <f>IF(Bets35[[#This Row],[Odds]]&lt;0,Bets35[[#This Row],[Odds]]/-10,1000/Bets3[[#This Row],[Odds]])</f>
        <v>10</v>
      </c>
      <c r="G66" s="37">
        <v>100</v>
      </c>
      <c r="H66" s="21" t="s">
        <v>262</v>
      </c>
      <c r="I66" s="45">
        <f>IF(Bets3[[#This Row],[Result]]="L",0-Bets3[[#This Row],[Risk]],IF(Bets3[[#This Row],[Result]]="Push",0,IF(Bets3[[#This Row],[Result]]="No Action",0,IF(Bets3[[#This Row],[Result]]="W",IF(Bets3[[#This Row],[Odds]]&gt;0,Bets3[[#This Row],[Odds]]/100*Bets3[[#This Row],[Risk]],(Bets3[[#This Row],[Risk]]/Bets3[[#This Row],[Odds]]*-100)),""))))</f>
        <v>10</v>
      </c>
      <c r="J66" s="23" t="str">
        <f>IF(ISNUMBER(SEARCH(CHAR(10),Bets3[[#This Row],[Bet]])),"P",IF(ISNUMBER(FIND("Under",Bets3[[#This Row],[Bet]])),"U",IF(ISNUMBER(SEARCH("Over",Bets3[[#This Row],[Bet]])),"O",IF(ISNUMBER(SEARCH("+",Bets3[[#This Row],[Bet]])),"D",IF(ISNUMBER(SEARCH("-",Bets3[[#This Row],[Bet]])),"F",IF(ISNUMBER(SEARCH("Moneyline",Bets3[[#This Row],[Bet]])),IF(Bets3[[#This Row],[Odds]]&lt;0,"MF","MD"),""))))))</f>
        <v>U</v>
      </c>
      <c r="K66"/>
      <c r="L66" s="24">
        <f t="shared" si="1"/>
        <v>0</v>
      </c>
      <c r="M66" s="1" t="str">
        <f>COUNTIFS(Bets3[Date],L66,Bets3[Result],"W")&amp;"-"&amp;COUNTIFS(Bets3[Date],L66,Bets3[Result],"L")&amp;IF(COUNTIFS(Bets3[Date],L66,Bets3[Result],"Push")&gt;0,"-"&amp;COUNTIFS(Bets3[Date],L66,Bets3[Result],"Push"),"")</f>
        <v>0-0</v>
      </c>
      <c r="N66" s="25" t="str">
        <f>IFERROR(COUNTIFS(Bets3[Date],L66,Bets3[Result],"W")/(COUNTIFS(Bets3[Date],L66,Bets3[Result],"W")+COUNTIFS(Bets3[Date],L66,Bets3[Result],"L")),"")</f>
        <v/>
      </c>
      <c r="O66" s="26">
        <f>SUMIF(Bets3[Date],L66,Bets3[Net])</f>
        <v>0</v>
      </c>
      <c r="P66" s="27" t="str">
        <f>IFERROR("("&amp;ROUND(SUMIF(Bets3[Date],L66,Bets3[Net])/SUMIF(Bets3[Date],L66,Bets3[Risk]),2)*100&amp;"%)","")</f>
        <v/>
      </c>
      <c r="Q66" s="72" t="str">
        <f t="shared" si="2"/>
        <v/>
      </c>
      <c r="R66" s="73" t="str">
        <f>IFERROR(SUMIF(Bets3[Date],"&lt;="&amp;L66,Bets3[Net])/SUMIF(Bets3[Date],"&lt;="&amp;L66,Bets3[Risk]),"")</f>
        <v/>
      </c>
    </row>
    <row r="67" spans="1:18" x14ac:dyDescent="0.25">
      <c r="A67" s="13">
        <f t="shared" si="0"/>
        <v>6</v>
      </c>
      <c r="B67" s="17">
        <v>43585</v>
      </c>
      <c r="C67" s="17" t="s">
        <v>802</v>
      </c>
      <c r="D67" s="18" t="s">
        <v>1150</v>
      </c>
      <c r="E67" s="11" t="s">
        <v>822</v>
      </c>
      <c r="F67" s="19">
        <f>IF(Bets35[[#This Row],[Odds]]&lt;0,Bets35[[#This Row],[Odds]]/-10,1000/Bets3[[#This Row],[Odds]])</f>
        <v>20.5</v>
      </c>
      <c r="G67" s="37">
        <v>-205</v>
      </c>
      <c r="H67" s="21" t="s">
        <v>263</v>
      </c>
      <c r="I67" s="45">
        <f>IF(Bets3[[#This Row],[Result]]="L",0-Bets3[[#This Row],[Risk]],IF(Bets3[[#This Row],[Result]]="Push",0,IF(Bets3[[#This Row],[Result]]="No Action",0,IF(Bets3[[#This Row],[Result]]="W",IF(Bets3[[#This Row],[Odds]]&gt;0,Bets3[[#This Row],[Odds]]/100*Bets3[[#This Row],[Risk]],(Bets3[[#This Row],[Risk]]/Bets3[[#This Row],[Odds]]*-100)),""))))</f>
        <v>-20.5</v>
      </c>
      <c r="J67" s="23" t="str">
        <f>IF(ISNUMBER(SEARCH(CHAR(10),Bets3[[#This Row],[Bet]])),"P",IF(ISNUMBER(FIND("Under",Bets3[[#This Row],[Bet]])),"U",IF(ISNUMBER(SEARCH("Over",Bets3[[#This Row],[Bet]])),"O",IF(ISNUMBER(SEARCH("+",Bets3[[#This Row],[Bet]])),"D",IF(ISNUMBER(SEARCH("-",Bets3[[#This Row],[Bet]])),"F",IF(ISNUMBER(SEARCH("Moneyline",Bets3[[#This Row],[Bet]])),IF(Bets3[[#This Row],[Odds]]&lt;0,"MF","MD"),""))))))</f>
        <v>MF</v>
      </c>
      <c r="K67"/>
      <c r="L67" s="24">
        <f t="shared" si="1"/>
        <v>0</v>
      </c>
      <c r="M67" s="1" t="str">
        <f>COUNTIFS(Bets3[Date],L67,Bets3[Result],"W")&amp;"-"&amp;COUNTIFS(Bets3[Date],L67,Bets3[Result],"L")&amp;IF(COUNTIFS(Bets3[Date],L67,Bets3[Result],"Push")&gt;0,"-"&amp;COUNTIFS(Bets3[Date],L67,Bets3[Result],"Push"),"")</f>
        <v>0-0</v>
      </c>
      <c r="N67" s="25" t="str">
        <f>IFERROR(COUNTIFS(Bets3[Date],L67,Bets3[Result],"W")/(COUNTIFS(Bets3[Date],L67,Bets3[Result],"W")+COUNTIFS(Bets3[Date],L67,Bets3[Result],"L")),"")</f>
        <v/>
      </c>
      <c r="O67" s="26">
        <f>SUMIF(Bets3[Date],L67,Bets3[Net])</f>
        <v>0</v>
      </c>
      <c r="P67" s="27" t="str">
        <f>IFERROR("("&amp;ROUND(SUMIF(Bets3[Date],L67,Bets3[Net])/SUMIF(Bets3[Date],L67,Bets3[Risk]),2)*100&amp;"%)","")</f>
        <v/>
      </c>
      <c r="Q67" s="72" t="str">
        <f t="shared" si="2"/>
        <v/>
      </c>
      <c r="R67" s="73" t="str">
        <f>IFERROR(SUMIF(Bets3[Date],"&lt;="&amp;L67,Bets3[Net])/SUMIF(Bets3[Date],"&lt;="&amp;L67,Bets3[Risk]),"")</f>
        <v/>
      </c>
    </row>
    <row r="68" spans="1:18" x14ac:dyDescent="0.25">
      <c r="A68" s="13">
        <f t="shared" ref="A68:A131" si="3">IF(B68=B67,A67,A67+1)</f>
        <v>6</v>
      </c>
      <c r="B68" s="17">
        <v>43585</v>
      </c>
      <c r="C68" s="17" t="s">
        <v>802</v>
      </c>
      <c r="D68" s="18" t="s">
        <v>926</v>
      </c>
      <c r="E68" s="11" t="s">
        <v>899</v>
      </c>
      <c r="F68" s="19">
        <f>IF(Bets35[[#This Row],[Odds]]&lt;0,Bets35[[#This Row],[Odds]]/-10,1000/Bets3[[#This Row],[Odds]])</f>
        <v>11.5</v>
      </c>
      <c r="G68" s="37">
        <v>-115</v>
      </c>
      <c r="H68" s="21" t="s">
        <v>262</v>
      </c>
      <c r="I68" s="45">
        <f>IF(Bets3[[#This Row],[Result]]="L",0-Bets3[[#This Row],[Risk]],IF(Bets3[[#This Row],[Result]]="Push",0,IF(Bets3[[#This Row],[Result]]="No Action",0,IF(Bets3[[#This Row],[Result]]="W",IF(Bets3[[#This Row],[Odds]]&gt;0,Bets3[[#This Row],[Odds]]/100*Bets3[[#This Row],[Risk]],(Bets3[[#This Row],[Risk]]/Bets3[[#This Row],[Odds]]*-100)),""))))</f>
        <v>10</v>
      </c>
      <c r="J68" s="23" t="str">
        <f>IF(ISNUMBER(SEARCH(CHAR(10),Bets3[[#This Row],[Bet]])),"P",IF(ISNUMBER(FIND("Under",Bets3[[#This Row],[Bet]])),"U",IF(ISNUMBER(SEARCH("Over",Bets3[[#This Row],[Bet]])),"O",IF(ISNUMBER(SEARCH("+",Bets3[[#This Row],[Bet]])),"D",IF(ISNUMBER(SEARCH("-",Bets3[[#This Row],[Bet]])),"F",IF(ISNUMBER(SEARCH("Moneyline",Bets3[[#This Row],[Bet]])),IF(Bets3[[#This Row],[Odds]]&lt;0,"MF","MD"),""))))))</f>
        <v>MF</v>
      </c>
      <c r="K68"/>
      <c r="L68" s="24">
        <f t="shared" ref="L68:L131" si="4">IFERROR(VLOOKUP(ROW()-3,A:B,2,0),0)</f>
        <v>0</v>
      </c>
      <c r="M68" s="1" t="str">
        <f>COUNTIFS(Bets3[Date],L68,Bets3[Result],"W")&amp;"-"&amp;COUNTIFS(Bets3[Date],L68,Bets3[Result],"L")&amp;IF(COUNTIFS(Bets3[Date],L68,Bets3[Result],"Push")&gt;0,"-"&amp;COUNTIFS(Bets3[Date],L68,Bets3[Result],"Push"),"")</f>
        <v>0-0</v>
      </c>
      <c r="N68" s="25" t="str">
        <f>IFERROR(COUNTIFS(Bets3[Date],L68,Bets3[Result],"W")/(COUNTIFS(Bets3[Date],L68,Bets3[Result],"W")+COUNTIFS(Bets3[Date],L68,Bets3[Result],"L")),"")</f>
        <v/>
      </c>
      <c r="O68" s="26">
        <f>SUMIF(Bets3[Date],L68,Bets3[Net])</f>
        <v>0</v>
      </c>
      <c r="P68" s="27" t="str">
        <f>IFERROR("("&amp;ROUND(SUMIF(Bets3[Date],L68,Bets3[Net])/SUMIF(Bets3[Date],L68,Bets3[Risk]),2)*100&amp;"%)","")</f>
        <v/>
      </c>
      <c r="Q68" s="72" t="str">
        <f t="shared" si="2"/>
        <v/>
      </c>
      <c r="R68" s="73" t="str">
        <f>IFERROR(SUMIF(Bets3[Date],"&lt;="&amp;L68,Bets3[Net])/SUMIF(Bets3[Date],"&lt;="&amp;L68,Bets3[Risk]),"")</f>
        <v/>
      </c>
    </row>
    <row r="69" spans="1:18" x14ac:dyDescent="0.25">
      <c r="A69" s="13">
        <f t="shared" si="3"/>
        <v>6</v>
      </c>
      <c r="B69" s="17">
        <v>43585</v>
      </c>
      <c r="C69" s="17" t="s">
        <v>802</v>
      </c>
      <c r="D69" s="18" t="s">
        <v>1151</v>
      </c>
      <c r="E69" s="11" t="s">
        <v>869</v>
      </c>
      <c r="F69" s="19">
        <f>IF(Bets35[[#This Row],[Odds]]&lt;0,Bets35[[#This Row],[Odds]]/-10,1000/Bets3[[#This Row],[Odds]])</f>
        <v>20.8</v>
      </c>
      <c r="G69" s="37">
        <v>-208</v>
      </c>
      <c r="H69" s="21" t="s">
        <v>262</v>
      </c>
      <c r="I69" s="45">
        <f>IF(Bets3[[#This Row],[Result]]="L",0-Bets3[[#This Row],[Risk]],IF(Bets3[[#This Row],[Result]]="Push",0,IF(Bets3[[#This Row],[Result]]="No Action",0,IF(Bets3[[#This Row],[Result]]="W",IF(Bets3[[#This Row],[Odds]]&gt;0,Bets3[[#This Row],[Odds]]/100*Bets3[[#This Row],[Risk]],(Bets3[[#This Row],[Risk]]/Bets3[[#This Row],[Odds]]*-100)),""))))</f>
        <v>10</v>
      </c>
      <c r="J69" s="23" t="str">
        <f>IF(ISNUMBER(SEARCH(CHAR(10),Bets3[[#This Row],[Bet]])),"P",IF(ISNUMBER(FIND("Under",Bets3[[#This Row],[Bet]])),"U",IF(ISNUMBER(SEARCH("Over",Bets3[[#This Row],[Bet]])),"O",IF(ISNUMBER(SEARCH("+",Bets3[[#This Row],[Bet]])),"D",IF(ISNUMBER(SEARCH("-",Bets3[[#This Row],[Bet]])),"F",IF(ISNUMBER(SEARCH("Moneyline",Bets3[[#This Row],[Bet]])),IF(Bets3[[#This Row],[Odds]]&lt;0,"MF","MD"),""))))))</f>
        <v>MF</v>
      </c>
      <c r="K69"/>
      <c r="L69" s="24">
        <f t="shared" si="4"/>
        <v>0</v>
      </c>
      <c r="M69" s="1" t="str">
        <f>COUNTIFS(Bets3[Date],L69,Bets3[Result],"W")&amp;"-"&amp;COUNTIFS(Bets3[Date],L69,Bets3[Result],"L")&amp;IF(COUNTIFS(Bets3[Date],L69,Bets3[Result],"Push")&gt;0,"-"&amp;COUNTIFS(Bets3[Date],L69,Bets3[Result],"Push"),"")</f>
        <v>0-0</v>
      </c>
      <c r="N69" s="25" t="str">
        <f>IFERROR(COUNTIFS(Bets3[Date],L69,Bets3[Result],"W")/(COUNTIFS(Bets3[Date],L69,Bets3[Result],"W")+COUNTIFS(Bets3[Date],L69,Bets3[Result],"L")),"")</f>
        <v/>
      </c>
      <c r="O69" s="26">
        <f>SUMIF(Bets3[Date],L69,Bets3[Net])</f>
        <v>0</v>
      </c>
      <c r="P69" s="27" t="str">
        <f>IFERROR("("&amp;ROUND(SUMIF(Bets3[Date],L69,Bets3[Net])/SUMIF(Bets3[Date],L69,Bets3[Risk]),2)*100&amp;"%)","")</f>
        <v/>
      </c>
      <c r="Q69" s="72" t="str">
        <f t="shared" si="2"/>
        <v/>
      </c>
      <c r="R69" s="73" t="str">
        <f>IFERROR(SUMIF(Bets3[Date],"&lt;="&amp;L69,Bets3[Net])/SUMIF(Bets3[Date],"&lt;="&amp;L69,Bets3[Risk]),"")</f>
        <v/>
      </c>
    </row>
    <row r="70" spans="1:18" x14ac:dyDescent="0.25">
      <c r="A70" s="13">
        <f t="shared" si="3"/>
        <v>6</v>
      </c>
      <c r="B70" s="17">
        <v>43585</v>
      </c>
      <c r="C70" s="17" t="s">
        <v>802</v>
      </c>
      <c r="D70" s="18" t="s">
        <v>932</v>
      </c>
      <c r="E70" s="11" t="s">
        <v>1152</v>
      </c>
      <c r="F70" s="19">
        <f>IF(Bets35[[#This Row],[Odds]]&lt;0,Bets35[[#This Row],[Odds]]/-10,1000/Bets3[[#This Row],[Odds]])</f>
        <v>11</v>
      </c>
      <c r="G70" s="37">
        <v>-110</v>
      </c>
      <c r="H70" s="21" t="s">
        <v>262</v>
      </c>
      <c r="I70" s="45">
        <f>IF(Bets3[[#This Row],[Result]]="L",0-Bets3[[#This Row],[Risk]],IF(Bets3[[#This Row],[Result]]="Push",0,IF(Bets3[[#This Row],[Result]]="No Action",0,IF(Bets3[[#This Row],[Result]]="W",IF(Bets3[[#This Row],[Odds]]&gt;0,Bets3[[#This Row],[Odds]]/100*Bets3[[#This Row],[Risk]],(Bets3[[#This Row],[Risk]]/Bets3[[#This Row],[Odds]]*-100)),""))))</f>
        <v>10</v>
      </c>
      <c r="J70" s="23" t="str">
        <f>IF(ISNUMBER(SEARCH(CHAR(10),Bets3[[#This Row],[Bet]])),"P",IF(ISNUMBER(FIND("Under",Bets3[[#This Row],[Bet]])),"U",IF(ISNUMBER(SEARCH("Over",Bets3[[#This Row],[Bet]])),"O",IF(ISNUMBER(SEARCH("+",Bets3[[#This Row],[Bet]])),"D",IF(ISNUMBER(SEARCH("-",Bets3[[#This Row],[Bet]])),"F",IF(ISNUMBER(SEARCH("Moneyline",Bets3[[#This Row],[Bet]])),IF(Bets3[[#This Row],[Odds]]&lt;0,"MF","MD"),""))))))</f>
        <v>MF</v>
      </c>
      <c r="K70"/>
      <c r="L70" s="24">
        <f t="shared" si="4"/>
        <v>0</v>
      </c>
      <c r="M70" s="1" t="str">
        <f>COUNTIFS(Bets3[Date],L70,Bets3[Result],"W")&amp;"-"&amp;COUNTIFS(Bets3[Date],L70,Bets3[Result],"L")&amp;IF(COUNTIFS(Bets3[Date],L70,Bets3[Result],"Push")&gt;0,"-"&amp;COUNTIFS(Bets3[Date],L70,Bets3[Result],"Push"),"")</f>
        <v>0-0</v>
      </c>
      <c r="N70" s="25" t="str">
        <f>IFERROR(COUNTIFS(Bets3[Date],L70,Bets3[Result],"W")/(COUNTIFS(Bets3[Date],L70,Bets3[Result],"W")+COUNTIFS(Bets3[Date],L70,Bets3[Result],"L")),"")</f>
        <v/>
      </c>
      <c r="O70" s="26">
        <f>SUMIF(Bets3[Date],L70,Bets3[Net])</f>
        <v>0</v>
      </c>
      <c r="P70" s="27" t="str">
        <f>IFERROR("("&amp;ROUND(SUMIF(Bets3[Date],L70,Bets3[Net])/SUMIF(Bets3[Date],L70,Bets3[Risk]),2)*100&amp;"%)","")</f>
        <v/>
      </c>
      <c r="Q70" s="72" t="str">
        <f t="shared" ref="Q70:Q133" si="5">IF(L70&lt;&gt;0,Q69+O70,"")</f>
        <v/>
      </c>
      <c r="R70" s="73" t="str">
        <f>IFERROR(SUMIF(Bets3[Date],"&lt;="&amp;L70,Bets3[Net])/SUMIF(Bets3[Date],"&lt;="&amp;L70,Bets3[Risk]),"")</f>
        <v/>
      </c>
    </row>
    <row r="71" spans="1:18" x14ac:dyDescent="0.25">
      <c r="A71" s="13">
        <f t="shared" si="3"/>
        <v>6</v>
      </c>
      <c r="B71" s="17">
        <v>43585</v>
      </c>
      <c r="C71" s="17" t="s">
        <v>802</v>
      </c>
      <c r="D71" s="18" t="s">
        <v>928</v>
      </c>
      <c r="E71" s="11" t="s">
        <v>1153</v>
      </c>
      <c r="F71" s="19">
        <f>IF(Bets35[[#This Row],[Odds]]&lt;0,Bets35[[#This Row],[Odds]]/-10,1000/Bets3[[#This Row],[Odds]])</f>
        <v>12.5</v>
      </c>
      <c r="G71" s="37">
        <v>-125</v>
      </c>
      <c r="H71" s="21" t="s">
        <v>263</v>
      </c>
      <c r="I71" s="45">
        <f>IF(Bets3[[#This Row],[Result]]="L",0-Bets3[[#This Row],[Risk]],IF(Bets3[[#This Row],[Result]]="Push",0,IF(Bets3[[#This Row],[Result]]="No Action",0,IF(Bets3[[#This Row],[Result]]="W",IF(Bets3[[#This Row],[Odds]]&gt;0,Bets3[[#This Row],[Odds]]/100*Bets3[[#This Row],[Risk]],(Bets3[[#This Row],[Risk]]/Bets3[[#This Row],[Odds]]*-100)),""))))</f>
        <v>-12.5</v>
      </c>
      <c r="J71" s="23" t="str">
        <f>IF(ISNUMBER(SEARCH(CHAR(10),Bets3[[#This Row],[Bet]])),"P",IF(ISNUMBER(FIND("Under",Bets3[[#This Row],[Bet]])),"U",IF(ISNUMBER(SEARCH("Over",Bets3[[#This Row],[Bet]])),"O",IF(ISNUMBER(SEARCH("+",Bets3[[#This Row],[Bet]])),"D",IF(ISNUMBER(SEARCH("-",Bets3[[#This Row],[Bet]])),"F",IF(ISNUMBER(SEARCH("Moneyline",Bets3[[#This Row],[Bet]])),IF(Bets3[[#This Row],[Odds]]&lt;0,"MF","MD"),""))))))</f>
        <v>MF</v>
      </c>
      <c r="K71"/>
      <c r="L71" s="24">
        <f t="shared" si="4"/>
        <v>0</v>
      </c>
      <c r="M71" s="1" t="str">
        <f>COUNTIFS(Bets3[Date],L71,Bets3[Result],"W")&amp;"-"&amp;COUNTIFS(Bets3[Date],L71,Bets3[Result],"L")&amp;IF(COUNTIFS(Bets3[Date],L71,Bets3[Result],"Push")&gt;0,"-"&amp;COUNTIFS(Bets3[Date],L71,Bets3[Result],"Push"),"")</f>
        <v>0-0</v>
      </c>
      <c r="N71" s="25" t="str">
        <f>IFERROR(COUNTIFS(Bets3[Date],L71,Bets3[Result],"W")/(COUNTIFS(Bets3[Date],L71,Bets3[Result],"W")+COUNTIFS(Bets3[Date],L71,Bets3[Result],"L")),"")</f>
        <v/>
      </c>
      <c r="O71" s="26">
        <f>SUMIF(Bets3[Date],L71,Bets3[Net])</f>
        <v>0</v>
      </c>
      <c r="P71" s="27" t="str">
        <f>IFERROR("("&amp;ROUND(SUMIF(Bets3[Date],L71,Bets3[Net])/SUMIF(Bets3[Date],L71,Bets3[Risk]),2)*100&amp;"%)","")</f>
        <v/>
      </c>
      <c r="Q71" s="72" t="str">
        <f t="shared" si="5"/>
        <v/>
      </c>
      <c r="R71" s="73" t="str">
        <f>IFERROR(SUMIF(Bets3[Date],"&lt;="&amp;L71,Bets3[Net])/SUMIF(Bets3[Date],"&lt;="&amp;L71,Bets3[Risk]),"")</f>
        <v/>
      </c>
    </row>
    <row r="72" spans="1:18" x14ac:dyDescent="0.25">
      <c r="A72" s="13">
        <f t="shared" si="3"/>
        <v>6</v>
      </c>
      <c r="B72" s="17">
        <v>43585</v>
      </c>
      <c r="C72" s="17" t="s">
        <v>802</v>
      </c>
      <c r="D72" s="18" t="s">
        <v>1154</v>
      </c>
      <c r="E72" s="11" t="s">
        <v>876</v>
      </c>
      <c r="F72" s="19">
        <f>IF(Bets35[[#This Row],[Odds]]&lt;0,Bets35[[#This Row],[Odds]]/-10,1000/Bets3[[#This Row],[Odds]])</f>
        <v>10.5</v>
      </c>
      <c r="G72" s="37">
        <v>-105</v>
      </c>
      <c r="H72" s="21" t="s">
        <v>262</v>
      </c>
      <c r="I72" s="45">
        <f>IF(Bets3[[#This Row],[Result]]="L",0-Bets3[[#This Row],[Risk]],IF(Bets3[[#This Row],[Result]]="Push",0,IF(Bets3[[#This Row],[Result]]="No Action",0,IF(Bets3[[#This Row],[Result]]="W",IF(Bets3[[#This Row],[Odds]]&gt;0,Bets3[[#This Row],[Odds]]/100*Bets3[[#This Row],[Risk]],(Bets3[[#This Row],[Risk]]/Bets3[[#This Row],[Odds]]*-100)),""))))</f>
        <v>10</v>
      </c>
      <c r="J72" s="23" t="str">
        <f>IF(ISNUMBER(SEARCH(CHAR(10),Bets3[[#This Row],[Bet]])),"P",IF(ISNUMBER(FIND("Under",Bets3[[#This Row],[Bet]])),"U",IF(ISNUMBER(SEARCH("Over",Bets3[[#This Row],[Bet]])),"O",IF(ISNUMBER(SEARCH("+",Bets3[[#This Row],[Bet]])),"D",IF(ISNUMBER(SEARCH("-",Bets3[[#This Row],[Bet]])),"F",IF(ISNUMBER(SEARCH("Moneyline",Bets3[[#This Row],[Bet]])),IF(Bets3[[#This Row],[Odds]]&lt;0,"MF","MD"),""))))))</f>
        <v>MF</v>
      </c>
      <c r="K72"/>
      <c r="L72" s="24">
        <f t="shared" si="4"/>
        <v>0</v>
      </c>
      <c r="M72" s="1" t="str">
        <f>COUNTIFS(Bets3[Date],L72,Bets3[Result],"W")&amp;"-"&amp;COUNTIFS(Bets3[Date],L72,Bets3[Result],"L")&amp;IF(COUNTIFS(Bets3[Date],L72,Bets3[Result],"Push")&gt;0,"-"&amp;COUNTIFS(Bets3[Date],L72,Bets3[Result],"Push"),"")</f>
        <v>0-0</v>
      </c>
      <c r="N72" s="25" t="str">
        <f>IFERROR(COUNTIFS(Bets3[Date],L72,Bets3[Result],"W")/(COUNTIFS(Bets3[Date],L72,Bets3[Result],"W")+COUNTIFS(Bets3[Date],L72,Bets3[Result],"L")),"")</f>
        <v/>
      </c>
      <c r="O72" s="26">
        <f>SUMIF(Bets3[Date],L72,Bets3[Net])</f>
        <v>0</v>
      </c>
      <c r="P72" s="27" t="str">
        <f>IFERROR("("&amp;ROUND(SUMIF(Bets3[Date],L72,Bets3[Net])/SUMIF(Bets3[Date],L72,Bets3[Risk]),2)*100&amp;"%)","")</f>
        <v/>
      </c>
      <c r="Q72" s="72" t="str">
        <f t="shared" si="5"/>
        <v/>
      </c>
      <c r="R72" s="73" t="str">
        <f>IFERROR(SUMIF(Bets3[Date],"&lt;="&amp;L72,Bets3[Net])/SUMIF(Bets3[Date],"&lt;="&amp;L72,Bets3[Risk]),"")</f>
        <v/>
      </c>
    </row>
    <row r="73" spans="1:18" x14ac:dyDescent="0.25">
      <c r="A73" s="13">
        <f t="shared" si="3"/>
        <v>6</v>
      </c>
      <c r="B73" s="17">
        <v>43585</v>
      </c>
      <c r="C73" s="17" t="s">
        <v>802</v>
      </c>
      <c r="D73" s="18" t="s">
        <v>929</v>
      </c>
      <c r="E73" s="11" t="s">
        <v>874</v>
      </c>
      <c r="F73" s="19">
        <f>IF(Bets35[[#This Row],[Odds]]&lt;0,Bets35[[#This Row],[Odds]]/-10,1000/Bets3[[#This Row],[Odds]])</f>
        <v>7.6923076923076925</v>
      </c>
      <c r="G73" s="37" t="s">
        <v>825</v>
      </c>
      <c r="H73" s="21" t="s">
        <v>846</v>
      </c>
      <c r="I73" s="45">
        <f>IF(Bets3[[#This Row],[Result]]="L",0-Bets3[[#This Row],[Risk]],IF(Bets3[[#This Row],[Result]]="Push",0,IF(Bets3[[#This Row],[Result]]="No Action",0,IF(Bets3[[#This Row],[Result]]="W",IF(Bets3[[#This Row],[Odds]]&gt;0,Bets3[[#This Row],[Odds]]/100*Bets3[[#This Row],[Risk]],(Bets3[[#This Row],[Risk]]/Bets3[[#This Row],[Odds]]*-100)),""))))</f>
        <v>0</v>
      </c>
      <c r="J73" s="39" t="str">
        <f>IF(ISNUMBER(SEARCH(CHAR(10),Bets3[[#This Row],[Bet]])),"P",IF(ISNUMBER(FIND("Under",Bets3[[#This Row],[Bet]])),"U",IF(ISNUMBER(SEARCH("Over",Bets3[[#This Row],[Bet]])),"O",IF(ISNUMBER(SEARCH("+",Bets3[[#This Row],[Bet]])),"D",IF(ISNUMBER(SEARCH("-",Bets3[[#This Row],[Bet]])),"F",IF(ISNUMBER(SEARCH("Moneyline",Bets3[[#This Row],[Bet]])),IF(Bets3[[#This Row],[Odds]]&lt;0,"MF","MD"),""))))))</f>
        <v>MD</v>
      </c>
      <c r="K73"/>
      <c r="L73" s="24">
        <f t="shared" si="4"/>
        <v>0</v>
      </c>
      <c r="M73" s="1" t="str">
        <f>COUNTIFS(Bets3[Date],L73,Bets3[Result],"W")&amp;"-"&amp;COUNTIFS(Bets3[Date],L73,Bets3[Result],"L")&amp;IF(COUNTIFS(Bets3[Date],L73,Bets3[Result],"Push")&gt;0,"-"&amp;COUNTIFS(Bets3[Date],L73,Bets3[Result],"Push"),"")</f>
        <v>0-0</v>
      </c>
      <c r="N73" s="25" t="str">
        <f>IFERROR(COUNTIFS(Bets3[Date],L73,Bets3[Result],"W")/(COUNTIFS(Bets3[Date],L73,Bets3[Result],"W")+COUNTIFS(Bets3[Date],L73,Bets3[Result],"L")),"")</f>
        <v/>
      </c>
      <c r="O73" s="26">
        <f>SUMIF(Bets3[Date],L73,Bets3[Net])</f>
        <v>0</v>
      </c>
      <c r="P73" s="27" t="str">
        <f>IFERROR("("&amp;ROUND(SUMIF(Bets3[Date],L73,Bets3[Net])/SUMIF(Bets3[Date],L73,Bets3[Risk]),2)*100&amp;"%)","")</f>
        <v/>
      </c>
      <c r="Q73" s="72" t="str">
        <f t="shared" si="5"/>
        <v/>
      </c>
      <c r="R73" s="73" t="str">
        <f>IFERROR(SUMIF(Bets3[Date],"&lt;="&amp;L73,Bets3[Net])/SUMIF(Bets3[Date],"&lt;="&amp;L73,Bets3[Risk]),"")</f>
        <v/>
      </c>
    </row>
    <row r="74" spans="1:18" x14ac:dyDescent="0.25">
      <c r="A74" s="13">
        <f t="shared" si="3"/>
        <v>6</v>
      </c>
      <c r="B74" s="17">
        <v>43585</v>
      </c>
      <c r="C74" s="17" t="s">
        <v>802</v>
      </c>
      <c r="D74" s="18" t="s">
        <v>930</v>
      </c>
      <c r="E74" s="11" t="s">
        <v>819</v>
      </c>
      <c r="F74" s="19">
        <f>IF(Bets35[[#This Row],[Odds]]&lt;0,Bets35[[#This Row],[Odds]]/-10,1000/Bets3[[#This Row],[Odds]])</f>
        <v>17.3</v>
      </c>
      <c r="G74" s="37">
        <v>-173</v>
      </c>
      <c r="H74" s="21" t="s">
        <v>846</v>
      </c>
      <c r="I74" s="45">
        <f>IF(Bets3[[#This Row],[Result]]="L",0-Bets3[[#This Row],[Risk]],IF(Bets3[[#This Row],[Result]]="Push",0,IF(Bets3[[#This Row],[Result]]="No Action",0,IF(Bets3[[#This Row],[Result]]="W",IF(Bets3[[#This Row],[Odds]]&gt;0,Bets3[[#This Row],[Odds]]/100*Bets3[[#This Row],[Risk]],(Bets3[[#This Row],[Risk]]/Bets3[[#This Row],[Odds]]*-100)),""))))</f>
        <v>0</v>
      </c>
      <c r="J74" s="39" t="str">
        <f>IF(ISNUMBER(SEARCH(CHAR(10),Bets3[[#This Row],[Bet]])),"P",IF(ISNUMBER(FIND("Under",Bets3[[#This Row],[Bet]])),"U",IF(ISNUMBER(SEARCH("Over",Bets3[[#This Row],[Bet]])),"O",IF(ISNUMBER(SEARCH("+",Bets3[[#This Row],[Bet]])),"D",IF(ISNUMBER(SEARCH("-",Bets3[[#This Row],[Bet]])),"F",IF(ISNUMBER(SEARCH("Moneyline",Bets3[[#This Row],[Bet]])),IF(Bets3[[#This Row],[Odds]]&lt;0,"MF","MD"),""))))))</f>
        <v>MF</v>
      </c>
      <c r="K74"/>
      <c r="L74" s="24">
        <f t="shared" si="4"/>
        <v>0</v>
      </c>
      <c r="M74" s="1" t="str">
        <f>COUNTIFS(Bets3[Date],L74,Bets3[Result],"W")&amp;"-"&amp;COUNTIFS(Bets3[Date],L74,Bets3[Result],"L")&amp;IF(COUNTIFS(Bets3[Date],L74,Bets3[Result],"Push")&gt;0,"-"&amp;COUNTIFS(Bets3[Date],L74,Bets3[Result],"Push"),"")</f>
        <v>0-0</v>
      </c>
      <c r="N74" s="25" t="str">
        <f>IFERROR(COUNTIFS(Bets3[Date],L74,Bets3[Result],"W")/(COUNTIFS(Bets3[Date],L74,Bets3[Result],"W")+COUNTIFS(Bets3[Date],L74,Bets3[Result],"L")),"")</f>
        <v/>
      </c>
      <c r="O74" s="26">
        <f>SUMIF(Bets3[Date],L74,Bets3[Net])</f>
        <v>0</v>
      </c>
      <c r="P74" s="27" t="str">
        <f>IFERROR("("&amp;ROUND(SUMIF(Bets3[Date],L74,Bets3[Net])/SUMIF(Bets3[Date],L74,Bets3[Risk]),2)*100&amp;"%)","")</f>
        <v/>
      </c>
      <c r="Q74" s="72" t="str">
        <f t="shared" si="5"/>
        <v/>
      </c>
      <c r="R74" s="73" t="str">
        <f>IFERROR(SUMIF(Bets3[Date],"&lt;="&amp;L74,Bets3[Net])/SUMIF(Bets3[Date],"&lt;="&amp;L74,Bets3[Risk]),"")</f>
        <v/>
      </c>
    </row>
    <row r="75" spans="1:18" x14ac:dyDescent="0.25">
      <c r="A75" s="13">
        <f t="shared" si="3"/>
        <v>6</v>
      </c>
      <c r="B75" s="17">
        <v>43585</v>
      </c>
      <c r="C75" s="17" t="s">
        <v>802</v>
      </c>
      <c r="D75" s="18" t="s">
        <v>1155</v>
      </c>
      <c r="E75" s="11" t="s">
        <v>832</v>
      </c>
      <c r="F75" s="19">
        <f>IF(Bets35[[#This Row],[Odds]]&lt;0,Bets35[[#This Row],[Odds]]/-10,1000/Bets3[[#This Row],[Odds]])</f>
        <v>8.3333333333333339</v>
      </c>
      <c r="G75" s="37" t="s">
        <v>817</v>
      </c>
      <c r="H75" s="21" t="s">
        <v>263</v>
      </c>
      <c r="I75" s="45">
        <f>IF(Bets3[[#This Row],[Result]]="L",0-Bets3[[#This Row],[Risk]],IF(Bets3[[#This Row],[Result]]="Push",0,IF(Bets3[[#This Row],[Result]]="No Action",0,IF(Bets3[[#This Row],[Result]]="W",IF(Bets3[[#This Row],[Odds]]&gt;0,Bets3[[#This Row],[Odds]]/100*Bets3[[#This Row],[Risk]],(Bets3[[#This Row],[Risk]]/Bets3[[#This Row],[Odds]]*-100)),""))))</f>
        <v>-8.3333333333333339</v>
      </c>
      <c r="J75" s="39" t="str">
        <f>IF(ISNUMBER(SEARCH(CHAR(10),Bets3[[#This Row],[Bet]])),"P",IF(ISNUMBER(FIND("Under",Bets3[[#This Row],[Bet]])),"U",IF(ISNUMBER(SEARCH("Over",Bets3[[#This Row],[Bet]])),"O",IF(ISNUMBER(SEARCH("+",Bets3[[#This Row],[Bet]])),"D",IF(ISNUMBER(SEARCH("-",Bets3[[#This Row],[Bet]])),"F",IF(ISNUMBER(SEARCH("Moneyline",Bets3[[#This Row],[Bet]])),IF(Bets3[[#This Row],[Odds]]&lt;0,"MF","MD"),""))))))</f>
        <v>MD</v>
      </c>
      <c r="K75"/>
      <c r="L75" s="24">
        <f t="shared" si="4"/>
        <v>0</v>
      </c>
      <c r="M75" s="1" t="str">
        <f>COUNTIFS(Bets3[Date],L75,Bets3[Result],"W")&amp;"-"&amp;COUNTIFS(Bets3[Date],L75,Bets3[Result],"L")&amp;IF(COUNTIFS(Bets3[Date],L75,Bets3[Result],"Push")&gt;0,"-"&amp;COUNTIFS(Bets3[Date],L75,Bets3[Result],"Push"),"")</f>
        <v>0-0</v>
      </c>
      <c r="N75" s="25" t="str">
        <f>IFERROR(COUNTIFS(Bets3[Date],L75,Bets3[Result],"W")/(COUNTIFS(Bets3[Date],L75,Bets3[Result],"W")+COUNTIFS(Bets3[Date],L75,Bets3[Result],"L")),"")</f>
        <v/>
      </c>
      <c r="O75" s="26">
        <f>SUMIF(Bets3[Date],L75,Bets3[Net])</f>
        <v>0</v>
      </c>
      <c r="P75" s="27" t="str">
        <f>IFERROR("("&amp;ROUND(SUMIF(Bets3[Date],L75,Bets3[Net])/SUMIF(Bets3[Date],L75,Bets3[Risk]),2)*100&amp;"%)","")</f>
        <v/>
      </c>
      <c r="Q75" s="72" t="str">
        <f t="shared" si="5"/>
        <v/>
      </c>
      <c r="R75" s="73" t="str">
        <f>IFERROR(SUMIF(Bets3[Date],"&lt;="&amp;L75,Bets3[Net])/SUMIF(Bets3[Date],"&lt;="&amp;L75,Bets3[Risk]),"")</f>
        <v/>
      </c>
    </row>
    <row r="76" spans="1:18" x14ac:dyDescent="0.25">
      <c r="A76" s="13">
        <f t="shared" si="3"/>
        <v>6</v>
      </c>
      <c r="B76" s="17">
        <v>43585</v>
      </c>
      <c r="C76" s="17" t="s">
        <v>802</v>
      </c>
      <c r="D76" s="18" t="s">
        <v>935</v>
      </c>
      <c r="E76" s="11" t="s">
        <v>827</v>
      </c>
      <c r="F76" s="19">
        <f>IF(Bets35[[#This Row],[Odds]]&lt;0,Bets35[[#This Row],[Odds]]/-10,1000/Bets3[[#This Row],[Odds]])</f>
        <v>14</v>
      </c>
      <c r="G76" s="37">
        <v>-140</v>
      </c>
      <c r="H76" s="21" t="s">
        <v>262</v>
      </c>
      <c r="I76" s="45">
        <f>IF(Bets3[[#This Row],[Result]]="L",0-Bets3[[#This Row],[Risk]],IF(Bets3[[#This Row],[Result]]="Push",0,IF(Bets3[[#This Row],[Result]]="No Action",0,IF(Bets3[[#This Row],[Result]]="W",IF(Bets3[[#This Row],[Odds]]&gt;0,Bets3[[#This Row],[Odds]]/100*Bets3[[#This Row],[Risk]],(Bets3[[#This Row],[Risk]]/Bets3[[#This Row],[Odds]]*-100)),""))))</f>
        <v>10</v>
      </c>
      <c r="J76" s="39" t="str">
        <f>IF(ISNUMBER(SEARCH(CHAR(10),Bets3[[#This Row],[Bet]])),"P",IF(ISNUMBER(FIND("Under",Bets3[[#This Row],[Bet]])),"U",IF(ISNUMBER(SEARCH("Over",Bets3[[#This Row],[Bet]])),"O",IF(ISNUMBER(SEARCH("+",Bets3[[#This Row],[Bet]])),"D",IF(ISNUMBER(SEARCH("-",Bets3[[#This Row],[Bet]])),"F",IF(ISNUMBER(SEARCH("Moneyline",Bets3[[#This Row],[Bet]])),IF(Bets3[[#This Row],[Odds]]&lt;0,"MF","MD"),""))))))</f>
        <v>MF</v>
      </c>
      <c r="K76"/>
      <c r="L76" s="24">
        <f t="shared" si="4"/>
        <v>0</v>
      </c>
      <c r="M76" s="1" t="str">
        <f>COUNTIFS(Bets3[Date],L76,Bets3[Result],"W")&amp;"-"&amp;COUNTIFS(Bets3[Date],L76,Bets3[Result],"L")&amp;IF(COUNTIFS(Bets3[Date],L76,Bets3[Result],"Push")&gt;0,"-"&amp;COUNTIFS(Bets3[Date],L76,Bets3[Result],"Push"),"")</f>
        <v>0-0</v>
      </c>
      <c r="N76" s="25" t="str">
        <f>IFERROR(COUNTIFS(Bets3[Date],L76,Bets3[Result],"W")/(COUNTIFS(Bets3[Date],L76,Bets3[Result],"W")+COUNTIFS(Bets3[Date],L76,Bets3[Result],"L")),"")</f>
        <v/>
      </c>
      <c r="O76" s="26">
        <f>SUMIF(Bets3[Date],L76,Bets3[Net])</f>
        <v>0</v>
      </c>
      <c r="P76" s="27" t="str">
        <f>IFERROR("("&amp;ROUND(SUMIF(Bets3[Date],L76,Bets3[Net])/SUMIF(Bets3[Date],L76,Bets3[Risk]),2)*100&amp;"%)","")</f>
        <v/>
      </c>
      <c r="Q76" s="72" t="str">
        <f t="shared" si="5"/>
        <v/>
      </c>
      <c r="R76" s="73" t="str">
        <f>IFERROR(SUMIF(Bets3[Date],"&lt;="&amp;L76,Bets3[Net])/SUMIF(Bets3[Date],"&lt;="&amp;L76,Bets3[Risk]),"")</f>
        <v/>
      </c>
    </row>
    <row r="77" spans="1:18" x14ac:dyDescent="0.25">
      <c r="A77" s="13">
        <f t="shared" si="3"/>
        <v>6</v>
      </c>
      <c r="B77" s="17">
        <v>43585</v>
      </c>
      <c r="C77" s="17" t="s">
        <v>802</v>
      </c>
      <c r="D77" s="18" t="s">
        <v>926</v>
      </c>
      <c r="E77" s="11" t="s">
        <v>1156</v>
      </c>
      <c r="F77" s="19">
        <f>IF(Bets35[[#This Row],[Odds]]&lt;0,Bets35[[#This Row],[Odds]]/-10,1000/Bets3[[#This Row],[Odds]])</f>
        <v>12</v>
      </c>
      <c r="G77" s="37">
        <v>-120</v>
      </c>
      <c r="H77" s="21" t="s">
        <v>263</v>
      </c>
      <c r="I77" s="45">
        <f>IF(Bets3[[#This Row],[Result]]="L",0-Bets3[[#This Row],[Risk]],IF(Bets3[[#This Row],[Result]]="Push",0,IF(Bets3[[#This Row],[Result]]="No Action",0,IF(Bets3[[#This Row],[Result]]="W",IF(Bets3[[#This Row],[Odds]]&gt;0,Bets3[[#This Row],[Odds]]/100*Bets3[[#This Row],[Risk]],(Bets3[[#This Row],[Risk]]/Bets3[[#This Row],[Odds]]*-100)),""))))</f>
        <v>-12</v>
      </c>
      <c r="J77" s="39" t="str">
        <f>IF(ISNUMBER(SEARCH(CHAR(10),Bets3[[#This Row],[Bet]])),"P",IF(ISNUMBER(FIND("Under",Bets3[[#This Row],[Bet]])),"U",IF(ISNUMBER(SEARCH("Over",Bets3[[#This Row],[Bet]])),"O",IF(ISNUMBER(SEARCH("+",Bets3[[#This Row],[Bet]])),"D",IF(ISNUMBER(SEARCH("-",Bets3[[#This Row],[Bet]])),"F",IF(ISNUMBER(SEARCH("Moneyline",Bets3[[#This Row],[Bet]])),IF(Bets3[[#This Row],[Odds]]&lt;0,"MF","MD"),""))))))</f>
        <v>O</v>
      </c>
      <c r="K77"/>
      <c r="L77" s="24">
        <f t="shared" si="4"/>
        <v>0</v>
      </c>
      <c r="M77" s="1" t="str">
        <f>COUNTIFS(Bets3[Date],L77,Bets3[Result],"W")&amp;"-"&amp;COUNTIFS(Bets3[Date],L77,Bets3[Result],"L")&amp;IF(COUNTIFS(Bets3[Date],L77,Bets3[Result],"Push")&gt;0,"-"&amp;COUNTIFS(Bets3[Date],L77,Bets3[Result],"Push"),"")</f>
        <v>0-0</v>
      </c>
      <c r="N77" s="25" t="str">
        <f>IFERROR(COUNTIFS(Bets3[Date],L77,Bets3[Result],"W")/(COUNTIFS(Bets3[Date],L77,Bets3[Result],"W")+COUNTIFS(Bets3[Date],L77,Bets3[Result],"L")),"")</f>
        <v/>
      </c>
      <c r="O77" s="26">
        <f>SUMIF(Bets3[Date],L77,Bets3[Net])</f>
        <v>0</v>
      </c>
      <c r="P77" s="27" t="str">
        <f>IFERROR("("&amp;ROUND(SUMIF(Bets3[Date],L77,Bets3[Net])/SUMIF(Bets3[Date],L77,Bets3[Risk]),2)*100&amp;"%)","")</f>
        <v/>
      </c>
      <c r="Q77" s="72" t="str">
        <f t="shared" si="5"/>
        <v/>
      </c>
      <c r="R77" s="73" t="str">
        <f>IFERROR(SUMIF(Bets3[Date],"&lt;="&amp;L77,Bets3[Net])/SUMIF(Bets3[Date],"&lt;="&amp;L77,Bets3[Risk]),"")</f>
        <v/>
      </c>
    </row>
    <row r="78" spans="1:18" x14ac:dyDescent="0.25">
      <c r="A78" s="13">
        <f t="shared" si="3"/>
        <v>6</v>
      </c>
      <c r="B78" s="17">
        <v>43585</v>
      </c>
      <c r="C78" s="17" t="s">
        <v>802</v>
      </c>
      <c r="D78" s="18" t="s">
        <v>925</v>
      </c>
      <c r="E78" s="11" t="s">
        <v>1156</v>
      </c>
      <c r="F78" s="19">
        <f>IF(Bets35[[#This Row],[Odds]]&lt;0,Bets35[[#This Row],[Odds]]/-10,1000/Bets3[[#This Row],[Odds]])</f>
        <v>11</v>
      </c>
      <c r="G78" s="37">
        <v>-110</v>
      </c>
      <c r="H78" s="21" t="s">
        <v>263</v>
      </c>
      <c r="I78" s="45">
        <f>IF(Bets3[[#This Row],[Result]]="L",0-Bets3[[#This Row],[Risk]],IF(Bets3[[#This Row],[Result]]="Push",0,IF(Bets3[[#This Row],[Result]]="No Action",0,IF(Bets3[[#This Row],[Result]]="W",IF(Bets3[[#This Row],[Odds]]&gt;0,Bets3[[#This Row],[Odds]]/100*Bets3[[#This Row],[Risk]],(Bets3[[#This Row],[Risk]]/Bets3[[#This Row],[Odds]]*-100)),""))))</f>
        <v>-11</v>
      </c>
      <c r="J78" s="39" t="str">
        <f>IF(ISNUMBER(SEARCH(CHAR(10),Bets3[[#This Row],[Bet]])),"P",IF(ISNUMBER(FIND("Under",Bets3[[#This Row],[Bet]])),"U",IF(ISNUMBER(SEARCH("Over",Bets3[[#This Row],[Bet]])),"O",IF(ISNUMBER(SEARCH("+",Bets3[[#This Row],[Bet]])),"D",IF(ISNUMBER(SEARCH("-",Bets3[[#This Row],[Bet]])),"F",IF(ISNUMBER(SEARCH("Moneyline",Bets3[[#This Row],[Bet]])),IF(Bets3[[#This Row],[Odds]]&lt;0,"MF","MD"),""))))))</f>
        <v>O</v>
      </c>
      <c r="K78"/>
      <c r="L78" s="24">
        <f t="shared" si="4"/>
        <v>0</v>
      </c>
      <c r="M78" s="1" t="str">
        <f>COUNTIFS(Bets3[Date],L78,Bets3[Result],"W")&amp;"-"&amp;COUNTIFS(Bets3[Date],L78,Bets3[Result],"L")&amp;IF(COUNTIFS(Bets3[Date],L78,Bets3[Result],"Push")&gt;0,"-"&amp;COUNTIFS(Bets3[Date],L78,Bets3[Result],"Push"),"")</f>
        <v>0-0</v>
      </c>
      <c r="N78" s="25" t="str">
        <f>IFERROR(COUNTIFS(Bets3[Date],L78,Bets3[Result],"W")/(COUNTIFS(Bets3[Date],L78,Bets3[Result],"W")+COUNTIFS(Bets3[Date],L78,Bets3[Result],"L")),"")</f>
        <v/>
      </c>
      <c r="O78" s="26">
        <f>SUMIF(Bets3[Date],L78,Bets3[Net])</f>
        <v>0</v>
      </c>
      <c r="P78" s="27" t="str">
        <f>IFERROR("("&amp;ROUND(SUMIF(Bets3[Date],L78,Bets3[Net])/SUMIF(Bets3[Date],L78,Bets3[Risk]),2)*100&amp;"%)","")</f>
        <v/>
      </c>
      <c r="Q78" s="72" t="str">
        <f t="shared" si="5"/>
        <v/>
      </c>
      <c r="R78" s="73" t="str">
        <f>IFERROR(SUMIF(Bets3[Date],"&lt;="&amp;L78,Bets3[Net])/SUMIF(Bets3[Date],"&lt;="&amp;L78,Bets3[Risk]),"")</f>
        <v/>
      </c>
    </row>
    <row r="79" spans="1:18" x14ac:dyDescent="0.25">
      <c r="A79" s="13">
        <f t="shared" si="3"/>
        <v>6</v>
      </c>
      <c r="B79" s="17">
        <v>43585</v>
      </c>
      <c r="C79" s="17" t="s">
        <v>802</v>
      </c>
      <c r="D79" s="18" t="s">
        <v>1157</v>
      </c>
      <c r="E79" s="11" t="s">
        <v>931</v>
      </c>
      <c r="F79" s="19">
        <f>IF(Bets35[[#This Row],[Odds]]&lt;0,Bets35[[#This Row],[Odds]]/-10,1000/Bets3[[#This Row],[Odds]])</f>
        <v>11</v>
      </c>
      <c r="G79" s="37">
        <v>-110</v>
      </c>
      <c r="H79" s="21" t="s">
        <v>262</v>
      </c>
      <c r="I79" s="45">
        <f>IF(Bets3[[#This Row],[Result]]="L",0-Bets3[[#This Row],[Risk]],IF(Bets3[[#This Row],[Result]]="Push",0,IF(Bets3[[#This Row],[Result]]="No Action",0,IF(Bets3[[#This Row],[Result]]="W",IF(Bets3[[#This Row],[Odds]]&gt;0,Bets3[[#This Row],[Odds]]/100*Bets3[[#This Row],[Risk]],(Bets3[[#This Row],[Risk]]/Bets3[[#This Row],[Odds]]*-100)),""))))</f>
        <v>10</v>
      </c>
      <c r="J79" s="39" t="str">
        <f>IF(ISNUMBER(SEARCH(CHAR(10),Bets3[[#This Row],[Bet]])),"P",IF(ISNUMBER(FIND("Under",Bets3[[#This Row],[Bet]])),"U",IF(ISNUMBER(SEARCH("Over",Bets3[[#This Row],[Bet]])),"O",IF(ISNUMBER(SEARCH("+",Bets3[[#This Row],[Bet]])),"D",IF(ISNUMBER(SEARCH("-",Bets3[[#This Row],[Bet]])),"F",IF(ISNUMBER(SEARCH("Moneyline",Bets3[[#This Row],[Bet]])),IF(Bets3[[#This Row],[Odds]]&lt;0,"MF","MD"),""))))))</f>
        <v>O</v>
      </c>
      <c r="K79"/>
      <c r="L79" s="24">
        <f t="shared" si="4"/>
        <v>0</v>
      </c>
      <c r="M79" s="1" t="str">
        <f>COUNTIFS(Bets3[Date],L79,Bets3[Result],"W")&amp;"-"&amp;COUNTIFS(Bets3[Date],L79,Bets3[Result],"L")&amp;IF(COUNTIFS(Bets3[Date],L79,Bets3[Result],"Push")&gt;0,"-"&amp;COUNTIFS(Bets3[Date],L79,Bets3[Result],"Push"),"")</f>
        <v>0-0</v>
      </c>
      <c r="N79" s="25" t="str">
        <f>IFERROR(COUNTIFS(Bets3[Date],L79,Bets3[Result],"W")/(COUNTIFS(Bets3[Date],L79,Bets3[Result],"W")+COUNTIFS(Bets3[Date],L79,Bets3[Result],"L")),"")</f>
        <v/>
      </c>
      <c r="O79" s="26">
        <f>SUMIF(Bets3[Date],L79,Bets3[Net])</f>
        <v>0</v>
      </c>
      <c r="P79" s="27" t="str">
        <f>IFERROR("("&amp;ROUND(SUMIF(Bets3[Date],L79,Bets3[Net])/SUMIF(Bets3[Date],L79,Bets3[Risk]),2)*100&amp;"%)","")</f>
        <v/>
      </c>
      <c r="Q79" s="72" t="str">
        <f t="shared" si="5"/>
        <v/>
      </c>
      <c r="R79" s="73" t="str">
        <f>IFERROR(SUMIF(Bets3[Date],"&lt;="&amp;L79,Bets3[Net])/SUMIF(Bets3[Date],"&lt;="&amp;L79,Bets3[Risk]),"")</f>
        <v/>
      </c>
    </row>
    <row r="80" spans="1:18" x14ac:dyDescent="0.25">
      <c r="A80" s="13">
        <f t="shared" si="3"/>
        <v>6</v>
      </c>
      <c r="B80" s="17">
        <v>43585</v>
      </c>
      <c r="C80" s="17" t="s">
        <v>802</v>
      </c>
      <c r="D80" s="18" t="s">
        <v>1154</v>
      </c>
      <c r="E80" s="11" t="s">
        <v>1158</v>
      </c>
      <c r="F80" s="19">
        <f>IF(Bets35[[#This Row],[Odds]]&lt;0,Bets35[[#This Row],[Odds]]/-10,1000/Bets3[[#This Row],[Odds]])</f>
        <v>11</v>
      </c>
      <c r="G80" s="37">
        <v>-110</v>
      </c>
      <c r="H80" s="21" t="s">
        <v>262</v>
      </c>
      <c r="I80" s="45">
        <f>IF(Bets3[[#This Row],[Result]]="L",0-Bets3[[#This Row],[Risk]],IF(Bets3[[#This Row],[Result]]="Push",0,IF(Bets3[[#This Row],[Result]]="No Action",0,IF(Bets3[[#This Row],[Result]]="W",IF(Bets3[[#This Row],[Odds]]&gt;0,Bets3[[#This Row],[Odds]]/100*Bets3[[#This Row],[Risk]],(Bets3[[#This Row],[Risk]]/Bets3[[#This Row],[Odds]]*-100)),""))))</f>
        <v>10</v>
      </c>
      <c r="J80" s="39" t="str">
        <f>IF(ISNUMBER(SEARCH(CHAR(10),Bets3[[#This Row],[Bet]])),"P",IF(ISNUMBER(FIND("Under",Bets3[[#This Row],[Bet]])),"U",IF(ISNUMBER(SEARCH("Over",Bets3[[#This Row],[Bet]])),"O",IF(ISNUMBER(SEARCH("+",Bets3[[#This Row],[Bet]])),"D",IF(ISNUMBER(SEARCH("-",Bets3[[#This Row],[Bet]])),"F",IF(ISNUMBER(SEARCH("Moneyline",Bets3[[#This Row],[Bet]])),IF(Bets3[[#This Row],[Odds]]&lt;0,"MF","MD"),""))))))</f>
        <v>U</v>
      </c>
      <c r="K80"/>
      <c r="L80" s="24">
        <f t="shared" si="4"/>
        <v>0</v>
      </c>
      <c r="M80" s="1" t="str">
        <f>COUNTIFS(Bets3[Date],L80,Bets3[Result],"W")&amp;"-"&amp;COUNTIFS(Bets3[Date],L80,Bets3[Result],"L")&amp;IF(COUNTIFS(Bets3[Date],L80,Bets3[Result],"Push")&gt;0,"-"&amp;COUNTIFS(Bets3[Date],L80,Bets3[Result],"Push"),"")</f>
        <v>0-0</v>
      </c>
      <c r="N80" s="25" t="str">
        <f>IFERROR(COUNTIFS(Bets3[Date],L80,Bets3[Result],"W")/(COUNTIFS(Bets3[Date],L80,Bets3[Result],"W")+COUNTIFS(Bets3[Date],L80,Bets3[Result],"L")),"")</f>
        <v/>
      </c>
      <c r="O80" s="26">
        <f>SUMIF(Bets3[Date],L80,Bets3[Net])</f>
        <v>0</v>
      </c>
      <c r="P80" s="27" t="str">
        <f>IFERROR("("&amp;ROUND(SUMIF(Bets3[Date],L80,Bets3[Net])/SUMIF(Bets3[Date],L80,Bets3[Risk]),2)*100&amp;"%)","")</f>
        <v/>
      </c>
      <c r="Q80" s="72" t="str">
        <f t="shared" si="5"/>
        <v/>
      </c>
      <c r="R80" s="73" t="str">
        <f>IFERROR(SUMIF(Bets3[Date],"&lt;="&amp;L80,Bets3[Net])/SUMIF(Bets3[Date],"&lt;="&amp;L80,Bets3[Risk]),"")</f>
        <v/>
      </c>
    </row>
    <row r="81" spans="1:18" x14ac:dyDescent="0.25">
      <c r="A81" s="13">
        <f t="shared" si="3"/>
        <v>6</v>
      </c>
      <c r="B81" s="17">
        <v>43585</v>
      </c>
      <c r="C81" s="17" t="s">
        <v>802</v>
      </c>
      <c r="D81" s="18" t="s">
        <v>929</v>
      </c>
      <c r="E81" s="11" t="s">
        <v>905</v>
      </c>
      <c r="F81" s="19">
        <f>IF(Bets35[[#This Row],[Odds]]&lt;0,Bets35[[#This Row],[Odds]]/-10,1000/Bets3[[#This Row],[Odds]])</f>
        <v>10.5</v>
      </c>
      <c r="G81" s="37">
        <v>-105</v>
      </c>
      <c r="H81" s="21" t="s">
        <v>846</v>
      </c>
      <c r="I81" s="45">
        <f>IF(Bets3[[#This Row],[Result]]="L",0-Bets3[[#This Row],[Risk]],IF(Bets3[[#This Row],[Result]]="Push",0,IF(Bets3[[#This Row],[Result]]="No Action",0,IF(Bets3[[#This Row],[Result]]="W",IF(Bets3[[#This Row],[Odds]]&gt;0,Bets3[[#This Row],[Odds]]/100*Bets3[[#This Row],[Risk]],(Bets3[[#This Row],[Risk]]/Bets3[[#This Row],[Odds]]*-100)),""))))</f>
        <v>0</v>
      </c>
      <c r="J81" s="39" t="str">
        <f>IF(ISNUMBER(SEARCH(CHAR(10),Bets3[[#This Row],[Bet]])),"P",IF(ISNUMBER(FIND("Under",Bets3[[#This Row],[Bet]])),"U",IF(ISNUMBER(SEARCH("Over",Bets3[[#This Row],[Bet]])),"O",IF(ISNUMBER(SEARCH("+",Bets3[[#This Row],[Bet]])),"D",IF(ISNUMBER(SEARCH("-",Bets3[[#This Row],[Bet]])),"F",IF(ISNUMBER(SEARCH("Moneyline",Bets3[[#This Row],[Bet]])),IF(Bets3[[#This Row],[Odds]]&lt;0,"MF","MD"),""))))))</f>
        <v>O</v>
      </c>
      <c r="K81"/>
      <c r="L81" s="24">
        <f t="shared" si="4"/>
        <v>0</v>
      </c>
      <c r="M81" s="1" t="str">
        <f>COUNTIFS(Bets3[Date],L81,Bets3[Result],"W")&amp;"-"&amp;COUNTIFS(Bets3[Date],L81,Bets3[Result],"L")&amp;IF(COUNTIFS(Bets3[Date],L81,Bets3[Result],"Push")&gt;0,"-"&amp;COUNTIFS(Bets3[Date],L81,Bets3[Result],"Push"),"")</f>
        <v>0-0</v>
      </c>
      <c r="N81" s="25" t="str">
        <f>IFERROR(COUNTIFS(Bets3[Date],L81,Bets3[Result],"W")/(COUNTIFS(Bets3[Date],L81,Bets3[Result],"W")+COUNTIFS(Bets3[Date],L81,Bets3[Result],"L")),"")</f>
        <v/>
      </c>
      <c r="O81" s="26">
        <f>SUMIF(Bets3[Date],L81,Bets3[Net])</f>
        <v>0</v>
      </c>
      <c r="P81" s="27" t="str">
        <f>IFERROR("("&amp;ROUND(SUMIF(Bets3[Date],L81,Bets3[Net])/SUMIF(Bets3[Date],L81,Bets3[Risk]),2)*100&amp;"%)","")</f>
        <v/>
      </c>
      <c r="Q81" s="72" t="str">
        <f t="shared" si="5"/>
        <v/>
      </c>
      <c r="R81" s="73" t="str">
        <f>IFERROR(SUMIF(Bets3[Date],"&lt;="&amp;L81,Bets3[Net])/SUMIF(Bets3[Date],"&lt;="&amp;L81,Bets3[Risk]),"")</f>
        <v/>
      </c>
    </row>
    <row r="82" spans="1:18" x14ac:dyDescent="0.25">
      <c r="A82" s="13">
        <f t="shared" si="3"/>
        <v>6</v>
      </c>
      <c r="B82" s="17">
        <v>43585</v>
      </c>
      <c r="C82" s="17" t="s">
        <v>802</v>
      </c>
      <c r="D82" s="18" t="s">
        <v>935</v>
      </c>
      <c r="E82" s="11" t="s">
        <v>902</v>
      </c>
      <c r="F82" s="19">
        <f>IF(Bets35[[#This Row],[Odds]]&lt;0,Bets35[[#This Row],[Odds]]/-10,1000/Bets3[[#This Row],[Odds]])</f>
        <v>12</v>
      </c>
      <c r="G82" s="37">
        <v>-120</v>
      </c>
      <c r="H82" s="21" t="s">
        <v>262</v>
      </c>
      <c r="I82" s="45">
        <f>IF(Bets3[[#This Row],[Result]]="L",0-Bets3[[#This Row],[Risk]],IF(Bets3[[#This Row],[Result]]="Push",0,IF(Bets3[[#This Row],[Result]]="No Action",0,IF(Bets3[[#This Row],[Result]]="W",IF(Bets3[[#This Row],[Odds]]&gt;0,Bets3[[#This Row],[Odds]]/100*Bets3[[#This Row],[Risk]],(Bets3[[#This Row],[Risk]]/Bets3[[#This Row],[Odds]]*-100)),""))))</f>
        <v>10</v>
      </c>
      <c r="J82" s="23" t="str">
        <f>IF(ISNUMBER(SEARCH(CHAR(10),Bets3[[#This Row],[Bet]])),"P",IF(ISNUMBER(FIND("Under",Bets3[[#This Row],[Bet]])),"U",IF(ISNUMBER(SEARCH("Over",Bets3[[#This Row],[Bet]])),"O",IF(ISNUMBER(SEARCH("+",Bets3[[#This Row],[Bet]])),"D",IF(ISNUMBER(SEARCH("-",Bets3[[#This Row],[Bet]])),"F",IF(ISNUMBER(SEARCH("Moneyline",Bets3[[#This Row],[Bet]])),IF(Bets3[[#This Row],[Odds]]&lt;0,"MF","MD"),""))))))</f>
        <v>O</v>
      </c>
      <c r="K82"/>
      <c r="L82" s="24">
        <f t="shared" si="4"/>
        <v>0</v>
      </c>
      <c r="M82" s="1" t="str">
        <f>COUNTIFS(Bets3[Date],L82,Bets3[Result],"W")&amp;"-"&amp;COUNTIFS(Bets3[Date],L82,Bets3[Result],"L")&amp;IF(COUNTIFS(Bets3[Date],L82,Bets3[Result],"Push")&gt;0,"-"&amp;COUNTIFS(Bets3[Date],L82,Bets3[Result],"Push"),"")</f>
        <v>0-0</v>
      </c>
      <c r="N82" s="25" t="str">
        <f>IFERROR(COUNTIFS(Bets3[Date],L82,Bets3[Result],"W")/(COUNTIFS(Bets3[Date],L82,Bets3[Result],"W")+COUNTIFS(Bets3[Date],L82,Bets3[Result],"L")),"")</f>
        <v/>
      </c>
      <c r="O82" s="26">
        <f>SUMIF(Bets3[Date],L82,Bets3[Net])</f>
        <v>0</v>
      </c>
      <c r="P82" s="27" t="str">
        <f>IFERROR("("&amp;ROUND(SUMIF(Bets3[Date],L82,Bets3[Net])/SUMIF(Bets3[Date],L82,Bets3[Risk]),2)*100&amp;"%)","")</f>
        <v/>
      </c>
      <c r="Q82" s="72" t="str">
        <f t="shared" si="5"/>
        <v/>
      </c>
      <c r="R82" s="73" t="str">
        <f>IFERROR(SUMIF(Bets3[Date],"&lt;="&amp;L82,Bets3[Net])/SUMIF(Bets3[Date],"&lt;="&amp;L82,Bets3[Risk]),"")</f>
        <v/>
      </c>
    </row>
    <row r="83" spans="1:18" x14ac:dyDescent="0.25">
      <c r="A83" s="13">
        <f t="shared" si="3"/>
        <v>6</v>
      </c>
      <c r="B83" s="17">
        <v>43585</v>
      </c>
      <c r="C83" s="17" t="s">
        <v>802</v>
      </c>
      <c r="D83" s="18" t="s">
        <v>1159</v>
      </c>
      <c r="E83" s="11" t="s">
        <v>845</v>
      </c>
      <c r="F83" s="19">
        <f>IF(Bets35[[#This Row],[Odds]]&lt;0,Bets35[[#This Row],[Odds]]/-10,1000/Bets3[[#This Row],[Odds]])</f>
        <v>12.5</v>
      </c>
      <c r="G83" s="37">
        <v>-125</v>
      </c>
      <c r="H83" s="21" t="s">
        <v>262</v>
      </c>
      <c r="I83" s="45">
        <f>IF(Bets3[[#This Row],[Result]]="L",0-Bets3[[#This Row],[Risk]],IF(Bets3[[#This Row],[Result]]="Push",0,IF(Bets3[[#This Row],[Result]]="No Action",0,IF(Bets3[[#This Row],[Result]]="W",IF(Bets3[[#This Row],[Odds]]&gt;0,Bets3[[#This Row],[Odds]]/100*Bets3[[#This Row],[Risk]],(Bets3[[#This Row],[Risk]]/Bets3[[#This Row],[Odds]]*-100)),""))))</f>
        <v>10</v>
      </c>
      <c r="J83" s="39" t="str">
        <f>IF(ISNUMBER(SEARCH(CHAR(10),Bets3[[#This Row],[Bet]])),"P",IF(ISNUMBER(FIND("Under",Bets3[[#This Row],[Bet]])),"U",IF(ISNUMBER(SEARCH("Over",Bets3[[#This Row],[Bet]])),"O",IF(ISNUMBER(SEARCH("+",Bets3[[#This Row],[Bet]])),"D",IF(ISNUMBER(SEARCH("-",Bets3[[#This Row],[Bet]])),"F",IF(ISNUMBER(SEARCH("Moneyline",Bets3[[#This Row],[Bet]])),IF(Bets3[[#This Row],[Odds]]&lt;0,"MF","MD"),""))))))</f>
        <v>O</v>
      </c>
      <c r="K83"/>
      <c r="L83" s="24">
        <f t="shared" si="4"/>
        <v>0</v>
      </c>
      <c r="M83" s="1" t="str">
        <f>COUNTIFS(Bets3[Date],L83,Bets3[Result],"W")&amp;"-"&amp;COUNTIFS(Bets3[Date],L83,Bets3[Result],"L")&amp;IF(COUNTIFS(Bets3[Date],L83,Bets3[Result],"Push")&gt;0,"-"&amp;COUNTIFS(Bets3[Date],L83,Bets3[Result],"Push"),"")</f>
        <v>0-0</v>
      </c>
      <c r="N83" s="25" t="str">
        <f>IFERROR(COUNTIFS(Bets3[Date],L83,Bets3[Result],"W")/(COUNTIFS(Bets3[Date],L83,Bets3[Result],"W")+COUNTIFS(Bets3[Date],L83,Bets3[Result],"L")),"")</f>
        <v/>
      </c>
      <c r="O83" s="26">
        <f>SUMIF(Bets3[Date],L83,Bets3[Net])</f>
        <v>0</v>
      </c>
      <c r="P83" s="27" t="str">
        <f>IFERROR("("&amp;ROUND(SUMIF(Bets3[Date],L83,Bets3[Net])/SUMIF(Bets3[Date],L83,Bets3[Risk]),2)*100&amp;"%)","")</f>
        <v/>
      </c>
      <c r="Q83" s="72" t="str">
        <f t="shared" si="5"/>
        <v/>
      </c>
      <c r="R83" s="73" t="str">
        <f>IFERROR(SUMIF(Bets3[Date],"&lt;="&amp;L83,Bets3[Net])/SUMIF(Bets3[Date],"&lt;="&amp;L83,Bets3[Risk]),"")</f>
        <v/>
      </c>
    </row>
    <row r="84" spans="1:18" x14ac:dyDescent="0.25">
      <c r="A84" s="13">
        <f t="shared" si="3"/>
        <v>7</v>
      </c>
      <c r="B84" s="17">
        <v>43586</v>
      </c>
      <c r="C84" s="17" t="s">
        <v>802</v>
      </c>
      <c r="D84" s="18" t="s">
        <v>927</v>
      </c>
      <c r="E84" s="11" t="s">
        <v>1166</v>
      </c>
      <c r="F84" s="19">
        <f>IF(Bets35[[#This Row],[Odds]]&lt;0,Bets35[[#This Row],[Odds]]/-10,1000/Bets3[[#This Row],[Odds]])</f>
        <v>6.0606060606060606</v>
      </c>
      <c r="G84" s="37" t="s">
        <v>871</v>
      </c>
      <c r="H84" s="21" t="s">
        <v>262</v>
      </c>
      <c r="I84" s="45">
        <f>IF(Bets3[[#This Row],[Result]]="L",0-Bets3[[#This Row],[Risk]],IF(Bets3[[#This Row],[Result]]="Push",0,IF(Bets3[[#This Row],[Result]]="No Action",0,IF(Bets3[[#This Row],[Result]]="W",IF(Bets3[[#This Row],[Odds]]&gt;0,Bets3[[#This Row],[Odds]]/100*Bets3[[#This Row],[Risk]],(Bets3[[#This Row],[Risk]]/Bets3[[#This Row],[Odds]]*-100)),""))))</f>
        <v>10</v>
      </c>
      <c r="J84" s="23" t="str">
        <f>IF(ISNUMBER(SEARCH(CHAR(10),Bets3[[#This Row],[Bet]])),"P",IF(ISNUMBER(FIND("Under",Bets3[[#This Row],[Bet]])),"U",IF(ISNUMBER(SEARCH("Over",Bets3[[#This Row],[Bet]])),"O",IF(ISNUMBER(SEARCH("+",Bets3[[#This Row],[Bet]])),"D",IF(ISNUMBER(SEARCH("-",Bets3[[#This Row],[Bet]])),"F",IF(ISNUMBER(SEARCH("Moneyline",Bets3[[#This Row],[Bet]])),IF(Bets3[[#This Row],[Odds]]&lt;0,"MF","MD"),""))))))</f>
        <v>MD</v>
      </c>
      <c r="K84"/>
      <c r="L84" s="24">
        <f t="shared" si="4"/>
        <v>0</v>
      </c>
      <c r="M84" s="1" t="str">
        <f>COUNTIFS(Bets3[Date],L84,Bets3[Result],"W")&amp;"-"&amp;COUNTIFS(Bets3[Date],L84,Bets3[Result],"L")&amp;IF(COUNTIFS(Bets3[Date],L84,Bets3[Result],"Push")&gt;0,"-"&amp;COUNTIFS(Bets3[Date],L84,Bets3[Result],"Push"),"")</f>
        <v>0-0</v>
      </c>
      <c r="N84" s="25" t="str">
        <f>IFERROR(COUNTIFS(Bets3[Date],L84,Bets3[Result],"W")/(COUNTIFS(Bets3[Date],L84,Bets3[Result],"W")+COUNTIFS(Bets3[Date],L84,Bets3[Result],"L")),"")</f>
        <v/>
      </c>
      <c r="O84" s="26">
        <f>SUMIF(Bets3[Date],L84,Bets3[Net])</f>
        <v>0</v>
      </c>
      <c r="P84" s="27" t="str">
        <f>IFERROR("("&amp;ROUND(SUMIF(Bets3[Date],L84,Bets3[Net])/SUMIF(Bets3[Date],L84,Bets3[Risk]),2)*100&amp;"%)","")</f>
        <v/>
      </c>
      <c r="Q84" s="72" t="str">
        <f t="shared" si="5"/>
        <v/>
      </c>
      <c r="R84" s="73" t="str">
        <f>IFERROR(SUMIF(Bets3[Date],"&lt;="&amp;L84,Bets3[Net])/SUMIF(Bets3[Date],"&lt;="&amp;L84,Bets3[Risk]),"")</f>
        <v/>
      </c>
    </row>
    <row r="85" spans="1:18" x14ac:dyDescent="0.25">
      <c r="A85" s="13">
        <f t="shared" si="3"/>
        <v>7</v>
      </c>
      <c r="B85" s="17">
        <v>43586</v>
      </c>
      <c r="C85" s="17" t="s">
        <v>802</v>
      </c>
      <c r="D85" s="18" t="s">
        <v>926</v>
      </c>
      <c r="E85" s="11" t="s">
        <v>899</v>
      </c>
      <c r="F85" s="19">
        <f>IF(Bets35[[#This Row],[Odds]]&lt;0,Bets35[[#This Row],[Odds]]/-10,1000/Bets3[[#This Row],[Odds]])</f>
        <v>7.6923076923076925</v>
      </c>
      <c r="G85" s="37" t="s">
        <v>825</v>
      </c>
      <c r="H85" s="21" t="s">
        <v>262</v>
      </c>
      <c r="I85" s="45">
        <f>IF(Bets3[[#This Row],[Result]]="L",0-Bets3[[#This Row],[Risk]],IF(Bets3[[#This Row],[Result]]="Push",0,IF(Bets3[[#This Row],[Result]]="No Action",0,IF(Bets3[[#This Row],[Result]]="W",IF(Bets3[[#This Row],[Odds]]&gt;0,Bets3[[#This Row],[Odds]]/100*Bets3[[#This Row],[Risk]],(Bets3[[#This Row],[Risk]]/Bets3[[#This Row],[Odds]]*-100)),""))))</f>
        <v>10</v>
      </c>
      <c r="J85" s="23" t="str">
        <f>IF(ISNUMBER(SEARCH(CHAR(10),Bets3[[#This Row],[Bet]])),"P",IF(ISNUMBER(FIND("Under",Bets3[[#This Row],[Bet]])),"U",IF(ISNUMBER(SEARCH("Over",Bets3[[#This Row],[Bet]])),"O",IF(ISNUMBER(SEARCH("+",Bets3[[#This Row],[Bet]])),"D",IF(ISNUMBER(SEARCH("-",Bets3[[#This Row],[Bet]])),"F",IF(ISNUMBER(SEARCH("Moneyline",Bets3[[#This Row],[Bet]])),IF(Bets3[[#This Row],[Odds]]&lt;0,"MF","MD"),""))))))</f>
        <v>MD</v>
      </c>
      <c r="K85"/>
      <c r="L85" s="24">
        <f t="shared" si="4"/>
        <v>0</v>
      </c>
      <c r="M85" s="1" t="str">
        <f>COUNTIFS(Bets3[Date],L85,Bets3[Result],"W")&amp;"-"&amp;COUNTIFS(Bets3[Date],L85,Bets3[Result],"L")&amp;IF(COUNTIFS(Bets3[Date],L85,Bets3[Result],"Push")&gt;0,"-"&amp;COUNTIFS(Bets3[Date],L85,Bets3[Result],"Push"),"")</f>
        <v>0-0</v>
      </c>
      <c r="N85" s="25" t="str">
        <f>IFERROR(COUNTIFS(Bets3[Date],L85,Bets3[Result],"W")/(COUNTIFS(Bets3[Date],L85,Bets3[Result],"W")+COUNTIFS(Bets3[Date],L85,Bets3[Result],"L")),"")</f>
        <v/>
      </c>
      <c r="O85" s="26">
        <f>SUMIF(Bets3[Date],L85,Bets3[Net])</f>
        <v>0</v>
      </c>
      <c r="P85" s="27" t="str">
        <f>IFERROR("("&amp;ROUND(SUMIF(Bets3[Date],L85,Bets3[Net])/SUMIF(Bets3[Date],L85,Bets3[Risk]),2)*100&amp;"%)","")</f>
        <v/>
      </c>
      <c r="Q85" s="72" t="str">
        <f t="shared" si="5"/>
        <v/>
      </c>
      <c r="R85" s="73" t="str">
        <f>IFERROR(SUMIF(Bets3[Date],"&lt;="&amp;L85,Bets3[Net])/SUMIF(Bets3[Date],"&lt;="&amp;L85,Bets3[Risk]),"")</f>
        <v/>
      </c>
    </row>
    <row r="86" spans="1:18" x14ac:dyDescent="0.25">
      <c r="A86" s="13">
        <f t="shared" si="3"/>
        <v>7</v>
      </c>
      <c r="B86" s="17">
        <v>43586</v>
      </c>
      <c r="C86" s="17" t="s">
        <v>802</v>
      </c>
      <c r="D86" s="18" t="s">
        <v>1151</v>
      </c>
      <c r="E86" s="11" t="s">
        <v>888</v>
      </c>
      <c r="F86" s="19">
        <f>IF(Bets35[[#This Row],[Odds]]&lt;0,Bets35[[#This Row],[Odds]]/-10,1000/Bets3[[#This Row],[Odds]])</f>
        <v>8.695652173913043</v>
      </c>
      <c r="G86" s="37" t="s">
        <v>828</v>
      </c>
      <c r="H86" s="21" t="s">
        <v>262</v>
      </c>
      <c r="I86" s="45">
        <f>IF(Bets3[[#This Row],[Result]]="L",0-Bets3[[#This Row],[Risk]],IF(Bets3[[#This Row],[Result]]="Push",0,IF(Bets3[[#This Row],[Result]]="No Action",0,IF(Bets3[[#This Row],[Result]]="W",IF(Bets3[[#This Row],[Odds]]&gt;0,Bets3[[#This Row],[Odds]]/100*Bets3[[#This Row],[Risk]],(Bets3[[#This Row],[Risk]]/Bets3[[#This Row],[Odds]]*-100)),""))))</f>
        <v>9.9999999999999982</v>
      </c>
      <c r="J86" s="39" t="str">
        <f>IF(ISNUMBER(SEARCH(CHAR(10),Bets3[[#This Row],[Bet]])),"P",IF(ISNUMBER(FIND("Under",Bets3[[#This Row],[Bet]])),"U",IF(ISNUMBER(SEARCH("Over",Bets3[[#This Row],[Bet]])),"O",IF(ISNUMBER(SEARCH("+",Bets3[[#This Row],[Bet]])),"D",IF(ISNUMBER(SEARCH("-",Bets3[[#This Row],[Bet]])),"F",IF(ISNUMBER(SEARCH("Moneyline",Bets3[[#This Row],[Bet]])),IF(Bets3[[#This Row],[Odds]]&lt;0,"MF","MD"),""))))))</f>
        <v>MD</v>
      </c>
      <c r="K86"/>
      <c r="L86" s="24">
        <f t="shared" si="4"/>
        <v>0</v>
      </c>
      <c r="M86" s="1" t="str">
        <f>COUNTIFS(Bets3[Date],L86,Bets3[Result],"W")&amp;"-"&amp;COUNTIFS(Bets3[Date],L86,Bets3[Result],"L")&amp;IF(COUNTIFS(Bets3[Date],L86,Bets3[Result],"Push")&gt;0,"-"&amp;COUNTIFS(Bets3[Date],L86,Bets3[Result],"Push"),"")</f>
        <v>0-0</v>
      </c>
      <c r="N86" s="25" t="str">
        <f>IFERROR(COUNTIFS(Bets3[Date],L86,Bets3[Result],"W")/(COUNTIFS(Bets3[Date],L86,Bets3[Result],"W")+COUNTIFS(Bets3[Date],L86,Bets3[Result],"L")),"")</f>
        <v/>
      </c>
      <c r="O86" s="26">
        <f>SUMIF(Bets3[Date],L86,Bets3[Net])</f>
        <v>0</v>
      </c>
      <c r="P86" s="27" t="str">
        <f>IFERROR("("&amp;ROUND(SUMIF(Bets3[Date],L86,Bets3[Net])/SUMIF(Bets3[Date],L86,Bets3[Risk]),2)*100&amp;"%)","")</f>
        <v/>
      </c>
      <c r="Q86" s="72" t="str">
        <f t="shared" si="5"/>
        <v/>
      </c>
      <c r="R86" s="73" t="str">
        <f>IFERROR(SUMIF(Bets3[Date],"&lt;="&amp;L86,Bets3[Net])/SUMIF(Bets3[Date],"&lt;="&amp;L86,Bets3[Risk]),"")</f>
        <v/>
      </c>
    </row>
    <row r="87" spans="1:18" x14ac:dyDescent="0.25">
      <c r="A87" s="13">
        <f t="shared" si="3"/>
        <v>7</v>
      </c>
      <c r="B87" s="17">
        <v>43586</v>
      </c>
      <c r="C87" s="17" t="s">
        <v>802</v>
      </c>
      <c r="D87" s="18" t="s">
        <v>932</v>
      </c>
      <c r="E87" s="11" t="s">
        <v>815</v>
      </c>
      <c r="F87" s="19">
        <f>IF(Bets35[[#This Row],[Odds]]&lt;0,Bets35[[#This Row],[Odds]]/-10,1000/Bets3[[#This Row],[Odds]])</f>
        <v>15.6</v>
      </c>
      <c r="G87" s="37">
        <v>-156</v>
      </c>
      <c r="H87" s="21" t="s">
        <v>262</v>
      </c>
      <c r="I87" s="45">
        <f>IF(Bets3[[#This Row],[Result]]="L",0-Bets3[[#This Row],[Risk]],IF(Bets3[[#This Row],[Result]]="Push",0,IF(Bets3[[#This Row],[Result]]="No Action",0,IF(Bets3[[#This Row],[Result]]="W",IF(Bets3[[#This Row],[Odds]]&gt;0,Bets3[[#This Row],[Odds]]/100*Bets3[[#This Row],[Risk]],(Bets3[[#This Row],[Risk]]/Bets3[[#This Row],[Odds]]*-100)),""))))</f>
        <v>10</v>
      </c>
      <c r="J87" s="39" t="str">
        <f>IF(ISNUMBER(SEARCH(CHAR(10),Bets3[[#This Row],[Bet]])),"P",IF(ISNUMBER(FIND("Under",Bets3[[#This Row],[Bet]])),"U",IF(ISNUMBER(SEARCH("Over",Bets3[[#This Row],[Bet]])),"O",IF(ISNUMBER(SEARCH("+",Bets3[[#This Row],[Bet]])),"D",IF(ISNUMBER(SEARCH("-",Bets3[[#This Row],[Bet]])),"F",IF(ISNUMBER(SEARCH("Moneyline",Bets3[[#This Row],[Bet]])),IF(Bets3[[#This Row],[Odds]]&lt;0,"MF","MD"),""))))))</f>
        <v>MF</v>
      </c>
      <c r="K87"/>
      <c r="L87" s="24">
        <f t="shared" si="4"/>
        <v>0</v>
      </c>
      <c r="M87" s="1" t="str">
        <f>COUNTIFS(Bets3[Date],L87,Bets3[Result],"W")&amp;"-"&amp;COUNTIFS(Bets3[Date],L87,Bets3[Result],"L")&amp;IF(COUNTIFS(Bets3[Date],L87,Bets3[Result],"Push")&gt;0,"-"&amp;COUNTIFS(Bets3[Date],L87,Bets3[Result],"Push"),"")</f>
        <v>0-0</v>
      </c>
      <c r="N87" s="25" t="str">
        <f>IFERROR(COUNTIFS(Bets3[Date],L87,Bets3[Result],"W")/(COUNTIFS(Bets3[Date],L87,Bets3[Result],"W")+COUNTIFS(Bets3[Date],L87,Bets3[Result],"L")),"")</f>
        <v/>
      </c>
      <c r="O87" s="26">
        <f>SUMIF(Bets3[Date],L87,Bets3[Net])</f>
        <v>0</v>
      </c>
      <c r="P87" s="27" t="str">
        <f>IFERROR("("&amp;ROUND(SUMIF(Bets3[Date],L87,Bets3[Net])/SUMIF(Bets3[Date],L87,Bets3[Risk]),2)*100&amp;"%)","")</f>
        <v/>
      </c>
      <c r="Q87" s="72" t="str">
        <f t="shared" si="5"/>
        <v/>
      </c>
      <c r="R87" s="73" t="str">
        <f>IFERROR(SUMIF(Bets3[Date],"&lt;="&amp;L87,Bets3[Net])/SUMIF(Bets3[Date],"&lt;="&amp;L87,Bets3[Risk]),"")</f>
        <v/>
      </c>
    </row>
    <row r="88" spans="1:18" x14ac:dyDescent="0.25">
      <c r="A88" s="13">
        <f t="shared" si="3"/>
        <v>7</v>
      </c>
      <c r="B88" s="17">
        <v>43586</v>
      </c>
      <c r="C88" s="17" t="s">
        <v>802</v>
      </c>
      <c r="D88" s="18" t="s">
        <v>1157</v>
      </c>
      <c r="E88" s="11" t="s">
        <v>897</v>
      </c>
      <c r="F88" s="19">
        <f>IF(Bets35[[#This Row],[Odds]]&lt;0,Bets35[[#This Row],[Odds]]/-10,1000/Bets3[[#This Row],[Odds]])</f>
        <v>14.2</v>
      </c>
      <c r="G88" s="37">
        <v>-142</v>
      </c>
      <c r="H88" s="21" t="s">
        <v>263</v>
      </c>
      <c r="I88" s="45">
        <f>IF(Bets3[[#This Row],[Result]]="L",0-Bets3[[#This Row],[Risk]],IF(Bets3[[#This Row],[Result]]="Push",0,IF(Bets3[[#This Row],[Result]]="No Action",0,IF(Bets3[[#This Row],[Result]]="W",IF(Bets3[[#This Row],[Odds]]&gt;0,Bets3[[#This Row],[Odds]]/100*Bets3[[#This Row],[Risk]],(Bets3[[#This Row],[Risk]]/Bets3[[#This Row],[Odds]]*-100)),""))))</f>
        <v>-14.2</v>
      </c>
      <c r="J88" s="39" t="str">
        <f>IF(ISNUMBER(SEARCH(CHAR(10),Bets3[[#This Row],[Bet]])),"P",IF(ISNUMBER(FIND("Under",Bets3[[#This Row],[Bet]])),"U",IF(ISNUMBER(SEARCH("Over",Bets3[[#This Row],[Bet]])),"O",IF(ISNUMBER(SEARCH("+",Bets3[[#This Row],[Bet]])),"D",IF(ISNUMBER(SEARCH("-",Bets3[[#This Row],[Bet]])),"F",IF(ISNUMBER(SEARCH("Moneyline",Bets3[[#This Row],[Bet]])),IF(Bets3[[#This Row],[Odds]]&lt;0,"MF","MD"),""))))))</f>
        <v>MF</v>
      </c>
      <c r="K88"/>
      <c r="L88" s="24">
        <f t="shared" si="4"/>
        <v>0</v>
      </c>
      <c r="M88" s="1" t="str">
        <f>COUNTIFS(Bets3[Date],L88,Bets3[Result],"W")&amp;"-"&amp;COUNTIFS(Bets3[Date],L88,Bets3[Result],"L")&amp;IF(COUNTIFS(Bets3[Date],L88,Bets3[Result],"Push")&gt;0,"-"&amp;COUNTIFS(Bets3[Date],L88,Bets3[Result],"Push"),"")</f>
        <v>0-0</v>
      </c>
      <c r="N88" s="25" t="str">
        <f>IFERROR(COUNTIFS(Bets3[Date],L88,Bets3[Result],"W")/(COUNTIFS(Bets3[Date],L88,Bets3[Result],"W")+COUNTIFS(Bets3[Date],L88,Bets3[Result],"L")),"")</f>
        <v/>
      </c>
      <c r="O88" s="26">
        <f>SUMIF(Bets3[Date],L88,Bets3[Net])</f>
        <v>0</v>
      </c>
      <c r="P88" s="27" t="str">
        <f>IFERROR("("&amp;ROUND(SUMIF(Bets3[Date],L88,Bets3[Net])/SUMIF(Bets3[Date],L88,Bets3[Risk]),2)*100&amp;"%)","")</f>
        <v/>
      </c>
      <c r="Q88" s="72" t="str">
        <f t="shared" si="5"/>
        <v/>
      </c>
      <c r="R88" s="73" t="str">
        <f>IFERROR(SUMIF(Bets3[Date],"&lt;="&amp;L88,Bets3[Net])/SUMIF(Bets3[Date],"&lt;="&amp;L88,Bets3[Risk]),"")</f>
        <v/>
      </c>
    </row>
    <row r="89" spans="1:18" x14ac:dyDescent="0.25">
      <c r="A89" s="13">
        <f t="shared" si="3"/>
        <v>7</v>
      </c>
      <c r="B89" s="17">
        <v>43586</v>
      </c>
      <c r="C89" s="17" t="s">
        <v>802</v>
      </c>
      <c r="D89" s="18" t="s">
        <v>935</v>
      </c>
      <c r="E89" s="11" t="s">
        <v>827</v>
      </c>
      <c r="F89" s="19">
        <f>IF(Bets35[[#This Row],[Odds]]&lt;0,Bets35[[#This Row],[Odds]]/-10,1000/Bets3[[#This Row],[Odds]])</f>
        <v>14.9</v>
      </c>
      <c r="G89" s="37">
        <v>-149</v>
      </c>
      <c r="H89" s="21" t="s">
        <v>263</v>
      </c>
      <c r="I89" s="45">
        <f>IF(Bets3[[#This Row],[Result]]="L",0-Bets3[[#This Row],[Risk]],IF(Bets3[[#This Row],[Result]]="Push",0,IF(Bets3[[#This Row],[Result]]="No Action",0,IF(Bets3[[#This Row],[Result]]="W",IF(Bets3[[#This Row],[Odds]]&gt;0,Bets3[[#This Row],[Odds]]/100*Bets3[[#This Row],[Risk]],(Bets3[[#This Row],[Risk]]/Bets3[[#This Row],[Odds]]*-100)),""))))</f>
        <v>-14.9</v>
      </c>
      <c r="J89" s="39" t="str">
        <f>IF(ISNUMBER(SEARCH(CHAR(10),Bets3[[#This Row],[Bet]])),"P",IF(ISNUMBER(FIND("Under",Bets3[[#This Row],[Bet]])),"U",IF(ISNUMBER(SEARCH("Over",Bets3[[#This Row],[Bet]])),"O",IF(ISNUMBER(SEARCH("+",Bets3[[#This Row],[Bet]])),"D",IF(ISNUMBER(SEARCH("-",Bets3[[#This Row],[Bet]])),"F",IF(ISNUMBER(SEARCH("Moneyline",Bets3[[#This Row],[Bet]])),IF(Bets3[[#This Row],[Odds]]&lt;0,"MF","MD"),""))))))</f>
        <v>MF</v>
      </c>
      <c r="K89"/>
      <c r="L89" s="24">
        <f t="shared" si="4"/>
        <v>0</v>
      </c>
      <c r="M89" s="1" t="str">
        <f>COUNTIFS(Bets3[Date],L89,Bets3[Result],"W")&amp;"-"&amp;COUNTIFS(Bets3[Date],L89,Bets3[Result],"L")&amp;IF(COUNTIFS(Bets3[Date],L89,Bets3[Result],"Push")&gt;0,"-"&amp;COUNTIFS(Bets3[Date],L89,Bets3[Result],"Push"),"")</f>
        <v>0-0</v>
      </c>
      <c r="N89" s="25" t="str">
        <f>IFERROR(COUNTIFS(Bets3[Date],L89,Bets3[Result],"W")/(COUNTIFS(Bets3[Date],L89,Bets3[Result],"W")+COUNTIFS(Bets3[Date],L89,Bets3[Result],"L")),"")</f>
        <v/>
      </c>
      <c r="O89" s="26">
        <f>SUMIF(Bets3[Date],L89,Bets3[Net])</f>
        <v>0</v>
      </c>
      <c r="P89" s="27" t="str">
        <f>IFERROR("("&amp;ROUND(SUMIF(Bets3[Date],L89,Bets3[Net])/SUMIF(Bets3[Date],L89,Bets3[Risk]),2)*100&amp;"%)","")</f>
        <v/>
      </c>
      <c r="Q89" s="72" t="str">
        <f t="shared" si="5"/>
        <v/>
      </c>
      <c r="R89" s="73" t="str">
        <f>IFERROR(SUMIF(Bets3[Date],"&lt;="&amp;L89,Bets3[Net])/SUMIF(Bets3[Date],"&lt;="&amp;L89,Bets3[Risk]),"")</f>
        <v/>
      </c>
    </row>
    <row r="90" spans="1:18" x14ac:dyDescent="0.25">
      <c r="A90" s="13">
        <f t="shared" si="3"/>
        <v>7</v>
      </c>
      <c r="B90" s="17">
        <v>43586</v>
      </c>
      <c r="C90" s="17" t="s">
        <v>802</v>
      </c>
      <c r="D90" s="18" t="s">
        <v>1155</v>
      </c>
      <c r="E90" s="11" t="s">
        <v>931</v>
      </c>
      <c r="F90" s="19">
        <f>IF(Bets35[[#This Row],[Odds]]&lt;0,Bets35[[#This Row],[Odds]]/-10,1000/Bets3[[#This Row],[Odds]])</f>
        <v>11.5</v>
      </c>
      <c r="G90" s="37">
        <v>-115</v>
      </c>
      <c r="H90" s="37" t="s">
        <v>263</v>
      </c>
      <c r="I90" s="45">
        <f>IF(Bets3[[#This Row],[Result]]="L",0-Bets3[[#This Row],[Risk]],IF(Bets3[[#This Row],[Result]]="Push",0,IF(Bets3[[#This Row],[Result]]="No Action",0,IF(Bets3[[#This Row],[Result]]="W",IF(Bets3[[#This Row],[Odds]]&gt;0,Bets3[[#This Row],[Odds]]/100*Bets3[[#This Row],[Risk]],(Bets3[[#This Row],[Risk]]/Bets3[[#This Row],[Odds]]*-100)),""))))</f>
        <v>-11.5</v>
      </c>
      <c r="J90" s="39" t="str">
        <f>IF(ISNUMBER(SEARCH(CHAR(10),Bets3[[#This Row],[Bet]])),"P",IF(ISNUMBER(FIND("Under",Bets3[[#This Row],[Bet]])),"U",IF(ISNUMBER(SEARCH("Over",Bets3[[#This Row],[Bet]])),"O",IF(ISNUMBER(SEARCH("+",Bets3[[#This Row],[Bet]])),"D",IF(ISNUMBER(SEARCH("-",Bets3[[#This Row],[Bet]])),"F",IF(ISNUMBER(SEARCH("Moneyline",Bets3[[#This Row],[Bet]])),IF(Bets3[[#This Row],[Odds]]&lt;0,"MF","MD"),""))))))</f>
        <v>O</v>
      </c>
      <c r="K90"/>
      <c r="L90" s="24">
        <f t="shared" si="4"/>
        <v>0</v>
      </c>
      <c r="M90" s="1" t="str">
        <f>COUNTIFS(Bets3[Date],L90,Bets3[Result],"W")&amp;"-"&amp;COUNTIFS(Bets3[Date],L90,Bets3[Result],"L")&amp;IF(COUNTIFS(Bets3[Date],L90,Bets3[Result],"Push")&gt;0,"-"&amp;COUNTIFS(Bets3[Date],L90,Bets3[Result],"Push"),"")</f>
        <v>0-0</v>
      </c>
      <c r="N90" s="25" t="str">
        <f>IFERROR(COUNTIFS(Bets3[Date],L90,Bets3[Result],"W")/(COUNTIFS(Bets3[Date],L90,Bets3[Result],"W")+COUNTIFS(Bets3[Date],L90,Bets3[Result],"L")),"")</f>
        <v/>
      </c>
      <c r="O90" s="26">
        <f>SUMIF(Bets3[Date],L90,Bets3[Net])</f>
        <v>0</v>
      </c>
      <c r="P90" s="27" t="str">
        <f>IFERROR("("&amp;ROUND(SUMIF(Bets3[Date],L90,Bets3[Net])/SUMIF(Bets3[Date],L90,Bets3[Risk]),2)*100&amp;"%)","")</f>
        <v/>
      </c>
      <c r="Q90" s="72" t="str">
        <f t="shared" si="5"/>
        <v/>
      </c>
      <c r="R90" s="73" t="str">
        <f>IFERROR(SUMIF(Bets3[Date],"&lt;="&amp;L90,Bets3[Net])/SUMIF(Bets3[Date],"&lt;="&amp;L90,Bets3[Risk]),"")</f>
        <v/>
      </c>
    </row>
    <row r="91" spans="1:18" x14ac:dyDescent="0.25">
      <c r="A91" s="13">
        <f t="shared" si="3"/>
        <v>7</v>
      </c>
      <c r="B91" s="17">
        <v>43586</v>
      </c>
      <c r="C91" s="17" t="s">
        <v>802</v>
      </c>
      <c r="D91" s="18" t="s">
        <v>929</v>
      </c>
      <c r="E91" s="11" t="s">
        <v>905</v>
      </c>
      <c r="F91" s="19">
        <f>IF(Bets35[[#This Row],[Odds]]&lt;0,Bets35[[#This Row],[Odds]]/-10,1000/Bets3[[#This Row],[Odds]])</f>
        <v>10.5</v>
      </c>
      <c r="G91" s="37">
        <v>-105</v>
      </c>
      <c r="H91" s="37" t="s">
        <v>846</v>
      </c>
      <c r="I91" s="45">
        <f>IF(Bets3[[#This Row],[Result]]="L",0-Bets3[[#This Row],[Risk]],IF(Bets3[[#This Row],[Result]]="Push",0,IF(Bets3[[#This Row],[Result]]="No Action",0,IF(Bets3[[#This Row],[Result]]="W",IF(Bets3[[#This Row],[Odds]]&gt;0,Bets3[[#This Row],[Odds]]/100*Bets3[[#This Row],[Risk]],(Bets3[[#This Row],[Risk]]/Bets3[[#This Row],[Odds]]*-100)),""))))</f>
        <v>0</v>
      </c>
      <c r="J91" s="39" t="str">
        <f>IF(ISNUMBER(SEARCH(CHAR(10),Bets3[[#This Row],[Bet]])),"P",IF(ISNUMBER(FIND("Under",Bets3[[#This Row],[Bet]])),"U",IF(ISNUMBER(SEARCH("Over",Bets3[[#This Row],[Bet]])),"O",IF(ISNUMBER(SEARCH("+",Bets3[[#This Row],[Bet]])),"D",IF(ISNUMBER(SEARCH("-",Bets3[[#This Row],[Bet]])),"F",IF(ISNUMBER(SEARCH("Moneyline",Bets3[[#This Row],[Bet]])),IF(Bets3[[#This Row],[Odds]]&lt;0,"MF","MD"),""))))))</f>
        <v>O</v>
      </c>
      <c r="K91"/>
      <c r="L91" s="24">
        <f t="shared" si="4"/>
        <v>0</v>
      </c>
      <c r="M91" s="1" t="str">
        <f>COUNTIFS(Bets3[Date],L91,Bets3[Result],"W")&amp;"-"&amp;COUNTIFS(Bets3[Date],L91,Bets3[Result],"L")&amp;IF(COUNTIFS(Bets3[Date],L91,Bets3[Result],"Push")&gt;0,"-"&amp;COUNTIFS(Bets3[Date],L91,Bets3[Result],"Push"),"")</f>
        <v>0-0</v>
      </c>
      <c r="N91" s="25" t="str">
        <f>IFERROR(COUNTIFS(Bets3[Date],L91,Bets3[Result],"W")/(COUNTIFS(Bets3[Date],L91,Bets3[Result],"W")+COUNTIFS(Bets3[Date],L91,Bets3[Result],"L")),"")</f>
        <v/>
      </c>
      <c r="O91" s="26">
        <f>SUMIF(Bets3[Date],L91,Bets3[Net])</f>
        <v>0</v>
      </c>
      <c r="P91" s="27" t="str">
        <f>IFERROR("("&amp;ROUND(SUMIF(Bets3[Date],L91,Bets3[Net])/SUMIF(Bets3[Date],L91,Bets3[Risk]),2)*100&amp;"%)","")</f>
        <v/>
      </c>
      <c r="Q91" s="72" t="str">
        <f t="shared" si="5"/>
        <v/>
      </c>
      <c r="R91" s="73" t="str">
        <f>IFERROR(SUMIF(Bets3[Date],"&lt;="&amp;L91,Bets3[Net])/SUMIF(Bets3[Date],"&lt;="&amp;L91,Bets3[Risk]),"")</f>
        <v/>
      </c>
    </row>
    <row r="92" spans="1:18" x14ac:dyDescent="0.25">
      <c r="A92" s="13">
        <f t="shared" si="3"/>
        <v>7</v>
      </c>
      <c r="B92" s="17">
        <v>43586</v>
      </c>
      <c r="C92" s="17" t="s">
        <v>802</v>
      </c>
      <c r="D92" s="18" t="s">
        <v>1159</v>
      </c>
      <c r="E92" s="11" t="s">
        <v>845</v>
      </c>
      <c r="F92" s="19">
        <f>IF(Bets35[[#This Row],[Odds]]&lt;0,Bets35[[#This Row],[Odds]]/-10,1000/Bets3[[#This Row],[Odds]])</f>
        <v>12</v>
      </c>
      <c r="G92" s="37">
        <v>-120</v>
      </c>
      <c r="H92" s="37" t="s">
        <v>262</v>
      </c>
      <c r="I92" s="45">
        <f>IF(Bets3[[#This Row],[Result]]="L",0-Bets3[[#This Row],[Risk]],IF(Bets3[[#This Row],[Result]]="Push",0,IF(Bets3[[#This Row],[Result]]="No Action",0,IF(Bets3[[#This Row],[Result]]="W",IF(Bets3[[#This Row],[Odds]]&gt;0,Bets3[[#This Row],[Odds]]/100*Bets3[[#This Row],[Risk]],(Bets3[[#This Row],[Risk]]/Bets3[[#This Row],[Odds]]*-100)),""))))</f>
        <v>10</v>
      </c>
      <c r="J92" s="39" t="str">
        <f>IF(ISNUMBER(SEARCH(CHAR(10),Bets3[[#This Row],[Bet]])),"P",IF(ISNUMBER(FIND("Under",Bets3[[#This Row],[Bet]])),"U",IF(ISNUMBER(SEARCH("Over",Bets3[[#This Row],[Bet]])),"O",IF(ISNUMBER(SEARCH("+",Bets3[[#This Row],[Bet]])),"D",IF(ISNUMBER(SEARCH("-",Bets3[[#This Row],[Bet]])),"F",IF(ISNUMBER(SEARCH("Moneyline",Bets3[[#This Row],[Bet]])),IF(Bets3[[#This Row],[Odds]]&lt;0,"MF","MD"),""))))))</f>
        <v>O</v>
      </c>
      <c r="K92"/>
      <c r="L92" s="24">
        <f t="shared" si="4"/>
        <v>0</v>
      </c>
      <c r="M92" s="1" t="str">
        <f>COUNTIFS(Bets3[Date],L92,Bets3[Result],"W")&amp;"-"&amp;COUNTIFS(Bets3[Date],L92,Bets3[Result],"L")&amp;IF(COUNTIFS(Bets3[Date],L92,Bets3[Result],"Push")&gt;0,"-"&amp;COUNTIFS(Bets3[Date],L92,Bets3[Result],"Push"),"")</f>
        <v>0-0</v>
      </c>
      <c r="N92" s="25" t="str">
        <f>IFERROR(COUNTIFS(Bets3[Date],L92,Bets3[Result],"W")/(COUNTIFS(Bets3[Date],L92,Bets3[Result],"W")+COUNTIFS(Bets3[Date],L92,Bets3[Result],"L")),"")</f>
        <v/>
      </c>
      <c r="O92" s="26">
        <f>SUMIF(Bets3[Date],L92,Bets3[Net])</f>
        <v>0</v>
      </c>
      <c r="P92" s="27" t="str">
        <f>IFERROR("("&amp;ROUND(SUMIF(Bets3[Date],L92,Bets3[Net])/SUMIF(Bets3[Date],L92,Bets3[Risk]),2)*100&amp;"%)","")</f>
        <v/>
      </c>
      <c r="Q92" s="72" t="str">
        <f t="shared" si="5"/>
        <v/>
      </c>
      <c r="R92" s="73" t="str">
        <f>IFERROR(SUMIF(Bets3[Date],"&lt;="&amp;L92,Bets3[Net])/SUMIF(Bets3[Date],"&lt;="&amp;L92,Bets3[Risk]),"")</f>
        <v/>
      </c>
    </row>
    <row r="93" spans="1:18" x14ac:dyDescent="0.25">
      <c r="A93" s="13">
        <f t="shared" si="3"/>
        <v>7</v>
      </c>
      <c r="B93" s="17">
        <v>43586</v>
      </c>
      <c r="C93" s="17" t="s">
        <v>802</v>
      </c>
      <c r="D93" s="18" t="s">
        <v>927</v>
      </c>
      <c r="E93" s="11" t="s">
        <v>1167</v>
      </c>
      <c r="F93" s="19">
        <f>IF(Bets35[[#This Row],[Odds]]&lt;0,Bets35[[#This Row],[Odds]]/-10,1000/Bets3[[#This Row],[Odds]])</f>
        <v>11.5</v>
      </c>
      <c r="G93" s="37">
        <v>-115</v>
      </c>
      <c r="H93" s="37" t="s">
        <v>263</v>
      </c>
      <c r="I93" s="45">
        <f>IF(Bets3[[#This Row],[Result]]="L",0-Bets3[[#This Row],[Risk]],IF(Bets3[[#This Row],[Result]]="Push",0,IF(Bets3[[#This Row],[Result]]="No Action",0,IF(Bets3[[#This Row],[Result]]="W",IF(Bets3[[#This Row],[Odds]]&gt;0,Bets3[[#This Row],[Odds]]/100*Bets3[[#This Row],[Risk]],(Bets3[[#This Row],[Risk]]/Bets3[[#This Row],[Odds]]*-100)),""))))</f>
        <v>-11.5</v>
      </c>
      <c r="J93" s="39" t="str">
        <f>IF(ISNUMBER(SEARCH(CHAR(10),Bets3[[#This Row],[Bet]])),"P",IF(ISNUMBER(FIND("Under",Bets3[[#This Row],[Bet]])),"U",IF(ISNUMBER(SEARCH("Over",Bets3[[#This Row],[Bet]])),"O",IF(ISNUMBER(SEARCH("+",Bets3[[#This Row],[Bet]])),"D",IF(ISNUMBER(SEARCH("-",Bets3[[#This Row],[Bet]])),"F",IF(ISNUMBER(SEARCH("Moneyline",Bets3[[#This Row],[Bet]])),IF(Bets3[[#This Row],[Odds]]&lt;0,"MF","MD"),""))))))</f>
        <v>O</v>
      </c>
      <c r="K93"/>
      <c r="L93" s="24">
        <f t="shared" si="4"/>
        <v>0</v>
      </c>
      <c r="M93" s="1" t="str">
        <f>COUNTIFS(Bets3[Date],L93,Bets3[Result],"W")&amp;"-"&amp;COUNTIFS(Bets3[Date],L93,Bets3[Result],"L")&amp;IF(COUNTIFS(Bets3[Date],L93,Bets3[Result],"Push")&gt;0,"-"&amp;COUNTIFS(Bets3[Date],L93,Bets3[Result],"Push"),"")</f>
        <v>0-0</v>
      </c>
      <c r="N93" s="25" t="str">
        <f>IFERROR(COUNTIFS(Bets3[Date],L93,Bets3[Result],"W")/(COUNTIFS(Bets3[Date],L93,Bets3[Result],"W")+COUNTIFS(Bets3[Date],L93,Bets3[Result],"L")),"")</f>
        <v/>
      </c>
      <c r="O93" s="26">
        <f>SUMIF(Bets3[Date],L93,Bets3[Net])</f>
        <v>0</v>
      </c>
      <c r="P93" s="27" t="str">
        <f>IFERROR("("&amp;ROUND(SUMIF(Bets3[Date],L93,Bets3[Net])/SUMIF(Bets3[Date],L93,Bets3[Risk]),2)*100&amp;"%)","")</f>
        <v/>
      </c>
      <c r="Q93" s="72" t="str">
        <f t="shared" si="5"/>
        <v/>
      </c>
      <c r="R93" s="73" t="str">
        <f>IFERROR(SUMIF(Bets3[Date],"&lt;="&amp;L93,Bets3[Net])/SUMIF(Bets3[Date],"&lt;="&amp;L93,Bets3[Risk]),"")</f>
        <v/>
      </c>
    </row>
    <row r="94" spans="1:18" x14ac:dyDescent="0.25">
      <c r="A94" s="13">
        <f t="shared" si="3"/>
        <v>7</v>
      </c>
      <c r="B94" s="17">
        <v>43586</v>
      </c>
      <c r="C94" s="17" t="s">
        <v>802</v>
      </c>
      <c r="D94" s="18" t="s">
        <v>1150</v>
      </c>
      <c r="E94" s="11" t="s">
        <v>931</v>
      </c>
      <c r="F94" s="19">
        <f>IF(Bets35[[#This Row],[Odds]]&lt;0,Bets35[[#This Row],[Odds]]/-10,1000/Bets3[[#This Row],[Odds]])</f>
        <v>10.5</v>
      </c>
      <c r="G94" s="37">
        <v>-105</v>
      </c>
      <c r="H94" s="37" t="s">
        <v>262</v>
      </c>
      <c r="I94" s="45">
        <f>IF(Bets3[[#This Row],[Result]]="L",0-Bets3[[#This Row],[Risk]],IF(Bets3[[#This Row],[Result]]="Push",0,IF(Bets3[[#This Row],[Result]]="No Action",0,IF(Bets3[[#This Row],[Result]]="W",IF(Bets3[[#This Row],[Odds]]&gt;0,Bets3[[#This Row],[Odds]]/100*Bets3[[#This Row],[Risk]],(Bets3[[#This Row],[Risk]]/Bets3[[#This Row],[Odds]]*-100)),""))))</f>
        <v>10</v>
      </c>
      <c r="J94" s="39" t="str">
        <f>IF(ISNUMBER(SEARCH(CHAR(10),Bets3[[#This Row],[Bet]])),"P",IF(ISNUMBER(FIND("Under",Bets3[[#This Row],[Bet]])),"U",IF(ISNUMBER(SEARCH("Over",Bets3[[#This Row],[Bet]])),"O",IF(ISNUMBER(SEARCH("+",Bets3[[#This Row],[Bet]])),"D",IF(ISNUMBER(SEARCH("-",Bets3[[#This Row],[Bet]])),"F",IF(ISNUMBER(SEARCH("Moneyline",Bets3[[#This Row],[Bet]])),IF(Bets3[[#This Row],[Odds]]&lt;0,"MF","MD"),""))))))</f>
        <v>O</v>
      </c>
      <c r="K94"/>
      <c r="L94" s="24">
        <f t="shared" si="4"/>
        <v>0</v>
      </c>
      <c r="M94" s="1" t="str">
        <f>COUNTIFS(Bets3[Date],L94,Bets3[Result],"W")&amp;"-"&amp;COUNTIFS(Bets3[Date],L94,Bets3[Result],"L")&amp;IF(COUNTIFS(Bets3[Date],L94,Bets3[Result],"Push")&gt;0,"-"&amp;COUNTIFS(Bets3[Date],L94,Bets3[Result],"Push"),"")</f>
        <v>0-0</v>
      </c>
      <c r="N94" s="25" t="str">
        <f>IFERROR(COUNTIFS(Bets3[Date],L94,Bets3[Result],"W")/(COUNTIFS(Bets3[Date],L94,Bets3[Result],"W")+COUNTIFS(Bets3[Date],L94,Bets3[Result],"L")),"")</f>
        <v/>
      </c>
      <c r="O94" s="26">
        <f>SUMIF(Bets3[Date],L94,Bets3[Net])</f>
        <v>0</v>
      </c>
      <c r="P94" s="27" t="str">
        <f>IFERROR("("&amp;ROUND(SUMIF(Bets3[Date],L94,Bets3[Net])/SUMIF(Bets3[Date],L94,Bets3[Risk]),2)*100&amp;"%)","")</f>
        <v/>
      </c>
      <c r="Q94" s="72" t="str">
        <f t="shared" si="5"/>
        <v/>
      </c>
      <c r="R94" s="73" t="str">
        <f>IFERROR(SUMIF(Bets3[Date],"&lt;="&amp;L94,Bets3[Net])/SUMIF(Bets3[Date],"&lt;="&amp;L94,Bets3[Risk]),"")</f>
        <v/>
      </c>
    </row>
    <row r="95" spans="1:18" x14ac:dyDescent="0.25">
      <c r="A95" s="13">
        <f t="shared" si="3"/>
        <v>7</v>
      </c>
      <c r="B95" s="17">
        <v>43586</v>
      </c>
      <c r="C95" s="17" t="s">
        <v>802</v>
      </c>
      <c r="D95" s="18" t="s">
        <v>926</v>
      </c>
      <c r="E95" s="11" t="s">
        <v>931</v>
      </c>
      <c r="F95" s="19">
        <f>IF(Bets35[[#This Row],[Odds]]&lt;0,Bets35[[#This Row],[Odds]]/-10,1000/Bets3[[#This Row],[Odds]])</f>
        <v>10.5</v>
      </c>
      <c r="G95" s="37">
        <v>-105</v>
      </c>
      <c r="H95" s="37" t="s">
        <v>263</v>
      </c>
      <c r="I95" s="45">
        <f>IF(Bets3[[#This Row],[Result]]="L",0-Bets3[[#This Row],[Risk]],IF(Bets3[[#This Row],[Result]]="Push",0,IF(Bets3[[#This Row],[Result]]="No Action",0,IF(Bets3[[#This Row],[Result]]="W",IF(Bets3[[#This Row],[Odds]]&gt;0,Bets3[[#This Row],[Odds]]/100*Bets3[[#This Row],[Risk]],(Bets3[[#This Row],[Risk]]/Bets3[[#This Row],[Odds]]*-100)),""))))</f>
        <v>-10.5</v>
      </c>
      <c r="J95" s="39" t="str">
        <f>IF(ISNUMBER(SEARCH(CHAR(10),Bets3[[#This Row],[Bet]])),"P",IF(ISNUMBER(FIND("Under",Bets3[[#This Row],[Bet]])),"U",IF(ISNUMBER(SEARCH("Over",Bets3[[#This Row],[Bet]])),"O",IF(ISNUMBER(SEARCH("+",Bets3[[#This Row],[Bet]])),"D",IF(ISNUMBER(SEARCH("-",Bets3[[#This Row],[Bet]])),"F",IF(ISNUMBER(SEARCH("Moneyline",Bets3[[#This Row],[Bet]])),IF(Bets3[[#This Row],[Odds]]&lt;0,"MF","MD"),""))))))</f>
        <v>O</v>
      </c>
      <c r="K95"/>
      <c r="L95" s="24">
        <f t="shared" si="4"/>
        <v>0</v>
      </c>
      <c r="M95" s="1" t="str">
        <f>COUNTIFS(Bets3[Date],L95,Bets3[Result],"W")&amp;"-"&amp;COUNTIFS(Bets3[Date],L95,Bets3[Result],"L")&amp;IF(COUNTIFS(Bets3[Date],L95,Bets3[Result],"Push")&gt;0,"-"&amp;COUNTIFS(Bets3[Date],L95,Bets3[Result],"Push"),"")</f>
        <v>0-0</v>
      </c>
      <c r="N95" s="25" t="str">
        <f>IFERROR(COUNTIFS(Bets3[Date],L95,Bets3[Result],"W")/(COUNTIFS(Bets3[Date],L95,Bets3[Result],"W")+COUNTIFS(Bets3[Date],L95,Bets3[Result],"L")),"")</f>
        <v/>
      </c>
      <c r="O95" s="26">
        <f>SUMIF(Bets3[Date],L95,Bets3[Net])</f>
        <v>0</v>
      </c>
      <c r="P95" s="27" t="str">
        <f>IFERROR("("&amp;ROUND(SUMIF(Bets3[Date],L95,Bets3[Net])/SUMIF(Bets3[Date],L95,Bets3[Risk]),2)*100&amp;"%)","")</f>
        <v/>
      </c>
      <c r="Q95" s="72" t="str">
        <f t="shared" si="5"/>
        <v/>
      </c>
      <c r="R95" s="73" t="str">
        <f>IFERROR(SUMIF(Bets3[Date],"&lt;="&amp;L95,Bets3[Net])/SUMIF(Bets3[Date],"&lt;="&amp;L95,Bets3[Risk]),"")</f>
        <v/>
      </c>
    </row>
    <row r="96" spans="1:18" x14ac:dyDescent="0.25">
      <c r="A96" s="13">
        <f t="shared" si="3"/>
        <v>7</v>
      </c>
      <c r="B96" s="17">
        <v>43586</v>
      </c>
      <c r="C96" s="17" t="s">
        <v>802</v>
      </c>
      <c r="D96" s="18" t="s">
        <v>932</v>
      </c>
      <c r="E96" s="11" t="s">
        <v>933</v>
      </c>
      <c r="F96" s="19">
        <f>IF(Bets35[[#This Row],[Odds]]&lt;0,Bets35[[#This Row],[Odds]]/-10,1000/Bets3[[#This Row],[Odds]])</f>
        <v>10</v>
      </c>
      <c r="G96" s="37">
        <v>100</v>
      </c>
      <c r="H96" s="37" t="s">
        <v>262</v>
      </c>
      <c r="I96" s="45">
        <f>IF(Bets3[[#This Row],[Result]]="L",0-Bets3[[#This Row],[Risk]],IF(Bets3[[#This Row],[Result]]="Push",0,IF(Bets3[[#This Row],[Result]]="No Action",0,IF(Bets3[[#This Row],[Result]]="W",IF(Bets3[[#This Row],[Odds]]&gt;0,Bets3[[#This Row],[Odds]]/100*Bets3[[#This Row],[Risk]],(Bets3[[#This Row],[Risk]]/Bets3[[#This Row],[Odds]]*-100)),""))))</f>
        <v>10</v>
      </c>
      <c r="J96" s="39" t="str">
        <f>IF(ISNUMBER(SEARCH(CHAR(10),Bets3[[#This Row],[Bet]])),"P",IF(ISNUMBER(FIND("Under",Bets3[[#This Row],[Bet]])),"U",IF(ISNUMBER(SEARCH("Over",Bets3[[#This Row],[Bet]])),"O",IF(ISNUMBER(SEARCH("+",Bets3[[#This Row],[Bet]])),"D",IF(ISNUMBER(SEARCH("-",Bets3[[#This Row],[Bet]])),"F",IF(ISNUMBER(SEARCH("Moneyline",Bets3[[#This Row],[Bet]])),IF(Bets3[[#This Row],[Odds]]&lt;0,"MF","MD"),""))))))</f>
        <v>U</v>
      </c>
      <c r="K96"/>
      <c r="L96" s="24">
        <f t="shared" si="4"/>
        <v>0</v>
      </c>
      <c r="M96" s="1" t="str">
        <f>COUNTIFS(Bets3[Date],L96,Bets3[Result],"W")&amp;"-"&amp;COUNTIFS(Bets3[Date],L96,Bets3[Result],"L")&amp;IF(COUNTIFS(Bets3[Date],L96,Bets3[Result],"Push")&gt;0,"-"&amp;COUNTIFS(Bets3[Date],L96,Bets3[Result],"Push"),"")</f>
        <v>0-0</v>
      </c>
      <c r="N96" s="25" t="str">
        <f>IFERROR(COUNTIFS(Bets3[Date],L96,Bets3[Result],"W")/(COUNTIFS(Bets3[Date],L96,Bets3[Result],"W")+COUNTIFS(Bets3[Date],L96,Bets3[Result],"L")),"")</f>
        <v/>
      </c>
      <c r="O96" s="26">
        <f>SUMIF(Bets3[Date],L96,Bets3[Net])</f>
        <v>0</v>
      </c>
      <c r="P96" s="27" t="str">
        <f>IFERROR("("&amp;ROUND(SUMIF(Bets3[Date],L96,Bets3[Net])/SUMIF(Bets3[Date],L96,Bets3[Risk]),2)*100&amp;"%)","")</f>
        <v/>
      </c>
      <c r="Q96" s="72" t="str">
        <f t="shared" si="5"/>
        <v/>
      </c>
      <c r="R96" s="73" t="str">
        <f>IFERROR(SUMIF(Bets3[Date],"&lt;="&amp;L96,Bets3[Net])/SUMIF(Bets3[Date],"&lt;="&amp;L96,Bets3[Risk]),"")</f>
        <v/>
      </c>
    </row>
    <row r="97" spans="1:18" x14ac:dyDescent="0.25">
      <c r="A97" s="13">
        <f t="shared" si="3"/>
        <v>7</v>
      </c>
      <c r="B97" s="17">
        <v>43586</v>
      </c>
      <c r="C97" s="17" t="s">
        <v>802</v>
      </c>
      <c r="D97" s="18" t="s">
        <v>1157</v>
      </c>
      <c r="E97" s="11" t="s">
        <v>905</v>
      </c>
      <c r="F97" s="19">
        <f>IF(Bets35[[#This Row],[Odds]]&lt;0,Bets35[[#This Row],[Odds]]/-10,1000/Bets3[[#This Row],[Odds]])</f>
        <v>10.5</v>
      </c>
      <c r="G97" s="37">
        <v>-105</v>
      </c>
      <c r="H97" s="37" t="s">
        <v>263</v>
      </c>
      <c r="I97" s="45">
        <f>IF(Bets3[[#This Row],[Result]]="L",0-Bets3[[#This Row],[Risk]],IF(Bets3[[#This Row],[Result]]="Push",0,IF(Bets3[[#This Row],[Result]]="No Action",0,IF(Bets3[[#This Row],[Result]]="W",IF(Bets3[[#This Row],[Odds]]&gt;0,Bets3[[#This Row],[Odds]]/100*Bets3[[#This Row],[Risk]],(Bets3[[#This Row],[Risk]]/Bets3[[#This Row],[Odds]]*-100)),""))))</f>
        <v>-10.5</v>
      </c>
      <c r="J97" s="39" t="str">
        <f>IF(ISNUMBER(SEARCH(CHAR(10),Bets3[[#This Row],[Bet]])),"P",IF(ISNUMBER(FIND("Under",Bets3[[#This Row],[Bet]])),"U",IF(ISNUMBER(SEARCH("Over",Bets3[[#This Row],[Bet]])),"O",IF(ISNUMBER(SEARCH("+",Bets3[[#This Row],[Bet]])),"D",IF(ISNUMBER(SEARCH("-",Bets3[[#This Row],[Bet]])),"F",IF(ISNUMBER(SEARCH("Moneyline",Bets3[[#This Row],[Bet]])),IF(Bets3[[#This Row],[Odds]]&lt;0,"MF","MD"),""))))))</f>
        <v>O</v>
      </c>
      <c r="K97"/>
      <c r="L97" s="24">
        <f t="shared" si="4"/>
        <v>0</v>
      </c>
      <c r="M97" s="1" t="str">
        <f>COUNTIFS(Bets3[Date],L97,Bets3[Result],"W")&amp;"-"&amp;COUNTIFS(Bets3[Date],L97,Bets3[Result],"L")&amp;IF(COUNTIFS(Bets3[Date],L97,Bets3[Result],"Push")&gt;0,"-"&amp;COUNTIFS(Bets3[Date],L97,Bets3[Result],"Push"),"")</f>
        <v>0-0</v>
      </c>
      <c r="N97" s="25" t="str">
        <f>IFERROR(COUNTIFS(Bets3[Date],L97,Bets3[Result],"W")/(COUNTIFS(Bets3[Date],L97,Bets3[Result],"W")+COUNTIFS(Bets3[Date],L97,Bets3[Result],"L")),"")</f>
        <v/>
      </c>
      <c r="O97" s="26">
        <f>SUMIF(Bets3[Date],L97,Bets3[Net])</f>
        <v>0</v>
      </c>
      <c r="P97" s="27" t="str">
        <f>IFERROR("("&amp;ROUND(SUMIF(Bets3[Date],L97,Bets3[Net])/SUMIF(Bets3[Date],L97,Bets3[Risk]),2)*100&amp;"%)","")</f>
        <v/>
      </c>
      <c r="Q97" s="72" t="str">
        <f t="shared" si="5"/>
        <v/>
      </c>
      <c r="R97" s="73" t="str">
        <f>IFERROR(SUMIF(Bets3[Date],"&lt;="&amp;L97,Bets3[Net])/SUMIF(Bets3[Date],"&lt;="&amp;L97,Bets3[Risk]),"")</f>
        <v/>
      </c>
    </row>
    <row r="98" spans="1:18" x14ac:dyDescent="0.25">
      <c r="A98" s="13">
        <f t="shared" si="3"/>
        <v>7</v>
      </c>
      <c r="B98" s="17">
        <v>43586</v>
      </c>
      <c r="C98" s="17" t="s">
        <v>802</v>
      </c>
      <c r="D98" s="18" t="s">
        <v>1168</v>
      </c>
      <c r="E98" s="11" t="s">
        <v>877</v>
      </c>
      <c r="F98" s="19">
        <f>IF(Bets35[[#This Row],[Odds]]&lt;0,Bets35[[#This Row],[Odds]]/-10,1000/Bets3[[#This Row],[Odds]])</f>
        <v>11</v>
      </c>
      <c r="G98" s="37">
        <v>-110</v>
      </c>
      <c r="H98" s="37" t="s">
        <v>1174</v>
      </c>
      <c r="I98" s="45">
        <f>IF(Bets3[[#This Row],[Result]]="L",0-Bets3[[#This Row],[Risk]],IF(Bets3[[#This Row],[Result]]="Push",0,IF(Bets3[[#This Row],[Result]]="No Action",0,IF(Bets3[[#This Row],[Result]]="W",IF(Bets3[[#This Row],[Odds]]&gt;0,Bets3[[#This Row],[Odds]]/100*Bets3[[#This Row],[Risk]],(Bets3[[#This Row],[Risk]]/Bets3[[#This Row],[Odds]]*-100)),""))))</f>
        <v>0</v>
      </c>
      <c r="J98" s="39" t="str">
        <f>IF(ISNUMBER(SEARCH(CHAR(10),Bets3[[#This Row],[Bet]])),"P",IF(ISNUMBER(FIND("Under",Bets3[[#This Row],[Bet]])),"U",IF(ISNUMBER(SEARCH("Over",Bets3[[#This Row],[Bet]])),"O",IF(ISNUMBER(SEARCH("+",Bets3[[#This Row],[Bet]])),"D",IF(ISNUMBER(SEARCH("-",Bets3[[#This Row],[Bet]])),"F",IF(ISNUMBER(SEARCH("Moneyline",Bets3[[#This Row],[Bet]])),IF(Bets3[[#This Row],[Odds]]&lt;0,"MF","MD"),""))))))</f>
        <v>U</v>
      </c>
      <c r="K98"/>
      <c r="L98" s="24">
        <f t="shared" si="4"/>
        <v>0</v>
      </c>
      <c r="M98" s="1" t="str">
        <f>COUNTIFS(Bets3[Date],L98,Bets3[Result],"W")&amp;"-"&amp;COUNTIFS(Bets3[Date],L98,Bets3[Result],"L")&amp;IF(COUNTIFS(Bets3[Date],L98,Bets3[Result],"Push")&gt;0,"-"&amp;COUNTIFS(Bets3[Date],L98,Bets3[Result],"Push"),"")</f>
        <v>0-0</v>
      </c>
      <c r="N98" s="25" t="str">
        <f>IFERROR(COUNTIFS(Bets3[Date],L98,Bets3[Result],"W")/(COUNTIFS(Bets3[Date],L98,Bets3[Result],"W")+COUNTIFS(Bets3[Date],L98,Bets3[Result],"L")),"")</f>
        <v/>
      </c>
      <c r="O98" s="26">
        <f>SUMIF(Bets3[Date],L98,Bets3[Net])</f>
        <v>0</v>
      </c>
      <c r="P98" s="27" t="str">
        <f>IFERROR("("&amp;ROUND(SUMIF(Bets3[Date],L98,Bets3[Net])/SUMIF(Bets3[Date],L98,Bets3[Risk]),2)*100&amp;"%)","")</f>
        <v/>
      </c>
      <c r="Q98" s="72" t="str">
        <f t="shared" si="5"/>
        <v/>
      </c>
      <c r="R98" s="73" t="str">
        <f>IFERROR(SUMIF(Bets3[Date],"&lt;="&amp;L98,Bets3[Net])/SUMIF(Bets3[Date],"&lt;="&amp;L98,Bets3[Risk]),"")</f>
        <v/>
      </c>
    </row>
    <row r="99" spans="1:18" x14ac:dyDescent="0.25">
      <c r="A99" s="13">
        <f t="shared" si="3"/>
        <v>8</v>
      </c>
      <c r="B99" s="17">
        <v>43587</v>
      </c>
      <c r="C99" s="17" t="s">
        <v>802</v>
      </c>
      <c r="D99" s="18" t="s">
        <v>930</v>
      </c>
      <c r="E99" s="11" t="s">
        <v>819</v>
      </c>
      <c r="F99" s="19">
        <f>IF(Bets35[[#This Row],[Odds]]&lt;0,Bets35[[#This Row],[Odds]]/-10,1000/Bets3[[#This Row],[Odds]])</f>
        <v>17.2</v>
      </c>
      <c r="G99" s="37">
        <v>-172</v>
      </c>
      <c r="H99" s="37" t="s">
        <v>262</v>
      </c>
      <c r="I99" s="45">
        <f>IF(Bets3[[#This Row],[Result]]="L",0-Bets3[[#This Row],[Risk]],IF(Bets3[[#This Row],[Result]]="Push",0,IF(Bets3[[#This Row],[Result]]="No Action",0,IF(Bets3[[#This Row],[Result]]="W",IF(Bets3[[#This Row],[Odds]]&gt;0,Bets3[[#This Row],[Odds]]/100*Bets3[[#This Row],[Risk]],(Bets3[[#This Row],[Risk]]/Bets3[[#This Row],[Odds]]*-100)),""))))</f>
        <v>10</v>
      </c>
      <c r="J99" s="39" t="str">
        <f>IF(ISNUMBER(SEARCH(CHAR(10),Bets3[[#This Row],[Bet]])),"P",IF(ISNUMBER(FIND("Under",Bets3[[#This Row],[Bet]])),"U",IF(ISNUMBER(SEARCH("Over",Bets3[[#This Row],[Bet]])),"O",IF(ISNUMBER(SEARCH("+",Bets3[[#This Row],[Bet]])),"D",IF(ISNUMBER(SEARCH("-",Bets3[[#This Row],[Bet]])),"F",IF(ISNUMBER(SEARCH("Moneyline",Bets3[[#This Row],[Bet]])),IF(Bets3[[#This Row],[Odds]]&lt;0,"MF","MD"),""))))))</f>
        <v>MF</v>
      </c>
      <c r="K99"/>
      <c r="L99" s="24">
        <f t="shared" si="4"/>
        <v>0</v>
      </c>
      <c r="M99" s="1" t="str">
        <f>COUNTIFS(Bets3[Date],L99,Bets3[Result],"W")&amp;"-"&amp;COUNTIFS(Bets3[Date],L99,Bets3[Result],"L")&amp;IF(COUNTIFS(Bets3[Date],L99,Bets3[Result],"Push")&gt;0,"-"&amp;COUNTIFS(Bets3[Date],L99,Bets3[Result],"Push"),"")</f>
        <v>0-0</v>
      </c>
      <c r="N99" s="25" t="str">
        <f>IFERROR(COUNTIFS(Bets3[Date],L99,Bets3[Result],"W")/(COUNTIFS(Bets3[Date],L99,Bets3[Result],"W")+COUNTIFS(Bets3[Date],L99,Bets3[Result],"L")),"")</f>
        <v/>
      </c>
      <c r="O99" s="26">
        <f>SUMIF(Bets3[Date],L99,Bets3[Net])</f>
        <v>0</v>
      </c>
      <c r="P99" s="27" t="str">
        <f>IFERROR("("&amp;ROUND(SUMIF(Bets3[Date],L99,Bets3[Net])/SUMIF(Bets3[Date],L99,Bets3[Risk]),2)*100&amp;"%)","")</f>
        <v/>
      </c>
      <c r="Q99" s="72" t="str">
        <f t="shared" si="5"/>
        <v/>
      </c>
      <c r="R99" s="73" t="str">
        <f>IFERROR(SUMIF(Bets3[Date],"&lt;="&amp;L99,Bets3[Net])/SUMIF(Bets3[Date],"&lt;="&amp;L99,Bets3[Risk]),"")</f>
        <v/>
      </c>
    </row>
    <row r="100" spans="1:18" x14ac:dyDescent="0.25">
      <c r="A100" s="13">
        <f t="shared" si="3"/>
        <v>8</v>
      </c>
      <c r="B100" s="17">
        <v>43587</v>
      </c>
      <c r="C100" s="17" t="s">
        <v>802</v>
      </c>
      <c r="D100" s="18" t="s">
        <v>930</v>
      </c>
      <c r="E100" s="11" t="s">
        <v>931</v>
      </c>
      <c r="F100" s="19">
        <f>IF(Bets35[[#This Row],[Odds]]&lt;0,Bets35[[#This Row],[Odds]]/-10,1000/Bets3[[#This Row],[Odds]])</f>
        <v>11.5</v>
      </c>
      <c r="G100" s="37">
        <v>-115</v>
      </c>
      <c r="H100" s="21" t="s">
        <v>263</v>
      </c>
      <c r="I100" s="45">
        <f>IF(Bets3[[#This Row],[Result]]="L",0-Bets3[[#This Row],[Risk]],IF(Bets3[[#This Row],[Result]]="Push",0,IF(Bets3[[#This Row],[Result]]="No Action",0,IF(Bets3[[#This Row],[Result]]="W",IF(Bets3[[#This Row],[Odds]]&gt;0,Bets3[[#This Row],[Odds]]/100*Bets3[[#This Row],[Risk]],(Bets3[[#This Row],[Risk]]/Bets3[[#This Row],[Odds]]*-100)),""))))</f>
        <v>-11.5</v>
      </c>
      <c r="J100" s="39" t="str">
        <f>IF(ISNUMBER(SEARCH(CHAR(10),Bets3[[#This Row],[Bet]])),"P",IF(ISNUMBER(FIND("Under",Bets3[[#This Row],[Bet]])),"U",IF(ISNUMBER(SEARCH("Over",Bets3[[#This Row],[Bet]])),"O",IF(ISNUMBER(SEARCH("+",Bets3[[#This Row],[Bet]])),"D",IF(ISNUMBER(SEARCH("-",Bets3[[#This Row],[Bet]])),"F",IF(ISNUMBER(SEARCH("Moneyline",Bets3[[#This Row],[Bet]])),IF(Bets3[[#This Row],[Odds]]&lt;0,"MF","MD"),""))))))</f>
        <v>O</v>
      </c>
      <c r="K100"/>
      <c r="L100" s="24">
        <f t="shared" si="4"/>
        <v>0</v>
      </c>
      <c r="M100" s="1" t="str">
        <f>COUNTIFS(Bets3[Date],L100,Bets3[Result],"W")&amp;"-"&amp;COUNTIFS(Bets3[Date],L100,Bets3[Result],"L")&amp;IF(COUNTIFS(Bets3[Date],L100,Bets3[Result],"Push")&gt;0,"-"&amp;COUNTIFS(Bets3[Date],L100,Bets3[Result],"Push"),"")</f>
        <v>0-0</v>
      </c>
      <c r="N100" s="25" t="str">
        <f>IFERROR(COUNTIFS(Bets3[Date],L100,Bets3[Result],"W")/(COUNTIFS(Bets3[Date],L100,Bets3[Result],"W")+COUNTIFS(Bets3[Date],L100,Bets3[Result],"L")),"")</f>
        <v/>
      </c>
      <c r="O100" s="26">
        <f>SUMIF(Bets3[Date],L100,Bets3[Net])</f>
        <v>0</v>
      </c>
      <c r="P100" s="27" t="str">
        <f>IFERROR("("&amp;ROUND(SUMIF(Bets3[Date],L100,Bets3[Net])/SUMIF(Bets3[Date],L100,Bets3[Risk]),2)*100&amp;"%)","")</f>
        <v/>
      </c>
      <c r="Q100" s="72" t="str">
        <f t="shared" si="5"/>
        <v/>
      </c>
      <c r="R100" s="73" t="str">
        <f>IFERROR(SUMIF(Bets3[Date],"&lt;="&amp;L100,Bets3[Net])/SUMIF(Bets3[Date],"&lt;="&amp;L100,Bets3[Risk]),"")</f>
        <v/>
      </c>
    </row>
    <row r="101" spans="1:18" x14ac:dyDescent="0.25">
      <c r="A101" s="13">
        <f t="shared" si="3"/>
        <v>8</v>
      </c>
      <c r="B101" s="17">
        <v>43587</v>
      </c>
      <c r="C101" s="17" t="s">
        <v>802</v>
      </c>
      <c r="D101" s="18" t="s">
        <v>926</v>
      </c>
      <c r="E101" s="11" t="s">
        <v>905</v>
      </c>
      <c r="F101" s="19">
        <f>IF(Bets35[[#This Row],[Odds]]&lt;0,Bets35[[#This Row],[Odds]]/-10,1000/Bets3[[#This Row],[Odds]])</f>
        <v>10.5</v>
      </c>
      <c r="G101" s="37">
        <v>-105</v>
      </c>
      <c r="H101" s="21" t="s">
        <v>263</v>
      </c>
      <c r="I101" s="45">
        <f>IF(Bets3[[#This Row],[Result]]="L",0-Bets3[[#This Row],[Risk]],IF(Bets3[[#This Row],[Result]]="Push",0,IF(Bets3[[#This Row],[Result]]="No Action",0,IF(Bets3[[#This Row],[Result]]="W",IF(Bets3[[#This Row],[Odds]]&gt;0,Bets3[[#This Row],[Odds]]/100*Bets3[[#This Row],[Risk]],(Bets3[[#This Row],[Risk]]/Bets3[[#This Row],[Odds]]*-100)),""))))</f>
        <v>-10.5</v>
      </c>
      <c r="J101" s="39" t="str">
        <f>IF(ISNUMBER(SEARCH(CHAR(10),Bets3[[#This Row],[Bet]])),"P",IF(ISNUMBER(FIND("Under",Bets3[[#This Row],[Bet]])),"U",IF(ISNUMBER(SEARCH("Over",Bets3[[#This Row],[Bet]])),"O",IF(ISNUMBER(SEARCH("+",Bets3[[#This Row],[Bet]])),"D",IF(ISNUMBER(SEARCH("-",Bets3[[#This Row],[Bet]])),"F",IF(ISNUMBER(SEARCH("Moneyline",Bets3[[#This Row],[Bet]])),IF(Bets3[[#This Row],[Odds]]&lt;0,"MF","MD"),""))))))</f>
        <v>O</v>
      </c>
      <c r="K101"/>
      <c r="L101" s="24">
        <f t="shared" si="4"/>
        <v>0</v>
      </c>
      <c r="M101" s="1" t="str">
        <f>COUNTIFS(Bets3[Date],L101,Bets3[Result],"W")&amp;"-"&amp;COUNTIFS(Bets3[Date],L101,Bets3[Result],"L")&amp;IF(COUNTIFS(Bets3[Date],L101,Bets3[Result],"Push")&gt;0,"-"&amp;COUNTIFS(Bets3[Date],L101,Bets3[Result],"Push"),"")</f>
        <v>0-0</v>
      </c>
      <c r="N101" s="25" t="str">
        <f>IFERROR(COUNTIFS(Bets3[Date],L101,Bets3[Result],"W")/(COUNTIFS(Bets3[Date],L101,Bets3[Result],"W")+COUNTIFS(Bets3[Date],L101,Bets3[Result],"L")),"")</f>
        <v/>
      </c>
      <c r="O101" s="26">
        <f>SUMIF(Bets3[Date],L101,Bets3[Net])</f>
        <v>0</v>
      </c>
      <c r="P101" s="27" t="str">
        <f>IFERROR("("&amp;ROUND(SUMIF(Bets3[Date],L101,Bets3[Net])/SUMIF(Bets3[Date],L101,Bets3[Risk]),2)*100&amp;"%)","")</f>
        <v/>
      </c>
      <c r="Q101" s="72" t="str">
        <f t="shared" si="5"/>
        <v/>
      </c>
      <c r="R101" s="73" t="str">
        <f>IFERROR(SUMIF(Bets3[Date],"&lt;="&amp;L101,Bets3[Net])/SUMIF(Bets3[Date],"&lt;="&amp;L101,Bets3[Risk]),"")</f>
        <v/>
      </c>
    </row>
    <row r="102" spans="1:18" x14ac:dyDescent="0.25">
      <c r="A102" s="13">
        <f t="shared" si="3"/>
        <v>8</v>
      </c>
      <c r="B102" s="17">
        <v>43587</v>
      </c>
      <c r="C102" s="17" t="s">
        <v>802</v>
      </c>
      <c r="D102" s="18" t="s">
        <v>1168</v>
      </c>
      <c r="E102" s="11" t="s">
        <v>933</v>
      </c>
      <c r="F102" s="19">
        <f>IF(Bets35[[#This Row],[Odds]]&lt;0,Bets35[[#This Row],[Odds]]/-10,1000/Bets3[[#This Row],[Odds]])</f>
        <v>12</v>
      </c>
      <c r="G102" s="37">
        <v>-120</v>
      </c>
      <c r="H102" s="37" t="s">
        <v>262</v>
      </c>
      <c r="I102" s="45">
        <f>IF(Bets3[[#This Row],[Result]]="L",0-Bets3[[#This Row],[Risk]],IF(Bets3[[#This Row],[Result]]="Push",0,IF(Bets3[[#This Row],[Result]]="No Action",0,IF(Bets3[[#This Row],[Result]]="W",IF(Bets3[[#This Row],[Odds]]&gt;0,Bets3[[#This Row],[Odds]]/100*Bets3[[#This Row],[Risk]],(Bets3[[#This Row],[Risk]]/Bets3[[#This Row],[Odds]]*-100)),""))))</f>
        <v>10</v>
      </c>
      <c r="J102" s="39" t="str">
        <f>IF(ISNUMBER(SEARCH(CHAR(10),Bets3[[#This Row],[Bet]])),"P",IF(ISNUMBER(FIND("Under",Bets3[[#This Row],[Bet]])),"U",IF(ISNUMBER(SEARCH("Over",Bets3[[#This Row],[Bet]])),"O",IF(ISNUMBER(SEARCH("+",Bets3[[#This Row],[Bet]])),"D",IF(ISNUMBER(SEARCH("-",Bets3[[#This Row],[Bet]])),"F",IF(ISNUMBER(SEARCH("Moneyline",Bets3[[#This Row],[Bet]])),IF(Bets3[[#This Row],[Odds]]&lt;0,"MF","MD"),""))))))</f>
        <v>U</v>
      </c>
      <c r="K102"/>
      <c r="L102" s="24">
        <f t="shared" si="4"/>
        <v>0</v>
      </c>
      <c r="M102" s="1" t="str">
        <f>COUNTIFS(Bets3[Date],L102,Bets3[Result],"W")&amp;"-"&amp;COUNTIFS(Bets3[Date],L102,Bets3[Result],"L")&amp;IF(COUNTIFS(Bets3[Date],L102,Bets3[Result],"Push")&gt;0,"-"&amp;COUNTIFS(Bets3[Date],L102,Bets3[Result],"Push"),"")</f>
        <v>0-0</v>
      </c>
      <c r="N102" s="25" t="str">
        <f>IFERROR(COUNTIFS(Bets3[Date],L102,Bets3[Result],"W")/(COUNTIFS(Bets3[Date],L102,Bets3[Result],"W")+COUNTIFS(Bets3[Date],L102,Bets3[Result],"L")),"")</f>
        <v/>
      </c>
      <c r="O102" s="26">
        <f>SUMIF(Bets3[Date],L102,Bets3[Net])</f>
        <v>0</v>
      </c>
      <c r="P102" s="27" t="str">
        <f>IFERROR("("&amp;ROUND(SUMIF(Bets3[Date],L102,Bets3[Net])/SUMIF(Bets3[Date],L102,Bets3[Risk]),2)*100&amp;"%)","")</f>
        <v/>
      </c>
      <c r="Q102" s="72" t="str">
        <f t="shared" si="5"/>
        <v/>
      </c>
      <c r="R102" s="73" t="str">
        <f>IFERROR(SUMIF(Bets3[Date],"&lt;="&amp;L102,Bets3[Net])/SUMIF(Bets3[Date],"&lt;="&amp;L102,Bets3[Risk]),"")</f>
        <v/>
      </c>
    </row>
    <row r="103" spans="1:18" x14ac:dyDescent="0.25">
      <c r="A103" s="13">
        <f t="shared" si="3"/>
        <v>9</v>
      </c>
      <c r="B103" s="17">
        <v>43592</v>
      </c>
      <c r="C103" s="17" t="s">
        <v>802</v>
      </c>
      <c r="D103" s="40" t="s">
        <v>1175</v>
      </c>
      <c r="E103" s="41" t="s">
        <v>869</v>
      </c>
      <c r="F103" s="19">
        <f>IF(Bets35[[#This Row],[Odds]]&lt;0,Bets35[[#This Row],[Odds]]/-10,1000/Bets3[[#This Row],[Odds]])</f>
        <v>14.5</v>
      </c>
      <c r="G103" s="37">
        <v>-145</v>
      </c>
      <c r="H103" s="37" t="s">
        <v>263</v>
      </c>
      <c r="I103" s="45">
        <f>IF(Bets3[[#This Row],[Result]]="L",0-Bets3[[#This Row],[Risk]],IF(Bets3[[#This Row],[Result]]="Push",0,IF(Bets3[[#This Row],[Result]]="No Action",0,IF(Bets3[[#This Row],[Result]]="W",IF(Bets3[[#This Row],[Odds]]&gt;0,Bets3[[#This Row],[Odds]]/100*Bets3[[#This Row],[Risk]],(Bets3[[#This Row],[Risk]]/Bets3[[#This Row],[Odds]]*-100)),""))))</f>
        <v>-14.5</v>
      </c>
      <c r="J103" s="39" t="str">
        <f>IF(ISNUMBER(SEARCH(CHAR(10),Bets3[[#This Row],[Bet]])),"P",IF(ISNUMBER(FIND("Under",Bets3[[#This Row],[Bet]])),"U",IF(ISNUMBER(SEARCH("Over",Bets3[[#This Row],[Bet]])),"O",IF(ISNUMBER(SEARCH("+",Bets3[[#This Row],[Bet]])),"D",IF(ISNUMBER(SEARCH("-",Bets3[[#This Row],[Bet]])),"F",IF(ISNUMBER(SEARCH("Moneyline",Bets3[[#This Row],[Bet]])),IF(Bets3[[#This Row],[Odds]]&lt;0,"MF","MD"),""))))))</f>
        <v>MF</v>
      </c>
      <c r="K103"/>
      <c r="L103" s="24">
        <f t="shared" si="4"/>
        <v>0</v>
      </c>
      <c r="M103" s="1" t="str">
        <f>COUNTIFS(Bets3[Date],L103,Bets3[Result],"W")&amp;"-"&amp;COUNTIFS(Bets3[Date],L103,Bets3[Result],"L")&amp;IF(COUNTIFS(Bets3[Date],L103,Bets3[Result],"Push")&gt;0,"-"&amp;COUNTIFS(Bets3[Date],L103,Bets3[Result],"Push"),"")</f>
        <v>0-0</v>
      </c>
      <c r="N103" s="25" t="str">
        <f>IFERROR(COUNTIFS(Bets3[Date],L103,Bets3[Result],"W")/(COUNTIFS(Bets3[Date],L103,Bets3[Result],"W")+COUNTIFS(Bets3[Date],L103,Bets3[Result],"L")),"")</f>
        <v/>
      </c>
      <c r="O103" s="26">
        <f>SUMIF(Bets3[Date],L103,Bets3[Net])</f>
        <v>0</v>
      </c>
      <c r="P103" s="27" t="str">
        <f>IFERROR("("&amp;ROUND(SUMIF(Bets3[Date],L103,Bets3[Net])/SUMIF(Bets3[Date],L103,Bets3[Risk]),2)*100&amp;"%)","")</f>
        <v/>
      </c>
      <c r="Q103" s="72" t="str">
        <f t="shared" si="5"/>
        <v/>
      </c>
      <c r="R103" s="73" t="str">
        <f>IFERROR(SUMIF(Bets3[Date],"&lt;="&amp;L103,Bets3[Net])/SUMIF(Bets3[Date],"&lt;="&amp;L103,Bets3[Risk]),"")</f>
        <v/>
      </c>
    </row>
    <row r="104" spans="1:18" x14ac:dyDescent="0.25">
      <c r="A104" s="13">
        <f t="shared" si="3"/>
        <v>9</v>
      </c>
      <c r="B104" s="17">
        <v>43592</v>
      </c>
      <c r="C104" s="17" t="s">
        <v>802</v>
      </c>
      <c r="D104" s="18" t="s">
        <v>1176</v>
      </c>
      <c r="E104" s="11" t="s">
        <v>870</v>
      </c>
      <c r="F104" s="19">
        <f>IF(Bets35[[#This Row],[Odds]]&lt;0,Bets35[[#This Row],[Odds]]/-10,1000/Bets3[[#This Row],[Odds]])</f>
        <v>8.5470085470085468</v>
      </c>
      <c r="G104" s="37" t="s">
        <v>1187</v>
      </c>
      <c r="H104" s="37" t="s">
        <v>263</v>
      </c>
      <c r="I104" s="45">
        <f>IF(Bets3[[#This Row],[Result]]="L",0-Bets3[[#This Row],[Risk]],IF(Bets3[[#This Row],[Result]]="Push",0,IF(Bets3[[#This Row],[Result]]="No Action",0,IF(Bets3[[#This Row],[Result]]="W",IF(Bets3[[#This Row],[Odds]]&gt;0,Bets3[[#This Row],[Odds]]/100*Bets3[[#This Row],[Risk]],(Bets3[[#This Row],[Risk]]/Bets3[[#This Row],[Odds]]*-100)),""))))</f>
        <v>-8.5470085470085468</v>
      </c>
      <c r="J104" s="39" t="str">
        <f>IF(ISNUMBER(SEARCH(CHAR(10),Bets3[[#This Row],[Bet]])),"P",IF(ISNUMBER(FIND("Under",Bets3[[#This Row],[Bet]])),"U",IF(ISNUMBER(SEARCH("Over",Bets3[[#This Row],[Bet]])),"O",IF(ISNUMBER(SEARCH("+",Bets3[[#This Row],[Bet]])),"D",IF(ISNUMBER(SEARCH("-",Bets3[[#This Row],[Bet]])),"F",IF(ISNUMBER(SEARCH("Moneyline",Bets3[[#This Row],[Bet]])),IF(Bets3[[#This Row],[Odds]]&lt;0,"MF","MD"),""))))))</f>
        <v>MD</v>
      </c>
      <c r="K104"/>
      <c r="L104" s="24">
        <f t="shared" si="4"/>
        <v>0</v>
      </c>
      <c r="M104" s="1" t="str">
        <f>COUNTIFS(Bets3[Date],L104,Bets3[Result],"W")&amp;"-"&amp;COUNTIFS(Bets3[Date],L104,Bets3[Result],"L")&amp;IF(COUNTIFS(Bets3[Date],L104,Bets3[Result],"Push")&gt;0,"-"&amp;COUNTIFS(Bets3[Date],L104,Bets3[Result],"Push"),"")</f>
        <v>0-0</v>
      </c>
      <c r="N104" s="25" t="str">
        <f>IFERROR(COUNTIFS(Bets3[Date],L104,Bets3[Result],"W")/(COUNTIFS(Bets3[Date],L104,Bets3[Result],"W")+COUNTIFS(Bets3[Date],L104,Bets3[Result],"L")),"")</f>
        <v/>
      </c>
      <c r="O104" s="26">
        <f>SUMIF(Bets3[Date],L104,Bets3[Net])</f>
        <v>0</v>
      </c>
      <c r="P104" s="27" t="str">
        <f>IFERROR("("&amp;ROUND(SUMIF(Bets3[Date],L104,Bets3[Net])/SUMIF(Bets3[Date],L104,Bets3[Risk]),2)*100&amp;"%)","")</f>
        <v/>
      </c>
      <c r="Q104" s="72" t="str">
        <f t="shared" si="5"/>
        <v/>
      </c>
      <c r="R104" s="73" t="str">
        <f>IFERROR(SUMIF(Bets3[Date],"&lt;="&amp;L104,Bets3[Net])/SUMIF(Bets3[Date],"&lt;="&amp;L104,Bets3[Risk]),"")</f>
        <v/>
      </c>
    </row>
    <row r="105" spans="1:18" x14ac:dyDescent="0.25">
      <c r="A105" s="13">
        <f t="shared" si="3"/>
        <v>9</v>
      </c>
      <c r="B105" s="17">
        <v>43592</v>
      </c>
      <c r="C105" s="17" t="s">
        <v>802</v>
      </c>
      <c r="D105" s="18" t="s">
        <v>1177</v>
      </c>
      <c r="E105" s="11" t="s">
        <v>1178</v>
      </c>
      <c r="F105" s="19">
        <f>IF(Bets35[[#This Row],[Odds]]&lt;0,Bets35[[#This Row],[Odds]]/-10,1000/Bets3[[#This Row],[Odds]])</f>
        <v>13.5</v>
      </c>
      <c r="G105" s="37">
        <v>-135</v>
      </c>
      <c r="H105" s="37" t="s">
        <v>262</v>
      </c>
      <c r="I105" s="45">
        <f>IF(Bets3[[#This Row],[Result]]="L",0-Bets3[[#This Row],[Risk]],IF(Bets3[[#This Row],[Result]]="Push",0,IF(Bets3[[#This Row],[Result]]="No Action",0,IF(Bets3[[#This Row],[Result]]="W",IF(Bets3[[#This Row],[Odds]]&gt;0,Bets3[[#This Row],[Odds]]/100*Bets3[[#This Row],[Risk]],(Bets3[[#This Row],[Risk]]/Bets3[[#This Row],[Odds]]*-100)),""))))</f>
        <v>10</v>
      </c>
      <c r="J105" s="39" t="str">
        <f>IF(ISNUMBER(SEARCH(CHAR(10),Bets3[[#This Row],[Bet]])),"P",IF(ISNUMBER(FIND("Under",Bets3[[#This Row],[Bet]])),"U",IF(ISNUMBER(SEARCH("Over",Bets3[[#This Row],[Bet]])),"O",IF(ISNUMBER(SEARCH("+",Bets3[[#This Row],[Bet]])),"D",IF(ISNUMBER(SEARCH("-",Bets3[[#This Row],[Bet]])),"F",IF(ISNUMBER(SEARCH("Moneyline",Bets3[[#This Row],[Bet]])),IF(Bets3[[#This Row],[Odds]]&lt;0,"MF","MD"),""))))))</f>
        <v>MF</v>
      </c>
      <c r="K105"/>
      <c r="L105" s="24">
        <f t="shared" si="4"/>
        <v>0</v>
      </c>
      <c r="M105" s="1" t="str">
        <f>COUNTIFS(Bets3[Date],L105,Bets3[Result],"W")&amp;"-"&amp;COUNTIFS(Bets3[Date],L105,Bets3[Result],"L")&amp;IF(COUNTIFS(Bets3[Date],L105,Bets3[Result],"Push")&gt;0,"-"&amp;COUNTIFS(Bets3[Date],L105,Bets3[Result],"Push"),"")</f>
        <v>0-0</v>
      </c>
      <c r="N105" s="25" t="str">
        <f>IFERROR(COUNTIFS(Bets3[Date],L105,Bets3[Result],"W")/(COUNTIFS(Bets3[Date],L105,Bets3[Result],"W")+COUNTIFS(Bets3[Date],L105,Bets3[Result],"L")),"")</f>
        <v/>
      </c>
      <c r="O105" s="26">
        <f>SUMIF(Bets3[Date],L105,Bets3[Net])</f>
        <v>0</v>
      </c>
      <c r="P105" s="27" t="str">
        <f>IFERROR("("&amp;ROUND(SUMIF(Bets3[Date],L105,Bets3[Net])/SUMIF(Bets3[Date],L105,Bets3[Risk]),2)*100&amp;"%)","")</f>
        <v/>
      </c>
      <c r="Q105" s="72" t="str">
        <f t="shared" si="5"/>
        <v/>
      </c>
      <c r="R105" s="73" t="str">
        <f>IFERROR(SUMIF(Bets3[Date],"&lt;="&amp;L105,Bets3[Net])/SUMIF(Bets3[Date],"&lt;="&amp;L105,Bets3[Risk]),"")</f>
        <v/>
      </c>
    </row>
    <row r="106" spans="1:18" x14ac:dyDescent="0.25">
      <c r="A106" s="13">
        <f t="shared" si="3"/>
        <v>9</v>
      </c>
      <c r="B106" s="17">
        <v>43592</v>
      </c>
      <c r="C106" s="17" t="s">
        <v>802</v>
      </c>
      <c r="D106" s="18" t="s">
        <v>1179</v>
      </c>
      <c r="E106" s="11" t="s">
        <v>1180</v>
      </c>
      <c r="F106" s="19">
        <f>IF(Bets35[[#This Row],[Odds]]&lt;0,Bets35[[#This Row],[Odds]]/-10,1000/Bets3[[#This Row],[Odds]])</f>
        <v>7.1428571428571432</v>
      </c>
      <c r="G106" s="37" t="s">
        <v>934</v>
      </c>
      <c r="H106" s="37" t="s">
        <v>263</v>
      </c>
      <c r="I106" s="45">
        <f>IF(Bets3[[#This Row],[Result]]="L",0-Bets3[[#This Row],[Risk]],IF(Bets3[[#This Row],[Result]]="Push",0,IF(Bets3[[#This Row],[Result]]="No Action",0,IF(Bets3[[#This Row],[Result]]="W",IF(Bets3[[#This Row],[Odds]]&gt;0,Bets3[[#This Row],[Odds]]/100*Bets3[[#This Row],[Risk]],(Bets3[[#This Row],[Risk]]/Bets3[[#This Row],[Odds]]*-100)),""))))</f>
        <v>-7.1428571428571432</v>
      </c>
      <c r="J106" s="39" t="str">
        <f>IF(ISNUMBER(SEARCH(CHAR(10),Bets3[[#This Row],[Bet]])),"P",IF(ISNUMBER(FIND("Under",Bets3[[#This Row],[Bet]])),"U",IF(ISNUMBER(SEARCH("Over",Bets3[[#This Row],[Bet]])),"O",IF(ISNUMBER(SEARCH("+",Bets3[[#This Row],[Bet]])),"D",IF(ISNUMBER(SEARCH("-",Bets3[[#This Row],[Bet]])),"F",IF(ISNUMBER(SEARCH("Moneyline",Bets3[[#This Row],[Bet]])),IF(Bets3[[#This Row],[Odds]]&lt;0,"MF","MD"),""))))))</f>
        <v>MD</v>
      </c>
      <c r="K106"/>
      <c r="L106" s="24">
        <f t="shared" si="4"/>
        <v>0</v>
      </c>
      <c r="M106" s="1" t="str">
        <f>COUNTIFS(Bets3[Date],L106,Bets3[Result],"W")&amp;"-"&amp;COUNTIFS(Bets3[Date],L106,Bets3[Result],"L")&amp;IF(COUNTIFS(Bets3[Date],L106,Bets3[Result],"Push")&gt;0,"-"&amp;COUNTIFS(Bets3[Date],L106,Bets3[Result],"Push"),"")</f>
        <v>0-0</v>
      </c>
      <c r="N106" s="25" t="str">
        <f>IFERROR(COUNTIFS(Bets3[Date],L106,Bets3[Result],"W")/(COUNTIFS(Bets3[Date],L106,Bets3[Result],"W")+COUNTIFS(Bets3[Date],L106,Bets3[Result],"L")),"")</f>
        <v/>
      </c>
      <c r="O106" s="26">
        <f>SUMIF(Bets3[Date],L106,Bets3[Net])</f>
        <v>0</v>
      </c>
      <c r="P106" s="27" t="str">
        <f>IFERROR("("&amp;ROUND(SUMIF(Bets3[Date],L106,Bets3[Net])/SUMIF(Bets3[Date],L106,Bets3[Risk]),2)*100&amp;"%)","")</f>
        <v/>
      </c>
      <c r="Q106" s="72" t="str">
        <f t="shared" si="5"/>
        <v/>
      </c>
      <c r="R106" s="73" t="str">
        <f>IFERROR(SUMIF(Bets3[Date],"&lt;="&amp;L106,Bets3[Net])/SUMIF(Bets3[Date],"&lt;="&amp;L106,Bets3[Risk]),"")</f>
        <v/>
      </c>
    </row>
    <row r="107" spans="1:18" x14ac:dyDescent="0.25">
      <c r="A107" s="13">
        <f t="shared" si="3"/>
        <v>9</v>
      </c>
      <c r="B107" s="17">
        <v>43592</v>
      </c>
      <c r="C107" s="17" t="s">
        <v>802</v>
      </c>
      <c r="D107" s="18" t="s">
        <v>1181</v>
      </c>
      <c r="E107" s="11" t="s">
        <v>830</v>
      </c>
      <c r="F107" s="19">
        <f>IF(Bets35[[#This Row],[Odds]]&lt;0,Bets35[[#This Row],[Odds]]/-10,1000/Bets3[[#This Row],[Odds]])</f>
        <v>12</v>
      </c>
      <c r="G107" s="37">
        <v>-120</v>
      </c>
      <c r="H107" s="37" t="s">
        <v>263</v>
      </c>
      <c r="I107" s="45">
        <f>IF(Bets3[[#This Row],[Result]]="L",0-Bets3[[#This Row],[Risk]],IF(Bets3[[#This Row],[Result]]="Push",0,IF(Bets3[[#This Row],[Result]]="No Action",0,IF(Bets3[[#This Row],[Result]]="W",IF(Bets3[[#This Row],[Odds]]&gt;0,Bets3[[#This Row],[Odds]]/100*Bets3[[#This Row],[Risk]],(Bets3[[#This Row],[Risk]]/Bets3[[#This Row],[Odds]]*-100)),""))))</f>
        <v>-12</v>
      </c>
      <c r="J107" s="39" t="str">
        <f>IF(ISNUMBER(SEARCH(CHAR(10),Bets3[[#This Row],[Bet]])),"P",IF(ISNUMBER(FIND("Under",Bets3[[#This Row],[Bet]])),"U",IF(ISNUMBER(SEARCH("Over",Bets3[[#This Row],[Bet]])),"O",IF(ISNUMBER(SEARCH("+",Bets3[[#This Row],[Bet]])),"D",IF(ISNUMBER(SEARCH("-",Bets3[[#This Row],[Bet]])),"F",IF(ISNUMBER(SEARCH("Moneyline",Bets3[[#This Row],[Bet]])),IF(Bets3[[#This Row],[Odds]]&lt;0,"MF","MD"),""))))))</f>
        <v>MF</v>
      </c>
      <c r="K107"/>
      <c r="L107" s="24">
        <f t="shared" si="4"/>
        <v>0</v>
      </c>
      <c r="M107" s="1" t="str">
        <f>COUNTIFS(Bets3[Date],L107,Bets3[Result],"W")&amp;"-"&amp;COUNTIFS(Bets3[Date],L107,Bets3[Result],"L")&amp;IF(COUNTIFS(Bets3[Date],L107,Bets3[Result],"Push")&gt;0,"-"&amp;COUNTIFS(Bets3[Date],L107,Bets3[Result],"Push"),"")</f>
        <v>0-0</v>
      </c>
      <c r="N107" s="25" t="str">
        <f>IFERROR(COUNTIFS(Bets3[Date],L107,Bets3[Result],"W")/(COUNTIFS(Bets3[Date],L107,Bets3[Result],"W")+COUNTIFS(Bets3[Date],L107,Bets3[Result],"L")),"")</f>
        <v/>
      </c>
      <c r="O107" s="26">
        <f>SUMIF(Bets3[Date],L107,Bets3[Net])</f>
        <v>0</v>
      </c>
      <c r="P107" s="27"/>
      <c r="Q107" s="72" t="str">
        <f t="shared" si="5"/>
        <v/>
      </c>
      <c r="R107" s="73" t="str">
        <f>IFERROR(SUMIF(Bets3[Date],"&lt;="&amp;L107,Bets3[Net])/SUMIF(Bets3[Date],"&lt;="&amp;L107,Bets3[Risk]),"")</f>
        <v/>
      </c>
    </row>
    <row r="108" spans="1:18" x14ac:dyDescent="0.25">
      <c r="A108" s="13">
        <f t="shared" si="3"/>
        <v>9</v>
      </c>
      <c r="B108" s="17">
        <v>43592</v>
      </c>
      <c r="C108" s="17" t="s">
        <v>802</v>
      </c>
      <c r="D108" s="18" t="s">
        <v>1182</v>
      </c>
      <c r="E108" s="11" t="s">
        <v>867</v>
      </c>
      <c r="F108" s="19">
        <f>IF(Bets35[[#This Row],[Odds]]&lt;0,Bets35[[#This Row],[Odds]]/-10,1000/Bets3[[#This Row],[Odds]])</f>
        <v>16.600000000000001</v>
      </c>
      <c r="G108" s="37">
        <v>-166</v>
      </c>
      <c r="H108" s="37" t="s">
        <v>262</v>
      </c>
      <c r="I108" s="45">
        <f>IF(Bets3[[#This Row],[Result]]="L",0-Bets3[[#This Row],[Risk]],IF(Bets3[[#This Row],[Result]]="Push",0,IF(Bets3[[#This Row],[Result]]="No Action",0,IF(Bets3[[#This Row],[Result]]="W",IF(Bets3[[#This Row],[Odds]]&gt;0,Bets3[[#This Row],[Odds]]/100*Bets3[[#This Row],[Risk]],(Bets3[[#This Row],[Risk]]/Bets3[[#This Row],[Odds]]*-100)),""))))</f>
        <v>10</v>
      </c>
      <c r="J108" s="39" t="str">
        <f>IF(ISNUMBER(SEARCH(CHAR(10),Bets3[[#This Row],[Bet]])),"P",IF(ISNUMBER(FIND("Under",Bets3[[#This Row],[Bet]])),"U",IF(ISNUMBER(SEARCH("Over",Bets3[[#This Row],[Bet]])),"O",IF(ISNUMBER(SEARCH("+",Bets3[[#This Row],[Bet]])),"D",IF(ISNUMBER(SEARCH("-",Bets3[[#This Row],[Bet]])),"F",IF(ISNUMBER(SEARCH("Moneyline",Bets3[[#This Row],[Bet]])),IF(Bets3[[#This Row],[Odds]]&lt;0,"MF","MD"),""))))))</f>
        <v>MF</v>
      </c>
      <c r="K108"/>
      <c r="L108" s="24">
        <f t="shared" si="4"/>
        <v>0</v>
      </c>
      <c r="M108" s="1" t="str">
        <f>COUNTIFS(Bets3[Date],L108,Bets3[Result],"W")&amp;"-"&amp;COUNTIFS(Bets3[Date],L108,Bets3[Result],"L")&amp;IF(COUNTIFS(Bets3[Date],L108,Bets3[Result],"Push")&gt;0,"-"&amp;COUNTIFS(Bets3[Date],L108,Bets3[Result],"Push"),"")</f>
        <v>0-0</v>
      </c>
      <c r="N108" s="25" t="str">
        <f>IFERROR(COUNTIFS(Bets3[Date],L108,Bets3[Result],"W")/(COUNTIFS(Bets3[Date],L108,Bets3[Result],"W")+COUNTIFS(Bets3[Date],L108,Bets3[Result],"L")),"")</f>
        <v/>
      </c>
      <c r="O108" s="26">
        <f>SUMIF(Bets3[Date],L108,Bets3[Net])</f>
        <v>0</v>
      </c>
      <c r="P108" s="27" t="str">
        <f>IFERROR("("&amp;ROUND((SUMIF(Bets3[Date],L108,Bets3[Net])-SUMIF(Bets3[Date],L108,Bets3[Risk]))/SUMIF(Bets3[Date],L108,Bets3[Risk]),2)*100&amp;"%)","")</f>
        <v/>
      </c>
      <c r="Q108" s="72" t="str">
        <f t="shared" si="5"/>
        <v/>
      </c>
      <c r="R108" s="73" t="str">
        <f>IFERROR(SUMIF(Bets3[Date],"&lt;="&amp;L108,Bets3[Net])/SUMIF(Bets3[Date],"&lt;="&amp;L108,Bets3[Risk]),"")</f>
        <v/>
      </c>
    </row>
    <row r="109" spans="1:18" x14ac:dyDescent="0.25">
      <c r="A109" s="13">
        <f t="shared" si="3"/>
        <v>9</v>
      </c>
      <c r="B109" s="17">
        <v>43592</v>
      </c>
      <c r="C109" s="17" t="s">
        <v>802</v>
      </c>
      <c r="D109" s="18" t="s">
        <v>1183</v>
      </c>
      <c r="E109" s="11" t="s">
        <v>1166</v>
      </c>
      <c r="F109" s="19">
        <f>IF(Bets35[[#This Row],[Odds]]&lt;0,Bets35[[#This Row],[Odds]]/-10,1000/Bets3[[#This Row],[Odds]])</f>
        <v>10.199999999999999</v>
      </c>
      <c r="G109" s="37">
        <v>-102</v>
      </c>
      <c r="H109" s="37" t="s">
        <v>263</v>
      </c>
      <c r="I109" s="45">
        <f>IF(Bets3[[#This Row],[Result]]="L",0-Bets3[[#This Row],[Risk]],IF(Bets3[[#This Row],[Result]]="Push",0,IF(Bets3[[#This Row],[Result]]="No Action",0,IF(Bets3[[#This Row],[Result]]="W",IF(Bets3[[#This Row],[Odds]]&gt;0,Bets3[[#This Row],[Odds]]/100*Bets3[[#This Row],[Risk]],(Bets3[[#This Row],[Risk]]/Bets3[[#This Row],[Odds]]*-100)),""))))</f>
        <v>-10.199999999999999</v>
      </c>
      <c r="J109" s="39" t="str">
        <f>IF(ISNUMBER(SEARCH(CHAR(10),Bets3[[#This Row],[Bet]])),"P",IF(ISNUMBER(FIND("Under",Bets3[[#This Row],[Bet]])),"U",IF(ISNUMBER(SEARCH("Over",Bets3[[#This Row],[Bet]])),"O",IF(ISNUMBER(SEARCH("+",Bets3[[#This Row],[Bet]])),"D",IF(ISNUMBER(SEARCH("-",Bets3[[#This Row],[Bet]])),"F",IF(ISNUMBER(SEARCH("Moneyline",Bets3[[#This Row],[Bet]])),IF(Bets3[[#This Row],[Odds]]&lt;0,"MF","MD"),""))))))</f>
        <v>MF</v>
      </c>
      <c r="K109"/>
      <c r="L109" s="24">
        <f t="shared" si="4"/>
        <v>0</v>
      </c>
      <c r="M109" s="1" t="str">
        <f>COUNTIFS(Bets3[Date],L109,Bets3[Result],"W")&amp;"-"&amp;COUNTIFS(Bets3[Date],L109,Bets3[Result],"L")&amp;IF(COUNTIFS(Bets3[Date],L109,Bets3[Result],"Push")&gt;0,"-"&amp;COUNTIFS(Bets3[Date],L109,Bets3[Result],"Push"),"")</f>
        <v>0-0</v>
      </c>
      <c r="N109" s="25" t="str">
        <f>IFERROR(COUNTIFS(Bets3[Date],L109,Bets3[Result],"W")/(COUNTIFS(Bets3[Date],L109,Bets3[Result],"W")+COUNTIFS(Bets3[Date],L109,Bets3[Result],"L")),"")</f>
        <v/>
      </c>
      <c r="O109" s="26">
        <f>SUMIF(Bets3[Date],L109,Bets3[Net])</f>
        <v>0</v>
      </c>
      <c r="P109" s="27" t="str">
        <f>IFERROR("("&amp;ROUND((SUMIF(Bets3[Date],L109,Bets3[Net])-SUMIF(Bets3[Date],L109,Bets3[Risk]))/SUMIF(Bets3[Date],L109,Bets3[Risk]),2)*100&amp;"%)","")</f>
        <v/>
      </c>
      <c r="Q109" s="72" t="str">
        <f t="shared" si="5"/>
        <v/>
      </c>
      <c r="R109" s="73" t="str">
        <f>IFERROR(SUMIF(Bets3[Date],"&lt;="&amp;L109,Bets3[Net])/SUMIF(Bets3[Date],"&lt;="&amp;L109,Bets3[Risk]),"")</f>
        <v/>
      </c>
    </row>
    <row r="110" spans="1:18" x14ac:dyDescent="0.25">
      <c r="A110" s="13">
        <f t="shared" si="3"/>
        <v>9</v>
      </c>
      <c r="B110" s="17">
        <v>43592</v>
      </c>
      <c r="C110" s="17" t="s">
        <v>802</v>
      </c>
      <c r="D110" s="18" t="s">
        <v>1184</v>
      </c>
      <c r="E110" s="11" t="s">
        <v>1152</v>
      </c>
      <c r="F110" s="19">
        <f>IF(Bets35[[#This Row],[Odds]]&lt;0,Bets35[[#This Row],[Odds]]/-10,1000/Bets3[[#This Row],[Odds]])</f>
        <v>7.4074074074074074</v>
      </c>
      <c r="G110" s="37" t="s">
        <v>823</v>
      </c>
      <c r="H110" s="37" t="s">
        <v>263</v>
      </c>
      <c r="I110" s="45">
        <f>IF(Bets3[[#This Row],[Result]]="L",0-Bets3[[#This Row],[Risk]],IF(Bets3[[#This Row],[Result]]="Push",0,IF(Bets3[[#This Row],[Result]]="No Action",0,IF(Bets3[[#This Row],[Result]]="W",IF(Bets3[[#This Row],[Odds]]&gt;0,Bets3[[#This Row],[Odds]]/100*Bets3[[#This Row],[Risk]],(Bets3[[#This Row],[Risk]]/Bets3[[#This Row],[Odds]]*-100)),""))))</f>
        <v>-7.4074074074074074</v>
      </c>
      <c r="J110" s="39" t="str">
        <f>IF(ISNUMBER(SEARCH(CHAR(10),Bets3[[#This Row],[Bet]])),"P",IF(ISNUMBER(FIND("Under",Bets3[[#This Row],[Bet]])),"U",IF(ISNUMBER(SEARCH("Over",Bets3[[#This Row],[Bet]])),"O",IF(ISNUMBER(SEARCH("+",Bets3[[#This Row],[Bet]])),"D",IF(ISNUMBER(SEARCH("-",Bets3[[#This Row],[Bet]])),"F",IF(ISNUMBER(SEARCH("Moneyline",Bets3[[#This Row],[Bet]])),IF(Bets3[[#This Row],[Odds]]&lt;0,"MF","MD"),""))))))</f>
        <v>MD</v>
      </c>
      <c r="K110"/>
      <c r="L110" s="24">
        <f t="shared" si="4"/>
        <v>0</v>
      </c>
      <c r="M110" s="1" t="str">
        <f>COUNTIFS(Bets3[Date],L110,Bets3[Result],"W")&amp;"-"&amp;COUNTIFS(Bets3[Date],L110,Bets3[Result],"L")&amp;IF(COUNTIFS(Bets3[Date],L110,Bets3[Result],"Push")&gt;0,"-"&amp;COUNTIFS(Bets3[Date],L110,Bets3[Result],"Push"),"")</f>
        <v>0-0</v>
      </c>
      <c r="N110" s="25" t="str">
        <f>IFERROR(COUNTIFS(Bets3[Date],L110,Bets3[Result],"W")/(COUNTIFS(Bets3[Date],L110,Bets3[Result],"W")+COUNTIFS(Bets3[Date],L110,Bets3[Result],"L")),"")</f>
        <v/>
      </c>
      <c r="O110" s="26">
        <f>SUMIF(Bets3[Date],L110,Bets3[Net])</f>
        <v>0</v>
      </c>
      <c r="P110" s="27" t="str">
        <f>IFERROR("("&amp;ROUND((SUMIF(Bets3[Date],L110,Bets3[Net])-SUMIF(Bets3[Date],L110,Bets3[Risk]))/SUMIF(Bets3[Date],L110,Bets3[Risk]),2)*100&amp;"%)","")</f>
        <v/>
      </c>
      <c r="Q110" s="72" t="str">
        <f t="shared" si="5"/>
        <v/>
      </c>
      <c r="R110" s="73" t="str">
        <f>IFERROR(SUMIF(Bets3[Date],"&lt;="&amp;L110,Bets3[Net])/SUMIF(Bets3[Date],"&lt;="&amp;L110,Bets3[Risk]),"")</f>
        <v/>
      </c>
    </row>
    <row r="111" spans="1:18" x14ac:dyDescent="0.25">
      <c r="A111" s="13">
        <f t="shared" si="3"/>
        <v>9</v>
      </c>
      <c r="B111" s="17">
        <v>43592</v>
      </c>
      <c r="C111" s="17" t="s">
        <v>802</v>
      </c>
      <c r="D111" s="18" t="s">
        <v>1176</v>
      </c>
      <c r="E111" s="11" t="s">
        <v>845</v>
      </c>
      <c r="F111" s="19">
        <f>IF(Bets35[[#This Row],[Odds]]&lt;0,Bets35[[#This Row],[Odds]]/-10,1000/Bets3[[#This Row],[Odds]])</f>
        <v>10.5</v>
      </c>
      <c r="G111" s="37">
        <v>-105</v>
      </c>
      <c r="H111" s="37" t="s">
        <v>262</v>
      </c>
      <c r="I111" s="45">
        <f>IF(Bets3[[#This Row],[Result]]="L",0-Bets3[[#This Row],[Risk]],IF(Bets3[[#This Row],[Result]]="Push",0,IF(Bets3[[#This Row],[Result]]="No Action",0,IF(Bets3[[#This Row],[Result]]="W",IF(Bets3[[#This Row],[Odds]]&gt;0,Bets3[[#This Row],[Odds]]/100*Bets3[[#This Row],[Risk]],(Bets3[[#This Row],[Risk]]/Bets3[[#This Row],[Odds]]*-100)),""))))</f>
        <v>10</v>
      </c>
      <c r="J111" s="39" t="str">
        <f>IF(ISNUMBER(SEARCH(CHAR(10),Bets3[[#This Row],[Bet]])),"P",IF(ISNUMBER(FIND("Under",Bets3[[#This Row],[Bet]])),"U",IF(ISNUMBER(SEARCH("Over",Bets3[[#This Row],[Bet]])),"O",IF(ISNUMBER(SEARCH("+",Bets3[[#This Row],[Bet]])),"D",IF(ISNUMBER(SEARCH("-",Bets3[[#This Row],[Bet]])),"F",IF(ISNUMBER(SEARCH("Moneyline",Bets3[[#This Row],[Bet]])),IF(Bets3[[#This Row],[Odds]]&lt;0,"MF","MD"),""))))))</f>
        <v>O</v>
      </c>
      <c r="K111"/>
      <c r="L111" s="24">
        <f t="shared" si="4"/>
        <v>0</v>
      </c>
      <c r="M111" s="1" t="str">
        <f>COUNTIFS(Bets3[Date],L111,Bets3[Result],"W")&amp;"-"&amp;COUNTIFS(Bets3[Date],L111,Bets3[Result],"L")&amp;IF(COUNTIFS(Bets3[Date],L111,Bets3[Result],"Push")&gt;0,"-"&amp;COUNTIFS(Bets3[Date],L111,Bets3[Result],"Push"),"")</f>
        <v>0-0</v>
      </c>
      <c r="N111" s="25" t="str">
        <f>IFERROR(COUNTIFS(Bets3[Date],L111,Bets3[Result],"W")/(COUNTIFS(Bets3[Date],L111,Bets3[Result],"W")+COUNTIFS(Bets3[Date],L111,Bets3[Result],"L")),"")</f>
        <v/>
      </c>
      <c r="O111" s="26">
        <f>SUMIF(Bets3[Date],L111,Bets3[Net])</f>
        <v>0</v>
      </c>
      <c r="P111" s="27" t="str">
        <f>IFERROR("("&amp;ROUND((SUMIF(Bets3[Date],L111,Bets3[Net])-SUMIF(Bets3[Date],L111,Bets3[Risk]))/SUMIF(Bets3[Date],L111,Bets3[Risk]),2)*100&amp;"%)","")</f>
        <v/>
      </c>
      <c r="Q111" s="72" t="str">
        <f t="shared" si="5"/>
        <v/>
      </c>
      <c r="R111" s="73" t="str">
        <f>IFERROR(SUMIF(Bets3[Date],"&lt;="&amp;L111,Bets3[Net])/SUMIF(Bets3[Date],"&lt;="&amp;L111,Bets3[Risk]),"")</f>
        <v/>
      </c>
    </row>
    <row r="112" spans="1:18" x14ac:dyDescent="0.25">
      <c r="A112" s="13">
        <f t="shared" si="3"/>
        <v>9</v>
      </c>
      <c r="B112" s="17">
        <v>43592</v>
      </c>
      <c r="C112" s="17" t="s">
        <v>802</v>
      </c>
      <c r="D112" s="18" t="s">
        <v>1177</v>
      </c>
      <c r="E112" s="11" t="s">
        <v>877</v>
      </c>
      <c r="F112" s="19">
        <f>IF(Bets35[[#This Row],[Odds]]&lt;0,Bets35[[#This Row],[Odds]]/-10,1000/Bets3[[#This Row],[Odds]])</f>
        <v>9.5238095238095237</v>
      </c>
      <c r="G112" s="37">
        <v>105</v>
      </c>
      <c r="H112" s="37" t="s">
        <v>262</v>
      </c>
      <c r="I112" s="45">
        <f>IF(Bets3[[#This Row],[Result]]="L",0-Bets3[[#This Row],[Risk]],IF(Bets3[[#This Row],[Result]]="Push",0,IF(Bets3[[#This Row],[Result]]="No Action",0,IF(Bets3[[#This Row],[Result]]="W",IF(Bets3[[#This Row],[Odds]]&gt;0,Bets3[[#This Row],[Odds]]/100*Bets3[[#This Row],[Risk]],(Bets3[[#This Row],[Risk]]/Bets3[[#This Row],[Odds]]*-100)),""))))</f>
        <v>10</v>
      </c>
      <c r="J112" s="39" t="str">
        <f>IF(ISNUMBER(SEARCH(CHAR(10),Bets3[[#This Row],[Bet]])),"P",IF(ISNUMBER(FIND("Under",Bets3[[#This Row],[Bet]])),"U",IF(ISNUMBER(SEARCH("Over",Bets3[[#This Row],[Bet]])),"O",IF(ISNUMBER(SEARCH("+",Bets3[[#This Row],[Bet]])),"D",IF(ISNUMBER(SEARCH("-",Bets3[[#This Row],[Bet]])),"F",IF(ISNUMBER(SEARCH("Moneyline",Bets3[[#This Row],[Bet]])),IF(Bets3[[#This Row],[Odds]]&lt;0,"MF","MD"),""))))))</f>
        <v>U</v>
      </c>
      <c r="K112"/>
      <c r="L112" s="24">
        <f t="shared" si="4"/>
        <v>0</v>
      </c>
      <c r="M112" s="1" t="str">
        <f>COUNTIFS(Bets3[Date],L112,Bets3[Result],"W")&amp;"-"&amp;COUNTIFS(Bets3[Date],L112,Bets3[Result],"L")&amp;IF(COUNTIFS(Bets3[Date],L112,Bets3[Result],"Push")&gt;0,"-"&amp;COUNTIFS(Bets3[Date],L112,Bets3[Result],"Push"),"")</f>
        <v>0-0</v>
      </c>
      <c r="N112" s="25" t="str">
        <f>IFERROR(COUNTIFS(Bets3[Date],L112,Bets3[Result],"W")/(COUNTIFS(Bets3[Date],L112,Bets3[Result],"W")+COUNTIFS(Bets3[Date],L112,Bets3[Result],"L")),"")</f>
        <v/>
      </c>
      <c r="O112" s="26">
        <f>SUMIF(Bets3[Date],L112,Bets3[Net])</f>
        <v>0</v>
      </c>
      <c r="P112" s="27" t="str">
        <f>IFERROR("("&amp;ROUND((SUMIF(Bets3[Date],L112,Bets3[Net])-SUMIF(Bets3[Date],L112,Bets3[Risk]))/SUMIF(Bets3[Date],L112,Bets3[Risk]),2)*100&amp;"%)","")</f>
        <v/>
      </c>
      <c r="Q112" s="72" t="str">
        <f t="shared" si="5"/>
        <v/>
      </c>
      <c r="R112" s="73" t="str">
        <f>IFERROR(SUMIF(Bets3[Date],"&lt;="&amp;L112,Bets3[Net])/SUMIF(Bets3[Date],"&lt;="&amp;L112,Bets3[Risk]),"")</f>
        <v/>
      </c>
    </row>
    <row r="113" spans="1:18" x14ac:dyDescent="0.25">
      <c r="A113" s="13">
        <f t="shared" si="3"/>
        <v>9</v>
      </c>
      <c r="B113" s="17">
        <v>43592</v>
      </c>
      <c r="C113" s="17" t="s">
        <v>802</v>
      </c>
      <c r="D113" s="18" t="s">
        <v>1179</v>
      </c>
      <c r="E113" s="11" t="s">
        <v>877</v>
      </c>
      <c r="F113" s="19">
        <f>IF(Bets35[[#This Row],[Odds]]&lt;0,Bets35[[#This Row],[Odds]]/-10,1000/Bets3[[#This Row],[Odds]])</f>
        <v>10.5</v>
      </c>
      <c r="G113" s="37">
        <v>-105</v>
      </c>
      <c r="H113" s="37" t="s">
        <v>263</v>
      </c>
      <c r="I113" s="45">
        <f>IF(Bets3[[#This Row],[Result]]="L",0-Bets3[[#This Row],[Risk]],IF(Bets3[[#This Row],[Result]]="Push",0,IF(Bets3[[#This Row],[Result]]="No Action",0,IF(Bets3[[#This Row],[Result]]="W",IF(Bets3[[#This Row],[Odds]]&gt;0,Bets3[[#This Row],[Odds]]/100*Bets3[[#This Row],[Risk]],(Bets3[[#This Row],[Risk]]/Bets3[[#This Row],[Odds]]*-100)),""))))</f>
        <v>-10.5</v>
      </c>
      <c r="J113" s="39" t="str">
        <f>IF(ISNUMBER(SEARCH(CHAR(10),Bets3[[#This Row],[Bet]])),"P",IF(ISNUMBER(FIND("Under",Bets3[[#This Row],[Bet]])),"U",IF(ISNUMBER(SEARCH("Over",Bets3[[#This Row],[Bet]])),"O",IF(ISNUMBER(SEARCH("+",Bets3[[#This Row],[Bet]])),"D",IF(ISNUMBER(SEARCH("-",Bets3[[#This Row],[Bet]])),"F",IF(ISNUMBER(SEARCH("Moneyline",Bets3[[#This Row],[Bet]])),IF(Bets3[[#This Row],[Odds]]&lt;0,"MF","MD"),""))))))</f>
        <v>U</v>
      </c>
      <c r="K113"/>
      <c r="L113" s="24">
        <f t="shared" si="4"/>
        <v>0</v>
      </c>
      <c r="M113" s="1" t="str">
        <f>COUNTIFS(Bets3[Date],L113,Bets3[Result],"W")&amp;"-"&amp;COUNTIFS(Bets3[Date],L113,Bets3[Result],"L")&amp;IF(COUNTIFS(Bets3[Date],L113,Bets3[Result],"Push")&gt;0,"-"&amp;COUNTIFS(Bets3[Date],L113,Bets3[Result],"Push"),"")</f>
        <v>0-0</v>
      </c>
      <c r="N113" s="25" t="str">
        <f>IFERROR(COUNTIFS(Bets3[Date],L113,Bets3[Result],"W")/(COUNTIFS(Bets3[Date],L113,Bets3[Result],"W")+COUNTIFS(Bets3[Date],L113,Bets3[Result],"L")),"")</f>
        <v/>
      </c>
      <c r="O113" s="26">
        <f>SUMIF(Bets3[Date],L113,Bets3[Net])</f>
        <v>0</v>
      </c>
      <c r="P113" s="27" t="str">
        <f>IFERROR("("&amp;ROUND((SUMIF(Bets3[Date],L113,Bets3[Net])-SUMIF(Bets3[Date],L113,Bets3[Risk]))/SUMIF(Bets3[Date],L113,Bets3[Risk]),2)*100&amp;"%)","")</f>
        <v/>
      </c>
      <c r="Q113" s="72" t="str">
        <f t="shared" si="5"/>
        <v/>
      </c>
      <c r="R113" s="73" t="str">
        <f>IFERROR(SUMIF(Bets3[Date],"&lt;="&amp;L113,Bets3[Net])/SUMIF(Bets3[Date],"&lt;="&amp;L113,Bets3[Risk]),"")</f>
        <v/>
      </c>
    </row>
    <row r="114" spans="1:18" x14ac:dyDescent="0.25">
      <c r="A114" s="13">
        <f t="shared" si="3"/>
        <v>9</v>
      </c>
      <c r="B114" s="17">
        <v>43592</v>
      </c>
      <c r="C114" s="17" t="s">
        <v>802</v>
      </c>
      <c r="D114" s="18" t="s">
        <v>1181</v>
      </c>
      <c r="E114" s="11" t="s">
        <v>931</v>
      </c>
      <c r="F114" s="19">
        <f>IF(Bets35[[#This Row],[Odds]]&lt;0,Bets35[[#This Row],[Odds]]/-10,1000/Bets3[[#This Row],[Odds]])</f>
        <v>11.5</v>
      </c>
      <c r="G114" s="37">
        <v>-115</v>
      </c>
      <c r="H114" s="37" t="s">
        <v>263</v>
      </c>
      <c r="I114" s="45">
        <f>IF(Bets3[[#This Row],[Result]]="L",0-Bets3[[#This Row],[Risk]],IF(Bets3[[#This Row],[Result]]="Push",0,IF(Bets3[[#This Row],[Result]]="No Action",0,IF(Bets3[[#This Row],[Result]]="W",IF(Bets3[[#This Row],[Odds]]&gt;0,Bets3[[#This Row],[Odds]]/100*Bets3[[#This Row],[Risk]],(Bets3[[#This Row],[Risk]]/Bets3[[#This Row],[Odds]]*-100)),""))))</f>
        <v>-11.5</v>
      </c>
      <c r="J114" s="39" t="str">
        <f>IF(ISNUMBER(SEARCH(CHAR(10),Bets3[[#This Row],[Bet]])),"P",IF(ISNUMBER(FIND("Under",Bets3[[#This Row],[Bet]])),"U",IF(ISNUMBER(SEARCH("Over",Bets3[[#This Row],[Bet]])),"O",IF(ISNUMBER(SEARCH("+",Bets3[[#This Row],[Bet]])),"D",IF(ISNUMBER(SEARCH("-",Bets3[[#This Row],[Bet]])),"F",IF(ISNUMBER(SEARCH("Moneyline",Bets3[[#This Row],[Bet]])),IF(Bets3[[#This Row],[Odds]]&lt;0,"MF","MD"),""))))))</f>
        <v>O</v>
      </c>
      <c r="K114"/>
      <c r="L114" s="24">
        <f t="shared" si="4"/>
        <v>0</v>
      </c>
      <c r="M114" s="1" t="str">
        <f>COUNTIFS(Bets3[Date],L114,Bets3[Result],"W")&amp;"-"&amp;COUNTIFS(Bets3[Date],L114,Bets3[Result],"L")&amp;IF(COUNTIFS(Bets3[Date],L114,Bets3[Result],"Push")&gt;0,"-"&amp;COUNTIFS(Bets3[Date],L114,Bets3[Result],"Push"),"")</f>
        <v>0-0</v>
      </c>
      <c r="N114" s="25" t="str">
        <f>IFERROR(COUNTIFS(Bets3[Date],L114,Bets3[Result],"W")/(COUNTIFS(Bets3[Date],L114,Bets3[Result],"W")+COUNTIFS(Bets3[Date],L114,Bets3[Result],"L")),"")</f>
        <v/>
      </c>
      <c r="O114" s="26">
        <f>SUMIF(Bets3[Date],L114,Bets3[Net])</f>
        <v>0</v>
      </c>
      <c r="P114" s="27" t="str">
        <f>IFERROR("("&amp;ROUND((SUMIF(Bets3[Date],L114,Bets3[Net])-SUMIF(Bets3[Date],L114,Bets3[Risk]))/SUMIF(Bets3[Date],L114,Bets3[Risk]),2)*100&amp;"%)","")</f>
        <v/>
      </c>
      <c r="Q114" s="72" t="str">
        <f t="shared" si="5"/>
        <v/>
      </c>
      <c r="R114" s="73" t="str">
        <f>IFERROR(SUMIF(Bets3[Date],"&lt;="&amp;L114,Bets3[Net])/SUMIF(Bets3[Date],"&lt;="&amp;L114,Bets3[Risk]),"")</f>
        <v/>
      </c>
    </row>
    <row r="115" spans="1:18" x14ac:dyDescent="0.25">
      <c r="A115" s="13">
        <f t="shared" si="3"/>
        <v>9</v>
      </c>
      <c r="B115" s="17">
        <v>43592</v>
      </c>
      <c r="C115" s="17" t="s">
        <v>802</v>
      </c>
      <c r="D115" s="18" t="s">
        <v>1185</v>
      </c>
      <c r="E115" s="11" t="s">
        <v>845</v>
      </c>
      <c r="F115" s="19">
        <f>IF(Bets35[[#This Row],[Odds]]&lt;0,Bets35[[#This Row],[Odds]]/-10,1000/Bets3[[#This Row],[Odds]])</f>
        <v>12</v>
      </c>
      <c r="G115" s="37">
        <v>-120</v>
      </c>
      <c r="H115" s="37" t="s">
        <v>262</v>
      </c>
      <c r="I115" s="45">
        <f>IF(Bets3[[#This Row],[Result]]="L",0-Bets3[[#This Row],[Risk]],IF(Bets3[[#This Row],[Result]]="Push",0,IF(Bets3[[#This Row],[Result]]="No Action",0,IF(Bets3[[#This Row],[Result]]="W",IF(Bets3[[#This Row],[Odds]]&gt;0,Bets3[[#This Row],[Odds]]/100*Bets3[[#This Row],[Risk]],(Bets3[[#This Row],[Risk]]/Bets3[[#This Row],[Odds]]*-100)),""))))</f>
        <v>10</v>
      </c>
      <c r="J115" s="39" t="str">
        <f>IF(ISNUMBER(SEARCH(CHAR(10),Bets3[[#This Row],[Bet]])),"P",IF(ISNUMBER(FIND("Under",Bets3[[#This Row],[Bet]])),"U",IF(ISNUMBER(SEARCH("Over",Bets3[[#This Row],[Bet]])),"O",IF(ISNUMBER(SEARCH("+",Bets3[[#This Row],[Bet]])),"D",IF(ISNUMBER(SEARCH("-",Bets3[[#This Row],[Bet]])),"F",IF(ISNUMBER(SEARCH("Moneyline",Bets3[[#This Row],[Bet]])),IF(Bets3[[#This Row],[Odds]]&lt;0,"MF","MD"),""))))))</f>
        <v>O</v>
      </c>
      <c r="K115"/>
      <c r="L115" s="24">
        <f t="shared" si="4"/>
        <v>0</v>
      </c>
      <c r="M115" s="1" t="str">
        <f>COUNTIFS(Bets3[Date],L115,Bets3[Result],"W")&amp;"-"&amp;COUNTIFS(Bets3[Date],L115,Bets3[Result],"L")&amp;IF(COUNTIFS(Bets3[Date],L115,Bets3[Result],"Push")&gt;0,"-"&amp;COUNTIFS(Bets3[Date],L115,Bets3[Result],"Push"),"")</f>
        <v>0-0</v>
      </c>
      <c r="N115" s="25" t="str">
        <f>IFERROR(COUNTIFS(Bets3[Date],L115,Bets3[Result],"W")/(COUNTIFS(Bets3[Date],L115,Bets3[Result],"W")+COUNTIFS(Bets3[Date],L115,Bets3[Result],"L")),"")</f>
        <v/>
      </c>
      <c r="O115" s="26">
        <f>SUMIF(Bets3[Date],L115,Bets3[Net])</f>
        <v>0</v>
      </c>
      <c r="P115" s="27" t="str">
        <f>IFERROR("("&amp;ROUND((SUMIF(Bets3[Date],L115,Bets3[Net])-SUMIF(Bets3[Date],L115,Bets3[Risk]))/SUMIF(Bets3[Date],L115,Bets3[Risk]),2)*100&amp;"%)","")</f>
        <v/>
      </c>
      <c r="Q115" s="72" t="str">
        <f t="shared" si="5"/>
        <v/>
      </c>
      <c r="R115" s="73" t="str">
        <f>IFERROR(SUMIF(Bets3[Date],"&lt;="&amp;L115,Bets3[Net])/SUMIF(Bets3[Date],"&lt;="&amp;L115,Bets3[Risk]),"")</f>
        <v/>
      </c>
    </row>
    <row r="116" spans="1:18" x14ac:dyDescent="0.25">
      <c r="A116" s="13">
        <f t="shared" si="3"/>
        <v>9</v>
      </c>
      <c r="B116" s="17">
        <v>43592</v>
      </c>
      <c r="C116" s="17" t="s">
        <v>802</v>
      </c>
      <c r="D116" s="18" t="s">
        <v>1202</v>
      </c>
      <c r="E116" s="11" t="s">
        <v>905</v>
      </c>
      <c r="F116" s="19">
        <f>IF(Bets35[[#This Row],[Odds]]&lt;0,Bets35[[#This Row],[Odds]]/-10,1000/Bets3[[#This Row],[Odds]])</f>
        <v>12</v>
      </c>
      <c r="G116" s="37">
        <v>-120</v>
      </c>
      <c r="H116" s="21" t="s">
        <v>262</v>
      </c>
      <c r="I116" s="45">
        <f>IF(Bets3[[#This Row],[Result]]="L",0-Bets3[[#This Row],[Risk]],IF(Bets3[[#This Row],[Result]]="Push",0,IF(Bets3[[#This Row],[Result]]="No Action",0,IF(Bets3[[#This Row],[Result]]="W",IF(Bets3[[#This Row],[Odds]]&gt;0,Bets3[[#This Row],[Odds]]/100*Bets3[[#This Row],[Risk]],(Bets3[[#This Row],[Risk]]/Bets3[[#This Row],[Odds]]*-100)),""))))</f>
        <v>10</v>
      </c>
      <c r="J116" s="39" t="str">
        <f>IF(ISNUMBER(SEARCH(CHAR(10),Bets3[[#This Row],[Bet]])),"P",IF(ISNUMBER(FIND("Under",Bets3[[#This Row],[Bet]])),"U",IF(ISNUMBER(SEARCH("Over",Bets3[[#This Row],[Bet]])),"O",IF(ISNUMBER(SEARCH("+",Bets3[[#This Row],[Bet]])),"D",IF(ISNUMBER(SEARCH("-",Bets3[[#This Row],[Bet]])),"F",IF(ISNUMBER(SEARCH("Moneyline",Bets3[[#This Row],[Bet]])),IF(Bets3[[#This Row],[Odds]]&lt;0,"MF","MD"),""))))))</f>
        <v>O</v>
      </c>
      <c r="K116"/>
      <c r="L116" s="24">
        <f t="shared" si="4"/>
        <v>0</v>
      </c>
      <c r="M116" s="1" t="str">
        <f>COUNTIFS(Bets3[Date],L116,Bets3[Result],"W")&amp;"-"&amp;COUNTIFS(Bets3[Date],L116,Bets3[Result],"L")&amp;IF(COUNTIFS(Bets3[Date],L116,Bets3[Result],"Push")&gt;0,"-"&amp;COUNTIFS(Bets3[Date],L116,Bets3[Result],"Push"),"")</f>
        <v>0-0</v>
      </c>
      <c r="N116" s="25" t="str">
        <f>IFERROR(COUNTIFS(Bets3[Date],L116,Bets3[Result],"W")/(COUNTIFS(Bets3[Date],L116,Bets3[Result],"W")+COUNTIFS(Bets3[Date],L116,Bets3[Result],"L")),"")</f>
        <v/>
      </c>
      <c r="O116" s="26">
        <f>SUMIF(Bets3[Date],L116,Bets3[Net])</f>
        <v>0</v>
      </c>
      <c r="P116" s="27" t="str">
        <f>IFERROR("("&amp;ROUND((SUMIF(Bets3[Date],L116,Bets3[Net])-SUMIF(Bets3[Date],L116,Bets3[Risk]))/SUMIF(Bets3[Date],L116,Bets3[Risk]),2)*100&amp;"%)","")</f>
        <v/>
      </c>
      <c r="Q116" s="72" t="str">
        <f t="shared" si="5"/>
        <v/>
      </c>
      <c r="R116" s="73" t="str">
        <f>IFERROR(SUMIF(Bets3[Date],"&lt;="&amp;L116,Bets3[Net])/SUMIF(Bets3[Date],"&lt;="&amp;L116,Bets3[Risk]),"")</f>
        <v/>
      </c>
    </row>
    <row r="117" spans="1:18" x14ac:dyDescent="0.25">
      <c r="A117" s="13">
        <f t="shared" si="3"/>
        <v>9</v>
      </c>
      <c r="B117" s="17">
        <v>43592</v>
      </c>
      <c r="C117" s="17" t="s">
        <v>802</v>
      </c>
      <c r="D117" s="18" t="s">
        <v>1186</v>
      </c>
      <c r="E117" s="11" t="s">
        <v>879</v>
      </c>
      <c r="F117" s="19">
        <f>IF(Bets35[[#This Row],[Odds]]&lt;0,Bets35[[#This Row],[Odds]]/-10,1000/Bets3[[#This Row],[Odds]])</f>
        <v>11.5</v>
      </c>
      <c r="G117" s="37">
        <v>-115</v>
      </c>
      <c r="H117" s="21" t="s">
        <v>263</v>
      </c>
      <c r="I117" s="45">
        <f>IF(Bets3[[#This Row],[Result]]="L",0-Bets3[[#This Row],[Risk]],IF(Bets3[[#This Row],[Result]]="Push",0,IF(Bets3[[#This Row],[Result]]="No Action",0,IF(Bets3[[#This Row],[Result]]="W",IF(Bets3[[#This Row],[Odds]]&gt;0,Bets3[[#This Row],[Odds]]/100*Bets3[[#This Row],[Risk]],(Bets3[[#This Row],[Risk]]/Bets3[[#This Row],[Odds]]*-100)),""))))</f>
        <v>-11.5</v>
      </c>
      <c r="J117" s="39" t="str">
        <f>IF(ISNUMBER(SEARCH(CHAR(10),Bets3[[#This Row],[Bet]])),"P",IF(ISNUMBER(FIND("Under",Bets3[[#This Row],[Bet]])),"U",IF(ISNUMBER(SEARCH("Over",Bets3[[#This Row],[Bet]])),"O",IF(ISNUMBER(SEARCH("+",Bets3[[#This Row],[Bet]])),"D",IF(ISNUMBER(SEARCH("-",Bets3[[#This Row],[Bet]])),"F",IF(ISNUMBER(SEARCH("Moneyline",Bets3[[#This Row],[Bet]])),IF(Bets3[[#This Row],[Odds]]&lt;0,"MF","MD"),""))))))</f>
        <v>U</v>
      </c>
      <c r="K117"/>
      <c r="L117" s="24">
        <f t="shared" si="4"/>
        <v>0</v>
      </c>
      <c r="M117" s="1" t="str">
        <f>COUNTIFS(Bets3[Date],L117,Bets3[Result],"W")&amp;"-"&amp;COUNTIFS(Bets3[Date],L117,Bets3[Result],"L")&amp;IF(COUNTIFS(Bets3[Date],L117,Bets3[Result],"Push")&gt;0,"-"&amp;COUNTIFS(Bets3[Date],L117,Bets3[Result],"Push"),"")</f>
        <v>0-0</v>
      </c>
      <c r="N117" s="25" t="str">
        <f>IFERROR(COUNTIFS(Bets3[Date],L117,Bets3[Result],"W")/(COUNTIFS(Bets3[Date],L117,Bets3[Result],"W")+COUNTIFS(Bets3[Date],L117,Bets3[Result],"L")),"")</f>
        <v/>
      </c>
      <c r="O117" s="26">
        <f>SUMIF(Bets3[Date],L117,Bets3[Net])</f>
        <v>0</v>
      </c>
      <c r="P117" s="27" t="str">
        <f>IFERROR("("&amp;ROUND((SUMIF(Bets3[Date],L117,Bets3[Net])-SUMIF(Bets3[Date],L117,Bets3[Risk]))/SUMIF(Bets3[Date],L117,Bets3[Risk]),2)*100&amp;"%)","")</f>
        <v/>
      </c>
      <c r="Q117" s="72" t="str">
        <f t="shared" si="5"/>
        <v/>
      </c>
      <c r="R117" s="73" t="str">
        <f>IFERROR(SUMIF(Bets3[Date],"&lt;="&amp;L117,Bets3[Net])/SUMIF(Bets3[Date],"&lt;="&amp;L117,Bets3[Risk]),"")</f>
        <v/>
      </c>
    </row>
    <row r="118" spans="1:18" x14ac:dyDescent="0.25">
      <c r="A118" s="13">
        <f t="shared" si="3"/>
        <v>9</v>
      </c>
      <c r="B118" s="17">
        <v>43592</v>
      </c>
      <c r="C118" s="17" t="s">
        <v>802</v>
      </c>
      <c r="D118" s="18" t="s">
        <v>1184</v>
      </c>
      <c r="E118" s="11" t="s">
        <v>841</v>
      </c>
      <c r="F118" s="19">
        <f>IF(Bets35[[#This Row],[Odds]]&lt;0,Bets35[[#This Row],[Odds]]/-10,1000/Bets3[[#This Row],[Odds]])</f>
        <v>10</v>
      </c>
      <c r="G118" s="37">
        <v>100</v>
      </c>
      <c r="H118" s="21" t="s">
        <v>262</v>
      </c>
      <c r="I118" s="45">
        <f>IF(Bets3[[#This Row],[Result]]="L",0-Bets3[[#This Row],[Risk]],IF(Bets3[[#This Row],[Result]]="Push",0,IF(Bets3[[#This Row],[Result]]="No Action",0,IF(Bets3[[#This Row],[Result]]="W",IF(Bets3[[#This Row],[Odds]]&gt;0,Bets3[[#This Row],[Odds]]/100*Bets3[[#This Row],[Risk]],(Bets3[[#This Row],[Risk]]/Bets3[[#This Row],[Odds]]*-100)),""))))</f>
        <v>10</v>
      </c>
      <c r="J118" s="39" t="str">
        <f>IF(ISNUMBER(SEARCH(CHAR(10),Bets3[[#This Row],[Bet]])),"P",IF(ISNUMBER(FIND("Under",Bets3[[#This Row],[Bet]])),"U",IF(ISNUMBER(SEARCH("Over",Bets3[[#This Row],[Bet]])),"O",IF(ISNUMBER(SEARCH("+",Bets3[[#This Row],[Bet]])),"D",IF(ISNUMBER(SEARCH("-",Bets3[[#This Row],[Bet]])),"F",IF(ISNUMBER(SEARCH("Moneyline",Bets3[[#This Row],[Bet]])),IF(Bets3[[#This Row],[Odds]]&lt;0,"MF","MD"),""))))))</f>
        <v>O</v>
      </c>
      <c r="K118"/>
      <c r="L118" s="24">
        <f t="shared" si="4"/>
        <v>0</v>
      </c>
      <c r="M118" s="1" t="str">
        <f>COUNTIFS(Bets3[Date],L118,Bets3[Result],"W")&amp;"-"&amp;COUNTIFS(Bets3[Date],L118,Bets3[Result],"L")&amp;IF(COUNTIFS(Bets3[Date],L118,Bets3[Result],"Push")&gt;0,"-"&amp;COUNTIFS(Bets3[Date],L118,Bets3[Result],"Push"),"")</f>
        <v>0-0</v>
      </c>
      <c r="N118" s="25" t="str">
        <f>IFERROR(COUNTIFS(Bets3[Date],L118,Bets3[Result],"W")/(COUNTIFS(Bets3[Date],L118,Bets3[Result],"W")+COUNTIFS(Bets3[Date],L118,Bets3[Result],"L")),"")</f>
        <v/>
      </c>
      <c r="O118" s="26">
        <f>SUMIF(Bets3[Date],L118,Bets3[Net])</f>
        <v>0</v>
      </c>
      <c r="P118" s="27" t="str">
        <f>IFERROR("("&amp;ROUND((SUMIF(Bets3[Date],L118,Bets3[Net])-SUMIF(Bets3[Date],L118,Bets3[Risk]))/SUMIF(Bets3[Date],L118,Bets3[Risk]),2)*100&amp;"%)","")</f>
        <v/>
      </c>
      <c r="Q118" s="72" t="str">
        <f t="shared" si="5"/>
        <v/>
      </c>
      <c r="R118" s="73" t="str">
        <f>IFERROR(SUMIF(Bets3[Date],"&lt;="&amp;L118,Bets3[Net])/SUMIF(Bets3[Date],"&lt;="&amp;L118,Bets3[Risk]),"")</f>
        <v/>
      </c>
    </row>
    <row r="119" spans="1:18" x14ac:dyDescent="0.25">
      <c r="A119" s="13">
        <f t="shared" si="3"/>
        <v>10</v>
      </c>
      <c r="B119" s="17">
        <v>43593</v>
      </c>
      <c r="C119" s="17" t="s">
        <v>802</v>
      </c>
      <c r="D119" s="18" t="s">
        <v>1185</v>
      </c>
      <c r="E119" s="11" t="s">
        <v>822</v>
      </c>
      <c r="F119" s="19">
        <f>IF(Bets35[[#This Row],[Odds]]&lt;0,Bets35[[#This Row],[Odds]]/-10,1000/Bets3[[#This Row],[Odds]])</f>
        <v>7.3529411764705879</v>
      </c>
      <c r="G119" s="37" t="s">
        <v>1206</v>
      </c>
      <c r="H119" s="37" t="s">
        <v>262</v>
      </c>
      <c r="I119" s="45">
        <f>IF(Bets3[[#This Row],[Result]]="L",0-Bets3[[#This Row],[Risk]],IF(Bets3[[#This Row],[Result]]="Push",0,IF(Bets3[[#This Row],[Result]]="No Action",0,IF(Bets3[[#This Row],[Result]]="W",IF(Bets3[[#This Row],[Odds]]&gt;0,Bets3[[#This Row],[Odds]]/100*Bets3[[#This Row],[Risk]],(Bets3[[#This Row],[Risk]]/Bets3[[#This Row],[Odds]]*-100)),""))))</f>
        <v>10</v>
      </c>
      <c r="J119" s="39" t="str">
        <f>IF(ISNUMBER(SEARCH(CHAR(10),Bets3[[#This Row],[Bet]])),"P",IF(ISNUMBER(FIND("Under",Bets3[[#This Row],[Bet]])),"U",IF(ISNUMBER(SEARCH("Over",Bets3[[#This Row],[Bet]])),"O",IF(ISNUMBER(SEARCH("+",Bets3[[#This Row],[Bet]])),"D",IF(ISNUMBER(SEARCH("-",Bets3[[#This Row],[Bet]])),"F",IF(ISNUMBER(SEARCH("Moneyline",Bets3[[#This Row],[Bet]])),IF(Bets3[[#This Row],[Odds]]&lt;0,"MF","MD"),""))))))</f>
        <v>MD</v>
      </c>
      <c r="K119"/>
      <c r="L119" s="24">
        <f t="shared" si="4"/>
        <v>0</v>
      </c>
      <c r="M119" s="1" t="str">
        <f>COUNTIFS(Bets3[Date],L119,Bets3[Result],"W")&amp;"-"&amp;COUNTIFS(Bets3[Date],L119,Bets3[Result],"L")&amp;IF(COUNTIFS(Bets3[Date],L119,Bets3[Result],"Push")&gt;0,"-"&amp;COUNTIFS(Bets3[Date],L119,Bets3[Result],"Push"),"")</f>
        <v>0-0</v>
      </c>
      <c r="N119" s="25" t="str">
        <f>IFERROR(COUNTIFS(Bets3[Date],L119,Bets3[Result],"W")/(COUNTIFS(Bets3[Date],L119,Bets3[Result],"W")+COUNTIFS(Bets3[Date],L119,Bets3[Result],"L")),"")</f>
        <v/>
      </c>
      <c r="O119" s="26">
        <f>SUMIF(Bets3[Date],L119,Bets3[Net])</f>
        <v>0</v>
      </c>
      <c r="P119" s="27" t="str">
        <f>IFERROR("("&amp;ROUND((SUMIF(Bets3[Date],L119,Bets3[Net])-SUMIF(Bets3[Date],L119,Bets3[Risk]))/SUMIF(Bets3[Date],L119,Bets3[Risk]),2)*100&amp;"%)","")</f>
        <v/>
      </c>
      <c r="Q119" s="72" t="str">
        <f t="shared" si="5"/>
        <v/>
      </c>
      <c r="R119" s="73" t="str">
        <f>IFERROR(SUMIF(Bets3[Date],"&lt;="&amp;L119,Bets3[Net])/SUMIF(Bets3[Date],"&lt;="&amp;L119,Bets3[Risk]),"")</f>
        <v/>
      </c>
    </row>
    <row r="120" spans="1:18" x14ac:dyDescent="0.25">
      <c r="A120" s="13">
        <f t="shared" si="3"/>
        <v>10</v>
      </c>
      <c r="B120" s="17">
        <v>43593</v>
      </c>
      <c r="C120" s="17" t="s">
        <v>802</v>
      </c>
      <c r="D120" s="18" t="s">
        <v>1175</v>
      </c>
      <c r="E120" s="11" t="s">
        <v>869</v>
      </c>
      <c r="F120" s="19">
        <f>IF(Bets35[[#This Row],[Odds]]&lt;0,Bets35[[#This Row],[Odds]]/-10,1000/Bets3[[#This Row],[Odds]])</f>
        <v>20</v>
      </c>
      <c r="G120" s="37">
        <v>-200</v>
      </c>
      <c r="H120" s="37" t="s">
        <v>262</v>
      </c>
      <c r="I120" s="45">
        <f>IF(Bets3[[#This Row],[Result]]="L",0-Bets3[[#This Row],[Risk]],IF(Bets3[[#This Row],[Result]]="Push",0,IF(Bets3[[#This Row],[Result]]="No Action",0,IF(Bets3[[#This Row],[Result]]="W",IF(Bets3[[#This Row],[Odds]]&gt;0,Bets3[[#This Row],[Odds]]/100*Bets3[[#This Row],[Risk]],(Bets3[[#This Row],[Risk]]/Bets3[[#This Row],[Odds]]*-100)),""))))</f>
        <v>10</v>
      </c>
      <c r="J120" s="39" t="str">
        <f>IF(ISNUMBER(SEARCH(CHAR(10),Bets3[[#This Row],[Bet]])),"P",IF(ISNUMBER(FIND("Under",Bets3[[#This Row],[Bet]])),"U",IF(ISNUMBER(SEARCH("Over",Bets3[[#This Row],[Bet]])),"O",IF(ISNUMBER(SEARCH("+",Bets3[[#This Row],[Bet]])),"D",IF(ISNUMBER(SEARCH("-",Bets3[[#This Row],[Bet]])),"F",IF(ISNUMBER(SEARCH("Moneyline",Bets3[[#This Row],[Bet]])),IF(Bets3[[#This Row],[Odds]]&lt;0,"MF","MD"),""))))))</f>
        <v>MF</v>
      </c>
      <c r="K120"/>
      <c r="L120" s="24">
        <f t="shared" si="4"/>
        <v>0</v>
      </c>
      <c r="M120" s="1" t="str">
        <f>COUNTIFS(Bets3[Date],L120,Bets3[Result],"W")&amp;"-"&amp;COUNTIFS(Bets3[Date],L120,Bets3[Result],"L")&amp;IF(COUNTIFS(Bets3[Date],L120,Bets3[Result],"Push")&gt;0,"-"&amp;COUNTIFS(Bets3[Date],L120,Bets3[Result],"Push"),"")</f>
        <v>0-0</v>
      </c>
      <c r="N120" s="25" t="str">
        <f>IFERROR(COUNTIFS(Bets3[Date],L120,Bets3[Result],"W")/(COUNTIFS(Bets3[Date],L120,Bets3[Result],"W")+COUNTIFS(Bets3[Date],L120,Bets3[Result],"L")),"")</f>
        <v/>
      </c>
      <c r="O120" s="26">
        <f>SUMIF(Bets3[Date],L120,Bets3[Net])</f>
        <v>0</v>
      </c>
      <c r="P120" s="27" t="str">
        <f>IFERROR("("&amp;ROUND((SUMIF(Bets3[Date],L120,Bets3[Net])-SUMIF(Bets3[Date],L120,Bets3[Risk]))/SUMIF(Bets3[Date],L120,Bets3[Risk]),2)*100&amp;"%)","")</f>
        <v/>
      </c>
      <c r="Q120" s="72" t="str">
        <f t="shared" si="5"/>
        <v/>
      </c>
      <c r="R120" s="73" t="str">
        <f>IFERROR(SUMIF(Bets3[Date],"&lt;="&amp;L120,Bets3[Net])/SUMIF(Bets3[Date],"&lt;="&amp;L120,Bets3[Risk]),"")</f>
        <v/>
      </c>
    </row>
    <row r="121" spans="1:18" x14ac:dyDescent="0.25">
      <c r="A121" s="13">
        <f t="shared" si="3"/>
        <v>10</v>
      </c>
      <c r="B121" s="17">
        <v>43593</v>
      </c>
      <c r="C121" s="17" t="s">
        <v>802</v>
      </c>
      <c r="D121" s="18" t="s">
        <v>1208</v>
      </c>
      <c r="E121" s="11" t="s">
        <v>1210</v>
      </c>
      <c r="F121" s="19">
        <f>IF(Bets35[[#This Row],[Odds]]&lt;0,Bets35[[#This Row],[Odds]]/-10,1000/Bets3[[#This Row],[Odds]])</f>
        <v>30</v>
      </c>
      <c r="G121" s="37">
        <v>-300</v>
      </c>
      <c r="H121" s="37" t="s">
        <v>262</v>
      </c>
      <c r="I121" s="45">
        <f>IF(Bets3[[#This Row],[Result]]="L",0-Bets3[[#This Row],[Risk]],IF(Bets3[[#This Row],[Result]]="Push",0,IF(Bets3[[#This Row],[Result]]="No Action",0,IF(Bets3[[#This Row],[Result]]="W",IF(Bets3[[#This Row],[Odds]]&gt;0,Bets3[[#This Row],[Odds]]/100*Bets3[[#This Row],[Risk]],(Bets3[[#This Row],[Risk]]/Bets3[[#This Row],[Odds]]*-100)),""))))</f>
        <v>10</v>
      </c>
      <c r="J121" s="39" t="str">
        <f>IF(ISNUMBER(SEARCH(CHAR(10),Bets3[[#This Row],[Bet]])),"P",IF(ISNUMBER(FIND("Under",Bets3[[#This Row],[Bet]])),"U",IF(ISNUMBER(SEARCH("Over",Bets3[[#This Row],[Bet]])),"O",IF(ISNUMBER(SEARCH("+",Bets3[[#This Row],[Bet]])),"D",IF(ISNUMBER(SEARCH("-",Bets3[[#This Row],[Bet]])),"F",IF(ISNUMBER(SEARCH("Moneyline",Bets3[[#This Row],[Bet]])),IF(Bets3[[#This Row],[Odds]]&lt;0,"MF","MD"),""))))))</f>
        <v>MF</v>
      </c>
      <c r="K121"/>
      <c r="L121" s="24">
        <f t="shared" si="4"/>
        <v>0</v>
      </c>
      <c r="M121" s="1" t="str">
        <f>COUNTIFS(Bets3[Date],L121,Bets3[Result],"W")&amp;"-"&amp;COUNTIFS(Bets3[Date],L121,Bets3[Result],"L")&amp;IF(COUNTIFS(Bets3[Date],L121,Bets3[Result],"Push")&gt;0,"-"&amp;COUNTIFS(Bets3[Date],L121,Bets3[Result],"Push"),"")</f>
        <v>0-0</v>
      </c>
      <c r="N121" s="25" t="str">
        <f>IFERROR(COUNTIFS(Bets3[Date],L121,Bets3[Result],"W")/(COUNTIFS(Bets3[Date],L121,Bets3[Result],"W")+COUNTIFS(Bets3[Date],L121,Bets3[Result],"L")),"")</f>
        <v/>
      </c>
      <c r="O121" s="26">
        <f>SUMIF(Bets3[Date],L121,Bets3[Net])</f>
        <v>0</v>
      </c>
      <c r="P121" s="27" t="str">
        <f>IFERROR("("&amp;ROUND((SUMIF(Bets3[Date],L121,Bets3[Net])-SUMIF(Bets3[Date],L121,Bets3[Risk]))/SUMIF(Bets3[Date],L121,Bets3[Risk]),2)*100&amp;"%)","")</f>
        <v/>
      </c>
      <c r="Q121" s="72" t="str">
        <f t="shared" si="5"/>
        <v/>
      </c>
      <c r="R121" s="73" t="str">
        <f>IFERROR(SUMIF(Bets3[Date],"&lt;="&amp;L121,Bets3[Net])/SUMIF(Bets3[Date],"&lt;="&amp;L121,Bets3[Risk]),"")</f>
        <v/>
      </c>
    </row>
    <row r="122" spans="1:18" x14ac:dyDescent="0.25">
      <c r="A122" s="13">
        <f t="shared" si="3"/>
        <v>10</v>
      </c>
      <c r="B122" s="17">
        <v>43593</v>
      </c>
      <c r="C122" s="17" t="s">
        <v>802</v>
      </c>
      <c r="D122" s="18" t="s">
        <v>1177</v>
      </c>
      <c r="E122" s="11" t="s">
        <v>1178</v>
      </c>
      <c r="F122" s="19">
        <f>IF(Bets35[[#This Row],[Odds]]&lt;0,Bets35[[#This Row],[Odds]]/-10,1000/Bets3[[#This Row],[Odds]])</f>
        <v>11.5</v>
      </c>
      <c r="G122" s="37">
        <v>-115</v>
      </c>
      <c r="H122" s="37" t="s">
        <v>262</v>
      </c>
      <c r="I122" s="45">
        <f>IF(Bets3[[#This Row],[Result]]="L",0-Bets3[[#This Row],[Risk]],IF(Bets3[[#This Row],[Result]]="Push",0,IF(Bets3[[#This Row],[Result]]="No Action",0,IF(Bets3[[#This Row],[Result]]="W",IF(Bets3[[#This Row],[Odds]]&gt;0,Bets3[[#This Row],[Odds]]/100*Bets3[[#This Row],[Risk]],(Bets3[[#This Row],[Risk]]/Bets3[[#This Row],[Odds]]*-100)),""))))</f>
        <v>10</v>
      </c>
      <c r="J122" s="39" t="str">
        <f>IF(ISNUMBER(SEARCH(CHAR(10),Bets3[[#This Row],[Bet]])),"P",IF(ISNUMBER(FIND("Under",Bets3[[#This Row],[Bet]])),"U",IF(ISNUMBER(SEARCH("Over",Bets3[[#This Row],[Bet]])),"O",IF(ISNUMBER(SEARCH("+",Bets3[[#This Row],[Bet]])),"D",IF(ISNUMBER(SEARCH("-",Bets3[[#This Row],[Bet]])),"F",IF(ISNUMBER(SEARCH("Moneyline",Bets3[[#This Row],[Bet]])),IF(Bets3[[#This Row],[Odds]]&lt;0,"MF","MD"),""))))))</f>
        <v>MF</v>
      </c>
      <c r="K122"/>
      <c r="L122" s="24">
        <f t="shared" si="4"/>
        <v>0</v>
      </c>
      <c r="M122" s="1" t="str">
        <f>COUNTIFS(Bets3[Date],L122,Bets3[Result],"W")&amp;"-"&amp;COUNTIFS(Bets3[Date],L122,Bets3[Result],"L")&amp;IF(COUNTIFS(Bets3[Date],L122,Bets3[Result],"Push")&gt;0,"-"&amp;COUNTIFS(Bets3[Date],L122,Bets3[Result],"Push"),"")</f>
        <v>0-0</v>
      </c>
      <c r="N122" s="25" t="str">
        <f>IFERROR(COUNTIFS(Bets3[Date],L122,Bets3[Result],"W")/(COUNTIFS(Bets3[Date],L122,Bets3[Result],"W")+COUNTIFS(Bets3[Date],L122,Bets3[Result],"L")),"")</f>
        <v/>
      </c>
      <c r="O122" s="26">
        <f>SUMIF(Bets3[Date],L122,Bets3[Net])</f>
        <v>0</v>
      </c>
      <c r="P122" s="27" t="str">
        <f>IFERROR("("&amp;ROUND((SUMIF(Bets3[Date],L122,Bets3[Net])-SUMIF(Bets3[Date],L122,Bets3[Risk]))/SUMIF(Bets3[Date],L122,Bets3[Risk]),2)*100&amp;"%)","")</f>
        <v/>
      </c>
      <c r="Q122" s="72" t="str">
        <f t="shared" si="5"/>
        <v/>
      </c>
      <c r="R122" s="73" t="str">
        <f>IFERROR(SUMIF(Bets3[Date],"&lt;="&amp;L122,Bets3[Net])/SUMIF(Bets3[Date],"&lt;="&amp;L122,Bets3[Risk]),"")</f>
        <v/>
      </c>
    </row>
    <row r="123" spans="1:18" x14ac:dyDescent="0.25">
      <c r="A123" s="13">
        <f t="shared" si="3"/>
        <v>10</v>
      </c>
      <c r="B123" s="17">
        <v>43593</v>
      </c>
      <c r="C123" s="17" t="s">
        <v>802</v>
      </c>
      <c r="D123" s="18" t="s">
        <v>1182</v>
      </c>
      <c r="E123" s="11" t="s">
        <v>867</v>
      </c>
      <c r="F123" s="19">
        <f>IF(Bets35[[#This Row],[Odds]]&lt;0,Bets35[[#This Row],[Odds]]/-10,1000/Bets3[[#This Row],[Odds]])</f>
        <v>26</v>
      </c>
      <c r="G123" s="37">
        <v>-260</v>
      </c>
      <c r="H123" s="37" t="s">
        <v>262</v>
      </c>
      <c r="I123" s="45">
        <f>IF(Bets3[[#This Row],[Result]]="L",0-Bets3[[#This Row],[Risk]],IF(Bets3[[#This Row],[Result]]="Push",0,IF(Bets3[[#This Row],[Result]]="No Action",0,IF(Bets3[[#This Row],[Result]]="W",IF(Bets3[[#This Row],[Odds]]&gt;0,Bets3[[#This Row],[Odds]]/100*Bets3[[#This Row],[Risk]],(Bets3[[#This Row],[Risk]]/Bets3[[#This Row],[Odds]]*-100)),""))))</f>
        <v>10</v>
      </c>
      <c r="J123" s="39" t="str">
        <f>IF(ISNUMBER(SEARCH(CHAR(10),Bets3[[#This Row],[Bet]])),"P",IF(ISNUMBER(FIND("Under",Bets3[[#This Row],[Bet]])),"U",IF(ISNUMBER(SEARCH("Over",Bets3[[#This Row],[Bet]])),"O",IF(ISNUMBER(SEARCH("+",Bets3[[#This Row],[Bet]])),"D",IF(ISNUMBER(SEARCH("-",Bets3[[#This Row],[Bet]])),"F",IF(ISNUMBER(SEARCH("Moneyline",Bets3[[#This Row],[Bet]])),IF(Bets3[[#This Row],[Odds]]&lt;0,"MF","MD"),""))))))</f>
        <v>MF</v>
      </c>
      <c r="K123"/>
      <c r="L123" s="24">
        <f t="shared" si="4"/>
        <v>0</v>
      </c>
      <c r="M123" s="1" t="str">
        <f>COUNTIFS(Bets3[Date],L123,Bets3[Result],"W")&amp;"-"&amp;COUNTIFS(Bets3[Date],L123,Bets3[Result],"L")&amp;IF(COUNTIFS(Bets3[Date],L123,Bets3[Result],"Push")&gt;0,"-"&amp;COUNTIFS(Bets3[Date],L123,Bets3[Result],"Push"),"")</f>
        <v>0-0</v>
      </c>
      <c r="N123" s="25" t="str">
        <f>IFERROR(COUNTIFS(Bets3[Date],L123,Bets3[Result],"W")/(COUNTIFS(Bets3[Date],L123,Bets3[Result],"W")+COUNTIFS(Bets3[Date],L123,Bets3[Result],"L")),"")</f>
        <v/>
      </c>
      <c r="O123" s="26">
        <f>SUMIF(Bets3[Date],L123,Bets3[Net])</f>
        <v>0</v>
      </c>
      <c r="P123" s="27" t="str">
        <f>IFERROR("("&amp;ROUND((SUMIF(Bets3[Date],L123,Bets3[Net])-SUMIF(Bets3[Date],L123,Bets3[Risk]))/SUMIF(Bets3[Date],L123,Bets3[Risk]),2)*100&amp;"%)","")</f>
        <v/>
      </c>
      <c r="Q123" s="72" t="str">
        <f t="shared" si="5"/>
        <v/>
      </c>
      <c r="R123" s="73" t="str">
        <f>IFERROR(SUMIF(Bets3[Date],"&lt;="&amp;L123,Bets3[Net])/SUMIF(Bets3[Date],"&lt;="&amp;L123,Bets3[Risk]),"")</f>
        <v/>
      </c>
    </row>
    <row r="124" spans="1:18" x14ac:dyDescent="0.25">
      <c r="A124" s="13">
        <f t="shared" si="3"/>
        <v>10</v>
      </c>
      <c r="B124" s="17">
        <v>43593</v>
      </c>
      <c r="C124" s="17" t="s">
        <v>802</v>
      </c>
      <c r="D124" s="18" t="s">
        <v>1183</v>
      </c>
      <c r="E124" s="11" t="s">
        <v>1166</v>
      </c>
      <c r="F124" s="19">
        <f>IF(Bets35[[#This Row],[Odds]]&lt;0,Bets35[[#This Row],[Odds]]/-10,1000/Bets3[[#This Row],[Odds]])</f>
        <v>10.199999999999999</v>
      </c>
      <c r="G124" s="37">
        <v>-102</v>
      </c>
      <c r="H124" s="37" t="s">
        <v>263</v>
      </c>
      <c r="I124" s="45">
        <f>IF(Bets3[[#This Row],[Result]]="L",0-Bets3[[#This Row],[Risk]],IF(Bets3[[#This Row],[Result]]="Push",0,IF(Bets3[[#This Row],[Result]]="No Action",0,IF(Bets3[[#This Row],[Result]]="W",IF(Bets3[[#This Row],[Odds]]&gt;0,Bets3[[#This Row],[Odds]]/100*Bets3[[#This Row],[Risk]],(Bets3[[#This Row],[Risk]]/Bets3[[#This Row],[Odds]]*-100)),""))))</f>
        <v>-10.199999999999999</v>
      </c>
      <c r="J124" s="39" t="str">
        <f>IF(ISNUMBER(SEARCH(CHAR(10),Bets3[[#This Row],[Bet]])),"P",IF(ISNUMBER(FIND("Under",Bets3[[#This Row],[Bet]])),"U",IF(ISNUMBER(SEARCH("Over",Bets3[[#This Row],[Bet]])),"O",IF(ISNUMBER(SEARCH("+",Bets3[[#This Row],[Bet]])),"D",IF(ISNUMBER(SEARCH("-",Bets3[[#This Row],[Bet]])),"F",IF(ISNUMBER(SEARCH("Moneyline",Bets3[[#This Row],[Bet]])),IF(Bets3[[#This Row],[Odds]]&lt;0,"MF","MD"),""))))))</f>
        <v>MF</v>
      </c>
      <c r="K124"/>
      <c r="L124" s="24">
        <f t="shared" si="4"/>
        <v>0</v>
      </c>
      <c r="M124" s="1" t="str">
        <f>COUNTIFS(Bets3[Date],L124,Bets3[Result],"W")&amp;"-"&amp;COUNTIFS(Bets3[Date],L124,Bets3[Result],"L")&amp;IF(COUNTIFS(Bets3[Date],L124,Bets3[Result],"Push")&gt;0,"-"&amp;COUNTIFS(Bets3[Date],L124,Bets3[Result],"Push"),"")</f>
        <v>0-0</v>
      </c>
      <c r="N124" s="25" t="str">
        <f>IFERROR(COUNTIFS(Bets3[Date],L124,Bets3[Result],"W")/(COUNTIFS(Bets3[Date],L124,Bets3[Result],"W")+COUNTIFS(Bets3[Date],L124,Bets3[Result],"L")),"")</f>
        <v/>
      </c>
      <c r="O124" s="26">
        <f>SUMIF(Bets3[Date],L124,Bets3[Net])</f>
        <v>0</v>
      </c>
      <c r="P124" s="27" t="str">
        <f>IFERROR("("&amp;ROUND((SUMIF(Bets3[Date],L124,Bets3[Net])-SUMIF(Bets3[Date],L124,Bets3[Risk]))/SUMIF(Bets3[Date],L124,Bets3[Risk]),2)*100&amp;"%)","")</f>
        <v/>
      </c>
      <c r="Q124" s="72" t="str">
        <f t="shared" si="5"/>
        <v/>
      </c>
      <c r="R124" s="73" t="str">
        <f>IFERROR(SUMIF(Bets3[Date],"&lt;="&amp;L124,Bets3[Net])/SUMIF(Bets3[Date],"&lt;="&amp;L124,Bets3[Risk]),"")</f>
        <v/>
      </c>
    </row>
    <row r="125" spans="1:18" x14ac:dyDescent="0.25">
      <c r="A125" s="13">
        <f t="shared" si="3"/>
        <v>10</v>
      </c>
      <c r="B125" s="17">
        <v>43593</v>
      </c>
      <c r="C125" s="17" t="s">
        <v>802</v>
      </c>
      <c r="D125" s="18" t="s">
        <v>1207</v>
      </c>
      <c r="E125" s="11" t="s">
        <v>827</v>
      </c>
      <c r="F125" s="19">
        <f>IF(Bets35[[#This Row],[Odds]]&lt;0,Bets35[[#This Row],[Odds]]/-10,1000/Bets3[[#This Row],[Odds]])</f>
        <v>19</v>
      </c>
      <c r="G125" s="37">
        <v>-190</v>
      </c>
      <c r="H125" s="37" t="s">
        <v>262</v>
      </c>
      <c r="I125" s="45">
        <f>IF(Bets3[[#This Row],[Result]]="L",0-Bets3[[#This Row],[Risk]],IF(Bets3[[#This Row],[Result]]="Push",0,IF(Bets3[[#This Row],[Result]]="No Action",0,IF(Bets3[[#This Row],[Result]]="W",IF(Bets3[[#This Row],[Odds]]&gt;0,Bets3[[#This Row],[Odds]]/100*Bets3[[#This Row],[Risk]],(Bets3[[#This Row],[Risk]]/Bets3[[#This Row],[Odds]]*-100)),""))))</f>
        <v>10</v>
      </c>
      <c r="J125" s="39" t="str">
        <f>IF(ISNUMBER(SEARCH(CHAR(10),Bets3[[#This Row],[Bet]])),"P",IF(ISNUMBER(FIND("Under",Bets3[[#This Row],[Bet]])),"U",IF(ISNUMBER(SEARCH("Over",Bets3[[#This Row],[Bet]])),"O",IF(ISNUMBER(SEARCH("+",Bets3[[#This Row],[Bet]])),"D",IF(ISNUMBER(SEARCH("-",Bets3[[#This Row],[Bet]])),"F",IF(ISNUMBER(SEARCH("Moneyline",Bets3[[#This Row],[Bet]])),IF(Bets3[[#This Row],[Odds]]&lt;0,"MF","MD"),""))))))</f>
        <v>MF</v>
      </c>
      <c r="K125"/>
      <c r="L125" s="24">
        <f t="shared" si="4"/>
        <v>0</v>
      </c>
      <c r="M125" s="1" t="str">
        <f>COUNTIFS(Bets3[Date],L125,Bets3[Result],"W")&amp;"-"&amp;COUNTIFS(Bets3[Date],L125,Bets3[Result],"L")&amp;IF(COUNTIFS(Bets3[Date],L125,Bets3[Result],"Push")&gt;0,"-"&amp;COUNTIFS(Bets3[Date],L125,Bets3[Result],"Push"),"")</f>
        <v>0-0</v>
      </c>
      <c r="N125" s="25" t="str">
        <f>IFERROR(COUNTIFS(Bets3[Date],L125,Bets3[Result],"W")/(COUNTIFS(Bets3[Date],L125,Bets3[Result],"W")+COUNTIFS(Bets3[Date],L125,Bets3[Result],"L")),"")</f>
        <v/>
      </c>
      <c r="O125" s="26">
        <f>SUMIF(Bets3[Date],L125,Bets3[Net])</f>
        <v>0</v>
      </c>
      <c r="P125" s="27" t="str">
        <f>IFERROR("("&amp;ROUND((SUMIF(Bets3[Date],L125,Bets3[Net])-SUMIF(Bets3[Date],L125,Bets3[Risk]))/SUMIF(Bets3[Date],L125,Bets3[Risk]),2)*100&amp;"%)","")</f>
        <v/>
      </c>
      <c r="Q125" s="72" t="str">
        <f t="shared" si="5"/>
        <v/>
      </c>
      <c r="R125" s="73" t="str">
        <f>IFERROR(SUMIF(Bets3[Date],"&lt;="&amp;L125,Bets3[Net])/SUMIF(Bets3[Date],"&lt;="&amp;L125,Bets3[Risk]),"")</f>
        <v/>
      </c>
    </row>
    <row r="126" spans="1:18" x14ac:dyDescent="0.25">
      <c r="A126" s="13">
        <f t="shared" si="3"/>
        <v>10</v>
      </c>
      <c r="B126" s="17">
        <v>43593</v>
      </c>
      <c r="C126" s="17" t="s">
        <v>802</v>
      </c>
      <c r="D126" s="18" t="s">
        <v>1181</v>
      </c>
      <c r="E126" s="11" t="s">
        <v>905</v>
      </c>
      <c r="F126" s="19">
        <f>IF(Bets35[[#This Row],[Odds]]&lt;0,Bets35[[#This Row],[Odds]]/-10,1000/Bets3[[#This Row],[Odds]])</f>
        <v>10</v>
      </c>
      <c r="G126" s="37">
        <v>100</v>
      </c>
      <c r="H126" s="37" t="s">
        <v>262</v>
      </c>
      <c r="I126" s="45">
        <f>IF(Bets3[[#This Row],[Result]]="L",0-Bets3[[#This Row],[Risk]],IF(Bets3[[#This Row],[Result]]="Push",0,IF(Bets3[[#This Row],[Result]]="No Action",0,IF(Bets3[[#This Row],[Result]]="W",IF(Bets3[[#This Row],[Odds]]&gt;0,Bets3[[#This Row],[Odds]]/100*Bets3[[#This Row],[Risk]],(Bets3[[#This Row],[Risk]]/Bets3[[#This Row],[Odds]]*-100)),""))))</f>
        <v>10</v>
      </c>
      <c r="J126" s="39" t="str">
        <f>IF(ISNUMBER(SEARCH(CHAR(10),Bets3[[#This Row],[Bet]])),"P",IF(ISNUMBER(FIND("Under",Bets3[[#This Row],[Bet]])),"U",IF(ISNUMBER(SEARCH("Over",Bets3[[#This Row],[Bet]])),"O",IF(ISNUMBER(SEARCH("+",Bets3[[#This Row],[Bet]])),"D",IF(ISNUMBER(SEARCH("-",Bets3[[#This Row],[Bet]])),"F",IF(ISNUMBER(SEARCH("Moneyline",Bets3[[#This Row],[Bet]])),IF(Bets3[[#This Row],[Odds]]&lt;0,"MF","MD"),""))))))</f>
        <v>O</v>
      </c>
      <c r="K126"/>
      <c r="L126" s="24">
        <f t="shared" si="4"/>
        <v>0</v>
      </c>
      <c r="M126" s="1" t="str">
        <f>COUNTIFS(Bets3[Date],L126,Bets3[Result],"W")&amp;"-"&amp;COUNTIFS(Bets3[Date],L126,Bets3[Result],"L")&amp;IF(COUNTIFS(Bets3[Date],L126,Bets3[Result],"Push")&gt;0,"-"&amp;COUNTIFS(Bets3[Date],L126,Bets3[Result],"Push"),"")</f>
        <v>0-0</v>
      </c>
      <c r="N126" s="25" t="str">
        <f>IFERROR(COUNTIFS(Bets3[Date],L126,Bets3[Result],"W")/(COUNTIFS(Bets3[Date],L126,Bets3[Result],"W")+COUNTIFS(Bets3[Date],L126,Bets3[Result],"L")),"")</f>
        <v/>
      </c>
      <c r="O126" s="26">
        <f>SUMIF(Bets3[Date],L126,Bets3[Net])</f>
        <v>0</v>
      </c>
      <c r="P126" s="27" t="str">
        <f>IFERROR("("&amp;ROUND((SUMIF(Bets3[Date],L126,Bets3[Net])-SUMIF(Bets3[Date],L126,Bets3[Risk]))/SUMIF(Bets3[Date],L126,Bets3[Risk]),2)*100&amp;"%)","")</f>
        <v/>
      </c>
      <c r="Q126" s="72" t="str">
        <f t="shared" si="5"/>
        <v/>
      </c>
      <c r="R126" s="73" t="str">
        <f>IFERROR(SUMIF(Bets3[Date],"&lt;="&amp;L126,Bets3[Net])/SUMIF(Bets3[Date],"&lt;="&amp;L126,Bets3[Risk]),"")</f>
        <v/>
      </c>
    </row>
    <row r="127" spans="1:18" x14ac:dyDescent="0.25">
      <c r="A127" s="13">
        <f t="shared" si="3"/>
        <v>10</v>
      </c>
      <c r="B127" s="17">
        <v>43593</v>
      </c>
      <c r="C127" s="17" t="s">
        <v>802</v>
      </c>
      <c r="D127" s="18" t="s">
        <v>1179</v>
      </c>
      <c r="E127" s="11" t="s">
        <v>902</v>
      </c>
      <c r="F127" s="19">
        <f>IF(Bets35[[#This Row],[Odds]]&lt;0,Bets35[[#This Row],[Odds]]/-10,1000/Bets3[[#This Row],[Odds]])</f>
        <v>11.5</v>
      </c>
      <c r="G127" s="37">
        <v>-115</v>
      </c>
      <c r="H127" s="37" t="s">
        <v>263</v>
      </c>
      <c r="I127" s="45">
        <f>IF(Bets3[[#This Row],[Result]]="L",0-Bets3[[#This Row],[Risk]],IF(Bets3[[#This Row],[Result]]="Push",0,IF(Bets3[[#This Row],[Result]]="No Action",0,IF(Bets3[[#This Row],[Result]]="W",IF(Bets3[[#This Row],[Odds]]&gt;0,Bets3[[#This Row],[Odds]]/100*Bets3[[#This Row],[Risk]],(Bets3[[#This Row],[Risk]]/Bets3[[#This Row],[Odds]]*-100)),""))))</f>
        <v>-11.5</v>
      </c>
      <c r="J127" s="39" t="str">
        <f>IF(ISNUMBER(SEARCH(CHAR(10),Bets3[[#This Row],[Bet]])),"P",IF(ISNUMBER(FIND("Under",Bets3[[#This Row],[Bet]])),"U",IF(ISNUMBER(SEARCH("Over",Bets3[[#This Row],[Bet]])),"O",IF(ISNUMBER(SEARCH("+",Bets3[[#This Row],[Bet]])),"D",IF(ISNUMBER(SEARCH("-",Bets3[[#This Row],[Bet]])),"F",IF(ISNUMBER(SEARCH("Moneyline",Bets3[[#This Row],[Bet]])),IF(Bets3[[#This Row],[Odds]]&lt;0,"MF","MD"),""))))))</f>
        <v>O</v>
      </c>
      <c r="K127"/>
      <c r="L127" s="24">
        <f t="shared" si="4"/>
        <v>0</v>
      </c>
      <c r="M127" s="1" t="str">
        <f>COUNTIFS(Bets3[Date],L127,Bets3[Result],"W")&amp;"-"&amp;COUNTIFS(Bets3[Date],L127,Bets3[Result],"L")&amp;IF(COUNTIFS(Bets3[Date],L127,Bets3[Result],"Push")&gt;0,"-"&amp;COUNTIFS(Bets3[Date],L127,Bets3[Result],"Push"),"")</f>
        <v>0-0</v>
      </c>
      <c r="N127" s="25" t="str">
        <f>IFERROR(COUNTIFS(Bets3[Date],L127,Bets3[Result],"W")/(COUNTIFS(Bets3[Date],L127,Bets3[Result],"W")+COUNTIFS(Bets3[Date],L127,Bets3[Result],"L")),"")</f>
        <v/>
      </c>
      <c r="O127" s="26">
        <f>SUMIF(Bets3[Date],L127,Bets3[Net])</f>
        <v>0</v>
      </c>
      <c r="P127" s="27" t="str">
        <f>IFERROR("("&amp;ROUND((SUMIF(Bets3[Date],L127,Bets3[Net])-SUMIF(Bets3[Date],L127,Bets3[Risk]))/SUMIF(Bets3[Date],L127,Bets3[Risk]),2)*100&amp;"%)","")</f>
        <v/>
      </c>
      <c r="Q127" s="72" t="str">
        <f t="shared" si="5"/>
        <v/>
      </c>
      <c r="R127" s="73" t="str">
        <f>IFERROR(SUMIF(Bets3[Date],"&lt;="&amp;L127,Bets3[Net])/SUMIF(Bets3[Date],"&lt;="&amp;L127,Bets3[Risk]),"")</f>
        <v/>
      </c>
    </row>
    <row r="128" spans="1:18" x14ac:dyDescent="0.25">
      <c r="A128" s="13">
        <f t="shared" si="3"/>
        <v>10</v>
      </c>
      <c r="B128" s="17">
        <v>43593</v>
      </c>
      <c r="C128" s="17" t="s">
        <v>802</v>
      </c>
      <c r="D128" s="18" t="s">
        <v>1208</v>
      </c>
      <c r="E128" s="11" t="s">
        <v>845</v>
      </c>
      <c r="F128" s="19">
        <f>IF(Bets35[[#This Row],[Odds]]&lt;0,Bets35[[#This Row],[Odds]]/-10,1000/Bets3[[#This Row],[Odds]])</f>
        <v>10.5</v>
      </c>
      <c r="G128" s="37">
        <v>-105</v>
      </c>
      <c r="H128" s="37" t="s">
        <v>263</v>
      </c>
      <c r="I128" s="45">
        <f>IF(Bets3[[#This Row],[Result]]="L",0-Bets3[[#This Row],[Risk]],IF(Bets3[[#This Row],[Result]]="Push",0,IF(Bets3[[#This Row],[Result]]="No Action",0,IF(Bets3[[#This Row],[Result]]="W",IF(Bets3[[#This Row],[Odds]]&gt;0,Bets3[[#This Row],[Odds]]/100*Bets3[[#This Row],[Risk]],(Bets3[[#This Row],[Risk]]/Bets3[[#This Row],[Odds]]*-100)),""))))</f>
        <v>-10.5</v>
      </c>
      <c r="J128" s="39" t="str">
        <f>IF(ISNUMBER(SEARCH(CHAR(10),Bets3[[#This Row],[Bet]])),"P",IF(ISNUMBER(FIND("Under",Bets3[[#This Row],[Bet]])),"U",IF(ISNUMBER(SEARCH("Over",Bets3[[#This Row],[Bet]])),"O",IF(ISNUMBER(SEARCH("+",Bets3[[#This Row],[Bet]])),"D",IF(ISNUMBER(SEARCH("-",Bets3[[#This Row],[Bet]])),"F",IF(ISNUMBER(SEARCH("Moneyline",Bets3[[#This Row],[Bet]])),IF(Bets3[[#This Row],[Odds]]&lt;0,"MF","MD"),""))))))</f>
        <v>O</v>
      </c>
      <c r="K128"/>
      <c r="L128" s="24">
        <f t="shared" si="4"/>
        <v>0</v>
      </c>
      <c r="M128" s="1" t="str">
        <f>COUNTIFS(Bets3[Date],L128,Bets3[Result],"W")&amp;"-"&amp;COUNTIFS(Bets3[Date],L128,Bets3[Result],"L")&amp;IF(COUNTIFS(Bets3[Date],L128,Bets3[Result],"Push")&gt;0,"-"&amp;COUNTIFS(Bets3[Date],L128,Bets3[Result],"Push"),"")</f>
        <v>0-0</v>
      </c>
      <c r="N128" s="25" t="str">
        <f>IFERROR(COUNTIFS(Bets3[Date],L128,Bets3[Result],"W")/(COUNTIFS(Bets3[Date],L128,Bets3[Result],"W")+COUNTIFS(Bets3[Date],L128,Bets3[Result],"L")),"")</f>
        <v/>
      </c>
      <c r="O128" s="26">
        <f>SUMIF(Bets3[Date],L128,Bets3[Net])</f>
        <v>0</v>
      </c>
      <c r="P128" s="27" t="str">
        <f>IFERROR("("&amp;ROUND((SUMIF(Bets3[Date],L128,Bets3[Net])-SUMIF(Bets3[Date],L128,Bets3[Risk]))/SUMIF(Bets3[Date],L128,Bets3[Risk]),2)*100&amp;"%)","")</f>
        <v/>
      </c>
      <c r="Q128" s="72" t="str">
        <f t="shared" si="5"/>
        <v/>
      </c>
      <c r="R128" s="73" t="str">
        <f>IFERROR(SUMIF(Bets3[Date],"&lt;="&amp;L128,Bets3[Net])/SUMIF(Bets3[Date],"&lt;="&amp;L128,Bets3[Risk]),"")</f>
        <v/>
      </c>
    </row>
    <row r="129" spans="1:18" x14ac:dyDescent="0.25">
      <c r="A129" s="13">
        <f t="shared" si="3"/>
        <v>10</v>
      </c>
      <c r="B129" s="17">
        <v>43593</v>
      </c>
      <c r="C129" s="17" t="s">
        <v>802</v>
      </c>
      <c r="D129" s="18" t="s">
        <v>1177</v>
      </c>
      <c r="E129" s="11" t="s">
        <v>933</v>
      </c>
      <c r="F129" s="19">
        <f>IF(Bets35[[#This Row],[Odds]]&lt;0,Bets35[[#This Row],[Odds]]/-10,1000/Bets3[[#This Row],[Odds]])</f>
        <v>11.5</v>
      </c>
      <c r="G129" s="37">
        <v>-115</v>
      </c>
      <c r="H129" s="37" t="s">
        <v>263</v>
      </c>
      <c r="I129" s="45">
        <f>IF(Bets3[[#This Row],[Result]]="L",0-Bets3[[#This Row],[Risk]],IF(Bets3[[#This Row],[Result]]="Push",0,IF(Bets3[[#This Row],[Result]]="No Action",0,IF(Bets3[[#This Row],[Result]]="W",IF(Bets3[[#This Row],[Odds]]&gt;0,Bets3[[#This Row],[Odds]]/100*Bets3[[#This Row],[Risk]],(Bets3[[#This Row],[Risk]]/Bets3[[#This Row],[Odds]]*-100)),""))))</f>
        <v>-11.5</v>
      </c>
      <c r="J129" s="39" t="str">
        <f>IF(ISNUMBER(SEARCH(CHAR(10),Bets3[[#This Row],[Bet]])),"P",IF(ISNUMBER(FIND("Under",Bets3[[#This Row],[Bet]])),"U",IF(ISNUMBER(SEARCH("Over",Bets3[[#This Row],[Bet]])),"O",IF(ISNUMBER(SEARCH("+",Bets3[[#This Row],[Bet]])),"D",IF(ISNUMBER(SEARCH("-",Bets3[[#This Row],[Bet]])),"F",IF(ISNUMBER(SEARCH("Moneyline",Bets3[[#This Row],[Bet]])),IF(Bets3[[#This Row],[Odds]]&lt;0,"MF","MD"),""))))))</f>
        <v>U</v>
      </c>
      <c r="K129"/>
      <c r="L129" s="24">
        <f t="shared" si="4"/>
        <v>0</v>
      </c>
      <c r="M129" s="1" t="str">
        <f>COUNTIFS(Bets3[Date],L129,Bets3[Result],"W")&amp;"-"&amp;COUNTIFS(Bets3[Date],L129,Bets3[Result],"L")&amp;IF(COUNTIFS(Bets3[Date],L129,Bets3[Result],"Push")&gt;0,"-"&amp;COUNTIFS(Bets3[Date],L129,Bets3[Result],"Push"),"")</f>
        <v>0-0</v>
      </c>
      <c r="N129" s="25" t="str">
        <f>IFERROR(COUNTIFS(Bets3[Date],L129,Bets3[Result],"W")/(COUNTIFS(Bets3[Date],L129,Bets3[Result],"W")+COUNTIFS(Bets3[Date],L129,Bets3[Result],"L")),"")</f>
        <v/>
      </c>
      <c r="O129" s="26">
        <f>SUMIF(Bets3[Date],L129,Bets3[Net])</f>
        <v>0</v>
      </c>
      <c r="P129" s="27" t="str">
        <f>IFERROR("("&amp;ROUND((SUMIF(Bets3[Date],L129,Bets3[Net])-SUMIF(Bets3[Date],L129,Bets3[Risk]))/SUMIF(Bets3[Date],L129,Bets3[Risk]),2)*100&amp;"%)","")</f>
        <v/>
      </c>
      <c r="Q129" s="72" t="str">
        <f t="shared" si="5"/>
        <v/>
      </c>
      <c r="R129" s="73" t="str">
        <f>IFERROR(SUMIF(Bets3[Date],"&lt;="&amp;L129,Bets3[Net])/SUMIF(Bets3[Date],"&lt;="&amp;L129,Bets3[Risk]),"")</f>
        <v/>
      </c>
    </row>
    <row r="130" spans="1:18" x14ac:dyDescent="0.25">
      <c r="A130" s="13">
        <f t="shared" si="3"/>
        <v>10</v>
      </c>
      <c r="B130" s="17">
        <v>43593</v>
      </c>
      <c r="C130" s="17" t="s">
        <v>802</v>
      </c>
      <c r="D130" s="18" t="s">
        <v>1202</v>
      </c>
      <c r="E130" s="11" t="s">
        <v>905</v>
      </c>
      <c r="F130" s="19">
        <f>IF(Bets35[[#This Row],[Odds]]&lt;0,Bets35[[#This Row],[Odds]]/-10,1000/Bets3[[#This Row],[Odds]])</f>
        <v>11.5</v>
      </c>
      <c r="G130" s="37">
        <v>-115</v>
      </c>
      <c r="H130" s="37" t="s">
        <v>846</v>
      </c>
      <c r="I130" s="45">
        <f>IF(Bets3[[#This Row],[Result]]="L",0-Bets3[[#This Row],[Risk]],IF(Bets3[[#This Row],[Result]]="Push",0,IF(Bets3[[#This Row],[Result]]="No Action",0,IF(Bets3[[#This Row],[Result]]="W",IF(Bets3[[#This Row],[Odds]]&gt;0,Bets3[[#This Row],[Odds]]/100*Bets3[[#This Row],[Risk]],(Bets3[[#This Row],[Risk]]/Bets3[[#This Row],[Odds]]*-100)),""))))</f>
        <v>0</v>
      </c>
      <c r="J130" s="39" t="str">
        <f>IF(ISNUMBER(SEARCH(CHAR(10),Bets3[[#This Row],[Bet]])),"P",IF(ISNUMBER(FIND("Under",Bets3[[#This Row],[Bet]])),"U",IF(ISNUMBER(SEARCH("Over",Bets3[[#This Row],[Bet]])),"O",IF(ISNUMBER(SEARCH("+",Bets3[[#This Row],[Bet]])),"D",IF(ISNUMBER(SEARCH("-",Bets3[[#This Row],[Bet]])),"F",IF(ISNUMBER(SEARCH("Moneyline",Bets3[[#This Row],[Bet]])),IF(Bets3[[#This Row],[Odds]]&lt;0,"MF","MD"),""))))))</f>
        <v>O</v>
      </c>
      <c r="K130"/>
      <c r="L130" s="24">
        <f t="shared" si="4"/>
        <v>0</v>
      </c>
      <c r="M130" s="1" t="str">
        <f>COUNTIFS(Bets3[Date],L130,Bets3[Result],"W")&amp;"-"&amp;COUNTIFS(Bets3[Date],L130,Bets3[Result],"L")&amp;IF(COUNTIFS(Bets3[Date],L130,Bets3[Result],"Push")&gt;0,"-"&amp;COUNTIFS(Bets3[Date],L130,Bets3[Result],"Push"),"")</f>
        <v>0-0</v>
      </c>
      <c r="N130" s="25" t="str">
        <f>IFERROR(COUNTIFS(Bets3[Date],L130,Bets3[Result],"W")/(COUNTIFS(Bets3[Date],L130,Bets3[Result],"W")+COUNTIFS(Bets3[Date],L130,Bets3[Result],"L")),"")</f>
        <v/>
      </c>
      <c r="O130" s="26">
        <f>SUMIF(Bets3[Date],L130,Bets3[Net])</f>
        <v>0</v>
      </c>
      <c r="P130" s="27" t="str">
        <f>IFERROR("("&amp;ROUND((SUMIF(Bets3[Date],L130,Bets3[Net])-SUMIF(Bets3[Date],L130,Bets3[Risk]))/SUMIF(Bets3[Date],L130,Bets3[Risk]),2)*100&amp;"%)","")</f>
        <v/>
      </c>
      <c r="Q130" s="72" t="str">
        <f t="shared" si="5"/>
        <v/>
      </c>
      <c r="R130" s="73" t="str">
        <f>IFERROR(SUMIF(Bets3[Date],"&lt;="&amp;L130,Bets3[Net])/SUMIF(Bets3[Date],"&lt;="&amp;L130,Bets3[Risk]),"")</f>
        <v/>
      </c>
    </row>
    <row r="131" spans="1:18" x14ac:dyDescent="0.25">
      <c r="A131" s="13">
        <f t="shared" si="3"/>
        <v>10</v>
      </c>
      <c r="B131" s="17">
        <v>43593</v>
      </c>
      <c r="C131" s="17" t="s">
        <v>802</v>
      </c>
      <c r="D131" s="18" t="s">
        <v>1186</v>
      </c>
      <c r="E131" s="11" t="s">
        <v>1209</v>
      </c>
      <c r="F131" s="19">
        <f>IF(Bets35[[#This Row],[Odds]]&lt;0,Bets35[[#This Row],[Odds]]/-10,1000/Bets3[[#This Row],[Odds]])</f>
        <v>11.5</v>
      </c>
      <c r="G131" s="37">
        <v>-115</v>
      </c>
      <c r="H131" s="37" t="s">
        <v>1174</v>
      </c>
      <c r="I131" s="45">
        <f>IF(Bets3[[#This Row],[Result]]="L",0-Bets3[[#This Row],[Risk]],IF(Bets3[[#This Row],[Result]]="Push",0,IF(Bets3[[#This Row],[Result]]="No Action",0,IF(Bets3[[#This Row],[Result]]="W",IF(Bets3[[#This Row],[Odds]]&gt;0,Bets3[[#This Row],[Odds]]/100*Bets3[[#This Row],[Risk]],(Bets3[[#This Row],[Risk]]/Bets3[[#This Row],[Odds]]*-100)),""))))</f>
        <v>0</v>
      </c>
      <c r="J131" s="39" t="str">
        <f>IF(ISNUMBER(SEARCH(CHAR(10),Bets3[[#This Row],[Bet]])),"P",IF(ISNUMBER(FIND("Under",Bets3[[#This Row],[Bet]])),"U",IF(ISNUMBER(SEARCH("Over",Bets3[[#This Row],[Bet]])),"O",IF(ISNUMBER(SEARCH("+",Bets3[[#This Row],[Bet]])),"D",IF(ISNUMBER(SEARCH("-",Bets3[[#This Row],[Bet]])),"F",IF(ISNUMBER(SEARCH("Moneyline",Bets3[[#This Row],[Bet]])),IF(Bets3[[#This Row],[Odds]]&lt;0,"MF","MD"),""))))))</f>
        <v>U</v>
      </c>
      <c r="K131"/>
      <c r="L131" s="24">
        <f t="shared" si="4"/>
        <v>0</v>
      </c>
      <c r="M131" s="1" t="str">
        <f>COUNTIFS(Bets3[Date],L131,Bets3[Result],"W")&amp;"-"&amp;COUNTIFS(Bets3[Date],L131,Bets3[Result],"L")&amp;IF(COUNTIFS(Bets3[Date],L131,Bets3[Result],"Push")&gt;0,"-"&amp;COUNTIFS(Bets3[Date],L131,Bets3[Result],"Push"),"")</f>
        <v>0-0</v>
      </c>
      <c r="N131" s="25" t="str">
        <f>IFERROR(COUNTIFS(Bets3[Date],L131,Bets3[Result],"W")/(COUNTIFS(Bets3[Date],L131,Bets3[Result],"W")+COUNTIFS(Bets3[Date],L131,Bets3[Result],"L")),"")</f>
        <v/>
      </c>
      <c r="O131" s="26">
        <f>SUMIF(Bets3[Date],L131,Bets3[Net])</f>
        <v>0</v>
      </c>
      <c r="P131" s="27" t="str">
        <f>IFERROR("("&amp;ROUND((SUMIF(Bets3[Date],L131,Bets3[Net])-SUMIF(Bets3[Date],L131,Bets3[Risk]))/SUMIF(Bets3[Date],L131,Bets3[Risk]),2)*100&amp;"%)","")</f>
        <v/>
      </c>
      <c r="Q131" s="72" t="str">
        <f t="shared" si="5"/>
        <v/>
      </c>
      <c r="R131" s="73" t="str">
        <f>IFERROR(SUMIF(Bets3[Date],"&lt;="&amp;L131,Bets3[Net])/SUMIF(Bets3[Date],"&lt;="&amp;L131,Bets3[Risk]),"")</f>
        <v/>
      </c>
    </row>
    <row r="132" spans="1:18" x14ac:dyDescent="0.25">
      <c r="A132" s="13">
        <f t="shared" ref="A132:A195" si="6">IF(B132=B131,A131,A131+1)</f>
        <v>10</v>
      </c>
      <c r="B132" s="17">
        <v>43593</v>
      </c>
      <c r="C132" s="17" t="s">
        <v>802</v>
      </c>
      <c r="D132" s="18" t="s">
        <v>1207</v>
      </c>
      <c r="E132" s="11" t="s">
        <v>931</v>
      </c>
      <c r="F132" s="19">
        <f>IF(Bets35[[#This Row],[Odds]]&lt;0,Bets35[[#This Row],[Odds]]/-10,1000/Bets3[[#This Row],[Odds]])</f>
        <v>10.5</v>
      </c>
      <c r="G132" s="37">
        <v>-105</v>
      </c>
      <c r="H132" s="37" t="s">
        <v>262</v>
      </c>
      <c r="I132" s="45">
        <f>IF(Bets3[[#This Row],[Result]]="L",0-Bets3[[#This Row],[Risk]],IF(Bets3[[#This Row],[Result]]="Push",0,IF(Bets3[[#This Row],[Result]]="No Action",0,IF(Bets3[[#This Row],[Result]]="W",IF(Bets3[[#This Row],[Odds]]&gt;0,Bets3[[#This Row],[Odds]]/100*Bets3[[#This Row],[Risk]],(Bets3[[#This Row],[Risk]]/Bets3[[#This Row],[Odds]]*-100)),""))))</f>
        <v>10</v>
      </c>
      <c r="J132" s="39" t="str">
        <f>IF(ISNUMBER(SEARCH(CHAR(10),Bets3[[#This Row],[Bet]])),"P",IF(ISNUMBER(FIND("Under",Bets3[[#This Row],[Bet]])),"U",IF(ISNUMBER(SEARCH("Over",Bets3[[#This Row],[Bet]])),"O",IF(ISNUMBER(SEARCH("+",Bets3[[#This Row],[Bet]])),"D",IF(ISNUMBER(SEARCH("-",Bets3[[#This Row],[Bet]])),"F",IF(ISNUMBER(SEARCH("Moneyline",Bets3[[#This Row],[Bet]])),IF(Bets3[[#This Row],[Odds]]&lt;0,"MF","MD"),""))))))</f>
        <v>O</v>
      </c>
      <c r="K132"/>
      <c r="L132" s="24">
        <f t="shared" ref="L132:L157" si="7">IFERROR(VLOOKUP(ROW()-3,A:B,2,0),0)</f>
        <v>0</v>
      </c>
      <c r="M132" s="1" t="str">
        <f>COUNTIFS(Bets3[Date],L132,Bets3[Result],"W")&amp;"-"&amp;COUNTIFS(Bets3[Date],L132,Bets3[Result],"L")&amp;IF(COUNTIFS(Bets3[Date],L132,Bets3[Result],"Push")&gt;0,"-"&amp;COUNTIFS(Bets3[Date],L132,Bets3[Result],"Push"),"")</f>
        <v>0-0</v>
      </c>
      <c r="N132" s="25" t="str">
        <f>IFERROR(COUNTIFS(Bets3[Date],L132,Bets3[Result],"W")/(COUNTIFS(Bets3[Date],L132,Bets3[Result],"W")+COUNTIFS(Bets3[Date],L132,Bets3[Result],"L")),"")</f>
        <v/>
      </c>
      <c r="O132" s="26">
        <f>SUMIF(Bets3[Date],L132,Bets3[Net])</f>
        <v>0</v>
      </c>
      <c r="P132" s="27" t="str">
        <f>IFERROR("("&amp;ROUND((SUMIF(Bets3[Date],L132,Bets3[Net])-SUMIF(Bets3[Date],L132,Bets3[Risk]))/SUMIF(Bets3[Date],L132,Bets3[Risk]),2)*100&amp;"%)","")</f>
        <v/>
      </c>
      <c r="Q132" s="72" t="str">
        <f t="shared" si="5"/>
        <v/>
      </c>
      <c r="R132" s="73" t="str">
        <f>IFERROR(SUMIF(Bets3[Date],"&lt;="&amp;L132,Bets3[Net])/SUMIF(Bets3[Date],"&lt;="&amp;L132,Bets3[Risk]),"")</f>
        <v/>
      </c>
    </row>
    <row r="133" spans="1:18" x14ac:dyDescent="0.25">
      <c r="A133" s="13">
        <f t="shared" si="6"/>
        <v>11</v>
      </c>
      <c r="B133" s="17">
        <v>43594</v>
      </c>
      <c r="C133" s="17" t="s">
        <v>802</v>
      </c>
      <c r="D133" s="18" t="s">
        <v>1182</v>
      </c>
      <c r="E133" s="11" t="s">
        <v>867</v>
      </c>
      <c r="F133" s="19">
        <f>IF(Bets35[[#This Row],[Odds]]&lt;0,Bets35[[#This Row],[Odds]]/-10,1000/Bets3[[#This Row],[Odds]])</f>
        <v>21</v>
      </c>
      <c r="G133" s="37">
        <v>-210</v>
      </c>
      <c r="H133" s="37" t="s">
        <v>262</v>
      </c>
      <c r="I133" s="45">
        <f>IF(Bets3[[#This Row],[Result]]="L",0-Bets3[[#This Row],[Risk]],IF(Bets3[[#This Row],[Result]]="Push",0,IF(Bets3[[#This Row],[Result]]="No Action",0,IF(Bets3[[#This Row],[Result]]="W",IF(Bets3[[#This Row],[Odds]]&gt;0,Bets3[[#This Row],[Odds]]/100*Bets3[[#This Row],[Risk]],(Bets3[[#This Row],[Risk]]/Bets3[[#This Row],[Odds]]*-100)),""))))</f>
        <v>10</v>
      </c>
      <c r="J133" s="39" t="str">
        <f>IF(ISNUMBER(SEARCH(CHAR(10),Bets3[[#This Row],[Bet]])),"P",IF(ISNUMBER(FIND("Under",Bets3[[#This Row],[Bet]])),"U",IF(ISNUMBER(SEARCH("Over",Bets3[[#This Row],[Bet]])),"O",IF(ISNUMBER(SEARCH("+",Bets3[[#This Row],[Bet]])),"D",IF(ISNUMBER(SEARCH("-",Bets3[[#This Row],[Bet]])),"F",IF(ISNUMBER(SEARCH("Moneyline",Bets3[[#This Row],[Bet]])),IF(Bets3[[#This Row],[Odds]]&lt;0,"MF","MD"),""))))))</f>
        <v>MF</v>
      </c>
      <c r="K133"/>
      <c r="L133" s="24">
        <f t="shared" si="7"/>
        <v>0</v>
      </c>
      <c r="M133" s="1" t="str">
        <f>COUNTIFS(Bets3[Date],L133,Bets3[Result],"W")&amp;"-"&amp;COUNTIFS(Bets3[Date],L133,Bets3[Result],"L")&amp;IF(COUNTIFS(Bets3[Date],L133,Bets3[Result],"Push")&gt;0,"-"&amp;COUNTIFS(Bets3[Date],L133,Bets3[Result],"Push"),"")</f>
        <v>0-0</v>
      </c>
      <c r="N133" s="25" t="str">
        <f>IFERROR(COUNTIFS(Bets3[Date],L133,Bets3[Result],"W")/(COUNTIFS(Bets3[Date],L133,Bets3[Result],"W")+COUNTIFS(Bets3[Date],L133,Bets3[Result],"L")),"")</f>
        <v/>
      </c>
      <c r="O133" s="26">
        <f>SUMIF(Bets3[Date],L133,Bets3[Net])</f>
        <v>0</v>
      </c>
      <c r="P133" s="27" t="str">
        <f>IFERROR("("&amp;ROUND((SUMIF(Bets3[Date],L133,Bets3[Net])-SUMIF(Bets3[Date],L133,Bets3[Risk]))/SUMIF(Bets3[Date],L133,Bets3[Risk]),2)*100&amp;"%)","")</f>
        <v/>
      </c>
      <c r="Q133" s="72" t="str">
        <f t="shared" si="5"/>
        <v/>
      </c>
      <c r="R133" s="73" t="str">
        <f>IFERROR(SUMIF(Bets3[Date],"&lt;="&amp;L133,Bets3[Net])/SUMIF(Bets3[Date],"&lt;="&amp;L133,Bets3[Risk]),"")</f>
        <v/>
      </c>
    </row>
    <row r="134" spans="1:18" x14ac:dyDescent="0.25">
      <c r="A134" s="13">
        <f t="shared" si="6"/>
        <v>11</v>
      </c>
      <c r="B134" s="17">
        <v>43594</v>
      </c>
      <c r="C134" s="17" t="s">
        <v>802</v>
      </c>
      <c r="D134" s="18" t="s">
        <v>1214</v>
      </c>
      <c r="E134" s="11" t="s">
        <v>876</v>
      </c>
      <c r="F134" s="19">
        <f>IF(Bets35[[#This Row],[Odds]]&lt;0,Bets35[[#This Row],[Odds]]/-10,1000/Bets3[[#This Row],[Odds]])</f>
        <v>8</v>
      </c>
      <c r="G134" s="37">
        <v>125</v>
      </c>
      <c r="H134" s="37" t="s">
        <v>263</v>
      </c>
      <c r="I134" s="45">
        <f>IF(Bets3[[#This Row],[Result]]="L",0-Bets3[[#This Row],[Risk]],IF(Bets3[[#This Row],[Result]]="Push",0,IF(Bets3[[#This Row],[Result]]="No Action",0,IF(Bets3[[#This Row],[Result]]="W",IF(Bets3[[#This Row],[Odds]]&gt;0,Bets3[[#This Row],[Odds]]/100*Bets3[[#This Row],[Risk]],(Bets3[[#This Row],[Risk]]/Bets3[[#This Row],[Odds]]*-100)),""))))</f>
        <v>-8</v>
      </c>
      <c r="J134" s="39" t="str">
        <f>IF(ISNUMBER(SEARCH(CHAR(10),Bets3[[#This Row],[Bet]])),"P",IF(ISNUMBER(FIND("Under",Bets3[[#This Row],[Bet]])),"U",IF(ISNUMBER(SEARCH("Over",Bets3[[#This Row],[Bet]])),"O",IF(ISNUMBER(SEARCH("+",Bets3[[#This Row],[Bet]])),"D",IF(ISNUMBER(SEARCH("-",Bets3[[#This Row],[Bet]])),"F",IF(ISNUMBER(SEARCH("Moneyline",Bets3[[#This Row],[Bet]])),IF(Bets3[[#This Row],[Odds]]&lt;0,"MF","MD"),""))))))</f>
        <v>MD</v>
      </c>
      <c r="K134"/>
      <c r="L134" s="24">
        <f t="shared" si="7"/>
        <v>0</v>
      </c>
      <c r="M134" s="1" t="str">
        <f>COUNTIFS(Bets3[Date],L134,Bets3[Result],"W")&amp;"-"&amp;COUNTIFS(Bets3[Date],L134,Bets3[Result],"L")&amp;IF(COUNTIFS(Bets3[Date],L134,Bets3[Result],"Push")&gt;0,"-"&amp;COUNTIFS(Bets3[Date],L134,Bets3[Result],"Push"),"")</f>
        <v>0-0</v>
      </c>
      <c r="N134" s="25" t="str">
        <f>IFERROR(COUNTIFS(Bets3[Date],L134,Bets3[Result],"W")/(COUNTIFS(Bets3[Date],L134,Bets3[Result],"W")+COUNTIFS(Bets3[Date],L134,Bets3[Result],"L")),"")</f>
        <v/>
      </c>
      <c r="O134" s="26">
        <f>SUMIF(Bets3[Date],L134,Bets3[Net])</f>
        <v>0</v>
      </c>
      <c r="P134" s="27" t="str">
        <f>IFERROR("("&amp;ROUND((SUMIF(Bets3[Date],L134,Bets3[Net])-SUMIF(Bets3[Date],L134,Bets3[Risk]))/SUMIF(Bets3[Date],L134,Bets3[Risk]),2)*100&amp;"%)","")</f>
        <v/>
      </c>
      <c r="Q134" s="72" t="str">
        <f t="shared" ref="Q134:Q157" si="8">IF(L134&lt;&gt;0,Q133+O134,"")</f>
        <v/>
      </c>
      <c r="R134" s="73" t="str">
        <f>IFERROR(SUMIF(Bets3[Date],"&lt;="&amp;L134,Bets3[Net])/SUMIF(Bets3[Date],"&lt;="&amp;L134,Bets3[Risk]),"")</f>
        <v/>
      </c>
    </row>
    <row r="135" spans="1:18" x14ac:dyDescent="0.25">
      <c r="A135" s="13">
        <f t="shared" si="6"/>
        <v>11</v>
      </c>
      <c r="B135" s="17">
        <v>43594</v>
      </c>
      <c r="C135" s="17" t="s">
        <v>802</v>
      </c>
      <c r="D135" s="18" t="s">
        <v>1215</v>
      </c>
      <c r="E135" s="11" t="s">
        <v>815</v>
      </c>
      <c r="F135" s="19">
        <f>IF(Bets35[[#This Row],[Odds]]&lt;0,Bets35[[#This Row],[Odds]]/-10,1000/Bets3[[#This Row],[Odds]])</f>
        <v>11</v>
      </c>
      <c r="G135" s="37">
        <v>-110</v>
      </c>
      <c r="H135" s="37" t="s">
        <v>263</v>
      </c>
      <c r="I135" s="45">
        <f>IF(Bets3[[#This Row],[Result]]="L",0-Bets3[[#This Row],[Risk]],IF(Bets3[[#This Row],[Result]]="Push",0,IF(Bets3[[#This Row],[Result]]="No Action",0,IF(Bets3[[#This Row],[Result]]="W",IF(Bets3[[#This Row],[Odds]]&gt;0,Bets3[[#This Row],[Odds]]/100*Bets3[[#This Row],[Risk]],(Bets3[[#This Row],[Risk]]/Bets3[[#This Row],[Odds]]*-100)),""))))</f>
        <v>-11</v>
      </c>
      <c r="J135" s="39" t="str">
        <f>IF(ISNUMBER(SEARCH(CHAR(10),Bets3[[#This Row],[Bet]])),"P",IF(ISNUMBER(FIND("Under",Bets3[[#This Row],[Bet]])),"U",IF(ISNUMBER(SEARCH("Over",Bets3[[#This Row],[Bet]])),"O",IF(ISNUMBER(SEARCH("+",Bets3[[#This Row],[Bet]])),"D",IF(ISNUMBER(SEARCH("-",Bets3[[#This Row],[Bet]])),"F",IF(ISNUMBER(SEARCH("Moneyline",Bets3[[#This Row],[Bet]])),IF(Bets3[[#This Row],[Odds]]&lt;0,"MF","MD"),""))))))</f>
        <v>MF</v>
      </c>
      <c r="K135"/>
      <c r="L135" s="24">
        <f t="shared" si="7"/>
        <v>0</v>
      </c>
      <c r="M135" s="1" t="str">
        <f>COUNTIFS(Bets3[Date],L135,Bets3[Result],"W")&amp;"-"&amp;COUNTIFS(Bets3[Date],L135,Bets3[Result],"L")&amp;IF(COUNTIFS(Bets3[Date],L135,Bets3[Result],"Push")&gt;0,"-"&amp;COUNTIFS(Bets3[Date],L135,Bets3[Result],"Push"),"")</f>
        <v>0-0</v>
      </c>
      <c r="N135" s="25" t="str">
        <f>IFERROR(COUNTIFS(Bets3[Date],L135,Bets3[Result],"W")/(COUNTIFS(Bets3[Date],L135,Bets3[Result],"W")+COUNTIFS(Bets3[Date],L135,Bets3[Result],"L")),"")</f>
        <v/>
      </c>
      <c r="O135" s="26">
        <f>SUMIF(Bets3[Date],L135,Bets3[Net])</f>
        <v>0</v>
      </c>
      <c r="P135" s="27" t="str">
        <f>IFERROR("("&amp;ROUND((SUMIF(Bets3[Date],L135,Bets3[Net])-SUMIF(Bets3[Date],L135,Bets3[Risk]))/SUMIF(Bets3[Date],L135,Bets3[Risk]),2)*100&amp;"%)","")</f>
        <v/>
      </c>
      <c r="Q135" s="72" t="str">
        <f t="shared" si="8"/>
        <v/>
      </c>
      <c r="R135" s="73" t="str">
        <f>IFERROR(SUMIF(Bets3[Date],"&lt;="&amp;L135,Bets3[Net])/SUMIF(Bets3[Date],"&lt;="&amp;L135,Bets3[Risk]),"")</f>
        <v/>
      </c>
    </row>
    <row r="136" spans="1:18" x14ac:dyDescent="0.25">
      <c r="A136" s="13">
        <f t="shared" si="6"/>
        <v>11</v>
      </c>
      <c r="B136" s="17">
        <v>43594</v>
      </c>
      <c r="C136" s="17" t="s">
        <v>802</v>
      </c>
      <c r="D136" s="18" t="s">
        <v>1217</v>
      </c>
      <c r="E136" s="11" t="s">
        <v>827</v>
      </c>
      <c r="F136" s="19">
        <f>IF(Bets35[[#This Row],[Odds]]&lt;0,Bets35[[#This Row],[Odds]]/-10,1000/Bets3[[#This Row],[Odds]])</f>
        <v>14.7</v>
      </c>
      <c r="G136" s="37">
        <v>-147</v>
      </c>
      <c r="H136" s="37" t="s">
        <v>263</v>
      </c>
      <c r="I136" s="45">
        <f>IF(Bets3[[#This Row],[Result]]="L",0-Bets3[[#This Row],[Risk]],IF(Bets3[[#This Row],[Result]]="Push",0,IF(Bets3[[#This Row],[Result]]="No Action",0,IF(Bets3[[#This Row],[Result]]="W",IF(Bets3[[#This Row],[Odds]]&gt;0,Bets3[[#This Row],[Odds]]/100*Bets3[[#This Row],[Risk]],(Bets3[[#This Row],[Risk]]/Bets3[[#This Row],[Odds]]*-100)),""))))</f>
        <v>-14.7</v>
      </c>
      <c r="J136" s="39" t="str">
        <f>IF(ISNUMBER(SEARCH(CHAR(10),Bets3[[#This Row],[Bet]])),"P",IF(ISNUMBER(FIND("Under",Bets3[[#This Row],[Bet]])),"U",IF(ISNUMBER(SEARCH("Over",Bets3[[#This Row],[Bet]])),"O",IF(ISNUMBER(SEARCH("+",Bets3[[#This Row],[Bet]])),"D",IF(ISNUMBER(SEARCH("-",Bets3[[#This Row],[Bet]])),"F",IF(ISNUMBER(SEARCH("Moneyline",Bets3[[#This Row],[Bet]])),IF(Bets3[[#This Row],[Odds]]&lt;0,"MF","MD"),""))))))</f>
        <v>MF</v>
      </c>
      <c r="K136"/>
      <c r="L136" s="24">
        <f t="shared" si="7"/>
        <v>0</v>
      </c>
      <c r="M136" s="1" t="str">
        <f>COUNTIFS(Bets3[Date],L136,Bets3[Result],"W")&amp;"-"&amp;COUNTIFS(Bets3[Date],L136,Bets3[Result],"L")&amp;IF(COUNTIFS(Bets3[Date],L136,Bets3[Result],"Push")&gt;0,"-"&amp;COUNTIFS(Bets3[Date],L136,Bets3[Result],"Push"),"")</f>
        <v>0-0</v>
      </c>
      <c r="N136" s="25" t="str">
        <f>IFERROR(COUNTIFS(Bets3[Date],L136,Bets3[Result],"W")/(COUNTIFS(Bets3[Date],L136,Bets3[Result],"W")+COUNTIFS(Bets3[Date],L136,Bets3[Result],"L")),"")</f>
        <v/>
      </c>
      <c r="O136" s="26">
        <f>SUMIF(Bets3[Date],L136,Bets3[Net])</f>
        <v>0</v>
      </c>
      <c r="P136" s="27" t="str">
        <f>IFERROR("("&amp;ROUND((SUMIF(Bets3[Date],L136,Bets3[Net])-SUMIF(Bets3[Date],L136,Bets3[Risk]))/SUMIF(Bets3[Date],L136,Bets3[Risk]),2)*100&amp;"%)","")</f>
        <v/>
      </c>
      <c r="Q136" s="72" t="str">
        <f t="shared" si="8"/>
        <v/>
      </c>
      <c r="R136" s="73" t="str">
        <f>IFERROR(SUMIF(Bets3[Date],"&lt;="&amp;L136,Bets3[Net])/SUMIF(Bets3[Date],"&lt;="&amp;L136,Bets3[Risk]),"")</f>
        <v/>
      </c>
    </row>
    <row r="137" spans="1:18" x14ac:dyDescent="0.25">
      <c r="A137" s="13">
        <f t="shared" si="6"/>
        <v>11</v>
      </c>
      <c r="B137" s="17">
        <v>43594</v>
      </c>
      <c r="C137" s="17" t="s">
        <v>802</v>
      </c>
      <c r="D137" s="18" t="s">
        <v>1182</v>
      </c>
      <c r="E137" s="11" t="s">
        <v>1209</v>
      </c>
      <c r="F137" s="19">
        <f>IF(Bets35[[#This Row],[Odds]]&lt;0,Bets35[[#This Row],[Odds]]/-10,1000/Bets3[[#This Row],[Odds]])</f>
        <v>12</v>
      </c>
      <c r="G137" s="37">
        <v>-120</v>
      </c>
      <c r="H137" s="21" t="s">
        <v>262</v>
      </c>
      <c r="I137" s="45">
        <f>IF(Bets3[[#This Row],[Result]]="L",0-Bets3[[#This Row],[Risk]],IF(Bets3[[#This Row],[Result]]="Push",0,IF(Bets3[[#This Row],[Result]]="No Action",0,IF(Bets3[[#This Row],[Result]]="W",IF(Bets3[[#This Row],[Odds]]&gt;0,Bets3[[#This Row],[Odds]]/100*Bets3[[#This Row],[Risk]],(Bets3[[#This Row],[Risk]]/Bets3[[#This Row],[Odds]]*-100)),""))))</f>
        <v>10</v>
      </c>
      <c r="J137" s="23" t="str">
        <f>IF(ISNUMBER(SEARCH(CHAR(10),Bets3[[#This Row],[Bet]])),"P",IF(ISNUMBER(FIND("Under",Bets3[[#This Row],[Bet]])),"U",IF(ISNUMBER(SEARCH("Over",Bets3[[#This Row],[Bet]])),"O",IF(ISNUMBER(SEARCH("+",Bets3[[#This Row],[Bet]])),"D",IF(ISNUMBER(SEARCH("-",Bets3[[#This Row],[Bet]])),"F",IF(ISNUMBER(SEARCH("Moneyline",Bets3[[#This Row],[Bet]])),IF(Bets3[[#This Row],[Odds]]&lt;0,"MF","MD"),""))))))</f>
        <v>U</v>
      </c>
      <c r="K137"/>
      <c r="L137" s="24">
        <f t="shared" si="7"/>
        <v>0</v>
      </c>
      <c r="M137" s="1" t="str">
        <f>COUNTIFS(Bets3[Date],L137,Bets3[Result],"W")&amp;"-"&amp;COUNTIFS(Bets3[Date],L137,Bets3[Result],"L")&amp;IF(COUNTIFS(Bets3[Date],L137,Bets3[Result],"Push")&gt;0,"-"&amp;COUNTIFS(Bets3[Date],L137,Bets3[Result],"Push"),"")</f>
        <v>0-0</v>
      </c>
      <c r="N137" s="25" t="str">
        <f>IFERROR(COUNTIFS(Bets3[Date],L137,Bets3[Result],"W")/(COUNTIFS(Bets3[Date],L137,Bets3[Result],"W")+COUNTIFS(Bets3[Date],L137,Bets3[Result],"L")),"")</f>
        <v/>
      </c>
      <c r="O137" s="26">
        <f>SUMIF(Bets3[Date],L137,Bets3[Net])</f>
        <v>0</v>
      </c>
      <c r="P137" s="27" t="str">
        <f>IFERROR("("&amp;ROUND((SUMIF(Bets3[Date],L137,Bets3[Net])-SUMIF(Bets3[Date],L137,Bets3[Risk]))/SUMIF(Bets3[Date],L137,Bets3[Risk]),2)*100&amp;"%)","")</f>
        <v/>
      </c>
      <c r="Q137" s="72" t="str">
        <f t="shared" si="8"/>
        <v/>
      </c>
      <c r="R137" s="73" t="str">
        <f>IFERROR(SUMIF(Bets3[Date],"&lt;="&amp;L137,Bets3[Net])/SUMIF(Bets3[Date],"&lt;="&amp;L137,Bets3[Risk]),"")</f>
        <v/>
      </c>
    </row>
    <row r="138" spans="1:18" x14ac:dyDescent="0.25">
      <c r="A138" s="13">
        <f t="shared" si="6"/>
        <v>11</v>
      </c>
      <c r="B138" s="17">
        <v>43594</v>
      </c>
      <c r="C138" s="17" t="s">
        <v>802</v>
      </c>
      <c r="D138" s="18" t="s">
        <v>1183</v>
      </c>
      <c r="E138" s="11" t="s">
        <v>877</v>
      </c>
      <c r="F138" s="19">
        <f>IF(Bets35[[#This Row],[Odds]]&lt;0,Bets35[[#This Row],[Odds]]/-10,1000/Bets3[[#This Row],[Odds]])</f>
        <v>10.5</v>
      </c>
      <c r="G138" s="37">
        <v>-105</v>
      </c>
      <c r="H138" s="21" t="s">
        <v>262</v>
      </c>
      <c r="I138" s="45">
        <f>IF(Bets3[[#This Row],[Result]]="L",0-Bets3[[#This Row],[Risk]],IF(Bets3[[#This Row],[Result]]="Push",0,IF(Bets3[[#This Row],[Result]]="No Action",0,IF(Bets3[[#This Row],[Result]]="W",IF(Bets3[[#This Row],[Odds]]&gt;0,Bets3[[#This Row],[Odds]]/100*Bets3[[#This Row],[Risk]],(Bets3[[#This Row],[Risk]]/Bets3[[#This Row],[Odds]]*-100)),""))))</f>
        <v>10</v>
      </c>
      <c r="J138" s="23" t="str">
        <f>IF(ISNUMBER(SEARCH(CHAR(10),Bets3[[#This Row],[Bet]])),"P",IF(ISNUMBER(FIND("Under",Bets3[[#This Row],[Bet]])),"U",IF(ISNUMBER(SEARCH("Over",Bets3[[#This Row],[Bet]])),"O",IF(ISNUMBER(SEARCH("+",Bets3[[#This Row],[Bet]])),"D",IF(ISNUMBER(SEARCH("-",Bets3[[#This Row],[Bet]])),"F",IF(ISNUMBER(SEARCH("Moneyline",Bets3[[#This Row],[Bet]])),IF(Bets3[[#This Row],[Odds]]&lt;0,"MF","MD"),""))))))</f>
        <v>U</v>
      </c>
      <c r="K138"/>
      <c r="L138" s="24">
        <f t="shared" si="7"/>
        <v>0</v>
      </c>
      <c r="M138" s="1" t="str">
        <f>COUNTIFS(Bets3[Date],L138,Bets3[Result],"W")&amp;"-"&amp;COUNTIFS(Bets3[Date],L138,Bets3[Result],"L")&amp;IF(COUNTIFS(Bets3[Date],L138,Bets3[Result],"Push")&gt;0,"-"&amp;COUNTIFS(Bets3[Date],L138,Bets3[Result],"Push"),"")</f>
        <v>0-0</v>
      </c>
      <c r="N138" s="25" t="str">
        <f>IFERROR(COUNTIFS(Bets3[Date],L138,Bets3[Result],"W")/(COUNTIFS(Bets3[Date],L138,Bets3[Result],"W")+COUNTIFS(Bets3[Date],L138,Bets3[Result],"L")),"")</f>
        <v/>
      </c>
      <c r="O138" s="26">
        <f>SUMIF(Bets3[Date],L138,Bets3[Net])</f>
        <v>0</v>
      </c>
      <c r="P138" s="27" t="str">
        <f>IFERROR("("&amp;ROUND((SUMIF(Bets3[Date],L138,Bets3[Net])-SUMIF(Bets3[Date],L138,Bets3[Risk]))/SUMIF(Bets3[Date],L138,Bets3[Risk]),2)*100&amp;"%)","")</f>
        <v/>
      </c>
      <c r="Q138" s="72" t="str">
        <f t="shared" si="8"/>
        <v/>
      </c>
      <c r="R138" s="73" t="str">
        <f>IFERROR(SUMIF(Bets3[Date],"&lt;="&amp;L138,Bets3[Net])/SUMIF(Bets3[Date],"&lt;="&amp;L138,Bets3[Risk]),"")</f>
        <v/>
      </c>
    </row>
    <row r="139" spans="1:18" x14ac:dyDescent="0.25">
      <c r="A139" s="13">
        <f t="shared" si="6"/>
        <v>11</v>
      </c>
      <c r="B139" s="17">
        <v>43594</v>
      </c>
      <c r="C139" s="17" t="s">
        <v>802</v>
      </c>
      <c r="D139" s="18" t="s">
        <v>1216</v>
      </c>
      <c r="E139" s="11" t="s">
        <v>1156</v>
      </c>
      <c r="F139" s="19">
        <f>IF(Bets35[[#This Row],[Odds]]&lt;0,Bets35[[#This Row],[Odds]]/-10,1000/Bets3[[#This Row],[Odds]])</f>
        <v>10.5</v>
      </c>
      <c r="G139" s="37">
        <v>-105</v>
      </c>
      <c r="H139" s="37" t="s">
        <v>263</v>
      </c>
      <c r="I139" s="45">
        <f>IF(Bets3[[#This Row],[Result]]="L",0-Bets3[[#This Row],[Risk]],IF(Bets3[[#This Row],[Result]]="Push",0,IF(Bets3[[#This Row],[Result]]="No Action",0,IF(Bets3[[#This Row],[Result]]="W",IF(Bets3[[#This Row],[Odds]]&gt;0,Bets3[[#This Row],[Odds]]/100*Bets3[[#This Row],[Risk]],(Bets3[[#This Row],[Risk]]/Bets3[[#This Row],[Odds]]*-100)),""))))</f>
        <v>-10.5</v>
      </c>
      <c r="J139" s="39" t="str">
        <f>IF(ISNUMBER(SEARCH(CHAR(10),Bets3[[#This Row],[Bet]])),"P",IF(ISNUMBER(FIND("Under",Bets3[[#This Row],[Bet]])),"U",IF(ISNUMBER(SEARCH("Over",Bets3[[#This Row],[Bet]])),"O",IF(ISNUMBER(SEARCH("+",Bets3[[#This Row],[Bet]])),"D",IF(ISNUMBER(SEARCH("-",Bets3[[#This Row],[Bet]])),"F",IF(ISNUMBER(SEARCH("Moneyline",Bets3[[#This Row],[Bet]])),IF(Bets3[[#This Row],[Odds]]&lt;0,"MF","MD"),""))))))</f>
        <v>O</v>
      </c>
      <c r="K139"/>
      <c r="L139" s="24">
        <f t="shared" si="7"/>
        <v>0</v>
      </c>
      <c r="M139" s="1" t="str">
        <f>COUNTIFS(Bets3[Date],L139,Bets3[Result],"W")&amp;"-"&amp;COUNTIFS(Bets3[Date],L139,Bets3[Result],"L")&amp;IF(COUNTIFS(Bets3[Date],L139,Bets3[Result],"Push")&gt;0,"-"&amp;COUNTIFS(Bets3[Date],L139,Bets3[Result],"Push"),"")</f>
        <v>0-0</v>
      </c>
      <c r="N139" s="25" t="str">
        <f>IFERROR(COUNTIFS(Bets3[Date],L139,Bets3[Result],"W")/(COUNTIFS(Bets3[Date],L139,Bets3[Result],"W")+COUNTIFS(Bets3[Date],L139,Bets3[Result],"L")),"")</f>
        <v/>
      </c>
      <c r="O139" s="26">
        <f>SUMIF(Bets3[Date],L139,Bets3[Net])</f>
        <v>0</v>
      </c>
      <c r="P139" s="27" t="str">
        <f>IFERROR("("&amp;ROUND((SUMIF(Bets3[Date],L139,Bets3[Net])-SUMIF(Bets3[Date],L139,Bets3[Risk]))/SUMIF(Bets3[Date],L139,Bets3[Risk]),2)*100&amp;"%)","")</f>
        <v/>
      </c>
      <c r="Q139" s="72" t="str">
        <f t="shared" si="8"/>
        <v/>
      </c>
      <c r="R139" s="73" t="str">
        <f>IFERROR(SUMIF(Bets3[Date],"&lt;="&amp;L139,Bets3[Net])/SUMIF(Bets3[Date],"&lt;="&amp;L139,Bets3[Risk]),"")</f>
        <v/>
      </c>
    </row>
    <row r="140" spans="1:18" x14ac:dyDescent="0.25">
      <c r="A140" s="13">
        <f t="shared" si="6"/>
        <v>11</v>
      </c>
      <c r="B140" s="17">
        <v>43594</v>
      </c>
      <c r="C140" s="17" t="s">
        <v>802</v>
      </c>
      <c r="D140" s="18" t="s">
        <v>1217</v>
      </c>
      <c r="E140" s="11" t="s">
        <v>902</v>
      </c>
      <c r="F140" s="19">
        <f>IF(Bets35[[#This Row],[Odds]]&lt;0,Bets35[[#This Row],[Odds]]/-10,1000/Bets3[[#This Row],[Odds]])</f>
        <v>12</v>
      </c>
      <c r="G140" s="37">
        <v>-120</v>
      </c>
      <c r="H140" s="37" t="s">
        <v>263</v>
      </c>
      <c r="I140" s="45">
        <f>IF(Bets3[[#This Row],[Result]]="L",0-Bets3[[#This Row],[Risk]],IF(Bets3[[#This Row],[Result]]="Push",0,IF(Bets3[[#This Row],[Result]]="No Action",0,IF(Bets3[[#This Row],[Result]]="W",IF(Bets3[[#This Row],[Odds]]&gt;0,Bets3[[#This Row],[Odds]]/100*Bets3[[#This Row],[Risk]],(Bets3[[#This Row],[Risk]]/Bets3[[#This Row],[Odds]]*-100)),""))))</f>
        <v>-12</v>
      </c>
      <c r="J140" s="39" t="str">
        <f>IF(ISNUMBER(SEARCH(CHAR(10),Bets3[[#This Row],[Bet]])),"P",IF(ISNUMBER(FIND("Under",Bets3[[#This Row],[Bet]])),"U",IF(ISNUMBER(SEARCH("Over",Bets3[[#This Row],[Bet]])),"O",IF(ISNUMBER(SEARCH("+",Bets3[[#This Row],[Bet]])),"D",IF(ISNUMBER(SEARCH("-",Bets3[[#This Row],[Bet]])),"F",IF(ISNUMBER(SEARCH("Moneyline",Bets3[[#This Row],[Bet]])),IF(Bets3[[#This Row],[Odds]]&lt;0,"MF","MD"),""))))))</f>
        <v>O</v>
      </c>
      <c r="K140"/>
      <c r="L140" s="24">
        <f t="shared" si="7"/>
        <v>0</v>
      </c>
      <c r="M140" s="1" t="str">
        <f>COUNTIFS(Bets3[Date],L140,Bets3[Result],"W")&amp;"-"&amp;COUNTIFS(Bets3[Date],L140,Bets3[Result],"L")&amp;IF(COUNTIFS(Bets3[Date],L140,Bets3[Result],"Push")&gt;0,"-"&amp;COUNTIFS(Bets3[Date],L140,Bets3[Result],"Push"),"")</f>
        <v>0-0</v>
      </c>
      <c r="N140" s="25" t="str">
        <f>IFERROR(COUNTIFS(Bets3[Date],L140,Bets3[Result],"W")/(COUNTIFS(Bets3[Date],L140,Bets3[Result],"W")+COUNTIFS(Bets3[Date],L140,Bets3[Result],"L")),"")</f>
        <v/>
      </c>
      <c r="O140" s="26">
        <f>SUMIF(Bets3[Date],L140,Bets3[Net])</f>
        <v>0</v>
      </c>
      <c r="P140" s="27" t="str">
        <f>IFERROR("("&amp;ROUND((SUMIF(Bets3[Date],L140,Bets3[Net])-SUMIF(Bets3[Date],L140,Bets3[Risk]))/SUMIF(Bets3[Date],L140,Bets3[Risk]),2)*100&amp;"%)","")</f>
        <v/>
      </c>
      <c r="Q140" s="72" t="str">
        <f t="shared" si="8"/>
        <v/>
      </c>
      <c r="R140" s="73" t="str">
        <f>IFERROR(SUMIF(Bets3[Date],"&lt;="&amp;L140,Bets3[Net])/SUMIF(Bets3[Date],"&lt;="&amp;L140,Bets3[Risk]),"")</f>
        <v/>
      </c>
    </row>
    <row r="141" spans="1:18" x14ac:dyDescent="0.25">
      <c r="A141" s="13">
        <f t="shared" si="6"/>
        <v>12</v>
      </c>
      <c r="B141" s="17">
        <v>43595</v>
      </c>
      <c r="C141" s="17" t="s">
        <v>802</v>
      </c>
      <c r="D141" s="18" t="s">
        <v>1222</v>
      </c>
      <c r="E141" s="11" t="s">
        <v>836</v>
      </c>
      <c r="F141" s="19">
        <f>IF(Bets35[[#This Row],[Odds]]&lt;0,Bets35[[#This Row],[Odds]]/-10,1000/Bets3[[#This Row],[Odds]])</f>
        <v>6.0606060606060606</v>
      </c>
      <c r="G141" s="37" t="s">
        <v>871</v>
      </c>
      <c r="H141" s="37" t="s">
        <v>263</v>
      </c>
      <c r="I141" s="45">
        <f>IF(Bets3[[#This Row],[Result]]="L",0-Bets3[[#This Row],[Risk]],IF(Bets3[[#This Row],[Result]]="Push",0,IF(Bets3[[#This Row],[Result]]="No Action",0,IF(Bets3[[#This Row],[Result]]="W",IF(Bets3[[#This Row],[Odds]]&gt;0,Bets3[[#This Row],[Odds]]/100*Bets3[[#This Row],[Risk]],(Bets3[[#This Row],[Risk]]/Bets3[[#This Row],[Odds]]*-100)),""))))</f>
        <v>-6.0606060606060606</v>
      </c>
      <c r="J141" s="39" t="str">
        <f>IF(ISNUMBER(SEARCH(CHAR(10),Bets3[[#This Row],[Bet]])),"P",IF(ISNUMBER(FIND("Under",Bets3[[#This Row],[Bet]])),"U",IF(ISNUMBER(SEARCH("Over",Bets3[[#This Row],[Bet]])),"O",IF(ISNUMBER(SEARCH("+",Bets3[[#This Row],[Bet]])),"D",IF(ISNUMBER(SEARCH("-",Bets3[[#This Row],[Bet]])),"F",IF(ISNUMBER(SEARCH("Moneyline",Bets3[[#This Row],[Bet]])),IF(Bets3[[#This Row],[Odds]]&lt;0,"MF","MD"),""))))))</f>
        <v>MD</v>
      </c>
      <c r="K141"/>
      <c r="L141" s="24">
        <f t="shared" si="7"/>
        <v>0</v>
      </c>
      <c r="M141" s="1" t="str">
        <f>COUNTIFS(Bets3[Date],L141,Bets3[Result],"W")&amp;"-"&amp;COUNTIFS(Bets3[Date],L141,Bets3[Result],"L")&amp;IF(COUNTIFS(Bets3[Date],L141,Bets3[Result],"Push")&gt;0,"-"&amp;COUNTIFS(Bets3[Date],L141,Bets3[Result],"Push"),"")</f>
        <v>0-0</v>
      </c>
      <c r="N141" s="25" t="str">
        <f>IFERROR(COUNTIFS(Bets3[Date],L141,Bets3[Result],"W")/(COUNTIFS(Bets3[Date],L141,Bets3[Result],"W")+COUNTIFS(Bets3[Date],L141,Bets3[Result],"L")),"")</f>
        <v/>
      </c>
      <c r="O141" s="26">
        <f>SUMIF(Bets3[Date],L141,Bets3[Net])</f>
        <v>0</v>
      </c>
      <c r="P141" s="27" t="str">
        <f>IFERROR("("&amp;ROUND((SUMIF(Bets3[Date],L141,Bets3[Net])-SUMIF(Bets3[Date],L141,Bets3[Risk]))/SUMIF(Bets3[Date],L141,Bets3[Risk]),2)*100&amp;"%)","")</f>
        <v/>
      </c>
      <c r="Q141" s="72" t="str">
        <f t="shared" si="8"/>
        <v/>
      </c>
      <c r="R141" s="73" t="str">
        <f>IFERROR(SUMIF(Bets3[Date],"&lt;="&amp;L141,Bets3[Net])/SUMIF(Bets3[Date],"&lt;="&amp;L141,Bets3[Risk]),"")</f>
        <v/>
      </c>
    </row>
    <row r="142" spans="1:18" x14ac:dyDescent="0.25">
      <c r="A142" s="13">
        <f t="shared" si="6"/>
        <v>12</v>
      </c>
      <c r="B142" s="17">
        <v>43595</v>
      </c>
      <c r="C142" s="17" t="s">
        <v>802</v>
      </c>
      <c r="D142" s="18" t="s">
        <v>1223</v>
      </c>
      <c r="E142" s="11" t="s">
        <v>1178</v>
      </c>
      <c r="F142" s="19">
        <f>IF(Bets35[[#This Row],[Odds]]&lt;0,Bets35[[#This Row],[Odds]]/-10,1000/Bets3[[#This Row],[Odds]])</f>
        <v>23</v>
      </c>
      <c r="G142" s="37">
        <v>-230</v>
      </c>
      <c r="H142" s="37" t="s">
        <v>262</v>
      </c>
      <c r="I142" s="45">
        <f>IF(Bets3[[#This Row],[Result]]="L",0-Bets3[[#This Row],[Risk]],IF(Bets3[[#This Row],[Result]]="Push",0,IF(Bets3[[#This Row],[Result]]="No Action",0,IF(Bets3[[#This Row],[Result]]="W",IF(Bets3[[#This Row],[Odds]]&gt;0,Bets3[[#This Row],[Odds]]/100*Bets3[[#This Row],[Risk]],(Bets3[[#This Row],[Risk]]/Bets3[[#This Row],[Odds]]*-100)),""))))</f>
        <v>10</v>
      </c>
      <c r="J142" s="39" t="str">
        <f>IF(ISNUMBER(SEARCH(CHAR(10),Bets3[[#This Row],[Bet]])),"P",IF(ISNUMBER(FIND("Under",Bets3[[#This Row],[Bet]])),"U",IF(ISNUMBER(SEARCH("Over",Bets3[[#This Row],[Bet]])),"O",IF(ISNUMBER(SEARCH("+",Bets3[[#This Row],[Bet]])),"D",IF(ISNUMBER(SEARCH("-",Bets3[[#This Row],[Bet]])),"F",IF(ISNUMBER(SEARCH("Moneyline",Bets3[[#This Row],[Bet]])),IF(Bets3[[#This Row],[Odds]]&lt;0,"MF","MD"),""))))))</f>
        <v>MF</v>
      </c>
      <c r="K142"/>
      <c r="L142" s="24">
        <f t="shared" si="7"/>
        <v>0</v>
      </c>
      <c r="M142" s="1" t="str">
        <f>COUNTIFS(Bets3[Date],L142,Bets3[Result],"W")&amp;"-"&amp;COUNTIFS(Bets3[Date],L142,Bets3[Result],"L")&amp;IF(COUNTIFS(Bets3[Date],L142,Bets3[Result],"Push")&gt;0,"-"&amp;COUNTIFS(Bets3[Date],L142,Bets3[Result],"Push"),"")</f>
        <v>0-0</v>
      </c>
      <c r="N142" s="25" t="str">
        <f>IFERROR(COUNTIFS(Bets3[Date],L142,Bets3[Result],"W")/(COUNTIFS(Bets3[Date],L142,Bets3[Result],"W")+COUNTIFS(Bets3[Date],L142,Bets3[Result],"L")),"")</f>
        <v/>
      </c>
      <c r="O142" s="26">
        <f>SUMIF(Bets3[Date],L142,Bets3[Net])</f>
        <v>0</v>
      </c>
      <c r="P142" s="27" t="str">
        <f>IFERROR("("&amp;ROUND((SUMIF(Bets3[Date],L142,Bets3[Net])-SUMIF(Bets3[Date],L142,Bets3[Risk]))/SUMIF(Bets3[Date],L142,Bets3[Risk]),2)*100&amp;"%)","")</f>
        <v/>
      </c>
      <c r="Q142" s="72" t="str">
        <f t="shared" si="8"/>
        <v/>
      </c>
      <c r="R142" s="73" t="str">
        <f>IFERROR(SUMIF(Bets3[Date],"&lt;="&amp;L142,Bets3[Net])/SUMIF(Bets3[Date],"&lt;="&amp;L142,Bets3[Risk]),"")</f>
        <v/>
      </c>
    </row>
    <row r="143" spans="1:18" x14ac:dyDescent="0.25">
      <c r="A143" s="13">
        <f t="shared" si="6"/>
        <v>12</v>
      </c>
      <c r="B143" s="17">
        <v>43595</v>
      </c>
      <c r="C143" s="17" t="s">
        <v>802</v>
      </c>
      <c r="D143" s="18" t="s">
        <v>1224</v>
      </c>
      <c r="E143" s="11" t="s">
        <v>822</v>
      </c>
      <c r="F143" s="19">
        <f>IF(Bets35[[#This Row],[Odds]]&lt;0,Bets35[[#This Row],[Odds]]/-10,1000/Bets3[[#This Row],[Odds]])</f>
        <v>14.5</v>
      </c>
      <c r="G143" s="37">
        <v>-145</v>
      </c>
      <c r="H143" s="37" t="s">
        <v>263</v>
      </c>
      <c r="I143" s="45">
        <f>IF(Bets3[[#This Row],[Result]]="L",0-Bets3[[#This Row],[Risk]],IF(Bets3[[#This Row],[Result]]="Push",0,IF(Bets3[[#This Row],[Result]]="No Action",0,IF(Bets3[[#This Row],[Result]]="W",IF(Bets3[[#This Row],[Odds]]&gt;0,Bets3[[#This Row],[Odds]]/100*Bets3[[#This Row],[Risk]],(Bets3[[#This Row],[Risk]]/Bets3[[#This Row],[Odds]]*-100)),""))))</f>
        <v>-14.5</v>
      </c>
      <c r="J143" s="39" t="str">
        <f>IF(ISNUMBER(SEARCH(CHAR(10),Bets3[[#This Row],[Bet]])),"P",IF(ISNUMBER(FIND("Under",Bets3[[#This Row],[Bet]])),"U",IF(ISNUMBER(SEARCH("Over",Bets3[[#This Row],[Bet]])),"O",IF(ISNUMBER(SEARCH("+",Bets3[[#This Row],[Bet]])),"D",IF(ISNUMBER(SEARCH("-",Bets3[[#This Row],[Bet]])),"F",IF(ISNUMBER(SEARCH("Moneyline",Bets3[[#This Row],[Bet]])),IF(Bets3[[#This Row],[Odds]]&lt;0,"MF","MD"),""))))))</f>
        <v>MF</v>
      </c>
      <c r="K143"/>
      <c r="L143" s="24">
        <f t="shared" si="7"/>
        <v>0</v>
      </c>
      <c r="M143" s="1" t="str">
        <f>COUNTIFS(Bets3[Date],L143,Bets3[Result],"W")&amp;"-"&amp;COUNTIFS(Bets3[Date],L143,Bets3[Result],"L")&amp;IF(COUNTIFS(Bets3[Date],L143,Bets3[Result],"Push")&gt;0,"-"&amp;COUNTIFS(Bets3[Date],L143,Bets3[Result],"Push"),"")</f>
        <v>0-0</v>
      </c>
      <c r="N143" s="25" t="str">
        <f>IFERROR(COUNTIFS(Bets3[Date],L143,Bets3[Result],"W")/(COUNTIFS(Bets3[Date],L143,Bets3[Result],"W")+COUNTIFS(Bets3[Date],L143,Bets3[Result],"L")),"")</f>
        <v/>
      </c>
      <c r="O143" s="26">
        <f>SUMIF(Bets3[Date],L143,Bets3[Net])</f>
        <v>0</v>
      </c>
      <c r="P143" s="27" t="str">
        <f>IFERROR("("&amp;ROUND((SUMIF(Bets3[Date],L143,Bets3[Net])-SUMIF(Bets3[Date],L143,Bets3[Risk]))/SUMIF(Bets3[Date],L143,Bets3[Risk]),2)*100&amp;"%)","")</f>
        <v/>
      </c>
      <c r="Q143" s="72" t="str">
        <f t="shared" si="8"/>
        <v/>
      </c>
      <c r="R143" s="73" t="str">
        <f>IFERROR(SUMIF(Bets3[Date],"&lt;="&amp;L143,Bets3[Net])/SUMIF(Bets3[Date],"&lt;="&amp;L143,Bets3[Risk]),"")</f>
        <v/>
      </c>
    </row>
    <row r="144" spans="1:18" x14ac:dyDescent="0.25">
      <c r="A144" s="13">
        <f t="shared" si="6"/>
        <v>12</v>
      </c>
      <c r="B144" s="17">
        <v>43595</v>
      </c>
      <c r="C144" s="17" t="s">
        <v>802</v>
      </c>
      <c r="D144" s="18" t="s">
        <v>1225</v>
      </c>
      <c r="E144" s="11" t="s">
        <v>834</v>
      </c>
      <c r="F144" s="19">
        <f>IF(Bets35[[#This Row],[Odds]]&lt;0,Bets35[[#This Row],[Odds]]/-10,1000/Bets3[[#This Row],[Odds]])</f>
        <v>16</v>
      </c>
      <c r="G144" s="37">
        <v>-160</v>
      </c>
      <c r="H144" s="21" t="s">
        <v>262</v>
      </c>
      <c r="I144" s="45">
        <f>IF(Bets3[[#This Row],[Result]]="L",0-Bets3[[#This Row],[Risk]],IF(Bets3[[#This Row],[Result]]="Push",0,IF(Bets3[[#This Row],[Result]]="No Action",0,IF(Bets3[[#This Row],[Result]]="W",IF(Bets3[[#This Row],[Odds]]&gt;0,Bets3[[#This Row],[Odds]]/100*Bets3[[#This Row],[Risk]],(Bets3[[#This Row],[Risk]]/Bets3[[#This Row],[Odds]]*-100)),""))))</f>
        <v>10</v>
      </c>
      <c r="J144" s="39" t="str">
        <f>IF(ISNUMBER(SEARCH(CHAR(10),Bets3[[#This Row],[Bet]])),"P",IF(ISNUMBER(FIND("Under",Bets3[[#This Row],[Bet]])),"U",IF(ISNUMBER(SEARCH("Over",Bets3[[#This Row],[Bet]])),"O",IF(ISNUMBER(SEARCH("+",Bets3[[#This Row],[Bet]])),"D",IF(ISNUMBER(SEARCH("-",Bets3[[#This Row],[Bet]])),"F",IF(ISNUMBER(SEARCH("Moneyline",Bets3[[#This Row],[Bet]])),IF(Bets3[[#This Row],[Odds]]&lt;0,"MF","MD"),""))))))</f>
        <v>MF</v>
      </c>
      <c r="K144"/>
      <c r="L144" s="24">
        <f t="shared" si="7"/>
        <v>0</v>
      </c>
      <c r="M144" s="1" t="str">
        <f>COUNTIFS(Bets3[Date],L144,Bets3[Result],"W")&amp;"-"&amp;COUNTIFS(Bets3[Date],L144,Bets3[Result],"L")&amp;IF(COUNTIFS(Bets3[Date],L144,Bets3[Result],"Push")&gt;0,"-"&amp;COUNTIFS(Bets3[Date],L144,Bets3[Result],"Push"),"")</f>
        <v>0-0</v>
      </c>
      <c r="N144" s="25" t="str">
        <f>IFERROR(COUNTIFS(Bets3[Date],L144,Bets3[Result],"W")/(COUNTIFS(Bets3[Date],L144,Bets3[Result],"W")+COUNTIFS(Bets3[Date],L144,Bets3[Result],"L")),"")</f>
        <v/>
      </c>
      <c r="O144" s="26">
        <f>SUMIF(Bets3[Date],L144,Bets3[Net])</f>
        <v>0</v>
      </c>
      <c r="P144" s="27" t="str">
        <f>IFERROR("("&amp;ROUND((SUMIF(Bets3[Date],L144,Bets3[Net])-SUMIF(Bets3[Date],L144,Bets3[Risk]))/SUMIF(Bets3[Date],L144,Bets3[Risk]),2)*100&amp;"%)","")</f>
        <v/>
      </c>
      <c r="Q144" s="72" t="str">
        <f t="shared" si="8"/>
        <v/>
      </c>
      <c r="R144" s="73" t="str">
        <f>IFERROR(SUMIF(Bets3[Date],"&lt;="&amp;L144,Bets3[Net])/SUMIF(Bets3[Date],"&lt;="&amp;L144,Bets3[Risk]),"")</f>
        <v/>
      </c>
    </row>
    <row r="145" spans="1:18" x14ac:dyDescent="0.25">
      <c r="A145" s="13">
        <f t="shared" si="6"/>
        <v>12</v>
      </c>
      <c r="B145" s="17">
        <v>43595</v>
      </c>
      <c r="C145" s="17" t="s">
        <v>802</v>
      </c>
      <c r="D145" s="18" t="s">
        <v>1226</v>
      </c>
      <c r="E145" s="11" t="s">
        <v>1166</v>
      </c>
      <c r="F145" s="19">
        <f>IF(Bets35[[#This Row],[Odds]]&lt;0,Bets35[[#This Row],[Odds]]/-10,1000/Bets3[[#This Row],[Odds]])</f>
        <v>14</v>
      </c>
      <c r="G145" s="37">
        <v>-140</v>
      </c>
      <c r="H145" s="21" t="s">
        <v>262</v>
      </c>
      <c r="I145" s="45">
        <f>IF(Bets3[[#This Row],[Result]]="L",0-Bets3[[#This Row],[Risk]],IF(Bets3[[#This Row],[Result]]="Push",0,IF(Bets3[[#This Row],[Result]]="No Action",0,IF(Bets3[[#This Row],[Result]]="W",IF(Bets3[[#This Row],[Odds]]&gt;0,Bets3[[#This Row],[Odds]]/100*Bets3[[#This Row],[Risk]],(Bets3[[#This Row],[Risk]]/Bets3[[#This Row],[Odds]]*-100)),""))))</f>
        <v>10</v>
      </c>
      <c r="J145" s="39" t="str">
        <f>IF(ISNUMBER(SEARCH(CHAR(10),Bets3[[#This Row],[Bet]])),"P",IF(ISNUMBER(FIND("Under",Bets3[[#This Row],[Bet]])),"U",IF(ISNUMBER(SEARCH("Over",Bets3[[#This Row],[Bet]])),"O",IF(ISNUMBER(SEARCH("+",Bets3[[#This Row],[Bet]])),"D",IF(ISNUMBER(SEARCH("-",Bets3[[#This Row],[Bet]])),"F",IF(ISNUMBER(SEARCH("Moneyline",Bets3[[#This Row],[Bet]])),IF(Bets3[[#This Row],[Odds]]&lt;0,"MF","MD"),""))))))</f>
        <v>MF</v>
      </c>
      <c r="K145"/>
      <c r="L145" s="24">
        <f t="shared" si="7"/>
        <v>0</v>
      </c>
      <c r="M145" s="1" t="str">
        <f>COUNTIFS(Bets3[Date],L145,Bets3[Result],"W")&amp;"-"&amp;COUNTIFS(Bets3[Date],L145,Bets3[Result],"L")&amp;IF(COUNTIFS(Bets3[Date],L145,Bets3[Result],"Push")&gt;0,"-"&amp;COUNTIFS(Bets3[Date],L145,Bets3[Result],"Push"),"")</f>
        <v>0-0</v>
      </c>
      <c r="N145" s="25" t="str">
        <f>IFERROR(COUNTIFS(Bets3[Date],L145,Bets3[Result],"W")/(COUNTIFS(Bets3[Date],L145,Bets3[Result],"W")+COUNTIFS(Bets3[Date],L145,Bets3[Result],"L")),"")</f>
        <v/>
      </c>
      <c r="O145" s="26">
        <f>SUMIF(Bets3[Date],L145,Bets3[Net])</f>
        <v>0</v>
      </c>
      <c r="P145" s="27" t="str">
        <f>IFERROR("("&amp;ROUND((SUMIF(Bets3[Date],L145,Bets3[Net])-SUMIF(Bets3[Date],L145,Bets3[Risk]))/SUMIF(Bets3[Date],L145,Bets3[Risk]),2)*100&amp;"%)","")</f>
        <v/>
      </c>
      <c r="Q145" s="72" t="str">
        <f t="shared" si="8"/>
        <v/>
      </c>
      <c r="R145" s="73" t="str">
        <f>IFERROR(SUMIF(Bets3[Date],"&lt;="&amp;L145,Bets3[Net])/SUMIF(Bets3[Date],"&lt;="&amp;L145,Bets3[Risk]),"")</f>
        <v/>
      </c>
    </row>
    <row r="146" spans="1:18" x14ac:dyDescent="0.25">
      <c r="A146" s="13">
        <f t="shared" si="6"/>
        <v>12</v>
      </c>
      <c r="B146" s="17">
        <v>43595</v>
      </c>
      <c r="C146" s="17" t="s">
        <v>802</v>
      </c>
      <c r="D146" s="18" t="s">
        <v>1227</v>
      </c>
      <c r="E146" s="11" t="s">
        <v>931</v>
      </c>
      <c r="F146" s="19">
        <f>IF(Bets35[[#This Row],[Odds]]&lt;0,Bets35[[#This Row],[Odds]]/-10,1000/Bets3[[#This Row],[Odds]])</f>
        <v>10.5</v>
      </c>
      <c r="G146" s="37">
        <v>-105</v>
      </c>
      <c r="H146" s="21" t="s">
        <v>263</v>
      </c>
      <c r="I146" s="45">
        <f>IF(Bets3[[#This Row],[Result]]="L",0-Bets3[[#This Row],[Risk]],IF(Bets3[[#This Row],[Result]]="Push",0,IF(Bets3[[#This Row],[Result]]="No Action",0,IF(Bets3[[#This Row],[Result]]="W",IF(Bets3[[#This Row],[Odds]]&gt;0,Bets3[[#This Row],[Odds]]/100*Bets3[[#This Row],[Risk]],(Bets3[[#This Row],[Risk]]/Bets3[[#This Row],[Odds]]*-100)),""))))</f>
        <v>-10.5</v>
      </c>
      <c r="J146" s="39" t="str">
        <f>IF(ISNUMBER(SEARCH(CHAR(10),Bets3[[#This Row],[Bet]])),"P",IF(ISNUMBER(FIND("Under",Bets3[[#This Row],[Bet]])),"U",IF(ISNUMBER(SEARCH("Over",Bets3[[#This Row],[Bet]])),"O",IF(ISNUMBER(SEARCH("+",Bets3[[#This Row],[Bet]])),"D",IF(ISNUMBER(SEARCH("-",Bets3[[#This Row],[Bet]])),"F",IF(ISNUMBER(SEARCH("Moneyline",Bets3[[#This Row],[Bet]])),IF(Bets3[[#This Row],[Odds]]&lt;0,"MF","MD"),""))))))</f>
        <v>O</v>
      </c>
      <c r="K146"/>
      <c r="L146" s="24">
        <f t="shared" si="7"/>
        <v>0</v>
      </c>
      <c r="M146" s="1" t="str">
        <f>COUNTIFS(Bets3[Date],L146,Bets3[Result],"W")&amp;"-"&amp;COUNTIFS(Bets3[Date],L146,Bets3[Result],"L")&amp;IF(COUNTIFS(Bets3[Date],L146,Bets3[Result],"Push")&gt;0,"-"&amp;COUNTIFS(Bets3[Date],L146,Bets3[Result],"Push"),"")</f>
        <v>0-0</v>
      </c>
      <c r="N146" s="25" t="str">
        <f>IFERROR(COUNTIFS(Bets3[Date],L146,Bets3[Result],"W")/(COUNTIFS(Bets3[Date],L146,Bets3[Result],"W")+COUNTIFS(Bets3[Date],L146,Bets3[Result],"L")),"")</f>
        <v/>
      </c>
      <c r="O146" s="26">
        <f>SUMIF(Bets3[Date],L146,Bets3[Net])</f>
        <v>0</v>
      </c>
      <c r="P146" s="27" t="str">
        <f>IFERROR("("&amp;ROUND((SUMIF(Bets3[Date],L146,Bets3[Net])-SUMIF(Bets3[Date],L146,Bets3[Risk]))/SUMIF(Bets3[Date],L146,Bets3[Risk]),2)*100&amp;"%)","")</f>
        <v/>
      </c>
      <c r="Q146" s="72" t="str">
        <f t="shared" si="8"/>
        <v/>
      </c>
      <c r="R146" s="73" t="str">
        <f>IFERROR(SUMIF(Bets3[Date],"&lt;="&amp;L146,Bets3[Net])/SUMIF(Bets3[Date],"&lt;="&amp;L146,Bets3[Risk]),"")</f>
        <v/>
      </c>
    </row>
    <row r="147" spans="1:18" x14ac:dyDescent="0.25">
      <c r="A147" s="13">
        <f t="shared" si="6"/>
        <v>12</v>
      </c>
      <c r="B147" s="17">
        <v>43595</v>
      </c>
      <c r="C147" s="17" t="s">
        <v>802</v>
      </c>
      <c r="D147" s="18" t="s">
        <v>1228</v>
      </c>
      <c r="E147" s="11" t="s">
        <v>845</v>
      </c>
      <c r="F147" s="19">
        <f>IF(Bets35[[#This Row],[Odds]]&lt;0,Bets35[[#This Row],[Odds]]/-10,1000/Bets3[[#This Row],[Odds]])</f>
        <v>10.5</v>
      </c>
      <c r="G147" s="37">
        <v>-105</v>
      </c>
      <c r="H147" s="21" t="s">
        <v>263</v>
      </c>
      <c r="I147" s="45">
        <f>IF(Bets3[[#This Row],[Result]]="L",0-Bets3[[#This Row],[Risk]],IF(Bets3[[#This Row],[Result]]="Push",0,IF(Bets3[[#This Row],[Result]]="No Action",0,IF(Bets3[[#This Row],[Result]]="W",IF(Bets3[[#This Row],[Odds]]&gt;0,Bets3[[#This Row],[Odds]]/100*Bets3[[#This Row],[Risk]],(Bets3[[#This Row],[Risk]]/Bets3[[#This Row],[Odds]]*-100)),""))))</f>
        <v>-10.5</v>
      </c>
      <c r="J147" s="39" t="str">
        <f>IF(ISNUMBER(SEARCH(CHAR(10),Bets3[[#This Row],[Bet]])),"P",IF(ISNUMBER(FIND("Under",Bets3[[#This Row],[Bet]])),"U",IF(ISNUMBER(SEARCH("Over",Bets3[[#This Row],[Bet]])),"O",IF(ISNUMBER(SEARCH("+",Bets3[[#This Row],[Bet]])),"D",IF(ISNUMBER(SEARCH("-",Bets3[[#This Row],[Bet]])),"F",IF(ISNUMBER(SEARCH("Moneyline",Bets3[[#This Row],[Bet]])),IF(Bets3[[#This Row],[Odds]]&lt;0,"MF","MD"),""))))))</f>
        <v>O</v>
      </c>
      <c r="K147"/>
      <c r="L147" s="24">
        <f t="shared" si="7"/>
        <v>0</v>
      </c>
      <c r="M147" s="1" t="str">
        <f>COUNTIFS(Bets3[Date],L147,Bets3[Result],"W")&amp;"-"&amp;COUNTIFS(Bets3[Date],L147,Bets3[Result],"L")&amp;IF(COUNTIFS(Bets3[Date],L147,Bets3[Result],"Push")&gt;0,"-"&amp;COUNTIFS(Bets3[Date],L147,Bets3[Result],"Push"),"")</f>
        <v>0-0</v>
      </c>
      <c r="N147" s="25" t="str">
        <f>IFERROR(COUNTIFS(Bets3[Date],L147,Bets3[Result],"W")/(COUNTIFS(Bets3[Date],L147,Bets3[Result],"W")+COUNTIFS(Bets3[Date],L147,Bets3[Result],"L")),"")</f>
        <v/>
      </c>
      <c r="O147" s="26">
        <f>SUMIF(Bets3[Date],L147,Bets3[Net])</f>
        <v>0</v>
      </c>
      <c r="P147" s="27" t="str">
        <f>IFERROR("("&amp;ROUND((SUMIF(Bets3[Date],L147,Bets3[Net])-SUMIF(Bets3[Date],L147,Bets3[Risk]))/SUMIF(Bets3[Date],L147,Bets3[Risk]),2)*100&amp;"%)","")</f>
        <v/>
      </c>
      <c r="Q147" s="72" t="str">
        <f t="shared" si="8"/>
        <v/>
      </c>
      <c r="R147" s="73" t="str">
        <f>IFERROR(SUMIF(Bets3[Date],"&lt;="&amp;L147,Bets3[Net])/SUMIF(Bets3[Date],"&lt;="&amp;L147,Bets3[Risk]),"")</f>
        <v/>
      </c>
    </row>
    <row r="148" spans="1:18" x14ac:dyDescent="0.25">
      <c r="A148" s="13">
        <f t="shared" si="6"/>
        <v>12</v>
      </c>
      <c r="B148" s="17">
        <v>43595</v>
      </c>
      <c r="C148" s="17" t="s">
        <v>802</v>
      </c>
      <c r="D148" s="18" t="s">
        <v>1229</v>
      </c>
      <c r="E148" s="11" t="s">
        <v>1209</v>
      </c>
      <c r="F148" s="19">
        <f>IF(Bets35[[#This Row],[Odds]]&lt;0,Bets35[[#This Row],[Odds]]/-10,1000/Bets3[[#This Row],[Odds]])</f>
        <v>11.5</v>
      </c>
      <c r="G148" s="37">
        <v>-115</v>
      </c>
      <c r="H148" s="21" t="s">
        <v>263</v>
      </c>
      <c r="I148" s="45">
        <f>IF(Bets3[[#This Row],[Result]]="L",0-Bets3[[#This Row],[Risk]],IF(Bets3[[#This Row],[Result]]="Push",0,IF(Bets3[[#This Row],[Result]]="No Action",0,IF(Bets3[[#This Row],[Result]]="W",IF(Bets3[[#This Row],[Odds]]&gt;0,Bets3[[#This Row],[Odds]]/100*Bets3[[#This Row],[Risk]],(Bets3[[#This Row],[Risk]]/Bets3[[#This Row],[Odds]]*-100)),""))))</f>
        <v>-11.5</v>
      </c>
      <c r="J148" s="39" t="str">
        <f>IF(ISNUMBER(SEARCH(CHAR(10),Bets3[[#This Row],[Bet]])),"P",IF(ISNUMBER(FIND("Under",Bets3[[#This Row],[Bet]])),"U",IF(ISNUMBER(SEARCH("Over",Bets3[[#This Row],[Bet]])),"O",IF(ISNUMBER(SEARCH("+",Bets3[[#This Row],[Bet]])),"D",IF(ISNUMBER(SEARCH("-",Bets3[[#This Row],[Bet]])),"F",IF(ISNUMBER(SEARCH("Moneyline",Bets3[[#This Row],[Bet]])),IF(Bets3[[#This Row],[Odds]]&lt;0,"MF","MD"),""))))))</f>
        <v>U</v>
      </c>
      <c r="K148"/>
      <c r="L148" s="24">
        <f t="shared" si="7"/>
        <v>0</v>
      </c>
      <c r="M148" s="1" t="str">
        <f>COUNTIFS(Bets3[Date],L148,Bets3[Result],"W")&amp;"-"&amp;COUNTIFS(Bets3[Date],L148,Bets3[Result],"L")&amp;IF(COUNTIFS(Bets3[Date],L148,Bets3[Result],"Push")&gt;0,"-"&amp;COUNTIFS(Bets3[Date],L148,Bets3[Result],"Push"),"")</f>
        <v>0-0</v>
      </c>
      <c r="N148" s="25" t="str">
        <f>IFERROR(COUNTIFS(Bets3[Date],L148,Bets3[Result],"W")/(COUNTIFS(Bets3[Date],L148,Bets3[Result],"W")+COUNTIFS(Bets3[Date],L148,Bets3[Result],"L")),"")</f>
        <v/>
      </c>
      <c r="O148" s="26">
        <f>SUMIF(Bets3[Date],L148,Bets3[Net])</f>
        <v>0</v>
      </c>
      <c r="P148" s="27" t="str">
        <f>IFERROR("("&amp;ROUND((SUMIF(Bets3[Date],L148,Bets3[Net])-SUMIF(Bets3[Date],L148,Bets3[Risk]))/SUMIF(Bets3[Date],L148,Bets3[Risk]),2)*100&amp;"%)","")</f>
        <v/>
      </c>
      <c r="Q148" s="72" t="str">
        <f t="shared" si="8"/>
        <v/>
      </c>
      <c r="R148" s="73" t="str">
        <f>IFERROR(SUMIF(Bets3[Date],"&lt;="&amp;L148,Bets3[Net])/SUMIF(Bets3[Date],"&lt;="&amp;L148,Bets3[Risk]),"")</f>
        <v/>
      </c>
    </row>
    <row r="149" spans="1:18" x14ac:dyDescent="0.25">
      <c r="A149" s="13">
        <f t="shared" si="6"/>
        <v>12</v>
      </c>
      <c r="B149" s="17">
        <v>43595</v>
      </c>
      <c r="C149" s="17" t="s">
        <v>802</v>
      </c>
      <c r="D149" s="18" t="s">
        <v>1215</v>
      </c>
      <c r="E149" s="11" t="s">
        <v>845</v>
      </c>
      <c r="F149" s="19">
        <f>IF(Bets35[[#This Row],[Odds]]&lt;0,Bets35[[#This Row],[Odds]]/-10,1000/Bets3[[#This Row],[Odds]])</f>
        <v>10</v>
      </c>
      <c r="G149" s="37">
        <v>100</v>
      </c>
      <c r="H149" s="21" t="s">
        <v>263</v>
      </c>
      <c r="I149" s="45">
        <f>IF(Bets3[[#This Row],[Result]]="L",0-Bets3[[#This Row],[Risk]],IF(Bets3[[#This Row],[Result]]="Push",0,IF(Bets3[[#This Row],[Result]]="No Action",0,IF(Bets3[[#This Row],[Result]]="W",IF(Bets3[[#This Row],[Odds]]&gt;0,Bets3[[#This Row],[Odds]]/100*Bets3[[#This Row],[Risk]],(Bets3[[#This Row],[Risk]]/Bets3[[#This Row],[Odds]]*-100)),""))))</f>
        <v>-10</v>
      </c>
      <c r="J149" s="39" t="str">
        <f>IF(ISNUMBER(SEARCH(CHAR(10),Bets3[[#This Row],[Bet]])),"P",IF(ISNUMBER(FIND("Under",Bets3[[#This Row],[Bet]])),"U",IF(ISNUMBER(SEARCH("Over",Bets3[[#This Row],[Bet]])),"O",IF(ISNUMBER(SEARCH("+",Bets3[[#This Row],[Bet]])),"D",IF(ISNUMBER(SEARCH("-",Bets3[[#This Row],[Bet]])),"F",IF(ISNUMBER(SEARCH("Moneyline",Bets3[[#This Row],[Bet]])),IF(Bets3[[#This Row],[Odds]]&lt;0,"MF","MD"),""))))))</f>
        <v>O</v>
      </c>
      <c r="K149"/>
      <c r="L149" s="24">
        <f t="shared" si="7"/>
        <v>0</v>
      </c>
      <c r="M149" s="1" t="str">
        <f>COUNTIFS(Bets3[Date],L149,Bets3[Result],"W")&amp;"-"&amp;COUNTIFS(Bets3[Date],L149,Bets3[Result],"L")&amp;IF(COUNTIFS(Bets3[Date],L149,Bets3[Result],"Push")&gt;0,"-"&amp;COUNTIFS(Bets3[Date],L149,Bets3[Result],"Push"),"")</f>
        <v>0-0</v>
      </c>
      <c r="N149" s="25" t="str">
        <f>IFERROR(COUNTIFS(Bets3[Date],L149,Bets3[Result],"W")/(COUNTIFS(Bets3[Date],L149,Bets3[Result],"W")+COUNTIFS(Bets3[Date],L149,Bets3[Result],"L")),"")</f>
        <v/>
      </c>
      <c r="O149" s="26">
        <f>SUMIF(Bets3[Date],L149,Bets3[Net])</f>
        <v>0</v>
      </c>
      <c r="P149" s="27" t="str">
        <f>IFERROR("("&amp;ROUND((SUMIF(Bets3[Date],L149,Bets3[Net])-SUMIF(Bets3[Date],L149,Bets3[Risk]))/SUMIF(Bets3[Date],L149,Bets3[Risk]),2)*100&amp;"%)","")</f>
        <v/>
      </c>
      <c r="Q149" s="72" t="str">
        <f t="shared" si="8"/>
        <v/>
      </c>
      <c r="R149" s="73" t="str">
        <f>IFERROR(SUMIF(Bets3[Date],"&lt;="&amp;L149,Bets3[Net])/SUMIF(Bets3[Date],"&lt;="&amp;L149,Bets3[Risk]),"")</f>
        <v/>
      </c>
    </row>
    <row r="150" spans="1:18" x14ac:dyDescent="0.25">
      <c r="A150" s="13">
        <f t="shared" si="6"/>
        <v>12</v>
      </c>
      <c r="B150" s="17">
        <v>43595</v>
      </c>
      <c r="C150" s="17" t="s">
        <v>802</v>
      </c>
      <c r="D150" s="18" t="s">
        <v>1217</v>
      </c>
      <c r="E150" s="11" t="s">
        <v>931</v>
      </c>
      <c r="F150" s="19">
        <f>IF(Bets35[[#This Row],[Odds]]&lt;0,Bets35[[#This Row],[Odds]]/-10,1000/Bets3[[#This Row],[Odds]])</f>
        <v>12</v>
      </c>
      <c r="G150" s="37">
        <v>-120</v>
      </c>
      <c r="H150" s="21" t="s">
        <v>263</v>
      </c>
      <c r="I150" s="45">
        <f>IF(Bets3[[#This Row],[Result]]="L",0-Bets3[[#This Row],[Risk]],IF(Bets3[[#This Row],[Result]]="Push",0,IF(Bets3[[#This Row],[Result]]="No Action",0,IF(Bets3[[#This Row],[Result]]="W",IF(Bets3[[#This Row],[Odds]]&gt;0,Bets3[[#This Row],[Odds]]/100*Bets3[[#This Row],[Risk]],(Bets3[[#This Row],[Risk]]/Bets3[[#This Row],[Odds]]*-100)),""))))</f>
        <v>-12</v>
      </c>
      <c r="J150" s="39" t="str">
        <f>IF(ISNUMBER(SEARCH(CHAR(10),Bets3[[#This Row],[Bet]])),"P",IF(ISNUMBER(FIND("Under",Bets3[[#This Row],[Bet]])),"U",IF(ISNUMBER(SEARCH("Over",Bets3[[#This Row],[Bet]])),"O",IF(ISNUMBER(SEARCH("+",Bets3[[#This Row],[Bet]])),"D",IF(ISNUMBER(SEARCH("-",Bets3[[#This Row],[Bet]])),"F",IF(ISNUMBER(SEARCH("Moneyline",Bets3[[#This Row],[Bet]])),IF(Bets3[[#This Row],[Odds]]&lt;0,"MF","MD"),""))))))</f>
        <v>O</v>
      </c>
      <c r="K150"/>
      <c r="L150" s="24">
        <f t="shared" si="7"/>
        <v>0</v>
      </c>
      <c r="M150" s="1" t="str">
        <f>COUNTIFS(Bets3[Date],L150,Bets3[Result],"W")&amp;"-"&amp;COUNTIFS(Bets3[Date],L150,Bets3[Result],"L")&amp;IF(COUNTIFS(Bets3[Date],L150,Bets3[Result],"Push")&gt;0,"-"&amp;COUNTIFS(Bets3[Date],L150,Bets3[Result],"Push"),"")</f>
        <v>0-0</v>
      </c>
      <c r="N150" s="25" t="str">
        <f>IFERROR(COUNTIFS(Bets3[Date],L150,Bets3[Result],"W")/(COUNTIFS(Bets3[Date],L150,Bets3[Result],"W")+COUNTIFS(Bets3[Date],L150,Bets3[Result],"L")),"")</f>
        <v/>
      </c>
      <c r="O150" s="26">
        <f>SUMIF(Bets3[Date],L150,Bets3[Net])</f>
        <v>0</v>
      </c>
      <c r="P150" s="27" t="str">
        <f>IFERROR("("&amp;ROUND((SUMIF(Bets3[Date],L150,Bets3[Net])-SUMIF(Bets3[Date],L150,Bets3[Risk]))/SUMIF(Bets3[Date],L150,Bets3[Risk]),2)*100&amp;"%)","")</f>
        <v/>
      </c>
      <c r="Q150" s="72" t="str">
        <f t="shared" si="8"/>
        <v/>
      </c>
      <c r="R150" s="73" t="str">
        <f>IFERROR(SUMIF(Bets3[Date],"&lt;="&amp;L150,Bets3[Net])/SUMIF(Bets3[Date],"&lt;="&amp;L150,Bets3[Risk]),"")</f>
        <v/>
      </c>
    </row>
    <row r="151" spans="1:18" x14ac:dyDescent="0.25">
      <c r="A151" s="13">
        <f t="shared" si="6"/>
        <v>13</v>
      </c>
      <c r="B151" s="17">
        <v>43598</v>
      </c>
      <c r="C151" s="17" t="s">
        <v>802</v>
      </c>
      <c r="D151" s="18" t="s">
        <v>1239</v>
      </c>
      <c r="E151" s="11" t="s">
        <v>845</v>
      </c>
      <c r="F151" s="19">
        <f>IF(Bets35[[#This Row],[Odds]]&lt;0,Bets35[[#This Row],[Odds]]/-10,1000/Bets3[[#This Row],[Odds]])</f>
        <v>10</v>
      </c>
      <c r="G151" s="37">
        <v>100</v>
      </c>
      <c r="H151" s="21" t="s">
        <v>262</v>
      </c>
      <c r="I151" s="45">
        <f>IF(Bets3[[#This Row],[Result]]="L",0-Bets3[[#This Row],[Risk]],IF(Bets3[[#This Row],[Result]]="Push",0,IF(Bets3[[#This Row],[Result]]="No Action",0,IF(Bets3[[#This Row],[Result]]="W",IF(Bets3[[#This Row],[Odds]]&gt;0,Bets3[[#This Row],[Odds]]/100*Bets3[[#This Row],[Risk]],(Bets3[[#This Row],[Risk]]/Bets3[[#This Row],[Odds]]*-100)),""))))</f>
        <v>10</v>
      </c>
      <c r="J151" s="39" t="str">
        <f>IF(ISNUMBER(SEARCH(CHAR(10),Bets3[[#This Row],[Bet]])),"P",IF(ISNUMBER(FIND("Under",Bets3[[#This Row],[Bet]])),"U",IF(ISNUMBER(SEARCH("Over",Bets3[[#This Row],[Bet]])),"O",IF(ISNUMBER(SEARCH("+",Bets3[[#This Row],[Bet]])),"D",IF(ISNUMBER(SEARCH("-",Bets3[[#This Row],[Bet]])),"F",IF(ISNUMBER(SEARCH("Moneyline",Bets3[[#This Row],[Bet]])),IF(Bets3[[#This Row],[Odds]]&lt;0,"MF","MD"),""))))))</f>
        <v>O</v>
      </c>
      <c r="K151"/>
      <c r="L151" s="24">
        <f t="shared" si="7"/>
        <v>0</v>
      </c>
      <c r="M151" s="1" t="str">
        <f>COUNTIFS(Bets3[Date],L151,Bets3[Result],"W")&amp;"-"&amp;COUNTIFS(Bets3[Date],L151,Bets3[Result],"L")&amp;IF(COUNTIFS(Bets3[Date],L151,Bets3[Result],"Push")&gt;0,"-"&amp;COUNTIFS(Bets3[Date],L151,Bets3[Result],"Push"),"")</f>
        <v>0-0</v>
      </c>
      <c r="N151" s="25" t="str">
        <f>IFERROR(COUNTIFS(Bets3[Date],L151,Bets3[Result],"W")/(COUNTIFS(Bets3[Date],L151,Bets3[Result],"W")+COUNTIFS(Bets3[Date],L151,Bets3[Result],"L")),"")</f>
        <v/>
      </c>
      <c r="O151" s="26">
        <f>SUMIF(Bets3[Date],L151,Bets3[Net])</f>
        <v>0</v>
      </c>
      <c r="P151" s="27" t="str">
        <f>IFERROR("("&amp;ROUND((SUMIF(Bets3[Date],L151,Bets3[Net])-SUMIF(Bets3[Date],L151,Bets3[Risk]))/SUMIF(Bets3[Date],L151,Bets3[Risk]),2)*100&amp;"%)","")</f>
        <v/>
      </c>
      <c r="Q151" s="72" t="str">
        <f t="shared" si="8"/>
        <v/>
      </c>
      <c r="R151" s="73" t="str">
        <f>IFERROR(SUMIF(Bets3[Date],"&lt;="&amp;L151,Bets3[Net])/SUMIF(Bets3[Date],"&lt;="&amp;L151,Bets3[Risk]),"")</f>
        <v/>
      </c>
    </row>
    <row r="152" spans="1:18" x14ac:dyDescent="0.25">
      <c r="A152" s="13">
        <f t="shared" si="6"/>
        <v>13</v>
      </c>
      <c r="B152" s="17">
        <v>43598</v>
      </c>
      <c r="C152" s="17" t="s">
        <v>802</v>
      </c>
      <c r="D152" s="18" t="s">
        <v>1240</v>
      </c>
      <c r="E152" s="11" t="s">
        <v>897</v>
      </c>
      <c r="F152" s="19">
        <f>IF(Bets35[[#This Row],[Odds]]&lt;0,Bets35[[#This Row],[Odds]]/-10,1000/Bets3[[#This Row],[Odds]])</f>
        <v>15.7</v>
      </c>
      <c r="G152" s="37">
        <v>-157</v>
      </c>
      <c r="H152" s="21" t="s">
        <v>262</v>
      </c>
      <c r="I152" s="45">
        <f>IF(Bets3[[#This Row],[Result]]="L",0-Bets3[[#This Row],[Risk]],IF(Bets3[[#This Row],[Result]]="Push",0,IF(Bets3[[#This Row],[Result]]="No Action",0,IF(Bets3[[#This Row],[Result]]="W",IF(Bets3[[#This Row],[Odds]]&gt;0,Bets3[[#This Row],[Odds]]/100*Bets3[[#This Row],[Risk]],(Bets3[[#This Row],[Risk]]/Bets3[[#This Row],[Odds]]*-100)),""))))</f>
        <v>10</v>
      </c>
      <c r="J152" s="39" t="str">
        <f>IF(ISNUMBER(SEARCH(CHAR(10),Bets3[[#This Row],[Bet]])),"P",IF(ISNUMBER(FIND("Under",Bets3[[#This Row],[Bet]])),"U",IF(ISNUMBER(SEARCH("Over",Bets3[[#This Row],[Bet]])),"O",IF(ISNUMBER(SEARCH("+",Bets3[[#This Row],[Bet]])),"D",IF(ISNUMBER(SEARCH("-",Bets3[[#This Row],[Bet]])),"F",IF(ISNUMBER(SEARCH("Moneyline",Bets3[[#This Row],[Bet]])),IF(Bets3[[#This Row],[Odds]]&lt;0,"MF","MD"),""))))))</f>
        <v>MF</v>
      </c>
      <c r="K152"/>
      <c r="L152" s="24">
        <f t="shared" si="7"/>
        <v>0</v>
      </c>
      <c r="M152" s="1" t="str">
        <f>COUNTIFS(Bets3[Date],L152,Bets3[Result],"W")&amp;"-"&amp;COUNTIFS(Bets3[Date],L152,Bets3[Result],"L")&amp;IF(COUNTIFS(Bets3[Date],L152,Bets3[Result],"Push")&gt;0,"-"&amp;COUNTIFS(Bets3[Date],L152,Bets3[Result],"Push"),"")</f>
        <v>0-0</v>
      </c>
      <c r="N152" s="25" t="str">
        <f>IFERROR(COUNTIFS(Bets3[Date],L152,Bets3[Result],"W")/(COUNTIFS(Bets3[Date],L152,Bets3[Result],"W")+COUNTIFS(Bets3[Date],L152,Bets3[Result],"L")),"")</f>
        <v/>
      </c>
      <c r="O152" s="26">
        <f>SUMIF(Bets3[Date],L152,Bets3[Net])</f>
        <v>0</v>
      </c>
      <c r="P152" s="27" t="str">
        <f>IFERROR("("&amp;ROUND((SUMIF(Bets3[Date],L152,Bets3[Net])-SUMIF(Bets3[Date],L152,Bets3[Risk]))/SUMIF(Bets3[Date],L152,Bets3[Risk]),2)*100&amp;"%)","")</f>
        <v/>
      </c>
      <c r="Q152" s="72" t="str">
        <f t="shared" si="8"/>
        <v/>
      </c>
      <c r="R152" s="73" t="str">
        <f>IFERROR(SUMIF(Bets3[Date],"&lt;="&amp;L152,Bets3[Net])/SUMIF(Bets3[Date],"&lt;="&amp;L152,Bets3[Risk]),"")</f>
        <v/>
      </c>
    </row>
    <row r="153" spans="1:18" x14ac:dyDescent="0.25">
      <c r="A153" s="13">
        <f t="shared" si="6"/>
        <v>13</v>
      </c>
      <c r="B153" s="17">
        <v>43598</v>
      </c>
      <c r="C153" s="17" t="s">
        <v>802</v>
      </c>
      <c r="D153" s="18" t="s">
        <v>1240</v>
      </c>
      <c r="E153" s="11" t="s">
        <v>877</v>
      </c>
      <c r="F153" s="19">
        <f>IF(Bets35[[#This Row],[Odds]]&lt;0,Bets35[[#This Row],[Odds]]/-10,1000/Bets3[[#This Row],[Odds]])</f>
        <v>10.5</v>
      </c>
      <c r="G153" s="37">
        <v>-105</v>
      </c>
      <c r="H153" s="21" t="s">
        <v>263</v>
      </c>
      <c r="I153" s="45">
        <f>IF(Bets3[[#This Row],[Result]]="L",0-Bets3[[#This Row],[Risk]],IF(Bets3[[#This Row],[Result]]="Push",0,IF(Bets3[[#This Row],[Result]]="No Action",0,IF(Bets3[[#This Row],[Result]]="W",IF(Bets3[[#This Row],[Odds]]&gt;0,Bets3[[#This Row],[Odds]]/100*Bets3[[#This Row],[Risk]],(Bets3[[#This Row],[Risk]]/Bets3[[#This Row],[Odds]]*-100)),""))))</f>
        <v>-10.5</v>
      </c>
      <c r="J153" s="39" t="str">
        <f>IF(ISNUMBER(SEARCH(CHAR(10),Bets3[[#This Row],[Bet]])),"P",IF(ISNUMBER(FIND("Under",Bets3[[#This Row],[Bet]])),"U",IF(ISNUMBER(SEARCH("Over",Bets3[[#This Row],[Bet]])),"O",IF(ISNUMBER(SEARCH("+",Bets3[[#This Row],[Bet]])),"D",IF(ISNUMBER(SEARCH("-",Bets3[[#This Row],[Bet]])),"F",IF(ISNUMBER(SEARCH("Moneyline",Bets3[[#This Row],[Bet]])),IF(Bets3[[#This Row],[Odds]]&lt;0,"MF","MD"),""))))))</f>
        <v>U</v>
      </c>
      <c r="K153"/>
      <c r="L153" s="24">
        <f t="shared" si="7"/>
        <v>0</v>
      </c>
      <c r="M153" s="1" t="str">
        <f>COUNTIFS(Bets3[Date],L153,Bets3[Result],"W")&amp;"-"&amp;COUNTIFS(Bets3[Date],L153,Bets3[Result],"L")&amp;IF(COUNTIFS(Bets3[Date],L153,Bets3[Result],"Push")&gt;0,"-"&amp;COUNTIFS(Bets3[Date],L153,Bets3[Result],"Push"),"")</f>
        <v>0-0</v>
      </c>
      <c r="N153" s="25" t="str">
        <f>IFERROR(COUNTIFS(Bets3[Date],L153,Bets3[Result],"W")/(COUNTIFS(Bets3[Date],L153,Bets3[Result],"W")+COUNTIFS(Bets3[Date],L153,Bets3[Result],"L")),"")</f>
        <v/>
      </c>
      <c r="O153" s="26">
        <f>SUMIF(Bets3[Date],L153,Bets3[Net])</f>
        <v>0</v>
      </c>
      <c r="P153" s="27" t="str">
        <f>IFERROR("("&amp;ROUND((SUMIF(Bets3[Date],L153,Bets3[Net])-SUMIF(Bets3[Date],L153,Bets3[Risk]))/SUMIF(Bets3[Date],L153,Bets3[Risk]),2)*100&amp;"%)","")</f>
        <v/>
      </c>
      <c r="Q153" s="72" t="str">
        <f t="shared" si="8"/>
        <v/>
      </c>
      <c r="R153" s="73" t="str">
        <f>IFERROR(SUMIF(Bets3[Date],"&lt;="&amp;L153,Bets3[Net])/SUMIF(Bets3[Date],"&lt;="&amp;L153,Bets3[Risk]),"")</f>
        <v/>
      </c>
    </row>
    <row r="154" spans="1:18" x14ac:dyDescent="0.25">
      <c r="A154" s="13">
        <f t="shared" si="6"/>
        <v>13</v>
      </c>
      <c r="B154" s="17">
        <v>43598</v>
      </c>
      <c r="C154" s="17" t="s">
        <v>802</v>
      </c>
      <c r="D154" s="18" t="s">
        <v>1241</v>
      </c>
      <c r="E154" s="11" t="s">
        <v>1178</v>
      </c>
      <c r="F154" s="19">
        <f>IF(Bets35[[#This Row],[Odds]]&lt;0,Bets35[[#This Row],[Odds]]/-10,1000/Bets3[[#This Row],[Odds]])</f>
        <v>13.9</v>
      </c>
      <c r="G154" s="37">
        <v>-139</v>
      </c>
      <c r="H154" s="21" t="s">
        <v>263</v>
      </c>
      <c r="I154" s="45">
        <f>IF(Bets3[[#This Row],[Result]]="L",0-Bets3[[#This Row],[Risk]],IF(Bets3[[#This Row],[Result]]="Push",0,IF(Bets3[[#This Row],[Result]]="No Action",0,IF(Bets3[[#This Row],[Result]]="W",IF(Bets3[[#This Row],[Odds]]&gt;0,Bets3[[#This Row],[Odds]]/100*Bets3[[#This Row],[Risk]],(Bets3[[#This Row],[Risk]]/Bets3[[#This Row],[Odds]]*-100)),""))))</f>
        <v>-13.9</v>
      </c>
      <c r="J154" s="39" t="str">
        <f>IF(ISNUMBER(SEARCH(CHAR(10),Bets3[[#This Row],[Bet]])),"P",IF(ISNUMBER(FIND("Under",Bets3[[#This Row],[Bet]])),"U",IF(ISNUMBER(SEARCH("Over",Bets3[[#This Row],[Bet]])),"O",IF(ISNUMBER(SEARCH("+",Bets3[[#This Row],[Bet]])),"D",IF(ISNUMBER(SEARCH("-",Bets3[[#This Row],[Bet]])),"F",IF(ISNUMBER(SEARCH("Moneyline",Bets3[[#This Row],[Bet]])),IF(Bets3[[#This Row],[Odds]]&lt;0,"MF","MD"),""))))))</f>
        <v>MF</v>
      </c>
      <c r="K154"/>
      <c r="L154" s="24">
        <f t="shared" si="7"/>
        <v>0</v>
      </c>
      <c r="M154" s="1" t="str">
        <f>COUNTIFS(Bets3[Date],L154,Bets3[Result],"W")&amp;"-"&amp;COUNTIFS(Bets3[Date],L154,Bets3[Result],"L")&amp;IF(COUNTIFS(Bets3[Date],L154,Bets3[Result],"Push")&gt;0,"-"&amp;COUNTIFS(Bets3[Date],L154,Bets3[Result],"Push"),"")</f>
        <v>0-0</v>
      </c>
      <c r="N154" s="25" t="str">
        <f>IFERROR(COUNTIFS(Bets3[Date],L154,Bets3[Result],"W")/(COUNTIFS(Bets3[Date],L154,Bets3[Result],"W")+COUNTIFS(Bets3[Date],L154,Bets3[Result],"L")),"")</f>
        <v/>
      </c>
      <c r="O154" s="26">
        <f>SUMIF(Bets3[Date],L154,Bets3[Net])</f>
        <v>0</v>
      </c>
      <c r="P154" s="27" t="str">
        <f>IFERROR("("&amp;ROUND((SUMIF(Bets3[Date],L154,Bets3[Net])-SUMIF(Bets3[Date],L154,Bets3[Risk]))/SUMIF(Bets3[Date],L154,Bets3[Risk]),2)*100&amp;"%)","")</f>
        <v/>
      </c>
      <c r="Q154" s="72" t="str">
        <f t="shared" si="8"/>
        <v/>
      </c>
      <c r="R154" s="73" t="str">
        <f>IFERROR(SUMIF(Bets3[Date],"&lt;="&amp;L154,Bets3[Net])/SUMIF(Bets3[Date],"&lt;="&amp;L154,Bets3[Risk]),"")</f>
        <v/>
      </c>
    </row>
    <row r="155" spans="1:18" x14ac:dyDescent="0.25">
      <c r="A155" s="13">
        <f t="shared" si="6"/>
        <v>13</v>
      </c>
      <c r="B155" s="17">
        <v>43598</v>
      </c>
      <c r="C155" s="17" t="s">
        <v>802</v>
      </c>
      <c r="D155" s="18" t="s">
        <v>1242</v>
      </c>
      <c r="E155" s="11" t="s">
        <v>869</v>
      </c>
      <c r="F155" s="19">
        <f>IF(Bets35[[#This Row],[Odds]]&lt;0,Bets35[[#This Row],[Odds]]/-10,1000/Bets3[[#This Row],[Odds]])</f>
        <v>15.5</v>
      </c>
      <c r="G155" s="37">
        <v>-155</v>
      </c>
      <c r="H155" s="21" t="s">
        <v>263</v>
      </c>
      <c r="I155" s="45">
        <f>IF(Bets3[[#This Row],[Result]]="L",0-Bets3[[#This Row],[Risk]],IF(Bets3[[#This Row],[Result]]="Push",0,IF(Bets3[[#This Row],[Result]]="No Action",0,IF(Bets3[[#This Row],[Result]]="W",IF(Bets3[[#This Row],[Odds]]&gt;0,Bets3[[#This Row],[Odds]]/100*Bets3[[#This Row],[Risk]],(Bets3[[#This Row],[Risk]]/Bets3[[#This Row],[Odds]]*-100)),""))))</f>
        <v>-15.5</v>
      </c>
      <c r="J155" s="39" t="str">
        <f>IF(ISNUMBER(SEARCH(CHAR(10),Bets3[[#This Row],[Bet]])),"P",IF(ISNUMBER(FIND("Under",Bets3[[#This Row],[Bet]])),"U",IF(ISNUMBER(SEARCH("Over",Bets3[[#This Row],[Bet]])),"O",IF(ISNUMBER(SEARCH("+",Bets3[[#This Row],[Bet]])),"D",IF(ISNUMBER(SEARCH("-",Bets3[[#This Row],[Bet]])),"F",IF(ISNUMBER(SEARCH("Moneyline",Bets3[[#This Row],[Bet]])),IF(Bets3[[#This Row],[Odds]]&lt;0,"MF","MD"),""))))))</f>
        <v>MF</v>
      </c>
      <c r="K155"/>
      <c r="L155" s="24">
        <f t="shared" si="7"/>
        <v>0</v>
      </c>
      <c r="M155" s="1" t="str">
        <f>COUNTIFS(Bets3[Date],L155,Bets3[Result],"W")&amp;"-"&amp;COUNTIFS(Bets3[Date],L155,Bets3[Result],"L")&amp;IF(COUNTIFS(Bets3[Date],L155,Bets3[Result],"Push")&gt;0,"-"&amp;COUNTIFS(Bets3[Date],L155,Bets3[Result],"Push"),"")</f>
        <v>0-0</v>
      </c>
      <c r="N155" s="25" t="str">
        <f>IFERROR(COUNTIFS(Bets3[Date],L155,Bets3[Result],"W")/(COUNTIFS(Bets3[Date],L155,Bets3[Result],"W")+COUNTIFS(Bets3[Date],L155,Bets3[Result],"L")),"")</f>
        <v/>
      </c>
      <c r="O155" s="26">
        <f>SUMIF(Bets3[Date],L155,Bets3[Net])</f>
        <v>0</v>
      </c>
      <c r="P155" s="27" t="str">
        <f>IFERROR("("&amp;ROUND((SUMIF(Bets3[Date],L155,Bets3[Net])-SUMIF(Bets3[Date],L155,Bets3[Risk]))/SUMIF(Bets3[Date],L155,Bets3[Risk]),2)*100&amp;"%)","")</f>
        <v/>
      </c>
      <c r="Q155" s="72" t="str">
        <f t="shared" si="8"/>
        <v/>
      </c>
      <c r="R155" s="73" t="str">
        <f>IFERROR(SUMIF(Bets3[Date],"&lt;="&amp;L155,Bets3[Net])/SUMIF(Bets3[Date],"&lt;="&amp;L155,Bets3[Risk]),"")</f>
        <v/>
      </c>
    </row>
    <row r="156" spans="1:18" x14ac:dyDescent="0.25">
      <c r="A156" s="13">
        <f t="shared" si="6"/>
        <v>13</v>
      </c>
      <c r="B156" s="17">
        <v>43598</v>
      </c>
      <c r="C156" s="17" t="s">
        <v>802</v>
      </c>
      <c r="D156" s="18" t="s">
        <v>1243</v>
      </c>
      <c r="E156" s="11" t="s">
        <v>905</v>
      </c>
      <c r="F156" s="19">
        <f>IF(Bets35[[#This Row],[Odds]]&lt;0,Bets35[[#This Row],[Odds]]/-10,1000/Bets3[[#This Row],[Odds]])</f>
        <v>10.5</v>
      </c>
      <c r="G156" s="37">
        <v>-105</v>
      </c>
      <c r="H156" s="21" t="s">
        <v>262</v>
      </c>
      <c r="I156" s="45">
        <f>IF(Bets3[[#This Row],[Result]]="L",0-Bets3[[#This Row],[Risk]],IF(Bets3[[#This Row],[Result]]="Push",0,IF(Bets3[[#This Row],[Result]]="No Action",0,IF(Bets3[[#This Row],[Result]]="W",IF(Bets3[[#This Row],[Odds]]&gt;0,Bets3[[#This Row],[Odds]]/100*Bets3[[#This Row],[Risk]],(Bets3[[#This Row],[Risk]]/Bets3[[#This Row],[Odds]]*-100)),""))))</f>
        <v>10</v>
      </c>
      <c r="J156" s="39" t="str">
        <f>IF(ISNUMBER(SEARCH(CHAR(10),Bets3[[#This Row],[Bet]])),"P",IF(ISNUMBER(FIND("Under",Bets3[[#This Row],[Bet]])),"U",IF(ISNUMBER(SEARCH("Over",Bets3[[#This Row],[Bet]])),"O",IF(ISNUMBER(SEARCH("+",Bets3[[#This Row],[Bet]])),"D",IF(ISNUMBER(SEARCH("-",Bets3[[#This Row],[Bet]])),"F",IF(ISNUMBER(SEARCH("Moneyline",Bets3[[#This Row],[Bet]])),IF(Bets3[[#This Row],[Odds]]&lt;0,"MF","MD"),""))))))</f>
        <v>O</v>
      </c>
      <c r="K156"/>
      <c r="L156" s="24">
        <f t="shared" si="7"/>
        <v>0</v>
      </c>
      <c r="M156" s="1" t="str">
        <f>COUNTIFS(Bets3[Date],L156,Bets3[Result],"W")&amp;"-"&amp;COUNTIFS(Bets3[Date],L156,Bets3[Result],"L")&amp;IF(COUNTIFS(Bets3[Date],L156,Bets3[Result],"Push")&gt;0,"-"&amp;COUNTIFS(Bets3[Date],L156,Bets3[Result],"Push"),"")</f>
        <v>0-0</v>
      </c>
      <c r="N156" s="25" t="str">
        <f>IFERROR(COUNTIFS(Bets3[Date],L156,Bets3[Result],"W")/(COUNTIFS(Bets3[Date],L156,Bets3[Result],"W")+COUNTIFS(Bets3[Date],L156,Bets3[Result],"L")),"")</f>
        <v/>
      </c>
      <c r="O156" s="26">
        <f>SUMIF(Bets3[Date],L156,Bets3[Net])</f>
        <v>0</v>
      </c>
      <c r="P156" s="27" t="str">
        <f>IFERROR("("&amp;ROUND((SUMIF(Bets3[Date],L156,Bets3[Net])-SUMIF(Bets3[Date],L156,Bets3[Risk]))/SUMIF(Bets3[Date],L156,Bets3[Risk]),2)*100&amp;"%)","")</f>
        <v/>
      </c>
      <c r="Q156" s="72" t="str">
        <f t="shared" si="8"/>
        <v/>
      </c>
      <c r="R156" s="73" t="str">
        <f>IFERROR(SUMIF(Bets3[Date],"&lt;="&amp;L156,Bets3[Net])/SUMIF(Bets3[Date],"&lt;="&amp;L156,Bets3[Risk]),"")</f>
        <v/>
      </c>
    </row>
    <row r="157" spans="1:18" x14ac:dyDescent="0.25">
      <c r="A157" s="13">
        <f t="shared" si="6"/>
        <v>13</v>
      </c>
      <c r="B157" s="17">
        <v>43598</v>
      </c>
      <c r="C157" s="17" t="s">
        <v>802</v>
      </c>
      <c r="D157" s="18" t="s">
        <v>1243</v>
      </c>
      <c r="E157" s="11" t="s">
        <v>1180</v>
      </c>
      <c r="F157" s="19">
        <f>IF(Bets35[[#This Row],[Odds]]&lt;0,Bets35[[#This Row],[Odds]]/-10,1000/Bets3[[#This Row],[Odds]])</f>
        <v>17</v>
      </c>
      <c r="G157" s="37">
        <v>-170</v>
      </c>
      <c r="H157" s="21" t="s">
        <v>262</v>
      </c>
      <c r="I157" s="45">
        <f>IF(Bets3[[#This Row],[Result]]="L",0-Bets3[[#This Row],[Risk]],IF(Bets3[[#This Row],[Result]]="Push",0,IF(Bets3[[#This Row],[Result]]="No Action",0,IF(Bets3[[#This Row],[Result]]="W",IF(Bets3[[#This Row],[Odds]]&gt;0,Bets3[[#This Row],[Odds]]/100*Bets3[[#This Row],[Risk]],(Bets3[[#This Row],[Risk]]/Bets3[[#This Row],[Odds]]*-100)),""))))</f>
        <v>10</v>
      </c>
      <c r="J157" s="39" t="str">
        <f>IF(ISNUMBER(SEARCH(CHAR(10),Bets3[[#This Row],[Bet]])),"P",IF(ISNUMBER(FIND("Under",Bets3[[#This Row],[Bet]])),"U",IF(ISNUMBER(SEARCH("Over",Bets3[[#This Row],[Bet]])),"O",IF(ISNUMBER(SEARCH("+",Bets3[[#This Row],[Bet]])),"D",IF(ISNUMBER(SEARCH("-",Bets3[[#This Row],[Bet]])),"F",IF(ISNUMBER(SEARCH("Moneyline",Bets3[[#This Row],[Bet]])),IF(Bets3[[#This Row],[Odds]]&lt;0,"MF","MD"),""))))))</f>
        <v>MF</v>
      </c>
      <c r="K157"/>
      <c r="L157" s="24">
        <f t="shared" si="7"/>
        <v>0</v>
      </c>
      <c r="M157" s="1" t="str">
        <f>COUNTIFS(Bets3[Date],L157,Bets3[Result],"W")&amp;"-"&amp;COUNTIFS(Bets3[Date],L157,Bets3[Result],"L")&amp;IF(COUNTIFS(Bets3[Date],L157,Bets3[Result],"Push")&gt;0,"-"&amp;COUNTIFS(Bets3[Date],L157,Bets3[Result],"Push"),"")</f>
        <v>0-0</v>
      </c>
      <c r="N157" s="25" t="str">
        <f>IFERROR(COUNTIFS(Bets3[Date],L157,Bets3[Result],"W")/(COUNTIFS(Bets3[Date],L157,Bets3[Result],"W")+COUNTIFS(Bets3[Date],L157,Bets3[Result],"L")),"")</f>
        <v/>
      </c>
      <c r="O157" s="26">
        <f>SUMIF(Bets3[Date],L157,Bets3[Net])</f>
        <v>0</v>
      </c>
      <c r="P157" s="27" t="str">
        <f>IFERROR("("&amp;ROUND((SUMIF(Bets3[Date],L157,Bets3[Net])-SUMIF(Bets3[Date],L157,Bets3[Risk]))/SUMIF(Bets3[Date],L157,Bets3[Risk]),2)*100&amp;"%)","")</f>
        <v/>
      </c>
      <c r="Q157" s="72" t="str">
        <f t="shared" si="8"/>
        <v/>
      </c>
      <c r="R157" s="73" t="str">
        <f>IFERROR(SUMIF(Bets3[Date],"&lt;="&amp;L157,Bets3[Net])/SUMIF(Bets3[Date],"&lt;="&amp;L157,Bets3[Risk]),"")</f>
        <v/>
      </c>
    </row>
    <row r="158" spans="1:18" x14ac:dyDescent="0.25">
      <c r="A158" s="13">
        <f t="shared" si="6"/>
        <v>13</v>
      </c>
      <c r="B158" s="17">
        <v>43598</v>
      </c>
      <c r="C158" s="17" t="s">
        <v>802</v>
      </c>
      <c r="D158" s="18" t="s">
        <v>1244</v>
      </c>
      <c r="E158" s="11" t="s">
        <v>836</v>
      </c>
      <c r="F158" s="19">
        <f>IF(Bets35[[#This Row],[Odds]]&lt;0,Bets35[[#This Row],[Odds]]/-10,1000/Bets3[[#This Row],[Odds]])</f>
        <v>12.2</v>
      </c>
      <c r="G158" s="37">
        <v>-122</v>
      </c>
      <c r="H158" s="21" t="s">
        <v>262</v>
      </c>
      <c r="I158" s="45">
        <f>IF(Bets3[[#This Row],[Result]]="L",0-Bets3[[#This Row],[Risk]],IF(Bets3[[#This Row],[Result]]="Push",0,IF(Bets3[[#This Row],[Result]]="No Action",0,IF(Bets3[[#This Row],[Result]]="W",IF(Bets3[[#This Row],[Odds]]&gt;0,Bets3[[#This Row],[Odds]]/100*Bets3[[#This Row],[Risk]],(Bets3[[#This Row],[Risk]]/Bets3[[#This Row],[Odds]]*-100)),""))))</f>
        <v>10</v>
      </c>
      <c r="J158" s="39" t="str">
        <f>IF(ISNUMBER(SEARCH(CHAR(10),Bets3[[#This Row],[Bet]])),"P",IF(ISNUMBER(FIND("Under",Bets3[[#This Row],[Bet]])),"U",IF(ISNUMBER(SEARCH("Over",Bets3[[#This Row],[Bet]])),"O",IF(ISNUMBER(SEARCH("+",Bets3[[#This Row],[Bet]])),"D",IF(ISNUMBER(SEARCH("-",Bets3[[#This Row],[Bet]])),"F",IF(ISNUMBER(SEARCH("Moneyline",Bets3[[#This Row],[Bet]])),IF(Bets3[[#This Row],[Odds]]&lt;0,"MF","MD"),""))))))</f>
        <v>MF</v>
      </c>
      <c r="K158"/>
      <c r="L158" s="24"/>
      <c r="N158" s="69"/>
      <c r="O158" s="38"/>
      <c r="P158" s="27"/>
    </row>
    <row r="159" spans="1:18" x14ac:dyDescent="0.25">
      <c r="A159" s="13">
        <f t="shared" si="6"/>
        <v>14</v>
      </c>
      <c r="B159" s="17">
        <v>43599</v>
      </c>
      <c r="C159" s="17" t="s">
        <v>802</v>
      </c>
      <c r="D159" s="18" t="s">
        <v>1242</v>
      </c>
      <c r="E159" s="11" t="s">
        <v>869</v>
      </c>
      <c r="F159" s="19">
        <f>IF(Bets35[[#This Row],[Odds]]&lt;0,Bets35[[#This Row],[Odds]]/-10,1000/Bets3[[#This Row],[Odds]])</f>
        <v>18</v>
      </c>
      <c r="G159" s="37">
        <v>-180</v>
      </c>
      <c r="H159" s="21" t="s">
        <v>262</v>
      </c>
      <c r="I159" s="45">
        <f>IF(Bets3[[#This Row],[Result]]="L",0-Bets3[[#This Row],[Risk]],IF(Bets3[[#This Row],[Result]]="Push",0,IF(Bets3[[#This Row],[Result]]="No Action",0,IF(Bets3[[#This Row],[Result]]="W",IF(Bets3[[#This Row],[Odds]]&gt;0,Bets3[[#This Row],[Odds]]/100*Bets3[[#This Row],[Risk]],(Bets3[[#This Row],[Risk]]/Bets3[[#This Row],[Odds]]*-100)),""))))</f>
        <v>10</v>
      </c>
      <c r="J159" s="39" t="str">
        <f>IF(ISNUMBER(SEARCH(CHAR(10),Bets3[[#This Row],[Bet]])),"P",IF(ISNUMBER(FIND("Under",Bets3[[#This Row],[Bet]])),"U",IF(ISNUMBER(SEARCH("Over",Bets3[[#This Row],[Bet]])),"O",IF(ISNUMBER(SEARCH("+",Bets3[[#This Row],[Bet]])),"D",IF(ISNUMBER(SEARCH("-",Bets3[[#This Row],[Bet]])),"F",IF(ISNUMBER(SEARCH("Moneyline",Bets3[[#This Row],[Bet]])),IF(Bets3[[#This Row],[Odds]]&lt;0,"MF","MD"),""))))))</f>
        <v>MF</v>
      </c>
      <c r="K159" s="24"/>
      <c r="N159" s="69"/>
      <c r="O159" s="27"/>
    </row>
    <row r="160" spans="1:18" x14ac:dyDescent="0.25">
      <c r="A160" s="13">
        <f t="shared" si="6"/>
        <v>14</v>
      </c>
      <c r="B160" s="17">
        <v>43599</v>
      </c>
      <c r="C160" s="17" t="s">
        <v>802</v>
      </c>
      <c r="D160" s="18" t="s">
        <v>1246</v>
      </c>
      <c r="E160" s="11" t="s">
        <v>867</v>
      </c>
      <c r="F160" s="19">
        <f>IF(Bets35[[#This Row],[Odds]]&lt;0,Bets35[[#This Row],[Odds]]/-10,1000/Bets3[[#This Row],[Odds]])</f>
        <v>13</v>
      </c>
      <c r="G160" s="37">
        <v>-130</v>
      </c>
      <c r="H160" s="21" t="s">
        <v>262</v>
      </c>
      <c r="I160" s="45">
        <f>IF(Bets3[[#This Row],[Result]]="L",0-Bets3[[#This Row],[Risk]],IF(Bets3[[#This Row],[Result]]="Push",0,IF(Bets3[[#This Row],[Result]]="No Action",0,IF(Bets3[[#This Row],[Result]]="W",IF(Bets3[[#This Row],[Odds]]&gt;0,Bets3[[#This Row],[Odds]]/100*Bets3[[#This Row],[Risk]],(Bets3[[#This Row],[Risk]]/Bets3[[#This Row],[Odds]]*-100)),""))))</f>
        <v>10</v>
      </c>
      <c r="J160" s="39" t="str">
        <f>IF(ISNUMBER(SEARCH(CHAR(10),Bets3[[#This Row],[Bet]])),"P",IF(ISNUMBER(FIND("Under",Bets3[[#This Row],[Bet]])),"U",IF(ISNUMBER(SEARCH("Over",Bets3[[#This Row],[Bet]])),"O",IF(ISNUMBER(SEARCH("+",Bets3[[#This Row],[Bet]])),"D",IF(ISNUMBER(SEARCH("-",Bets3[[#This Row],[Bet]])),"F",IF(ISNUMBER(SEARCH("Moneyline",Bets3[[#This Row],[Bet]])),IF(Bets3[[#This Row],[Odds]]&lt;0,"MF","MD"),""))))))</f>
        <v>MF</v>
      </c>
      <c r="K160" s="24"/>
      <c r="N160" s="69"/>
      <c r="O160" s="27"/>
    </row>
    <row r="161" spans="1:15" x14ac:dyDescent="0.25">
      <c r="A161" s="13">
        <f t="shared" si="6"/>
        <v>14</v>
      </c>
      <c r="B161" s="17">
        <v>43599</v>
      </c>
      <c r="C161" s="17" t="s">
        <v>802</v>
      </c>
      <c r="D161" s="18" t="s">
        <v>1239</v>
      </c>
      <c r="E161" s="11" t="s">
        <v>822</v>
      </c>
      <c r="F161" s="19">
        <f>IF(Bets35[[#This Row],[Odds]]&lt;0,Bets35[[#This Row],[Odds]]/-10,1000/Bets3[[#This Row],[Odds]])</f>
        <v>9.0909090909090917</v>
      </c>
      <c r="G161" s="37" t="s">
        <v>886</v>
      </c>
      <c r="H161" s="21" t="s">
        <v>263</v>
      </c>
      <c r="I161" s="45">
        <f>IF(Bets3[[#This Row],[Result]]="L",0-Bets3[[#This Row],[Risk]],IF(Bets3[[#This Row],[Result]]="Push",0,IF(Bets3[[#This Row],[Result]]="No Action",0,IF(Bets3[[#This Row],[Result]]="W",IF(Bets3[[#This Row],[Odds]]&gt;0,Bets3[[#This Row],[Odds]]/100*Bets3[[#This Row],[Risk]],(Bets3[[#This Row],[Risk]]/Bets3[[#This Row],[Odds]]*-100)),""))))</f>
        <v>-9.0909090909090917</v>
      </c>
      <c r="J161" s="39" t="str">
        <f>IF(ISNUMBER(SEARCH(CHAR(10),Bets3[[#This Row],[Bet]])),"P",IF(ISNUMBER(FIND("Under",Bets3[[#This Row],[Bet]])),"U",IF(ISNUMBER(SEARCH("Over",Bets3[[#This Row],[Bet]])),"O",IF(ISNUMBER(SEARCH("+",Bets3[[#This Row],[Bet]])),"D",IF(ISNUMBER(SEARCH("-",Bets3[[#This Row],[Bet]])),"F",IF(ISNUMBER(SEARCH("Moneyline",Bets3[[#This Row],[Bet]])),IF(Bets3[[#This Row],[Odds]]&lt;0,"MF","MD"),""))))))</f>
        <v>MD</v>
      </c>
      <c r="K161" s="24"/>
      <c r="N161" s="69"/>
      <c r="O161" s="27"/>
    </row>
    <row r="162" spans="1:15" x14ac:dyDescent="0.25">
      <c r="A162" s="13">
        <f t="shared" si="6"/>
        <v>14</v>
      </c>
      <c r="B162" s="17">
        <v>43599</v>
      </c>
      <c r="C162" s="17" t="s">
        <v>802</v>
      </c>
      <c r="D162" s="18" t="s">
        <v>1247</v>
      </c>
      <c r="E162" s="11" t="s">
        <v>845</v>
      </c>
      <c r="F162" s="19">
        <f>IF(Bets35[[#This Row],[Odds]]&lt;0,Bets35[[#This Row],[Odds]]/-10,1000/Bets3[[#This Row],[Odds]])</f>
        <v>10.5</v>
      </c>
      <c r="G162" s="37">
        <v>-105</v>
      </c>
      <c r="H162" s="21" t="s">
        <v>263</v>
      </c>
      <c r="I162" s="45">
        <f>IF(Bets3[[#This Row],[Result]]="L",0-Bets3[[#This Row],[Risk]],IF(Bets3[[#This Row],[Result]]="Push",0,IF(Bets3[[#This Row],[Result]]="No Action",0,IF(Bets3[[#This Row],[Result]]="W",IF(Bets3[[#This Row],[Odds]]&gt;0,Bets3[[#This Row],[Odds]]/100*Bets3[[#This Row],[Risk]],(Bets3[[#This Row],[Risk]]/Bets3[[#This Row],[Odds]]*-100)),""))))</f>
        <v>-10.5</v>
      </c>
      <c r="J162" s="39" t="str">
        <f>IF(ISNUMBER(SEARCH(CHAR(10),Bets3[[#This Row],[Bet]])),"P",IF(ISNUMBER(FIND("Under",Bets3[[#This Row],[Bet]])),"U",IF(ISNUMBER(SEARCH("Over",Bets3[[#This Row],[Bet]])),"O",IF(ISNUMBER(SEARCH("+",Bets3[[#This Row],[Bet]])),"D",IF(ISNUMBER(SEARCH("-",Bets3[[#This Row],[Bet]])),"F",IF(ISNUMBER(SEARCH("Moneyline",Bets3[[#This Row],[Bet]])),IF(Bets3[[#This Row],[Odds]]&lt;0,"MF","MD"),""))))))</f>
        <v>O</v>
      </c>
      <c r="K162" s="24"/>
      <c r="N162" s="69"/>
      <c r="O162" s="27"/>
    </row>
    <row r="163" spans="1:15" x14ac:dyDescent="0.25">
      <c r="A163" s="13">
        <f t="shared" si="6"/>
        <v>14</v>
      </c>
      <c r="B163" s="17">
        <v>43599</v>
      </c>
      <c r="C163" s="17" t="s">
        <v>802</v>
      </c>
      <c r="D163" s="18" t="s">
        <v>1248</v>
      </c>
      <c r="E163" s="11" t="s">
        <v>931</v>
      </c>
      <c r="F163" s="19">
        <f>IF(Bets35[[#This Row],[Odds]]&lt;0,Bets35[[#This Row],[Odds]]/-10,1000/Bets3[[#This Row],[Odds]])</f>
        <v>11.5</v>
      </c>
      <c r="G163" s="37">
        <v>-115</v>
      </c>
      <c r="H163" s="21" t="s">
        <v>262</v>
      </c>
      <c r="I163" s="45">
        <f>IF(Bets3[[#This Row],[Result]]="L",0-Bets3[[#This Row],[Risk]],IF(Bets3[[#This Row],[Result]]="Push",0,IF(Bets3[[#This Row],[Result]]="No Action",0,IF(Bets3[[#This Row],[Result]]="W",IF(Bets3[[#This Row],[Odds]]&gt;0,Bets3[[#This Row],[Odds]]/100*Bets3[[#This Row],[Risk]],(Bets3[[#This Row],[Risk]]/Bets3[[#This Row],[Odds]]*-100)),""))))</f>
        <v>10</v>
      </c>
      <c r="J163" s="39" t="str">
        <f>IF(ISNUMBER(SEARCH(CHAR(10),Bets3[[#This Row],[Bet]])),"P",IF(ISNUMBER(FIND("Under",Bets3[[#This Row],[Bet]])),"U",IF(ISNUMBER(SEARCH("Over",Bets3[[#This Row],[Bet]])),"O",IF(ISNUMBER(SEARCH("+",Bets3[[#This Row],[Bet]])),"D",IF(ISNUMBER(SEARCH("-",Bets3[[#This Row],[Bet]])),"F",IF(ISNUMBER(SEARCH("Moneyline",Bets3[[#This Row],[Bet]])),IF(Bets3[[#This Row],[Odds]]&lt;0,"MF","MD"),""))))))</f>
        <v>O</v>
      </c>
      <c r="K163" s="24"/>
      <c r="N163" s="69"/>
      <c r="O163" s="27"/>
    </row>
    <row r="164" spans="1:15" x14ac:dyDescent="0.25">
      <c r="A164" s="13">
        <f t="shared" si="6"/>
        <v>14</v>
      </c>
      <c r="B164" s="17">
        <v>43599</v>
      </c>
      <c r="C164" s="17" t="s">
        <v>802</v>
      </c>
      <c r="D164" s="18" t="s">
        <v>1240</v>
      </c>
      <c r="E164" s="11" t="s">
        <v>897</v>
      </c>
      <c r="F164" s="19">
        <f>IF(Bets35[[#This Row],[Odds]]&lt;0,Bets35[[#This Row],[Odds]]/-10,1000/Bets3[[#This Row],[Odds]])</f>
        <v>19.600000000000001</v>
      </c>
      <c r="G164" s="37">
        <v>-196</v>
      </c>
      <c r="H164" s="21" t="s">
        <v>262</v>
      </c>
      <c r="I164" s="45">
        <f>IF(Bets3[[#This Row],[Result]]="L",0-Bets3[[#This Row],[Risk]],IF(Bets3[[#This Row],[Result]]="Push",0,IF(Bets3[[#This Row],[Result]]="No Action",0,IF(Bets3[[#This Row],[Result]]="W",IF(Bets3[[#This Row],[Odds]]&gt;0,Bets3[[#This Row],[Odds]]/100*Bets3[[#This Row],[Risk]],(Bets3[[#This Row],[Risk]]/Bets3[[#This Row],[Odds]]*-100)),""))))</f>
        <v>10</v>
      </c>
      <c r="J164" s="39" t="str">
        <f>IF(ISNUMBER(SEARCH(CHAR(10),Bets3[[#This Row],[Bet]])),"P",IF(ISNUMBER(FIND("Under",Bets3[[#This Row],[Bet]])),"U",IF(ISNUMBER(SEARCH("Over",Bets3[[#This Row],[Bet]])),"O",IF(ISNUMBER(SEARCH("+",Bets3[[#This Row],[Bet]])),"D",IF(ISNUMBER(SEARCH("-",Bets3[[#This Row],[Bet]])),"F",IF(ISNUMBER(SEARCH("Moneyline",Bets3[[#This Row],[Bet]])),IF(Bets3[[#This Row],[Odds]]&lt;0,"MF","MD"),""))))))</f>
        <v>MF</v>
      </c>
      <c r="K164" s="24"/>
      <c r="N164" s="69"/>
      <c r="O164" s="27"/>
    </row>
    <row r="165" spans="1:15" x14ac:dyDescent="0.25">
      <c r="A165" s="13">
        <f t="shared" si="6"/>
        <v>14</v>
      </c>
      <c r="B165" s="17">
        <v>43599</v>
      </c>
      <c r="C165" s="17" t="s">
        <v>802</v>
      </c>
      <c r="D165" s="18" t="s">
        <v>1249</v>
      </c>
      <c r="E165" s="11" t="s">
        <v>819</v>
      </c>
      <c r="F165" s="19">
        <f>IF(Bets35[[#This Row],[Odds]]&lt;0,Bets35[[#This Row],[Odds]]/-10,1000/Bets3[[#This Row],[Odds]])</f>
        <v>13.4</v>
      </c>
      <c r="G165" s="37">
        <v>-134</v>
      </c>
      <c r="H165" s="21" t="s">
        <v>262</v>
      </c>
      <c r="I165" s="45">
        <f>IF(Bets3[[#This Row],[Result]]="L",0-Bets3[[#This Row],[Risk]],IF(Bets3[[#This Row],[Result]]="Push",0,IF(Bets3[[#This Row],[Result]]="No Action",0,IF(Bets3[[#This Row],[Result]]="W",IF(Bets3[[#This Row],[Odds]]&gt;0,Bets3[[#This Row],[Odds]]/100*Bets3[[#This Row],[Risk]],(Bets3[[#This Row],[Risk]]/Bets3[[#This Row],[Odds]]*-100)),""))))</f>
        <v>10</v>
      </c>
      <c r="J165" s="39" t="str">
        <f>IF(ISNUMBER(SEARCH(CHAR(10),Bets3[[#This Row],[Bet]])),"P",IF(ISNUMBER(FIND("Under",Bets3[[#This Row],[Bet]])),"U",IF(ISNUMBER(SEARCH("Over",Bets3[[#This Row],[Bet]])),"O",IF(ISNUMBER(SEARCH("+",Bets3[[#This Row],[Bet]])),"D",IF(ISNUMBER(SEARCH("-",Bets3[[#This Row],[Bet]])),"F",IF(ISNUMBER(SEARCH("Moneyline",Bets3[[#This Row],[Bet]])),IF(Bets3[[#This Row],[Odds]]&lt;0,"MF","MD"),""))))))</f>
        <v>MF</v>
      </c>
      <c r="K165" s="24"/>
      <c r="N165" s="69"/>
      <c r="O165" s="27"/>
    </row>
    <row r="166" spans="1:15" x14ac:dyDescent="0.25">
      <c r="A166" s="13">
        <f t="shared" si="6"/>
        <v>14</v>
      </c>
      <c r="B166" s="17">
        <v>43599</v>
      </c>
      <c r="C166" s="17" t="s">
        <v>802</v>
      </c>
      <c r="D166" s="18" t="s">
        <v>1250</v>
      </c>
      <c r="E166" s="11" t="s">
        <v>845</v>
      </c>
      <c r="F166" s="19">
        <f>IF(Bets35[[#This Row],[Odds]]&lt;0,Bets35[[#This Row],[Odds]]/-10,1000/Bets3[[#This Row],[Odds]])</f>
        <v>11.5</v>
      </c>
      <c r="G166" s="37">
        <v>-115</v>
      </c>
      <c r="H166" s="21" t="s">
        <v>262</v>
      </c>
      <c r="I166" s="45">
        <f>IF(Bets3[[#This Row],[Result]]="L",0-Bets3[[#This Row],[Risk]],IF(Bets3[[#This Row],[Result]]="Push",0,IF(Bets3[[#This Row],[Result]]="No Action",0,IF(Bets3[[#This Row],[Result]]="W",IF(Bets3[[#This Row],[Odds]]&gt;0,Bets3[[#This Row],[Odds]]/100*Bets3[[#This Row],[Risk]],(Bets3[[#This Row],[Risk]]/Bets3[[#This Row],[Odds]]*-100)),""))))</f>
        <v>10</v>
      </c>
      <c r="J166" s="39" t="str">
        <f>IF(ISNUMBER(SEARCH(CHAR(10),Bets3[[#This Row],[Bet]])),"P",IF(ISNUMBER(FIND("Under",Bets3[[#This Row],[Bet]])),"U",IF(ISNUMBER(SEARCH("Over",Bets3[[#This Row],[Bet]])),"O",IF(ISNUMBER(SEARCH("+",Bets3[[#This Row],[Bet]])),"D",IF(ISNUMBER(SEARCH("-",Bets3[[#This Row],[Bet]])),"F",IF(ISNUMBER(SEARCH("Moneyline",Bets3[[#This Row],[Bet]])),IF(Bets3[[#This Row],[Odds]]&lt;0,"MF","MD"),""))))))</f>
        <v>O</v>
      </c>
      <c r="K166" s="24"/>
      <c r="N166" s="69"/>
      <c r="O166" s="27"/>
    </row>
    <row r="167" spans="1:15" x14ac:dyDescent="0.25">
      <c r="A167" s="13">
        <f t="shared" si="6"/>
        <v>14</v>
      </c>
      <c r="B167" s="17">
        <v>43599</v>
      </c>
      <c r="C167" s="17" t="s">
        <v>802</v>
      </c>
      <c r="D167" s="18" t="s">
        <v>1243</v>
      </c>
      <c r="E167" s="11" t="s">
        <v>1180</v>
      </c>
      <c r="F167" s="19">
        <f>IF(Bets35[[#This Row],[Odds]]&lt;0,Bets35[[#This Row],[Odds]]/-10,1000/Bets3[[#This Row],[Odds]])</f>
        <v>14</v>
      </c>
      <c r="G167" s="37">
        <v>-140</v>
      </c>
      <c r="H167" s="21" t="s">
        <v>263</v>
      </c>
      <c r="I167" s="45">
        <f>IF(Bets3[[#This Row],[Result]]="L",0-Bets3[[#This Row],[Risk]],IF(Bets3[[#This Row],[Result]]="Push",0,IF(Bets3[[#This Row],[Result]]="No Action",0,IF(Bets3[[#This Row],[Result]]="W",IF(Bets3[[#This Row],[Odds]]&gt;0,Bets3[[#This Row],[Odds]]/100*Bets3[[#This Row],[Risk]],(Bets3[[#This Row],[Risk]]/Bets3[[#This Row],[Odds]]*-100)),""))))</f>
        <v>-14</v>
      </c>
      <c r="J167" s="39" t="str">
        <f>IF(ISNUMBER(SEARCH(CHAR(10),Bets3[[#This Row],[Bet]])),"P",IF(ISNUMBER(FIND("Under",Bets3[[#This Row],[Bet]])),"U",IF(ISNUMBER(SEARCH("Over",Bets3[[#This Row],[Bet]])),"O",IF(ISNUMBER(SEARCH("+",Bets3[[#This Row],[Bet]])),"D",IF(ISNUMBER(SEARCH("-",Bets3[[#This Row],[Bet]])),"F",IF(ISNUMBER(SEARCH("Moneyline",Bets3[[#This Row],[Bet]])),IF(Bets3[[#This Row],[Odds]]&lt;0,"MF","MD"),""))))))</f>
        <v>MF</v>
      </c>
      <c r="K167" s="24"/>
      <c r="N167" s="69"/>
      <c r="O167" s="27"/>
    </row>
    <row r="168" spans="1:15" x14ac:dyDescent="0.25">
      <c r="A168" s="13">
        <f t="shared" si="6"/>
        <v>15</v>
      </c>
      <c r="B168" s="17">
        <v>43600</v>
      </c>
      <c r="C168" s="17" t="s">
        <v>802</v>
      </c>
      <c r="D168" s="18" t="s">
        <v>1241</v>
      </c>
      <c r="E168" s="11" t="s">
        <v>1178</v>
      </c>
      <c r="F168" s="19">
        <f>IF(Bets35[[#This Row],[Odds]]&lt;0,Bets35[[#This Row],[Odds]]/-10,1000/Bets3[[#This Row],[Odds]])</f>
        <v>14</v>
      </c>
      <c r="G168" s="37">
        <v>-140</v>
      </c>
      <c r="H168" s="21" t="s">
        <v>262</v>
      </c>
      <c r="I168" s="45">
        <f>IF(Bets3[[#This Row],[Result]]="L",0-Bets3[[#This Row],[Risk]],IF(Bets3[[#This Row],[Result]]="Push",0,IF(Bets3[[#This Row],[Result]]="No Action",0,IF(Bets3[[#This Row],[Result]]="W",IF(Bets3[[#This Row],[Odds]]&gt;0,Bets3[[#This Row],[Odds]]/100*Bets3[[#This Row],[Risk]],(Bets3[[#This Row],[Risk]]/Bets3[[#This Row],[Odds]]*-100)),""))))</f>
        <v>10</v>
      </c>
      <c r="J168" s="39" t="str">
        <f>IF(ISNUMBER(SEARCH(CHAR(10),Bets3[[#This Row],[Bet]])),"P",IF(ISNUMBER(FIND("Under",Bets3[[#This Row],[Bet]])),"U",IF(ISNUMBER(SEARCH("Over",Bets3[[#This Row],[Bet]])),"O",IF(ISNUMBER(SEARCH("+",Bets3[[#This Row],[Bet]])),"D",IF(ISNUMBER(SEARCH("-",Bets3[[#This Row],[Bet]])),"F",IF(ISNUMBER(SEARCH("Moneyline",Bets3[[#This Row],[Bet]])),IF(Bets3[[#This Row],[Odds]]&lt;0,"MF","MD"),""))))))</f>
        <v>MF</v>
      </c>
      <c r="K168" s="24"/>
      <c r="N168" s="69"/>
      <c r="O168" s="27"/>
    </row>
    <row r="169" spans="1:15" x14ac:dyDescent="0.25">
      <c r="A169" s="13">
        <f t="shared" si="6"/>
        <v>15</v>
      </c>
      <c r="B169" s="17">
        <v>43600</v>
      </c>
      <c r="C169" s="17" t="s">
        <v>802</v>
      </c>
      <c r="D169" s="18" t="s">
        <v>1239</v>
      </c>
      <c r="E169" s="11" t="s">
        <v>809</v>
      </c>
      <c r="F169" s="19">
        <f>IF(Bets35[[#This Row],[Odds]]&lt;0,Bets35[[#This Row],[Odds]]/-10,1000/Bets3[[#This Row],[Odds]])</f>
        <v>10.5</v>
      </c>
      <c r="G169" s="37">
        <v>-105</v>
      </c>
      <c r="H169" s="21" t="s">
        <v>262</v>
      </c>
      <c r="I169" s="45">
        <f>IF(Bets3[[#This Row],[Result]]="L",0-Bets3[[#This Row],[Risk]],IF(Bets3[[#This Row],[Result]]="Push",0,IF(Bets3[[#This Row],[Result]]="No Action",0,IF(Bets3[[#This Row],[Result]]="W",IF(Bets3[[#This Row],[Odds]]&gt;0,Bets3[[#This Row],[Odds]]/100*Bets3[[#This Row],[Risk]],(Bets3[[#This Row],[Risk]]/Bets3[[#This Row],[Odds]]*-100)),""))))</f>
        <v>10</v>
      </c>
      <c r="J169" s="39" t="str">
        <f>IF(ISNUMBER(SEARCH(CHAR(10),Bets3[[#This Row],[Bet]])),"P",IF(ISNUMBER(FIND("Under",Bets3[[#This Row],[Bet]])),"U",IF(ISNUMBER(SEARCH("Over",Bets3[[#This Row],[Bet]])),"O",IF(ISNUMBER(SEARCH("+",Bets3[[#This Row],[Bet]])),"D",IF(ISNUMBER(SEARCH("-",Bets3[[#This Row],[Bet]])),"F",IF(ISNUMBER(SEARCH("Moneyline",Bets3[[#This Row],[Bet]])),IF(Bets3[[#This Row],[Odds]]&lt;0,"MF","MD"),""))))))</f>
        <v>MF</v>
      </c>
      <c r="K169" s="24"/>
      <c r="N169" s="69"/>
      <c r="O169" s="27"/>
    </row>
    <row r="170" spans="1:15" x14ac:dyDescent="0.25">
      <c r="A170" s="13">
        <f t="shared" si="6"/>
        <v>15</v>
      </c>
      <c r="B170" s="17">
        <v>43600</v>
      </c>
      <c r="C170" s="17" t="s">
        <v>802</v>
      </c>
      <c r="D170" s="18" t="s">
        <v>1248</v>
      </c>
      <c r="E170" s="11" t="s">
        <v>1153</v>
      </c>
      <c r="F170" s="19">
        <f>IF(Bets35[[#This Row],[Odds]]&lt;0,Bets35[[#This Row],[Odds]]/-10,1000/Bets3[[#This Row],[Odds]])</f>
        <v>7.518796992481203</v>
      </c>
      <c r="G170" s="37" t="s">
        <v>1252</v>
      </c>
      <c r="H170" s="21" t="s">
        <v>263</v>
      </c>
      <c r="I170" s="45">
        <f>IF(Bets3[[#This Row],[Result]]="L",0-Bets3[[#This Row],[Risk]],IF(Bets3[[#This Row],[Result]]="Push",0,IF(Bets3[[#This Row],[Result]]="No Action",0,IF(Bets3[[#This Row],[Result]]="W",IF(Bets3[[#This Row],[Odds]]&gt;0,Bets3[[#This Row],[Odds]]/100*Bets3[[#This Row],[Risk]],(Bets3[[#This Row],[Risk]]/Bets3[[#This Row],[Odds]]*-100)),""))))</f>
        <v>-7.518796992481203</v>
      </c>
      <c r="J170" s="39" t="str">
        <f>IF(ISNUMBER(SEARCH(CHAR(10),Bets3[[#This Row],[Bet]])),"P",IF(ISNUMBER(FIND("Under",Bets3[[#This Row],[Bet]])),"U",IF(ISNUMBER(SEARCH("Over",Bets3[[#This Row],[Bet]])),"O",IF(ISNUMBER(SEARCH("+",Bets3[[#This Row],[Bet]])),"D",IF(ISNUMBER(SEARCH("-",Bets3[[#This Row],[Bet]])),"F",IF(ISNUMBER(SEARCH("Moneyline",Bets3[[#This Row],[Bet]])),IF(Bets3[[#This Row],[Odds]]&lt;0,"MF","MD"),""))))))</f>
        <v>MD</v>
      </c>
      <c r="K170" s="24"/>
      <c r="N170" s="69"/>
      <c r="O170" s="27"/>
    </row>
    <row r="171" spans="1:15" x14ac:dyDescent="0.25">
      <c r="A171" s="13">
        <f t="shared" si="6"/>
        <v>15</v>
      </c>
      <c r="B171" s="17">
        <v>43600</v>
      </c>
      <c r="C171" s="17" t="s">
        <v>802</v>
      </c>
      <c r="D171" s="18" t="s">
        <v>1250</v>
      </c>
      <c r="E171" s="11" t="s">
        <v>815</v>
      </c>
      <c r="F171" s="19">
        <f>IF(Bets35[[#This Row],[Odds]]&lt;0,Bets35[[#This Row],[Odds]]/-10,1000/Bets3[[#This Row],[Odds]])</f>
        <v>14</v>
      </c>
      <c r="G171" s="37">
        <v>-140</v>
      </c>
      <c r="H171" s="21" t="s">
        <v>262</v>
      </c>
      <c r="I171" s="45">
        <f>IF(Bets3[[#This Row],[Result]]="L",0-Bets3[[#This Row],[Risk]],IF(Bets3[[#This Row],[Result]]="Push",0,IF(Bets3[[#This Row],[Result]]="No Action",0,IF(Bets3[[#This Row],[Result]]="W",IF(Bets3[[#This Row],[Odds]]&gt;0,Bets3[[#This Row],[Odds]]/100*Bets3[[#This Row],[Risk]],(Bets3[[#This Row],[Risk]]/Bets3[[#This Row],[Odds]]*-100)),""))))</f>
        <v>10</v>
      </c>
      <c r="J171" s="39" t="str">
        <f>IF(ISNUMBER(SEARCH(CHAR(10),Bets3[[#This Row],[Bet]])),"P",IF(ISNUMBER(FIND("Under",Bets3[[#This Row],[Bet]])),"U",IF(ISNUMBER(SEARCH("Over",Bets3[[#This Row],[Bet]])),"O",IF(ISNUMBER(SEARCH("+",Bets3[[#This Row],[Bet]])),"D",IF(ISNUMBER(SEARCH("-",Bets3[[#This Row],[Bet]])),"F",IF(ISNUMBER(SEARCH("Moneyline",Bets3[[#This Row],[Bet]])),IF(Bets3[[#This Row],[Odds]]&lt;0,"MF","MD"),""))))))</f>
        <v>MF</v>
      </c>
      <c r="K171" s="24"/>
      <c r="N171" s="69"/>
      <c r="O171" s="27"/>
    </row>
    <row r="172" spans="1:15" x14ac:dyDescent="0.25">
      <c r="A172" s="13">
        <f t="shared" si="6"/>
        <v>15</v>
      </c>
      <c r="B172" s="17">
        <v>43600</v>
      </c>
      <c r="C172" s="17" t="s">
        <v>802</v>
      </c>
      <c r="D172" s="18" t="s">
        <v>1253</v>
      </c>
      <c r="E172" s="11" t="s">
        <v>870</v>
      </c>
      <c r="F172" s="19">
        <f>IF(Bets35[[#This Row],[Odds]]&lt;0,Bets35[[#This Row],[Odds]]/-10,1000/Bets3[[#This Row],[Odds]])</f>
        <v>13</v>
      </c>
      <c r="G172" s="37">
        <v>-130</v>
      </c>
      <c r="H172" s="21" t="s">
        <v>262</v>
      </c>
      <c r="I172" s="45">
        <f>IF(Bets3[[#This Row],[Result]]="L",0-Bets3[[#This Row],[Risk]],IF(Bets3[[#This Row],[Result]]="Push",0,IF(Bets3[[#This Row],[Result]]="No Action",0,IF(Bets3[[#This Row],[Result]]="W",IF(Bets3[[#This Row],[Odds]]&gt;0,Bets3[[#This Row],[Odds]]/100*Bets3[[#This Row],[Risk]],(Bets3[[#This Row],[Risk]]/Bets3[[#This Row],[Odds]]*-100)),""))))</f>
        <v>10</v>
      </c>
      <c r="J172" s="39" t="str">
        <f>IF(ISNUMBER(SEARCH(CHAR(10),Bets3[[#This Row],[Bet]])),"P",IF(ISNUMBER(FIND("Under",Bets3[[#This Row],[Bet]])),"U",IF(ISNUMBER(SEARCH("Over",Bets3[[#This Row],[Bet]])),"O",IF(ISNUMBER(SEARCH("+",Bets3[[#This Row],[Bet]])),"D",IF(ISNUMBER(SEARCH("-",Bets3[[#This Row],[Bet]])),"F",IF(ISNUMBER(SEARCH("Moneyline",Bets3[[#This Row],[Bet]])),IF(Bets3[[#This Row],[Odds]]&lt;0,"MF","MD"),""))))))</f>
        <v>MF</v>
      </c>
      <c r="K172" s="24"/>
      <c r="N172" s="69"/>
      <c r="O172" s="27"/>
    </row>
    <row r="173" spans="1:15" x14ac:dyDescent="0.25">
      <c r="A173" s="13">
        <f t="shared" si="6"/>
        <v>15</v>
      </c>
      <c r="B173" s="17">
        <v>43600</v>
      </c>
      <c r="C173" s="17" t="s">
        <v>802</v>
      </c>
      <c r="D173" s="18" t="s">
        <v>1240</v>
      </c>
      <c r="E173" s="11" t="s">
        <v>897</v>
      </c>
      <c r="F173" s="19">
        <f>IF(Bets35[[#This Row],[Odds]]&lt;0,Bets35[[#This Row],[Odds]]/-10,1000/Bets3[[#This Row],[Odds]])</f>
        <v>36</v>
      </c>
      <c r="G173" s="37">
        <v>-360</v>
      </c>
      <c r="H173" s="21" t="s">
        <v>262</v>
      </c>
      <c r="I173" s="45">
        <f>IF(Bets3[[#This Row],[Result]]="L",0-Bets3[[#This Row],[Risk]],IF(Bets3[[#This Row],[Result]]="Push",0,IF(Bets3[[#This Row],[Result]]="No Action",0,IF(Bets3[[#This Row],[Result]]="W",IF(Bets3[[#This Row],[Odds]]&gt;0,Bets3[[#This Row],[Odds]]/100*Bets3[[#This Row],[Risk]],(Bets3[[#This Row],[Risk]]/Bets3[[#This Row],[Odds]]*-100)),""))))</f>
        <v>10</v>
      </c>
      <c r="J173" s="39" t="str">
        <f>IF(ISNUMBER(SEARCH(CHAR(10),Bets3[[#This Row],[Bet]])),"P",IF(ISNUMBER(FIND("Under",Bets3[[#This Row],[Bet]])),"U",IF(ISNUMBER(SEARCH("Over",Bets3[[#This Row],[Bet]])),"O",IF(ISNUMBER(SEARCH("+",Bets3[[#This Row],[Bet]])),"D",IF(ISNUMBER(SEARCH("-",Bets3[[#This Row],[Bet]])),"F",IF(ISNUMBER(SEARCH("Moneyline",Bets3[[#This Row],[Bet]])),IF(Bets3[[#This Row],[Odds]]&lt;0,"MF","MD"),""))))))</f>
        <v>MF</v>
      </c>
      <c r="K173" s="24"/>
      <c r="N173" s="69"/>
      <c r="O173" s="27"/>
    </row>
    <row r="174" spans="1:15" x14ac:dyDescent="0.25">
      <c r="A174" s="13">
        <f t="shared" si="6"/>
        <v>15</v>
      </c>
      <c r="B174" s="17">
        <v>43600</v>
      </c>
      <c r="C174" s="17" t="s">
        <v>802</v>
      </c>
      <c r="D174" s="18" t="s">
        <v>1249</v>
      </c>
      <c r="E174" s="11" t="s">
        <v>819</v>
      </c>
      <c r="F174" s="19">
        <f>IF(Bets35[[#This Row],[Odds]]&lt;0,Bets35[[#This Row],[Odds]]/-10,1000/Bets3[[#This Row],[Odds]])</f>
        <v>18.5</v>
      </c>
      <c r="G174" s="37">
        <v>-185</v>
      </c>
      <c r="H174" s="21" t="s">
        <v>262</v>
      </c>
      <c r="I174" s="45">
        <f>IF(Bets3[[#This Row],[Result]]="L",0-Bets3[[#This Row],[Risk]],IF(Bets3[[#This Row],[Result]]="Push",0,IF(Bets3[[#This Row],[Result]]="No Action",0,IF(Bets3[[#This Row],[Result]]="W",IF(Bets3[[#This Row],[Odds]]&gt;0,Bets3[[#This Row],[Odds]]/100*Bets3[[#This Row],[Risk]],(Bets3[[#This Row],[Risk]]/Bets3[[#This Row],[Odds]]*-100)),""))))</f>
        <v>10</v>
      </c>
      <c r="J174" s="39" t="str">
        <f>IF(ISNUMBER(SEARCH(CHAR(10),Bets3[[#This Row],[Bet]])),"P",IF(ISNUMBER(FIND("Under",Bets3[[#This Row],[Bet]])),"U",IF(ISNUMBER(SEARCH("Over",Bets3[[#This Row],[Bet]])),"O",IF(ISNUMBER(SEARCH("+",Bets3[[#This Row],[Bet]])),"D",IF(ISNUMBER(SEARCH("-",Bets3[[#This Row],[Bet]])),"F",IF(ISNUMBER(SEARCH("Moneyline",Bets3[[#This Row],[Bet]])),IF(Bets3[[#This Row],[Odds]]&lt;0,"MF","MD"),""))))))</f>
        <v>MF</v>
      </c>
      <c r="K174" s="24"/>
      <c r="N174" s="69"/>
      <c r="O174" s="27"/>
    </row>
    <row r="175" spans="1:15" x14ac:dyDescent="0.25">
      <c r="A175" s="13">
        <f t="shared" si="6"/>
        <v>16</v>
      </c>
      <c r="B175" s="17">
        <v>43601</v>
      </c>
      <c r="C175" s="17" t="s">
        <v>802</v>
      </c>
      <c r="D175" s="18" t="s">
        <v>1239</v>
      </c>
      <c r="E175" s="11" t="s">
        <v>933</v>
      </c>
      <c r="F175" s="19">
        <f>IF(Bets35[[#This Row],[Odds]]&lt;0,Bets35[[#This Row],[Odds]]/-10,1000/Bets3[[#This Row],[Odds]])</f>
        <v>10.5</v>
      </c>
      <c r="G175" s="37">
        <v>-105</v>
      </c>
      <c r="H175" s="21" t="s">
        <v>263</v>
      </c>
      <c r="I175" s="45">
        <f>IF(Bets3[[#This Row],[Result]]="L",0-Bets3[[#This Row],[Risk]],IF(Bets3[[#This Row],[Result]]="Push",0,IF(Bets3[[#This Row],[Result]]="No Action",0,IF(Bets3[[#This Row],[Result]]="W",IF(Bets3[[#This Row],[Odds]]&gt;0,Bets3[[#This Row],[Odds]]/100*Bets3[[#This Row],[Risk]],(Bets3[[#This Row],[Risk]]/Bets3[[#This Row],[Odds]]*-100)),""))))</f>
        <v>-10.5</v>
      </c>
      <c r="J175" s="23" t="str">
        <f>IF(ISNUMBER(SEARCH(CHAR(10),Bets3[[#This Row],[Bet]])),"P",IF(ISNUMBER(FIND("Under",Bets3[[#This Row],[Bet]])),"U",IF(ISNUMBER(SEARCH("Over",Bets3[[#This Row],[Bet]])),"O",IF(ISNUMBER(SEARCH("+",Bets3[[#This Row],[Bet]])),"D",IF(ISNUMBER(SEARCH("-",Bets3[[#This Row],[Bet]])),"F",IF(ISNUMBER(SEARCH("Moneyline",Bets3[[#This Row],[Bet]])),IF(Bets3[[#This Row],[Odds]]&lt;0,"MF","MD"),""))))))</f>
        <v>U</v>
      </c>
      <c r="K175" s="24"/>
      <c r="N175" s="69"/>
      <c r="O175" s="27"/>
    </row>
    <row r="176" spans="1:15" x14ac:dyDescent="0.25">
      <c r="A176" s="13">
        <f t="shared" si="6"/>
        <v>16</v>
      </c>
      <c r="B176" s="17">
        <v>43601</v>
      </c>
      <c r="C176" s="17" t="s">
        <v>802</v>
      </c>
      <c r="D176" s="18" t="s">
        <v>1255</v>
      </c>
      <c r="E176" s="11" t="s">
        <v>877</v>
      </c>
      <c r="F176" s="19">
        <f>IF(Bets35[[#This Row],[Odds]]&lt;0,Bets35[[#This Row],[Odds]]/-10,1000/Bets3[[#This Row],[Odds]])</f>
        <v>10.5</v>
      </c>
      <c r="G176" s="37">
        <v>-105</v>
      </c>
      <c r="H176" s="21" t="s">
        <v>263</v>
      </c>
      <c r="I176" s="45">
        <f>IF(Bets3[[#This Row],[Result]]="L",0-Bets3[[#This Row],[Risk]],IF(Bets3[[#This Row],[Result]]="Push",0,IF(Bets3[[#This Row],[Result]]="No Action",0,IF(Bets3[[#This Row],[Result]]="W",IF(Bets3[[#This Row],[Odds]]&gt;0,Bets3[[#This Row],[Odds]]/100*Bets3[[#This Row],[Risk]],(Bets3[[#This Row],[Risk]]/Bets3[[#This Row],[Odds]]*-100)),""))))</f>
        <v>-10.5</v>
      </c>
      <c r="J176" s="23" t="str">
        <f>IF(ISNUMBER(SEARCH(CHAR(10),Bets3[[#This Row],[Bet]])),"P",IF(ISNUMBER(FIND("Under",Bets3[[#This Row],[Bet]])),"U",IF(ISNUMBER(SEARCH("Over",Bets3[[#This Row],[Bet]])),"O",IF(ISNUMBER(SEARCH("+",Bets3[[#This Row],[Bet]])),"D",IF(ISNUMBER(SEARCH("-",Bets3[[#This Row],[Bet]])),"F",IF(ISNUMBER(SEARCH("Moneyline",Bets3[[#This Row],[Bet]])),IF(Bets3[[#This Row],[Odds]]&lt;0,"MF","MD"),""))))))</f>
        <v>U</v>
      </c>
      <c r="K176" s="24"/>
      <c r="N176" s="69"/>
      <c r="O176" s="27"/>
    </row>
    <row r="177" spans="1:15" x14ac:dyDescent="0.25">
      <c r="A177" s="13">
        <f t="shared" si="6"/>
        <v>16</v>
      </c>
      <c r="B177" s="17">
        <v>43601</v>
      </c>
      <c r="C177" s="17" t="s">
        <v>802</v>
      </c>
      <c r="D177" s="18" t="s">
        <v>1246</v>
      </c>
      <c r="E177" s="11" t="s">
        <v>877</v>
      </c>
      <c r="F177" s="19">
        <f>IF(Bets35[[#This Row],[Odds]]&lt;0,Bets35[[#This Row],[Odds]]/-10,1000/Bets3[[#This Row],[Odds]])</f>
        <v>10</v>
      </c>
      <c r="G177" s="37">
        <v>100</v>
      </c>
      <c r="H177" s="21" t="s">
        <v>262</v>
      </c>
      <c r="I177" s="45">
        <f>IF(Bets3[[#This Row],[Result]]="L",0-Bets3[[#This Row],[Risk]],IF(Bets3[[#This Row],[Result]]="Push",0,IF(Bets3[[#This Row],[Result]]="No Action",0,IF(Bets3[[#This Row],[Result]]="W",IF(Bets3[[#This Row],[Odds]]&gt;0,Bets3[[#This Row],[Odds]]/100*Bets3[[#This Row],[Risk]],(Bets3[[#This Row],[Risk]]/Bets3[[#This Row],[Odds]]*-100)),""))))</f>
        <v>10</v>
      </c>
      <c r="J177" s="23" t="str">
        <f>IF(ISNUMBER(SEARCH(CHAR(10),Bets3[[#This Row],[Bet]])),"P",IF(ISNUMBER(FIND("Under",Bets3[[#This Row],[Bet]])),"U",IF(ISNUMBER(SEARCH("Over",Bets3[[#This Row],[Bet]])),"O",IF(ISNUMBER(SEARCH("+",Bets3[[#This Row],[Bet]])),"D",IF(ISNUMBER(SEARCH("-",Bets3[[#This Row],[Bet]])),"F",IF(ISNUMBER(SEARCH("Moneyline",Bets3[[#This Row],[Bet]])),IF(Bets3[[#This Row],[Odds]]&lt;0,"MF","MD"),""))))))</f>
        <v>U</v>
      </c>
      <c r="K177" s="24"/>
      <c r="N177" s="69"/>
      <c r="O177" s="27"/>
    </row>
    <row r="178" spans="1:15" x14ac:dyDescent="0.25">
      <c r="A178" s="13">
        <f t="shared" si="6"/>
        <v>16</v>
      </c>
      <c r="B178" s="17">
        <v>43601</v>
      </c>
      <c r="C178" s="17" t="s">
        <v>802</v>
      </c>
      <c r="D178" s="18" t="s">
        <v>1250</v>
      </c>
      <c r="E178" s="11" t="s">
        <v>1209</v>
      </c>
      <c r="F178" s="19">
        <f>IF(Bets35[[#This Row],[Odds]]&lt;0,Bets35[[#This Row],[Odds]]/-10,1000/Bets3[[#This Row],[Odds]])</f>
        <v>11.5</v>
      </c>
      <c r="G178" s="37">
        <v>-115</v>
      </c>
      <c r="H178" s="21" t="s">
        <v>263</v>
      </c>
      <c r="I178" s="45">
        <f>IF(Bets3[[#This Row],[Result]]="L",0-Bets3[[#This Row],[Risk]],IF(Bets3[[#This Row],[Result]]="Push",0,IF(Bets3[[#This Row],[Result]]="No Action",0,IF(Bets3[[#This Row],[Result]]="W",IF(Bets3[[#This Row],[Odds]]&gt;0,Bets3[[#This Row],[Odds]]/100*Bets3[[#This Row],[Risk]],(Bets3[[#This Row],[Risk]]/Bets3[[#This Row],[Odds]]*-100)),""))))</f>
        <v>-11.5</v>
      </c>
      <c r="J178" s="23" t="str">
        <f>IF(ISNUMBER(SEARCH(CHAR(10),Bets3[[#This Row],[Bet]])),"P",IF(ISNUMBER(FIND("Under",Bets3[[#This Row],[Bet]])),"U",IF(ISNUMBER(SEARCH("Over",Bets3[[#This Row],[Bet]])),"O",IF(ISNUMBER(SEARCH("+",Bets3[[#This Row],[Bet]])),"D",IF(ISNUMBER(SEARCH("-",Bets3[[#This Row],[Bet]])),"F",IF(ISNUMBER(SEARCH("Moneyline",Bets3[[#This Row],[Bet]])),IF(Bets3[[#This Row],[Odds]]&lt;0,"MF","MD"),""))))))</f>
        <v>U</v>
      </c>
      <c r="K178" s="24"/>
      <c r="N178" s="69"/>
      <c r="O178" s="27"/>
    </row>
    <row r="179" spans="1:15" x14ac:dyDescent="0.25">
      <c r="A179" s="13">
        <f t="shared" si="6"/>
        <v>16</v>
      </c>
      <c r="B179" s="17">
        <v>43601</v>
      </c>
      <c r="C179" s="17" t="s">
        <v>802</v>
      </c>
      <c r="D179" s="18" t="s">
        <v>1256</v>
      </c>
      <c r="E179" s="11" t="s">
        <v>1156</v>
      </c>
      <c r="F179" s="19">
        <f>IF(Bets35[[#This Row],[Odds]]&lt;0,Bets35[[#This Row],[Odds]]/-10,1000/Bets3[[#This Row],[Odds]])</f>
        <v>11.5</v>
      </c>
      <c r="G179" s="37">
        <v>-115</v>
      </c>
      <c r="H179" s="21" t="s">
        <v>262</v>
      </c>
      <c r="I179" s="45">
        <f>IF(Bets3[[#This Row],[Result]]="L",0-Bets3[[#This Row],[Risk]],IF(Bets3[[#This Row],[Result]]="Push",0,IF(Bets3[[#This Row],[Result]]="No Action",0,IF(Bets3[[#This Row],[Result]]="W",IF(Bets3[[#This Row],[Odds]]&gt;0,Bets3[[#This Row],[Odds]]/100*Bets3[[#This Row],[Risk]],(Bets3[[#This Row],[Risk]]/Bets3[[#This Row],[Odds]]*-100)),""))))</f>
        <v>10</v>
      </c>
      <c r="J179" s="23" t="str">
        <f>IF(ISNUMBER(SEARCH(CHAR(10),Bets3[[#This Row],[Bet]])),"P",IF(ISNUMBER(FIND("Under",Bets3[[#This Row],[Bet]])),"U",IF(ISNUMBER(SEARCH("Over",Bets3[[#This Row],[Bet]])),"O",IF(ISNUMBER(SEARCH("+",Bets3[[#This Row],[Bet]])),"D",IF(ISNUMBER(SEARCH("-",Bets3[[#This Row],[Bet]])),"F",IF(ISNUMBER(SEARCH("Moneyline",Bets3[[#This Row],[Bet]])),IF(Bets3[[#This Row],[Odds]]&lt;0,"MF","MD"),""))))))</f>
        <v>O</v>
      </c>
      <c r="K179" s="24"/>
      <c r="N179" s="69"/>
      <c r="O179" s="27"/>
    </row>
    <row r="180" spans="1:15" x14ac:dyDescent="0.25">
      <c r="A180" s="13">
        <f t="shared" si="6"/>
        <v>16</v>
      </c>
      <c r="B180" s="17">
        <v>43601</v>
      </c>
      <c r="C180" s="17" t="s">
        <v>802</v>
      </c>
      <c r="D180" s="18" t="s">
        <v>1257</v>
      </c>
      <c r="E180" s="11" t="s">
        <v>876</v>
      </c>
      <c r="F180" s="19">
        <f>IF(Bets35[[#This Row],[Odds]]&lt;0,Bets35[[#This Row],[Odds]]/-10,1000/Bets3[[#This Row],[Odds]])</f>
        <v>9.0909090909090917</v>
      </c>
      <c r="G180" s="37" t="s">
        <v>886</v>
      </c>
      <c r="H180" s="21" t="s">
        <v>263</v>
      </c>
      <c r="I180" s="45">
        <f>IF(Bets3[[#This Row],[Result]]="L",0-Bets3[[#This Row],[Risk]],IF(Bets3[[#This Row],[Result]]="Push",0,IF(Bets3[[#This Row],[Result]]="No Action",0,IF(Bets3[[#This Row],[Result]]="W",IF(Bets3[[#This Row],[Odds]]&gt;0,Bets3[[#This Row],[Odds]]/100*Bets3[[#This Row],[Risk]],(Bets3[[#This Row],[Risk]]/Bets3[[#This Row],[Odds]]*-100)),""))))</f>
        <v>-9.0909090909090917</v>
      </c>
      <c r="J180" s="23" t="str">
        <f>IF(ISNUMBER(SEARCH(CHAR(10),Bets3[[#This Row],[Bet]])),"P",IF(ISNUMBER(FIND("Under",Bets3[[#This Row],[Bet]])),"U",IF(ISNUMBER(SEARCH("Over",Bets3[[#This Row],[Bet]])),"O",IF(ISNUMBER(SEARCH("+",Bets3[[#This Row],[Bet]])),"D",IF(ISNUMBER(SEARCH("-",Bets3[[#This Row],[Bet]])),"F",IF(ISNUMBER(SEARCH("Moneyline",Bets3[[#This Row],[Bet]])),IF(Bets3[[#This Row],[Odds]]&lt;0,"MF","MD"),""))))))</f>
        <v>MD</v>
      </c>
      <c r="K180" s="24"/>
      <c r="N180" s="69"/>
      <c r="O180" s="27"/>
    </row>
    <row r="181" spans="1:15" x14ac:dyDescent="0.25">
      <c r="A181" s="13">
        <f t="shared" si="6"/>
        <v>17</v>
      </c>
      <c r="B181" s="17">
        <v>43602</v>
      </c>
      <c r="C181" s="17" t="s">
        <v>802</v>
      </c>
      <c r="D181" s="18" t="s">
        <v>1263</v>
      </c>
      <c r="E181" s="11" t="s">
        <v>822</v>
      </c>
      <c r="F181" s="19">
        <f>IF(Bets35[[#This Row],[Odds]]&lt;0,Bets35[[#This Row],[Odds]]/-10,1000/Bets3[[#This Row],[Odds]])</f>
        <v>12.2</v>
      </c>
      <c r="G181" s="71">
        <v>-122</v>
      </c>
      <c r="H181" s="21" t="s">
        <v>262</v>
      </c>
      <c r="I181" s="45">
        <f>IF(Bets3[[#This Row],[Result]]="L",0-Bets3[[#This Row],[Risk]],IF(Bets3[[#This Row],[Result]]="Push",0,IF(Bets3[[#This Row],[Result]]="No Action",0,IF(Bets3[[#This Row],[Result]]="W",IF(Bets3[[#This Row],[Odds]]&gt;0,Bets3[[#This Row],[Odds]]/100*Bets3[[#This Row],[Risk]],(Bets3[[#This Row],[Risk]]/Bets3[[#This Row],[Odds]]*-100)),""))))</f>
        <v>10</v>
      </c>
      <c r="J181" s="23" t="str">
        <f>IF(ISNUMBER(SEARCH(CHAR(10),Bets3[[#This Row],[Bet]])),"P",IF(ISNUMBER(FIND("Under",Bets3[[#This Row],[Bet]])),"U",IF(ISNUMBER(SEARCH("Over",Bets3[[#This Row],[Bet]])),"O",IF(ISNUMBER(SEARCH("+",Bets3[[#This Row],[Bet]])),"D",IF(ISNUMBER(SEARCH("-",Bets3[[#This Row],[Bet]])),"F",IF(ISNUMBER(SEARCH("Moneyline",Bets3[[#This Row],[Bet]])),IF(Bets3[[#This Row],[Odds]]&lt;0,"MF","MD"),""))))))</f>
        <v>MF</v>
      </c>
      <c r="K181" s="24"/>
      <c r="N181" s="69"/>
      <c r="O181" s="27"/>
    </row>
    <row r="182" spans="1:15" x14ac:dyDescent="0.25">
      <c r="A182" s="13">
        <f t="shared" si="6"/>
        <v>17</v>
      </c>
      <c r="B182" s="17">
        <v>43602</v>
      </c>
      <c r="C182" s="17" t="s">
        <v>802</v>
      </c>
      <c r="D182" s="18" t="s">
        <v>1264</v>
      </c>
      <c r="E182" s="11" t="s">
        <v>867</v>
      </c>
      <c r="F182" s="19">
        <f>IF(Bets35[[#This Row],[Odds]]&lt;0,Bets35[[#This Row],[Odds]]/-10,1000/Bets3[[#This Row],[Odds]])</f>
        <v>8</v>
      </c>
      <c r="G182" s="71" t="s">
        <v>868</v>
      </c>
      <c r="H182" s="21" t="s">
        <v>262</v>
      </c>
      <c r="I182" s="45">
        <f>IF(Bets3[[#This Row],[Result]]="L",0-Bets3[[#This Row],[Risk]],IF(Bets3[[#This Row],[Result]]="Push",0,IF(Bets3[[#This Row],[Result]]="No Action",0,IF(Bets3[[#This Row],[Result]]="W",IF(Bets3[[#This Row],[Odds]]&gt;0,Bets3[[#This Row],[Odds]]/100*Bets3[[#This Row],[Risk]],(Bets3[[#This Row],[Risk]]/Bets3[[#This Row],[Odds]]*-100)),""))))</f>
        <v>10</v>
      </c>
      <c r="J182" s="23" t="str">
        <f>IF(ISNUMBER(SEARCH(CHAR(10),Bets3[[#This Row],[Bet]])),"P",IF(ISNUMBER(FIND("Under",Bets3[[#This Row],[Bet]])),"U",IF(ISNUMBER(SEARCH("Over",Bets3[[#This Row],[Bet]])),"O",IF(ISNUMBER(SEARCH("+",Bets3[[#This Row],[Bet]])),"D",IF(ISNUMBER(SEARCH("-",Bets3[[#This Row],[Bet]])),"F",IF(ISNUMBER(SEARCH("Moneyline",Bets3[[#This Row],[Bet]])),IF(Bets3[[#This Row],[Odds]]&lt;0,"MF","MD"),""))))))</f>
        <v>MD</v>
      </c>
      <c r="K182" s="24"/>
      <c r="N182" s="69"/>
      <c r="O182" s="27"/>
    </row>
    <row r="183" spans="1:15" x14ac:dyDescent="0.25">
      <c r="A183" s="13">
        <f t="shared" si="6"/>
        <v>17</v>
      </c>
      <c r="B183" s="17">
        <v>43602</v>
      </c>
      <c r="C183" s="17" t="s">
        <v>802</v>
      </c>
      <c r="D183" s="18" t="s">
        <v>1265</v>
      </c>
      <c r="E183" s="11" t="s">
        <v>897</v>
      </c>
      <c r="F183" s="19">
        <f>IF(Bets35[[#This Row],[Odds]]&lt;0,Bets35[[#This Row],[Odds]]/-10,1000/Bets3[[#This Row],[Odds]])</f>
        <v>13.8</v>
      </c>
      <c r="G183" s="71">
        <v>-138</v>
      </c>
      <c r="H183" s="21" t="s">
        <v>262</v>
      </c>
      <c r="I183" s="45">
        <f>IF(Bets3[[#This Row],[Result]]="L",0-Bets3[[#This Row],[Risk]],IF(Bets3[[#This Row],[Result]]="Push",0,IF(Bets3[[#This Row],[Result]]="No Action",0,IF(Bets3[[#This Row],[Result]]="W",IF(Bets3[[#This Row],[Odds]]&gt;0,Bets3[[#This Row],[Odds]]/100*Bets3[[#This Row],[Risk]],(Bets3[[#This Row],[Risk]]/Bets3[[#This Row],[Odds]]*-100)),""))))</f>
        <v>10</v>
      </c>
      <c r="J183" s="23" t="str">
        <f>IF(ISNUMBER(SEARCH(CHAR(10),Bets3[[#This Row],[Bet]])),"P",IF(ISNUMBER(FIND("Under",Bets3[[#This Row],[Bet]])),"U",IF(ISNUMBER(SEARCH("Over",Bets3[[#This Row],[Bet]])),"O",IF(ISNUMBER(SEARCH("+",Bets3[[#This Row],[Bet]])),"D",IF(ISNUMBER(SEARCH("-",Bets3[[#This Row],[Bet]])),"F",IF(ISNUMBER(SEARCH("Moneyline",Bets3[[#This Row],[Bet]])),IF(Bets3[[#This Row],[Odds]]&lt;0,"MF","MD"),""))))))</f>
        <v>MF</v>
      </c>
      <c r="K183" s="24"/>
      <c r="N183" s="69"/>
      <c r="O183" s="27"/>
    </row>
    <row r="184" spans="1:15" x14ac:dyDescent="0.25">
      <c r="A184" s="13">
        <f t="shared" si="6"/>
        <v>17</v>
      </c>
      <c r="B184" s="17">
        <v>43602</v>
      </c>
      <c r="C184" s="17" t="s">
        <v>802</v>
      </c>
      <c r="D184" s="18" t="s">
        <v>1266</v>
      </c>
      <c r="E184" s="11" t="s">
        <v>880</v>
      </c>
      <c r="F184" s="19">
        <f>IF(Bets35[[#This Row],[Odds]]&lt;0,Bets35[[#This Row],[Odds]]/-10,1000/Bets3[[#This Row],[Odds]])</f>
        <v>10.5</v>
      </c>
      <c r="G184" s="71">
        <v>-105</v>
      </c>
      <c r="H184" s="21" t="s">
        <v>262</v>
      </c>
      <c r="I184" s="45">
        <f>IF(Bets3[[#This Row],[Result]]="L",0-Bets3[[#This Row],[Risk]],IF(Bets3[[#This Row],[Result]]="Push",0,IF(Bets3[[#This Row],[Result]]="No Action",0,IF(Bets3[[#This Row],[Result]]="W",IF(Bets3[[#This Row],[Odds]]&gt;0,Bets3[[#This Row],[Odds]]/100*Bets3[[#This Row],[Risk]],(Bets3[[#This Row],[Risk]]/Bets3[[#This Row],[Odds]]*-100)),""))))</f>
        <v>10</v>
      </c>
      <c r="J184" s="39" t="str">
        <f>IF(ISNUMBER(SEARCH(CHAR(10),Bets3[[#This Row],[Bet]])),"P",IF(ISNUMBER(FIND("Under",Bets3[[#This Row],[Bet]])),"U",IF(ISNUMBER(SEARCH("Over",Bets3[[#This Row],[Bet]])),"O",IF(ISNUMBER(SEARCH("+",Bets3[[#This Row],[Bet]])),"D",IF(ISNUMBER(SEARCH("-",Bets3[[#This Row],[Bet]])),"F",IF(ISNUMBER(SEARCH("Moneyline",Bets3[[#This Row],[Bet]])),IF(Bets3[[#This Row],[Odds]]&lt;0,"MF","MD"),""))))))</f>
        <v>U</v>
      </c>
      <c r="K184" s="24"/>
      <c r="N184" s="69"/>
      <c r="O184" s="27"/>
    </row>
    <row r="185" spans="1:15" x14ac:dyDescent="0.25">
      <c r="A185" s="13">
        <f t="shared" si="6"/>
        <v>17</v>
      </c>
      <c r="B185" s="17">
        <v>43602</v>
      </c>
      <c r="C185" s="17" t="s">
        <v>802</v>
      </c>
      <c r="D185" s="18" t="s">
        <v>1267</v>
      </c>
      <c r="E185" s="11" t="s">
        <v>869</v>
      </c>
      <c r="F185" s="19">
        <f>IF(Bets35[[#This Row],[Odds]]&lt;0,Bets35[[#This Row],[Odds]]/-10,1000/Bets3[[#This Row],[Odds]])</f>
        <v>16.2</v>
      </c>
      <c r="G185" s="71">
        <v>-162</v>
      </c>
      <c r="H185" s="21" t="s">
        <v>263</v>
      </c>
      <c r="I185" s="45">
        <f>IF(Bets3[[#This Row],[Result]]="L",0-Bets3[[#This Row],[Risk]],IF(Bets3[[#This Row],[Result]]="Push",0,IF(Bets3[[#This Row],[Result]]="No Action",0,IF(Bets3[[#This Row],[Result]]="W",IF(Bets3[[#This Row],[Odds]]&gt;0,Bets3[[#This Row],[Odds]]/100*Bets3[[#This Row],[Risk]],(Bets3[[#This Row],[Risk]]/Bets3[[#This Row],[Odds]]*-100)),""))))</f>
        <v>-16.2</v>
      </c>
      <c r="J185" s="39" t="str">
        <f>IF(ISNUMBER(SEARCH(CHAR(10),Bets3[[#This Row],[Bet]])),"P",IF(ISNUMBER(FIND("Under",Bets3[[#This Row],[Bet]])),"U",IF(ISNUMBER(SEARCH("Over",Bets3[[#This Row],[Bet]])),"O",IF(ISNUMBER(SEARCH("+",Bets3[[#This Row],[Bet]])),"D",IF(ISNUMBER(SEARCH("-",Bets3[[#This Row],[Bet]])),"F",IF(ISNUMBER(SEARCH("Moneyline",Bets3[[#This Row],[Bet]])),IF(Bets3[[#This Row],[Odds]]&lt;0,"MF","MD"),""))))))</f>
        <v>MF</v>
      </c>
      <c r="K185" s="24"/>
      <c r="N185" s="69"/>
      <c r="O185" s="27"/>
    </row>
    <row r="186" spans="1:15" x14ac:dyDescent="0.25">
      <c r="A186" s="13">
        <f t="shared" si="6"/>
        <v>17</v>
      </c>
      <c r="B186" s="17">
        <v>43602</v>
      </c>
      <c r="C186" s="17" t="s">
        <v>802</v>
      </c>
      <c r="D186" s="18" t="s">
        <v>1255</v>
      </c>
      <c r="E186" s="11" t="s">
        <v>933</v>
      </c>
      <c r="F186" s="19">
        <f>IF(Bets35[[#This Row],[Odds]]&lt;0,Bets35[[#This Row],[Odds]]/-10,1000/Bets3[[#This Row],[Odds]])</f>
        <v>12</v>
      </c>
      <c r="G186" s="71">
        <v>-120</v>
      </c>
      <c r="H186" s="21" t="s">
        <v>846</v>
      </c>
      <c r="I186" s="45">
        <f>IF(Bets3[[#This Row],[Result]]="L",0-Bets3[[#This Row],[Risk]],IF(Bets3[[#This Row],[Result]]="Push",0,IF(Bets3[[#This Row],[Result]]="No Action",0,IF(Bets3[[#This Row],[Result]]="W",IF(Bets3[[#This Row],[Odds]]&gt;0,Bets3[[#This Row],[Odds]]/100*Bets3[[#This Row],[Risk]],(Bets3[[#This Row],[Risk]]/Bets3[[#This Row],[Odds]]*-100)),""))))</f>
        <v>0</v>
      </c>
      <c r="J186" s="39" t="str">
        <f>IF(ISNUMBER(SEARCH(CHAR(10),Bets3[[#This Row],[Bet]])),"P",IF(ISNUMBER(FIND("Under",Bets3[[#This Row],[Bet]])),"U",IF(ISNUMBER(SEARCH("Over",Bets3[[#This Row],[Bet]])),"O",IF(ISNUMBER(SEARCH("+",Bets3[[#This Row],[Bet]])),"D",IF(ISNUMBER(SEARCH("-",Bets3[[#This Row],[Bet]])),"F",IF(ISNUMBER(SEARCH("Moneyline",Bets3[[#This Row],[Bet]])),IF(Bets3[[#This Row],[Odds]]&lt;0,"MF","MD"),""))))))</f>
        <v>U</v>
      </c>
      <c r="K186" s="24"/>
      <c r="N186" s="69"/>
      <c r="O186" s="27"/>
    </row>
    <row r="187" spans="1:15" x14ac:dyDescent="0.25">
      <c r="A187" s="13">
        <f t="shared" si="6"/>
        <v>17</v>
      </c>
      <c r="B187" s="17">
        <v>43602</v>
      </c>
      <c r="C187" s="17" t="s">
        <v>802</v>
      </c>
      <c r="D187" s="18" t="s">
        <v>1257</v>
      </c>
      <c r="E187" s="11" t="s">
        <v>876</v>
      </c>
      <c r="F187" s="19">
        <f>IF(Bets35[[#This Row],[Odds]]&lt;0,Bets35[[#This Row],[Odds]]/-10,1000/Bets3[[#This Row],[Odds]])</f>
        <v>7.2463768115942031</v>
      </c>
      <c r="G187" s="71" t="s">
        <v>1268</v>
      </c>
      <c r="H187" s="21" t="s">
        <v>262</v>
      </c>
      <c r="I187" s="45">
        <f>IF(Bets3[[#This Row],[Result]]="L",0-Bets3[[#This Row],[Risk]],IF(Bets3[[#This Row],[Result]]="Push",0,IF(Bets3[[#This Row],[Result]]="No Action",0,IF(Bets3[[#This Row],[Result]]="W",IF(Bets3[[#This Row],[Odds]]&gt;0,Bets3[[#This Row],[Odds]]/100*Bets3[[#This Row],[Risk]],(Bets3[[#This Row],[Risk]]/Bets3[[#This Row],[Odds]]*-100)),""))))</f>
        <v>10</v>
      </c>
      <c r="J187" s="39" t="str">
        <f>IF(ISNUMBER(SEARCH(CHAR(10),Bets3[[#This Row],[Bet]])),"P",IF(ISNUMBER(FIND("Under",Bets3[[#This Row],[Bet]])),"U",IF(ISNUMBER(SEARCH("Over",Bets3[[#This Row],[Bet]])),"O",IF(ISNUMBER(SEARCH("+",Bets3[[#This Row],[Bet]])),"D",IF(ISNUMBER(SEARCH("-",Bets3[[#This Row],[Bet]])),"F",IF(ISNUMBER(SEARCH("Moneyline",Bets3[[#This Row],[Bet]])),IF(Bets3[[#This Row],[Odds]]&lt;0,"MF","MD"),""))))))</f>
        <v>MD</v>
      </c>
      <c r="K187" s="24"/>
      <c r="N187" s="69"/>
      <c r="O187" s="27"/>
    </row>
    <row r="188" spans="1:15" x14ac:dyDescent="0.25">
      <c r="A188" s="13">
        <f t="shared" si="6"/>
        <v>18</v>
      </c>
      <c r="B188" s="17">
        <v>43606</v>
      </c>
      <c r="C188" s="17" t="s">
        <v>802</v>
      </c>
      <c r="D188" s="18" t="s">
        <v>1282</v>
      </c>
      <c r="E188" s="11" t="s">
        <v>834</v>
      </c>
      <c r="F188" s="19">
        <f>IF(Bets35[[#This Row],[Odds]]&lt;0,Bets35[[#This Row],[Odds]]/-10,1000/Bets3[[#This Row],[Odds]])</f>
        <v>9.2592592592592595</v>
      </c>
      <c r="G188" s="37" t="s">
        <v>1283</v>
      </c>
      <c r="H188" s="21" t="s">
        <v>262</v>
      </c>
      <c r="I188" s="45">
        <f>IF(Bets3[[#This Row],[Result]]="L",0-Bets3[[#This Row],[Risk]],IF(Bets3[[#This Row],[Result]]="Push",0,IF(Bets3[[#This Row],[Result]]="No Action",0,IF(Bets3[[#This Row],[Result]]="W",IF(Bets3[[#This Row],[Odds]]&gt;0,Bets3[[#This Row],[Odds]]/100*Bets3[[#This Row],[Risk]],(Bets3[[#This Row],[Risk]]/Bets3[[#This Row],[Odds]]*-100)),""))))</f>
        <v>10.000000000000002</v>
      </c>
      <c r="J188" s="39" t="str">
        <f>IF(ISNUMBER(SEARCH(CHAR(10),Bets3[[#This Row],[Bet]])),"P",IF(ISNUMBER(FIND("Under",Bets3[[#This Row],[Bet]])),"U",IF(ISNUMBER(SEARCH("Over",Bets3[[#This Row],[Bet]])),"O",IF(ISNUMBER(SEARCH("+",Bets3[[#This Row],[Bet]])),"D",IF(ISNUMBER(SEARCH("-",Bets3[[#This Row],[Bet]])),"F",IF(ISNUMBER(SEARCH("Moneyline",Bets3[[#This Row],[Bet]])),IF(Bets3[[#This Row],[Odds]]&lt;0,"MF","MD"),""))))))</f>
        <v>MD</v>
      </c>
      <c r="K188" s="24"/>
      <c r="N188" s="69"/>
      <c r="O188" s="27"/>
    </row>
    <row r="189" spans="1:15" x14ac:dyDescent="0.25">
      <c r="A189" s="13">
        <f t="shared" si="6"/>
        <v>18</v>
      </c>
      <c r="B189" s="17">
        <v>43606</v>
      </c>
      <c r="C189" s="17" t="s">
        <v>802</v>
      </c>
      <c r="D189" s="18" t="s">
        <v>1282</v>
      </c>
      <c r="E189" s="11" t="s">
        <v>877</v>
      </c>
      <c r="F189" s="19">
        <f>IF(Bets35[[#This Row],[Odds]]&lt;0,Bets35[[#This Row],[Odds]]/-10,1000/Bets3[[#This Row],[Odds]])</f>
        <v>11.5</v>
      </c>
      <c r="G189" s="37">
        <v>-115</v>
      </c>
      <c r="H189" s="21" t="s">
        <v>262</v>
      </c>
      <c r="I189" s="45">
        <f>IF(Bets3[[#This Row],[Result]]="L",0-Bets3[[#This Row],[Risk]],IF(Bets3[[#This Row],[Result]]="Push",0,IF(Bets3[[#This Row],[Result]]="No Action",0,IF(Bets3[[#This Row],[Result]]="W",IF(Bets3[[#This Row],[Odds]]&gt;0,Bets3[[#This Row],[Odds]]/100*Bets3[[#This Row],[Risk]],(Bets3[[#This Row],[Risk]]/Bets3[[#This Row],[Odds]]*-100)),""))))</f>
        <v>10</v>
      </c>
      <c r="J189" s="39" t="str">
        <f>IF(ISNUMBER(SEARCH(CHAR(10),Bets3[[#This Row],[Bet]])),"P",IF(ISNUMBER(FIND("Under",Bets3[[#This Row],[Bet]])),"U",IF(ISNUMBER(SEARCH("Over",Bets3[[#This Row],[Bet]])),"O",IF(ISNUMBER(SEARCH("+",Bets3[[#This Row],[Bet]])),"D",IF(ISNUMBER(SEARCH("-",Bets3[[#This Row],[Bet]])),"F",IF(ISNUMBER(SEARCH("Moneyline",Bets3[[#This Row],[Bet]])),IF(Bets3[[#This Row],[Odds]]&lt;0,"MF","MD"),""))))))</f>
        <v>U</v>
      </c>
      <c r="K189" s="24"/>
      <c r="N189" s="69"/>
      <c r="O189" s="27"/>
    </row>
    <row r="190" spans="1:15" x14ac:dyDescent="0.25">
      <c r="A190" s="13">
        <f t="shared" si="6"/>
        <v>18</v>
      </c>
      <c r="B190" s="17">
        <v>43606</v>
      </c>
      <c r="C190" s="17" t="s">
        <v>802</v>
      </c>
      <c r="D190" s="18" t="s">
        <v>1284</v>
      </c>
      <c r="E190" s="11" t="s">
        <v>1153</v>
      </c>
      <c r="F190" s="19">
        <f>IF(Bets35[[#This Row],[Odds]]&lt;0,Bets35[[#This Row],[Odds]]/-10,1000/Bets3[[#This Row],[Odds]])</f>
        <v>12.5</v>
      </c>
      <c r="G190" s="37">
        <v>-125</v>
      </c>
      <c r="H190" s="21" t="s">
        <v>262</v>
      </c>
      <c r="I190" s="45">
        <f>IF(Bets3[[#This Row],[Result]]="L",0-Bets3[[#This Row],[Risk]],IF(Bets3[[#This Row],[Result]]="Push",0,IF(Bets3[[#This Row],[Result]]="No Action",0,IF(Bets3[[#This Row],[Result]]="W",IF(Bets3[[#This Row],[Odds]]&gt;0,Bets3[[#This Row],[Odds]]/100*Bets3[[#This Row],[Risk]],(Bets3[[#This Row],[Risk]]/Bets3[[#This Row],[Odds]]*-100)),""))))</f>
        <v>10</v>
      </c>
      <c r="J190" s="39" t="str">
        <f>IF(ISNUMBER(SEARCH(CHAR(10),Bets3[[#This Row],[Bet]])),"P",IF(ISNUMBER(FIND("Under",Bets3[[#This Row],[Bet]])),"U",IF(ISNUMBER(SEARCH("Over",Bets3[[#This Row],[Bet]])),"O",IF(ISNUMBER(SEARCH("+",Bets3[[#This Row],[Bet]])),"D",IF(ISNUMBER(SEARCH("-",Bets3[[#This Row],[Bet]])),"F",IF(ISNUMBER(SEARCH("Moneyline",Bets3[[#This Row],[Bet]])),IF(Bets3[[#This Row],[Odds]]&lt;0,"MF","MD"),""))))))</f>
        <v>MF</v>
      </c>
      <c r="K190" s="24"/>
      <c r="N190" s="69"/>
      <c r="O190" s="27"/>
    </row>
    <row r="191" spans="1:15" x14ac:dyDescent="0.25">
      <c r="A191" s="13">
        <f t="shared" si="6"/>
        <v>18</v>
      </c>
      <c r="B191" s="17">
        <v>43606</v>
      </c>
      <c r="C191" s="17" t="s">
        <v>802</v>
      </c>
      <c r="D191" s="18" t="s">
        <v>1285</v>
      </c>
      <c r="E191" s="11" t="s">
        <v>880</v>
      </c>
      <c r="F191" s="19">
        <f>IF(Bets35[[#This Row],[Odds]]&lt;0,Bets35[[#This Row],[Odds]]/-10,1000/Bets3[[#This Row],[Odds]])</f>
        <v>12</v>
      </c>
      <c r="G191" s="37">
        <v>-120</v>
      </c>
      <c r="H191" s="21" t="s">
        <v>263</v>
      </c>
      <c r="I191" s="45">
        <f>IF(Bets3[[#This Row],[Result]]="L",0-Bets3[[#This Row],[Risk]],IF(Bets3[[#This Row],[Result]]="Push",0,IF(Bets3[[#This Row],[Result]]="No Action",0,IF(Bets3[[#This Row],[Result]]="W",IF(Bets3[[#This Row],[Odds]]&gt;0,Bets3[[#This Row],[Odds]]/100*Bets3[[#This Row],[Risk]],(Bets3[[#This Row],[Risk]]/Bets3[[#This Row],[Odds]]*-100)),""))))</f>
        <v>-12</v>
      </c>
      <c r="J191" s="39" t="str">
        <f>IF(ISNUMBER(SEARCH(CHAR(10),Bets3[[#This Row],[Bet]])),"P",IF(ISNUMBER(FIND("Under",Bets3[[#This Row],[Bet]])),"U",IF(ISNUMBER(SEARCH("Over",Bets3[[#This Row],[Bet]])),"O",IF(ISNUMBER(SEARCH("+",Bets3[[#This Row],[Bet]])),"D",IF(ISNUMBER(SEARCH("-",Bets3[[#This Row],[Bet]])),"F",IF(ISNUMBER(SEARCH("Moneyline",Bets3[[#This Row],[Bet]])),IF(Bets3[[#This Row],[Odds]]&lt;0,"MF","MD"),""))))))</f>
        <v>U</v>
      </c>
      <c r="K191" s="24"/>
      <c r="N191" s="69"/>
      <c r="O191" s="27"/>
    </row>
    <row r="192" spans="1:15" x14ac:dyDescent="0.25">
      <c r="A192" s="13">
        <f t="shared" si="6"/>
        <v>18</v>
      </c>
      <c r="B192" s="17">
        <v>43606</v>
      </c>
      <c r="C192" s="17" t="s">
        <v>802</v>
      </c>
      <c r="D192" s="18" t="s">
        <v>1286</v>
      </c>
      <c r="E192" s="11" t="s">
        <v>1287</v>
      </c>
      <c r="F192" s="19">
        <f>IF(Bets35[[#This Row],[Odds]]&lt;0,Bets35[[#This Row],[Odds]]/-10,1000/Bets3[[#This Row],[Odds]])</f>
        <v>12.5</v>
      </c>
      <c r="G192" s="37">
        <v>-125</v>
      </c>
      <c r="H192" s="21" t="s">
        <v>263</v>
      </c>
      <c r="I192" s="45">
        <f>IF(Bets3[[#This Row],[Result]]="L",0-Bets3[[#This Row],[Risk]],IF(Bets3[[#This Row],[Result]]="Push",0,IF(Bets3[[#This Row],[Result]]="No Action",0,IF(Bets3[[#This Row],[Result]]="W",IF(Bets3[[#This Row],[Odds]]&gt;0,Bets3[[#This Row],[Odds]]/100*Bets3[[#This Row],[Risk]],(Bets3[[#This Row],[Risk]]/Bets3[[#This Row],[Odds]]*-100)),""))))</f>
        <v>-12.5</v>
      </c>
      <c r="J192" s="39" t="str">
        <f>IF(ISNUMBER(SEARCH(CHAR(10),Bets3[[#This Row],[Bet]])),"P",IF(ISNUMBER(FIND("Under",Bets3[[#This Row],[Bet]])),"U",IF(ISNUMBER(SEARCH("Over",Bets3[[#This Row],[Bet]])),"O",IF(ISNUMBER(SEARCH("+",Bets3[[#This Row],[Bet]])),"D",IF(ISNUMBER(SEARCH("-",Bets3[[#This Row],[Bet]])),"F",IF(ISNUMBER(SEARCH("Moneyline",Bets3[[#This Row],[Bet]])),IF(Bets3[[#This Row],[Odds]]&lt;0,"MF","MD"),""))))))</f>
        <v>U</v>
      </c>
      <c r="K192" s="24"/>
      <c r="N192" s="69"/>
      <c r="O192" s="27"/>
    </row>
    <row r="193" spans="1:15" x14ac:dyDescent="0.25">
      <c r="A193" s="13">
        <f t="shared" si="6"/>
        <v>18</v>
      </c>
      <c r="B193" s="17">
        <v>43606</v>
      </c>
      <c r="C193" s="17" t="s">
        <v>802</v>
      </c>
      <c r="D193" s="18" t="s">
        <v>1288</v>
      </c>
      <c r="E193" s="11" t="s">
        <v>830</v>
      </c>
      <c r="F193" s="19">
        <f>IF(Bets35[[#This Row],[Odds]]&lt;0,Bets35[[#This Row],[Odds]]/-10,1000/Bets3[[#This Row],[Odds]])</f>
        <v>8</v>
      </c>
      <c r="G193" s="37" t="s">
        <v>868</v>
      </c>
      <c r="H193" s="21" t="s">
        <v>263</v>
      </c>
      <c r="I193" s="45">
        <f>IF(Bets3[[#This Row],[Result]]="L",0-Bets3[[#This Row],[Risk]],IF(Bets3[[#This Row],[Result]]="Push",0,IF(Bets3[[#This Row],[Result]]="No Action",0,IF(Bets3[[#This Row],[Result]]="W",IF(Bets3[[#This Row],[Odds]]&gt;0,Bets3[[#This Row],[Odds]]/100*Bets3[[#This Row],[Risk]],(Bets3[[#This Row],[Risk]]/Bets3[[#This Row],[Odds]]*-100)),""))))</f>
        <v>-8</v>
      </c>
      <c r="J193" s="39" t="str">
        <f>IF(ISNUMBER(SEARCH(CHAR(10),Bets3[[#This Row],[Bet]])),"P",IF(ISNUMBER(FIND("Under",Bets3[[#This Row],[Bet]])),"U",IF(ISNUMBER(SEARCH("Over",Bets3[[#This Row],[Bet]])),"O",IF(ISNUMBER(SEARCH("+",Bets3[[#This Row],[Bet]])),"D",IF(ISNUMBER(SEARCH("-",Bets3[[#This Row],[Bet]])),"F",IF(ISNUMBER(SEARCH("Moneyline",Bets3[[#This Row],[Bet]])),IF(Bets3[[#This Row],[Odds]]&lt;0,"MF","MD"),""))))))</f>
        <v>MD</v>
      </c>
      <c r="K193" s="24"/>
      <c r="N193" s="69"/>
      <c r="O193" s="27"/>
    </row>
    <row r="194" spans="1:15" x14ac:dyDescent="0.25">
      <c r="A194" s="13">
        <f t="shared" si="6"/>
        <v>18</v>
      </c>
      <c r="B194" s="17">
        <v>43606</v>
      </c>
      <c r="C194" s="17" t="s">
        <v>802</v>
      </c>
      <c r="D194" s="18" t="s">
        <v>1289</v>
      </c>
      <c r="E194" s="11" t="s">
        <v>819</v>
      </c>
      <c r="F194" s="19">
        <f>IF(Bets35[[#This Row],[Odds]]&lt;0,Bets35[[#This Row],[Odds]]/-10,1000/Bets3[[#This Row],[Odds]])</f>
        <v>7.8740157480314963</v>
      </c>
      <c r="G194" s="37" t="s">
        <v>1290</v>
      </c>
      <c r="H194" s="21" t="s">
        <v>263</v>
      </c>
      <c r="I194" s="45">
        <f>IF(Bets3[[#This Row],[Result]]="L",0-Bets3[[#This Row],[Risk]],IF(Bets3[[#This Row],[Result]]="Push",0,IF(Bets3[[#This Row],[Result]]="No Action",0,IF(Bets3[[#This Row],[Result]]="W",IF(Bets3[[#This Row],[Odds]]&gt;0,Bets3[[#This Row],[Odds]]/100*Bets3[[#This Row],[Risk]],(Bets3[[#This Row],[Risk]]/Bets3[[#This Row],[Odds]]*-100)),""))))</f>
        <v>-7.8740157480314963</v>
      </c>
      <c r="J194" s="39" t="str">
        <f>IF(ISNUMBER(SEARCH(CHAR(10),Bets3[[#This Row],[Bet]])),"P",IF(ISNUMBER(FIND("Under",Bets3[[#This Row],[Bet]])),"U",IF(ISNUMBER(SEARCH("Over",Bets3[[#This Row],[Bet]])),"O",IF(ISNUMBER(SEARCH("+",Bets3[[#This Row],[Bet]])),"D",IF(ISNUMBER(SEARCH("-",Bets3[[#This Row],[Bet]])),"F",IF(ISNUMBER(SEARCH("Moneyline",Bets3[[#This Row],[Bet]])),IF(Bets3[[#This Row],[Odds]]&lt;0,"MF","MD"),""))))))</f>
        <v>MD</v>
      </c>
      <c r="K194" s="24"/>
      <c r="N194" s="69"/>
      <c r="O194" s="27"/>
    </row>
    <row r="195" spans="1:15" x14ac:dyDescent="0.25">
      <c r="A195" s="13">
        <f t="shared" si="6"/>
        <v>18</v>
      </c>
      <c r="B195" s="17">
        <v>43606</v>
      </c>
      <c r="C195" s="17" t="s">
        <v>802</v>
      </c>
      <c r="D195" s="18" t="s">
        <v>1291</v>
      </c>
      <c r="E195" s="11" t="s">
        <v>933</v>
      </c>
      <c r="F195" s="19">
        <f>IF(Bets35[[#This Row],[Odds]]&lt;0,Bets35[[#This Row],[Odds]]/-10,1000/Bets3[[#This Row],[Odds]])</f>
        <v>12</v>
      </c>
      <c r="G195" s="37">
        <v>-120</v>
      </c>
      <c r="H195" s="21" t="s">
        <v>262</v>
      </c>
      <c r="I195" s="45">
        <f>IF(Bets3[[#This Row],[Result]]="L",0-Bets3[[#This Row],[Risk]],IF(Bets3[[#This Row],[Result]]="Push",0,IF(Bets3[[#This Row],[Result]]="No Action",0,IF(Bets3[[#This Row],[Result]]="W",IF(Bets3[[#This Row],[Odds]]&gt;0,Bets3[[#This Row],[Odds]]/100*Bets3[[#This Row],[Risk]],(Bets3[[#This Row],[Risk]]/Bets3[[#This Row],[Odds]]*-100)),""))))</f>
        <v>10</v>
      </c>
      <c r="J195" s="39" t="str">
        <f>IF(ISNUMBER(SEARCH(CHAR(10),Bets3[[#This Row],[Bet]])),"P",IF(ISNUMBER(FIND("Under",Bets3[[#This Row],[Bet]])),"U",IF(ISNUMBER(SEARCH("Over",Bets3[[#This Row],[Bet]])),"O",IF(ISNUMBER(SEARCH("+",Bets3[[#This Row],[Bet]])),"D",IF(ISNUMBER(SEARCH("-",Bets3[[#This Row],[Bet]])),"F",IF(ISNUMBER(SEARCH("Moneyline",Bets3[[#This Row],[Bet]])),IF(Bets3[[#This Row],[Odds]]&lt;0,"MF","MD"),""))))))</f>
        <v>U</v>
      </c>
      <c r="K195" s="24"/>
      <c r="N195" s="69"/>
      <c r="O195" s="27"/>
    </row>
    <row r="196" spans="1:15" x14ac:dyDescent="0.25">
      <c r="A196" s="13">
        <f t="shared" ref="A196:A259" si="9">IF(B196=B195,A195,A195+1)</f>
        <v>18</v>
      </c>
      <c r="B196" s="17">
        <v>43606</v>
      </c>
      <c r="C196" s="17" t="s">
        <v>802</v>
      </c>
      <c r="D196" s="18" t="s">
        <v>1292</v>
      </c>
      <c r="E196" s="11" t="s">
        <v>815</v>
      </c>
      <c r="F196" s="19">
        <f>IF(Bets35[[#This Row],[Odds]]&lt;0,Bets35[[#This Row],[Odds]]/-10,1000/Bets3[[#This Row],[Odds]])</f>
        <v>11.2</v>
      </c>
      <c r="G196" s="37">
        <v>-112</v>
      </c>
      <c r="H196" s="21" t="s">
        <v>263</v>
      </c>
      <c r="I196" s="45">
        <f>IF(Bets3[[#This Row],[Result]]="L",0-Bets3[[#This Row],[Risk]],IF(Bets3[[#This Row],[Result]]="Push",0,IF(Bets3[[#This Row],[Result]]="No Action",0,IF(Bets3[[#This Row],[Result]]="W",IF(Bets3[[#This Row],[Odds]]&gt;0,Bets3[[#This Row],[Odds]]/100*Bets3[[#This Row],[Risk]],(Bets3[[#This Row],[Risk]]/Bets3[[#This Row],[Odds]]*-100)),""))))</f>
        <v>-11.2</v>
      </c>
      <c r="J196" s="39" t="str">
        <f>IF(ISNUMBER(SEARCH(CHAR(10),Bets3[[#This Row],[Bet]])),"P",IF(ISNUMBER(FIND("Under",Bets3[[#This Row],[Bet]])),"U",IF(ISNUMBER(SEARCH("Over",Bets3[[#This Row],[Bet]])),"O",IF(ISNUMBER(SEARCH("+",Bets3[[#This Row],[Bet]])),"D",IF(ISNUMBER(SEARCH("-",Bets3[[#This Row],[Bet]])),"F",IF(ISNUMBER(SEARCH("Moneyline",Bets3[[#This Row],[Bet]])),IF(Bets3[[#This Row],[Odds]]&lt;0,"MF","MD"),""))))))</f>
        <v>MF</v>
      </c>
      <c r="K196" s="24"/>
      <c r="N196" s="69"/>
      <c r="O196" s="27"/>
    </row>
    <row r="197" spans="1:15" x14ac:dyDescent="0.25">
      <c r="A197" s="13">
        <f t="shared" si="9"/>
        <v>18</v>
      </c>
      <c r="B197" s="17">
        <v>43606</v>
      </c>
      <c r="C197" s="17" t="s">
        <v>802</v>
      </c>
      <c r="D197" s="18" t="s">
        <v>1293</v>
      </c>
      <c r="E197" s="11" t="s">
        <v>1178</v>
      </c>
      <c r="F197" s="19">
        <f>IF(Bets35[[#This Row],[Odds]]&lt;0,Bets35[[#This Row],[Odds]]/-10,1000/Bets3[[#This Row],[Odds]])</f>
        <v>10.5</v>
      </c>
      <c r="G197" s="37">
        <v>-105</v>
      </c>
      <c r="H197" s="21" t="s">
        <v>262</v>
      </c>
      <c r="I197" s="45">
        <f>IF(Bets3[[#This Row],[Result]]="L",0-Bets3[[#This Row],[Risk]],IF(Bets3[[#This Row],[Result]]="Push",0,IF(Bets3[[#This Row],[Result]]="No Action",0,IF(Bets3[[#This Row],[Result]]="W",IF(Bets3[[#This Row],[Odds]]&gt;0,Bets3[[#This Row],[Odds]]/100*Bets3[[#This Row],[Risk]],(Bets3[[#This Row],[Risk]]/Bets3[[#This Row],[Odds]]*-100)),""))))</f>
        <v>10</v>
      </c>
      <c r="J197" s="39" t="str">
        <f>IF(ISNUMBER(SEARCH(CHAR(10),Bets3[[#This Row],[Bet]])),"P",IF(ISNUMBER(FIND("Under",Bets3[[#This Row],[Bet]])),"U",IF(ISNUMBER(SEARCH("Over",Bets3[[#This Row],[Bet]])),"O",IF(ISNUMBER(SEARCH("+",Bets3[[#This Row],[Bet]])),"D",IF(ISNUMBER(SEARCH("-",Bets3[[#This Row],[Bet]])),"F",IF(ISNUMBER(SEARCH("Moneyline",Bets3[[#This Row],[Bet]])),IF(Bets3[[#This Row],[Odds]]&lt;0,"MF","MD"),""))))))</f>
        <v>MF</v>
      </c>
      <c r="K197" s="24"/>
      <c r="N197" s="69"/>
      <c r="O197" s="27"/>
    </row>
    <row r="198" spans="1:15" x14ac:dyDescent="0.25">
      <c r="A198" s="13">
        <f t="shared" si="9"/>
        <v>18</v>
      </c>
      <c r="B198" s="17">
        <v>43606</v>
      </c>
      <c r="C198" s="17" t="s">
        <v>802</v>
      </c>
      <c r="D198" s="18" t="s">
        <v>1294</v>
      </c>
      <c r="E198" s="11" t="s">
        <v>1180</v>
      </c>
      <c r="F198" s="19">
        <f>IF(Bets35[[#This Row],[Odds]]&lt;0,Bets35[[#This Row],[Odds]]/-10,1000/Bets3[[#This Row],[Odds]])</f>
        <v>11</v>
      </c>
      <c r="G198" s="37">
        <v>-110</v>
      </c>
      <c r="H198" s="21" t="s">
        <v>263</v>
      </c>
      <c r="I198" s="45">
        <f>IF(Bets3[[#This Row],[Result]]="L",0-Bets3[[#This Row],[Risk]],IF(Bets3[[#This Row],[Result]]="Push",0,IF(Bets3[[#This Row],[Result]]="No Action",0,IF(Bets3[[#This Row],[Result]]="W",IF(Bets3[[#This Row],[Odds]]&gt;0,Bets3[[#This Row],[Odds]]/100*Bets3[[#This Row],[Risk]],(Bets3[[#This Row],[Risk]]/Bets3[[#This Row],[Odds]]*-100)),""))))</f>
        <v>-11</v>
      </c>
      <c r="J198" s="39" t="str">
        <f>IF(ISNUMBER(SEARCH(CHAR(10),Bets3[[#This Row],[Bet]])),"P",IF(ISNUMBER(FIND("Under",Bets3[[#This Row],[Bet]])),"U",IF(ISNUMBER(SEARCH("Over",Bets3[[#This Row],[Bet]])),"O",IF(ISNUMBER(SEARCH("+",Bets3[[#This Row],[Bet]])),"D",IF(ISNUMBER(SEARCH("-",Bets3[[#This Row],[Bet]])),"F",IF(ISNUMBER(SEARCH("Moneyline",Bets3[[#This Row],[Bet]])),IF(Bets3[[#This Row],[Odds]]&lt;0,"MF","MD"),""))))))</f>
        <v>MF</v>
      </c>
      <c r="K198" s="24"/>
      <c r="N198" s="69"/>
      <c r="O198" s="27"/>
    </row>
    <row r="199" spans="1:15" x14ac:dyDescent="0.25">
      <c r="A199" s="13">
        <f t="shared" si="9"/>
        <v>19</v>
      </c>
      <c r="B199" s="17">
        <v>43608</v>
      </c>
      <c r="C199" s="17" t="s">
        <v>802</v>
      </c>
      <c r="D199" s="18" t="s">
        <v>1285</v>
      </c>
      <c r="E199" s="11" t="s">
        <v>880</v>
      </c>
      <c r="F199" s="19">
        <f>IF(Bets35[[#This Row],[Odds]]&lt;0,Bets35[[#This Row],[Odds]]/-10,1000/Bets3[[#This Row],[Odds]])</f>
        <v>11.5</v>
      </c>
      <c r="G199" s="37">
        <v>-115</v>
      </c>
      <c r="H199" s="21" t="s">
        <v>263</v>
      </c>
      <c r="I199" s="45">
        <f>IF(Bets3[[#This Row],[Result]]="L",0-Bets3[[#This Row],[Risk]],IF(Bets3[[#This Row],[Result]]="Push",0,IF(Bets3[[#This Row],[Result]]="No Action",0,IF(Bets3[[#This Row],[Result]]="W",IF(Bets3[[#This Row],[Odds]]&gt;0,Bets3[[#This Row],[Odds]]/100*Bets3[[#This Row],[Risk]],(Bets3[[#This Row],[Risk]]/Bets3[[#This Row],[Odds]]*-100)),""))))</f>
        <v>-11.5</v>
      </c>
      <c r="J199" s="39" t="str">
        <f>IF(ISNUMBER(SEARCH(CHAR(10),Bets3[[#This Row],[Bet]])),"P",IF(ISNUMBER(FIND("Under",Bets3[[#This Row],[Bet]])),"U",IF(ISNUMBER(SEARCH("Over",Bets3[[#This Row],[Bet]])),"O",IF(ISNUMBER(SEARCH("+",Bets3[[#This Row],[Bet]])),"D",IF(ISNUMBER(SEARCH("-",Bets3[[#This Row],[Bet]])),"F",IF(ISNUMBER(SEARCH("Moneyline",Bets3[[#This Row],[Bet]])),IF(Bets3[[#This Row],[Odds]]&lt;0,"MF","MD"),""))))))</f>
        <v>U</v>
      </c>
      <c r="K199" s="24"/>
      <c r="N199" s="69"/>
      <c r="O199" s="27"/>
    </row>
    <row r="200" spans="1:15" x14ac:dyDescent="0.25">
      <c r="A200" s="13">
        <f t="shared" si="9"/>
        <v>19</v>
      </c>
      <c r="B200" s="17">
        <v>43608</v>
      </c>
      <c r="C200" s="17" t="s">
        <v>802</v>
      </c>
      <c r="D200" s="18" t="s">
        <v>1284</v>
      </c>
      <c r="E200" s="11" t="s">
        <v>905</v>
      </c>
      <c r="F200" s="19">
        <f>IF(Bets35[[#This Row],[Odds]]&lt;0,Bets35[[#This Row],[Odds]]/-10,1000/Bets3[[#This Row],[Odds]])</f>
        <v>10.5</v>
      </c>
      <c r="G200" s="37">
        <v>-105</v>
      </c>
      <c r="H200" s="21" t="s">
        <v>262</v>
      </c>
      <c r="I200" s="45">
        <f>IF(Bets3[[#This Row],[Result]]="L",0-Bets3[[#This Row],[Risk]],IF(Bets3[[#This Row],[Result]]="Push",0,IF(Bets3[[#This Row],[Result]]="No Action",0,IF(Bets3[[#This Row],[Result]]="W",IF(Bets3[[#This Row],[Odds]]&gt;0,Bets3[[#This Row],[Odds]]/100*Bets3[[#This Row],[Risk]],(Bets3[[#This Row],[Risk]]/Bets3[[#This Row],[Odds]]*-100)),""))))</f>
        <v>10</v>
      </c>
      <c r="J200" s="39" t="str">
        <f>IF(ISNUMBER(SEARCH(CHAR(10),Bets3[[#This Row],[Bet]])),"P",IF(ISNUMBER(FIND("Under",Bets3[[#This Row],[Bet]])),"U",IF(ISNUMBER(SEARCH("Over",Bets3[[#This Row],[Bet]])),"O",IF(ISNUMBER(SEARCH("+",Bets3[[#This Row],[Bet]])),"D",IF(ISNUMBER(SEARCH("-",Bets3[[#This Row],[Bet]])),"F",IF(ISNUMBER(SEARCH("Moneyline",Bets3[[#This Row],[Bet]])),IF(Bets3[[#This Row],[Odds]]&lt;0,"MF","MD"),""))))))</f>
        <v>O</v>
      </c>
      <c r="K200" s="24"/>
      <c r="N200" s="69"/>
      <c r="O200" s="27"/>
    </row>
    <row r="201" spans="1:15" x14ac:dyDescent="0.25">
      <c r="A201" s="13">
        <f t="shared" si="9"/>
        <v>19</v>
      </c>
      <c r="B201" s="17">
        <v>43608</v>
      </c>
      <c r="C201" s="17" t="s">
        <v>802</v>
      </c>
      <c r="D201" s="18" t="s">
        <v>1303</v>
      </c>
      <c r="E201" s="11" t="s">
        <v>1210</v>
      </c>
      <c r="F201" s="19">
        <f>IF(Bets35[[#This Row],[Odds]]&lt;0,Bets35[[#This Row],[Odds]]/-10,1000/Bets3[[#This Row],[Odds]])</f>
        <v>13</v>
      </c>
      <c r="G201" s="37">
        <v>-130</v>
      </c>
      <c r="H201" s="21" t="s">
        <v>262</v>
      </c>
      <c r="I201" s="45">
        <f>IF(Bets3[[#This Row],[Result]]="L",0-Bets3[[#This Row],[Risk]],IF(Bets3[[#This Row],[Result]]="Push",0,IF(Bets3[[#This Row],[Result]]="No Action",0,IF(Bets3[[#This Row],[Result]]="W",IF(Bets3[[#This Row],[Odds]]&gt;0,Bets3[[#This Row],[Odds]]/100*Bets3[[#This Row],[Risk]],(Bets3[[#This Row],[Risk]]/Bets3[[#This Row],[Odds]]*-100)),""))))</f>
        <v>10</v>
      </c>
      <c r="J201" s="39" t="str">
        <f>IF(ISNUMBER(SEARCH(CHAR(10),Bets3[[#This Row],[Bet]])),"P",IF(ISNUMBER(FIND("Under",Bets3[[#This Row],[Bet]])),"U",IF(ISNUMBER(SEARCH("Over",Bets3[[#This Row],[Bet]])),"O",IF(ISNUMBER(SEARCH("+",Bets3[[#This Row],[Bet]])),"D",IF(ISNUMBER(SEARCH("-",Bets3[[#This Row],[Bet]])),"F",IF(ISNUMBER(SEARCH("Moneyline",Bets3[[#This Row],[Bet]])),IF(Bets3[[#This Row],[Odds]]&lt;0,"MF","MD"),""))))))</f>
        <v>MF</v>
      </c>
      <c r="K201" s="24"/>
      <c r="N201" s="69"/>
      <c r="O201" s="27"/>
    </row>
    <row r="202" spans="1:15" x14ac:dyDescent="0.25">
      <c r="A202" s="13">
        <f t="shared" si="9"/>
        <v>19</v>
      </c>
      <c r="B202" s="17">
        <v>43608</v>
      </c>
      <c r="C202" s="17" t="s">
        <v>802</v>
      </c>
      <c r="D202" s="18" t="s">
        <v>1303</v>
      </c>
      <c r="E202" s="11" t="s">
        <v>1209</v>
      </c>
      <c r="F202" s="19">
        <f>IF(Bets35[[#This Row],[Odds]]&lt;0,Bets35[[#This Row],[Odds]]/-10,1000/Bets3[[#This Row],[Odds]])</f>
        <v>10.5</v>
      </c>
      <c r="G202" s="37">
        <v>-105</v>
      </c>
      <c r="H202" s="21" t="s">
        <v>846</v>
      </c>
      <c r="I202" s="45">
        <f>IF(Bets3[[#This Row],[Result]]="L",0-Bets3[[#This Row],[Risk]],IF(Bets3[[#This Row],[Result]]="Push",0,IF(Bets3[[#This Row],[Result]]="No Action",0,IF(Bets3[[#This Row],[Result]]="W",IF(Bets3[[#This Row],[Odds]]&gt;0,Bets3[[#This Row],[Odds]]/100*Bets3[[#This Row],[Risk]],(Bets3[[#This Row],[Risk]]/Bets3[[#This Row],[Odds]]*-100)),""))))</f>
        <v>0</v>
      </c>
      <c r="J202" s="39" t="str">
        <f>IF(ISNUMBER(SEARCH(CHAR(10),Bets3[[#This Row],[Bet]])),"P",IF(ISNUMBER(FIND("Under",Bets3[[#This Row],[Bet]])),"U",IF(ISNUMBER(SEARCH("Over",Bets3[[#This Row],[Bet]])),"O",IF(ISNUMBER(SEARCH("+",Bets3[[#This Row],[Bet]])),"D",IF(ISNUMBER(SEARCH("-",Bets3[[#This Row],[Bet]])),"F",IF(ISNUMBER(SEARCH("Moneyline",Bets3[[#This Row],[Bet]])),IF(Bets3[[#This Row],[Odds]]&lt;0,"MF","MD"),""))))))</f>
        <v>U</v>
      </c>
      <c r="K202" s="24"/>
      <c r="N202" s="69"/>
      <c r="O202" s="27"/>
    </row>
    <row r="203" spans="1:15" x14ac:dyDescent="0.25">
      <c r="A203" s="13">
        <f t="shared" si="9"/>
        <v>19</v>
      </c>
      <c r="B203" s="17">
        <v>43608</v>
      </c>
      <c r="C203" s="17" t="s">
        <v>802</v>
      </c>
      <c r="D203" s="18" t="s">
        <v>1286</v>
      </c>
      <c r="E203" s="11" t="s">
        <v>933</v>
      </c>
      <c r="F203" s="19">
        <f>IF(Bets35[[#This Row],[Odds]]&lt;0,Bets35[[#This Row],[Odds]]/-10,1000/Bets3[[#This Row],[Odds]])</f>
        <v>11.5</v>
      </c>
      <c r="G203" s="37">
        <v>-115</v>
      </c>
      <c r="H203" s="21" t="s">
        <v>262</v>
      </c>
      <c r="I203" s="45">
        <f>IF(Bets3[[#This Row],[Result]]="L",0-Bets3[[#This Row],[Risk]],IF(Bets3[[#This Row],[Result]]="Push",0,IF(Bets3[[#This Row],[Result]]="No Action",0,IF(Bets3[[#This Row],[Result]]="W",IF(Bets3[[#This Row],[Odds]]&gt;0,Bets3[[#This Row],[Odds]]/100*Bets3[[#This Row],[Risk]],(Bets3[[#This Row],[Risk]]/Bets3[[#This Row],[Odds]]*-100)),""))))</f>
        <v>10</v>
      </c>
      <c r="J203" s="39" t="str">
        <f>IF(ISNUMBER(SEARCH(CHAR(10),Bets3[[#This Row],[Bet]])),"P",IF(ISNUMBER(FIND("Under",Bets3[[#This Row],[Bet]])),"U",IF(ISNUMBER(SEARCH("Over",Bets3[[#This Row],[Bet]])),"O",IF(ISNUMBER(SEARCH("+",Bets3[[#This Row],[Bet]])),"D",IF(ISNUMBER(SEARCH("-",Bets3[[#This Row],[Bet]])),"F",IF(ISNUMBER(SEARCH("Moneyline",Bets3[[#This Row],[Bet]])),IF(Bets3[[#This Row],[Odds]]&lt;0,"MF","MD"),""))))))</f>
        <v>U</v>
      </c>
      <c r="K203" s="24"/>
      <c r="N203" s="69"/>
      <c r="O203" s="27"/>
    </row>
    <row r="204" spans="1:15" x14ac:dyDescent="0.25">
      <c r="A204" s="13">
        <f t="shared" si="9"/>
        <v>19</v>
      </c>
      <c r="B204" s="17">
        <v>43608</v>
      </c>
      <c r="C204" s="17" t="s">
        <v>802</v>
      </c>
      <c r="D204" s="18" t="s">
        <v>1304</v>
      </c>
      <c r="E204" s="11" t="s">
        <v>867</v>
      </c>
      <c r="F204" s="19">
        <f>IF(Bets35[[#This Row],[Odds]]&lt;0,Bets35[[#This Row],[Odds]]/-10,1000/Bets3[[#This Row],[Odds]])</f>
        <v>12.5</v>
      </c>
      <c r="G204" s="37">
        <v>-125</v>
      </c>
      <c r="H204" s="21" t="s">
        <v>263</v>
      </c>
      <c r="I204" s="45">
        <f>IF(Bets3[[#This Row],[Result]]="L",0-Bets3[[#This Row],[Risk]],IF(Bets3[[#This Row],[Result]]="Push",0,IF(Bets3[[#This Row],[Result]]="No Action",0,IF(Bets3[[#This Row],[Result]]="W",IF(Bets3[[#This Row],[Odds]]&gt;0,Bets3[[#This Row],[Odds]]/100*Bets3[[#This Row],[Risk]],(Bets3[[#This Row],[Risk]]/Bets3[[#This Row],[Odds]]*-100)),""))))</f>
        <v>-12.5</v>
      </c>
      <c r="J204" s="39" t="str">
        <f>IF(ISNUMBER(SEARCH(CHAR(10),Bets3[[#This Row],[Bet]])),"P",IF(ISNUMBER(FIND("Under",Bets3[[#This Row],[Bet]])),"U",IF(ISNUMBER(SEARCH("Over",Bets3[[#This Row],[Bet]])),"O",IF(ISNUMBER(SEARCH("+",Bets3[[#This Row],[Bet]])),"D",IF(ISNUMBER(SEARCH("-",Bets3[[#This Row],[Bet]])),"F",IF(ISNUMBER(SEARCH("Moneyline",Bets3[[#This Row],[Bet]])),IF(Bets3[[#This Row],[Odds]]&lt;0,"MF","MD"),""))))))</f>
        <v>MF</v>
      </c>
      <c r="K204" s="24"/>
      <c r="N204" s="69"/>
      <c r="O204" s="27"/>
    </row>
    <row r="205" spans="1:15" x14ac:dyDescent="0.25">
      <c r="A205" s="13">
        <f t="shared" si="9"/>
        <v>19</v>
      </c>
      <c r="B205" s="17">
        <v>43608</v>
      </c>
      <c r="C205" s="17" t="s">
        <v>802</v>
      </c>
      <c r="D205" s="18" t="s">
        <v>1292</v>
      </c>
      <c r="E205" s="11" t="s">
        <v>815</v>
      </c>
      <c r="F205" s="19">
        <f>IF(Bets35[[#This Row],[Odds]]&lt;0,Bets35[[#This Row],[Odds]]/-10,1000/Bets3[[#This Row],[Odds]])</f>
        <v>13</v>
      </c>
      <c r="G205" s="37">
        <v>-130</v>
      </c>
      <c r="H205" s="21" t="s">
        <v>262</v>
      </c>
      <c r="I205" s="45">
        <f>IF(Bets3[[#This Row],[Result]]="L",0-Bets3[[#This Row],[Risk]],IF(Bets3[[#This Row],[Result]]="Push",0,IF(Bets3[[#This Row],[Result]]="No Action",0,IF(Bets3[[#This Row],[Result]]="W",IF(Bets3[[#This Row],[Odds]]&gt;0,Bets3[[#This Row],[Odds]]/100*Bets3[[#This Row],[Risk]],(Bets3[[#This Row],[Risk]]/Bets3[[#This Row],[Odds]]*-100)),""))))</f>
        <v>10</v>
      </c>
      <c r="J205" s="39" t="str">
        <f>IF(ISNUMBER(SEARCH(CHAR(10),Bets3[[#This Row],[Bet]])),"P",IF(ISNUMBER(FIND("Under",Bets3[[#This Row],[Bet]])),"U",IF(ISNUMBER(SEARCH("Over",Bets3[[#This Row],[Bet]])),"O",IF(ISNUMBER(SEARCH("+",Bets3[[#This Row],[Bet]])),"D",IF(ISNUMBER(SEARCH("-",Bets3[[#This Row],[Bet]])),"F",IF(ISNUMBER(SEARCH("Moneyline",Bets3[[#This Row],[Bet]])),IF(Bets3[[#This Row],[Odds]]&lt;0,"MF","MD"),""))))))</f>
        <v>MF</v>
      </c>
      <c r="K205" s="24"/>
      <c r="N205" s="69"/>
      <c r="O205" s="27"/>
    </row>
    <row r="206" spans="1:15" x14ac:dyDescent="0.25">
      <c r="A206" s="13">
        <f t="shared" si="9"/>
        <v>19</v>
      </c>
      <c r="B206" s="17">
        <v>43608</v>
      </c>
      <c r="C206" s="17" t="s">
        <v>802</v>
      </c>
      <c r="D206" s="18" t="s">
        <v>1305</v>
      </c>
      <c r="E206" s="11" t="s">
        <v>869</v>
      </c>
      <c r="F206" s="19">
        <f>IF(Bets35[[#This Row],[Odds]]&lt;0,Bets35[[#This Row],[Odds]]/-10,1000/Bets3[[#This Row],[Odds]])</f>
        <v>9.5238095238095237</v>
      </c>
      <c r="G206" s="37" t="s">
        <v>1306</v>
      </c>
      <c r="H206" s="21" t="s">
        <v>263</v>
      </c>
      <c r="I206" s="45">
        <f>IF(Bets3[[#This Row],[Result]]="L",0-Bets3[[#This Row],[Risk]],IF(Bets3[[#This Row],[Result]]="Push",0,IF(Bets3[[#This Row],[Result]]="No Action",0,IF(Bets3[[#This Row],[Result]]="W",IF(Bets3[[#This Row],[Odds]]&gt;0,Bets3[[#This Row],[Odds]]/100*Bets3[[#This Row],[Risk]],(Bets3[[#This Row],[Risk]]/Bets3[[#This Row],[Odds]]*-100)),""))))</f>
        <v>-9.5238095238095237</v>
      </c>
      <c r="J206" s="39" t="str">
        <f>IF(ISNUMBER(SEARCH(CHAR(10),Bets3[[#This Row],[Bet]])),"P",IF(ISNUMBER(FIND("Under",Bets3[[#This Row],[Bet]])),"U",IF(ISNUMBER(SEARCH("Over",Bets3[[#This Row],[Bet]])),"O",IF(ISNUMBER(SEARCH("+",Bets3[[#This Row],[Bet]])),"D",IF(ISNUMBER(SEARCH("-",Bets3[[#This Row],[Bet]])),"F",IF(ISNUMBER(SEARCH("Moneyline",Bets3[[#This Row],[Bet]])),IF(Bets3[[#This Row],[Odds]]&lt;0,"MF","MD"),""))))))</f>
        <v>MD</v>
      </c>
      <c r="K206" s="24"/>
      <c r="N206" s="69"/>
      <c r="O206" s="27"/>
    </row>
    <row r="207" spans="1:15" x14ac:dyDescent="0.25">
      <c r="A207" s="13">
        <f t="shared" si="9"/>
        <v>20</v>
      </c>
      <c r="B207" s="17">
        <v>43613</v>
      </c>
      <c r="C207" s="17" t="s">
        <v>802</v>
      </c>
      <c r="D207" s="18" t="s">
        <v>1335</v>
      </c>
      <c r="E207" s="11" t="s">
        <v>880</v>
      </c>
      <c r="F207" s="19">
        <f>IF(Bets35[[#This Row],[Odds]]&lt;0,Bets35[[#This Row],[Odds]]/-10,1000/Bets3[[#This Row],[Odds]])</f>
        <v>11.5</v>
      </c>
      <c r="G207" s="37">
        <v>-115</v>
      </c>
      <c r="H207" s="21" t="s">
        <v>262</v>
      </c>
      <c r="I207" s="45">
        <f>IF(Bets3[[#This Row],[Result]]="L",0-Bets3[[#This Row],[Risk]],IF(Bets3[[#This Row],[Result]]="Push",0,IF(Bets3[[#This Row],[Result]]="No Action",0,IF(Bets3[[#This Row],[Result]]="W",IF(Bets3[[#This Row],[Odds]]&gt;0,Bets3[[#This Row],[Odds]]/100*Bets3[[#This Row],[Risk]],(Bets3[[#This Row],[Risk]]/Bets3[[#This Row],[Odds]]*-100)),""))))</f>
        <v>10</v>
      </c>
      <c r="J207" s="39" t="str">
        <f>IF(ISNUMBER(SEARCH(CHAR(10),Bets3[[#This Row],[Bet]])),"P",IF(ISNUMBER(FIND("Under",Bets3[[#This Row],[Bet]])),"U",IF(ISNUMBER(SEARCH("Over",Bets3[[#This Row],[Bet]])),"O",IF(ISNUMBER(SEARCH("+",Bets3[[#This Row],[Bet]])),"D",IF(ISNUMBER(SEARCH("-",Bets3[[#This Row],[Bet]])),"F",IF(ISNUMBER(SEARCH("Moneyline",Bets3[[#This Row],[Bet]])),IF(Bets3[[#This Row],[Odds]]&lt;0,"MF","MD"),""))))))</f>
        <v>U</v>
      </c>
      <c r="K207" s="24"/>
      <c r="N207" s="69"/>
      <c r="O207" s="27"/>
    </row>
    <row r="208" spans="1:15" x14ac:dyDescent="0.25">
      <c r="A208" s="13">
        <f t="shared" si="9"/>
        <v>20</v>
      </c>
      <c r="B208" s="17">
        <v>43613</v>
      </c>
      <c r="C208" s="17" t="s">
        <v>802</v>
      </c>
      <c r="D208" s="18" t="s">
        <v>1336</v>
      </c>
      <c r="E208" s="11" t="s">
        <v>1209</v>
      </c>
      <c r="F208" s="19">
        <f>IF(Bets35[[#This Row],[Odds]]&lt;0,Bets35[[#This Row],[Odds]]/-10,1000/Bets3[[#This Row],[Odds]])</f>
        <v>11</v>
      </c>
      <c r="G208" s="37">
        <v>-110</v>
      </c>
      <c r="H208" s="21" t="s">
        <v>263</v>
      </c>
      <c r="I208" s="45">
        <f>IF(Bets3[[#This Row],[Result]]="L",0-Bets3[[#This Row],[Risk]],IF(Bets3[[#This Row],[Result]]="Push",0,IF(Bets3[[#This Row],[Result]]="No Action",0,IF(Bets3[[#This Row],[Result]]="W",IF(Bets3[[#This Row],[Odds]]&gt;0,Bets3[[#This Row],[Odds]]/100*Bets3[[#This Row],[Risk]],(Bets3[[#This Row],[Risk]]/Bets3[[#This Row],[Odds]]*-100)),""))))</f>
        <v>-11</v>
      </c>
      <c r="J208" s="39" t="str">
        <f>IF(ISNUMBER(SEARCH(CHAR(10),Bets3[[#This Row],[Bet]])),"P",IF(ISNUMBER(FIND("Under",Bets3[[#This Row],[Bet]])),"U",IF(ISNUMBER(SEARCH("Over",Bets3[[#This Row],[Bet]])),"O",IF(ISNUMBER(SEARCH("+",Bets3[[#This Row],[Bet]])),"D",IF(ISNUMBER(SEARCH("-",Bets3[[#This Row],[Bet]])),"F",IF(ISNUMBER(SEARCH("Moneyline",Bets3[[#This Row],[Bet]])),IF(Bets3[[#This Row],[Odds]]&lt;0,"MF","MD"),""))))))</f>
        <v>U</v>
      </c>
      <c r="K208" s="24"/>
      <c r="N208" s="69"/>
      <c r="O208" s="27"/>
    </row>
    <row r="209" spans="1:15" x14ac:dyDescent="0.25">
      <c r="A209" s="13">
        <f t="shared" si="9"/>
        <v>20</v>
      </c>
      <c r="B209" s="17">
        <v>43613</v>
      </c>
      <c r="C209" s="17" t="s">
        <v>802</v>
      </c>
      <c r="D209" s="18" t="s">
        <v>1337</v>
      </c>
      <c r="E209" s="11" t="s">
        <v>933</v>
      </c>
      <c r="F209" s="19">
        <f>IF(Bets35[[#This Row],[Odds]]&lt;0,Bets35[[#This Row],[Odds]]/-10,1000/Bets3[[#This Row],[Odds]])</f>
        <v>12</v>
      </c>
      <c r="G209" s="37">
        <v>-120</v>
      </c>
      <c r="H209" s="21" t="s">
        <v>262</v>
      </c>
      <c r="I209" s="45">
        <f>IF(Bets3[[#This Row],[Result]]="L",0-Bets3[[#This Row],[Risk]],IF(Bets3[[#This Row],[Result]]="Push",0,IF(Bets3[[#This Row],[Result]]="No Action",0,IF(Bets3[[#This Row],[Result]]="W",IF(Bets3[[#This Row],[Odds]]&gt;0,Bets3[[#This Row],[Odds]]/100*Bets3[[#This Row],[Risk]],(Bets3[[#This Row],[Risk]]/Bets3[[#This Row],[Odds]]*-100)),""))))</f>
        <v>10</v>
      </c>
      <c r="J209" s="39" t="str">
        <f>IF(ISNUMBER(SEARCH(CHAR(10),Bets3[[#This Row],[Bet]])),"P",IF(ISNUMBER(FIND("Under",Bets3[[#This Row],[Bet]])),"U",IF(ISNUMBER(SEARCH("Over",Bets3[[#This Row],[Bet]])),"O",IF(ISNUMBER(SEARCH("+",Bets3[[#This Row],[Bet]])),"D",IF(ISNUMBER(SEARCH("-",Bets3[[#This Row],[Bet]])),"F",IF(ISNUMBER(SEARCH("Moneyline",Bets3[[#This Row],[Bet]])),IF(Bets3[[#This Row],[Odds]]&lt;0,"MF","MD"),""))))))</f>
        <v>U</v>
      </c>
      <c r="K209" s="24"/>
      <c r="N209" s="69"/>
      <c r="O209" s="27"/>
    </row>
    <row r="210" spans="1:15" x14ac:dyDescent="0.25">
      <c r="A210" s="13">
        <f t="shared" si="9"/>
        <v>20</v>
      </c>
      <c r="B210" s="17">
        <v>43613</v>
      </c>
      <c r="C210" s="17" t="s">
        <v>802</v>
      </c>
      <c r="D210" s="18" t="s">
        <v>1338</v>
      </c>
      <c r="E210" s="11" t="s">
        <v>899</v>
      </c>
      <c r="F210" s="19">
        <f>IF(Bets35[[#This Row],[Odds]]&lt;0,Bets35[[#This Row],[Odds]]/-10,1000/Bets3[[#This Row],[Odds]])</f>
        <v>9.5238095238095237</v>
      </c>
      <c r="G210" s="37" t="s">
        <v>1306</v>
      </c>
      <c r="H210" s="21" t="s">
        <v>263</v>
      </c>
      <c r="I210" s="45">
        <f>IF(Bets3[[#This Row],[Result]]="L",0-Bets3[[#This Row],[Risk]],IF(Bets3[[#This Row],[Result]]="Push",0,IF(Bets3[[#This Row],[Result]]="No Action",0,IF(Bets3[[#This Row],[Result]]="W",IF(Bets3[[#This Row],[Odds]]&gt;0,Bets3[[#This Row],[Odds]]/100*Bets3[[#This Row],[Risk]],(Bets3[[#This Row],[Risk]]/Bets3[[#This Row],[Odds]]*-100)),""))))</f>
        <v>-9.5238095238095237</v>
      </c>
      <c r="J210" s="39" t="str">
        <f>IF(ISNUMBER(SEARCH(CHAR(10),Bets3[[#This Row],[Bet]])),"P",IF(ISNUMBER(FIND("Under",Bets3[[#This Row],[Bet]])),"U",IF(ISNUMBER(SEARCH("Over",Bets3[[#This Row],[Bet]])),"O",IF(ISNUMBER(SEARCH("+",Bets3[[#This Row],[Bet]])),"D",IF(ISNUMBER(SEARCH("-",Bets3[[#This Row],[Bet]])),"F",IF(ISNUMBER(SEARCH("Moneyline",Bets3[[#This Row],[Bet]])),IF(Bets3[[#This Row],[Odds]]&lt;0,"MF","MD"),""))))))</f>
        <v>MD</v>
      </c>
      <c r="K210" s="24"/>
      <c r="N210" s="69"/>
      <c r="O210" s="27"/>
    </row>
    <row r="211" spans="1:15" x14ac:dyDescent="0.25">
      <c r="A211" s="13">
        <f t="shared" si="9"/>
        <v>20</v>
      </c>
      <c r="B211" s="17">
        <v>43613</v>
      </c>
      <c r="C211" s="17" t="s">
        <v>802</v>
      </c>
      <c r="D211" s="18" t="s">
        <v>1339</v>
      </c>
      <c r="E211" s="11" t="s">
        <v>810</v>
      </c>
      <c r="F211" s="19">
        <f>IF(Bets35[[#This Row],[Odds]]&lt;0,Bets35[[#This Row],[Odds]]/-10,1000/Bets3[[#This Row],[Odds]])</f>
        <v>11</v>
      </c>
      <c r="G211" s="37">
        <v>-110</v>
      </c>
      <c r="H211" s="21" t="s">
        <v>263</v>
      </c>
      <c r="I211" s="45">
        <f>IF(Bets3[[#This Row],[Result]]="L",0-Bets3[[#This Row],[Risk]],IF(Bets3[[#This Row],[Result]]="Push",0,IF(Bets3[[#This Row],[Result]]="No Action",0,IF(Bets3[[#This Row],[Result]]="W",IF(Bets3[[#This Row],[Odds]]&gt;0,Bets3[[#This Row],[Odds]]/100*Bets3[[#This Row],[Risk]],(Bets3[[#This Row],[Risk]]/Bets3[[#This Row],[Odds]]*-100)),""))))</f>
        <v>-11</v>
      </c>
      <c r="J211" s="39" t="str">
        <f>IF(ISNUMBER(SEARCH(CHAR(10),Bets3[[#This Row],[Bet]])),"P",IF(ISNUMBER(FIND("Under",Bets3[[#This Row],[Bet]])),"U",IF(ISNUMBER(SEARCH("Over",Bets3[[#This Row],[Bet]])),"O",IF(ISNUMBER(SEARCH("+",Bets3[[#This Row],[Bet]])),"D",IF(ISNUMBER(SEARCH("-",Bets3[[#This Row],[Bet]])),"F",IF(ISNUMBER(SEARCH("Moneyline",Bets3[[#This Row],[Bet]])),IF(Bets3[[#This Row],[Odds]]&lt;0,"MF","MD"),""))))))</f>
        <v>MF</v>
      </c>
      <c r="K211" s="24"/>
      <c r="N211" s="69"/>
      <c r="O211" s="27"/>
    </row>
    <row r="212" spans="1:15" x14ac:dyDescent="0.25">
      <c r="A212" s="13">
        <f t="shared" si="9"/>
        <v>20</v>
      </c>
      <c r="B212" s="17">
        <v>43613</v>
      </c>
      <c r="C212" s="17" t="s">
        <v>802</v>
      </c>
      <c r="D212" s="18" t="s">
        <v>1340</v>
      </c>
      <c r="E212" s="11" t="s">
        <v>877</v>
      </c>
      <c r="F212" s="19">
        <f>IF(Bets35[[#This Row],[Odds]]&lt;0,Bets35[[#This Row],[Odds]]/-10,1000/Bets3[[#This Row],[Odds]])</f>
        <v>12</v>
      </c>
      <c r="G212" s="37">
        <v>-120</v>
      </c>
      <c r="H212" s="21" t="s">
        <v>262</v>
      </c>
      <c r="I212" s="45">
        <f>IF(Bets3[[#This Row],[Result]]="L",0-Bets3[[#This Row],[Risk]],IF(Bets3[[#This Row],[Result]]="Push",0,IF(Bets3[[#This Row],[Result]]="No Action",0,IF(Bets3[[#This Row],[Result]]="W",IF(Bets3[[#This Row],[Odds]]&gt;0,Bets3[[#This Row],[Odds]]/100*Bets3[[#This Row],[Risk]],(Bets3[[#This Row],[Risk]]/Bets3[[#This Row],[Odds]]*-100)),""))))</f>
        <v>10</v>
      </c>
      <c r="J212" s="39" t="str">
        <f>IF(ISNUMBER(SEARCH(CHAR(10),Bets3[[#This Row],[Bet]])),"P",IF(ISNUMBER(FIND("Under",Bets3[[#This Row],[Bet]])),"U",IF(ISNUMBER(SEARCH("Over",Bets3[[#This Row],[Bet]])),"O",IF(ISNUMBER(SEARCH("+",Bets3[[#This Row],[Bet]])),"D",IF(ISNUMBER(SEARCH("-",Bets3[[#This Row],[Bet]])),"F",IF(ISNUMBER(SEARCH("Moneyline",Bets3[[#This Row],[Bet]])),IF(Bets3[[#This Row],[Odds]]&lt;0,"MF","MD"),""))))))</f>
        <v>U</v>
      </c>
      <c r="K212" s="24"/>
      <c r="N212" s="69"/>
      <c r="O212" s="27"/>
    </row>
    <row r="213" spans="1:15" x14ac:dyDescent="0.25">
      <c r="A213" s="13">
        <f t="shared" si="9"/>
        <v>20</v>
      </c>
      <c r="B213" s="17">
        <v>43613</v>
      </c>
      <c r="C213" s="17" t="s">
        <v>802</v>
      </c>
      <c r="D213" s="18" t="s">
        <v>1341</v>
      </c>
      <c r="E213" s="11" t="s">
        <v>1180</v>
      </c>
      <c r="F213" s="19">
        <f>IF(Bets35[[#This Row],[Odds]]&lt;0,Bets35[[#This Row],[Odds]]/-10,1000/Bets3[[#This Row],[Odds]])</f>
        <v>8.4745762711864412</v>
      </c>
      <c r="G213" s="37" t="s">
        <v>1342</v>
      </c>
      <c r="H213" s="21" t="s">
        <v>263</v>
      </c>
      <c r="I213" s="45">
        <f>IF(Bets3[[#This Row],[Result]]="L",0-Bets3[[#This Row],[Risk]],IF(Bets3[[#This Row],[Result]]="Push",0,IF(Bets3[[#This Row],[Result]]="No Action",0,IF(Bets3[[#This Row],[Result]]="W",IF(Bets3[[#This Row],[Odds]]&gt;0,Bets3[[#This Row],[Odds]]/100*Bets3[[#This Row],[Risk]],(Bets3[[#This Row],[Risk]]/Bets3[[#This Row],[Odds]]*-100)),""))))</f>
        <v>-8.4745762711864412</v>
      </c>
      <c r="J213" s="39" t="str">
        <f>IF(ISNUMBER(SEARCH(CHAR(10),Bets3[[#This Row],[Bet]])),"P",IF(ISNUMBER(FIND("Under",Bets3[[#This Row],[Bet]])),"U",IF(ISNUMBER(SEARCH("Over",Bets3[[#This Row],[Bet]])),"O",IF(ISNUMBER(SEARCH("+",Bets3[[#This Row],[Bet]])),"D",IF(ISNUMBER(SEARCH("-",Bets3[[#This Row],[Bet]])),"F",IF(ISNUMBER(SEARCH("Moneyline",Bets3[[#This Row],[Bet]])),IF(Bets3[[#This Row],[Odds]]&lt;0,"MF","MD"),""))))))</f>
        <v>MD</v>
      </c>
      <c r="K213" s="24"/>
      <c r="N213" s="69"/>
      <c r="O213" s="27"/>
    </row>
    <row r="214" spans="1:15" x14ac:dyDescent="0.25">
      <c r="A214" s="13">
        <f t="shared" si="9"/>
        <v>20</v>
      </c>
      <c r="B214" s="17">
        <v>43613</v>
      </c>
      <c r="C214" s="17" t="s">
        <v>802</v>
      </c>
      <c r="D214" s="18" t="s">
        <v>1341</v>
      </c>
      <c r="E214" s="11" t="s">
        <v>1343</v>
      </c>
      <c r="F214" s="19">
        <f>IF(Bets35[[#This Row],[Odds]]&lt;0,Bets35[[#This Row],[Odds]]/-10,1000/Bets3[[#This Row],[Odds]])</f>
        <v>10</v>
      </c>
      <c r="G214" s="37">
        <v>100</v>
      </c>
      <c r="H214" s="21" t="s">
        <v>262</v>
      </c>
      <c r="I214" s="45">
        <f>IF(Bets3[[#This Row],[Result]]="L",0-Bets3[[#This Row],[Risk]],IF(Bets3[[#This Row],[Result]]="Push",0,IF(Bets3[[#This Row],[Result]]="No Action",0,IF(Bets3[[#This Row],[Result]]="W",IF(Bets3[[#This Row],[Odds]]&gt;0,Bets3[[#This Row],[Odds]]/100*Bets3[[#This Row],[Risk]],(Bets3[[#This Row],[Risk]]/Bets3[[#This Row],[Odds]]*-100)),""))))</f>
        <v>10</v>
      </c>
      <c r="J214" s="39" t="str">
        <f>IF(ISNUMBER(SEARCH(CHAR(10),Bets3[[#This Row],[Bet]])),"P",IF(ISNUMBER(FIND("Under",Bets3[[#This Row],[Bet]])),"U",IF(ISNUMBER(SEARCH("Over",Bets3[[#This Row],[Bet]])),"O",IF(ISNUMBER(SEARCH("+",Bets3[[#This Row],[Bet]])),"D",IF(ISNUMBER(SEARCH("-",Bets3[[#This Row],[Bet]])),"F",IF(ISNUMBER(SEARCH("Moneyline",Bets3[[#This Row],[Bet]])),IF(Bets3[[#This Row],[Odds]]&lt;0,"MF","MD"),""))))))</f>
        <v>U</v>
      </c>
      <c r="K214" s="24"/>
      <c r="N214" s="69"/>
      <c r="O214" s="27"/>
    </row>
    <row r="215" spans="1:15" x14ac:dyDescent="0.25">
      <c r="A215" s="13">
        <f t="shared" si="9"/>
        <v>21</v>
      </c>
      <c r="B215" s="17">
        <v>43614</v>
      </c>
      <c r="C215" s="17" t="s">
        <v>802</v>
      </c>
      <c r="D215" s="18" t="s">
        <v>1352</v>
      </c>
      <c r="E215" s="18" t="s">
        <v>834</v>
      </c>
      <c r="F215" s="19">
        <f>IF(Bets35[[#This Row],[Odds]]&lt;0,Bets35[[#This Row],[Odds]]/-10,1000/Bets3[[#This Row],[Odds]])</f>
        <v>13.6</v>
      </c>
      <c r="G215" s="37">
        <v>-136</v>
      </c>
      <c r="H215" s="21" t="s">
        <v>263</v>
      </c>
      <c r="I215" s="45">
        <f>IF(Bets3[[#This Row],[Result]]="L",0-Bets3[[#This Row],[Risk]],IF(Bets3[[#This Row],[Result]]="Push",0,IF(Bets3[[#This Row],[Result]]="No Action",0,IF(Bets3[[#This Row],[Result]]="W",IF(Bets3[[#This Row],[Odds]]&gt;0,Bets3[[#This Row],[Odds]]/100*Bets3[[#This Row],[Risk]],(Bets3[[#This Row],[Risk]]/Bets3[[#This Row],[Odds]]*-100)),""))))</f>
        <v>-13.6</v>
      </c>
      <c r="J215" s="39" t="str">
        <f>IF(ISNUMBER(SEARCH(CHAR(10),Bets3[[#This Row],[Bet]])),"P",IF(ISNUMBER(FIND("Under",Bets3[[#This Row],[Bet]])),"U",IF(ISNUMBER(SEARCH("Over",Bets3[[#This Row],[Bet]])),"O",IF(ISNUMBER(SEARCH("+",Bets3[[#This Row],[Bet]])),"D",IF(ISNUMBER(SEARCH("-",Bets3[[#This Row],[Bet]])),"F",IF(ISNUMBER(SEARCH("Moneyline",Bets3[[#This Row],[Bet]])),IF(Bets3[[#This Row],[Odds]]&lt;0,"MF","MD"),""))))))</f>
        <v>MF</v>
      </c>
      <c r="K215" s="24"/>
      <c r="N215" s="69"/>
      <c r="O215" s="27"/>
    </row>
    <row r="216" spans="1:15" x14ac:dyDescent="0.25">
      <c r="A216" s="13">
        <f t="shared" si="9"/>
        <v>21</v>
      </c>
      <c r="B216" s="17">
        <v>43614</v>
      </c>
      <c r="C216" s="17" t="s">
        <v>802</v>
      </c>
      <c r="D216" s="18" t="s">
        <v>891</v>
      </c>
      <c r="E216" s="18" t="s">
        <v>1156</v>
      </c>
      <c r="F216" s="19">
        <f>IF(Bets35[[#This Row],[Odds]]&lt;0,Bets35[[#This Row],[Odds]]/-10,1000/Bets3[[#This Row],[Odds]])</f>
        <v>10.5</v>
      </c>
      <c r="G216" s="37">
        <v>-105</v>
      </c>
      <c r="H216" s="21" t="s">
        <v>262</v>
      </c>
      <c r="I216" s="45">
        <f>IF(Bets3[[#This Row],[Result]]="L",0-Bets3[[#This Row],[Risk]],IF(Bets3[[#This Row],[Result]]="Push",0,IF(Bets3[[#This Row],[Result]]="No Action",0,IF(Bets3[[#This Row],[Result]]="W",IF(Bets3[[#This Row],[Odds]]&gt;0,Bets3[[#This Row],[Odds]]/100*Bets3[[#This Row],[Risk]],(Bets3[[#This Row],[Risk]]/Bets3[[#This Row],[Odds]]*-100)),""))))</f>
        <v>10</v>
      </c>
      <c r="J216" s="39" t="str">
        <f>IF(ISNUMBER(SEARCH(CHAR(10),Bets3[[#This Row],[Bet]])),"P",IF(ISNUMBER(FIND("Under",Bets3[[#This Row],[Bet]])),"U",IF(ISNUMBER(SEARCH("Over",Bets3[[#This Row],[Bet]])),"O",IF(ISNUMBER(SEARCH("+",Bets3[[#This Row],[Bet]])),"D",IF(ISNUMBER(SEARCH("-",Bets3[[#This Row],[Bet]])),"F",IF(ISNUMBER(SEARCH("Moneyline",Bets3[[#This Row],[Bet]])),IF(Bets3[[#This Row],[Odds]]&lt;0,"MF","MD"),""))))))</f>
        <v>O</v>
      </c>
      <c r="K216" s="24"/>
      <c r="N216" s="69"/>
      <c r="O216" s="27"/>
    </row>
    <row r="217" spans="1:15" x14ac:dyDescent="0.25">
      <c r="A217" s="13">
        <f t="shared" si="9"/>
        <v>21</v>
      </c>
      <c r="B217" s="17">
        <v>43614</v>
      </c>
      <c r="C217" s="17" t="s">
        <v>802</v>
      </c>
      <c r="D217" s="18" t="s">
        <v>891</v>
      </c>
      <c r="E217" s="18" t="s">
        <v>836</v>
      </c>
      <c r="F217" s="19">
        <f>IF(Bets35[[#This Row],[Odds]]&lt;0,Bets35[[#This Row],[Odds]]/-10,1000/Bets3[[#This Row],[Odds]])</f>
        <v>13.5</v>
      </c>
      <c r="G217" s="37">
        <v>-135</v>
      </c>
      <c r="H217" s="21" t="s">
        <v>263</v>
      </c>
      <c r="I217" s="45">
        <f>IF(Bets3[[#This Row],[Result]]="L",0-Bets3[[#This Row],[Risk]],IF(Bets3[[#This Row],[Result]]="Push",0,IF(Bets3[[#This Row],[Result]]="No Action",0,IF(Bets3[[#This Row],[Result]]="W",IF(Bets3[[#This Row],[Odds]]&gt;0,Bets3[[#This Row],[Odds]]/100*Bets3[[#This Row],[Risk]],(Bets3[[#This Row],[Risk]]/Bets3[[#This Row],[Odds]]*-100)),""))))</f>
        <v>-13.5</v>
      </c>
      <c r="J217" s="39" t="str">
        <f>IF(ISNUMBER(SEARCH(CHAR(10),Bets3[[#This Row],[Bet]])),"P",IF(ISNUMBER(FIND("Under",Bets3[[#This Row],[Bet]])),"U",IF(ISNUMBER(SEARCH("Over",Bets3[[#This Row],[Bet]])),"O",IF(ISNUMBER(SEARCH("+",Bets3[[#This Row],[Bet]])),"D",IF(ISNUMBER(SEARCH("-",Bets3[[#This Row],[Bet]])),"F",IF(ISNUMBER(SEARCH("Moneyline",Bets3[[#This Row],[Bet]])),IF(Bets3[[#This Row],[Odds]]&lt;0,"MF","MD"),""))))))</f>
        <v>MF</v>
      </c>
      <c r="K217" s="24"/>
      <c r="N217" s="69"/>
      <c r="O217" s="27"/>
    </row>
    <row r="218" spans="1:15" x14ac:dyDescent="0.25">
      <c r="A218" s="13">
        <f t="shared" si="9"/>
        <v>21</v>
      </c>
      <c r="B218" s="17">
        <v>43614</v>
      </c>
      <c r="C218" s="17" t="s">
        <v>802</v>
      </c>
      <c r="D218" s="18" t="s">
        <v>1353</v>
      </c>
      <c r="E218" s="18" t="s">
        <v>1210</v>
      </c>
      <c r="F218" s="19">
        <f>IF(Bets35[[#This Row],[Odds]]&lt;0,Bets35[[#This Row],[Odds]]/-10,1000/Bets3[[#This Row],[Odds]])</f>
        <v>11.2</v>
      </c>
      <c r="G218" s="37">
        <v>-112</v>
      </c>
      <c r="H218" s="21" t="s">
        <v>263</v>
      </c>
      <c r="I218" s="45">
        <f>IF(Bets3[[#This Row],[Result]]="L",0-Bets3[[#This Row],[Risk]],IF(Bets3[[#This Row],[Result]]="Push",0,IF(Bets3[[#This Row],[Result]]="No Action",0,IF(Bets3[[#This Row],[Result]]="W",IF(Bets3[[#This Row],[Odds]]&gt;0,Bets3[[#This Row],[Odds]]/100*Bets3[[#This Row],[Risk]],(Bets3[[#This Row],[Risk]]/Bets3[[#This Row],[Odds]]*-100)),""))))</f>
        <v>-11.2</v>
      </c>
      <c r="J218" s="39" t="str">
        <f>IF(ISNUMBER(SEARCH(CHAR(10),Bets3[[#This Row],[Bet]])),"P",IF(ISNUMBER(FIND("Under",Bets3[[#This Row],[Bet]])),"U",IF(ISNUMBER(SEARCH("Over",Bets3[[#This Row],[Bet]])),"O",IF(ISNUMBER(SEARCH("+",Bets3[[#This Row],[Bet]])),"D",IF(ISNUMBER(SEARCH("-",Bets3[[#This Row],[Bet]])),"F",IF(ISNUMBER(SEARCH("Moneyline",Bets3[[#This Row],[Bet]])),IF(Bets3[[#This Row],[Odds]]&lt;0,"MF","MD"),""))))))</f>
        <v>MF</v>
      </c>
      <c r="K218" s="24"/>
      <c r="N218" s="69"/>
      <c r="O218" s="27"/>
    </row>
    <row r="219" spans="1:15" x14ac:dyDescent="0.25">
      <c r="A219" s="13">
        <f t="shared" si="9"/>
        <v>21</v>
      </c>
      <c r="B219" s="17">
        <v>43614</v>
      </c>
      <c r="C219" s="17" t="s">
        <v>802</v>
      </c>
      <c r="D219" s="18" t="s">
        <v>1337</v>
      </c>
      <c r="E219" s="18" t="s">
        <v>874</v>
      </c>
      <c r="F219" s="19">
        <f>IF(Bets35[[#This Row],[Odds]]&lt;0,Bets35[[#This Row],[Odds]]/-10,1000/Bets3[[#This Row],[Odds]])</f>
        <v>12</v>
      </c>
      <c r="G219" s="37">
        <v>-120</v>
      </c>
      <c r="H219" s="21" t="s">
        <v>263</v>
      </c>
      <c r="I219" s="45">
        <f>IF(Bets3[[#This Row],[Result]]="L",0-Bets3[[#This Row],[Risk]],IF(Bets3[[#This Row],[Result]]="Push",0,IF(Bets3[[#This Row],[Result]]="No Action",0,IF(Bets3[[#This Row],[Result]]="W",IF(Bets3[[#This Row],[Odds]]&gt;0,Bets3[[#This Row],[Odds]]/100*Bets3[[#This Row],[Risk]],(Bets3[[#This Row],[Risk]]/Bets3[[#This Row],[Odds]]*-100)),""))))</f>
        <v>-12</v>
      </c>
      <c r="J219" s="39" t="str">
        <f>IF(ISNUMBER(SEARCH(CHAR(10),Bets3[[#This Row],[Bet]])),"P",IF(ISNUMBER(FIND("Under",Bets3[[#This Row],[Bet]])),"U",IF(ISNUMBER(SEARCH("Over",Bets3[[#This Row],[Bet]])),"O",IF(ISNUMBER(SEARCH("+",Bets3[[#This Row],[Bet]])),"D",IF(ISNUMBER(SEARCH("-",Bets3[[#This Row],[Bet]])),"F",IF(ISNUMBER(SEARCH("Moneyline",Bets3[[#This Row],[Bet]])),IF(Bets3[[#This Row],[Odds]]&lt;0,"MF","MD"),""))))))</f>
        <v>MF</v>
      </c>
      <c r="K219" s="24"/>
      <c r="N219" s="69"/>
      <c r="O219" s="27"/>
    </row>
    <row r="220" spans="1:15" x14ac:dyDescent="0.25">
      <c r="A220" s="13">
        <f t="shared" si="9"/>
        <v>21</v>
      </c>
      <c r="B220" s="17">
        <v>43614</v>
      </c>
      <c r="C220" s="17" t="s">
        <v>802</v>
      </c>
      <c r="D220" s="18" t="s">
        <v>1341</v>
      </c>
      <c r="E220" s="18" t="s">
        <v>1180</v>
      </c>
      <c r="F220" s="19">
        <f>IF(Bets35[[#This Row],[Odds]]&lt;0,Bets35[[#This Row],[Odds]]/-10,1000/Bets3[[#This Row],[Odds]])</f>
        <v>11.2</v>
      </c>
      <c r="G220" s="37">
        <v>-112</v>
      </c>
      <c r="H220" s="21" t="s">
        <v>263</v>
      </c>
      <c r="I220" s="45">
        <f>IF(Bets3[[#This Row],[Result]]="L",0-Bets3[[#This Row],[Risk]],IF(Bets3[[#This Row],[Result]]="Push",0,IF(Bets3[[#This Row],[Result]]="No Action",0,IF(Bets3[[#This Row],[Result]]="W",IF(Bets3[[#This Row],[Odds]]&gt;0,Bets3[[#This Row],[Odds]]/100*Bets3[[#This Row],[Risk]],(Bets3[[#This Row],[Risk]]/Bets3[[#This Row],[Odds]]*-100)),""))))</f>
        <v>-11.2</v>
      </c>
      <c r="J220" s="39" t="str">
        <f>IF(ISNUMBER(SEARCH(CHAR(10),Bets3[[#This Row],[Bet]])),"P",IF(ISNUMBER(FIND("Under",Bets3[[#This Row],[Bet]])),"U",IF(ISNUMBER(SEARCH("Over",Bets3[[#This Row],[Bet]])),"O",IF(ISNUMBER(SEARCH("+",Bets3[[#This Row],[Bet]])),"D",IF(ISNUMBER(SEARCH("-",Bets3[[#This Row],[Bet]])),"F",IF(ISNUMBER(SEARCH("Moneyline",Bets3[[#This Row],[Bet]])),IF(Bets3[[#This Row],[Odds]]&lt;0,"MF","MD"),""))))))</f>
        <v>MF</v>
      </c>
      <c r="K220" s="24"/>
      <c r="N220" s="69"/>
      <c r="O220" s="27"/>
    </row>
    <row r="221" spans="1:15" x14ac:dyDescent="0.25">
      <c r="A221" s="13">
        <f t="shared" si="9"/>
        <v>21</v>
      </c>
      <c r="B221" s="17">
        <v>43614</v>
      </c>
      <c r="C221" s="17" t="s">
        <v>802</v>
      </c>
      <c r="D221" s="18" t="s">
        <v>1354</v>
      </c>
      <c r="E221" s="18" t="s">
        <v>841</v>
      </c>
      <c r="F221" s="19">
        <f>IF(Bets35[[#This Row],[Odds]]&lt;0,Bets35[[#This Row],[Odds]]/-10,1000/Bets3[[#This Row],[Odds]])</f>
        <v>11.5</v>
      </c>
      <c r="G221" s="37">
        <v>-115</v>
      </c>
      <c r="H221" s="21" t="s">
        <v>262</v>
      </c>
      <c r="I221" s="45">
        <f>IF(Bets3[[#This Row],[Result]]="L",0-Bets3[[#This Row],[Risk]],IF(Bets3[[#This Row],[Result]]="Push",0,IF(Bets3[[#This Row],[Result]]="No Action",0,IF(Bets3[[#This Row],[Result]]="W",IF(Bets3[[#This Row],[Odds]]&gt;0,Bets3[[#This Row],[Odds]]/100*Bets3[[#This Row],[Risk]],(Bets3[[#This Row],[Risk]]/Bets3[[#This Row],[Odds]]*-100)),""))))</f>
        <v>10</v>
      </c>
      <c r="J221" s="39" t="str">
        <f>IF(ISNUMBER(SEARCH(CHAR(10),Bets3[[#This Row],[Bet]])),"P",IF(ISNUMBER(FIND("Under",Bets3[[#This Row],[Bet]])),"U",IF(ISNUMBER(SEARCH("Over",Bets3[[#This Row],[Bet]])),"O",IF(ISNUMBER(SEARCH("+",Bets3[[#This Row],[Bet]])),"D",IF(ISNUMBER(SEARCH("-",Bets3[[#This Row],[Bet]])),"F",IF(ISNUMBER(SEARCH("Moneyline",Bets3[[#This Row],[Bet]])),IF(Bets3[[#This Row],[Odds]]&lt;0,"MF","MD"),""))))))</f>
        <v>O</v>
      </c>
      <c r="K221" s="24"/>
      <c r="N221" s="69"/>
      <c r="O221" s="27"/>
    </row>
    <row r="222" spans="1:15" x14ac:dyDescent="0.25">
      <c r="A222" s="13">
        <f t="shared" si="9"/>
        <v>22</v>
      </c>
      <c r="B222" s="17">
        <v>43616</v>
      </c>
      <c r="C222" s="17" t="s">
        <v>802</v>
      </c>
      <c r="D222" s="18" t="s">
        <v>1363</v>
      </c>
      <c r="E222" s="11" t="s">
        <v>832</v>
      </c>
      <c r="F222" s="19">
        <f>IF(Bets35[[#This Row],[Odds]]&lt;0,Bets35[[#This Row],[Odds]]/-10,1000/Bets3[[#This Row],[Odds]])</f>
        <v>8.3333333333333339</v>
      </c>
      <c r="G222" s="37">
        <v>120</v>
      </c>
      <c r="H222" s="21" t="s">
        <v>262</v>
      </c>
      <c r="I222" s="45">
        <f>IF(Bets3[[#This Row],[Result]]="L",0-Bets3[[#This Row],[Risk]],IF(Bets3[[#This Row],[Result]]="Push",0,IF(Bets3[[#This Row],[Result]]="No Action",0,IF(Bets3[[#This Row],[Result]]="W",IF(Bets3[[#This Row],[Odds]]&gt;0,Bets3[[#This Row],[Odds]]/100*Bets3[[#This Row],[Risk]],(Bets3[[#This Row],[Risk]]/Bets3[[#This Row],[Odds]]*-100)),""))))</f>
        <v>10</v>
      </c>
      <c r="J222" s="39" t="str">
        <f>IF(ISNUMBER(SEARCH(CHAR(10),Bets3[[#This Row],[Bet]])),"P",IF(ISNUMBER(FIND("Under",Bets3[[#This Row],[Bet]])),"U",IF(ISNUMBER(SEARCH("Over",Bets3[[#This Row],[Bet]])),"O",IF(ISNUMBER(SEARCH("+",Bets3[[#This Row],[Bet]])),"D",IF(ISNUMBER(SEARCH("-",Bets3[[#This Row],[Bet]])),"F",IF(ISNUMBER(SEARCH("Moneyline",Bets3[[#This Row],[Bet]])),IF(Bets3[[#This Row],[Odds]]&lt;0,"MF","MD"),""))))))</f>
        <v>MD</v>
      </c>
      <c r="K222" s="24"/>
      <c r="N222" s="69"/>
      <c r="O222" s="27"/>
    </row>
    <row r="223" spans="1:15" x14ac:dyDescent="0.25">
      <c r="A223" s="13">
        <f t="shared" si="9"/>
        <v>22</v>
      </c>
      <c r="B223" s="17">
        <v>43616</v>
      </c>
      <c r="C223" s="17" t="s">
        <v>802</v>
      </c>
      <c r="D223" s="18" t="s">
        <v>1364</v>
      </c>
      <c r="E223" s="11" t="s">
        <v>809</v>
      </c>
      <c r="F223" s="19">
        <f>IF(Bets35[[#This Row],[Odds]]&lt;0,Bets35[[#This Row],[Odds]]/-10,1000/Bets3[[#This Row],[Odds]])</f>
        <v>12</v>
      </c>
      <c r="G223" s="37">
        <v>-120</v>
      </c>
      <c r="H223" s="21" t="s">
        <v>263</v>
      </c>
      <c r="I223" s="45">
        <f>IF(Bets3[[#This Row],[Result]]="L",0-Bets3[[#This Row],[Risk]],IF(Bets3[[#This Row],[Result]]="Push",0,IF(Bets3[[#This Row],[Result]]="No Action",0,IF(Bets3[[#This Row],[Result]]="W",IF(Bets3[[#This Row],[Odds]]&gt;0,Bets3[[#This Row],[Odds]]/100*Bets3[[#This Row],[Risk]],(Bets3[[#This Row],[Risk]]/Bets3[[#This Row],[Odds]]*-100)),""))))</f>
        <v>-12</v>
      </c>
      <c r="J223" s="39" t="str">
        <f>IF(ISNUMBER(SEARCH(CHAR(10),Bets3[[#This Row],[Bet]])),"P",IF(ISNUMBER(FIND("Under",Bets3[[#This Row],[Bet]])),"U",IF(ISNUMBER(SEARCH("Over",Bets3[[#This Row],[Bet]])),"O",IF(ISNUMBER(SEARCH("+",Bets3[[#This Row],[Bet]])),"D",IF(ISNUMBER(SEARCH("-",Bets3[[#This Row],[Bet]])),"F",IF(ISNUMBER(SEARCH("Moneyline",Bets3[[#This Row],[Bet]])),IF(Bets3[[#This Row],[Odds]]&lt;0,"MF","MD"),""))))))</f>
        <v>MF</v>
      </c>
      <c r="K223" s="24"/>
      <c r="N223" s="69"/>
      <c r="O223" s="27"/>
    </row>
    <row r="224" spans="1:15" x14ac:dyDescent="0.25">
      <c r="A224" s="13">
        <f t="shared" si="9"/>
        <v>22</v>
      </c>
      <c r="B224" s="17">
        <v>43616</v>
      </c>
      <c r="C224" s="17" t="s">
        <v>802</v>
      </c>
      <c r="D224" s="18" t="s">
        <v>1365</v>
      </c>
      <c r="E224" s="11" t="s">
        <v>815</v>
      </c>
      <c r="F224" s="19">
        <f>IF(Bets35[[#This Row],[Odds]]&lt;0,Bets35[[#This Row],[Odds]]/-10,1000/Bets3[[#This Row],[Odds]])</f>
        <v>16.399999999999999</v>
      </c>
      <c r="G224" s="37">
        <v>-164</v>
      </c>
      <c r="H224" s="21" t="s">
        <v>263</v>
      </c>
      <c r="I224" s="45">
        <f>IF(Bets3[[#This Row],[Result]]="L",0-Bets3[[#This Row],[Risk]],IF(Bets3[[#This Row],[Result]]="Push",0,IF(Bets3[[#This Row],[Result]]="No Action",0,IF(Bets3[[#This Row],[Result]]="W",IF(Bets3[[#This Row],[Odds]]&gt;0,Bets3[[#This Row],[Odds]]/100*Bets3[[#This Row],[Risk]],(Bets3[[#This Row],[Risk]]/Bets3[[#This Row],[Odds]]*-100)),""))))</f>
        <v>-16.399999999999999</v>
      </c>
      <c r="J224" s="39" t="str">
        <f>IF(ISNUMBER(SEARCH(CHAR(10),Bets3[[#This Row],[Bet]])),"P",IF(ISNUMBER(FIND("Under",Bets3[[#This Row],[Bet]])),"U",IF(ISNUMBER(SEARCH("Over",Bets3[[#This Row],[Bet]])),"O",IF(ISNUMBER(SEARCH("+",Bets3[[#This Row],[Bet]])),"D",IF(ISNUMBER(SEARCH("-",Bets3[[#This Row],[Bet]])),"F",IF(ISNUMBER(SEARCH("Moneyline",Bets3[[#This Row],[Bet]])),IF(Bets3[[#This Row],[Odds]]&lt;0,"MF","MD"),""))))))</f>
        <v>MF</v>
      </c>
      <c r="K224" s="24"/>
      <c r="N224" s="69"/>
      <c r="O224" s="27"/>
    </row>
    <row r="225" spans="1:15" x14ac:dyDescent="0.25">
      <c r="A225" s="13">
        <f t="shared" si="9"/>
        <v>22</v>
      </c>
      <c r="B225" s="17">
        <v>43616</v>
      </c>
      <c r="C225" s="17" t="s">
        <v>802</v>
      </c>
      <c r="D225" s="18" t="s">
        <v>1242</v>
      </c>
      <c r="E225" s="11" t="s">
        <v>869</v>
      </c>
      <c r="F225" s="19">
        <f>IF(Bets35[[#This Row],[Odds]]&lt;0,Bets35[[#This Row],[Odds]]/-10,1000/Bets3[[#This Row],[Odds]])</f>
        <v>17.2</v>
      </c>
      <c r="G225" s="37">
        <v>-172</v>
      </c>
      <c r="H225" s="21" t="s">
        <v>263</v>
      </c>
      <c r="I225" s="45">
        <f>IF(Bets3[[#This Row],[Result]]="L",0-Bets3[[#This Row],[Risk]],IF(Bets3[[#This Row],[Result]]="Push",0,IF(Bets3[[#This Row],[Result]]="No Action",0,IF(Bets3[[#This Row],[Result]]="W",IF(Bets3[[#This Row],[Odds]]&gt;0,Bets3[[#This Row],[Odds]]/100*Bets3[[#This Row],[Risk]],(Bets3[[#This Row],[Risk]]/Bets3[[#This Row],[Odds]]*-100)),""))))</f>
        <v>-17.2</v>
      </c>
      <c r="J225" s="39" t="str">
        <f>IF(ISNUMBER(SEARCH(CHAR(10),Bets3[[#This Row],[Bet]])),"P",IF(ISNUMBER(FIND("Under",Bets3[[#This Row],[Bet]])),"U",IF(ISNUMBER(SEARCH("Over",Bets3[[#This Row],[Bet]])),"O",IF(ISNUMBER(SEARCH("+",Bets3[[#This Row],[Bet]])),"D",IF(ISNUMBER(SEARCH("-",Bets3[[#This Row],[Bet]])),"F",IF(ISNUMBER(SEARCH("Moneyline",Bets3[[#This Row],[Bet]])),IF(Bets3[[#This Row],[Odds]]&lt;0,"MF","MD"),""))))))</f>
        <v>MF</v>
      </c>
      <c r="K225" s="24"/>
      <c r="N225" s="69"/>
      <c r="O225" s="27"/>
    </row>
    <row r="226" spans="1:15" x14ac:dyDescent="0.25">
      <c r="A226" s="13">
        <f t="shared" si="9"/>
        <v>22</v>
      </c>
      <c r="B226" s="17">
        <v>43616</v>
      </c>
      <c r="C226" s="17" t="s">
        <v>802</v>
      </c>
      <c r="D226" s="18" t="s">
        <v>1366</v>
      </c>
      <c r="E226" s="11" t="s">
        <v>897</v>
      </c>
      <c r="F226" s="19">
        <f>IF(Bets35[[#This Row],[Odds]]&lt;0,Bets35[[#This Row],[Odds]]/-10,1000/Bets3[[#This Row],[Odds]])</f>
        <v>12.4</v>
      </c>
      <c r="G226" s="37">
        <v>-124</v>
      </c>
      <c r="H226" s="21" t="s">
        <v>262</v>
      </c>
      <c r="I226" s="45">
        <f>IF(Bets3[[#This Row],[Result]]="L",0-Bets3[[#This Row],[Risk]],IF(Bets3[[#This Row],[Result]]="Push",0,IF(Bets3[[#This Row],[Result]]="No Action",0,IF(Bets3[[#This Row],[Result]]="W",IF(Bets3[[#This Row],[Odds]]&gt;0,Bets3[[#This Row],[Odds]]/100*Bets3[[#This Row],[Risk]],(Bets3[[#This Row],[Risk]]/Bets3[[#This Row],[Odds]]*-100)),""))))</f>
        <v>10</v>
      </c>
      <c r="J226" s="39" t="str">
        <f>IF(ISNUMBER(SEARCH(CHAR(10),Bets3[[#This Row],[Bet]])),"P",IF(ISNUMBER(FIND("Under",Bets3[[#This Row],[Bet]])),"U",IF(ISNUMBER(SEARCH("Over",Bets3[[#This Row],[Bet]])),"O",IF(ISNUMBER(SEARCH("+",Bets3[[#This Row],[Bet]])),"D",IF(ISNUMBER(SEARCH("-",Bets3[[#This Row],[Bet]])),"F",IF(ISNUMBER(SEARCH("Moneyline",Bets3[[#This Row],[Bet]])),IF(Bets3[[#This Row],[Odds]]&lt;0,"MF","MD"),""))))))</f>
        <v>MF</v>
      </c>
      <c r="K226" s="24"/>
      <c r="N226" s="69"/>
      <c r="O226" s="27"/>
    </row>
    <row r="227" spans="1:15" x14ac:dyDescent="0.25">
      <c r="A227" s="13">
        <f t="shared" si="9"/>
        <v>22</v>
      </c>
      <c r="B227" s="17">
        <v>43616</v>
      </c>
      <c r="C227" s="17" t="s">
        <v>802</v>
      </c>
      <c r="D227" s="18" t="s">
        <v>1367</v>
      </c>
      <c r="E227" s="11" t="s">
        <v>827</v>
      </c>
      <c r="F227" s="19">
        <f>IF(Bets35[[#This Row],[Odds]]&lt;0,Bets35[[#This Row],[Odds]]/-10,1000/Bets3[[#This Row],[Odds]])</f>
        <v>16</v>
      </c>
      <c r="G227" s="37">
        <v>-160</v>
      </c>
      <c r="H227" s="21" t="s">
        <v>262</v>
      </c>
      <c r="I227" s="45">
        <f>IF(Bets3[[#This Row],[Result]]="L",0-Bets3[[#This Row],[Risk]],IF(Bets3[[#This Row],[Result]]="Push",0,IF(Bets3[[#This Row],[Result]]="No Action",0,IF(Bets3[[#This Row],[Result]]="W",IF(Bets3[[#This Row],[Odds]]&gt;0,Bets3[[#This Row],[Odds]]/100*Bets3[[#This Row],[Risk]],(Bets3[[#This Row],[Risk]]/Bets3[[#This Row],[Odds]]*-100)),""))))</f>
        <v>10</v>
      </c>
      <c r="J227" s="39" t="str">
        <f>IF(ISNUMBER(SEARCH(CHAR(10),Bets3[[#This Row],[Bet]])),"P",IF(ISNUMBER(FIND("Under",Bets3[[#This Row],[Bet]])),"U",IF(ISNUMBER(SEARCH("Over",Bets3[[#This Row],[Bet]])),"O",IF(ISNUMBER(SEARCH("+",Bets3[[#This Row],[Bet]])),"D",IF(ISNUMBER(SEARCH("-",Bets3[[#This Row],[Bet]])),"F",IF(ISNUMBER(SEARCH("Moneyline",Bets3[[#This Row],[Bet]])),IF(Bets3[[#This Row],[Odds]]&lt;0,"MF","MD"),""))))))</f>
        <v>MF</v>
      </c>
      <c r="K227" s="24"/>
      <c r="N227" s="69"/>
      <c r="O227" s="27"/>
    </row>
    <row r="228" spans="1:15" x14ac:dyDescent="0.25">
      <c r="A228" s="13">
        <f t="shared" si="9"/>
        <v>22</v>
      </c>
      <c r="B228" s="17">
        <v>43616</v>
      </c>
      <c r="C228" s="17" t="s">
        <v>802</v>
      </c>
      <c r="D228" s="18" t="s">
        <v>1368</v>
      </c>
      <c r="E228" s="11" t="s">
        <v>888</v>
      </c>
      <c r="F228" s="19">
        <f>IF(Bets35[[#This Row],[Odds]]&lt;0,Bets35[[#This Row],[Odds]]/-10,1000/Bets3[[#This Row],[Odds]])</f>
        <v>6.9930069930069934</v>
      </c>
      <c r="G228" s="37">
        <v>143</v>
      </c>
      <c r="H228" s="21" t="s">
        <v>263</v>
      </c>
      <c r="I228" s="45">
        <f>IF(Bets3[[#This Row],[Result]]="L",0-Bets3[[#This Row],[Risk]],IF(Bets3[[#This Row],[Result]]="Push",0,IF(Bets3[[#This Row],[Result]]="No Action",0,IF(Bets3[[#This Row],[Result]]="W",IF(Bets3[[#This Row],[Odds]]&gt;0,Bets3[[#This Row],[Odds]]/100*Bets3[[#This Row],[Risk]],(Bets3[[#This Row],[Risk]]/Bets3[[#This Row],[Odds]]*-100)),""))))</f>
        <v>-6.9930069930069934</v>
      </c>
      <c r="J228" s="39" t="str">
        <f>IF(ISNUMBER(SEARCH(CHAR(10),Bets3[[#This Row],[Bet]])),"P",IF(ISNUMBER(FIND("Under",Bets3[[#This Row],[Bet]])),"U",IF(ISNUMBER(SEARCH("Over",Bets3[[#This Row],[Bet]])),"O",IF(ISNUMBER(SEARCH("+",Bets3[[#This Row],[Bet]])),"D",IF(ISNUMBER(SEARCH("-",Bets3[[#This Row],[Bet]])),"F",IF(ISNUMBER(SEARCH("Moneyline",Bets3[[#This Row],[Bet]])),IF(Bets3[[#This Row],[Odds]]&lt;0,"MF","MD"),""))))))</f>
        <v>MD</v>
      </c>
      <c r="K228" s="24"/>
      <c r="N228" s="69"/>
      <c r="O228" s="27"/>
    </row>
    <row r="229" spans="1:15" x14ac:dyDescent="0.25">
      <c r="A229" s="13">
        <f t="shared" si="9"/>
        <v>23</v>
      </c>
      <c r="B229" s="17">
        <v>43662</v>
      </c>
      <c r="C229" s="17" t="s">
        <v>802</v>
      </c>
      <c r="D229" s="18" t="s">
        <v>1491</v>
      </c>
      <c r="E229" s="11" t="s">
        <v>819</v>
      </c>
      <c r="F229" s="19">
        <f>IF(Bets35[[#This Row],[Odds]]&lt;0,Bets35[[#This Row],[Odds]]/-10,1000/Bets3[[#This Row],[Odds]])</f>
        <v>20</v>
      </c>
      <c r="G229" s="91" t="s">
        <v>1492</v>
      </c>
      <c r="H229" s="21" t="s">
        <v>263</v>
      </c>
      <c r="I229" s="45">
        <f>IF(Bets3[[#This Row],[Result]]="L",0-Bets3[[#This Row],[Risk]],IF(Bets3[[#This Row],[Result]]="Push",0,IF(Bets3[[#This Row],[Result]]="No Action",0,IF(Bets3[[#This Row],[Result]]="W",IF(Bets3[[#This Row],[Odds]]&gt;0,Bets3[[#This Row],[Odds]]/100*Bets3[[#This Row],[Risk]],(Bets3[[#This Row],[Risk]]/Bets3[[#This Row],[Odds]]*-100)),""))))</f>
        <v>-20</v>
      </c>
      <c r="J229" s="39" t="str">
        <f>IF(ISNUMBER(SEARCH(CHAR(10),Bets3[[#This Row],[Bet]])),"P",IF(ISNUMBER(FIND("Under",Bets3[[#This Row],[Bet]])),"U",IF(ISNUMBER(SEARCH("Over",Bets3[[#This Row],[Bet]])),"O",IF(ISNUMBER(SEARCH("+",Bets3[[#This Row],[Bet]])),"D",IF(ISNUMBER(SEARCH("-",Bets3[[#This Row],[Bet]])),"F",IF(ISNUMBER(SEARCH("Moneyline",Bets3[[#This Row],[Bet]])),IF(Bets3[[#This Row],[Odds]]&lt;0,"MF","MD"),""))))))</f>
        <v>MD</v>
      </c>
      <c r="K229" s="24"/>
      <c r="N229" s="69"/>
      <c r="O229" s="27"/>
    </row>
    <row r="230" spans="1:15" x14ac:dyDescent="0.25">
      <c r="A230" s="13">
        <f t="shared" si="9"/>
        <v>23</v>
      </c>
      <c r="B230" s="17">
        <v>43662</v>
      </c>
      <c r="C230" s="17" t="s">
        <v>802</v>
      </c>
      <c r="D230" s="18" t="s">
        <v>1493</v>
      </c>
      <c r="E230" s="11" t="s">
        <v>869</v>
      </c>
      <c r="F230" s="19">
        <f>IF(Bets35[[#This Row],[Odds]]&lt;0,Bets35[[#This Row],[Odds]]/-10,1000/Bets3[[#This Row],[Odds]])</f>
        <v>11</v>
      </c>
      <c r="G230" s="91">
        <v>-250</v>
      </c>
      <c r="H230" s="21" t="s">
        <v>262</v>
      </c>
      <c r="I230" s="45">
        <f>IF(Bets3[[#This Row],[Result]]="L",0-Bets3[[#This Row],[Risk]],IF(Bets3[[#This Row],[Result]]="Push",0,IF(Bets3[[#This Row],[Result]]="No Action",0,IF(Bets3[[#This Row],[Result]]="W",IF(Bets3[[#This Row],[Odds]]&gt;0,Bets3[[#This Row],[Odds]]/100*Bets3[[#This Row],[Risk]],(Bets3[[#This Row],[Risk]]/Bets3[[#This Row],[Odds]]*-100)),""))))</f>
        <v>4.3999999999999995</v>
      </c>
      <c r="J230" s="39" t="str">
        <f>IF(ISNUMBER(SEARCH(CHAR(10),Bets3[[#This Row],[Bet]])),"P",IF(ISNUMBER(FIND("Under",Bets3[[#This Row],[Bet]])),"U",IF(ISNUMBER(SEARCH("Over",Bets3[[#This Row],[Bet]])),"O",IF(ISNUMBER(SEARCH("+",Bets3[[#This Row],[Bet]])),"D",IF(ISNUMBER(SEARCH("-",Bets3[[#This Row],[Bet]])),"F",IF(ISNUMBER(SEARCH("Moneyline",Bets3[[#This Row],[Bet]])),IF(Bets3[[#This Row],[Odds]]&lt;0,"MF","MD"),""))))))</f>
        <v>MF</v>
      </c>
      <c r="K230" s="24"/>
      <c r="N230" s="69"/>
      <c r="O230" s="27"/>
    </row>
    <row r="231" spans="1:15" x14ac:dyDescent="0.25">
      <c r="A231" s="13">
        <f t="shared" si="9"/>
        <v>23</v>
      </c>
      <c r="B231" s="17">
        <v>43662</v>
      </c>
      <c r="C231" s="17" t="s">
        <v>802</v>
      </c>
      <c r="D231" s="18" t="s">
        <v>1494</v>
      </c>
      <c r="E231" s="11" t="s">
        <v>888</v>
      </c>
      <c r="F231" s="19">
        <f>IF(Bets35[[#This Row],[Odds]]&lt;0,Bets35[[#This Row],[Odds]]/-10,1000/Bets3[[#This Row],[Odds]])</f>
        <v>-9.5238095238095237</v>
      </c>
      <c r="G231" s="91">
        <v>-105</v>
      </c>
      <c r="H231" s="21" t="s">
        <v>262</v>
      </c>
      <c r="I231" s="45">
        <f>IF(Bets3[[#This Row],[Result]]="L",0-Bets3[[#This Row],[Risk]],IF(Bets3[[#This Row],[Result]]="Push",0,IF(Bets3[[#This Row],[Result]]="No Action",0,IF(Bets3[[#This Row],[Result]]="W",IF(Bets3[[#This Row],[Odds]]&gt;0,Bets3[[#This Row],[Odds]]/100*Bets3[[#This Row],[Risk]],(Bets3[[#This Row],[Risk]]/Bets3[[#This Row],[Odds]]*-100)),""))))</f>
        <v>-9.0702947845804989</v>
      </c>
      <c r="J231" s="39" t="str">
        <f>IF(ISNUMBER(SEARCH(CHAR(10),Bets3[[#This Row],[Bet]])),"P",IF(ISNUMBER(FIND("Under",Bets3[[#This Row],[Bet]])),"U",IF(ISNUMBER(SEARCH("Over",Bets3[[#This Row],[Bet]])),"O",IF(ISNUMBER(SEARCH("+",Bets3[[#This Row],[Bet]])),"D",IF(ISNUMBER(SEARCH("-",Bets3[[#This Row],[Bet]])),"F",IF(ISNUMBER(SEARCH("Moneyline",Bets3[[#This Row],[Bet]])),IF(Bets3[[#This Row],[Odds]]&lt;0,"MF","MD"),""))))))</f>
        <v>MF</v>
      </c>
      <c r="K231" s="24"/>
      <c r="N231" s="69"/>
      <c r="O231" s="27"/>
    </row>
    <row r="232" spans="1:15" x14ac:dyDescent="0.25">
      <c r="A232" s="13">
        <f t="shared" si="9"/>
        <v>23</v>
      </c>
      <c r="B232" s="17">
        <v>43662</v>
      </c>
      <c r="C232" s="17" t="s">
        <v>802</v>
      </c>
      <c r="D232" s="18" t="s">
        <v>1495</v>
      </c>
      <c r="E232" s="11" t="s">
        <v>1180</v>
      </c>
      <c r="F232" s="19">
        <f>IF(Bets35[[#This Row],[Odds]]&lt;0,Bets35[[#This Row],[Odds]]/-10,1000/Bets3[[#This Row],[Odds]])</f>
        <v>15.3</v>
      </c>
      <c r="G232" s="91" t="s">
        <v>934</v>
      </c>
      <c r="H232" s="21" t="s">
        <v>262</v>
      </c>
      <c r="I232" s="45">
        <f>IF(Bets3[[#This Row],[Result]]="L",0-Bets3[[#This Row],[Risk]],IF(Bets3[[#This Row],[Result]]="Push",0,IF(Bets3[[#This Row],[Result]]="No Action",0,IF(Bets3[[#This Row],[Result]]="W",IF(Bets3[[#This Row],[Odds]]&gt;0,Bets3[[#This Row],[Odds]]/100*Bets3[[#This Row],[Risk]],(Bets3[[#This Row],[Risk]]/Bets3[[#This Row],[Odds]]*-100)),""))))</f>
        <v>21.419999999999998</v>
      </c>
      <c r="J232" s="39" t="str">
        <f>IF(ISNUMBER(SEARCH(CHAR(10),Bets3[[#This Row],[Bet]])),"P",IF(ISNUMBER(FIND("Under",Bets3[[#This Row],[Bet]])),"U",IF(ISNUMBER(SEARCH("Over",Bets3[[#This Row],[Bet]])),"O",IF(ISNUMBER(SEARCH("+",Bets3[[#This Row],[Bet]])),"D",IF(ISNUMBER(SEARCH("-",Bets3[[#This Row],[Bet]])),"F",IF(ISNUMBER(SEARCH("Moneyline",Bets3[[#This Row],[Bet]])),IF(Bets3[[#This Row],[Odds]]&lt;0,"MF","MD"),""))))))</f>
        <v>MD</v>
      </c>
      <c r="K232" s="24"/>
      <c r="N232" s="69"/>
      <c r="O232" s="27"/>
    </row>
    <row r="233" spans="1:15" x14ac:dyDescent="0.25">
      <c r="A233" s="13">
        <f t="shared" si="9"/>
        <v>23</v>
      </c>
      <c r="B233" s="17">
        <v>43662</v>
      </c>
      <c r="C233" s="17" t="s">
        <v>802</v>
      </c>
      <c r="D233" s="18" t="s">
        <v>1214</v>
      </c>
      <c r="E233" s="11" t="s">
        <v>876</v>
      </c>
      <c r="F233" s="19">
        <f>IF(Bets35[[#This Row],[Odds]]&lt;0,Bets35[[#This Row],[Odds]]/-10,1000/Bets3[[#This Row],[Odds]])</f>
        <v>6.4516129032258061</v>
      </c>
      <c r="G233" s="91" t="s">
        <v>1496</v>
      </c>
      <c r="H233" s="21" t="s">
        <v>262</v>
      </c>
      <c r="I233" s="45">
        <f>IF(Bets3[[#This Row],[Result]]="L",0-Bets3[[#This Row],[Risk]],IF(Bets3[[#This Row],[Result]]="Push",0,IF(Bets3[[#This Row],[Result]]="No Action",0,IF(Bets3[[#This Row],[Result]]="W",IF(Bets3[[#This Row],[Odds]]&gt;0,Bets3[[#This Row],[Odds]]/100*Bets3[[#This Row],[Risk]],(Bets3[[#This Row],[Risk]]/Bets3[[#This Row],[Odds]]*-100)),""))))</f>
        <v>10</v>
      </c>
      <c r="J233" s="39" t="str">
        <f>IF(ISNUMBER(SEARCH(CHAR(10),Bets3[[#This Row],[Bet]])),"P",IF(ISNUMBER(FIND("Under",Bets3[[#This Row],[Bet]])),"U",IF(ISNUMBER(SEARCH("Over",Bets3[[#This Row],[Bet]])),"O",IF(ISNUMBER(SEARCH("+",Bets3[[#This Row],[Bet]])),"D",IF(ISNUMBER(SEARCH("-",Bets3[[#This Row],[Bet]])),"F",IF(ISNUMBER(SEARCH("Moneyline",Bets3[[#This Row],[Bet]])),IF(Bets3[[#This Row],[Odds]]&lt;0,"MF","MD"),""))))))</f>
        <v>MD</v>
      </c>
      <c r="K233" s="24"/>
      <c r="N233" s="69"/>
      <c r="O233" s="27"/>
    </row>
    <row r="234" spans="1:15" x14ac:dyDescent="0.25">
      <c r="A234" s="13">
        <f t="shared" si="9"/>
        <v>23</v>
      </c>
      <c r="B234" s="17">
        <v>43662</v>
      </c>
      <c r="C234" s="17" t="s">
        <v>802</v>
      </c>
      <c r="D234" s="18" t="s">
        <v>1497</v>
      </c>
      <c r="E234" s="11" t="s">
        <v>897</v>
      </c>
      <c r="F234" s="19">
        <f>IF(Bets35[[#This Row],[Odds]]&lt;0,Bets35[[#This Row],[Odds]]/-10,1000/Bets3[[#This Row],[Odds]])</f>
        <v>13.5</v>
      </c>
      <c r="G234" s="91">
        <v>-120</v>
      </c>
      <c r="H234" s="21" t="s">
        <v>263</v>
      </c>
      <c r="I234" s="45">
        <f>IF(Bets3[[#This Row],[Result]]="L",0-Bets3[[#This Row],[Risk]],IF(Bets3[[#This Row],[Result]]="Push",0,IF(Bets3[[#This Row],[Result]]="No Action",0,IF(Bets3[[#This Row],[Result]]="W",IF(Bets3[[#This Row],[Odds]]&gt;0,Bets3[[#This Row],[Odds]]/100*Bets3[[#This Row],[Risk]],(Bets3[[#This Row],[Risk]]/Bets3[[#This Row],[Odds]]*-100)),""))))</f>
        <v>-13.5</v>
      </c>
      <c r="J234" s="39" t="str">
        <f>IF(ISNUMBER(SEARCH(CHAR(10),Bets3[[#This Row],[Bet]])),"P",IF(ISNUMBER(FIND("Under",Bets3[[#This Row],[Bet]])),"U",IF(ISNUMBER(SEARCH("Over",Bets3[[#This Row],[Bet]])),"O",IF(ISNUMBER(SEARCH("+",Bets3[[#This Row],[Bet]])),"D",IF(ISNUMBER(SEARCH("-",Bets3[[#This Row],[Bet]])),"F",IF(ISNUMBER(SEARCH("Moneyline",Bets3[[#This Row],[Bet]])),IF(Bets3[[#This Row],[Odds]]&lt;0,"MF","MD"),""))))))</f>
        <v>MF</v>
      </c>
      <c r="K234" s="24"/>
      <c r="N234" s="69"/>
      <c r="O234" s="27"/>
    </row>
    <row r="235" spans="1:15" x14ac:dyDescent="0.25">
      <c r="A235" s="13">
        <f t="shared" si="9"/>
        <v>23</v>
      </c>
      <c r="B235" s="17">
        <v>43662</v>
      </c>
      <c r="C235" s="17" t="s">
        <v>802</v>
      </c>
      <c r="D235" s="18" t="s">
        <v>1498</v>
      </c>
      <c r="E235" s="11" t="s">
        <v>1343</v>
      </c>
      <c r="F235" s="19">
        <f>IF(Bets35[[#This Row],[Odds]]&lt;0,Bets35[[#This Row],[Odds]]/-10,1000/Bets3[[#This Row],[Odds]])</f>
        <v>20</v>
      </c>
      <c r="G235" s="91">
        <v>-115</v>
      </c>
      <c r="H235" s="21" t="s">
        <v>262</v>
      </c>
      <c r="I235" s="45">
        <f>IF(Bets3[[#This Row],[Result]]="L",0-Bets3[[#This Row],[Risk]],IF(Bets3[[#This Row],[Result]]="Push",0,IF(Bets3[[#This Row],[Result]]="No Action",0,IF(Bets3[[#This Row],[Result]]="W",IF(Bets3[[#This Row],[Odds]]&gt;0,Bets3[[#This Row],[Odds]]/100*Bets3[[#This Row],[Risk]],(Bets3[[#This Row],[Risk]]/Bets3[[#This Row],[Odds]]*-100)),""))))</f>
        <v>17.391304347826086</v>
      </c>
      <c r="J235" s="39" t="str">
        <f>IF(ISNUMBER(SEARCH(CHAR(10),Bets3[[#This Row],[Bet]])),"P",IF(ISNUMBER(FIND("Under",Bets3[[#This Row],[Bet]])),"U",IF(ISNUMBER(SEARCH("Over",Bets3[[#This Row],[Bet]])),"O",IF(ISNUMBER(SEARCH("+",Bets3[[#This Row],[Bet]])),"D",IF(ISNUMBER(SEARCH("-",Bets3[[#This Row],[Bet]])),"F",IF(ISNUMBER(SEARCH("Moneyline",Bets3[[#This Row],[Bet]])),IF(Bets3[[#This Row],[Odds]]&lt;0,"MF","MD"),""))))))</f>
        <v>U</v>
      </c>
      <c r="K235" s="24"/>
      <c r="N235" s="69"/>
      <c r="O235" s="27"/>
    </row>
    <row r="236" spans="1:15" x14ac:dyDescent="0.25">
      <c r="A236" s="13">
        <f t="shared" si="9"/>
        <v>23</v>
      </c>
      <c r="B236" s="17">
        <v>43662</v>
      </c>
      <c r="C236" s="17" t="s">
        <v>802</v>
      </c>
      <c r="D236" s="18" t="s">
        <v>1491</v>
      </c>
      <c r="E236" s="11" t="s">
        <v>1209</v>
      </c>
      <c r="F236" s="19">
        <f>IF(Bets35[[#This Row],[Odds]]&lt;0,Bets35[[#This Row],[Odds]]/-10,1000/Bets3[[#This Row],[Odds]])</f>
        <v>11</v>
      </c>
      <c r="G236" s="91">
        <v>-115</v>
      </c>
      <c r="H236" s="21" t="s">
        <v>263</v>
      </c>
      <c r="I236" s="45">
        <f>IF(Bets3[[#This Row],[Result]]="L",0-Bets3[[#This Row],[Risk]],IF(Bets3[[#This Row],[Result]]="Push",0,IF(Bets3[[#This Row],[Result]]="No Action",0,IF(Bets3[[#This Row],[Result]]="W",IF(Bets3[[#This Row],[Odds]]&gt;0,Bets3[[#This Row],[Odds]]/100*Bets3[[#This Row],[Risk]],(Bets3[[#This Row],[Risk]]/Bets3[[#This Row],[Odds]]*-100)),""))))</f>
        <v>-11</v>
      </c>
      <c r="J236" s="39" t="str">
        <f>IF(ISNUMBER(SEARCH(CHAR(10),Bets3[[#This Row],[Bet]])),"P",IF(ISNUMBER(FIND("Under",Bets3[[#This Row],[Bet]])),"U",IF(ISNUMBER(SEARCH("Over",Bets3[[#This Row],[Bet]])),"O",IF(ISNUMBER(SEARCH("+",Bets3[[#This Row],[Bet]])),"D",IF(ISNUMBER(SEARCH("-",Bets3[[#This Row],[Bet]])),"F",IF(ISNUMBER(SEARCH("Moneyline",Bets3[[#This Row],[Bet]])),IF(Bets3[[#This Row],[Odds]]&lt;0,"MF","MD"),""))))))</f>
        <v>U</v>
      </c>
      <c r="K236" s="24"/>
      <c r="N236" s="69"/>
      <c r="O236" s="27"/>
    </row>
    <row r="237" spans="1:15" x14ac:dyDescent="0.25">
      <c r="A237" s="13">
        <f t="shared" si="9"/>
        <v>23</v>
      </c>
      <c r="B237" s="17">
        <v>43662</v>
      </c>
      <c r="C237" s="17" t="s">
        <v>802</v>
      </c>
      <c r="D237" s="18" t="s">
        <v>1499</v>
      </c>
      <c r="E237" s="11" t="s">
        <v>880</v>
      </c>
      <c r="F237" s="19">
        <f>IF(Bets35[[#This Row],[Odds]]&lt;0,Bets35[[#This Row],[Odds]]/-10,1000/Bets3[[#This Row],[Odds]])</f>
        <v>-8.695652173913043</v>
      </c>
      <c r="G237" s="91">
        <v>-115</v>
      </c>
      <c r="H237" s="21" t="s">
        <v>263</v>
      </c>
      <c r="I237" s="45">
        <f>IF(Bets3[[#This Row],[Result]]="L",0-Bets3[[#This Row],[Risk]],IF(Bets3[[#This Row],[Result]]="Push",0,IF(Bets3[[#This Row],[Result]]="No Action",0,IF(Bets3[[#This Row],[Result]]="W",IF(Bets3[[#This Row],[Odds]]&gt;0,Bets3[[#This Row],[Odds]]/100*Bets3[[#This Row],[Risk]],(Bets3[[#This Row],[Risk]]/Bets3[[#This Row],[Odds]]*-100)),""))))</f>
        <v>8.695652173913043</v>
      </c>
      <c r="J237" s="39" t="str">
        <f>IF(ISNUMBER(SEARCH(CHAR(10),Bets3[[#This Row],[Bet]])),"P",IF(ISNUMBER(FIND("Under",Bets3[[#This Row],[Bet]])),"U",IF(ISNUMBER(SEARCH("Over",Bets3[[#This Row],[Bet]])),"O",IF(ISNUMBER(SEARCH("+",Bets3[[#This Row],[Bet]])),"D",IF(ISNUMBER(SEARCH("-",Bets3[[#This Row],[Bet]])),"F",IF(ISNUMBER(SEARCH("Moneyline",Bets3[[#This Row],[Bet]])),IF(Bets3[[#This Row],[Odds]]&lt;0,"MF","MD"),""))))))</f>
        <v>U</v>
      </c>
      <c r="K237" s="24"/>
      <c r="N237" s="69"/>
      <c r="O237" s="27"/>
    </row>
    <row r="238" spans="1:15" x14ac:dyDescent="0.25">
      <c r="A238" s="13">
        <f t="shared" si="9"/>
        <v>23</v>
      </c>
      <c r="B238" s="17">
        <v>43662</v>
      </c>
      <c r="C238" s="17" t="s">
        <v>802</v>
      </c>
      <c r="D238" s="18" t="s">
        <v>1500</v>
      </c>
      <c r="E238" s="11" t="s">
        <v>1343</v>
      </c>
      <c r="F238" s="19">
        <f>IF(Bets35[[#This Row],[Odds]]&lt;0,Bets35[[#This Row],[Odds]]/-10,1000/Bets3[[#This Row],[Odds]])</f>
        <v>-8.695652173913043</v>
      </c>
      <c r="G238" s="91">
        <v>-115</v>
      </c>
      <c r="H238" s="21" t="s">
        <v>263</v>
      </c>
      <c r="I238" s="45">
        <f>IF(Bets3[[#This Row],[Result]]="L",0-Bets3[[#This Row],[Risk]],IF(Bets3[[#This Row],[Result]]="Push",0,IF(Bets3[[#This Row],[Result]]="No Action",0,IF(Bets3[[#This Row],[Result]]="W",IF(Bets3[[#This Row],[Odds]]&gt;0,Bets3[[#This Row],[Odds]]/100*Bets3[[#This Row],[Risk]],(Bets3[[#This Row],[Risk]]/Bets3[[#This Row],[Odds]]*-100)),""))))</f>
        <v>8.695652173913043</v>
      </c>
      <c r="J238" s="39" t="str">
        <f>IF(ISNUMBER(SEARCH(CHAR(10),Bets3[[#This Row],[Bet]])),"P",IF(ISNUMBER(FIND("Under",Bets3[[#This Row],[Bet]])),"U",IF(ISNUMBER(SEARCH("Over",Bets3[[#This Row],[Bet]])),"O",IF(ISNUMBER(SEARCH("+",Bets3[[#This Row],[Bet]])),"D",IF(ISNUMBER(SEARCH("-",Bets3[[#This Row],[Bet]])),"F",IF(ISNUMBER(SEARCH("Moneyline",Bets3[[#This Row],[Bet]])),IF(Bets3[[#This Row],[Odds]]&lt;0,"MF","MD"),""))))))</f>
        <v>U</v>
      </c>
      <c r="K238" s="24"/>
      <c r="N238" s="69"/>
      <c r="O238" s="27"/>
    </row>
    <row r="239" spans="1:15" x14ac:dyDescent="0.25">
      <c r="A239" s="13">
        <f t="shared" si="9"/>
        <v>23</v>
      </c>
      <c r="B239" s="17">
        <v>43662</v>
      </c>
      <c r="C239" s="17" t="s">
        <v>802</v>
      </c>
      <c r="D239" s="18" t="s">
        <v>1493</v>
      </c>
      <c r="E239" s="11" t="s">
        <v>879</v>
      </c>
      <c r="F239" s="19">
        <f>IF(Bets35[[#This Row],[Odds]]&lt;0,Bets35[[#This Row],[Odds]]/-10,1000/Bets3[[#This Row],[Odds]])</f>
        <v>25</v>
      </c>
      <c r="G239" s="91">
        <v>-105</v>
      </c>
      <c r="H239" s="21" t="s">
        <v>262</v>
      </c>
      <c r="I239" s="45">
        <f>IF(Bets3[[#This Row],[Result]]="L",0-Bets3[[#This Row],[Risk]],IF(Bets3[[#This Row],[Result]]="Push",0,IF(Bets3[[#This Row],[Result]]="No Action",0,IF(Bets3[[#This Row],[Result]]="W",IF(Bets3[[#This Row],[Odds]]&gt;0,Bets3[[#This Row],[Odds]]/100*Bets3[[#This Row],[Risk]],(Bets3[[#This Row],[Risk]]/Bets3[[#This Row],[Odds]]*-100)),""))))</f>
        <v>23.809523809523807</v>
      </c>
      <c r="J239" s="39" t="str">
        <f>IF(ISNUMBER(SEARCH(CHAR(10),Bets3[[#This Row],[Bet]])),"P",IF(ISNUMBER(FIND("Under",Bets3[[#This Row],[Bet]])),"U",IF(ISNUMBER(SEARCH("Over",Bets3[[#This Row],[Bet]])),"O",IF(ISNUMBER(SEARCH("+",Bets3[[#This Row],[Bet]])),"D",IF(ISNUMBER(SEARCH("-",Bets3[[#This Row],[Bet]])),"F",IF(ISNUMBER(SEARCH("Moneyline",Bets3[[#This Row],[Bet]])),IF(Bets3[[#This Row],[Odds]]&lt;0,"MF","MD"),""))))))</f>
        <v>U</v>
      </c>
      <c r="K239" s="24"/>
      <c r="N239" s="69"/>
      <c r="O239" s="27"/>
    </row>
    <row r="240" spans="1:15" x14ac:dyDescent="0.25">
      <c r="A240" s="13">
        <f t="shared" si="9"/>
        <v>23</v>
      </c>
      <c r="B240" s="17">
        <v>43662</v>
      </c>
      <c r="C240" s="17" t="s">
        <v>802</v>
      </c>
      <c r="D240" s="18" t="s">
        <v>1494</v>
      </c>
      <c r="E240" s="11" t="s">
        <v>1501</v>
      </c>
      <c r="F240" s="19">
        <f>IF(Bets35[[#This Row],[Odds]]&lt;0,Bets35[[#This Row],[Odds]]/-10,1000/Bets3[[#This Row],[Odds]])</f>
        <v>10.5</v>
      </c>
      <c r="G240" s="91">
        <v>-110</v>
      </c>
      <c r="H240" s="21" t="s">
        <v>263</v>
      </c>
      <c r="I240" s="45">
        <f>IF(Bets3[[#This Row],[Result]]="L",0-Bets3[[#This Row],[Risk]],IF(Bets3[[#This Row],[Result]]="Push",0,IF(Bets3[[#This Row],[Result]]="No Action",0,IF(Bets3[[#This Row],[Result]]="W",IF(Bets3[[#This Row],[Odds]]&gt;0,Bets3[[#This Row],[Odds]]/100*Bets3[[#This Row],[Risk]],(Bets3[[#This Row],[Risk]]/Bets3[[#This Row],[Odds]]*-100)),""))))</f>
        <v>-10.5</v>
      </c>
      <c r="J240" s="39" t="str">
        <f>IF(ISNUMBER(SEARCH(CHAR(10),Bets3[[#This Row],[Bet]])),"P",IF(ISNUMBER(FIND("Under",Bets3[[#This Row],[Bet]])),"U",IF(ISNUMBER(SEARCH("Over",Bets3[[#This Row],[Bet]])),"O",IF(ISNUMBER(SEARCH("+",Bets3[[#This Row],[Bet]])),"D",IF(ISNUMBER(SEARCH("-",Bets3[[#This Row],[Bet]])),"F",IF(ISNUMBER(SEARCH("Moneyline",Bets3[[#This Row],[Bet]])),IF(Bets3[[#This Row],[Odds]]&lt;0,"MF","MD"),""))))))</f>
        <v>U</v>
      </c>
      <c r="K240" s="24"/>
      <c r="N240" s="69"/>
      <c r="O240" s="27"/>
    </row>
    <row r="241" spans="1:15" x14ac:dyDescent="0.25">
      <c r="A241" s="13">
        <f t="shared" si="9"/>
        <v>23</v>
      </c>
      <c r="B241" s="17">
        <v>43662</v>
      </c>
      <c r="C241" s="17" t="s">
        <v>802</v>
      </c>
      <c r="D241" s="18" t="s">
        <v>1502</v>
      </c>
      <c r="E241" s="11" t="s">
        <v>879</v>
      </c>
      <c r="F241" s="19">
        <f>IF(Bets35[[#This Row],[Odds]]&lt;0,Bets35[[#This Row],[Odds]]/-10,1000/Bets3[[#This Row],[Odds]])</f>
        <v>-9.0909090909090917</v>
      </c>
      <c r="G241" s="91">
        <v>-110</v>
      </c>
      <c r="H241" s="21" t="s">
        <v>262</v>
      </c>
      <c r="I241" s="45">
        <f>IF(Bets3[[#This Row],[Result]]="L",0-Bets3[[#This Row],[Risk]],IF(Bets3[[#This Row],[Result]]="Push",0,IF(Bets3[[#This Row],[Result]]="No Action",0,IF(Bets3[[#This Row],[Result]]="W",IF(Bets3[[#This Row],[Odds]]&gt;0,Bets3[[#This Row],[Odds]]/100*Bets3[[#This Row],[Risk]],(Bets3[[#This Row],[Risk]]/Bets3[[#This Row],[Odds]]*-100)),""))))</f>
        <v>-8.2644628099173563</v>
      </c>
      <c r="J241" s="39" t="str">
        <f>IF(ISNUMBER(SEARCH(CHAR(10),Bets3[[#This Row],[Bet]])),"P",IF(ISNUMBER(FIND("Under",Bets3[[#This Row],[Bet]])),"U",IF(ISNUMBER(SEARCH("Over",Bets3[[#This Row],[Bet]])),"O",IF(ISNUMBER(SEARCH("+",Bets3[[#This Row],[Bet]])),"D",IF(ISNUMBER(SEARCH("-",Bets3[[#This Row],[Bet]])),"F",IF(ISNUMBER(SEARCH("Moneyline",Bets3[[#This Row],[Bet]])),IF(Bets3[[#This Row],[Odds]]&lt;0,"MF","MD"),""))))))</f>
        <v>U</v>
      </c>
      <c r="K241" s="24"/>
      <c r="N241" s="69"/>
      <c r="O241" s="27"/>
    </row>
    <row r="242" spans="1:15" x14ac:dyDescent="0.25">
      <c r="A242" s="13">
        <f t="shared" si="9"/>
        <v>23</v>
      </c>
      <c r="B242" s="17">
        <v>43662</v>
      </c>
      <c r="C242" s="17" t="s">
        <v>802</v>
      </c>
      <c r="D242" s="18" t="s">
        <v>1495</v>
      </c>
      <c r="E242" s="11" t="s">
        <v>1209</v>
      </c>
      <c r="F242" s="19">
        <f>IF(Bets35[[#This Row],[Odds]]&lt;0,Bets35[[#This Row],[Odds]]/-10,1000/Bets3[[#This Row],[Odds]])</f>
        <v>-9.5238095238095237</v>
      </c>
      <c r="G242" s="91">
        <v>-105</v>
      </c>
      <c r="H242" s="21" t="s">
        <v>263</v>
      </c>
      <c r="I242" s="45">
        <f>IF(Bets3[[#This Row],[Result]]="L",0-Bets3[[#This Row],[Risk]],IF(Bets3[[#This Row],[Result]]="Push",0,IF(Bets3[[#This Row],[Result]]="No Action",0,IF(Bets3[[#This Row],[Result]]="W",IF(Bets3[[#This Row],[Odds]]&gt;0,Bets3[[#This Row],[Odds]]/100*Bets3[[#This Row],[Risk]],(Bets3[[#This Row],[Risk]]/Bets3[[#This Row],[Odds]]*-100)),""))))</f>
        <v>9.5238095238095237</v>
      </c>
      <c r="J242" s="39" t="str">
        <f>IF(ISNUMBER(SEARCH(CHAR(10),Bets3[[#This Row],[Bet]])),"P",IF(ISNUMBER(FIND("Under",Bets3[[#This Row],[Bet]])),"U",IF(ISNUMBER(SEARCH("Over",Bets3[[#This Row],[Bet]])),"O",IF(ISNUMBER(SEARCH("+",Bets3[[#This Row],[Bet]])),"D",IF(ISNUMBER(SEARCH("-",Bets3[[#This Row],[Bet]])),"F",IF(ISNUMBER(SEARCH("Moneyline",Bets3[[#This Row],[Bet]])),IF(Bets3[[#This Row],[Odds]]&lt;0,"MF","MD"),""))))))</f>
        <v>U</v>
      </c>
      <c r="K242" s="24"/>
      <c r="N242" s="69"/>
      <c r="O242" s="27"/>
    </row>
    <row r="243" spans="1:15" x14ac:dyDescent="0.25">
      <c r="A243" s="13">
        <f t="shared" si="9"/>
        <v>23</v>
      </c>
      <c r="B243" s="17">
        <v>43662</v>
      </c>
      <c r="C243" s="17" t="s">
        <v>802</v>
      </c>
      <c r="D243" s="18" t="s">
        <v>1503</v>
      </c>
      <c r="E243" s="11" t="s">
        <v>879</v>
      </c>
      <c r="F243" s="19">
        <f>IF(Bets35[[#This Row],[Odds]]&lt;0,Bets35[[#This Row],[Odds]]/-10,1000/Bets3[[#This Row],[Odds]])</f>
        <v>12</v>
      </c>
      <c r="G243" s="91">
        <v>-115</v>
      </c>
      <c r="H243" s="21" t="s">
        <v>262</v>
      </c>
      <c r="I243" s="45">
        <f>IF(Bets3[[#This Row],[Result]]="L",0-Bets3[[#This Row],[Risk]],IF(Bets3[[#This Row],[Result]]="Push",0,IF(Bets3[[#This Row],[Result]]="No Action",0,IF(Bets3[[#This Row],[Result]]="W",IF(Bets3[[#This Row],[Odds]]&gt;0,Bets3[[#This Row],[Odds]]/100*Bets3[[#This Row],[Risk]],(Bets3[[#This Row],[Risk]]/Bets3[[#This Row],[Odds]]*-100)),""))))</f>
        <v>10.434782608695652</v>
      </c>
      <c r="J243" s="39" t="str">
        <f>IF(ISNUMBER(SEARCH(CHAR(10),Bets3[[#This Row],[Bet]])),"P",IF(ISNUMBER(FIND("Under",Bets3[[#This Row],[Bet]])),"U",IF(ISNUMBER(SEARCH("Over",Bets3[[#This Row],[Bet]])),"O",IF(ISNUMBER(SEARCH("+",Bets3[[#This Row],[Bet]])),"D",IF(ISNUMBER(SEARCH("-",Bets3[[#This Row],[Bet]])),"F",IF(ISNUMBER(SEARCH("Moneyline",Bets3[[#This Row],[Bet]])),IF(Bets3[[#This Row],[Odds]]&lt;0,"MF","MD"),""))))))</f>
        <v>U</v>
      </c>
      <c r="K243" s="24"/>
      <c r="N243" s="69"/>
      <c r="O243" s="27"/>
    </row>
    <row r="244" spans="1:15" x14ac:dyDescent="0.25">
      <c r="A244" s="13">
        <f t="shared" si="9"/>
        <v>23</v>
      </c>
      <c r="B244" s="17">
        <v>43662</v>
      </c>
      <c r="C244" s="17" t="s">
        <v>802</v>
      </c>
      <c r="D244" s="18" t="s">
        <v>1504</v>
      </c>
      <c r="E244" s="11" t="s">
        <v>879</v>
      </c>
      <c r="F244" s="19">
        <f>IF(Bets35[[#This Row],[Odds]]&lt;0,Bets35[[#This Row],[Odds]]/-10,1000/Bets3[[#This Row],[Odds]])</f>
        <v>11.5</v>
      </c>
      <c r="G244" s="91">
        <v>-105</v>
      </c>
      <c r="H244" s="21" t="s">
        <v>263</v>
      </c>
      <c r="I244" s="45">
        <f>IF(Bets3[[#This Row],[Result]]="L",0-Bets3[[#This Row],[Risk]],IF(Bets3[[#This Row],[Result]]="Push",0,IF(Bets3[[#This Row],[Result]]="No Action",0,IF(Bets3[[#This Row],[Result]]="W",IF(Bets3[[#This Row],[Odds]]&gt;0,Bets3[[#This Row],[Odds]]/100*Bets3[[#This Row],[Risk]],(Bets3[[#This Row],[Risk]]/Bets3[[#This Row],[Odds]]*-100)),""))))</f>
        <v>-11.5</v>
      </c>
      <c r="J244" s="39" t="str">
        <f>IF(ISNUMBER(SEARCH(CHAR(10),Bets3[[#This Row],[Bet]])),"P",IF(ISNUMBER(FIND("Under",Bets3[[#This Row],[Bet]])),"U",IF(ISNUMBER(SEARCH("Over",Bets3[[#This Row],[Bet]])),"O",IF(ISNUMBER(SEARCH("+",Bets3[[#This Row],[Bet]])),"D",IF(ISNUMBER(SEARCH("-",Bets3[[#This Row],[Bet]])),"F",IF(ISNUMBER(SEARCH("Moneyline",Bets3[[#This Row],[Bet]])),IF(Bets3[[#This Row],[Odds]]&lt;0,"MF","MD"),""))))))</f>
        <v>U</v>
      </c>
      <c r="K244" s="24"/>
      <c r="N244" s="69"/>
      <c r="O244" s="27"/>
    </row>
    <row r="245" spans="1:15" x14ac:dyDescent="0.25">
      <c r="A245" s="13">
        <f t="shared" si="9"/>
        <v>23</v>
      </c>
      <c r="B245" s="17">
        <v>43662</v>
      </c>
      <c r="C245" s="17" t="s">
        <v>802</v>
      </c>
      <c r="D245" s="18" t="s">
        <v>1214</v>
      </c>
      <c r="E245" s="11" t="s">
        <v>933</v>
      </c>
      <c r="F245" s="19">
        <f>IF(Bets35[[#This Row],[Odds]]&lt;0,Bets35[[#This Row],[Odds]]/-10,1000/Bets3[[#This Row],[Odds]])</f>
        <v>11.5</v>
      </c>
      <c r="G245" s="91">
        <v>-115</v>
      </c>
      <c r="H245" s="21" t="s">
        <v>262</v>
      </c>
      <c r="I245" s="45">
        <f>IF(Bets3[[#This Row],[Result]]="L",0-Bets3[[#This Row],[Risk]],IF(Bets3[[#This Row],[Result]]="Push",0,IF(Bets3[[#This Row],[Result]]="No Action",0,IF(Bets3[[#This Row],[Result]]="W",IF(Bets3[[#This Row],[Odds]]&gt;0,Bets3[[#This Row],[Odds]]/100*Bets3[[#This Row],[Risk]],(Bets3[[#This Row],[Risk]]/Bets3[[#This Row],[Odds]]*-100)),""))))</f>
        <v>10</v>
      </c>
      <c r="J245" s="39" t="str">
        <f>IF(ISNUMBER(SEARCH(CHAR(10),Bets3[[#This Row],[Bet]])),"P",IF(ISNUMBER(FIND("Under",Bets3[[#This Row],[Bet]])),"U",IF(ISNUMBER(SEARCH("Over",Bets3[[#This Row],[Bet]])),"O",IF(ISNUMBER(SEARCH("+",Bets3[[#This Row],[Bet]])),"D",IF(ISNUMBER(SEARCH("-",Bets3[[#This Row],[Bet]])),"F",IF(ISNUMBER(SEARCH("Moneyline",Bets3[[#This Row],[Bet]])),IF(Bets3[[#This Row],[Odds]]&lt;0,"MF","MD"),""))))))</f>
        <v>U</v>
      </c>
      <c r="K245" s="24"/>
      <c r="N245" s="69"/>
      <c r="O245" s="27"/>
    </row>
    <row r="246" spans="1:15" x14ac:dyDescent="0.25">
      <c r="A246" s="13">
        <f t="shared" si="9"/>
        <v>23</v>
      </c>
      <c r="B246" s="17">
        <v>43662</v>
      </c>
      <c r="C246" s="17" t="s">
        <v>802</v>
      </c>
      <c r="D246" s="18" t="s">
        <v>1186</v>
      </c>
      <c r="E246" s="11" t="s">
        <v>1505</v>
      </c>
      <c r="F246" s="19">
        <f>IF(Bets35[[#This Row],[Odds]]&lt;0,Bets35[[#This Row],[Odds]]/-10,1000/Bets3[[#This Row],[Odds]])</f>
        <v>11.5</v>
      </c>
      <c r="G246" s="91">
        <v>-110</v>
      </c>
      <c r="H246" s="21" t="s">
        <v>262</v>
      </c>
      <c r="I246" s="45">
        <f>IF(Bets3[[#This Row],[Result]]="L",0-Bets3[[#This Row],[Risk]],IF(Bets3[[#This Row],[Result]]="Push",0,IF(Bets3[[#This Row],[Result]]="No Action",0,IF(Bets3[[#This Row],[Result]]="W",IF(Bets3[[#This Row],[Odds]]&gt;0,Bets3[[#This Row],[Odds]]/100*Bets3[[#This Row],[Risk]],(Bets3[[#This Row],[Risk]]/Bets3[[#This Row],[Odds]]*-100)),""))))</f>
        <v>10.454545454545453</v>
      </c>
      <c r="J246" s="39" t="str">
        <f>IF(ISNUMBER(SEARCH(CHAR(10),Bets3[[#This Row],[Bet]])),"P",IF(ISNUMBER(FIND("Under",Bets3[[#This Row],[Bet]])),"U",IF(ISNUMBER(SEARCH("Over",Bets3[[#This Row],[Bet]])),"O",IF(ISNUMBER(SEARCH("+",Bets3[[#This Row],[Bet]])),"D",IF(ISNUMBER(SEARCH("-",Bets3[[#This Row],[Bet]])),"F",IF(ISNUMBER(SEARCH("Moneyline",Bets3[[#This Row],[Bet]])),IF(Bets3[[#This Row],[Odds]]&lt;0,"MF","MD"),""))))))</f>
        <v>U</v>
      </c>
      <c r="K246" s="24"/>
      <c r="N246" s="69"/>
      <c r="O246" s="27"/>
    </row>
    <row r="247" spans="1:15" x14ac:dyDescent="0.25">
      <c r="A247" s="13">
        <f t="shared" si="9"/>
        <v>23</v>
      </c>
      <c r="B247" s="17">
        <v>43662</v>
      </c>
      <c r="C247" s="17" t="s">
        <v>802</v>
      </c>
      <c r="D247" s="18" t="s">
        <v>1497</v>
      </c>
      <c r="E247" s="11" t="s">
        <v>1209</v>
      </c>
      <c r="F247" s="19">
        <f>IF(Bets35[[#This Row],[Odds]]&lt;0,Bets35[[#This Row],[Odds]]/-10,1000/Bets3[[#This Row],[Odds]])</f>
        <v>11.5</v>
      </c>
      <c r="G247" s="91">
        <v>-105</v>
      </c>
      <c r="H247" s="21" t="s">
        <v>262</v>
      </c>
      <c r="I247" s="45">
        <f>IF(Bets3[[#This Row],[Result]]="L",0-Bets3[[#This Row],[Risk]],IF(Bets3[[#This Row],[Result]]="Push",0,IF(Bets3[[#This Row],[Result]]="No Action",0,IF(Bets3[[#This Row],[Result]]="W",IF(Bets3[[#This Row],[Odds]]&gt;0,Bets3[[#This Row],[Odds]]/100*Bets3[[#This Row],[Risk]],(Bets3[[#This Row],[Risk]]/Bets3[[#This Row],[Odds]]*-100)),""))))</f>
        <v>10.952380952380953</v>
      </c>
      <c r="J247" s="39" t="str">
        <f>IF(ISNUMBER(SEARCH(CHAR(10),Bets3[[#This Row],[Bet]])),"P",IF(ISNUMBER(FIND("Under",Bets3[[#This Row],[Bet]])),"U",IF(ISNUMBER(SEARCH("Over",Bets3[[#This Row],[Bet]])),"O",IF(ISNUMBER(SEARCH("+",Bets3[[#This Row],[Bet]])),"D",IF(ISNUMBER(SEARCH("-",Bets3[[#This Row],[Bet]])),"F",IF(ISNUMBER(SEARCH("Moneyline",Bets3[[#This Row],[Bet]])),IF(Bets3[[#This Row],[Odds]]&lt;0,"MF","MD"),""))))))</f>
        <v>U</v>
      </c>
      <c r="K247" s="24"/>
      <c r="N247" s="69"/>
      <c r="O247" s="27"/>
    </row>
    <row r="248" spans="1:15" x14ac:dyDescent="0.25">
      <c r="A248" s="13">
        <f t="shared" si="9"/>
        <v>24</v>
      </c>
      <c r="B248" s="17">
        <v>43663</v>
      </c>
      <c r="C248" s="17" t="s">
        <v>802</v>
      </c>
      <c r="D248" s="18" t="s">
        <v>1214</v>
      </c>
      <c r="E248" s="11" t="s">
        <v>899</v>
      </c>
      <c r="F248" s="19">
        <f>IF(Bets35[[#This Row],[Odds]]&lt;0,Bets35[[#This Row],[Odds]]/-10,1000/Bets3[[#This Row],[Odds]])</f>
        <v>10.5</v>
      </c>
      <c r="G248" s="91">
        <v>-140</v>
      </c>
      <c r="H248" s="21" t="s">
        <v>262</v>
      </c>
      <c r="I248" s="45">
        <f>IF(Bets3[[#This Row],[Result]]="L",0-Bets3[[#This Row],[Risk]],IF(Bets3[[#This Row],[Result]]="Push",0,IF(Bets3[[#This Row],[Result]]="No Action",0,IF(Bets3[[#This Row],[Result]]="W",IF(Bets3[[#This Row],[Odds]]&gt;0,Bets3[[#This Row],[Odds]]/100*Bets3[[#This Row],[Risk]],(Bets3[[#This Row],[Risk]]/Bets3[[#This Row],[Odds]]*-100)),""))))</f>
        <v>7.5</v>
      </c>
      <c r="J248" s="39" t="str">
        <f>IF(ISNUMBER(SEARCH(CHAR(10),Bets3[[#This Row],[Bet]])),"P",IF(ISNUMBER(FIND("Under",Bets3[[#This Row],[Bet]])),"U",IF(ISNUMBER(SEARCH("Over",Bets3[[#This Row],[Bet]])),"O",IF(ISNUMBER(SEARCH("+",Bets3[[#This Row],[Bet]])),"D",IF(ISNUMBER(SEARCH("-",Bets3[[#This Row],[Bet]])),"F",IF(ISNUMBER(SEARCH("Moneyline",Bets3[[#This Row],[Bet]])),IF(Bets3[[#This Row],[Odds]]&lt;0,"MF","MD"),""))))))</f>
        <v>MF</v>
      </c>
      <c r="K248" s="24"/>
      <c r="N248" s="69"/>
      <c r="O248" s="27"/>
    </row>
    <row r="249" spans="1:15" x14ac:dyDescent="0.25">
      <c r="A249" s="13">
        <f t="shared" si="9"/>
        <v>24</v>
      </c>
      <c r="B249" s="17">
        <v>43663</v>
      </c>
      <c r="C249" s="17" t="s">
        <v>802</v>
      </c>
      <c r="D249" s="18" t="s">
        <v>1550</v>
      </c>
      <c r="E249" s="11" t="s">
        <v>815</v>
      </c>
      <c r="F249" s="19">
        <f>IF(Bets35[[#This Row],[Odds]]&lt;0,Bets35[[#This Row],[Odds]]/-10,1000/Bets3[[#This Row],[Odds]])</f>
        <v>11</v>
      </c>
      <c r="G249" s="91" t="s">
        <v>1551</v>
      </c>
      <c r="H249" s="21" t="s">
        <v>263</v>
      </c>
      <c r="I249" s="45">
        <f>IF(Bets3[[#This Row],[Result]]="L",0-Bets3[[#This Row],[Risk]],IF(Bets3[[#This Row],[Result]]="Push",0,IF(Bets3[[#This Row],[Result]]="No Action",0,IF(Bets3[[#This Row],[Result]]="W",IF(Bets3[[#This Row],[Odds]]&gt;0,Bets3[[#This Row],[Odds]]/100*Bets3[[#This Row],[Risk]],(Bets3[[#This Row],[Risk]]/Bets3[[#This Row],[Odds]]*-100)),""))))</f>
        <v>-11</v>
      </c>
      <c r="J249" s="39" t="str">
        <f>IF(ISNUMBER(SEARCH(CHAR(10),Bets3[[#This Row],[Bet]])),"P",IF(ISNUMBER(FIND("Under",Bets3[[#This Row],[Bet]])),"U",IF(ISNUMBER(SEARCH("Over",Bets3[[#This Row],[Bet]])),"O",IF(ISNUMBER(SEARCH("+",Bets3[[#This Row],[Bet]])),"D",IF(ISNUMBER(SEARCH("-",Bets3[[#This Row],[Bet]])),"F",IF(ISNUMBER(SEARCH("Moneyline",Bets3[[#This Row],[Bet]])),IF(Bets3[[#This Row],[Odds]]&lt;0,"MF","MD"),""))))))</f>
        <v>MD</v>
      </c>
      <c r="K249" s="24"/>
      <c r="N249" s="69"/>
      <c r="O249" s="27"/>
    </row>
    <row r="250" spans="1:15" x14ac:dyDescent="0.25">
      <c r="A250" s="13">
        <f t="shared" si="9"/>
        <v>24</v>
      </c>
      <c r="B250" s="17">
        <v>43663</v>
      </c>
      <c r="C250" s="17" t="s">
        <v>802</v>
      </c>
      <c r="D250" s="18" t="s">
        <v>1499</v>
      </c>
      <c r="E250" s="11" t="s">
        <v>827</v>
      </c>
      <c r="F250" s="19">
        <f>IF(Bets35[[#This Row],[Odds]]&lt;0,Bets35[[#This Row],[Odds]]/-10,1000/Bets3[[#This Row],[Odds]])</f>
        <v>11</v>
      </c>
      <c r="G250" s="91">
        <v>-147</v>
      </c>
      <c r="H250" s="21" t="s">
        <v>262</v>
      </c>
      <c r="I250" s="45">
        <f>IF(Bets3[[#This Row],[Result]]="L",0-Bets3[[#This Row],[Risk]],IF(Bets3[[#This Row],[Result]]="Push",0,IF(Bets3[[#This Row],[Result]]="No Action",0,IF(Bets3[[#This Row],[Result]]="W",IF(Bets3[[#This Row],[Odds]]&gt;0,Bets3[[#This Row],[Odds]]/100*Bets3[[#This Row],[Risk]],(Bets3[[#This Row],[Risk]]/Bets3[[#This Row],[Odds]]*-100)),""))))</f>
        <v>7.4829931972789119</v>
      </c>
      <c r="J250" s="39" t="str">
        <f>IF(ISNUMBER(SEARCH(CHAR(10),Bets3[[#This Row],[Bet]])),"P",IF(ISNUMBER(FIND("Under",Bets3[[#This Row],[Bet]])),"U",IF(ISNUMBER(SEARCH("Over",Bets3[[#This Row],[Bet]])),"O",IF(ISNUMBER(SEARCH("+",Bets3[[#This Row],[Bet]])),"D",IF(ISNUMBER(SEARCH("-",Bets3[[#This Row],[Bet]])),"F",IF(ISNUMBER(SEARCH("Moneyline",Bets3[[#This Row],[Bet]])),IF(Bets3[[#This Row],[Odds]]&lt;0,"MF","MD"),""))))))</f>
        <v>MF</v>
      </c>
      <c r="K250" s="24"/>
      <c r="N250" s="69"/>
      <c r="O250" s="27"/>
    </row>
    <row r="251" spans="1:15" x14ac:dyDescent="0.25">
      <c r="A251" s="13">
        <f t="shared" si="9"/>
        <v>24</v>
      </c>
      <c r="B251" s="17">
        <v>43663</v>
      </c>
      <c r="C251" s="17" t="s">
        <v>802</v>
      </c>
      <c r="D251" s="18" t="s">
        <v>1500</v>
      </c>
      <c r="E251" s="11" t="s">
        <v>1210</v>
      </c>
      <c r="F251" s="19">
        <f>IF(Bets35[[#This Row],[Odds]]&lt;0,Bets35[[#This Row],[Odds]]/-10,1000/Bets3[[#This Row],[Odds]])</f>
        <v>10.5</v>
      </c>
      <c r="G251" s="91">
        <v>-250</v>
      </c>
      <c r="H251" s="21" t="s">
        <v>262</v>
      </c>
      <c r="I251" s="45">
        <f>IF(Bets3[[#This Row],[Result]]="L",0-Bets3[[#This Row],[Risk]],IF(Bets3[[#This Row],[Result]]="Push",0,IF(Bets3[[#This Row],[Result]]="No Action",0,IF(Bets3[[#This Row],[Result]]="W",IF(Bets3[[#This Row],[Odds]]&gt;0,Bets3[[#This Row],[Odds]]/100*Bets3[[#This Row],[Risk]],(Bets3[[#This Row],[Risk]]/Bets3[[#This Row],[Odds]]*-100)),""))))</f>
        <v>4.2</v>
      </c>
      <c r="J251" s="39" t="str">
        <f>IF(ISNUMBER(SEARCH(CHAR(10),Bets3[[#This Row],[Bet]])),"P",IF(ISNUMBER(FIND("Under",Bets3[[#This Row],[Bet]])),"U",IF(ISNUMBER(SEARCH("Over",Bets3[[#This Row],[Bet]])),"O",IF(ISNUMBER(SEARCH("+",Bets3[[#This Row],[Bet]])),"D",IF(ISNUMBER(SEARCH("-",Bets3[[#This Row],[Bet]])),"F",IF(ISNUMBER(SEARCH("Moneyline",Bets3[[#This Row],[Bet]])),IF(Bets3[[#This Row],[Odds]]&lt;0,"MF","MD"),""))))))</f>
        <v>MF</v>
      </c>
      <c r="K251" s="24"/>
      <c r="N251" s="69"/>
      <c r="O251" s="27"/>
    </row>
    <row r="252" spans="1:15" x14ac:dyDescent="0.25">
      <c r="A252" s="13">
        <f t="shared" si="9"/>
        <v>24</v>
      </c>
      <c r="B252" s="17">
        <v>43663</v>
      </c>
      <c r="C252" s="17" t="s">
        <v>802</v>
      </c>
      <c r="D252" s="18" t="s">
        <v>1494</v>
      </c>
      <c r="E252" s="11" t="s">
        <v>1152</v>
      </c>
      <c r="F252" s="19">
        <f>IF(Bets35[[#This Row],[Odds]]&lt;0,Bets35[[#This Row],[Odds]]/-10,1000/Bets3[[#This Row],[Odds]])</f>
        <v>11.5</v>
      </c>
      <c r="G252" s="91">
        <v>-150</v>
      </c>
      <c r="H252" s="21" t="s">
        <v>262</v>
      </c>
      <c r="I252" s="45">
        <f>IF(Bets3[[#This Row],[Result]]="L",0-Bets3[[#This Row],[Risk]],IF(Bets3[[#This Row],[Result]]="Push",0,IF(Bets3[[#This Row],[Result]]="No Action",0,IF(Bets3[[#This Row],[Result]]="W",IF(Bets3[[#This Row],[Odds]]&gt;0,Bets3[[#This Row],[Odds]]/100*Bets3[[#This Row],[Risk]],(Bets3[[#This Row],[Risk]]/Bets3[[#This Row],[Odds]]*-100)),""))))</f>
        <v>7.6666666666666661</v>
      </c>
      <c r="J252" s="39" t="str">
        <f>IF(ISNUMBER(SEARCH(CHAR(10),Bets3[[#This Row],[Bet]])),"P",IF(ISNUMBER(FIND("Under",Bets3[[#This Row],[Bet]])),"U",IF(ISNUMBER(SEARCH("Over",Bets3[[#This Row],[Bet]])),"O",IF(ISNUMBER(SEARCH("+",Bets3[[#This Row],[Bet]])),"D",IF(ISNUMBER(SEARCH("-",Bets3[[#This Row],[Bet]])),"F",IF(ISNUMBER(SEARCH("Moneyline",Bets3[[#This Row],[Bet]])),IF(Bets3[[#This Row],[Odds]]&lt;0,"MF","MD"),""))))))</f>
        <v>MF</v>
      </c>
      <c r="K252" s="24"/>
      <c r="N252" s="69"/>
      <c r="O252" s="27"/>
    </row>
    <row r="253" spans="1:15" x14ac:dyDescent="0.25">
      <c r="A253" s="13">
        <f t="shared" si="9"/>
        <v>24</v>
      </c>
      <c r="B253" s="17">
        <v>43663</v>
      </c>
      <c r="C253" s="17" t="s">
        <v>802</v>
      </c>
      <c r="D253" s="18" t="s">
        <v>1495</v>
      </c>
      <c r="E253" s="11" t="s">
        <v>1180</v>
      </c>
      <c r="F253" s="19">
        <f>IF(Bets35[[#This Row],[Odds]]&lt;0,Bets35[[#This Row],[Odds]]/-10,1000/Bets3[[#This Row],[Odds]])</f>
        <v>10.5</v>
      </c>
      <c r="G253" s="91">
        <v>-120</v>
      </c>
      <c r="H253" s="21" t="s">
        <v>262</v>
      </c>
      <c r="I253" s="45">
        <f>IF(Bets3[[#This Row],[Result]]="L",0-Bets3[[#This Row],[Risk]],IF(Bets3[[#This Row],[Result]]="Push",0,IF(Bets3[[#This Row],[Result]]="No Action",0,IF(Bets3[[#This Row],[Result]]="W",IF(Bets3[[#This Row],[Odds]]&gt;0,Bets3[[#This Row],[Odds]]/100*Bets3[[#This Row],[Risk]],(Bets3[[#This Row],[Risk]]/Bets3[[#This Row],[Odds]]*-100)),""))))</f>
        <v>8.75</v>
      </c>
      <c r="J253" s="39" t="str">
        <f>IF(ISNUMBER(SEARCH(CHAR(10),Bets3[[#This Row],[Bet]])),"P",IF(ISNUMBER(FIND("Under",Bets3[[#This Row],[Bet]])),"U",IF(ISNUMBER(SEARCH("Over",Bets3[[#This Row],[Bet]])),"O",IF(ISNUMBER(SEARCH("+",Bets3[[#This Row],[Bet]])),"D",IF(ISNUMBER(SEARCH("-",Bets3[[#This Row],[Bet]])),"F",IF(ISNUMBER(SEARCH("Moneyline",Bets3[[#This Row],[Bet]])),IF(Bets3[[#This Row],[Odds]]&lt;0,"MF","MD"),""))))))</f>
        <v>MF</v>
      </c>
      <c r="K253" s="24"/>
      <c r="N253" s="69"/>
      <c r="O253" s="27"/>
    </row>
    <row r="254" spans="1:15" x14ac:dyDescent="0.25">
      <c r="A254" s="13">
        <f t="shared" si="9"/>
        <v>24</v>
      </c>
      <c r="B254" s="17">
        <v>43663</v>
      </c>
      <c r="C254" s="17" t="s">
        <v>802</v>
      </c>
      <c r="D254" s="18" t="s">
        <v>1503</v>
      </c>
      <c r="E254" s="11" t="s">
        <v>879</v>
      </c>
      <c r="F254" s="19">
        <f>IF(Bets35[[#This Row],[Odds]]&lt;0,Bets35[[#This Row],[Odds]]/-10,1000/Bets3[[#This Row],[Odds]])</f>
        <v>11.5</v>
      </c>
      <c r="G254" s="91">
        <v>-105</v>
      </c>
      <c r="H254" s="21" t="s">
        <v>263</v>
      </c>
      <c r="I254" s="45">
        <f>IF(Bets3[[#This Row],[Result]]="L",0-Bets3[[#This Row],[Risk]],IF(Bets3[[#This Row],[Result]]="Push",0,IF(Bets3[[#This Row],[Result]]="No Action",0,IF(Bets3[[#This Row],[Result]]="W",IF(Bets3[[#This Row],[Odds]]&gt;0,Bets3[[#This Row],[Odds]]/100*Bets3[[#This Row],[Risk]],(Bets3[[#This Row],[Risk]]/Bets3[[#This Row],[Odds]]*-100)),""))))</f>
        <v>-11.5</v>
      </c>
      <c r="J254" s="39" t="str">
        <f>IF(ISNUMBER(SEARCH(CHAR(10),Bets3[[#This Row],[Bet]])),"P",IF(ISNUMBER(FIND("Under",Bets3[[#This Row],[Bet]])),"U",IF(ISNUMBER(SEARCH("Over",Bets3[[#This Row],[Bet]])),"O",IF(ISNUMBER(SEARCH("+",Bets3[[#This Row],[Bet]])),"D",IF(ISNUMBER(SEARCH("-",Bets3[[#This Row],[Bet]])),"F",IF(ISNUMBER(SEARCH("Moneyline",Bets3[[#This Row],[Bet]])),IF(Bets3[[#This Row],[Odds]]&lt;0,"MF","MD"),""))))))</f>
        <v>U</v>
      </c>
      <c r="K254" s="24"/>
      <c r="N254" s="69"/>
      <c r="O254" s="27"/>
    </row>
    <row r="255" spans="1:15" x14ac:dyDescent="0.25">
      <c r="A255" s="13">
        <f t="shared" si="9"/>
        <v>24</v>
      </c>
      <c r="B255" s="17">
        <v>43663</v>
      </c>
      <c r="C255" s="17" t="s">
        <v>802</v>
      </c>
      <c r="D255" s="18" t="s">
        <v>1214</v>
      </c>
      <c r="E255" s="11" t="s">
        <v>877</v>
      </c>
      <c r="F255" s="19">
        <f>IF(Bets35[[#This Row],[Odds]]&lt;0,Bets35[[#This Row],[Odds]]/-10,1000/Bets3[[#This Row],[Odds]])</f>
        <v>11</v>
      </c>
      <c r="G255" s="91">
        <v>100</v>
      </c>
      <c r="H255" s="21" t="s">
        <v>263</v>
      </c>
      <c r="I255" s="45">
        <f>IF(Bets3[[#This Row],[Result]]="L",0-Bets3[[#This Row],[Risk]],IF(Bets3[[#This Row],[Result]]="Push",0,IF(Bets3[[#This Row],[Result]]="No Action",0,IF(Bets3[[#This Row],[Result]]="W",IF(Bets3[[#This Row],[Odds]]&gt;0,Bets3[[#This Row],[Odds]]/100*Bets3[[#This Row],[Risk]],(Bets3[[#This Row],[Risk]]/Bets3[[#This Row],[Odds]]*-100)),""))))</f>
        <v>-11</v>
      </c>
      <c r="J255" s="39" t="str">
        <f>IF(ISNUMBER(SEARCH(CHAR(10),Bets3[[#This Row],[Bet]])),"P",IF(ISNUMBER(FIND("Under",Bets3[[#This Row],[Bet]])),"U",IF(ISNUMBER(SEARCH("Over",Bets3[[#This Row],[Bet]])),"O",IF(ISNUMBER(SEARCH("+",Bets3[[#This Row],[Bet]])),"D",IF(ISNUMBER(SEARCH("-",Bets3[[#This Row],[Bet]])),"F",IF(ISNUMBER(SEARCH("Moneyline",Bets3[[#This Row],[Bet]])),IF(Bets3[[#This Row],[Odds]]&lt;0,"MF","MD"),""))))))</f>
        <v>U</v>
      </c>
      <c r="K255" s="24"/>
      <c r="N255" s="69"/>
      <c r="O255" s="27"/>
    </row>
    <row r="256" spans="1:15" x14ac:dyDescent="0.25">
      <c r="A256" s="13">
        <f t="shared" si="9"/>
        <v>24</v>
      </c>
      <c r="B256" s="17">
        <v>43663</v>
      </c>
      <c r="C256" s="17" t="s">
        <v>802</v>
      </c>
      <c r="D256" s="18" t="s">
        <v>1550</v>
      </c>
      <c r="E256" s="11" t="s">
        <v>1209</v>
      </c>
      <c r="F256" s="19">
        <f>IF(Bets35[[#This Row],[Odds]]&lt;0,Bets35[[#This Row],[Odds]]/-10,1000/Bets3[[#This Row],[Odds]])</f>
        <v>10.5</v>
      </c>
      <c r="G256" s="91">
        <v>-105</v>
      </c>
      <c r="H256" s="21" t="s">
        <v>262</v>
      </c>
      <c r="I256" s="45">
        <f>IF(Bets3[[#This Row],[Result]]="L",0-Bets3[[#This Row],[Risk]],IF(Bets3[[#This Row],[Result]]="Push",0,IF(Bets3[[#This Row],[Result]]="No Action",0,IF(Bets3[[#This Row],[Result]]="W",IF(Bets3[[#This Row],[Odds]]&gt;0,Bets3[[#This Row],[Odds]]/100*Bets3[[#This Row],[Risk]],(Bets3[[#This Row],[Risk]]/Bets3[[#This Row],[Odds]]*-100)),""))))</f>
        <v>10</v>
      </c>
      <c r="J256" s="39" t="str">
        <f>IF(ISNUMBER(SEARCH(CHAR(10),Bets3[[#This Row],[Bet]])),"P",IF(ISNUMBER(FIND("Under",Bets3[[#This Row],[Bet]])),"U",IF(ISNUMBER(SEARCH("Over",Bets3[[#This Row],[Bet]])),"O",IF(ISNUMBER(SEARCH("+",Bets3[[#This Row],[Bet]])),"D",IF(ISNUMBER(SEARCH("-",Bets3[[#This Row],[Bet]])),"F",IF(ISNUMBER(SEARCH("Moneyline",Bets3[[#This Row],[Bet]])),IF(Bets3[[#This Row],[Odds]]&lt;0,"MF","MD"),""))))))</f>
        <v>U</v>
      </c>
      <c r="K256" s="24"/>
      <c r="N256" s="69"/>
      <c r="O256" s="27"/>
    </row>
    <row r="257" spans="1:15" x14ac:dyDescent="0.25">
      <c r="A257" s="13">
        <f t="shared" si="9"/>
        <v>24</v>
      </c>
      <c r="B257" s="17">
        <v>43663</v>
      </c>
      <c r="C257" s="17" t="s">
        <v>802</v>
      </c>
      <c r="D257" s="18" t="s">
        <v>1186</v>
      </c>
      <c r="E257" s="11" t="s">
        <v>1552</v>
      </c>
      <c r="F257" s="19">
        <f>IF(Bets35[[#This Row],[Odds]]&lt;0,Bets35[[#This Row],[Odds]]/-10,1000/Bets3[[#This Row],[Odds]])</f>
        <v>14</v>
      </c>
      <c r="G257" s="91">
        <v>-105</v>
      </c>
      <c r="H257" s="21" t="s">
        <v>263</v>
      </c>
      <c r="I257" s="45">
        <f>IF(Bets3[[#This Row],[Result]]="L",0-Bets3[[#This Row],[Risk]],IF(Bets3[[#This Row],[Result]]="Push",0,IF(Bets3[[#This Row],[Result]]="No Action",0,IF(Bets3[[#This Row],[Result]]="W",IF(Bets3[[#This Row],[Odds]]&gt;0,Bets3[[#This Row],[Odds]]/100*Bets3[[#This Row],[Risk]],(Bets3[[#This Row],[Risk]]/Bets3[[#This Row],[Odds]]*-100)),""))))</f>
        <v>-14</v>
      </c>
      <c r="J257" s="39" t="str">
        <f>IF(ISNUMBER(SEARCH(CHAR(10),Bets3[[#This Row],[Bet]])),"P",IF(ISNUMBER(FIND("Under",Bets3[[#This Row],[Bet]])),"U",IF(ISNUMBER(SEARCH("Over",Bets3[[#This Row],[Bet]])),"O",IF(ISNUMBER(SEARCH("+",Bets3[[#This Row],[Bet]])),"D",IF(ISNUMBER(SEARCH("-",Bets3[[#This Row],[Bet]])),"F",IF(ISNUMBER(SEARCH("Moneyline",Bets3[[#This Row],[Bet]])),IF(Bets3[[#This Row],[Odds]]&lt;0,"MF","MD"),""))))))</f>
        <v>U</v>
      </c>
      <c r="K257" s="24"/>
      <c r="N257" s="69"/>
      <c r="O257" s="27"/>
    </row>
    <row r="258" spans="1:15" x14ac:dyDescent="0.25">
      <c r="A258" s="13">
        <f t="shared" si="9"/>
        <v>24</v>
      </c>
      <c r="B258" s="17">
        <v>43663</v>
      </c>
      <c r="C258" s="17" t="s">
        <v>802</v>
      </c>
      <c r="D258" s="18" t="s">
        <v>1499</v>
      </c>
      <c r="E258" s="11" t="s">
        <v>879</v>
      </c>
      <c r="F258" s="19">
        <f>IF(Bets35[[#This Row],[Odds]]&lt;0,Bets35[[#This Row],[Odds]]/-10,1000/Bets3[[#This Row],[Odds]])</f>
        <v>-9.5238095238095237</v>
      </c>
      <c r="G258" s="91">
        <v>-105</v>
      </c>
      <c r="H258" s="21" t="s">
        <v>262</v>
      </c>
      <c r="I258" s="45">
        <f>IF(Bets3[[#This Row],[Result]]="L",0-Bets3[[#This Row],[Risk]],IF(Bets3[[#This Row],[Result]]="Push",0,IF(Bets3[[#This Row],[Result]]="No Action",0,IF(Bets3[[#This Row],[Result]]="W",IF(Bets3[[#This Row],[Odds]]&gt;0,Bets3[[#This Row],[Odds]]/100*Bets3[[#This Row],[Risk]],(Bets3[[#This Row],[Risk]]/Bets3[[#This Row],[Odds]]*-100)),""))))</f>
        <v>-9.0702947845804989</v>
      </c>
      <c r="J258" s="39" t="str">
        <f>IF(ISNUMBER(SEARCH(CHAR(10),Bets3[[#This Row],[Bet]])),"P",IF(ISNUMBER(FIND("Under",Bets3[[#This Row],[Bet]])),"U",IF(ISNUMBER(SEARCH("Over",Bets3[[#This Row],[Bet]])),"O",IF(ISNUMBER(SEARCH("+",Bets3[[#This Row],[Bet]])),"D",IF(ISNUMBER(SEARCH("-",Bets3[[#This Row],[Bet]])),"F",IF(ISNUMBER(SEARCH("Moneyline",Bets3[[#This Row],[Bet]])),IF(Bets3[[#This Row],[Odds]]&lt;0,"MF","MD"),""))))))</f>
        <v>U</v>
      </c>
      <c r="K258" s="24"/>
      <c r="N258" s="69"/>
      <c r="O258" s="27"/>
    </row>
    <row r="259" spans="1:15" x14ac:dyDescent="0.25">
      <c r="A259" s="13">
        <f t="shared" si="9"/>
        <v>24</v>
      </c>
      <c r="B259" s="17">
        <v>43663</v>
      </c>
      <c r="C259" s="17" t="s">
        <v>802</v>
      </c>
      <c r="D259" s="18" t="s">
        <v>1500</v>
      </c>
      <c r="E259" s="11" t="s">
        <v>1158</v>
      </c>
      <c r="F259" s="19">
        <f>IF(Bets35[[#This Row],[Odds]]&lt;0,Bets35[[#This Row],[Odds]]/-10,1000/Bets3[[#This Row],[Odds]])</f>
        <v>14.7</v>
      </c>
      <c r="G259" s="91">
        <v>-105</v>
      </c>
      <c r="H259" s="21" t="s">
        <v>262</v>
      </c>
      <c r="I259" s="45">
        <f>IF(Bets3[[#This Row],[Result]]="L",0-Bets3[[#This Row],[Risk]],IF(Bets3[[#This Row],[Result]]="Push",0,IF(Bets3[[#This Row],[Result]]="No Action",0,IF(Bets3[[#This Row],[Result]]="W",IF(Bets3[[#This Row],[Odds]]&gt;0,Bets3[[#This Row],[Odds]]/100*Bets3[[#This Row],[Risk]],(Bets3[[#This Row],[Risk]]/Bets3[[#This Row],[Odds]]*-100)),""))))</f>
        <v>13.999999999999998</v>
      </c>
      <c r="J259" s="39" t="str">
        <f>IF(ISNUMBER(SEARCH(CHAR(10),Bets3[[#This Row],[Bet]])),"P",IF(ISNUMBER(FIND("Under",Bets3[[#This Row],[Bet]])),"U",IF(ISNUMBER(SEARCH("Over",Bets3[[#This Row],[Bet]])),"O",IF(ISNUMBER(SEARCH("+",Bets3[[#This Row],[Bet]])),"D",IF(ISNUMBER(SEARCH("-",Bets3[[#This Row],[Bet]])),"F",IF(ISNUMBER(SEARCH("Moneyline",Bets3[[#This Row],[Bet]])),IF(Bets3[[#This Row],[Odds]]&lt;0,"MF","MD"),""))))))</f>
        <v>U</v>
      </c>
      <c r="K259" s="24"/>
      <c r="N259" s="69"/>
      <c r="O259" s="27"/>
    </row>
    <row r="260" spans="1:15" x14ac:dyDescent="0.25">
      <c r="A260" s="13">
        <f t="shared" ref="A260:A323" si="10">IF(B260=B259,A259,A259+1)</f>
        <v>24</v>
      </c>
      <c r="B260" s="17">
        <v>43663</v>
      </c>
      <c r="C260" s="17" t="s">
        <v>802</v>
      </c>
      <c r="D260" s="18" t="s">
        <v>1493</v>
      </c>
      <c r="E260" s="11" t="s">
        <v>933</v>
      </c>
      <c r="F260" s="19">
        <f>IF(Bets35[[#This Row],[Odds]]&lt;0,Bets35[[#This Row],[Odds]]/-10,1000/Bets3[[#This Row],[Odds]])</f>
        <v>25</v>
      </c>
      <c r="G260" s="91">
        <v>-115</v>
      </c>
      <c r="H260" s="21" t="s">
        <v>846</v>
      </c>
      <c r="I260" s="45">
        <f>IF(Bets3[[#This Row],[Result]]="L",0-Bets3[[#This Row],[Risk]],IF(Bets3[[#This Row],[Result]]="Push",0,IF(Bets3[[#This Row],[Result]]="No Action",0,IF(Bets3[[#This Row],[Result]]="W",IF(Bets3[[#This Row],[Odds]]&gt;0,Bets3[[#This Row],[Odds]]/100*Bets3[[#This Row],[Risk]],(Bets3[[#This Row],[Risk]]/Bets3[[#This Row],[Odds]]*-100)),""))))</f>
        <v>0</v>
      </c>
      <c r="J260" s="39" t="str">
        <f>IF(ISNUMBER(SEARCH(CHAR(10),Bets3[[#This Row],[Bet]])),"P",IF(ISNUMBER(FIND("Under",Bets3[[#This Row],[Bet]])),"U",IF(ISNUMBER(SEARCH("Over",Bets3[[#This Row],[Bet]])),"O",IF(ISNUMBER(SEARCH("+",Bets3[[#This Row],[Bet]])),"D",IF(ISNUMBER(SEARCH("-",Bets3[[#This Row],[Bet]])),"F",IF(ISNUMBER(SEARCH("Moneyline",Bets3[[#This Row],[Bet]])),IF(Bets3[[#This Row],[Odds]]&lt;0,"MF","MD"),""))))))</f>
        <v>U</v>
      </c>
      <c r="K260" s="24"/>
      <c r="N260" s="69"/>
      <c r="O260" s="27"/>
    </row>
    <row r="261" spans="1:15" x14ac:dyDescent="0.25">
      <c r="A261" s="13">
        <f t="shared" si="10"/>
        <v>24</v>
      </c>
      <c r="B261" s="17">
        <v>43663</v>
      </c>
      <c r="C261" s="17" t="s">
        <v>802</v>
      </c>
      <c r="D261" s="18" t="s">
        <v>1494</v>
      </c>
      <c r="E261" s="11" t="s">
        <v>1501</v>
      </c>
      <c r="F261" s="19">
        <f>IF(Bets35[[#This Row],[Odds]]&lt;0,Bets35[[#This Row],[Odds]]/-10,1000/Bets3[[#This Row],[Odds]])</f>
        <v>15</v>
      </c>
      <c r="G261" s="91">
        <v>-125</v>
      </c>
      <c r="H261" s="21" t="s">
        <v>262</v>
      </c>
      <c r="I261" s="45">
        <f>IF(Bets3[[#This Row],[Result]]="L",0-Bets3[[#This Row],[Risk]],IF(Bets3[[#This Row],[Result]]="Push",0,IF(Bets3[[#This Row],[Result]]="No Action",0,IF(Bets3[[#This Row],[Result]]="W",IF(Bets3[[#This Row],[Odds]]&gt;0,Bets3[[#This Row],[Odds]]/100*Bets3[[#This Row],[Risk]],(Bets3[[#This Row],[Risk]]/Bets3[[#This Row],[Odds]]*-100)),""))))</f>
        <v>12</v>
      </c>
      <c r="J261" s="39" t="str">
        <f>IF(ISNUMBER(SEARCH(CHAR(10),Bets3[[#This Row],[Bet]])),"P",IF(ISNUMBER(FIND("Under",Bets3[[#This Row],[Bet]])),"U",IF(ISNUMBER(SEARCH("Over",Bets3[[#This Row],[Bet]])),"O",IF(ISNUMBER(SEARCH("+",Bets3[[#This Row],[Bet]])),"D",IF(ISNUMBER(SEARCH("-",Bets3[[#This Row],[Bet]])),"F",IF(ISNUMBER(SEARCH("Moneyline",Bets3[[#This Row],[Bet]])),IF(Bets3[[#This Row],[Odds]]&lt;0,"MF","MD"),""))))))</f>
        <v>U</v>
      </c>
      <c r="K261" s="24"/>
      <c r="N261" s="69"/>
      <c r="O261" s="27"/>
    </row>
    <row r="262" spans="1:15" x14ac:dyDescent="0.25">
      <c r="A262" s="13">
        <f t="shared" si="10"/>
        <v>24</v>
      </c>
      <c r="B262" s="17">
        <v>43663</v>
      </c>
      <c r="C262" s="17" t="s">
        <v>802</v>
      </c>
      <c r="D262" s="18" t="s">
        <v>1495</v>
      </c>
      <c r="E262" s="11" t="s">
        <v>879</v>
      </c>
      <c r="F262" s="19">
        <f>IF(Bets35[[#This Row],[Odds]]&lt;0,Bets35[[#This Row],[Odds]]/-10,1000/Bets3[[#This Row],[Odds]])</f>
        <v>12</v>
      </c>
      <c r="G262" s="91">
        <v>-115</v>
      </c>
      <c r="H262" s="21" t="s">
        <v>263</v>
      </c>
      <c r="I262" s="45">
        <f>IF(Bets3[[#This Row],[Result]]="L",0-Bets3[[#This Row],[Risk]],IF(Bets3[[#This Row],[Result]]="Push",0,IF(Bets3[[#This Row],[Result]]="No Action",0,IF(Bets3[[#This Row],[Result]]="W",IF(Bets3[[#This Row],[Odds]]&gt;0,Bets3[[#This Row],[Odds]]/100*Bets3[[#This Row],[Risk]],(Bets3[[#This Row],[Risk]]/Bets3[[#This Row],[Odds]]*-100)),""))))</f>
        <v>-12</v>
      </c>
      <c r="J262" s="39" t="str">
        <f>IF(ISNUMBER(SEARCH(CHAR(10),Bets3[[#This Row],[Bet]])),"P",IF(ISNUMBER(FIND("Under",Bets3[[#This Row],[Bet]])),"U",IF(ISNUMBER(SEARCH("Over",Bets3[[#This Row],[Bet]])),"O",IF(ISNUMBER(SEARCH("+",Bets3[[#This Row],[Bet]])),"D",IF(ISNUMBER(SEARCH("-",Bets3[[#This Row],[Bet]])),"F",IF(ISNUMBER(SEARCH("Moneyline",Bets3[[#This Row],[Bet]])),IF(Bets3[[#This Row],[Odds]]&lt;0,"MF","MD"),""))))))</f>
        <v>U</v>
      </c>
      <c r="K262" s="24"/>
      <c r="N262" s="69"/>
      <c r="O262" s="27"/>
    </row>
    <row r="263" spans="1:15" x14ac:dyDescent="0.25">
      <c r="A263" s="13">
        <f t="shared" si="10"/>
        <v>24</v>
      </c>
      <c r="B263" s="17">
        <v>43663</v>
      </c>
      <c r="C263" s="17" t="s">
        <v>802</v>
      </c>
      <c r="D263" s="18" t="s">
        <v>1504</v>
      </c>
      <c r="E263" s="11" t="s">
        <v>879</v>
      </c>
      <c r="F263" s="19">
        <f>IF(Bets35[[#This Row],[Odds]]&lt;0,Bets35[[#This Row],[Odds]]/-10,1000/Bets3[[#This Row],[Odds]])</f>
        <v>10.5</v>
      </c>
      <c r="G263" s="91">
        <v>-110</v>
      </c>
      <c r="H263" s="21" t="s">
        <v>263</v>
      </c>
      <c r="I263" s="45">
        <f>IF(Bets3[[#This Row],[Result]]="L",0-Bets3[[#This Row],[Risk]],IF(Bets3[[#This Row],[Result]]="Push",0,IF(Bets3[[#This Row],[Result]]="No Action",0,IF(Bets3[[#This Row],[Result]]="W",IF(Bets3[[#This Row],[Odds]]&gt;0,Bets3[[#This Row],[Odds]]/100*Bets3[[#This Row],[Risk]],(Bets3[[#This Row],[Risk]]/Bets3[[#This Row],[Odds]]*-100)),""))))</f>
        <v>-10.5</v>
      </c>
      <c r="J263" s="39" t="str">
        <f>IF(ISNUMBER(SEARCH(CHAR(10),Bets3[[#This Row],[Bet]])),"P",IF(ISNUMBER(FIND("Under",Bets3[[#This Row],[Bet]])),"U",IF(ISNUMBER(SEARCH("Over",Bets3[[#This Row],[Bet]])),"O",IF(ISNUMBER(SEARCH("+",Bets3[[#This Row],[Bet]])),"D",IF(ISNUMBER(SEARCH("-",Bets3[[#This Row],[Bet]])),"F",IF(ISNUMBER(SEARCH("Moneyline",Bets3[[#This Row],[Bet]])),IF(Bets3[[#This Row],[Odds]]&lt;0,"MF","MD"),""))))))</f>
        <v>U</v>
      </c>
      <c r="K263" s="24"/>
      <c r="N263" s="69"/>
      <c r="O263" s="27"/>
    </row>
    <row r="264" spans="1:15" x14ac:dyDescent="0.25">
      <c r="A264" s="13">
        <f t="shared" si="10"/>
        <v>25</v>
      </c>
      <c r="B264" s="17">
        <v>43664</v>
      </c>
      <c r="C264" s="17" t="s">
        <v>802</v>
      </c>
      <c r="D264" s="18" t="s">
        <v>1499</v>
      </c>
      <c r="E264" s="11" t="s">
        <v>827</v>
      </c>
      <c r="F264" s="19">
        <f>IF(Bets35[[#This Row],[Odds]]&lt;0,Bets35[[#This Row],[Odds]]/-10,1000/Bets3[[#This Row],[Odds]])</f>
        <v>-8.695652173913043</v>
      </c>
      <c r="G264" s="91">
        <v>-115</v>
      </c>
      <c r="H264" s="21" t="s">
        <v>263</v>
      </c>
      <c r="I264" s="45">
        <f>IF(Bets3[[#This Row],[Result]]="L",0-Bets3[[#This Row],[Risk]],IF(Bets3[[#This Row],[Result]]="Push",0,IF(Bets3[[#This Row],[Result]]="No Action",0,IF(Bets3[[#This Row],[Result]]="W",IF(Bets3[[#This Row],[Odds]]&gt;0,Bets3[[#This Row],[Odds]]/100*Bets3[[#This Row],[Risk]],(Bets3[[#This Row],[Risk]]/Bets3[[#This Row],[Odds]]*-100)),""))))</f>
        <v>8.695652173913043</v>
      </c>
      <c r="J264" s="39" t="str">
        <f>IF(ISNUMBER(SEARCH(CHAR(10),Bets3[[#This Row],[Bet]])),"P",IF(ISNUMBER(FIND("Under",Bets3[[#This Row],[Bet]])),"U",IF(ISNUMBER(SEARCH("Over",Bets3[[#This Row],[Bet]])),"O",IF(ISNUMBER(SEARCH("+",Bets3[[#This Row],[Bet]])),"D",IF(ISNUMBER(SEARCH("-",Bets3[[#This Row],[Bet]])),"F",IF(ISNUMBER(SEARCH("Moneyline",Bets3[[#This Row],[Bet]])),IF(Bets3[[#This Row],[Odds]]&lt;0,"MF","MD"),""))))))</f>
        <v>MF</v>
      </c>
      <c r="K264" s="24"/>
      <c r="N264" s="69"/>
      <c r="O264" s="27"/>
    </row>
    <row r="265" spans="1:15" x14ac:dyDescent="0.25">
      <c r="A265" s="13">
        <f t="shared" si="10"/>
        <v>25</v>
      </c>
      <c r="B265" s="17">
        <v>43664</v>
      </c>
      <c r="C265" s="17" t="s">
        <v>802</v>
      </c>
      <c r="D265" s="18" t="s">
        <v>3378</v>
      </c>
      <c r="E265" s="11" t="s">
        <v>815</v>
      </c>
      <c r="F265" s="19">
        <f>IF(Bets35[[#This Row],[Odds]]&lt;0,Bets35[[#This Row],[Odds]]/-10,1000/Bets3[[#This Row],[Odds]])</f>
        <v>10.5</v>
      </c>
      <c r="G265" s="91" t="s">
        <v>1187</v>
      </c>
      <c r="H265" s="21" t="s">
        <v>263</v>
      </c>
      <c r="I265" s="45">
        <f>IF(Bets3[[#This Row],[Result]]="L",0-Bets3[[#This Row],[Risk]],IF(Bets3[[#This Row],[Result]]="Push",0,IF(Bets3[[#This Row],[Result]]="No Action",0,IF(Bets3[[#This Row],[Result]]="W",IF(Bets3[[#This Row],[Odds]]&gt;0,Bets3[[#This Row],[Odds]]/100*Bets3[[#This Row],[Risk]],(Bets3[[#This Row],[Risk]]/Bets3[[#This Row],[Odds]]*-100)),""))))</f>
        <v>-10.5</v>
      </c>
      <c r="J265" s="39" t="str">
        <f>IF(ISNUMBER(SEARCH(CHAR(10),Bets3[[#This Row],[Bet]])),"P",IF(ISNUMBER(FIND("Under",Bets3[[#This Row],[Bet]])),"U",IF(ISNUMBER(SEARCH("Over",Bets3[[#This Row],[Bet]])),"O",IF(ISNUMBER(SEARCH("+",Bets3[[#This Row],[Bet]])),"D",IF(ISNUMBER(SEARCH("-",Bets3[[#This Row],[Bet]])),"F",IF(ISNUMBER(SEARCH("Moneyline",Bets3[[#This Row],[Bet]])),IF(Bets3[[#This Row],[Odds]]&lt;0,"MF","MD"),""))))))</f>
        <v>MD</v>
      </c>
      <c r="K265" s="24"/>
      <c r="N265" s="69"/>
      <c r="O265" s="27"/>
    </row>
    <row r="266" spans="1:15" x14ac:dyDescent="0.25">
      <c r="A266" s="13">
        <f t="shared" si="10"/>
        <v>25</v>
      </c>
      <c r="B266" s="17">
        <v>43664</v>
      </c>
      <c r="C266" s="17" t="s">
        <v>802</v>
      </c>
      <c r="D266" s="18" t="s">
        <v>3379</v>
      </c>
      <c r="E266" s="11" t="s">
        <v>834</v>
      </c>
      <c r="F266" s="19">
        <f>IF(Bets35[[#This Row],[Odds]]&lt;0,Bets35[[#This Row],[Odds]]/-10,1000/Bets3[[#This Row],[Odds]])</f>
        <v>10.5</v>
      </c>
      <c r="G266" s="91" t="s">
        <v>886</v>
      </c>
      <c r="H266" s="21" t="s">
        <v>263</v>
      </c>
      <c r="I266" s="45">
        <f>IF(Bets3[[#This Row],[Result]]="L",0-Bets3[[#This Row],[Risk]],IF(Bets3[[#This Row],[Result]]="Push",0,IF(Bets3[[#This Row],[Result]]="No Action",0,IF(Bets3[[#This Row],[Result]]="W",IF(Bets3[[#This Row],[Odds]]&gt;0,Bets3[[#This Row],[Odds]]/100*Bets3[[#This Row],[Risk]],(Bets3[[#This Row],[Risk]]/Bets3[[#This Row],[Odds]]*-100)),""))))</f>
        <v>-10.5</v>
      </c>
      <c r="J266" s="39" t="str">
        <f>IF(ISNUMBER(SEARCH(CHAR(10),Bets3[[#This Row],[Bet]])),"P",IF(ISNUMBER(FIND("Under",Bets3[[#This Row],[Bet]])),"U",IF(ISNUMBER(SEARCH("Over",Bets3[[#This Row],[Bet]])),"O",IF(ISNUMBER(SEARCH("+",Bets3[[#This Row],[Bet]])),"D",IF(ISNUMBER(SEARCH("-",Bets3[[#This Row],[Bet]])),"F",IF(ISNUMBER(SEARCH("Moneyline",Bets3[[#This Row],[Bet]])),IF(Bets3[[#This Row],[Odds]]&lt;0,"MF","MD"),""))))))</f>
        <v>MD</v>
      </c>
      <c r="K266" s="24"/>
      <c r="N266" s="69"/>
      <c r="O266" s="27"/>
    </row>
    <row r="267" spans="1:15" x14ac:dyDescent="0.25">
      <c r="A267" s="13">
        <f t="shared" si="10"/>
        <v>25</v>
      </c>
      <c r="B267" s="17">
        <v>43664</v>
      </c>
      <c r="C267" s="17" t="s">
        <v>802</v>
      </c>
      <c r="D267" s="18" t="s">
        <v>3380</v>
      </c>
      <c r="E267" s="11" t="s">
        <v>1209</v>
      </c>
      <c r="F267" s="19">
        <f>IF(Bets35[[#This Row],[Odds]]&lt;0,Bets35[[#This Row],[Odds]]/-10,1000/Bets3[[#This Row],[Odds]])</f>
        <v>10.5</v>
      </c>
      <c r="G267" s="91">
        <v>-105</v>
      </c>
      <c r="H267" s="21" t="s">
        <v>263</v>
      </c>
      <c r="I267" s="45">
        <f>IF(Bets3[[#This Row],[Result]]="L",0-Bets3[[#This Row],[Risk]],IF(Bets3[[#This Row],[Result]]="Push",0,IF(Bets3[[#This Row],[Result]]="No Action",0,IF(Bets3[[#This Row],[Result]]="W",IF(Bets3[[#This Row],[Odds]]&gt;0,Bets3[[#This Row],[Odds]]/100*Bets3[[#This Row],[Risk]],(Bets3[[#This Row],[Risk]]/Bets3[[#This Row],[Odds]]*-100)),""))))</f>
        <v>-10.5</v>
      </c>
      <c r="J267" s="39" t="str">
        <f>IF(ISNUMBER(SEARCH(CHAR(10),Bets3[[#This Row],[Bet]])),"P",IF(ISNUMBER(FIND("Under",Bets3[[#This Row],[Bet]])),"U",IF(ISNUMBER(SEARCH("Over",Bets3[[#This Row],[Bet]])),"O",IF(ISNUMBER(SEARCH("+",Bets3[[#This Row],[Bet]])),"D",IF(ISNUMBER(SEARCH("-",Bets3[[#This Row],[Bet]])),"F",IF(ISNUMBER(SEARCH("Moneyline",Bets3[[#This Row],[Bet]])),IF(Bets3[[#This Row],[Odds]]&lt;0,"MF","MD"),""))))))</f>
        <v>U</v>
      </c>
      <c r="K267" s="24"/>
      <c r="N267" s="69"/>
      <c r="O267" s="27"/>
    </row>
    <row r="268" spans="1:15" x14ac:dyDescent="0.25">
      <c r="A268" s="13">
        <f t="shared" si="10"/>
        <v>25</v>
      </c>
      <c r="B268" s="17">
        <v>43664</v>
      </c>
      <c r="C268" s="17" t="s">
        <v>802</v>
      </c>
      <c r="D268" s="18" t="s">
        <v>3379</v>
      </c>
      <c r="E268" s="11" t="s">
        <v>879</v>
      </c>
      <c r="F268" s="19">
        <f>IF(Bets35[[#This Row],[Odds]]&lt;0,Bets35[[#This Row],[Odds]]/-10,1000/Bets3[[#This Row],[Odds]])</f>
        <v>10.5</v>
      </c>
      <c r="G268" s="91">
        <v>-110</v>
      </c>
      <c r="H268" s="21" t="s">
        <v>262</v>
      </c>
      <c r="I268" s="45">
        <f>IF(Bets3[[#This Row],[Result]]="L",0-Bets3[[#This Row],[Risk]],IF(Bets3[[#This Row],[Result]]="Push",0,IF(Bets3[[#This Row],[Result]]="No Action",0,IF(Bets3[[#This Row],[Result]]="W",IF(Bets3[[#This Row],[Odds]]&gt;0,Bets3[[#This Row],[Odds]]/100*Bets3[[#This Row],[Risk]],(Bets3[[#This Row],[Risk]]/Bets3[[#This Row],[Odds]]*-100)),""))))</f>
        <v>9.5454545454545467</v>
      </c>
      <c r="J268" s="39" t="str">
        <f>IF(ISNUMBER(SEARCH(CHAR(10),Bets3[[#This Row],[Bet]])),"P",IF(ISNUMBER(FIND("Under",Bets3[[#This Row],[Bet]])),"U",IF(ISNUMBER(SEARCH("Over",Bets3[[#This Row],[Bet]])),"O",IF(ISNUMBER(SEARCH("+",Bets3[[#This Row],[Bet]])),"D",IF(ISNUMBER(SEARCH("-",Bets3[[#This Row],[Bet]])),"F",IF(ISNUMBER(SEARCH("Moneyline",Bets3[[#This Row],[Bet]])),IF(Bets3[[#This Row],[Odds]]&lt;0,"MF","MD"),""))))))</f>
        <v>U</v>
      </c>
      <c r="K268" s="24"/>
      <c r="N268" s="69"/>
      <c r="O268" s="27"/>
    </row>
    <row r="269" spans="1:15" x14ac:dyDescent="0.25">
      <c r="A269" s="13">
        <f t="shared" si="10"/>
        <v>25</v>
      </c>
      <c r="B269" s="17">
        <v>43664</v>
      </c>
      <c r="C269" s="17" t="s">
        <v>802</v>
      </c>
      <c r="D269" s="18" t="s">
        <v>3381</v>
      </c>
      <c r="E269" s="11" t="s">
        <v>933</v>
      </c>
      <c r="F269" s="19">
        <f>IF(Bets35[[#This Row],[Odds]]&lt;0,Bets35[[#This Row],[Odds]]/-10,1000/Bets3[[#This Row],[Odds]])</f>
        <v>11.5</v>
      </c>
      <c r="G269" s="91">
        <v>-105</v>
      </c>
      <c r="H269" s="21" t="s">
        <v>262</v>
      </c>
      <c r="I269" s="45">
        <f>IF(Bets3[[#This Row],[Result]]="L",0-Bets3[[#This Row],[Risk]],IF(Bets3[[#This Row],[Result]]="Push",0,IF(Bets3[[#This Row],[Result]]="No Action",0,IF(Bets3[[#This Row],[Result]]="W",IF(Bets3[[#This Row],[Odds]]&gt;0,Bets3[[#This Row],[Odds]]/100*Bets3[[#This Row],[Risk]],(Bets3[[#This Row],[Risk]]/Bets3[[#This Row],[Odds]]*-100)),""))))</f>
        <v>10.952380952380953</v>
      </c>
      <c r="J269" s="39" t="str">
        <f>IF(ISNUMBER(SEARCH(CHAR(10),Bets3[[#This Row],[Bet]])),"P",IF(ISNUMBER(FIND("Under",Bets3[[#This Row],[Bet]])),"U",IF(ISNUMBER(SEARCH("Over",Bets3[[#This Row],[Bet]])),"O",IF(ISNUMBER(SEARCH("+",Bets3[[#This Row],[Bet]])),"D",IF(ISNUMBER(SEARCH("-",Bets3[[#This Row],[Bet]])),"F",IF(ISNUMBER(SEARCH("Moneyline",Bets3[[#This Row],[Bet]])),IF(Bets3[[#This Row],[Odds]]&lt;0,"MF","MD"),""))))))</f>
        <v>U</v>
      </c>
      <c r="K269" s="24"/>
      <c r="N269" s="69"/>
      <c r="O269" s="27"/>
    </row>
    <row r="270" spans="1:15" x14ac:dyDescent="0.25">
      <c r="A270" s="13">
        <f t="shared" si="10"/>
        <v>25</v>
      </c>
      <c r="B270" s="17">
        <v>43664</v>
      </c>
      <c r="C270" s="17" t="s">
        <v>802</v>
      </c>
      <c r="D270" s="18" t="s">
        <v>3382</v>
      </c>
      <c r="E270" s="11" t="s">
        <v>902</v>
      </c>
      <c r="F270" s="19">
        <f>IF(Bets35[[#This Row],[Odds]]&lt;0,Bets35[[#This Row],[Odds]]/-10,1000/Bets3[[#This Row],[Odds]])</f>
        <v>12.5</v>
      </c>
      <c r="G270" s="91">
        <v>-110</v>
      </c>
      <c r="H270" s="21" t="s">
        <v>263</v>
      </c>
      <c r="I270" s="45">
        <f>IF(Bets3[[#This Row],[Result]]="L",0-Bets3[[#This Row],[Risk]],IF(Bets3[[#This Row],[Result]]="Push",0,IF(Bets3[[#This Row],[Result]]="No Action",0,IF(Bets3[[#This Row],[Result]]="W",IF(Bets3[[#This Row],[Odds]]&gt;0,Bets3[[#This Row],[Odds]]/100*Bets3[[#This Row],[Risk]],(Bets3[[#This Row],[Risk]]/Bets3[[#This Row],[Odds]]*-100)),""))))</f>
        <v>-12.5</v>
      </c>
      <c r="J270" s="39" t="str">
        <f>IF(ISNUMBER(SEARCH(CHAR(10),Bets3[[#This Row],[Bet]])),"P",IF(ISNUMBER(FIND("Under",Bets3[[#This Row],[Bet]])),"U",IF(ISNUMBER(SEARCH("Over",Bets3[[#This Row],[Bet]])),"O",IF(ISNUMBER(SEARCH("+",Bets3[[#This Row],[Bet]])),"D",IF(ISNUMBER(SEARCH("-",Bets3[[#This Row],[Bet]])),"F",IF(ISNUMBER(SEARCH("Moneyline",Bets3[[#This Row],[Bet]])),IF(Bets3[[#This Row],[Odds]]&lt;0,"MF","MD"),""))))))</f>
        <v>O</v>
      </c>
      <c r="K270" s="24"/>
      <c r="N270" s="69"/>
      <c r="O270" s="27"/>
    </row>
    <row r="271" spans="1:15" x14ac:dyDescent="0.25">
      <c r="A271" s="13">
        <f t="shared" si="10"/>
        <v>26</v>
      </c>
      <c r="B271" s="17">
        <v>43671</v>
      </c>
      <c r="C271" s="17" t="s">
        <v>802</v>
      </c>
      <c r="D271" s="18" t="s">
        <v>3502</v>
      </c>
      <c r="E271" s="11" t="s">
        <v>1152</v>
      </c>
      <c r="F271" s="19">
        <f>IF(Bets35[[#This Row],[Odds]]&lt;0,Bets35[[#This Row],[Odds]]/-10,1000/Bets3[[#This Row],[Odds]])</f>
        <v>11.5</v>
      </c>
      <c r="G271" s="91" t="s">
        <v>3503</v>
      </c>
      <c r="H271" s="21" t="s">
        <v>263</v>
      </c>
      <c r="I271" s="45">
        <f>IF(Bets3[[#This Row],[Result]]="L",0-Bets3[[#This Row],[Risk]],IF(Bets3[[#This Row],[Result]]="Push",0,IF(Bets3[[#This Row],[Result]]="No Action",0,IF(Bets3[[#This Row],[Result]]="W",IF(Bets3[[#This Row],[Odds]]&gt;0,Bets3[[#This Row],[Odds]]/100*Bets3[[#This Row],[Risk]],(Bets3[[#This Row],[Risk]]/Bets3[[#This Row],[Odds]]*-100)),""))))</f>
        <v>-11.5</v>
      </c>
      <c r="J271" s="39" t="str">
        <f>IF(ISNUMBER(SEARCH(CHAR(10),Bets3[[#This Row],[Bet]])),"P",IF(ISNUMBER(FIND("Under",Bets3[[#This Row],[Bet]])),"U",IF(ISNUMBER(SEARCH("Over",Bets3[[#This Row],[Bet]])),"O",IF(ISNUMBER(SEARCH("+",Bets3[[#This Row],[Bet]])),"D",IF(ISNUMBER(SEARCH("-",Bets3[[#This Row],[Bet]])),"F",IF(ISNUMBER(SEARCH("Moneyline",Bets3[[#This Row],[Bet]])),IF(Bets3[[#This Row],[Odds]]&lt;0,"MF","MD"),""))))))</f>
        <v>MD</v>
      </c>
      <c r="K271" s="24"/>
      <c r="N271" s="69"/>
      <c r="O271" s="27"/>
    </row>
    <row r="272" spans="1:15" x14ac:dyDescent="0.25">
      <c r="A272" s="13">
        <f t="shared" si="10"/>
        <v>26</v>
      </c>
      <c r="B272" s="17">
        <v>43671</v>
      </c>
      <c r="C272" s="17" t="s">
        <v>802</v>
      </c>
      <c r="D272" s="18" t="s">
        <v>3452</v>
      </c>
      <c r="E272" s="11" t="s">
        <v>1153</v>
      </c>
      <c r="F272" s="19">
        <f>IF(Bets35[[#This Row],[Odds]]&lt;0,Bets35[[#This Row],[Odds]]/-10,1000/Bets3[[#This Row],[Odds]])</f>
        <v>11</v>
      </c>
      <c r="G272" s="91" t="s">
        <v>3385</v>
      </c>
      <c r="H272" s="21" t="s">
        <v>262</v>
      </c>
      <c r="I272" s="45">
        <f>IF(Bets3[[#This Row],[Result]]="L",0-Bets3[[#This Row],[Risk]],IF(Bets3[[#This Row],[Result]]="Push",0,IF(Bets3[[#This Row],[Result]]="No Action",0,IF(Bets3[[#This Row],[Result]]="W",IF(Bets3[[#This Row],[Odds]]&gt;0,Bets3[[#This Row],[Odds]]/100*Bets3[[#This Row],[Risk]],(Bets3[[#This Row],[Risk]]/Bets3[[#This Row],[Odds]]*-100)),""))))</f>
        <v>28.049999999999997</v>
      </c>
      <c r="J272" s="39" t="str">
        <f>IF(ISNUMBER(SEARCH(CHAR(10),Bets3[[#This Row],[Bet]])),"P",IF(ISNUMBER(FIND("Under",Bets3[[#This Row],[Bet]])),"U",IF(ISNUMBER(SEARCH("Over",Bets3[[#This Row],[Bet]])),"O",IF(ISNUMBER(SEARCH("+",Bets3[[#This Row],[Bet]])),"D",IF(ISNUMBER(SEARCH("-",Bets3[[#This Row],[Bet]])),"F",IF(ISNUMBER(SEARCH("Moneyline",Bets3[[#This Row],[Bet]])),IF(Bets3[[#This Row],[Odds]]&lt;0,"MF","MD"),""))))))</f>
        <v>MD</v>
      </c>
      <c r="K272" s="24"/>
      <c r="N272" s="69"/>
      <c r="O272" s="27"/>
    </row>
    <row r="273" spans="1:15" x14ac:dyDescent="0.25">
      <c r="A273" s="13">
        <f t="shared" si="10"/>
        <v>26</v>
      </c>
      <c r="B273" s="17">
        <v>43671</v>
      </c>
      <c r="C273" s="17" t="s">
        <v>802</v>
      </c>
      <c r="D273" s="18" t="s">
        <v>3504</v>
      </c>
      <c r="E273" s="11" t="s">
        <v>832</v>
      </c>
      <c r="F273" s="19">
        <f>IF(Bets35[[#This Row],[Odds]]&lt;0,Bets35[[#This Row],[Odds]]/-10,1000/Bets3[[#This Row],[Odds]])</f>
        <v>11.5</v>
      </c>
      <c r="G273" s="91">
        <v>-120</v>
      </c>
      <c r="H273" s="21" t="s">
        <v>263</v>
      </c>
      <c r="I273" s="45">
        <f>IF(Bets3[[#This Row],[Result]]="L",0-Bets3[[#This Row],[Risk]],IF(Bets3[[#This Row],[Result]]="Push",0,IF(Bets3[[#This Row],[Result]]="No Action",0,IF(Bets3[[#This Row],[Result]]="W",IF(Bets3[[#This Row],[Odds]]&gt;0,Bets3[[#This Row],[Odds]]/100*Bets3[[#This Row],[Risk]],(Bets3[[#This Row],[Risk]]/Bets3[[#This Row],[Odds]]*-100)),""))))</f>
        <v>-11.5</v>
      </c>
      <c r="J273" s="39" t="str">
        <f>IF(ISNUMBER(SEARCH(CHAR(10),Bets3[[#This Row],[Bet]])),"P",IF(ISNUMBER(FIND("Under",Bets3[[#This Row],[Bet]])),"U",IF(ISNUMBER(SEARCH("Over",Bets3[[#This Row],[Bet]])),"O",IF(ISNUMBER(SEARCH("+",Bets3[[#This Row],[Bet]])),"D",IF(ISNUMBER(SEARCH("-",Bets3[[#This Row],[Bet]])),"F",IF(ISNUMBER(SEARCH("Moneyline",Bets3[[#This Row],[Bet]])),IF(Bets3[[#This Row],[Odds]]&lt;0,"MF","MD"),""))))))</f>
        <v>MF</v>
      </c>
      <c r="K273" s="24"/>
      <c r="N273" s="69"/>
      <c r="O273" s="27"/>
    </row>
    <row r="274" spans="1:15" x14ac:dyDescent="0.25">
      <c r="A274" s="13">
        <f t="shared" si="10"/>
        <v>26</v>
      </c>
      <c r="B274" s="17">
        <v>43671</v>
      </c>
      <c r="C274" s="17" t="s">
        <v>802</v>
      </c>
      <c r="D274" s="18" t="s">
        <v>3505</v>
      </c>
      <c r="E274" s="11" t="s">
        <v>1178</v>
      </c>
      <c r="F274" s="19">
        <f>IF(Bets35[[#This Row],[Odds]]&lt;0,Bets35[[#This Row],[Odds]]/-10,1000/Bets3[[#This Row],[Odds]])</f>
        <v>-6.8965517241379306</v>
      </c>
      <c r="G274" s="91">
        <v>-145</v>
      </c>
      <c r="H274" s="21" t="s">
        <v>262</v>
      </c>
      <c r="I274" s="45">
        <f>IF(Bets3[[#This Row],[Result]]="L",0-Bets3[[#This Row],[Risk]],IF(Bets3[[#This Row],[Result]]="Push",0,IF(Bets3[[#This Row],[Result]]="No Action",0,IF(Bets3[[#This Row],[Result]]="W",IF(Bets3[[#This Row],[Odds]]&gt;0,Bets3[[#This Row],[Odds]]/100*Bets3[[#This Row],[Risk]],(Bets3[[#This Row],[Risk]]/Bets3[[#This Row],[Odds]]*-100)),""))))</f>
        <v>-4.7562425683709861</v>
      </c>
      <c r="J274" s="39" t="str">
        <f>IF(ISNUMBER(SEARCH(CHAR(10),Bets3[[#This Row],[Bet]])),"P",IF(ISNUMBER(FIND("Under",Bets3[[#This Row],[Bet]])),"U",IF(ISNUMBER(SEARCH("Over",Bets3[[#This Row],[Bet]])),"O",IF(ISNUMBER(SEARCH("+",Bets3[[#This Row],[Bet]])),"D",IF(ISNUMBER(SEARCH("-",Bets3[[#This Row],[Bet]])),"F",IF(ISNUMBER(SEARCH("Moneyline",Bets3[[#This Row],[Bet]])),IF(Bets3[[#This Row],[Odds]]&lt;0,"MF","MD"),""))))))</f>
        <v>MF</v>
      </c>
      <c r="K274" s="24"/>
      <c r="N274" s="69"/>
      <c r="O274" s="27"/>
    </row>
    <row r="275" spans="1:15" x14ac:dyDescent="0.25">
      <c r="A275" s="13">
        <f t="shared" si="10"/>
        <v>26</v>
      </c>
      <c r="B275" s="17">
        <v>43671</v>
      </c>
      <c r="C275" s="17" t="s">
        <v>802</v>
      </c>
      <c r="D275" s="18" t="s">
        <v>3506</v>
      </c>
      <c r="E275" s="11" t="s">
        <v>3507</v>
      </c>
      <c r="F275" s="19">
        <f>IF(Bets35[[#This Row],[Odds]]&lt;0,Bets35[[#This Row],[Odds]]/-10,1000/Bets3[[#This Row],[Odds]])</f>
        <v>-4.5454545454545459</v>
      </c>
      <c r="G275" s="91">
        <v>-220</v>
      </c>
      <c r="H275" s="21" t="s">
        <v>263</v>
      </c>
      <c r="I275" s="45">
        <f>IF(Bets3[[#This Row],[Result]]="L",0-Bets3[[#This Row],[Risk]],IF(Bets3[[#This Row],[Result]]="Push",0,IF(Bets3[[#This Row],[Result]]="No Action",0,IF(Bets3[[#This Row],[Result]]="W",IF(Bets3[[#This Row],[Odds]]&gt;0,Bets3[[#This Row],[Odds]]/100*Bets3[[#This Row],[Risk]],(Bets3[[#This Row],[Risk]]/Bets3[[#This Row],[Odds]]*-100)),""))))</f>
        <v>4.5454545454545459</v>
      </c>
      <c r="J275" s="39" t="str">
        <f>IF(ISNUMBER(SEARCH(CHAR(10),Bets3[[#This Row],[Bet]])),"P",IF(ISNUMBER(FIND("Under",Bets3[[#This Row],[Bet]])),"U",IF(ISNUMBER(SEARCH("Over",Bets3[[#This Row],[Bet]])),"O",IF(ISNUMBER(SEARCH("+",Bets3[[#This Row],[Bet]])),"D",IF(ISNUMBER(SEARCH("-",Bets3[[#This Row],[Bet]])),"F",IF(ISNUMBER(SEARCH("Moneyline",Bets3[[#This Row],[Bet]])),IF(Bets3[[#This Row],[Odds]]&lt;0,"MF","MD"),""))))))</f>
        <v>MF</v>
      </c>
      <c r="K275" s="24"/>
      <c r="N275" s="69"/>
      <c r="O275" s="27"/>
    </row>
    <row r="276" spans="1:15" x14ac:dyDescent="0.25">
      <c r="A276" s="13">
        <f t="shared" si="10"/>
        <v>26</v>
      </c>
      <c r="B276" s="17">
        <v>43671</v>
      </c>
      <c r="C276" s="17" t="s">
        <v>802</v>
      </c>
      <c r="D276" s="18" t="s">
        <v>3508</v>
      </c>
      <c r="E276" s="11" t="s">
        <v>1209</v>
      </c>
      <c r="F276" s="19">
        <f>IF(Bets35[[#This Row],[Odds]]&lt;0,Bets35[[#This Row],[Odds]]/-10,1000/Bets3[[#This Row],[Odds]])</f>
        <v>10.5</v>
      </c>
      <c r="G276" s="91">
        <v>-110</v>
      </c>
      <c r="H276" s="21" t="s">
        <v>262</v>
      </c>
      <c r="I276" s="45">
        <f>IF(Bets3[[#This Row],[Result]]="L",0-Bets3[[#This Row],[Risk]],IF(Bets3[[#This Row],[Result]]="Push",0,IF(Bets3[[#This Row],[Result]]="No Action",0,IF(Bets3[[#This Row],[Result]]="W",IF(Bets3[[#This Row],[Odds]]&gt;0,Bets3[[#This Row],[Odds]]/100*Bets3[[#This Row],[Risk]],(Bets3[[#This Row],[Risk]]/Bets3[[#This Row],[Odds]]*-100)),""))))</f>
        <v>9.5454545454545467</v>
      </c>
      <c r="J276" s="39" t="str">
        <f>IF(ISNUMBER(SEARCH(CHAR(10),Bets3[[#This Row],[Bet]])),"P",IF(ISNUMBER(FIND("Under",Bets3[[#This Row],[Bet]])),"U",IF(ISNUMBER(SEARCH("Over",Bets3[[#This Row],[Bet]])),"O",IF(ISNUMBER(SEARCH("+",Bets3[[#This Row],[Bet]])),"D",IF(ISNUMBER(SEARCH("-",Bets3[[#This Row],[Bet]])),"F",IF(ISNUMBER(SEARCH("Moneyline",Bets3[[#This Row],[Bet]])),IF(Bets3[[#This Row],[Odds]]&lt;0,"MF","MD"),""))))))</f>
        <v>U</v>
      </c>
      <c r="K276" s="24"/>
      <c r="N276" s="69"/>
      <c r="O276" s="27"/>
    </row>
    <row r="277" spans="1:15" x14ac:dyDescent="0.25">
      <c r="A277" s="13">
        <f t="shared" si="10"/>
        <v>26</v>
      </c>
      <c r="B277" s="17">
        <v>43671</v>
      </c>
      <c r="C277" s="17" t="s">
        <v>802</v>
      </c>
      <c r="D277" s="18" t="s">
        <v>3506</v>
      </c>
      <c r="E277" s="11" t="s">
        <v>3509</v>
      </c>
      <c r="F277" s="19">
        <f>IF(Bets35[[#This Row],[Odds]]&lt;0,Bets35[[#This Row],[Odds]]/-10,1000/Bets3[[#This Row],[Odds]])</f>
        <v>11</v>
      </c>
      <c r="G277" s="91">
        <v>-115</v>
      </c>
      <c r="H277" s="21" t="s">
        <v>262</v>
      </c>
      <c r="I277" s="45">
        <f>IF(Bets3[[#This Row],[Result]]="L",0-Bets3[[#This Row],[Risk]],IF(Bets3[[#This Row],[Result]]="Push",0,IF(Bets3[[#This Row],[Result]]="No Action",0,IF(Bets3[[#This Row],[Result]]="W",IF(Bets3[[#This Row],[Odds]]&gt;0,Bets3[[#This Row],[Odds]]/100*Bets3[[#This Row],[Risk]],(Bets3[[#This Row],[Risk]]/Bets3[[#This Row],[Odds]]*-100)),""))))</f>
        <v>9.5652173913043477</v>
      </c>
      <c r="J277" s="39" t="str">
        <f>IF(ISNUMBER(SEARCH(CHAR(10),Bets3[[#This Row],[Bet]])),"P",IF(ISNUMBER(FIND("Under",Bets3[[#This Row],[Bet]])),"U",IF(ISNUMBER(SEARCH("Over",Bets3[[#This Row],[Bet]])),"O",IF(ISNUMBER(SEARCH("+",Bets3[[#This Row],[Bet]])),"D",IF(ISNUMBER(SEARCH("-",Bets3[[#This Row],[Bet]])),"F",IF(ISNUMBER(SEARCH("Moneyline",Bets3[[#This Row],[Bet]])),IF(Bets3[[#This Row],[Odds]]&lt;0,"MF","MD"),""))))))</f>
        <v>O</v>
      </c>
      <c r="K277" s="24"/>
      <c r="N277" s="69"/>
      <c r="O277" s="27"/>
    </row>
    <row r="278" spans="1:15" x14ac:dyDescent="0.25">
      <c r="A278" s="13">
        <f t="shared" si="10"/>
        <v>27</v>
      </c>
      <c r="B278" s="17">
        <v>43672</v>
      </c>
      <c r="C278" s="17" t="s">
        <v>802</v>
      </c>
      <c r="D278" s="18" t="s">
        <v>3519</v>
      </c>
      <c r="E278" s="11" t="s">
        <v>819</v>
      </c>
      <c r="F278" s="19">
        <f>IF(Bets35[[#This Row],[Odds]]&lt;0,Bets35[[#This Row],[Odds]]/-10,1000/Bets3[[#This Row],[Odds]])</f>
        <v>10.5</v>
      </c>
      <c r="G278" s="91">
        <v>-139</v>
      </c>
      <c r="H278" s="21" t="s">
        <v>262</v>
      </c>
      <c r="I278" s="45">
        <f>IF(Bets3[[#This Row],[Result]]="L",0-Bets3[[#This Row],[Risk]],IF(Bets3[[#This Row],[Result]]="Push",0,IF(Bets3[[#This Row],[Result]]="No Action",0,IF(Bets3[[#This Row],[Result]]="W",IF(Bets3[[#This Row],[Odds]]&gt;0,Bets3[[#This Row],[Odds]]/100*Bets3[[#This Row],[Risk]],(Bets3[[#This Row],[Risk]]/Bets3[[#This Row],[Odds]]*-100)),""))))</f>
        <v>7.5539568345323742</v>
      </c>
      <c r="J278" s="39" t="str">
        <f>IF(ISNUMBER(SEARCH(CHAR(10),Bets3[[#This Row],[Bet]])),"P",IF(ISNUMBER(FIND("Under",Bets3[[#This Row],[Bet]])),"U",IF(ISNUMBER(SEARCH("Over",Bets3[[#This Row],[Bet]])),"O",IF(ISNUMBER(SEARCH("+",Bets3[[#This Row],[Bet]])),"D",IF(ISNUMBER(SEARCH("-",Bets3[[#This Row],[Bet]])),"F",IF(ISNUMBER(SEARCH("Moneyline",Bets3[[#This Row],[Bet]])),IF(Bets3[[#This Row],[Odds]]&lt;0,"MF","MD"),""))))))</f>
        <v>MF</v>
      </c>
      <c r="K278" s="24"/>
      <c r="N278" s="69"/>
      <c r="O278" s="27"/>
    </row>
    <row r="279" spans="1:15" x14ac:dyDescent="0.25">
      <c r="A279" s="13">
        <f t="shared" si="10"/>
        <v>27</v>
      </c>
      <c r="B279" s="17">
        <v>43672</v>
      </c>
      <c r="C279" s="17" t="s">
        <v>802</v>
      </c>
      <c r="D279" s="18" t="s">
        <v>3520</v>
      </c>
      <c r="E279" s="11" t="s">
        <v>876</v>
      </c>
      <c r="F279" s="19">
        <f>IF(Bets35[[#This Row],[Odds]]&lt;0,Bets35[[#This Row],[Odds]]/-10,1000/Bets3[[#This Row],[Odds]])</f>
        <v>11</v>
      </c>
      <c r="G279" s="91" t="s">
        <v>3521</v>
      </c>
      <c r="H279" s="21" t="s">
        <v>263</v>
      </c>
      <c r="I279" s="45">
        <f>IF(Bets3[[#This Row],[Result]]="L",0-Bets3[[#This Row],[Risk]],IF(Bets3[[#This Row],[Result]]="Push",0,IF(Bets3[[#This Row],[Result]]="No Action",0,IF(Bets3[[#This Row],[Result]]="W",IF(Bets3[[#This Row],[Odds]]&gt;0,Bets3[[#This Row],[Odds]]/100*Bets3[[#This Row],[Risk]],(Bets3[[#This Row],[Risk]]/Bets3[[#This Row],[Odds]]*-100)),""))))</f>
        <v>-11</v>
      </c>
      <c r="J279" s="39" t="str">
        <f>IF(ISNUMBER(SEARCH(CHAR(10),Bets3[[#This Row],[Bet]])),"P",IF(ISNUMBER(FIND("Under",Bets3[[#This Row],[Bet]])),"U",IF(ISNUMBER(SEARCH("Over",Bets3[[#This Row],[Bet]])),"O",IF(ISNUMBER(SEARCH("+",Bets3[[#This Row],[Bet]])),"D",IF(ISNUMBER(SEARCH("-",Bets3[[#This Row],[Bet]])),"F",IF(ISNUMBER(SEARCH("Moneyline",Bets3[[#This Row],[Bet]])),IF(Bets3[[#This Row],[Odds]]&lt;0,"MF","MD"),""))))))</f>
        <v>MD</v>
      </c>
      <c r="K279" s="24"/>
      <c r="N279" s="69"/>
      <c r="O279" s="27"/>
    </row>
    <row r="280" spans="1:15" x14ac:dyDescent="0.25">
      <c r="A280" s="13">
        <f t="shared" si="10"/>
        <v>27</v>
      </c>
      <c r="B280" s="17">
        <v>43672</v>
      </c>
      <c r="C280" s="17" t="s">
        <v>802</v>
      </c>
      <c r="D280" s="18" t="s">
        <v>3505</v>
      </c>
      <c r="E280" s="11" t="s">
        <v>1178</v>
      </c>
      <c r="F280" s="19">
        <f>IF(Bets35[[#This Row],[Odds]]&lt;0,Bets35[[#This Row],[Odds]]/-10,1000/Bets3[[#This Row],[Odds]])</f>
        <v>-6.25</v>
      </c>
      <c r="G280" s="91">
        <v>-160</v>
      </c>
      <c r="H280" s="21" t="s">
        <v>262</v>
      </c>
      <c r="I280" s="45">
        <f>IF(Bets3[[#This Row],[Result]]="L",0-Bets3[[#This Row],[Risk]],IF(Bets3[[#This Row],[Result]]="Push",0,IF(Bets3[[#This Row],[Result]]="No Action",0,IF(Bets3[[#This Row],[Result]]="W",IF(Bets3[[#This Row],[Odds]]&gt;0,Bets3[[#This Row],[Odds]]/100*Bets3[[#This Row],[Risk]],(Bets3[[#This Row],[Risk]]/Bets3[[#This Row],[Odds]]*-100)),""))))</f>
        <v>-3.90625</v>
      </c>
      <c r="J280" s="39" t="str">
        <f>IF(ISNUMBER(SEARCH(CHAR(10),Bets3[[#This Row],[Bet]])),"P",IF(ISNUMBER(FIND("Under",Bets3[[#This Row],[Bet]])),"U",IF(ISNUMBER(SEARCH("Over",Bets3[[#This Row],[Bet]])),"O",IF(ISNUMBER(SEARCH("+",Bets3[[#This Row],[Bet]])),"D",IF(ISNUMBER(SEARCH("-",Bets3[[#This Row],[Bet]])),"F",IF(ISNUMBER(SEARCH("Moneyline",Bets3[[#This Row],[Bet]])),IF(Bets3[[#This Row],[Odds]]&lt;0,"MF","MD"),""))))))</f>
        <v>MF</v>
      </c>
      <c r="K280" s="24"/>
      <c r="N280" s="69"/>
      <c r="O280" s="27"/>
    </row>
    <row r="281" spans="1:15" x14ac:dyDescent="0.25">
      <c r="A281" s="13">
        <f t="shared" si="10"/>
        <v>27</v>
      </c>
      <c r="B281" s="17">
        <v>43672</v>
      </c>
      <c r="C281" s="17" t="s">
        <v>802</v>
      </c>
      <c r="D281" s="18" t="s">
        <v>1462</v>
      </c>
      <c r="E281" s="11" t="s">
        <v>810</v>
      </c>
      <c r="F281" s="19">
        <f>IF(Bets35[[#This Row],[Odds]]&lt;0,Bets35[[#This Row],[Odds]]/-10,1000/Bets3[[#This Row],[Odds]])</f>
        <v>8.064516129032258</v>
      </c>
      <c r="G281" s="91" t="s">
        <v>3522</v>
      </c>
      <c r="H281" s="21" t="s">
        <v>262</v>
      </c>
      <c r="I281" s="45">
        <f>IF(Bets3[[#This Row],[Result]]="L",0-Bets3[[#This Row],[Risk]],IF(Bets3[[#This Row],[Result]]="Push",0,IF(Bets3[[#This Row],[Result]]="No Action",0,IF(Bets3[[#This Row],[Result]]="W",IF(Bets3[[#This Row],[Odds]]&gt;0,Bets3[[#This Row],[Odds]]/100*Bets3[[#This Row],[Risk]],(Bets3[[#This Row],[Risk]]/Bets3[[#This Row],[Odds]]*-100)),""))))</f>
        <v>10</v>
      </c>
      <c r="J281" s="39" t="str">
        <f>IF(ISNUMBER(SEARCH(CHAR(10),Bets3[[#This Row],[Bet]])),"P",IF(ISNUMBER(FIND("Under",Bets3[[#This Row],[Bet]])),"U",IF(ISNUMBER(SEARCH("Over",Bets3[[#This Row],[Bet]])),"O",IF(ISNUMBER(SEARCH("+",Bets3[[#This Row],[Bet]])),"D",IF(ISNUMBER(SEARCH("-",Bets3[[#This Row],[Bet]])),"F",IF(ISNUMBER(SEARCH("Moneyline",Bets3[[#This Row],[Bet]])),IF(Bets3[[#This Row],[Odds]]&lt;0,"MF","MD"),""))))))</f>
        <v>MD</v>
      </c>
      <c r="K281" s="24"/>
      <c r="N281" s="69"/>
      <c r="O281" s="27"/>
    </row>
    <row r="282" spans="1:15" x14ac:dyDescent="0.25">
      <c r="A282" s="13">
        <f t="shared" si="10"/>
        <v>27</v>
      </c>
      <c r="B282" s="17">
        <v>43672</v>
      </c>
      <c r="C282" s="17" t="s">
        <v>802</v>
      </c>
      <c r="D282" s="18" t="s">
        <v>3523</v>
      </c>
      <c r="E282" s="11" t="s">
        <v>836</v>
      </c>
      <c r="F282" s="19">
        <f>IF(Bets35[[#This Row],[Odds]]&lt;0,Bets35[[#This Row],[Odds]]/-10,1000/Bets3[[#This Row],[Odds]])</f>
        <v>12</v>
      </c>
      <c r="G282" s="91">
        <v>-132</v>
      </c>
      <c r="H282" s="21" t="s">
        <v>262</v>
      </c>
      <c r="I282" s="45">
        <f>IF(Bets3[[#This Row],[Result]]="L",0-Bets3[[#This Row],[Risk]],IF(Bets3[[#This Row],[Result]]="Push",0,IF(Bets3[[#This Row],[Result]]="No Action",0,IF(Bets3[[#This Row],[Result]]="W",IF(Bets3[[#This Row],[Odds]]&gt;0,Bets3[[#This Row],[Odds]]/100*Bets3[[#This Row],[Risk]],(Bets3[[#This Row],[Risk]]/Bets3[[#This Row],[Odds]]*-100)),""))))</f>
        <v>9.0909090909090917</v>
      </c>
      <c r="J282" s="39" t="str">
        <f>IF(ISNUMBER(SEARCH(CHAR(10),Bets3[[#This Row],[Bet]])),"P",IF(ISNUMBER(FIND("Under",Bets3[[#This Row],[Bet]])),"U",IF(ISNUMBER(SEARCH("Over",Bets3[[#This Row],[Bet]])),"O",IF(ISNUMBER(SEARCH("+",Bets3[[#This Row],[Bet]])),"D",IF(ISNUMBER(SEARCH("-",Bets3[[#This Row],[Bet]])),"F",IF(ISNUMBER(SEARCH("Moneyline",Bets3[[#This Row],[Bet]])),IF(Bets3[[#This Row],[Odds]]&lt;0,"MF","MD"),""))))))</f>
        <v>MF</v>
      </c>
      <c r="K282" s="24"/>
      <c r="N282" s="69"/>
      <c r="O282" s="27"/>
    </row>
    <row r="283" spans="1:15" x14ac:dyDescent="0.25">
      <c r="A283" s="13">
        <f t="shared" si="10"/>
        <v>27</v>
      </c>
      <c r="B283" s="17">
        <v>43672</v>
      </c>
      <c r="C283" s="17" t="s">
        <v>802</v>
      </c>
      <c r="D283" s="18" t="s">
        <v>3524</v>
      </c>
      <c r="E283" s="11" t="s">
        <v>845</v>
      </c>
      <c r="F283" s="19">
        <f>IF(Bets35[[#This Row],[Odds]]&lt;0,Bets35[[#This Row],[Odds]]/-10,1000/Bets3[[#This Row],[Odds]])</f>
        <v>14.5</v>
      </c>
      <c r="G283" s="91">
        <v>-110</v>
      </c>
      <c r="H283" s="21" t="s">
        <v>262</v>
      </c>
      <c r="I283" s="45">
        <f>IF(Bets3[[#This Row],[Result]]="L",0-Bets3[[#This Row],[Risk]],IF(Bets3[[#This Row],[Result]]="Push",0,IF(Bets3[[#This Row],[Result]]="No Action",0,IF(Bets3[[#This Row],[Result]]="W",IF(Bets3[[#This Row],[Odds]]&gt;0,Bets3[[#This Row],[Odds]]/100*Bets3[[#This Row],[Risk]],(Bets3[[#This Row],[Risk]]/Bets3[[#This Row],[Odds]]*-100)),""))))</f>
        <v>13.18181818181818</v>
      </c>
      <c r="J283" s="39" t="str">
        <f>IF(ISNUMBER(SEARCH(CHAR(10),Bets3[[#This Row],[Bet]])),"P",IF(ISNUMBER(FIND("Under",Bets3[[#This Row],[Bet]])),"U",IF(ISNUMBER(SEARCH("Over",Bets3[[#This Row],[Bet]])),"O",IF(ISNUMBER(SEARCH("+",Bets3[[#This Row],[Bet]])),"D",IF(ISNUMBER(SEARCH("-",Bets3[[#This Row],[Bet]])),"F",IF(ISNUMBER(SEARCH("Moneyline",Bets3[[#This Row],[Bet]])),IF(Bets3[[#This Row],[Odds]]&lt;0,"MF","MD"),""))))))</f>
        <v>O</v>
      </c>
      <c r="K283" s="24"/>
      <c r="N283" s="69"/>
      <c r="O283" s="27"/>
    </row>
    <row r="284" spans="1:15" x14ac:dyDescent="0.25">
      <c r="A284" s="13">
        <f t="shared" si="10"/>
        <v>27</v>
      </c>
      <c r="B284" s="17">
        <v>43672</v>
      </c>
      <c r="C284" s="17" t="s">
        <v>802</v>
      </c>
      <c r="D284" s="18" t="s">
        <v>833</v>
      </c>
      <c r="E284" s="11" t="s">
        <v>845</v>
      </c>
      <c r="F284" s="19">
        <f>IF(Bets35[[#This Row],[Odds]]&lt;0,Bets35[[#This Row],[Odds]]/-10,1000/Bets3[[#This Row],[Odds]])</f>
        <v>22</v>
      </c>
      <c r="G284" s="91">
        <v>-105</v>
      </c>
      <c r="H284" s="21" t="s">
        <v>263</v>
      </c>
      <c r="I284" s="45">
        <f>IF(Bets3[[#This Row],[Result]]="L",0-Bets3[[#This Row],[Risk]],IF(Bets3[[#This Row],[Result]]="Push",0,IF(Bets3[[#This Row],[Result]]="No Action",0,IF(Bets3[[#This Row],[Result]]="W",IF(Bets3[[#This Row],[Odds]]&gt;0,Bets3[[#This Row],[Odds]]/100*Bets3[[#This Row],[Risk]],(Bets3[[#This Row],[Risk]]/Bets3[[#This Row],[Odds]]*-100)),""))))</f>
        <v>-22</v>
      </c>
      <c r="J284" s="39" t="str">
        <f>IF(ISNUMBER(SEARCH(CHAR(10),Bets3[[#This Row],[Bet]])),"P",IF(ISNUMBER(FIND("Under",Bets3[[#This Row],[Bet]])),"U",IF(ISNUMBER(SEARCH("Over",Bets3[[#This Row],[Bet]])),"O",IF(ISNUMBER(SEARCH("+",Bets3[[#This Row],[Bet]])),"D",IF(ISNUMBER(SEARCH("-",Bets3[[#This Row],[Bet]])),"F",IF(ISNUMBER(SEARCH("Moneyline",Bets3[[#This Row],[Bet]])),IF(Bets3[[#This Row],[Odds]]&lt;0,"MF","MD"),""))))))</f>
        <v>O</v>
      </c>
      <c r="K284" s="24"/>
      <c r="N284" s="69"/>
      <c r="O284" s="27"/>
    </row>
    <row r="285" spans="1:15" x14ac:dyDescent="0.25">
      <c r="A285" s="13">
        <f t="shared" si="10"/>
        <v>28</v>
      </c>
      <c r="B285" s="17">
        <v>43675</v>
      </c>
      <c r="C285" s="17" t="s">
        <v>802</v>
      </c>
      <c r="D285" s="18" t="s">
        <v>3592</v>
      </c>
      <c r="E285" s="11" t="s">
        <v>815</v>
      </c>
      <c r="F285" s="19">
        <f>IF(Bets35[[#This Row],[Odds]]&lt;0,Bets35[[#This Row],[Odds]]/-10,1000/Bets3[[#This Row],[Odds]])</f>
        <v>11</v>
      </c>
      <c r="G285" s="91" t="s">
        <v>825</v>
      </c>
      <c r="H285" s="21" t="s">
        <v>263</v>
      </c>
      <c r="I285" s="45">
        <f>IF(Bets3[[#This Row],[Result]]="L",0-Bets3[[#This Row],[Risk]],IF(Bets3[[#This Row],[Result]]="Push",0,IF(Bets3[[#This Row],[Result]]="No Action",0,IF(Bets3[[#This Row],[Result]]="W",IF(Bets3[[#This Row],[Odds]]&gt;0,Bets3[[#This Row],[Odds]]/100*Bets3[[#This Row],[Risk]],(Bets3[[#This Row],[Risk]]/Bets3[[#This Row],[Odds]]*-100)),""))))</f>
        <v>-11</v>
      </c>
      <c r="J285" s="39" t="str">
        <f>IF(ISNUMBER(SEARCH(CHAR(10),Bets3[[#This Row],[Bet]])),"P",IF(ISNUMBER(FIND("Under",Bets3[[#This Row],[Bet]])),"U",IF(ISNUMBER(SEARCH("Over",Bets3[[#This Row],[Bet]])),"O",IF(ISNUMBER(SEARCH("+",Bets3[[#This Row],[Bet]])),"D",IF(ISNUMBER(SEARCH("-",Bets3[[#This Row],[Bet]])),"F",IF(ISNUMBER(SEARCH("Moneyline",Bets3[[#This Row],[Bet]])),IF(Bets3[[#This Row],[Odds]]&lt;0,"MF","MD"),""))))))</f>
        <v>MD</v>
      </c>
      <c r="K285" s="24"/>
      <c r="N285" s="69"/>
      <c r="O285" s="27"/>
    </row>
    <row r="286" spans="1:15" x14ac:dyDescent="0.25">
      <c r="A286" s="13">
        <f t="shared" si="10"/>
        <v>28</v>
      </c>
      <c r="B286" s="17">
        <v>43675</v>
      </c>
      <c r="C286" s="17" t="s">
        <v>802</v>
      </c>
      <c r="D286" s="18" t="s">
        <v>1336</v>
      </c>
      <c r="E286" s="11" t="s">
        <v>876</v>
      </c>
      <c r="F286" s="19">
        <f>IF(Bets35[[#This Row],[Odds]]&lt;0,Bets35[[#This Row],[Odds]]/-10,1000/Bets3[[#This Row],[Odds]])</f>
        <v>11.5</v>
      </c>
      <c r="G286" s="91" t="s">
        <v>3503</v>
      </c>
      <c r="H286" s="21" t="s">
        <v>263</v>
      </c>
      <c r="I286" s="45">
        <f>IF(Bets3[[#This Row],[Result]]="L",0-Bets3[[#This Row],[Risk]],IF(Bets3[[#This Row],[Result]]="Push",0,IF(Bets3[[#This Row],[Result]]="No Action",0,IF(Bets3[[#This Row],[Result]]="W",IF(Bets3[[#This Row],[Odds]]&gt;0,Bets3[[#This Row],[Odds]]/100*Bets3[[#This Row],[Risk]],(Bets3[[#This Row],[Risk]]/Bets3[[#This Row],[Odds]]*-100)),""))))</f>
        <v>-11.5</v>
      </c>
      <c r="J286" s="39" t="str">
        <f>IF(ISNUMBER(SEARCH(CHAR(10),Bets3[[#This Row],[Bet]])),"P",IF(ISNUMBER(FIND("Under",Bets3[[#This Row],[Bet]])),"U",IF(ISNUMBER(SEARCH("Over",Bets3[[#This Row],[Bet]])),"O",IF(ISNUMBER(SEARCH("+",Bets3[[#This Row],[Bet]])),"D",IF(ISNUMBER(SEARCH("-",Bets3[[#This Row],[Bet]])),"F",IF(ISNUMBER(SEARCH("Moneyline",Bets3[[#This Row],[Bet]])),IF(Bets3[[#This Row],[Odds]]&lt;0,"MF","MD"),""))))))</f>
        <v>MD</v>
      </c>
      <c r="K286" s="24"/>
      <c r="N286" s="69"/>
      <c r="O286" s="27"/>
    </row>
    <row r="287" spans="1:15" x14ac:dyDescent="0.25">
      <c r="A287" s="13">
        <f t="shared" si="10"/>
        <v>28</v>
      </c>
      <c r="B287" s="17">
        <v>43675</v>
      </c>
      <c r="C287" s="17" t="s">
        <v>802</v>
      </c>
      <c r="D287" s="18" t="s">
        <v>1443</v>
      </c>
      <c r="E287" s="11" t="s">
        <v>827</v>
      </c>
      <c r="F287" s="19">
        <f>IF(Bets35[[#This Row],[Odds]]&lt;0,Bets35[[#This Row],[Odds]]/-10,1000/Bets3[[#This Row],[Odds]])</f>
        <v>13.9</v>
      </c>
      <c r="G287" s="91">
        <v>-130</v>
      </c>
      <c r="H287" s="21" t="s">
        <v>263</v>
      </c>
      <c r="I287" s="45">
        <f>IF(Bets3[[#This Row],[Result]]="L",0-Bets3[[#This Row],[Risk]],IF(Bets3[[#This Row],[Result]]="Push",0,IF(Bets3[[#This Row],[Result]]="No Action",0,IF(Bets3[[#This Row],[Result]]="W",IF(Bets3[[#This Row],[Odds]]&gt;0,Bets3[[#This Row],[Odds]]/100*Bets3[[#This Row],[Risk]],(Bets3[[#This Row],[Risk]]/Bets3[[#This Row],[Odds]]*-100)),""))))</f>
        <v>-13.9</v>
      </c>
      <c r="J287" s="39" t="str">
        <f>IF(ISNUMBER(SEARCH(CHAR(10),Bets3[[#This Row],[Bet]])),"P",IF(ISNUMBER(FIND("Under",Bets3[[#This Row],[Bet]])),"U",IF(ISNUMBER(SEARCH("Over",Bets3[[#This Row],[Bet]])),"O",IF(ISNUMBER(SEARCH("+",Bets3[[#This Row],[Bet]])),"D",IF(ISNUMBER(SEARCH("-",Bets3[[#This Row],[Bet]])),"F",IF(ISNUMBER(SEARCH("Moneyline",Bets3[[#This Row],[Bet]])),IF(Bets3[[#This Row],[Odds]]&lt;0,"MF","MD"),""))))))</f>
        <v>MF</v>
      </c>
      <c r="K287" s="24"/>
      <c r="N287" s="69"/>
      <c r="O287" s="27"/>
    </row>
    <row r="288" spans="1:15" x14ac:dyDescent="0.25">
      <c r="A288" s="13">
        <f t="shared" si="10"/>
        <v>28</v>
      </c>
      <c r="B288" s="17">
        <v>43675</v>
      </c>
      <c r="C288" s="17" t="s">
        <v>802</v>
      </c>
      <c r="D288" s="18" t="s">
        <v>3593</v>
      </c>
      <c r="E288" s="11" t="s">
        <v>812</v>
      </c>
      <c r="F288" s="19">
        <f>IF(Bets35[[#This Row],[Odds]]&lt;0,Bets35[[#This Row],[Odds]]/-10,1000/Bets3[[#This Row],[Odds]])</f>
        <v>4.7619047619047619</v>
      </c>
      <c r="G288" s="91" t="s">
        <v>813</v>
      </c>
      <c r="H288" s="21" t="s">
        <v>262</v>
      </c>
      <c r="I288" s="45">
        <f>IF(Bets3[[#This Row],[Result]]="L",0-Bets3[[#This Row],[Risk]],IF(Bets3[[#This Row],[Result]]="Push",0,IF(Bets3[[#This Row],[Result]]="No Action",0,IF(Bets3[[#This Row],[Result]]="W",IF(Bets3[[#This Row],[Odds]]&gt;0,Bets3[[#This Row],[Odds]]/100*Bets3[[#This Row],[Risk]],(Bets3[[#This Row],[Risk]]/Bets3[[#This Row],[Odds]]*-100)),""))))</f>
        <v>10</v>
      </c>
      <c r="J288" s="39" t="str">
        <f>IF(ISNUMBER(SEARCH(CHAR(10),Bets3[[#This Row],[Bet]])),"P",IF(ISNUMBER(FIND("Under",Bets3[[#This Row],[Bet]])),"U",IF(ISNUMBER(SEARCH("Over",Bets3[[#This Row],[Bet]])),"O",IF(ISNUMBER(SEARCH("+",Bets3[[#This Row],[Bet]])),"D",IF(ISNUMBER(SEARCH("-",Bets3[[#This Row],[Bet]])),"F",IF(ISNUMBER(SEARCH("Moneyline",Bets3[[#This Row],[Bet]])),IF(Bets3[[#This Row],[Odds]]&lt;0,"MF","MD"),""))))))</f>
        <v>MD</v>
      </c>
      <c r="K288" s="24"/>
      <c r="N288" s="69"/>
      <c r="O288" s="27"/>
    </row>
    <row r="289" spans="1:15" x14ac:dyDescent="0.25">
      <c r="A289" s="13">
        <f t="shared" si="10"/>
        <v>28</v>
      </c>
      <c r="B289" s="17">
        <v>43675</v>
      </c>
      <c r="C289" s="17" t="s">
        <v>802</v>
      </c>
      <c r="D289" s="18" t="s">
        <v>3594</v>
      </c>
      <c r="E289" s="11" t="s">
        <v>1156</v>
      </c>
      <c r="F289" s="19">
        <f>IF(Bets35[[#This Row],[Odds]]&lt;0,Bets35[[#This Row],[Odds]]/-10,1000/Bets3[[#This Row],[Odds]])</f>
        <v>16</v>
      </c>
      <c r="G289" s="91">
        <v>-110</v>
      </c>
      <c r="H289" s="21" t="s">
        <v>262</v>
      </c>
      <c r="I289" s="45">
        <f>IF(Bets3[[#This Row],[Result]]="L",0-Bets3[[#This Row],[Risk]],IF(Bets3[[#This Row],[Result]]="Push",0,IF(Bets3[[#This Row],[Result]]="No Action",0,IF(Bets3[[#This Row],[Result]]="W",IF(Bets3[[#This Row],[Odds]]&gt;0,Bets3[[#This Row],[Odds]]/100*Bets3[[#This Row],[Risk]],(Bets3[[#This Row],[Risk]]/Bets3[[#This Row],[Odds]]*-100)),""))))</f>
        <v>14.545454545454545</v>
      </c>
      <c r="J289" s="39" t="str">
        <f>IF(ISNUMBER(SEARCH(CHAR(10),Bets3[[#This Row],[Bet]])),"P",IF(ISNUMBER(FIND("Under",Bets3[[#This Row],[Bet]])),"U",IF(ISNUMBER(SEARCH("Over",Bets3[[#This Row],[Bet]])),"O",IF(ISNUMBER(SEARCH("+",Bets3[[#This Row],[Bet]])),"D",IF(ISNUMBER(SEARCH("-",Bets3[[#This Row],[Bet]])),"F",IF(ISNUMBER(SEARCH("Moneyline",Bets3[[#This Row],[Bet]])),IF(Bets3[[#This Row],[Odds]]&lt;0,"MF","MD"),""))))))</f>
        <v>O</v>
      </c>
      <c r="K289" s="24"/>
      <c r="N289" s="69"/>
      <c r="O289" s="27"/>
    </row>
    <row r="290" spans="1:15" x14ac:dyDescent="0.25">
      <c r="A290" s="13">
        <f t="shared" si="10"/>
        <v>28</v>
      </c>
      <c r="B290" s="17">
        <v>43675</v>
      </c>
      <c r="C290" s="17" t="s">
        <v>802</v>
      </c>
      <c r="D290" s="18" t="s">
        <v>1443</v>
      </c>
      <c r="E290" s="11" t="s">
        <v>1552</v>
      </c>
      <c r="F290" s="19">
        <f>IF(Bets35[[#This Row],[Odds]]&lt;0,Bets35[[#This Row],[Odds]]/-10,1000/Bets3[[#This Row],[Odds]])</f>
        <v>-9.0909090909090917</v>
      </c>
      <c r="G290" s="91">
        <v>-110</v>
      </c>
      <c r="H290" s="21" t="s">
        <v>262</v>
      </c>
      <c r="I290" s="45">
        <f>IF(Bets3[[#This Row],[Result]]="L",0-Bets3[[#This Row],[Risk]],IF(Bets3[[#This Row],[Result]]="Push",0,IF(Bets3[[#This Row],[Result]]="No Action",0,IF(Bets3[[#This Row],[Result]]="W",IF(Bets3[[#This Row],[Odds]]&gt;0,Bets3[[#This Row],[Odds]]/100*Bets3[[#This Row],[Risk]],(Bets3[[#This Row],[Risk]]/Bets3[[#This Row],[Odds]]*-100)),""))))</f>
        <v>-8.2644628099173563</v>
      </c>
      <c r="J290" s="39" t="str">
        <f>IF(ISNUMBER(SEARCH(CHAR(10),Bets3[[#This Row],[Bet]])),"P",IF(ISNUMBER(FIND("Under",Bets3[[#This Row],[Bet]])),"U",IF(ISNUMBER(SEARCH("Over",Bets3[[#This Row],[Bet]])),"O",IF(ISNUMBER(SEARCH("+",Bets3[[#This Row],[Bet]])),"D",IF(ISNUMBER(SEARCH("-",Bets3[[#This Row],[Bet]])),"F",IF(ISNUMBER(SEARCH("Moneyline",Bets3[[#This Row],[Bet]])),IF(Bets3[[#This Row],[Odds]]&lt;0,"MF","MD"),""))))))</f>
        <v>U</v>
      </c>
      <c r="K290" s="24"/>
      <c r="N290" s="69"/>
      <c r="O290" s="27"/>
    </row>
    <row r="291" spans="1:15" x14ac:dyDescent="0.25">
      <c r="A291" s="13">
        <f t="shared" si="10"/>
        <v>28</v>
      </c>
      <c r="B291" s="17">
        <v>43675</v>
      </c>
      <c r="C291" s="17" t="s">
        <v>802</v>
      </c>
      <c r="D291" s="18" t="s">
        <v>3593</v>
      </c>
      <c r="E291" s="11" t="s">
        <v>3595</v>
      </c>
      <c r="F291" s="19">
        <f>IF(Bets35[[#This Row],[Odds]]&lt;0,Bets35[[#This Row],[Odds]]/-10,1000/Bets3[[#This Row],[Odds]])</f>
        <v>13.2</v>
      </c>
      <c r="G291" s="91">
        <v>100</v>
      </c>
      <c r="H291" s="21" t="s">
        <v>263</v>
      </c>
      <c r="I291" s="45">
        <f>IF(Bets3[[#This Row],[Result]]="L",0-Bets3[[#This Row],[Risk]],IF(Bets3[[#This Row],[Result]]="Push",0,IF(Bets3[[#This Row],[Result]]="No Action",0,IF(Bets3[[#This Row],[Result]]="W",IF(Bets3[[#This Row],[Odds]]&gt;0,Bets3[[#This Row],[Odds]]/100*Bets3[[#This Row],[Risk]],(Bets3[[#This Row],[Risk]]/Bets3[[#This Row],[Odds]]*-100)),""))))</f>
        <v>-13.2</v>
      </c>
      <c r="J291" s="39" t="str">
        <f>IF(ISNUMBER(SEARCH(CHAR(10),Bets3[[#This Row],[Bet]])),"P",IF(ISNUMBER(FIND("Under",Bets3[[#This Row],[Bet]])),"U",IF(ISNUMBER(SEARCH("Over",Bets3[[#This Row],[Bet]])),"O",IF(ISNUMBER(SEARCH("+",Bets3[[#This Row],[Bet]])),"D",IF(ISNUMBER(SEARCH("-",Bets3[[#This Row],[Bet]])),"F",IF(ISNUMBER(SEARCH("Moneyline",Bets3[[#This Row],[Bet]])),IF(Bets3[[#This Row],[Odds]]&lt;0,"MF","MD"),""))))))</f>
        <v>O</v>
      </c>
      <c r="K291" s="24"/>
      <c r="N291" s="69"/>
      <c r="O291" s="27"/>
    </row>
    <row r="292" spans="1:15" x14ac:dyDescent="0.25">
      <c r="A292" s="13">
        <f t="shared" si="10"/>
        <v>29</v>
      </c>
      <c r="B292" s="17">
        <v>43676</v>
      </c>
      <c r="C292" s="17" t="s">
        <v>802</v>
      </c>
      <c r="D292" s="18" t="s">
        <v>3605</v>
      </c>
      <c r="E292" s="11" t="s">
        <v>1152</v>
      </c>
      <c r="F292" s="19">
        <f>IF(Bets35[[#This Row],[Odds]]&lt;0,Bets35[[#This Row],[Odds]]/-10,1000/Bets3[[#This Row],[Odds]])</f>
        <v>11</v>
      </c>
      <c r="G292" s="91">
        <v>-230</v>
      </c>
      <c r="H292" s="21" t="s">
        <v>263</v>
      </c>
      <c r="I292" s="45">
        <f>IF(Bets3[[#This Row],[Result]]="L",0-Bets3[[#This Row],[Risk]],IF(Bets3[[#This Row],[Result]]="Push",0,IF(Bets3[[#This Row],[Result]]="No Action",0,IF(Bets3[[#This Row],[Result]]="W",IF(Bets3[[#This Row],[Odds]]&gt;0,Bets3[[#This Row],[Odds]]/100*Bets3[[#This Row],[Risk]],(Bets3[[#This Row],[Risk]]/Bets3[[#This Row],[Odds]]*-100)),""))))</f>
        <v>-11</v>
      </c>
      <c r="J292" s="39" t="str">
        <f>IF(ISNUMBER(SEARCH(CHAR(10),Bets3[[#This Row],[Bet]])),"P",IF(ISNUMBER(FIND("Under",Bets3[[#This Row],[Bet]])),"U",IF(ISNUMBER(SEARCH("Over",Bets3[[#This Row],[Bet]])),"O",IF(ISNUMBER(SEARCH("+",Bets3[[#This Row],[Bet]])),"D",IF(ISNUMBER(SEARCH("-",Bets3[[#This Row],[Bet]])),"F",IF(ISNUMBER(SEARCH("Moneyline",Bets3[[#This Row],[Bet]])),IF(Bets3[[#This Row],[Odds]]&lt;0,"MF","MD"),""))))))</f>
        <v>MF</v>
      </c>
      <c r="K292" s="24"/>
      <c r="N292" s="69"/>
      <c r="O292" s="27"/>
    </row>
    <row r="293" spans="1:15" x14ac:dyDescent="0.25">
      <c r="A293" s="13">
        <f t="shared" si="10"/>
        <v>29</v>
      </c>
      <c r="B293" s="17">
        <v>43676</v>
      </c>
      <c r="C293" s="17" t="s">
        <v>802</v>
      </c>
      <c r="D293" s="18" t="s">
        <v>3606</v>
      </c>
      <c r="E293" s="11" t="s">
        <v>1180</v>
      </c>
      <c r="F293" s="19">
        <f>IF(Bets35[[#This Row],[Odds]]&lt;0,Bets35[[#This Row],[Odds]]/-10,1000/Bets3[[#This Row],[Odds]])</f>
        <v>10.5</v>
      </c>
      <c r="G293" s="91" t="s">
        <v>820</v>
      </c>
      <c r="H293" s="21" t="s">
        <v>262</v>
      </c>
      <c r="I293" s="45">
        <f>IF(Bets3[[#This Row],[Result]]="L",0-Bets3[[#This Row],[Risk]],IF(Bets3[[#This Row],[Result]]="Push",0,IF(Bets3[[#This Row],[Result]]="No Action",0,IF(Bets3[[#This Row],[Result]]="W",IF(Bets3[[#This Row],[Odds]]&gt;0,Bets3[[#This Row],[Odds]]/100*Bets3[[#This Row],[Risk]],(Bets3[[#This Row],[Risk]]/Bets3[[#This Row],[Odds]]*-100)),""))))</f>
        <v>19.425000000000001</v>
      </c>
      <c r="J293" s="39" t="str">
        <f>IF(ISNUMBER(SEARCH(CHAR(10),Bets3[[#This Row],[Bet]])),"P",IF(ISNUMBER(FIND("Under",Bets3[[#This Row],[Bet]])),"U",IF(ISNUMBER(SEARCH("Over",Bets3[[#This Row],[Bet]])),"O",IF(ISNUMBER(SEARCH("+",Bets3[[#This Row],[Bet]])),"D",IF(ISNUMBER(SEARCH("-",Bets3[[#This Row],[Bet]])),"F",IF(ISNUMBER(SEARCH("Moneyline",Bets3[[#This Row],[Bet]])),IF(Bets3[[#This Row],[Odds]]&lt;0,"MF","MD"),""))))))</f>
        <v>MD</v>
      </c>
      <c r="K293" s="24"/>
      <c r="N293" s="69"/>
      <c r="O293" s="27"/>
    </row>
    <row r="294" spans="1:15" x14ac:dyDescent="0.25">
      <c r="A294" s="13">
        <f t="shared" si="10"/>
        <v>29</v>
      </c>
      <c r="B294" s="17">
        <v>43676</v>
      </c>
      <c r="C294" s="17" t="s">
        <v>802</v>
      </c>
      <c r="D294" s="18" t="s">
        <v>3607</v>
      </c>
      <c r="E294" s="11" t="s">
        <v>819</v>
      </c>
      <c r="F294" s="19">
        <f>IF(Bets35[[#This Row],[Odds]]&lt;0,Bets35[[#This Row],[Odds]]/-10,1000/Bets3[[#This Row],[Odds]])</f>
        <v>8.2644628099173545</v>
      </c>
      <c r="G294" s="91" t="s">
        <v>3608</v>
      </c>
      <c r="H294" s="21" t="s">
        <v>262</v>
      </c>
      <c r="I294" s="45">
        <f>IF(Bets3[[#This Row],[Result]]="L",0-Bets3[[#This Row],[Risk]],IF(Bets3[[#This Row],[Result]]="Push",0,IF(Bets3[[#This Row],[Result]]="No Action",0,IF(Bets3[[#This Row],[Result]]="W",IF(Bets3[[#This Row],[Odds]]&gt;0,Bets3[[#This Row],[Odds]]/100*Bets3[[#This Row],[Risk]],(Bets3[[#This Row],[Risk]]/Bets3[[#This Row],[Odds]]*-100)),""))))</f>
        <v>9.9999999999999982</v>
      </c>
      <c r="J294" s="39" t="str">
        <f>IF(ISNUMBER(SEARCH(CHAR(10),Bets3[[#This Row],[Bet]])),"P",IF(ISNUMBER(FIND("Under",Bets3[[#This Row],[Bet]])),"U",IF(ISNUMBER(SEARCH("Over",Bets3[[#This Row],[Bet]])),"O",IF(ISNUMBER(SEARCH("+",Bets3[[#This Row],[Bet]])),"D",IF(ISNUMBER(SEARCH("-",Bets3[[#This Row],[Bet]])),"F",IF(ISNUMBER(SEARCH("Moneyline",Bets3[[#This Row],[Bet]])),IF(Bets3[[#This Row],[Odds]]&lt;0,"MF","MD"),""))))))</f>
        <v>MD</v>
      </c>
      <c r="K294" s="24"/>
      <c r="N294" s="69"/>
      <c r="O294" s="27"/>
    </row>
    <row r="295" spans="1:15" x14ac:dyDescent="0.25">
      <c r="A295" s="13">
        <f t="shared" si="10"/>
        <v>29</v>
      </c>
      <c r="B295" s="17">
        <v>43676</v>
      </c>
      <c r="C295" s="17" t="s">
        <v>802</v>
      </c>
      <c r="D295" s="18" t="s">
        <v>1336</v>
      </c>
      <c r="E295" s="11" t="s">
        <v>876</v>
      </c>
      <c r="F295" s="19">
        <f>IF(Bets35[[#This Row],[Odds]]&lt;0,Bets35[[#This Row],[Odds]]/-10,1000/Bets3[[#This Row],[Odds]])</f>
        <v>8.4745762711864412</v>
      </c>
      <c r="G295" s="91" t="s">
        <v>1342</v>
      </c>
      <c r="H295" s="21" t="s">
        <v>262</v>
      </c>
      <c r="I295" s="45">
        <f>IF(Bets3[[#This Row],[Result]]="L",0-Bets3[[#This Row],[Risk]],IF(Bets3[[#This Row],[Result]]="Push",0,IF(Bets3[[#This Row],[Result]]="No Action",0,IF(Bets3[[#This Row],[Result]]="W",IF(Bets3[[#This Row],[Odds]]&gt;0,Bets3[[#This Row],[Odds]]/100*Bets3[[#This Row],[Risk]],(Bets3[[#This Row],[Risk]]/Bets3[[#This Row],[Odds]]*-100)),""))))</f>
        <v>10</v>
      </c>
      <c r="J295" s="39" t="str">
        <f>IF(ISNUMBER(SEARCH(CHAR(10),Bets3[[#This Row],[Bet]])),"P",IF(ISNUMBER(FIND("Under",Bets3[[#This Row],[Bet]])),"U",IF(ISNUMBER(SEARCH("Over",Bets3[[#This Row],[Bet]])),"O",IF(ISNUMBER(SEARCH("+",Bets3[[#This Row],[Bet]])),"D",IF(ISNUMBER(SEARCH("-",Bets3[[#This Row],[Bet]])),"F",IF(ISNUMBER(SEARCH("Moneyline",Bets3[[#This Row],[Bet]])),IF(Bets3[[#This Row],[Odds]]&lt;0,"MF","MD"),""))))))</f>
        <v>MD</v>
      </c>
      <c r="K295" s="24"/>
      <c r="N295" s="69"/>
      <c r="O295" s="27"/>
    </row>
    <row r="296" spans="1:15" x14ac:dyDescent="0.25">
      <c r="A296" s="13">
        <f t="shared" si="10"/>
        <v>29</v>
      </c>
      <c r="B296" s="17">
        <v>43676</v>
      </c>
      <c r="C296" s="17" t="s">
        <v>802</v>
      </c>
      <c r="D296" s="18" t="s">
        <v>3594</v>
      </c>
      <c r="E296" s="11" t="s">
        <v>873</v>
      </c>
      <c r="F296" s="19">
        <f>IF(Bets35[[#This Row],[Odds]]&lt;0,Bets35[[#This Row],[Odds]]/-10,1000/Bets3[[#This Row],[Odds]])</f>
        <v>13</v>
      </c>
      <c r="G296" s="91" t="s">
        <v>3609</v>
      </c>
      <c r="H296" s="21" t="s">
        <v>262</v>
      </c>
      <c r="I296" s="45">
        <f>IF(Bets3[[#This Row],[Result]]="L",0-Bets3[[#This Row],[Risk]],IF(Bets3[[#This Row],[Result]]="Push",0,IF(Bets3[[#This Row],[Result]]="No Action",0,IF(Bets3[[#This Row],[Result]]="W",IF(Bets3[[#This Row],[Odds]]&gt;0,Bets3[[#This Row],[Odds]]/100*Bets3[[#This Row],[Risk]],(Bets3[[#This Row],[Risk]]/Bets3[[#This Row],[Odds]]*-100)),""))))</f>
        <v>13.26</v>
      </c>
      <c r="J296" s="39" t="str">
        <f>IF(ISNUMBER(SEARCH(CHAR(10),Bets3[[#This Row],[Bet]])),"P",IF(ISNUMBER(FIND("Under",Bets3[[#This Row],[Bet]])),"U",IF(ISNUMBER(SEARCH("Over",Bets3[[#This Row],[Bet]])),"O",IF(ISNUMBER(SEARCH("+",Bets3[[#This Row],[Bet]])),"D",IF(ISNUMBER(SEARCH("-",Bets3[[#This Row],[Bet]])),"F",IF(ISNUMBER(SEARCH("Moneyline",Bets3[[#This Row],[Bet]])),IF(Bets3[[#This Row],[Odds]]&lt;0,"MF","MD"),""))))))</f>
        <v>MD</v>
      </c>
      <c r="K296" s="24"/>
      <c r="N296" s="69"/>
      <c r="O296" s="27"/>
    </row>
    <row r="297" spans="1:15" x14ac:dyDescent="0.25">
      <c r="A297" s="13">
        <f t="shared" si="10"/>
        <v>29</v>
      </c>
      <c r="B297" s="17">
        <v>43676</v>
      </c>
      <c r="C297" s="17" t="s">
        <v>802</v>
      </c>
      <c r="D297" s="18" t="s">
        <v>1443</v>
      </c>
      <c r="E297" s="11" t="s">
        <v>827</v>
      </c>
      <c r="F297" s="19">
        <f>IF(Bets35[[#This Row],[Odds]]&lt;0,Bets35[[#This Row],[Odds]]/-10,1000/Bets3[[#This Row],[Odds]])</f>
        <v>-6.666666666666667</v>
      </c>
      <c r="G297" s="91">
        <v>-150</v>
      </c>
      <c r="H297" s="21" t="s">
        <v>262</v>
      </c>
      <c r="I297" s="45">
        <f>IF(Bets3[[#This Row],[Result]]="L",0-Bets3[[#This Row],[Risk]],IF(Bets3[[#This Row],[Result]]="Push",0,IF(Bets3[[#This Row],[Result]]="No Action",0,IF(Bets3[[#This Row],[Result]]="W",IF(Bets3[[#This Row],[Odds]]&gt;0,Bets3[[#This Row],[Odds]]/100*Bets3[[#This Row],[Risk]],(Bets3[[#This Row],[Risk]]/Bets3[[#This Row],[Odds]]*-100)),""))))</f>
        <v>-4.4444444444444446</v>
      </c>
      <c r="J297" s="39" t="str">
        <f>IF(ISNUMBER(SEARCH(CHAR(10),Bets3[[#This Row],[Bet]])),"P",IF(ISNUMBER(FIND("Under",Bets3[[#This Row],[Bet]])),"U",IF(ISNUMBER(SEARCH("Over",Bets3[[#This Row],[Bet]])),"O",IF(ISNUMBER(SEARCH("+",Bets3[[#This Row],[Bet]])),"D",IF(ISNUMBER(SEARCH("-",Bets3[[#This Row],[Bet]])),"F",IF(ISNUMBER(SEARCH("Moneyline",Bets3[[#This Row],[Bet]])),IF(Bets3[[#This Row],[Odds]]&lt;0,"MF","MD"),""))))))</f>
        <v>MF</v>
      </c>
      <c r="K297" s="24"/>
      <c r="N297" s="69"/>
      <c r="O297" s="27"/>
    </row>
    <row r="298" spans="1:15" x14ac:dyDescent="0.25">
      <c r="A298" s="13">
        <f t="shared" si="10"/>
        <v>29</v>
      </c>
      <c r="B298" s="17">
        <v>43676</v>
      </c>
      <c r="C298" s="17" t="s">
        <v>802</v>
      </c>
      <c r="D298" s="18" t="s">
        <v>3593</v>
      </c>
      <c r="E298" s="11" t="s">
        <v>3507</v>
      </c>
      <c r="F298" s="19">
        <f>IF(Bets35[[#This Row],[Odds]]&lt;0,Bets35[[#This Row],[Odds]]/-10,1000/Bets3[[#This Row],[Odds]])</f>
        <v>11</v>
      </c>
      <c r="G298" s="91">
        <v>-260</v>
      </c>
      <c r="H298" s="21" t="s">
        <v>262</v>
      </c>
      <c r="I298" s="45">
        <f>IF(Bets3[[#This Row],[Result]]="L",0-Bets3[[#This Row],[Risk]],IF(Bets3[[#This Row],[Result]]="Push",0,IF(Bets3[[#This Row],[Result]]="No Action",0,IF(Bets3[[#This Row],[Result]]="W",IF(Bets3[[#This Row],[Odds]]&gt;0,Bets3[[#This Row],[Odds]]/100*Bets3[[#This Row],[Risk]],(Bets3[[#This Row],[Risk]]/Bets3[[#This Row],[Odds]]*-100)),""))))</f>
        <v>4.2307692307692308</v>
      </c>
      <c r="J298" s="39" t="str">
        <f>IF(ISNUMBER(SEARCH(CHAR(10),Bets3[[#This Row],[Bet]])),"P",IF(ISNUMBER(FIND("Under",Bets3[[#This Row],[Bet]])),"U",IF(ISNUMBER(SEARCH("Over",Bets3[[#This Row],[Bet]])),"O",IF(ISNUMBER(SEARCH("+",Bets3[[#This Row],[Bet]])),"D",IF(ISNUMBER(SEARCH("-",Bets3[[#This Row],[Bet]])),"F",IF(ISNUMBER(SEARCH("Moneyline",Bets3[[#This Row],[Bet]])),IF(Bets3[[#This Row],[Odds]]&lt;0,"MF","MD"),""))))))</f>
        <v>MF</v>
      </c>
      <c r="K298" s="24"/>
      <c r="N298" s="69"/>
      <c r="O298" s="27"/>
    </row>
    <row r="299" spans="1:15" x14ac:dyDescent="0.25">
      <c r="A299" s="13">
        <f t="shared" si="10"/>
        <v>29</v>
      </c>
      <c r="B299" s="17">
        <v>43676</v>
      </c>
      <c r="C299" s="17" t="s">
        <v>802</v>
      </c>
      <c r="D299" s="18" t="s">
        <v>3605</v>
      </c>
      <c r="E299" s="11" t="s">
        <v>905</v>
      </c>
      <c r="F299" s="19">
        <f>IF(Bets35[[#This Row],[Odds]]&lt;0,Bets35[[#This Row],[Odds]]/-10,1000/Bets3[[#This Row],[Odds]])</f>
        <v>11</v>
      </c>
      <c r="G299" s="91">
        <v>-110</v>
      </c>
      <c r="H299" s="21" t="s">
        <v>262</v>
      </c>
      <c r="I299" s="45">
        <f>IF(Bets3[[#This Row],[Result]]="L",0-Bets3[[#This Row],[Risk]],IF(Bets3[[#This Row],[Result]]="Push",0,IF(Bets3[[#This Row],[Result]]="No Action",0,IF(Bets3[[#This Row],[Result]]="W",IF(Bets3[[#This Row],[Odds]]&gt;0,Bets3[[#This Row],[Odds]]/100*Bets3[[#This Row],[Risk]],(Bets3[[#This Row],[Risk]]/Bets3[[#This Row],[Odds]]*-100)),""))))</f>
        <v>10</v>
      </c>
      <c r="J299" s="39" t="str">
        <f>IF(ISNUMBER(SEARCH(CHAR(10),Bets3[[#This Row],[Bet]])),"P",IF(ISNUMBER(FIND("Under",Bets3[[#This Row],[Bet]])),"U",IF(ISNUMBER(SEARCH("Over",Bets3[[#This Row],[Bet]])),"O",IF(ISNUMBER(SEARCH("+",Bets3[[#This Row],[Bet]])),"D",IF(ISNUMBER(SEARCH("-",Bets3[[#This Row],[Bet]])),"F",IF(ISNUMBER(SEARCH("Moneyline",Bets3[[#This Row],[Bet]])),IF(Bets3[[#This Row],[Odds]]&lt;0,"MF","MD"),""))))))</f>
        <v>O</v>
      </c>
      <c r="K299" s="24"/>
      <c r="N299" s="69"/>
      <c r="O299" s="27"/>
    </row>
    <row r="300" spans="1:15" x14ac:dyDescent="0.25">
      <c r="A300" s="13">
        <f t="shared" si="10"/>
        <v>29</v>
      </c>
      <c r="B300" s="17">
        <v>43676</v>
      </c>
      <c r="C300" s="17" t="s">
        <v>802</v>
      </c>
      <c r="D300" s="18" t="s">
        <v>3606</v>
      </c>
      <c r="E300" s="11" t="s">
        <v>1343</v>
      </c>
      <c r="F300" s="19">
        <f>IF(Bets35[[#This Row],[Odds]]&lt;0,Bets35[[#This Row],[Odds]]/-10,1000/Bets3[[#This Row],[Odds]])</f>
        <v>-8.695652173913043</v>
      </c>
      <c r="G300" s="91">
        <v>-115</v>
      </c>
      <c r="H300" s="21" t="s">
        <v>262</v>
      </c>
      <c r="I300" s="45">
        <f>IF(Bets3[[#This Row],[Result]]="L",0-Bets3[[#This Row],[Risk]],IF(Bets3[[#This Row],[Result]]="Push",0,IF(Bets3[[#This Row],[Result]]="No Action",0,IF(Bets3[[#This Row],[Result]]="W",IF(Bets3[[#This Row],[Odds]]&gt;0,Bets3[[#This Row],[Odds]]/100*Bets3[[#This Row],[Risk]],(Bets3[[#This Row],[Risk]]/Bets3[[#This Row],[Odds]]*-100)),""))))</f>
        <v>-7.5614366729678641</v>
      </c>
      <c r="J300" s="39" t="str">
        <f>IF(ISNUMBER(SEARCH(CHAR(10),Bets3[[#This Row],[Bet]])),"P",IF(ISNUMBER(FIND("Under",Bets3[[#This Row],[Bet]])),"U",IF(ISNUMBER(SEARCH("Over",Bets3[[#This Row],[Bet]])),"O",IF(ISNUMBER(SEARCH("+",Bets3[[#This Row],[Bet]])),"D",IF(ISNUMBER(SEARCH("-",Bets3[[#This Row],[Bet]])),"F",IF(ISNUMBER(SEARCH("Moneyline",Bets3[[#This Row],[Bet]])),IF(Bets3[[#This Row],[Odds]]&lt;0,"MF","MD"),""))))))</f>
        <v>U</v>
      </c>
      <c r="K300" s="24"/>
      <c r="N300" s="69"/>
      <c r="O300" s="27"/>
    </row>
    <row r="301" spans="1:15" x14ac:dyDescent="0.25">
      <c r="A301" s="13">
        <f t="shared" si="10"/>
        <v>29</v>
      </c>
      <c r="B301" s="17">
        <v>43676</v>
      </c>
      <c r="C301" s="17" t="s">
        <v>802</v>
      </c>
      <c r="D301" s="18" t="s">
        <v>1443</v>
      </c>
      <c r="E301" s="11" t="s">
        <v>3610</v>
      </c>
      <c r="F301" s="19">
        <f>IF(Bets35[[#This Row],[Odds]]&lt;0,Bets35[[#This Row],[Odds]]/-10,1000/Bets3[[#This Row],[Odds]])</f>
        <v>23</v>
      </c>
      <c r="G301" s="91">
        <v>-115</v>
      </c>
      <c r="H301" s="21" t="s">
        <v>262</v>
      </c>
      <c r="I301" s="45">
        <f>IF(Bets3[[#This Row],[Result]]="L",0-Bets3[[#This Row],[Risk]],IF(Bets3[[#This Row],[Result]]="Push",0,IF(Bets3[[#This Row],[Result]]="No Action",0,IF(Bets3[[#This Row],[Result]]="W",IF(Bets3[[#This Row],[Odds]]&gt;0,Bets3[[#This Row],[Odds]]/100*Bets3[[#This Row],[Risk]],(Bets3[[#This Row],[Risk]]/Bets3[[#This Row],[Odds]]*-100)),""))))</f>
        <v>20</v>
      </c>
      <c r="J301" s="39" t="str">
        <f>IF(ISNUMBER(SEARCH(CHAR(10),Bets3[[#This Row],[Bet]])),"P",IF(ISNUMBER(FIND("Under",Bets3[[#This Row],[Bet]])),"U",IF(ISNUMBER(SEARCH("Over",Bets3[[#This Row],[Bet]])),"O",IF(ISNUMBER(SEARCH("+",Bets3[[#This Row],[Bet]])),"D",IF(ISNUMBER(SEARCH("-",Bets3[[#This Row],[Bet]])),"F",IF(ISNUMBER(SEARCH("Moneyline",Bets3[[#This Row],[Bet]])),IF(Bets3[[#This Row],[Odds]]&lt;0,"MF","MD"),""))))))</f>
        <v>U</v>
      </c>
      <c r="K301" s="24"/>
      <c r="N301" s="69"/>
      <c r="O301" s="27"/>
    </row>
    <row r="302" spans="1:15" x14ac:dyDescent="0.25">
      <c r="A302" s="13">
        <f t="shared" si="10"/>
        <v>29</v>
      </c>
      <c r="B302" s="17">
        <v>43676</v>
      </c>
      <c r="C302" s="17" t="s">
        <v>802</v>
      </c>
      <c r="D302" s="18" t="s">
        <v>3593</v>
      </c>
      <c r="E302" s="11" t="s">
        <v>1156</v>
      </c>
      <c r="F302" s="19">
        <f>IF(Bets35[[#This Row],[Odds]]&lt;0,Bets35[[#This Row],[Odds]]/-10,1000/Bets3[[#This Row],[Odds]])</f>
        <v>-8.3333333333333339</v>
      </c>
      <c r="G302" s="91">
        <v>-120</v>
      </c>
      <c r="H302" s="21" t="s">
        <v>263</v>
      </c>
      <c r="I302" s="45">
        <f>IF(Bets3[[#This Row],[Result]]="L",0-Bets3[[#This Row],[Risk]],IF(Bets3[[#This Row],[Result]]="Push",0,IF(Bets3[[#This Row],[Result]]="No Action",0,IF(Bets3[[#This Row],[Result]]="W",IF(Bets3[[#This Row],[Odds]]&gt;0,Bets3[[#This Row],[Odds]]/100*Bets3[[#This Row],[Risk]],(Bets3[[#This Row],[Risk]]/Bets3[[#This Row],[Odds]]*-100)),""))))</f>
        <v>8.3333333333333339</v>
      </c>
      <c r="J302" s="39" t="str">
        <f>IF(ISNUMBER(SEARCH(CHAR(10),Bets3[[#This Row],[Bet]])),"P",IF(ISNUMBER(FIND("Under",Bets3[[#This Row],[Bet]])),"U",IF(ISNUMBER(SEARCH("Over",Bets3[[#This Row],[Bet]])),"O",IF(ISNUMBER(SEARCH("+",Bets3[[#This Row],[Bet]])),"D",IF(ISNUMBER(SEARCH("-",Bets3[[#This Row],[Bet]])),"F",IF(ISNUMBER(SEARCH("Moneyline",Bets3[[#This Row],[Bet]])),IF(Bets3[[#This Row],[Odds]]&lt;0,"MF","MD"),""))))))</f>
        <v>O</v>
      </c>
      <c r="K302" s="24"/>
      <c r="N302" s="69"/>
      <c r="O302" s="27"/>
    </row>
    <row r="303" spans="1:15" x14ac:dyDescent="0.25">
      <c r="A303" s="13">
        <f t="shared" si="10"/>
        <v>30</v>
      </c>
      <c r="B303" s="17">
        <v>43677</v>
      </c>
      <c r="C303" s="17" t="s">
        <v>802</v>
      </c>
      <c r="D303" s="18" t="s">
        <v>3592</v>
      </c>
      <c r="E303" s="11" t="s">
        <v>830</v>
      </c>
      <c r="F303" s="19">
        <f>IF(Bets35[[#This Row],[Odds]]&lt;0,Bets35[[#This Row],[Odds]]/-10,1000/Bets3[[#This Row],[Odds]])</f>
        <v>8.4745762711864412</v>
      </c>
      <c r="G303" s="91" t="s">
        <v>1342</v>
      </c>
      <c r="H303" s="21" t="s">
        <v>263</v>
      </c>
      <c r="I303" s="45">
        <f>IF(Bets3[[#This Row],[Result]]="L",0-Bets3[[#This Row],[Risk]],IF(Bets3[[#This Row],[Result]]="Push",0,IF(Bets3[[#This Row],[Result]]="No Action",0,IF(Bets3[[#This Row],[Result]]="W",IF(Bets3[[#This Row],[Odds]]&gt;0,Bets3[[#This Row],[Odds]]/100*Bets3[[#This Row],[Risk]],(Bets3[[#This Row],[Risk]]/Bets3[[#This Row],[Odds]]*-100)),""))))</f>
        <v>-8.4745762711864412</v>
      </c>
      <c r="J303" s="39" t="str">
        <f>IF(ISNUMBER(SEARCH(CHAR(10),Bets3[[#This Row],[Bet]])),"P",IF(ISNUMBER(FIND("Under",Bets3[[#This Row],[Bet]])),"U",IF(ISNUMBER(SEARCH("Over",Bets3[[#This Row],[Bet]])),"O",IF(ISNUMBER(SEARCH("+",Bets3[[#This Row],[Bet]])),"D",IF(ISNUMBER(SEARCH("-",Bets3[[#This Row],[Bet]])),"F",IF(ISNUMBER(SEARCH("Moneyline",Bets3[[#This Row],[Bet]])),IF(Bets3[[#This Row],[Odds]]&lt;0,"MF","MD"),""))))))</f>
        <v>MD</v>
      </c>
      <c r="K303" s="24"/>
      <c r="N303" s="69"/>
      <c r="O303" s="27"/>
    </row>
    <row r="304" spans="1:15" x14ac:dyDescent="0.25">
      <c r="A304" s="13">
        <f t="shared" si="10"/>
        <v>30</v>
      </c>
      <c r="B304" s="17">
        <v>43677</v>
      </c>
      <c r="C304" s="17" t="s">
        <v>802</v>
      </c>
      <c r="D304" s="18" t="s">
        <v>1336</v>
      </c>
      <c r="E304" s="11" t="s">
        <v>876</v>
      </c>
      <c r="F304" s="19">
        <f>IF(Bets35[[#This Row],[Odds]]&lt;0,Bets35[[#This Row],[Odds]]/-10,1000/Bets3[[#This Row],[Odds]])</f>
        <v>5.3191489361702127</v>
      </c>
      <c r="G304" s="91" t="s">
        <v>3627</v>
      </c>
      <c r="H304" s="21" t="s">
        <v>263</v>
      </c>
      <c r="I304" s="45">
        <f>IF(Bets3[[#This Row],[Result]]="L",0-Bets3[[#This Row],[Risk]],IF(Bets3[[#This Row],[Result]]="Push",0,IF(Bets3[[#This Row],[Result]]="No Action",0,IF(Bets3[[#This Row],[Result]]="W",IF(Bets3[[#This Row],[Odds]]&gt;0,Bets3[[#This Row],[Odds]]/100*Bets3[[#This Row],[Risk]],(Bets3[[#This Row],[Risk]]/Bets3[[#This Row],[Odds]]*-100)),""))))</f>
        <v>-5.3191489361702127</v>
      </c>
      <c r="J304" s="39" t="str">
        <f>IF(ISNUMBER(SEARCH(CHAR(10),Bets3[[#This Row],[Bet]])),"P",IF(ISNUMBER(FIND("Under",Bets3[[#This Row],[Bet]])),"U",IF(ISNUMBER(SEARCH("Over",Bets3[[#This Row],[Bet]])),"O",IF(ISNUMBER(SEARCH("+",Bets3[[#This Row],[Bet]])),"D",IF(ISNUMBER(SEARCH("-",Bets3[[#This Row],[Bet]])),"F",IF(ISNUMBER(SEARCH("Moneyline",Bets3[[#This Row],[Bet]])),IF(Bets3[[#This Row],[Odds]]&lt;0,"MF","MD"),""))))))</f>
        <v>MD</v>
      </c>
      <c r="K304" s="24"/>
      <c r="N304" s="69"/>
      <c r="O304" s="27"/>
    </row>
    <row r="305" spans="1:15" x14ac:dyDescent="0.25">
      <c r="A305" s="13">
        <f t="shared" si="10"/>
        <v>30</v>
      </c>
      <c r="B305" s="17">
        <v>43677</v>
      </c>
      <c r="C305" s="17" t="s">
        <v>802</v>
      </c>
      <c r="D305" s="18" t="s">
        <v>3606</v>
      </c>
      <c r="E305" s="11" t="s">
        <v>1180</v>
      </c>
      <c r="F305" s="19">
        <f>IF(Bets35[[#This Row],[Odds]]&lt;0,Bets35[[#This Row],[Odds]]/-10,1000/Bets3[[#This Row],[Odds]])</f>
        <v>8.4745762711864412</v>
      </c>
      <c r="G305" s="91" t="s">
        <v>1342</v>
      </c>
      <c r="H305" s="21" t="s">
        <v>263</v>
      </c>
      <c r="I305" s="45">
        <f>IF(Bets3[[#This Row],[Result]]="L",0-Bets3[[#This Row],[Risk]],IF(Bets3[[#This Row],[Result]]="Push",0,IF(Bets3[[#This Row],[Result]]="No Action",0,IF(Bets3[[#This Row],[Result]]="W",IF(Bets3[[#This Row],[Odds]]&gt;0,Bets3[[#This Row],[Odds]]/100*Bets3[[#This Row],[Risk]],(Bets3[[#This Row],[Risk]]/Bets3[[#This Row],[Odds]]*-100)),""))))</f>
        <v>-8.4745762711864412</v>
      </c>
      <c r="J305" s="39" t="str">
        <f>IF(ISNUMBER(SEARCH(CHAR(10),Bets3[[#This Row],[Bet]])),"P",IF(ISNUMBER(FIND("Under",Bets3[[#This Row],[Bet]])),"U",IF(ISNUMBER(SEARCH("Over",Bets3[[#This Row],[Bet]])),"O",IF(ISNUMBER(SEARCH("+",Bets3[[#This Row],[Bet]])),"D",IF(ISNUMBER(SEARCH("-",Bets3[[#This Row],[Bet]])),"F",IF(ISNUMBER(SEARCH("Moneyline",Bets3[[#This Row],[Bet]])),IF(Bets3[[#This Row],[Odds]]&lt;0,"MF","MD"),""))))))</f>
        <v>MD</v>
      </c>
      <c r="K305" s="24"/>
      <c r="N305" s="69"/>
      <c r="O305" s="27"/>
    </row>
    <row r="306" spans="1:15" x14ac:dyDescent="0.25">
      <c r="A306" s="13">
        <f t="shared" si="10"/>
        <v>30</v>
      </c>
      <c r="B306" s="17">
        <v>43677</v>
      </c>
      <c r="C306" s="17" t="s">
        <v>802</v>
      </c>
      <c r="D306" s="18" t="s">
        <v>3594</v>
      </c>
      <c r="E306" s="11" t="s">
        <v>873</v>
      </c>
      <c r="F306" s="19">
        <f>IF(Bets35[[#This Row],[Odds]]&lt;0,Bets35[[#This Row],[Odds]]/-10,1000/Bets3[[#This Row],[Odds]])</f>
        <v>15</v>
      </c>
      <c r="G306" s="91" t="s">
        <v>3628</v>
      </c>
      <c r="H306" s="21" t="s">
        <v>262</v>
      </c>
      <c r="I306" s="45">
        <f>IF(Bets3[[#This Row],[Result]]="L",0-Bets3[[#This Row],[Risk]],IF(Bets3[[#This Row],[Result]]="Push",0,IF(Bets3[[#This Row],[Result]]="No Action",0,IF(Bets3[[#This Row],[Result]]="W",IF(Bets3[[#This Row],[Odds]]&gt;0,Bets3[[#This Row],[Odds]]/100*Bets3[[#This Row],[Risk]],(Bets3[[#This Row],[Risk]]/Bets3[[#This Row],[Odds]]*-100)),""))))</f>
        <v>17.099999999999998</v>
      </c>
      <c r="J306" s="39" t="str">
        <f>IF(ISNUMBER(SEARCH(CHAR(10),Bets3[[#This Row],[Bet]])),"P",IF(ISNUMBER(FIND("Under",Bets3[[#This Row],[Bet]])),"U",IF(ISNUMBER(SEARCH("Over",Bets3[[#This Row],[Bet]])),"O",IF(ISNUMBER(SEARCH("+",Bets3[[#This Row],[Bet]])),"D",IF(ISNUMBER(SEARCH("-",Bets3[[#This Row],[Bet]])),"F",IF(ISNUMBER(SEARCH("Moneyline",Bets3[[#This Row],[Bet]])),IF(Bets3[[#This Row],[Odds]]&lt;0,"MF","MD"),""))))))</f>
        <v>MD</v>
      </c>
      <c r="K306" s="24"/>
      <c r="N306" s="69"/>
      <c r="O306" s="27"/>
    </row>
    <row r="307" spans="1:15" x14ac:dyDescent="0.25">
      <c r="A307" s="13">
        <f t="shared" si="10"/>
        <v>30</v>
      </c>
      <c r="B307" s="17">
        <v>43677</v>
      </c>
      <c r="C307" s="17" t="s">
        <v>802</v>
      </c>
      <c r="D307" s="18" t="s">
        <v>1443</v>
      </c>
      <c r="E307" s="11" t="s">
        <v>827</v>
      </c>
      <c r="F307" s="19">
        <f>IF(Bets35[[#This Row],[Odds]]&lt;0,Bets35[[#This Row],[Odds]]/-10,1000/Bets3[[#This Row],[Odds]])</f>
        <v>26</v>
      </c>
      <c r="G307" s="91">
        <v>-134</v>
      </c>
      <c r="H307" s="21" t="s">
        <v>262</v>
      </c>
      <c r="I307" s="45">
        <f>IF(Bets3[[#This Row],[Result]]="L",0-Bets3[[#This Row],[Risk]],IF(Bets3[[#This Row],[Result]]="Push",0,IF(Bets3[[#This Row],[Result]]="No Action",0,IF(Bets3[[#This Row],[Result]]="W",IF(Bets3[[#This Row],[Odds]]&gt;0,Bets3[[#This Row],[Odds]]/100*Bets3[[#This Row],[Risk]],(Bets3[[#This Row],[Risk]]/Bets3[[#This Row],[Odds]]*-100)),""))))</f>
        <v>19.402985074626866</v>
      </c>
      <c r="J307" s="39" t="str">
        <f>IF(ISNUMBER(SEARCH(CHAR(10),Bets3[[#This Row],[Bet]])),"P",IF(ISNUMBER(FIND("Under",Bets3[[#This Row],[Bet]])),"U",IF(ISNUMBER(SEARCH("Over",Bets3[[#This Row],[Bet]])),"O",IF(ISNUMBER(SEARCH("+",Bets3[[#This Row],[Bet]])),"D",IF(ISNUMBER(SEARCH("-",Bets3[[#This Row],[Bet]])),"F",IF(ISNUMBER(SEARCH("Moneyline",Bets3[[#This Row],[Bet]])),IF(Bets3[[#This Row],[Odds]]&lt;0,"MF","MD"),""))))))</f>
        <v>MF</v>
      </c>
      <c r="K307" s="24"/>
      <c r="N307" s="69"/>
      <c r="O307" s="27"/>
    </row>
    <row r="308" spans="1:15" x14ac:dyDescent="0.25">
      <c r="A308" s="13">
        <f t="shared" si="10"/>
        <v>30</v>
      </c>
      <c r="B308" s="17">
        <v>43677</v>
      </c>
      <c r="C308" s="17" t="s">
        <v>802</v>
      </c>
      <c r="D308" s="18" t="s">
        <v>3607</v>
      </c>
      <c r="E308" s="11" t="s">
        <v>819</v>
      </c>
      <c r="F308" s="19">
        <f>IF(Bets35[[#This Row],[Odds]]&lt;0,Bets35[[#This Row],[Odds]]/-10,1000/Bets3[[#This Row],[Odds]])</f>
        <v>11</v>
      </c>
      <c r="G308" s="91" t="s">
        <v>3629</v>
      </c>
      <c r="H308" s="21" t="s">
        <v>262</v>
      </c>
      <c r="I308" s="45">
        <f>IF(Bets3[[#This Row],[Result]]="L",0-Bets3[[#This Row],[Risk]],IF(Bets3[[#This Row],[Result]]="Push",0,IF(Bets3[[#This Row],[Result]]="No Action",0,IF(Bets3[[#This Row],[Result]]="W",IF(Bets3[[#This Row],[Odds]]&gt;0,Bets3[[#This Row],[Odds]]/100*Bets3[[#This Row],[Risk]],(Bets3[[#This Row],[Risk]]/Bets3[[#This Row],[Odds]]*-100)),""))))</f>
        <v>14.08</v>
      </c>
      <c r="J308" s="39" t="str">
        <f>IF(ISNUMBER(SEARCH(CHAR(10),Bets3[[#This Row],[Bet]])),"P",IF(ISNUMBER(FIND("Under",Bets3[[#This Row],[Bet]])),"U",IF(ISNUMBER(SEARCH("Over",Bets3[[#This Row],[Bet]])),"O",IF(ISNUMBER(SEARCH("+",Bets3[[#This Row],[Bet]])),"D",IF(ISNUMBER(SEARCH("-",Bets3[[#This Row],[Bet]])),"F",IF(ISNUMBER(SEARCH("Moneyline",Bets3[[#This Row],[Bet]])),IF(Bets3[[#This Row],[Odds]]&lt;0,"MF","MD"),""))))))</f>
        <v>MD</v>
      </c>
      <c r="K308" s="24"/>
      <c r="N308" s="69"/>
      <c r="O308" s="27"/>
    </row>
    <row r="309" spans="1:15" x14ac:dyDescent="0.25">
      <c r="A309" s="13">
        <f t="shared" si="10"/>
        <v>30</v>
      </c>
      <c r="B309" s="17">
        <v>43677</v>
      </c>
      <c r="C309" s="17" t="s">
        <v>802</v>
      </c>
      <c r="D309" s="18" t="s">
        <v>3630</v>
      </c>
      <c r="E309" s="11" t="s">
        <v>869</v>
      </c>
      <c r="F309" s="19">
        <f>IF(Bets35[[#This Row],[Odds]]&lt;0,Bets35[[#This Row],[Odds]]/-10,1000/Bets3[[#This Row],[Odds]])</f>
        <v>11.5</v>
      </c>
      <c r="G309" s="91" t="s">
        <v>3629</v>
      </c>
      <c r="H309" s="21" t="s">
        <v>262</v>
      </c>
      <c r="I309" s="45">
        <f>IF(Bets3[[#This Row],[Result]]="L",0-Bets3[[#This Row],[Risk]],IF(Bets3[[#This Row],[Result]]="Push",0,IF(Bets3[[#This Row],[Result]]="No Action",0,IF(Bets3[[#This Row],[Result]]="W",IF(Bets3[[#This Row],[Odds]]&gt;0,Bets3[[#This Row],[Odds]]/100*Bets3[[#This Row],[Risk]],(Bets3[[#This Row],[Risk]]/Bets3[[#This Row],[Odds]]*-100)),""))))</f>
        <v>14.72</v>
      </c>
      <c r="J309" s="39" t="str">
        <f>IF(ISNUMBER(SEARCH(CHAR(10),Bets3[[#This Row],[Bet]])),"P",IF(ISNUMBER(FIND("Under",Bets3[[#This Row],[Bet]])),"U",IF(ISNUMBER(SEARCH("Over",Bets3[[#This Row],[Bet]])),"O",IF(ISNUMBER(SEARCH("+",Bets3[[#This Row],[Bet]])),"D",IF(ISNUMBER(SEARCH("-",Bets3[[#This Row],[Bet]])),"F",IF(ISNUMBER(SEARCH("Moneyline",Bets3[[#This Row],[Bet]])),IF(Bets3[[#This Row],[Odds]]&lt;0,"MF","MD"),""))))))</f>
        <v>MD</v>
      </c>
      <c r="K309" s="24"/>
      <c r="N309" s="69"/>
      <c r="O309" s="27"/>
    </row>
    <row r="310" spans="1:15" x14ac:dyDescent="0.25">
      <c r="A310" s="13">
        <f t="shared" si="10"/>
        <v>30</v>
      </c>
      <c r="B310" s="17">
        <v>43677</v>
      </c>
      <c r="C310" s="17" t="s">
        <v>802</v>
      </c>
      <c r="D310" s="18" t="s">
        <v>3606</v>
      </c>
      <c r="E310" s="11" t="s">
        <v>933</v>
      </c>
      <c r="F310" s="19">
        <f>IF(Bets35[[#This Row],[Odds]]&lt;0,Bets35[[#This Row],[Odds]]/-10,1000/Bets3[[#This Row],[Odds]])</f>
        <v>11.5</v>
      </c>
      <c r="G310" s="91">
        <v>-105</v>
      </c>
      <c r="H310" s="21" t="s">
        <v>263</v>
      </c>
      <c r="I310" s="45">
        <f>IF(Bets3[[#This Row],[Result]]="L",0-Bets3[[#This Row],[Risk]],IF(Bets3[[#This Row],[Result]]="Push",0,IF(Bets3[[#This Row],[Result]]="No Action",0,IF(Bets3[[#This Row],[Result]]="W",IF(Bets3[[#This Row],[Odds]]&gt;0,Bets3[[#This Row],[Odds]]/100*Bets3[[#This Row],[Risk]],(Bets3[[#This Row],[Risk]]/Bets3[[#This Row],[Odds]]*-100)),""))))</f>
        <v>-11.5</v>
      </c>
      <c r="J310" s="39" t="str">
        <f>IF(ISNUMBER(SEARCH(CHAR(10),Bets3[[#This Row],[Bet]])),"P",IF(ISNUMBER(FIND("Under",Bets3[[#This Row],[Bet]])),"U",IF(ISNUMBER(SEARCH("Over",Bets3[[#This Row],[Bet]])),"O",IF(ISNUMBER(SEARCH("+",Bets3[[#This Row],[Bet]])),"D",IF(ISNUMBER(SEARCH("-",Bets3[[#This Row],[Bet]])),"F",IF(ISNUMBER(SEARCH("Moneyline",Bets3[[#This Row],[Bet]])),IF(Bets3[[#This Row],[Odds]]&lt;0,"MF","MD"),""))))))</f>
        <v>U</v>
      </c>
      <c r="K310" s="24"/>
      <c r="N310" s="69"/>
      <c r="O310" s="27"/>
    </row>
    <row r="311" spans="1:15" x14ac:dyDescent="0.25">
      <c r="A311" s="13">
        <f t="shared" si="10"/>
        <v>30</v>
      </c>
      <c r="B311" s="17">
        <v>43677</v>
      </c>
      <c r="C311" s="17" t="s">
        <v>802</v>
      </c>
      <c r="D311" s="18" t="s">
        <v>3594</v>
      </c>
      <c r="E311" s="11" t="s">
        <v>1156</v>
      </c>
      <c r="F311" s="19">
        <f>IF(Bets35[[#This Row],[Odds]]&lt;0,Bets35[[#This Row],[Odds]]/-10,1000/Bets3[[#This Row],[Odds]])</f>
        <v>12</v>
      </c>
      <c r="G311" s="91">
        <v>-112</v>
      </c>
      <c r="H311" s="21" t="s">
        <v>263</v>
      </c>
      <c r="I311" s="45">
        <f>IF(Bets3[[#This Row],[Result]]="L",0-Bets3[[#This Row],[Risk]],IF(Bets3[[#This Row],[Result]]="Push",0,IF(Bets3[[#This Row],[Result]]="No Action",0,IF(Bets3[[#This Row],[Result]]="W",IF(Bets3[[#This Row],[Odds]]&gt;0,Bets3[[#This Row],[Odds]]/100*Bets3[[#This Row],[Risk]],(Bets3[[#This Row],[Risk]]/Bets3[[#This Row],[Odds]]*-100)),""))))</f>
        <v>-12</v>
      </c>
      <c r="J311" s="39" t="str">
        <f>IF(ISNUMBER(SEARCH(CHAR(10),Bets3[[#This Row],[Bet]])),"P",IF(ISNUMBER(FIND("Under",Bets3[[#This Row],[Bet]])),"U",IF(ISNUMBER(SEARCH("Over",Bets3[[#This Row],[Bet]])),"O",IF(ISNUMBER(SEARCH("+",Bets3[[#This Row],[Bet]])),"D",IF(ISNUMBER(SEARCH("-",Bets3[[#This Row],[Bet]])),"F",IF(ISNUMBER(SEARCH("Moneyline",Bets3[[#This Row],[Bet]])),IF(Bets3[[#This Row],[Odds]]&lt;0,"MF","MD"),""))))))</f>
        <v>O</v>
      </c>
      <c r="K311" s="24"/>
      <c r="N311" s="69"/>
      <c r="O311" s="27"/>
    </row>
    <row r="312" spans="1:15" x14ac:dyDescent="0.25">
      <c r="A312" s="13">
        <f t="shared" si="10"/>
        <v>30</v>
      </c>
      <c r="B312" s="17">
        <v>43677</v>
      </c>
      <c r="C312" s="17" t="s">
        <v>802</v>
      </c>
      <c r="D312" s="18" t="s">
        <v>3631</v>
      </c>
      <c r="E312" s="11" t="s">
        <v>880</v>
      </c>
      <c r="F312" s="19">
        <f>IF(Bets35[[#This Row],[Odds]]&lt;0,Bets35[[#This Row],[Odds]]/-10,1000/Bets3[[#This Row],[Odds]])</f>
        <v>-8.695652173913043</v>
      </c>
      <c r="G312" s="91">
        <v>-115</v>
      </c>
      <c r="H312" s="21" t="s">
        <v>262</v>
      </c>
      <c r="I312" s="45">
        <f>IF(Bets3[[#This Row],[Result]]="L",0-Bets3[[#This Row],[Risk]],IF(Bets3[[#This Row],[Result]]="Push",0,IF(Bets3[[#This Row],[Result]]="No Action",0,IF(Bets3[[#This Row],[Result]]="W",IF(Bets3[[#This Row],[Odds]]&gt;0,Bets3[[#This Row],[Odds]]/100*Bets3[[#This Row],[Risk]],(Bets3[[#This Row],[Risk]]/Bets3[[#This Row],[Odds]]*-100)),""))))</f>
        <v>-7.5614366729678641</v>
      </c>
      <c r="J312" s="39" t="str">
        <f>IF(ISNUMBER(SEARCH(CHAR(10),Bets3[[#This Row],[Bet]])),"P",IF(ISNUMBER(FIND("Under",Bets3[[#This Row],[Bet]])),"U",IF(ISNUMBER(SEARCH("Over",Bets3[[#This Row],[Bet]])),"O",IF(ISNUMBER(SEARCH("+",Bets3[[#This Row],[Bet]])),"D",IF(ISNUMBER(SEARCH("-",Bets3[[#This Row],[Bet]])),"F",IF(ISNUMBER(SEARCH("Moneyline",Bets3[[#This Row],[Bet]])),IF(Bets3[[#This Row],[Odds]]&lt;0,"MF","MD"),""))))))</f>
        <v>U</v>
      </c>
      <c r="K312" s="24"/>
      <c r="N312" s="69"/>
      <c r="O312" s="27"/>
    </row>
    <row r="313" spans="1:15" x14ac:dyDescent="0.25">
      <c r="A313" s="13">
        <f t="shared" si="10"/>
        <v>30</v>
      </c>
      <c r="B313" s="17">
        <v>43677</v>
      </c>
      <c r="C313" s="17" t="s">
        <v>802</v>
      </c>
      <c r="D313" s="18" t="s">
        <v>3630</v>
      </c>
      <c r="E313" s="11" t="s">
        <v>1209</v>
      </c>
      <c r="F313" s="19">
        <f>IF(Bets35[[#This Row],[Odds]]&lt;0,Bets35[[#This Row],[Odds]]/-10,1000/Bets3[[#This Row],[Odds]])</f>
        <v>-8.5470085470085468</v>
      </c>
      <c r="G313" s="91">
        <v>-117</v>
      </c>
      <c r="H313" s="21" t="s">
        <v>263</v>
      </c>
      <c r="I313" s="45">
        <f>IF(Bets3[[#This Row],[Result]]="L",0-Bets3[[#This Row],[Risk]],IF(Bets3[[#This Row],[Result]]="Push",0,IF(Bets3[[#This Row],[Result]]="No Action",0,IF(Bets3[[#This Row],[Result]]="W",IF(Bets3[[#This Row],[Odds]]&gt;0,Bets3[[#This Row],[Odds]]/100*Bets3[[#This Row],[Risk]],(Bets3[[#This Row],[Risk]]/Bets3[[#This Row],[Odds]]*-100)),""))))</f>
        <v>8.5470085470085468</v>
      </c>
      <c r="J313" s="39" t="str">
        <f>IF(ISNUMBER(SEARCH(CHAR(10),Bets3[[#This Row],[Bet]])),"P",IF(ISNUMBER(FIND("Under",Bets3[[#This Row],[Bet]])),"U",IF(ISNUMBER(SEARCH("Over",Bets3[[#This Row],[Bet]])),"O",IF(ISNUMBER(SEARCH("+",Bets3[[#This Row],[Bet]])),"D",IF(ISNUMBER(SEARCH("-",Bets3[[#This Row],[Bet]])),"F",IF(ISNUMBER(SEARCH("Moneyline",Bets3[[#This Row],[Bet]])),IF(Bets3[[#This Row],[Odds]]&lt;0,"MF","MD"),""))))))</f>
        <v>U</v>
      </c>
      <c r="K313" s="24"/>
      <c r="N313" s="69"/>
      <c r="O313" s="27"/>
    </row>
    <row r="314" spans="1:15" x14ac:dyDescent="0.25">
      <c r="A314" s="13">
        <f t="shared" si="10"/>
        <v>31</v>
      </c>
      <c r="B314" s="17">
        <v>43678</v>
      </c>
      <c r="C314" s="17" t="s">
        <v>802</v>
      </c>
      <c r="D314" s="18" t="s">
        <v>3657</v>
      </c>
      <c r="E314" s="11" t="s">
        <v>1178</v>
      </c>
      <c r="F314" s="19">
        <f>IF(Bets35[[#This Row],[Odds]]&lt;0,Bets35[[#This Row],[Odds]]/-10,1000/Bets3[[#This Row],[Odds]])</f>
        <v>-5.5555555555555554</v>
      </c>
      <c r="G314" s="91">
        <v>-180</v>
      </c>
      <c r="H314" s="21" t="s">
        <v>263</v>
      </c>
      <c r="I314" s="45">
        <f>IF(Bets3[[#This Row],[Result]]="L",0-Bets3[[#This Row],[Risk]],IF(Bets3[[#This Row],[Result]]="Push",0,IF(Bets3[[#This Row],[Result]]="No Action",0,IF(Bets3[[#This Row],[Result]]="W",IF(Bets3[[#This Row],[Odds]]&gt;0,Bets3[[#This Row],[Odds]]/100*Bets3[[#This Row],[Risk]],(Bets3[[#This Row],[Risk]]/Bets3[[#This Row],[Odds]]*-100)),""))))</f>
        <v>5.5555555555555554</v>
      </c>
      <c r="J314" s="23" t="str">
        <f>IF(ISNUMBER(SEARCH(CHAR(10),Bets3[[#This Row],[Bet]])),"P",IF(ISNUMBER(FIND("Under",Bets3[[#This Row],[Bet]])),"U",IF(ISNUMBER(SEARCH("Over",Bets3[[#This Row],[Bet]])),"O",IF(ISNUMBER(SEARCH("+",Bets3[[#This Row],[Bet]])),"D",IF(ISNUMBER(SEARCH("-",Bets3[[#This Row],[Bet]])),"F",IF(ISNUMBER(SEARCH("Moneyline",Bets3[[#This Row],[Bet]])),IF(Bets3[[#This Row],[Odds]]&lt;0,"MF","MD"),""))))))</f>
        <v>MF</v>
      </c>
      <c r="K314" s="24"/>
      <c r="N314" s="69"/>
      <c r="O314" s="27"/>
    </row>
    <row r="315" spans="1:15" x14ac:dyDescent="0.25">
      <c r="A315" s="13">
        <f t="shared" si="10"/>
        <v>31</v>
      </c>
      <c r="B315" s="17">
        <v>43678</v>
      </c>
      <c r="C315" s="17" t="s">
        <v>802</v>
      </c>
      <c r="D315" s="18" t="s">
        <v>3631</v>
      </c>
      <c r="E315" s="11" t="s">
        <v>810</v>
      </c>
      <c r="F315" s="19">
        <f>IF(Bets35[[#This Row],[Odds]]&lt;0,Bets35[[#This Row],[Odds]]/-10,1000/Bets3[[#This Row],[Odds]])</f>
        <v>7.518796992481203</v>
      </c>
      <c r="G315" s="91" t="s">
        <v>1252</v>
      </c>
      <c r="H315" s="21" t="s">
        <v>263</v>
      </c>
      <c r="I315" s="45">
        <f>IF(Bets3[[#This Row],[Result]]="L",0-Bets3[[#This Row],[Risk]],IF(Bets3[[#This Row],[Result]]="Push",0,IF(Bets3[[#This Row],[Result]]="No Action",0,IF(Bets3[[#This Row],[Result]]="W",IF(Bets3[[#This Row],[Odds]]&gt;0,Bets3[[#This Row],[Odds]]/100*Bets3[[#This Row],[Risk]],(Bets3[[#This Row],[Risk]]/Bets3[[#This Row],[Odds]]*-100)),""))))</f>
        <v>-7.518796992481203</v>
      </c>
      <c r="J315" s="39" t="str">
        <f>IF(ISNUMBER(SEARCH(CHAR(10),Bets3[[#This Row],[Bet]])),"P",IF(ISNUMBER(FIND("Under",Bets3[[#This Row],[Bet]])),"U",IF(ISNUMBER(SEARCH("Over",Bets3[[#This Row],[Bet]])),"O",IF(ISNUMBER(SEARCH("+",Bets3[[#This Row],[Bet]])),"D",IF(ISNUMBER(SEARCH("-",Bets3[[#This Row],[Bet]])),"F",IF(ISNUMBER(SEARCH("Moneyline",Bets3[[#This Row],[Bet]])),IF(Bets3[[#This Row],[Odds]]&lt;0,"MF","MD"),""))))))</f>
        <v>MD</v>
      </c>
      <c r="K315" s="24"/>
      <c r="N315" s="69"/>
      <c r="O315" s="27"/>
    </row>
    <row r="316" spans="1:15" x14ac:dyDescent="0.25">
      <c r="A316" s="13">
        <f t="shared" si="10"/>
        <v>31</v>
      </c>
      <c r="B316" s="17">
        <v>43678</v>
      </c>
      <c r="C316" s="17" t="s">
        <v>802</v>
      </c>
      <c r="D316" s="18" t="s">
        <v>3658</v>
      </c>
      <c r="E316" s="11" t="s">
        <v>3659</v>
      </c>
      <c r="F316" s="19">
        <f>IF(Bets35[[#This Row],[Odds]]&lt;0,Bets35[[#This Row],[Odds]]/-10,1000/Bets3[[#This Row],[Odds]])</f>
        <v>13.4</v>
      </c>
      <c r="G316" s="91">
        <v>-195</v>
      </c>
      <c r="H316" s="21" t="s">
        <v>262</v>
      </c>
      <c r="I316" s="45">
        <f>IF(Bets3[[#This Row],[Result]]="L",0-Bets3[[#This Row],[Risk]],IF(Bets3[[#This Row],[Result]]="Push",0,IF(Bets3[[#This Row],[Result]]="No Action",0,IF(Bets3[[#This Row],[Result]]="W",IF(Bets3[[#This Row],[Odds]]&gt;0,Bets3[[#This Row],[Odds]]/100*Bets3[[#This Row],[Risk]],(Bets3[[#This Row],[Risk]]/Bets3[[#This Row],[Odds]]*-100)),""))))</f>
        <v>6.8717948717948714</v>
      </c>
      <c r="J316" s="39" t="str">
        <f>IF(ISNUMBER(SEARCH(CHAR(10),Bets3[[#This Row],[Bet]])),"P",IF(ISNUMBER(FIND("Under",Bets3[[#This Row],[Bet]])),"U",IF(ISNUMBER(SEARCH("Over",Bets3[[#This Row],[Bet]])),"O",IF(ISNUMBER(SEARCH("+",Bets3[[#This Row],[Bet]])),"D",IF(ISNUMBER(SEARCH("-",Bets3[[#This Row],[Bet]])),"F",IF(ISNUMBER(SEARCH("Moneyline",Bets3[[#This Row],[Bet]])),IF(Bets3[[#This Row],[Odds]]&lt;0,"MF","MD"),""))))))</f>
        <v>MF</v>
      </c>
      <c r="K316" s="24"/>
      <c r="N316" s="69"/>
      <c r="O316" s="27"/>
    </row>
    <row r="317" spans="1:15" x14ac:dyDescent="0.25">
      <c r="A317" s="13">
        <f t="shared" si="10"/>
        <v>31</v>
      </c>
      <c r="B317" s="17">
        <v>43678</v>
      </c>
      <c r="C317" s="17" t="s">
        <v>802</v>
      </c>
      <c r="D317" s="18" t="s">
        <v>3660</v>
      </c>
      <c r="E317" s="11" t="s">
        <v>827</v>
      </c>
      <c r="F317" s="19">
        <f>IF(Bets35[[#This Row],[Odds]]&lt;0,Bets35[[#This Row],[Odds]]/-10,1000/Bets3[[#This Row],[Odds]])</f>
        <v>-4.4444444444444446</v>
      </c>
      <c r="G317" s="91">
        <v>-225</v>
      </c>
      <c r="H317" s="21" t="s">
        <v>262</v>
      </c>
      <c r="I317" s="45">
        <f>IF(Bets3[[#This Row],[Result]]="L",0-Bets3[[#This Row],[Risk]],IF(Bets3[[#This Row],[Result]]="Push",0,IF(Bets3[[#This Row],[Result]]="No Action",0,IF(Bets3[[#This Row],[Result]]="W",IF(Bets3[[#This Row],[Odds]]&gt;0,Bets3[[#This Row],[Odds]]/100*Bets3[[#This Row],[Risk]],(Bets3[[#This Row],[Risk]]/Bets3[[#This Row],[Odds]]*-100)),""))))</f>
        <v>-1.9753086419753085</v>
      </c>
      <c r="J317" s="39" t="str">
        <f>IF(ISNUMBER(SEARCH(CHAR(10),Bets3[[#This Row],[Bet]])),"P",IF(ISNUMBER(FIND("Under",Bets3[[#This Row],[Bet]])),"U",IF(ISNUMBER(SEARCH("Over",Bets3[[#This Row],[Bet]])),"O",IF(ISNUMBER(SEARCH("+",Bets3[[#This Row],[Bet]])),"D",IF(ISNUMBER(SEARCH("-",Bets3[[#This Row],[Bet]])),"F",IF(ISNUMBER(SEARCH("Moneyline",Bets3[[#This Row],[Bet]])),IF(Bets3[[#This Row],[Odds]]&lt;0,"MF","MD"),""))))))</f>
        <v>MF</v>
      </c>
      <c r="K317" s="24"/>
      <c r="N317" s="69"/>
      <c r="O317" s="27"/>
    </row>
    <row r="318" spans="1:15" x14ac:dyDescent="0.25">
      <c r="A318" s="13">
        <f t="shared" si="10"/>
        <v>31</v>
      </c>
      <c r="B318" s="17">
        <v>43678</v>
      </c>
      <c r="C318" s="17" t="s">
        <v>802</v>
      </c>
      <c r="D318" s="18" t="s">
        <v>3661</v>
      </c>
      <c r="E318" s="11" t="s">
        <v>879</v>
      </c>
      <c r="F318" s="19">
        <f>IF(Bets35[[#This Row],[Odds]]&lt;0,Bets35[[#This Row],[Odds]]/-10,1000/Bets3[[#This Row],[Odds]])</f>
        <v>-9.1743119266055047</v>
      </c>
      <c r="G318" s="91">
        <v>-109</v>
      </c>
      <c r="H318" s="21" t="s">
        <v>263</v>
      </c>
      <c r="I318" s="45">
        <f>IF(Bets3[[#This Row],[Result]]="L",0-Bets3[[#This Row],[Risk]],IF(Bets3[[#This Row],[Result]]="Push",0,IF(Bets3[[#This Row],[Result]]="No Action",0,IF(Bets3[[#This Row],[Result]]="W",IF(Bets3[[#This Row],[Odds]]&gt;0,Bets3[[#This Row],[Odds]]/100*Bets3[[#This Row],[Risk]],(Bets3[[#This Row],[Risk]]/Bets3[[#This Row],[Odds]]*-100)),""))))</f>
        <v>9.1743119266055047</v>
      </c>
      <c r="J318" s="39" t="str">
        <f>IF(ISNUMBER(SEARCH(CHAR(10),Bets3[[#This Row],[Bet]])),"P",IF(ISNUMBER(FIND("Under",Bets3[[#This Row],[Bet]])),"U",IF(ISNUMBER(SEARCH("Over",Bets3[[#This Row],[Bet]])),"O",IF(ISNUMBER(SEARCH("+",Bets3[[#This Row],[Bet]])),"D",IF(ISNUMBER(SEARCH("-",Bets3[[#This Row],[Bet]])),"F",IF(ISNUMBER(SEARCH("Moneyline",Bets3[[#This Row],[Bet]])),IF(Bets3[[#This Row],[Odds]]&lt;0,"MF","MD"),""))))))</f>
        <v>U</v>
      </c>
      <c r="K318" s="24"/>
      <c r="N318" s="69"/>
      <c r="O318" s="27"/>
    </row>
    <row r="319" spans="1:15" x14ac:dyDescent="0.25">
      <c r="A319" s="13">
        <f t="shared" si="10"/>
        <v>31</v>
      </c>
      <c r="B319" s="17">
        <v>43678</v>
      </c>
      <c r="C319" s="17" t="s">
        <v>802</v>
      </c>
      <c r="D319" s="18" t="s">
        <v>3607</v>
      </c>
      <c r="E319" s="11" t="s">
        <v>879</v>
      </c>
      <c r="F319" s="19">
        <f>IF(Bets35[[#This Row],[Odds]]&lt;0,Bets35[[#This Row],[Odds]]/-10,1000/Bets3[[#This Row],[Odds]])</f>
        <v>10.5</v>
      </c>
      <c r="G319" s="91">
        <v>102</v>
      </c>
      <c r="H319" s="21" t="s">
        <v>263</v>
      </c>
      <c r="I319" s="45">
        <f>IF(Bets3[[#This Row],[Result]]="L",0-Bets3[[#This Row],[Risk]],IF(Bets3[[#This Row],[Result]]="Push",0,IF(Bets3[[#This Row],[Result]]="No Action",0,IF(Bets3[[#This Row],[Result]]="W",IF(Bets3[[#This Row],[Odds]]&gt;0,Bets3[[#This Row],[Odds]]/100*Bets3[[#This Row],[Risk]],(Bets3[[#This Row],[Risk]]/Bets3[[#This Row],[Odds]]*-100)),""))))</f>
        <v>-10.5</v>
      </c>
      <c r="J319" s="39" t="str">
        <f>IF(ISNUMBER(SEARCH(CHAR(10),Bets3[[#This Row],[Bet]])),"P",IF(ISNUMBER(FIND("Under",Bets3[[#This Row],[Bet]])),"U",IF(ISNUMBER(SEARCH("Over",Bets3[[#This Row],[Bet]])),"O",IF(ISNUMBER(SEARCH("+",Bets3[[#This Row],[Bet]])),"D",IF(ISNUMBER(SEARCH("-",Bets3[[#This Row],[Bet]])),"F",IF(ISNUMBER(SEARCH("Moneyline",Bets3[[#This Row],[Bet]])),IF(Bets3[[#This Row],[Odds]]&lt;0,"MF","MD"),""))))))</f>
        <v>U</v>
      </c>
      <c r="K319" s="24"/>
      <c r="N319" s="69"/>
      <c r="O319" s="27"/>
    </row>
    <row r="320" spans="1:15" x14ac:dyDescent="0.25">
      <c r="A320" s="13">
        <f t="shared" si="10"/>
        <v>32</v>
      </c>
      <c r="B320" s="17">
        <v>43679</v>
      </c>
      <c r="C320" s="17" t="s">
        <v>802</v>
      </c>
      <c r="D320" s="18" t="s">
        <v>3684</v>
      </c>
      <c r="E320" s="11" t="s">
        <v>1166</v>
      </c>
      <c r="F320" s="19">
        <f>IF(Bets35[[#This Row],[Odds]]&lt;0,Bets35[[#This Row],[Odds]]/-10,1000/Bets3[[#This Row],[Odds]])</f>
        <v>11.2</v>
      </c>
      <c r="G320" s="91" t="s">
        <v>3685</v>
      </c>
      <c r="H320" s="21" t="s">
        <v>262</v>
      </c>
      <c r="I320" s="45">
        <f>IF(Bets3[[#This Row],[Result]]="L",0-Bets3[[#This Row],[Risk]],IF(Bets3[[#This Row],[Result]]="Push",0,IF(Bets3[[#This Row],[Result]]="No Action",0,IF(Bets3[[#This Row],[Result]]="W",IF(Bets3[[#This Row],[Odds]]&gt;0,Bets3[[#This Row],[Odds]]/100*Bets3[[#This Row],[Risk]],(Bets3[[#This Row],[Risk]]/Bets3[[#This Row],[Odds]]*-100)),""))))</f>
        <v>16.576000000000001</v>
      </c>
      <c r="J320" s="39" t="str">
        <f>IF(ISNUMBER(SEARCH(CHAR(10),Bets3[[#This Row],[Bet]])),"P",IF(ISNUMBER(FIND("Under",Bets3[[#This Row],[Bet]])),"U",IF(ISNUMBER(SEARCH("Over",Bets3[[#This Row],[Bet]])),"O",IF(ISNUMBER(SEARCH("+",Bets3[[#This Row],[Bet]])),"D",IF(ISNUMBER(SEARCH("-",Bets3[[#This Row],[Bet]])),"F",IF(ISNUMBER(SEARCH("Moneyline",Bets3[[#This Row],[Bet]])),IF(Bets3[[#This Row],[Odds]]&lt;0,"MF","MD"),""))))))</f>
        <v>MD</v>
      </c>
      <c r="K320" s="24"/>
      <c r="N320" s="69"/>
      <c r="O320" s="27"/>
    </row>
    <row r="321" spans="1:15" x14ac:dyDescent="0.25">
      <c r="A321" s="13">
        <f t="shared" si="10"/>
        <v>32</v>
      </c>
      <c r="B321" s="17">
        <v>43679</v>
      </c>
      <c r="C321" s="17" t="s">
        <v>802</v>
      </c>
      <c r="D321" s="18" t="s">
        <v>3686</v>
      </c>
      <c r="E321" s="11" t="s">
        <v>870</v>
      </c>
      <c r="F321" s="19">
        <f>IF(Bets35[[#This Row],[Odds]]&lt;0,Bets35[[#This Row],[Odds]]/-10,1000/Bets3[[#This Row],[Odds]])</f>
        <v>11.5</v>
      </c>
      <c r="G321" s="91">
        <v>-250</v>
      </c>
      <c r="H321" s="21" t="s">
        <v>262</v>
      </c>
      <c r="I321" s="45">
        <f>IF(Bets3[[#This Row],[Result]]="L",0-Bets3[[#This Row],[Risk]],IF(Bets3[[#This Row],[Result]]="Push",0,IF(Bets3[[#This Row],[Result]]="No Action",0,IF(Bets3[[#This Row],[Result]]="W",IF(Bets3[[#This Row],[Odds]]&gt;0,Bets3[[#This Row],[Odds]]/100*Bets3[[#This Row],[Risk]],(Bets3[[#This Row],[Risk]]/Bets3[[#This Row],[Odds]]*-100)),""))))</f>
        <v>4.5999999999999996</v>
      </c>
      <c r="J321" s="39" t="str">
        <f>IF(ISNUMBER(SEARCH(CHAR(10),Bets3[[#This Row],[Bet]])),"P",IF(ISNUMBER(FIND("Under",Bets3[[#This Row],[Bet]])),"U",IF(ISNUMBER(SEARCH("Over",Bets3[[#This Row],[Bet]])),"O",IF(ISNUMBER(SEARCH("+",Bets3[[#This Row],[Bet]])),"D",IF(ISNUMBER(SEARCH("-",Bets3[[#This Row],[Bet]])),"F",IF(ISNUMBER(SEARCH("Moneyline",Bets3[[#This Row],[Bet]])),IF(Bets3[[#This Row],[Odds]]&lt;0,"MF","MD"),""))))))</f>
        <v>MF</v>
      </c>
      <c r="K321" s="24"/>
      <c r="N321" s="69"/>
      <c r="O321" s="27"/>
    </row>
    <row r="322" spans="1:15" x14ac:dyDescent="0.25">
      <c r="A322" s="13">
        <f t="shared" si="10"/>
        <v>32</v>
      </c>
      <c r="B322" s="17">
        <v>43679</v>
      </c>
      <c r="C322" s="17" t="s">
        <v>802</v>
      </c>
      <c r="D322" s="18" t="s">
        <v>3687</v>
      </c>
      <c r="E322" s="11" t="s">
        <v>897</v>
      </c>
      <c r="F322" s="19">
        <f>IF(Bets35[[#This Row],[Odds]]&lt;0,Bets35[[#This Row],[Odds]]/-10,1000/Bets3[[#This Row],[Odds]])</f>
        <v>11.7</v>
      </c>
      <c r="G322" s="91">
        <v>-286</v>
      </c>
      <c r="H322" s="21" t="s">
        <v>262</v>
      </c>
      <c r="I322" s="45">
        <f>IF(Bets3[[#This Row],[Result]]="L",0-Bets3[[#This Row],[Risk]],IF(Bets3[[#This Row],[Result]]="Push",0,IF(Bets3[[#This Row],[Result]]="No Action",0,IF(Bets3[[#This Row],[Result]]="W",IF(Bets3[[#This Row],[Odds]]&gt;0,Bets3[[#This Row],[Odds]]/100*Bets3[[#This Row],[Risk]],(Bets3[[#This Row],[Risk]]/Bets3[[#This Row],[Odds]]*-100)),""))))</f>
        <v>4.0909090909090908</v>
      </c>
      <c r="J322" s="39" t="str">
        <f>IF(ISNUMBER(SEARCH(CHAR(10),Bets3[[#This Row],[Bet]])),"P",IF(ISNUMBER(FIND("Under",Bets3[[#This Row],[Bet]])),"U",IF(ISNUMBER(SEARCH("Over",Bets3[[#This Row],[Bet]])),"O",IF(ISNUMBER(SEARCH("+",Bets3[[#This Row],[Bet]])),"D",IF(ISNUMBER(SEARCH("-",Bets3[[#This Row],[Bet]])),"F",IF(ISNUMBER(SEARCH("Moneyline",Bets3[[#This Row],[Bet]])),IF(Bets3[[#This Row],[Odds]]&lt;0,"MF","MD"),""))))))</f>
        <v>MF</v>
      </c>
      <c r="K322" s="24"/>
      <c r="N322" s="69"/>
      <c r="O322" s="27"/>
    </row>
    <row r="323" spans="1:15" x14ac:dyDescent="0.25">
      <c r="A323" s="13">
        <f t="shared" si="10"/>
        <v>32</v>
      </c>
      <c r="B323" s="17">
        <v>43679</v>
      </c>
      <c r="C323" s="17" t="s">
        <v>802</v>
      </c>
      <c r="D323" s="18" t="s">
        <v>3688</v>
      </c>
      <c r="E323" s="11" t="s">
        <v>1178</v>
      </c>
      <c r="F323" s="19">
        <f>IF(Bets35[[#This Row],[Odds]]&lt;0,Bets35[[#This Row],[Odds]]/-10,1000/Bets3[[#This Row],[Odds]])</f>
        <v>18</v>
      </c>
      <c r="G323" s="91">
        <v>-235</v>
      </c>
      <c r="H323" s="21" t="s">
        <v>262</v>
      </c>
      <c r="I323" s="45">
        <f>IF(Bets3[[#This Row],[Result]]="L",0-Bets3[[#This Row],[Risk]],IF(Bets3[[#This Row],[Result]]="Push",0,IF(Bets3[[#This Row],[Result]]="No Action",0,IF(Bets3[[#This Row],[Result]]="W",IF(Bets3[[#This Row],[Odds]]&gt;0,Bets3[[#This Row],[Odds]]/100*Bets3[[#This Row],[Risk]],(Bets3[[#This Row],[Risk]]/Bets3[[#This Row],[Odds]]*-100)),""))))</f>
        <v>7.6595744680851059</v>
      </c>
      <c r="J323" s="39" t="str">
        <f>IF(ISNUMBER(SEARCH(CHAR(10),Bets3[[#This Row],[Bet]])),"P",IF(ISNUMBER(FIND("Under",Bets3[[#This Row],[Bet]])),"U",IF(ISNUMBER(SEARCH("Over",Bets3[[#This Row],[Bet]])),"O",IF(ISNUMBER(SEARCH("+",Bets3[[#This Row],[Bet]])),"D",IF(ISNUMBER(SEARCH("-",Bets3[[#This Row],[Bet]])),"F",IF(ISNUMBER(SEARCH("Moneyline",Bets3[[#This Row],[Bet]])),IF(Bets3[[#This Row],[Odds]]&lt;0,"MF","MD"),""))))))</f>
        <v>MF</v>
      </c>
      <c r="K323" s="24"/>
      <c r="N323" s="69"/>
      <c r="O323" s="27"/>
    </row>
    <row r="324" spans="1:15" x14ac:dyDescent="0.25">
      <c r="A324" s="13">
        <f t="shared" ref="A324:A387" si="11">IF(B324=B323,A323,A323+1)</f>
        <v>32</v>
      </c>
      <c r="B324" s="17">
        <v>43679</v>
      </c>
      <c r="C324" s="17" t="s">
        <v>802</v>
      </c>
      <c r="D324" s="18" t="s">
        <v>1363</v>
      </c>
      <c r="E324" s="11" t="s">
        <v>3595</v>
      </c>
      <c r="F324" s="19">
        <f>IF(Bets35[[#This Row],[Odds]]&lt;0,Bets35[[#This Row],[Odds]]/-10,1000/Bets3[[#This Row],[Odds]])</f>
        <v>-9.433962264150944</v>
      </c>
      <c r="G324" s="91">
        <v>-106</v>
      </c>
      <c r="H324" s="21" t="s">
        <v>263</v>
      </c>
      <c r="I324" s="45">
        <f>IF(Bets3[[#This Row],[Result]]="L",0-Bets3[[#This Row],[Risk]],IF(Bets3[[#This Row],[Result]]="Push",0,IF(Bets3[[#This Row],[Result]]="No Action",0,IF(Bets3[[#This Row],[Result]]="W",IF(Bets3[[#This Row],[Odds]]&gt;0,Bets3[[#This Row],[Odds]]/100*Bets3[[#This Row],[Risk]],(Bets3[[#This Row],[Risk]]/Bets3[[#This Row],[Odds]]*-100)),""))))</f>
        <v>9.433962264150944</v>
      </c>
      <c r="J324" s="39" t="str">
        <f>IF(ISNUMBER(SEARCH(CHAR(10),Bets3[[#This Row],[Bet]])),"P",IF(ISNUMBER(FIND("Under",Bets3[[#This Row],[Bet]])),"U",IF(ISNUMBER(SEARCH("Over",Bets3[[#This Row],[Bet]])),"O",IF(ISNUMBER(SEARCH("+",Bets3[[#This Row],[Bet]])),"D",IF(ISNUMBER(SEARCH("-",Bets3[[#This Row],[Bet]])),"F",IF(ISNUMBER(SEARCH("Moneyline",Bets3[[#This Row],[Bet]])),IF(Bets3[[#This Row],[Odds]]&lt;0,"MF","MD"),""))))))</f>
        <v>O</v>
      </c>
      <c r="K324" s="24"/>
      <c r="N324" s="69"/>
      <c r="O324" s="27"/>
    </row>
    <row r="325" spans="1:15" x14ac:dyDescent="0.25">
      <c r="A325" s="13">
        <f t="shared" si="11"/>
        <v>32</v>
      </c>
      <c r="B325" s="17">
        <v>43679</v>
      </c>
      <c r="C325" s="17" t="s">
        <v>802</v>
      </c>
      <c r="D325" s="18" t="s">
        <v>3686</v>
      </c>
      <c r="E325" s="11" t="s">
        <v>1209</v>
      </c>
      <c r="F325" s="19">
        <f>IF(Bets35[[#This Row],[Odds]]&lt;0,Bets35[[#This Row],[Odds]]/-10,1000/Bets3[[#This Row],[Odds]])</f>
        <v>19.5</v>
      </c>
      <c r="G325" s="91">
        <v>-106</v>
      </c>
      <c r="H325" s="21" t="s">
        <v>262</v>
      </c>
      <c r="I325" s="45">
        <f>IF(Bets3[[#This Row],[Result]]="L",0-Bets3[[#This Row],[Risk]],IF(Bets3[[#This Row],[Result]]="Push",0,IF(Bets3[[#This Row],[Result]]="No Action",0,IF(Bets3[[#This Row],[Result]]="W",IF(Bets3[[#This Row],[Odds]]&gt;0,Bets3[[#This Row],[Odds]]/100*Bets3[[#This Row],[Risk]],(Bets3[[#This Row],[Risk]]/Bets3[[#This Row],[Odds]]*-100)),""))))</f>
        <v>18.39622641509434</v>
      </c>
      <c r="J325" s="39" t="str">
        <f>IF(ISNUMBER(SEARCH(CHAR(10),Bets3[[#This Row],[Bet]])),"P",IF(ISNUMBER(FIND("Under",Bets3[[#This Row],[Bet]])),"U",IF(ISNUMBER(SEARCH("Over",Bets3[[#This Row],[Bet]])),"O",IF(ISNUMBER(SEARCH("+",Bets3[[#This Row],[Bet]])),"D",IF(ISNUMBER(SEARCH("-",Bets3[[#This Row],[Bet]])),"F",IF(ISNUMBER(SEARCH("Moneyline",Bets3[[#This Row],[Bet]])),IF(Bets3[[#This Row],[Odds]]&lt;0,"MF","MD"),""))))))</f>
        <v>U</v>
      </c>
      <c r="K325" s="24"/>
      <c r="N325" s="69"/>
      <c r="O325" s="27"/>
    </row>
    <row r="326" spans="1:15" x14ac:dyDescent="0.25">
      <c r="A326" s="13">
        <f t="shared" si="11"/>
        <v>33</v>
      </c>
      <c r="B326" s="17">
        <v>43680</v>
      </c>
      <c r="C326" s="17" t="s">
        <v>802</v>
      </c>
      <c r="D326" s="18" t="s">
        <v>3706</v>
      </c>
      <c r="E326" s="11" t="s">
        <v>822</v>
      </c>
      <c r="F326" s="19">
        <f>IF(Bets35[[#This Row],[Odds]]&lt;0,Bets35[[#This Row],[Odds]]/-10,1000/Bets3[[#This Row],[Odds]])</f>
        <v>22.5</v>
      </c>
      <c r="G326" s="91">
        <v>-265</v>
      </c>
      <c r="H326" s="21" t="s">
        <v>262</v>
      </c>
      <c r="I326" s="45">
        <f>IF(Bets3[[#This Row],[Result]]="L",0-Bets3[[#This Row],[Risk]],IF(Bets3[[#This Row],[Result]]="Push",0,IF(Bets3[[#This Row],[Result]]="No Action",0,IF(Bets3[[#This Row],[Result]]="W",IF(Bets3[[#This Row],[Odds]]&gt;0,Bets3[[#This Row],[Odds]]/100*Bets3[[#This Row],[Risk]],(Bets3[[#This Row],[Risk]]/Bets3[[#This Row],[Odds]]*-100)),""))))</f>
        <v>8.4905660377358494</v>
      </c>
      <c r="J326" s="39" t="str">
        <f>IF(ISNUMBER(SEARCH(CHAR(10),Bets3[[#This Row],[Bet]])),"P",IF(ISNUMBER(FIND("Under",Bets3[[#This Row],[Bet]])),"U",IF(ISNUMBER(SEARCH("Over",Bets3[[#This Row],[Bet]])),"O",IF(ISNUMBER(SEARCH("+",Bets3[[#This Row],[Bet]])),"D",IF(ISNUMBER(SEARCH("-",Bets3[[#This Row],[Bet]])),"F",IF(ISNUMBER(SEARCH("Moneyline",Bets3[[#This Row],[Bet]])),IF(Bets3[[#This Row],[Odds]]&lt;0,"MF","MD"),""))))))</f>
        <v>MF</v>
      </c>
      <c r="K326" s="24"/>
      <c r="N326" s="69"/>
      <c r="O326" s="27"/>
    </row>
    <row r="327" spans="1:15" x14ac:dyDescent="0.25">
      <c r="A327" s="13">
        <f t="shared" si="11"/>
        <v>33</v>
      </c>
      <c r="B327" s="17">
        <v>43680</v>
      </c>
      <c r="C327" s="17" t="s">
        <v>802</v>
      </c>
      <c r="D327" s="18" t="s">
        <v>3688</v>
      </c>
      <c r="E327" s="11" t="s">
        <v>1178</v>
      </c>
      <c r="F327" s="19">
        <f>IF(Bets35[[#This Row],[Odds]]&lt;0,Bets35[[#This Row],[Odds]]/-10,1000/Bets3[[#This Row],[Odds]])</f>
        <v>10.9</v>
      </c>
      <c r="G327" s="91">
        <v>-225</v>
      </c>
      <c r="H327" s="21" t="s">
        <v>262</v>
      </c>
      <c r="I327" s="45">
        <f>IF(Bets3[[#This Row],[Result]]="L",0-Bets3[[#This Row],[Risk]],IF(Bets3[[#This Row],[Result]]="Push",0,IF(Bets3[[#This Row],[Result]]="No Action",0,IF(Bets3[[#This Row],[Result]]="W",IF(Bets3[[#This Row],[Odds]]&gt;0,Bets3[[#This Row],[Odds]]/100*Bets3[[#This Row],[Risk]],(Bets3[[#This Row],[Risk]]/Bets3[[#This Row],[Odds]]*-100)),""))))</f>
        <v>4.8444444444444441</v>
      </c>
      <c r="J327" s="39" t="str">
        <f>IF(ISNUMBER(SEARCH(CHAR(10),Bets3[[#This Row],[Bet]])),"P",IF(ISNUMBER(FIND("Under",Bets3[[#This Row],[Bet]])),"U",IF(ISNUMBER(SEARCH("Over",Bets3[[#This Row],[Bet]])),"O",IF(ISNUMBER(SEARCH("+",Bets3[[#This Row],[Bet]])),"D",IF(ISNUMBER(SEARCH("-",Bets3[[#This Row],[Bet]])),"F",IF(ISNUMBER(SEARCH("Moneyline",Bets3[[#This Row],[Bet]])),IF(Bets3[[#This Row],[Odds]]&lt;0,"MF","MD"),""))))))</f>
        <v>MF</v>
      </c>
      <c r="K327" s="24"/>
      <c r="N327" s="69"/>
      <c r="O327" s="27"/>
    </row>
    <row r="328" spans="1:15" x14ac:dyDescent="0.25">
      <c r="A328" s="13">
        <f t="shared" si="11"/>
        <v>33</v>
      </c>
      <c r="B328" s="17">
        <v>43680</v>
      </c>
      <c r="C328" s="17" t="s">
        <v>802</v>
      </c>
      <c r="D328" s="18" t="s">
        <v>3686</v>
      </c>
      <c r="E328" s="11" t="s">
        <v>870</v>
      </c>
      <c r="F328" s="19">
        <f>IF(Bets35[[#This Row],[Odds]]&lt;0,Bets35[[#This Row],[Odds]]/-10,1000/Bets3[[#This Row],[Odds]])</f>
        <v>-9.3457943925233646</v>
      </c>
      <c r="G328" s="91">
        <v>-107</v>
      </c>
      <c r="H328" s="21" t="s">
        <v>262</v>
      </c>
      <c r="I328" s="45">
        <f>IF(Bets3[[#This Row],[Result]]="L",0-Bets3[[#This Row],[Risk]],IF(Bets3[[#This Row],[Result]]="Push",0,IF(Bets3[[#This Row],[Result]]="No Action",0,IF(Bets3[[#This Row],[Result]]="W",IF(Bets3[[#This Row],[Odds]]&gt;0,Bets3[[#This Row],[Odds]]/100*Bets3[[#This Row],[Risk]],(Bets3[[#This Row],[Risk]]/Bets3[[#This Row],[Odds]]*-100)),""))))</f>
        <v>-8.7343872827321167</v>
      </c>
      <c r="J328" s="39" t="str">
        <f>IF(ISNUMBER(SEARCH(CHAR(10),Bets3[[#This Row],[Bet]])),"P",IF(ISNUMBER(FIND("Under",Bets3[[#This Row],[Bet]])),"U",IF(ISNUMBER(SEARCH("Over",Bets3[[#This Row],[Bet]])),"O",IF(ISNUMBER(SEARCH("+",Bets3[[#This Row],[Bet]])),"D",IF(ISNUMBER(SEARCH("-",Bets3[[#This Row],[Bet]])),"F",IF(ISNUMBER(SEARCH("Moneyline",Bets3[[#This Row],[Bet]])),IF(Bets3[[#This Row],[Odds]]&lt;0,"MF","MD"),""))))))</f>
        <v>MF</v>
      </c>
      <c r="K328" s="24"/>
      <c r="N328" s="69"/>
      <c r="O328" s="27"/>
    </row>
    <row r="329" spans="1:15" x14ac:dyDescent="0.25">
      <c r="A329" s="13">
        <f t="shared" si="11"/>
        <v>33</v>
      </c>
      <c r="B329" s="17">
        <v>43680</v>
      </c>
      <c r="C329" s="17" t="s">
        <v>802</v>
      </c>
      <c r="D329" s="18" t="s">
        <v>3686</v>
      </c>
      <c r="E329" s="11" t="s">
        <v>880</v>
      </c>
      <c r="F329" s="19">
        <f>IF(Bets35[[#This Row],[Odds]]&lt;0,Bets35[[#This Row],[Odds]]/-10,1000/Bets3[[#This Row],[Odds]])</f>
        <v>-9.0909090909090917</v>
      </c>
      <c r="G329" s="91">
        <v>-110</v>
      </c>
      <c r="H329" s="37" t="s">
        <v>262</v>
      </c>
      <c r="I329" s="45">
        <f>IF(Bets3[[#This Row],[Result]]="L",0-Bets3[[#This Row],[Risk]],IF(Bets3[[#This Row],[Result]]="Push",0,IF(Bets3[[#This Row],[Result]]="No Action",0,IF(Bets3[[#This Row],[Result]]="W",IF(Bets3[[#This Row],[Odds]]&gt;0,Bets3[[#This Row],[Odds]]/100*Bets3[[#This Row],[Risk]],(Bets3[[#This Row],[Risk]]/Bets3[[#This Row],[Odds]]*-100)),""))))</f>
        <v>-8.2644628099173563</v>
      </c>
      <c r="J329" s="39" t="str">
        <f>IF(ISNUMBER(SEARCH(CHAR(10),Bets3[[#This Row],[Bet]])),"P",IF(ISNUMBER(FIND("Under",Bets3[[#This Row],[Bet]])),"U",IF(ISNUMBER(SEARCH("Over",Bets3[[#This Row],[Bet]])),"O",IF(ISNUMBER(SEARCH("+",Bets3[[#This Row],[Bet]])),"D",IF(ISNUMBER(SEARCH("-",Bets3[[#This Row],[Bet]])),"F",IF(ISNUMBER(SEARCH("Moneyline",Bets3[[#This Row],[Bet]])),IF(Bets3[[#This Row],[Odds]]&lt;0,"MF","MD"),""))))))</f>
        <v>U</v>
      </c>
      <c r="K329" s="24"/>
      <c r="N329" s="69"/>
      <c r="O329" s="27"/>
    </row>
    <row r="330" spans="1:15" x14ac:dyDescent="0.25">
      <c r="A330" s="13">
        <f t="shared" si="11"/>
        <v>33</v>
      </c>
      <c r="B330" s="17">
        <v>43680</v>
      </c>
      <c r="C330" s="17" t="s">
        <v>802</v>
      </c>
      <c r="D330" s="18" t="s">
        <v>3707</v>
      </c>
      <c r="E330" s="11" t="s">
        <v>905</v>
      </c>
      <c r="F330" s="19">
        <f>IF(Bets35[[#This Row],[Odds]]&lt;0,Bets35[[#This Row],[Odds]]/-10,1000/Bets3[[#This Row],[Odds]])</f>
        <v>25</v>
      </c>
      <c r="G330" s="91">
        <v>-118</v>
      </c>
      <c r="H330" s="37" t="s">
        <v>262</v>
      </c>
      <c r="I330" s="45">
        <f>IF(Bets3[[#This Row],[Result]]="L",0-Bets3[[#This Row],[Risk]],IF(Bets3[[#This Row],[Result]]="Push",0,IF(Bets3[[#This Row],[Result]]="No Action",0,IF(Bets3[[#This Row],[Result]]="W",IF(Bets3[[#This Row],[Odds]]&gt;0,Bets3[[#This Row],[Odds]]/100*Bets3[[#This Row],[Risk]],(Bets3[[#This Row],[Risk]]/Bets3[[#This Row],[Odds]]*-100)),""))))</f>
        <v>21.1864406779661</v>
      </c>
      <c r="J330" s="39" t="str">
        <f>IF(ISNUMBER(SEARCH(CHAR(10),Bets3[[#This Row],[Bet]])),"P",IF(ISNUMBER(FIND("Under",Bets3[[#This Row],[Bet]])),"U",IF(ISNUMBER(SEARCH("Over",Bets3[[#This Row],[Bet]])),"O",IF(ISNUMBER(SEARCH("+",Bets3[[#This Row],[Bet]])),"D",IF(ISNUMBER(SEARCH("-",Bets3[[#This Row],[Bet]])),"F",IF(ISNUMBER(SEARCH("Moneyline",Bets3[[#This Row],[Bet]])),IF(Bets3[[#This Row],[Odds]]&lt;0,"MF","MD"),""))))))</f>
        <v>O</v>
      </c>
      <c r="K330" s="24"/>
      <c r="N330" s="69"/>
      <c r="O330" s="27"/>
    </row>
    <row r="331" spans="1:15" x14ac:dyDescent="0.25">
      <c r="A331" s="13">
        <f t="shared" si="11"/>
        <v>33</v>
      </c>
      <c r="B331" s="17">
        <v>43680</v>
      </c>
      <c r="C331" s="17" t="s">
        <v>802</v>
      </c>
      <c r="D331" s="18" t="s">
        <v>3708</v>
      </c>
      <c r="E331" s="11" t="s">
        <v>3659</v>
      </c>
      <c r="F331" s="19">
        <f>IF(Bets35[[#This Row],[Odds]]&lt;0,Bets35[[#This Row],[Odds]]/-10,1000/Bets3[[#This Row],[Odds]])</f>
        <v>28.6</v>
      </c>
      <c r="G331" s="91">
        <v>-137</v>
      </c>
      <c r="H331" s="37" t="s">
        <v>262</v>
      </c>
      <c r="I331" s="45">
        <f>IF(Bets3[[#This Row],[Result]]="L",0-Bets3[[#This Row],[Risk]],IF(Bets3[[#This Row],[Result]]="Push",0,IF(Bets3[[#This Row],[Result]]="No Action",0,IF(Bets3[[#This Row],[Result]]="W",IF(Bets3[[#This Row],[Odds]]&gt;0,Bets3[[#This Row],[Odds]]/100*Bets3[[#This Row],[Risk]],(Bets3[[#This Row],[Risk]]/Bets3[[#This Row],[Odds]]*-100)),""))))</f>
        <v>20.875912408759127</v>
      </c>
      <c r="J331" s="39" t="str">
        <f>IF(ISNUMBER(SEARCH(CHAR(10),Bets3[[#This Row],[Bet]])),"P",IF(ISNUMBER(FIND("Under",Bets3[[#This Row],[Bet]])),"U",IF(ISNUMBER(SEARCH("Over",Bets3[[#This Row],[Bet]])),"O",IF(ISNUMBER(SEARCH("+",Bets3[[#This Row],[Bet]])),"D",IF(ISNUMBER(SEARCH("-",Bets3[[#This Row],[Bet]])),"F",IF(ISNUMBER(SEARCH("Moneyline",Bets3[[#This Row],[Bet]])),IF(Bets3[[#This Row],[Odds]]&lt;0,"MF","MD"),""))))))</f>
        <v>MF</v>
      </c>
      <c r="K331" s="24"/>
      <c r="N331" s="69"/>
      <c r="O331" s="27"/>
    </row>
    <row r="332" spans="1:15" x14ac:dyDescent="0.25">
      <c r="A332" s="13">
        <f t="shared" si="11"/>
        <v>34</v>
      </c>
      <c r="B332" s="17">
        <v>43681</v>
      </c>
      <c r="C332" s="17" t="s">
        <v>802</v>
      </c>
      <c r="D332" s="18" t="s">
        <v>3686</v>
      </c>
      <c r="E332" s="11" t="s">
        <v>870</v>
      </c>
      <c r="F332" s="19">
        <f>IF(Bets35[[#This Row],[Odds]]&lt;0,Bets35[[#This Row],[Odds]]/-10,1000/Bets3[[#This Row],[Odds]])</f>
        <v>23.5</v>
      </c>
      <c r="G332" s="91">
        <v>-200</v>
      </c>
      <c r="H332" s="37" t="s">
        <v>262</v>
      </c>
      <c r="I332" s="45">
        <f>IF(Bets3[[#This Row],[Result]]="L",0-Bets3[[#This Row],[Risk]],IF(Bets3[[#This Row],[Result]]="Push",0,IF(Bets3[[#This Row],[Result]]="No Action",0,IF(Bets3[[#This Row],[Result]]="W",IF(Bets3[[#This Row],[Odds]]&gt;0,Bets3[[#This Row],[Odds]]/100*Bets3[[#This Row],[Risk]],(Bets3[[#This Row],[Risk]]/Bets3[[#This Row],[Odds]]*-100)),""))))</f>
        <v>11.75</v>
      </c>
      <c r="J332" s="39" t="str">
        <f>IF(ISNUMBER(SEARCH(CHAR(10),Bets3[[#This Row],[Bet]])),"P",IF(ISNUMBER(FIND("Under",Bets3[[#This Row],[Bet]])),"U",IF(ISNUMBER(SEARCH("Over",Bets3[[#This Row],[Bet]])),"O",IF(ISNUMBER(SEARCH("+",Bets3[[#This Row],[Bet]])),"D",IF(ISNUMBER(SEARCH("-",Bets3[[#This Row],[Bet]])),"F",IF(ISNUMBER(SEARCH("Moneyline",Bets3[[#This Row],[Bet]])),IF(Bets3[[#This Row],[Odds]]&lt;0,"MF","MD"),""))))))</f>
        <v>MF</v>
      </c>
      <c r="K332" s="24"/>
      <c r="N332" s="69"/>
      <c r="O332" s="27"/>
    </row>
    <row r="333" spans="1:15" x14ac:dyDescent="0.25">
      <c r="A333" s="13">
        <f t="shared" si="11"/>
        <v>34</v>
      </c>
      <c r="B333" s="17">
        <v>43681</v>
      </c>
      <c r="C333" s="17" t="s">
        <v>802</v>
      </c>
      <c r="D333" s="18" t="s">
        <v>3707</v>
      </c>
      <c r="E333" s="11" t="s">
        <v>834</v>
      </c>
      <c r="F333" s="19">
        <f>IF(Bets35[[#This Row],[Odds]]&lt;0,Bets35[[#This Row],[Odds]]/-10,1000/Bets3[[#This Row],[Odds]])</f>
        <v>10.6</v>
      </c>
      <c r="G333" s="91">
        <v>-136</v>
      </c>
      <c r="H333" s="37" t="s">
        <v>262</v>
      </c>
      <c r="I333" s="45">
        <f>IF(Bets3[[#This Row],[Result]]="L",0-Bets3[[#This Row],[Risk]],IF(Bets3[[#This Row],[Result]]="Push",0,IF(Bets3[[#This Row],[Result]]="No Action",0,IF(Bets3[[#This Row],[Result]]="W",IF(Bets3[[#This Row],[Odds]]&gt;0,Bets3[[#This Row],[Odds]]/100*Bets3[[#This Row],[Risk]],(Bets3[[#This Row],[Risk]]/Bets3[[#This Row],[Odds]]*-100)),""))))</f>
        <v>7.7941176470588234</v>
      </c>
      <c r="J333" s="39" t="str">
        <f>IF(ISNUMBER(SEARCH(CHAR(10),Bets3[[#This Row],[Bet]])),"P",IF(ISNUMBER(FIND("Under",Bets3[[#This Row],[Bet]])),"U",IF(ISNUMBER(SEARCH("Over",Bets3[[#This Row],[Bet]])),"O",IF(ISNUMBER(SEARCH("+",Bets3[[#This Row],[Bet]])),"D",IF(ISNUMBER(SEARCH("-",Bets3[[#This Row],[Bet]])),"F",IF(ISNUMBER(SEARCH("Moneyline",Bets3[[#This Row],[Bet]])),IF(Bets3[[#This Row],[Odds]]&lt;0,"MF","MD"),""))))))</f>
        <v>MF</v>
      </c>
      <c r="K333" s="24"/>
      <c r="N333" s="69"/>
      <c r="O333" s="27"/>
    </row>
    <row r="334" spans="1:15" x14ac:dyDescent="0.25">
      <c r="A334" s="13">
        <f t="shared" si="11"/>
        <v>34</v>
      </c>
      <c r="B334" s="17">
        <v>43681</v>
      </c>
      <c r="C334" s="17" t="s">
        <v>802</v>
      </c>
      <c r="D334" s="18" t="s">
        <v>3728</v>
      </c>
      <c r="E334" s="11" t="s">
        <v>1180</v>
      </c>
      <c r="F334" s="19">
        <f>IF(Bets35[[#This Row],[Odds]]&lt;0,Bets35[[#This Row],[Odds]]/-10,1000/Bets3[[#This Row],[Odds]])</f>
        <v>10.6</v>
      </c>
      <c r="G334" s="91" t="s">
        <v>934</v>
      </c>
      <c r="H334" s="37" t="s">
        <v>262</v>
      </c>
      <c r="I334" s="45">
        <f>IF(Bets3[[#This Row],[Result]]="L",0-Bets3[[#This Row],[Risk]],IF(Bets3[[#This Row],[Result]]="Push",0,IF(Bets3[[#This Row],[Result]]="No Action",0,IF(Bets3[[#This Row],[Result]]="W",IF(Bets3[[#This Row],[Odds]]&gt;0,Bets3[[#This Row],[Odds]]/100*Bets3[[#This Row],[Risk]],(Bets3[[#This Row],[Risk]]/Bets3[[#This Row],[Odds]]*-100)),""))))</f>
        <v>14.839999999999998</v>
      </c>
      <c r="J334" s="39" t="str">
        <f>IF(ISNUMBER(SEARCH(CHAR(10),Bets3[[#This Row],[Bet]])),"P",IF(ISNUMBER(FIND("Under",Bets3[[#This Row],[Bet]])),"U",IF(ISNUMBER(SEARCH("Over",Bets3[[#This Row],[Bet]])),"O",IF(ISNUMBER(SEARCH("+",Bets3[[#This Row],[Bet]])),"D",IF(ISNUMBER(SEARCH("-",Bets3[[#This Row],[Bet]])),"F",IF(ISNUMBER(SEARCH("Moneyline",Bets3[[#This Row],[Bet]])),IF(Bets3[[#This Row],[Odds]]&lt;0,"MF","MD"),""))))))</f>
        <v>MD</v>
      </c>
      <c r="K334" s="24"/>
      <c r="N334" s="69"/>
      <c r="O334" s="27"/>
    </row>
    <row r="335" spans="1:15" x14ac:dyDescent="0.25">
      <c r="A335" s="13">
        <f t="shared" si="11"/>
        <v>34</v>
      </c>
      <c r="B335" s="17">
        <v>43681</v>
      </c>
      <c r="C335" s="17" t="s">
        <v>802</v>
      </c>
      <c r="D335" s="18" t="s">
        <v>3686</v>
      </c>
      <c r="E335" s="11" t="s">
        <v>1158</v>
      </c>
      <c r="F335" s="19">
        <f>IF(Bets35[[#This Row],[Odds]]&lt;0,Bets35[[#This Row],[Odds]]/-10,1000/Bets3[[#This Row],[Odds]])</f>
        <v>26.5</v>
      </c>
      <c r="G335" s="91">
        <v>-117</v>
      </c>
      <c r="H335" s="37" t="s">
        <v>263</v>
      </c>
      <c r="I335" s="45">
        <f>IF(Bets3[[#This Row],[Result]]="L",0-Bets3[[#This Row],[Risk]],IF(Bets3[[#This Row],[Result]]="Push",0,IF(Bets3[[#This Row],[Result]]="No Action",0,IF(Bets3[[#This Row],[Result]]="W",IF(Bets3[[#This Row],[Odds]]&gt;0,Bets3[[#This Row],[Odds]]/100*Bets3[[#This Row],[Risk]],(Bets3[[#This Row],[Risk]]/Bets3[[#This Row],[Odds]]*-100)),""))))</f>
        <v>-26.5</v>
      </c>
      <c r="J335" s="39" t="str">
        <f>IF(ISNUMBER(SEARCH(CHAR(10),Bets3[[#This Row],[Bet]])),"P",IF(ISNUMBER(FIND("Under",Bets3[[#This Row],[Bet]])),"U",IF(ISNUMBER(SEARCH("Over",Bets3[[#This Row],[Bet]])),"O",IF(ISNUMBER(SEARCH("+",Bets3[[#This Row],[Bet]])),"D",IF(ISNUMBER(SEARCH("-",Bets3[[#This Row],[Bet]])),"F",IF(ISNUMBER(SEARCH("Moneyline",Bets3[[#This Row],[Bet]])),IF(Bets3[[#This Row],[Odds]]&lt;0,"MF","MD"),""))))))</f>
        <v>U</v>
      </c>
      <c r="K335" s="24"/>
      <c r="N335" s="69"/>
      <c r="O335" s="27"/>
    </row>
    <row r="336" spans="1:15" x14ac:dyDescent="0.25">
      <c r="A336" s="13">
        <f t="shared" si="11"/>
        <v>34</v>
      </c>
      <c r="B336" s="17">
        <v>43681</v>
      </c>
      <c r="C336" s="17" t="s">
        <v>802</v>
      </c>
      <c r="D336" s="18" t="s">
        <v>1186</v>
      </c>
      <c r="E336" s="11" t="s">
        <v>3729</v>
      </c>
      <c r="F336" s="19">
        <f>IF(Bets35[[#This Row],[Odds]]&lt;0,Bets35[[#This Row],[Odds]]/-10,1000/Bets3[[#This Row],[Odds]])</f>
        <v>22.5</v>
      </c>
      <c r="G336" s="91">
        <v>-114</v>
      </c>
      <c r="H336" s="37" t="s">
        <v>262</v>
      </c>
      <c r="I336" s="45">
        <f>IF(Bets3[[#This Row],[Result]]="L",0-Bets3[[#This Row],[Risk]],IF(Bets3[[#This Row],[Result]]="Push",0,IF(Bets3[[#This Row],[Result]]="No Action",0,IF(Bets3[[#This Row],[Result]]="W",IF(Bets3[[#This Row],[Odds]]&gt;0,Bets3[[#This Row],[Odds]]/100*Bets3[[#This Row],[Risk]],(Bets3[[#This Row],[Risk]]/Bets3[[#This Row],[Odds]]*-100)),""))))</f>
        <v>19.736842105263158</v>
      </c>
      <c r="J336" s="39" t="str">
        <f>IF(ISNUMBER(SEARCH(CHAR(10),Bets3[[#This Row],[Bet]])),"P",IF(ISNUMBER(FIND("Under",Bets3[[#This Row],[Bet]])),"U",IF(ISNUMBER(SEARCH("Over",Bets3[[#This Row],[Bet]])),"O",IF(ISNUMBER(SEARCH("+",Bets3[[#This Row],[Bet]])),"D",IF(ISNUMBER(SEARCH("-",Bets3[[#This Row],[Bet]])),"F",IF(ISNUMBER(SEARCH("Moneyline",Bets3[[#This Row],[Bet]])),IF(Bets3[[#This Row],[Odds]]&lt;0,"MF","MD"),""))))))</f>
        <v>U</v>
      </c>
      <c r="K336" s="24"/>
      <c r="N336" s="69"/>
      <c r="O336" s="27"/>
    </row>
    <row r="337" spans="1:15" x14ac:dyDescent="0.25">
      <c r="A337" s="13">
        <f t="shared" si="11"/>
        <v>35</v>
      </c>
      <c r="B337" s="17">
        <v>43682</v>
      </c>
      <c r="C337" s="17" t="s">
        <v>802</v>
      </c>
      <c r="D337" s="18" t="s">
        <v>3753</v>
      </c>
      <c r="E337" s="11" t="s">
        <v>3659</v>
      </c>
      <c r="F337" s="19">
        <f>IF(Bets35[[#This Row],[Odds]]&lt;0,Bets35[[#This Row],[Odds]]/-10,1000/Bets3[[#This Row],[Odds]])</f>
        <v>10.7</v>
      </c>
      <c r="G337" s="91">
        <v>-305</v>
      </c>
      <c r="H337" s="37"/>
      <c r="I337" s="45" t="str">
        <f>IF(Bets3[[#This Row],[Result]]="L",0-Bets3[[#This Row],[Risk]],IF(Bets3[[#This Row],[Result]]="Push",0,IF(Bets3[[#This Row],[Result]]="No Action",0,IF(Bets3[[#This Row],[Result]]="W",IF(Bets3[[#This Row],[Odds]]&gt;0,Bets3[[#This Row],[Odds]]/100*Bets3[[#This Row],[Risk]],(Bets3[[#This Row],[Risk]]/Bets3[[#This Row],[Odds]]*-100)),""))))</f>
        <v/>
      </c>
      <c r="J337" s="39" t="str">
        <f>IF(ISNUMBER(SEARCH(CHAR(10),Bets3[[#This Row],[Bet]])),"P",IF(ISNUMBER(FIND("Under",Bets3[[#This Row],[Bet]])),"U",IF(ISNUMBER(SEARCH("Over",Bets3[[#This Row],[Bet]])),"O",IF(ISNUMBER(SEARCH("+",Bets3[[#This Row],[Bet]])),"D",IF(ISNUMBER(SEARCH("-",Bets3[[#This Row],[Bet]])),"F",IF(ISNUMBER(SEARCH("Moneyline",Bets3[[#This Row],[Bet]])),IF(Bets3[[#This Row],[Odds]]&lt;0,"MF","MD"),""))))))</f>
        <v>MF</v>
      </c>
      <c r="K337" s="24"/>
      <c r="N337" s="69"/>
      <c r="O337" s="27"/>
    </row>
    <row r="338" spans="1:15" x14ac:dyDescent="0.25">
      <c r="A338" s="13">
        <f t="shared" si="11"/>
        <v>35</v>
      </c>
      <c r="B338" s="17">
        <v>43682</v>
      </c>
      <c r="C338" s="17" t="s">
        <v>802</v>
      </c>
      <c r="D338" s="18" t="s">
        <v>1364</v>
      </c>
      <c r="E338" s="11" t="s">
        <v>876</v>
      </c>
      <c r="F338" s="19">
        <f>IF(Bets35[[#This Row],[Odds]]&lt;0,Bets35[[#This Row],[Odds]]/-10,1000/Bets3[[#This Row],[Odds]])</f>
        <v>11</v>
      </c>
      <c r="G338" s="91" t="s">
        <v>3754</v>
      </c>
      <c r="H338" s="37"/>
      <c r="I338" s="45" t="str">
        <f>IF(Bets3[[#This Row],[Result]]="L",0-Bets3[[#This Row],[Risk]],IF(Bets3[[#This Row],[Result]]="Push",0,IF(Bets3[[#This Row],[Result]]="No Action",0,IF(Bets3[[#This Row],[Result]]="W",IF(Bets3[[#This Row],[Odds]]&gt;0,Bets3[[#This Row],[Odds]]/100*Bets3[[#This Row],[Risk]],(Bets3[[#This Row],[Risk]]/Bets3[[#This Row],[Odds]]*-100)),""))))</f>
        <v/>
      </c>
      <c r="J338" s="39" t="str">
        <f>IF(ISNUMBER(SEARCH(CHAR(10),Bets3[[#This Row],[Bet]])),"P",IF(ISNUMBER(FIND("Under",Bets3[[#This Row],[Bet]])),"U",IF(ISNUMBER(SEARCH("Over",Bets3[[#This Row],[Bet]])),"O",IF(ISNUMBER(SEARCH("+",Bets3[[#This Row],[Bet]])),"D",IF(ISNUMBER(SEARCH("-",Bets3[[#This Row],[Bet]])),"F",IF(ISNUMBER(SEARCH("Moneyline",Bets3[[#This Row],[Bet]])),IF(Bets3[[#This Row],[Odds]]&lt;0,"MF","MD"),""))))))</f>
        <v>MD</v>
      </c>
      <c r="K338" s="24"/>
      <c r="N338" s="69"/>
      <c r="O338" s="27"/>
    </row>
    <row r="339" spans="1:15" x14ac:dyDescent="0.25">
      <c r="A339" s="13">
        <f t="shared" si="11"/>
        <v>35</v>
      </c>
      <c r="B339" s="17">
        <v>43682</v>
      </c>
      <c r="C339" s="17" t="s">
        <v>802</v>
      </c>
      <c r="D339" s="18" t="s">
        <v>3755</v>
      </c>
      <c r="E339" s="11" t="s">
        <v>1210</v>
      </c>
      <c r="F339" s="19">
        <f>IF(Bets35[[#This Row],[Odds]]&lt;0,Bets35[[#This Row],[Odds]]/-10,1000/Bets3[[#This Row],[Odds]])</f>
        <v>11.8</v>
      </c>
      <c r="G339" s="91">
        <v>-265</v>
      </c>
      <c r="H339" s="37"/>
      <c r="I339" s="45" t="str">
        <f>IF(Bets3[[#This Row],[Result]]="L",0-Bets3[[#This Row],[Risk]],IF(Bets3[[#This Row],[Result]]="Push",0,IF(Bets3[[#This Row],[Result]]="No Action",0,IF(Bets3[[#This Row],[Result]]="W",IF(Bets3[[#This Row],[Odds]]&gt;0,Bets3[[#This Row],[Odds]]/100*Bets3[[#This Row],[Risk]],(Bets3[[#This Row],[Risk]]/Bets3[[#This Row],[Odds]]*-100)),""))))</f>
        <v/>
      </c>
      <c r="J339" s="39" t="str">
        <f>IF(ISNUMBER(SEARCH(CHAR(10),Bets3[[#This Row],[Bet]])),"P",IF(ISNUMBER(FIND("Under",Bets3[[#This Row],[Bet]])),"U",IF(ISNUMBER(SEARCH("Over",Bets3[[#This Row],[Bet]])),"O",IF(ISNUMBER(SEARCH("+",Bets3[[#This Row],[Bet]])),"D",IF(ISNUMBER(SEARCH("-",Bets3[[#This Row],[Bet]])),"F",IF(ISNUMBER(SEARCH("Moneyline",Bets3[[#This Row],[Bet]])),IF(Bets3[[#This Row],[Odds]]&lt;0,"MF","MD"),""))))))</f>
        <v>MF</v>
      </c>
      <c r="K339" s="24"/>
      <c r="N339" s="69"/>
      <c r="O339" s="27"/>
    </row>
    <row r="340" spans="1:15" x14ac:dyDescent="0.25">
      <c r="A340" s="13">
        <f t="shared" si="11"/>
        <v>35</v>
      </c>
      <c r="B340" s="17">
        <v>43682</v>
      </c>
      <c r="C340" s="17" t="s">
        <v>802</v>
      </c>
      <c r="D340" s="18" t="s">
        <v>3753</v>
      </c>
      <c r="E340" s="11" t="s">
        <v>3659</v>
      </c>
      <c r="F340" s="19">
        <f>IF(Bets35[[#This Row],[Odds]]&lt;0,Bets35[[#This Row],[Odds]]/-10,1000/Bets3[[#This Row],[Odds]])</f>
        <v>13.7</v>
      </c>
      <c r="G340" s="91">
        <v>-180</v>
      </c>
      <c r="H340" s="21"/>
      <c r="I340" s="45" t="str">
        <f>IF(Bets3[[#This Row],[Result]]="L",0-Bets3[[#This Row],[Risk]],IF(Bets3[[#This Row],[Result]]="Push",0,IF(Bets3[[#This Row],[Result]]="No Action",0,IF(Bets3[[#This Row],[Result]]="W",IF(Bets3[[#This Row],[Odds]]&gt;0,Bets3[[#This Row],[Odds]]/100*Bets3[[#This Row],[Risk]],(Bets3[[#This Row],[Risk]]/Bets3[[#This Row],[Odds]]*-100)),""))))</f>
        <v/>
      </c>
      <c r="J340" s="39" t="str">
        <f>IF(ISNUMBER(SEARCH(CHAR(10),Bets3[[#This Row],[Bet]])),"P",IF(ISNUMBER(FIND("Under",Bets3[[#This Row],[Bet]])),"U",IF(ISNUMBER(SEARCH("Over",Bets3[[#This Row],[Bet]])),"O",IF(ISNUMBER(SEARCH("+",Bets3[[#This Row],[Bet]])),"D",IF(ISNUMBER(SEARCH("-",Bets3[[#This Row],[Bet]])),"F",IF(ISNUMBER(SEARCH("Moneyline",Bets3[[#This Row],[Bet]])),IF(Bets3[[#This Row],[Odds]]&lt;0,"MF","MD"),""))))))</f>
        <v>MF</v>
      </c>
      <c r="K340" s="24"/>
      <c r="N340" s="69"/>
      <c r="O340" s="27"/>
    </row>
    <row r="341" spans="1:15" x14ac:dyDescent="0.25">
      <c r="A341" s="13">
        <f t="shared" si="11"/>
        <v>35</v>
      </c>
      <c r="B341" s="17">
        <v>43682</v>
      </c>
      <c r="C341" s="17" t="s">
        <v>802</v>
      </c>
      <c r="D341" s="18" t="s">
        <v>1340</v>
      </c>
      <c r="E341" s="11" t="s">
        <v>819</v>
      </c>
      <c r="F341" s="19">
        <f>IF(Bets35[[#This Row],[Odds]]&lt;0,Bets35[[#This Row],[Odds]]/-10,1000/Bets3[[#This Row],[Odds]])</f>
        <v>20</v>
      </c>
      <c r="G341" s="91">
        <v>-240</v>
      </c>
      <c r="H341" s="21"/>
      <c r="I341" s="45" t="str">
        <f>IF(Bets3[[#This Row],[Result]]="L",0-Bets3[[#This Row],[Risk]],IF(Bets3[[#This Row],[Result]]="Push",0,IF(Bets3[[#This Row],[Result]]="No Action",0,IF(Bets3[[#This Row],[Result]]="W",IF(Bets3[[#This Row],[Odds]]&gt;0,Bets3[[#This Row],[Odds]]/100*Bets3[[#This Row],[Risk]],(Bets3[[#This Row],[Risk]]/Bets3[[#This Row],[Odds]]*-100)),""))))</f>
        <v/>
      </c>
      <c r="J341" s="39" t="str">
        <f>IF(ISNUMBER(SEARCH(CHAR(10),Bets3[[#This Row],[Bet]])),"P",IF(ISNUMBER(FIND("Under",Bets3[[#This Row],[Bet]])),"U",IF(ISNUMBER(SEARCH("Over",Bets3[[#This Row],[Bet]])),"O",IF(ISNUMBER(SEARCH("+",Bets3[[#This Row],[Bet]])),"D",IF(ISNUMBER(SEARCH("-",Bets3[[#This Row],[Bet]])),"F",IF(ISNUMBER(SEARCH("Moneyline",Bets3[[#This Row],[Bet]])),IF(Bets3[[#This Row],[Odds]]&lt;0,"MF","MD"),""))))))</f>
        <v>MF</v>
      </c>
      <c r="K341" s="24"/>
      <c r="N341" s="69"/>
      <c r="O341" s="27"/>
    </row>
    <row r="342" spans="1:15" x14ac:dyDescent="0.25">
      <c r="A342" s="13">
        <f t="shared" si="11"/>
        <v>35</v>
      </c>
      <c r="B342" s="17">
        <v>43682</v>
      </c>
      <c r="C342" s="17" t="s">
        <v>802</v>
      </c>
      <c r="D342" s="18" t="s">
        <v>3756</v>
      </c>
      <c r="E342" s="11" t="s">
        <v>834</v>
      </c>
      <c r="F342" s="19">
        <f>IF(Bets35[[#This Row],[Odds]]&lt;0,Bets35[[#This Row],[Odds]]/-10,1000/Bets3[[#This Row],[Odds]])</f>
        <v>13.6</v>
      </c>
      <c r="G342" s="91" t="s">
        <v>825</v>
      </c>
      <c r="H342" s="37"/>
      <c r="I342" s="45" t="str">
        <f>IF(Bets3[[#This Row],[Result]]="L",0-Bets3[[#This Row],[Risk]],IF(Bets3[[#This Row],[Result]]="Push",0,IF(Bets3[[#This Row],[Result]]="No Action",0,IF(Bets3[[#This Row],[Result]]="W",IF(Bets3[[#This Row],[Odds]]&gt;0,Bets3[[#This Row],[Odds]]/100*Bets3[[#This Row],[Risk]],(Bets3[[#This Row],[Risk]]/Bets3[[#This Row],[Odds]]*-100)),""))))</f>
        <v/>
      </c>
      <c r="J342" s="39" t="str">
        <f>IF(ISNUMBER(SEARCH(CHAR(10),Bets3[[#This Row],[Bet]])),"P",IF(ISNUMBER(FIND("Under",Bets3[[#This Row],[Bet]])),"U",IF(ISNUMBER(SEARCH("Over",Bets3[[#This Row],[Bet]])),"O",IF(ISNUMBER(SEARCH("+",Bets3[[#This Row],[Bet]])),"D",IF(ISNUMBER(SEARCH("-",Bets3[[#This Row],[Bet]])),"F",IF(ISNUMBER(SEARCH("Moneyline",Bets3[[#This Row],[Bet]])),IF(Bets3[[#This Row],[Odds]]&lt;0,"MF","MD"),""))))))</f>
        <v>MD</v>
      </c>
      <c r="K342" s="24"/>
      <c r="N342" s="69"/>
      <c r="O342" s="27"/>
    </row>
    <row r="343" spans="1:15" x14ac:dyDescent="0.25">
      <c r="A343" s="13">
        <f t="shared" si="11"/>
        <v>35</v>
      </c>
      <c r="B343" s="17">
        <v>43682</v>
      </c>
      <c r="C343" s="17" t="s">
        <v>802</v>
      </c>
      <c r="D343" s="18" t="s">
        <v>3757</v>
      </c>
      <c r="E343" s="11" t="s">
        <v>899</v>
      </c>
      <c r="F343" s="19">
        <f>IF(Bets35[[#This Row],[Odds]]&lt;0,Bets35[[#This Row],[Odds]]/-10,1000/Bets3[[#This Row],[Odds]])</f>
        <v>7.1428571428571432</v>
      </c>
      <c r="G343" s="91" t="s">
        <v>934</v>
      </c>
      <c r="H343" s="21"/>
      <c r="I343" s="45" t="str">
        <f>IF(Bets3[[#This Row],[Result]]="L",0-Bets3[[#This Row],[Risk]],IF(Bets3[[#This Row],[Result]]="Push",0,IF(Bets3[[#This Row],[Result]]="No Action",0,IF(Bets3[[#This Row],[Result]]="W",IF(Bets3[[#This Row],[Odds]]&gt;0,Bets3[[#This Row],[Odds]]/100*Bets3[[#This Row],[Risk]],(Bets3[[#This Row],[Risk]]/Bets3[[#This Row],[Odds]]*-100)),""))))</f>
        <v/>
      </c>
      <c r="J343" s="39" t="str">
        <f>IF(ISNUMBER(SEARCH(CHAR(10),Bets3[[#This Row],[Bet]])),"P",IF(ISNUMBER(FIND("Under",Bets3[[#This Row],[Bet]])),"U",IF(ISNUMBER(SEARCH("Over",Bets3[[#This Row],[Bet]])),"O",IF(ISNUMBER(SEARCH("+",Bets3[[#This Row],[Bet]])),"D",IF(ISNUMBER(SEARCH("-",Bets3[[#This Row],[Bet]])),"F",IF(ISNUMBER(SEARCH("Moneyline",Bets3[[#This Row],[Bet]])),IF(Bets3[[#This Row],[Odds]]&lt;0,"MF","MD"),""))))))</f>
        <v>MD</v>
      </c>
      <c r="K343" s="24"/>
      <c r="N343" s="69"/>
      <c r="O343" s="27"/>
    </row>
    <row r="344" spans="1:15" x14ac:dyDescent="0.25">
      <c r="A344" s="13">
        <f t="shared" si="11"/>
        <v>35</v>
      </c>
      <c r="B344" s="17">
        <v>43682</v>
      </c>
      <c r="C344" s="17" t="s">
        <v>802</v>
      </c>
      <c r="D344" s="18" t="s">
        <v>3758</v>
      </c>
      <c r="E344" s="11" t="s">
        <v>879</v>
      </c>
      <c r="F344" s="19">
        <f>IF(Bets35[[#This Row],[Odds]]&lt;0,Bets35[[#This Row],[Odds]]/-10,1000/Bets3[[#This Row],[Odds]])</f>
        <v>11.7</v>
      </c>
      <c r="G344" s="91">
        <v>-115</v>
      </c>
      <c r="H344" s="21"/>
      <c r="I344" s="45" t="str">
        <f>IF(Bets3[[#This Row],[Result]]="L",0-Bets3[[#This Row],[Risk]],IF(Bets3[[#This Row],[Result]]="Push",0,IF(Bets3[[#This Row],[Result]]="No Action",0,IF(Bets3[[#This Row],[Result]]="W",IF(Bets3[[#This Row],[Odds]]&gt;0,Bets3[[#This Row],[Odds]]/100*Bets3[[#This Row],[Risk]],(Bets3[[#This Row],[Risk]]/Bets3[[#This Row],[Odds]]*-100)),""))))</f>
        <v/>
      </c>
      <c r="J344" s="39" t="str">
        <f>IF(ISNUMBER(SEARCH(CHAR(10),Bets3[[#This Row],[Bet]])),"P",IF(ISNUMBER(FIND("Under",Bets3[[#This Row],[Bet]])),"U",IF(ISNUMBER(SEARCH("Over",Bets3[[#This Row],[Bet]])),"O",IF(ISNUMBER(SEARCH("+",Bets3[[#This Row],[Bet]])),"D",IF(ISNUMBER(SEARCH("-",Bets3[[#This Row],[Bet]])),"F",IF(ISNUMBER(SEARCH("Moneyline",Bets3[[#This Row],[Bet]])),IF(Bets3[[#This Row],[Odds]]&lt;0,"MF","MD"),""))))))</f>
        <v>U</v>
      </c>
      <c r="K344" s="24"/>
      <c r="N344" s="69"/>
      <c r="O344" s="27"/>
    </row>
    <row r="345" spans="1:15" x14ac:dyDescent="0.25">
      <c r="A345" s="13">
        <f t="shared" si="11"/>
        <v>36</v>
      </c>
      <c r="B345" s="17"/>
      <c r="C345" s="17"/>
      <c r="D345" s="18"/>
      <c r="E345" s="11"/>
      <c r="F345" s="19"/>
      <c r="G345" s="36"/>
      <c r="H345" s="21"/>
      <c r="I345" s="22"/>
      <c r="J345" s="35"/>
      <c r="K345" s="24"/>
      <c r="N345" s="69"/>
      <c r="O345" s="27"/>
    </row>
    <row r="346" spans="1:15" x14ac:dyDescent="0.25">
      <c r="A346" s="13">
        <f t="shared" si="11"/>
        <v>36</v>
      </c>
      <c r="B346" s="17"/>
      <c r="C346" s="17"/>
      <c r="D346" s="18"/>
      <c r="E346" s="11"/>
      <c r="F346" s="19"/>
      <c r="G346" s="36"/>
      <c r="H346" s="21"/>
      <c r="I346" s="22"/>
      <c r="J346" s="35"/>
      <c r="K346" s="24"/>
      <c r="N346" s="69"/>
      <c r="O346" s="27"/>
    </row>
    <row r="347" spans="1:15" x14ac:dyDescent="0.25">
      <c r="A347" s="13">
        <f t="shared" si="11"/>
        <v>36</v>
      </c>
      <c r="B347" s="17"/>
      <c r="C347" s="17"/>
      <c r="D347" s="18"/>
      <c r="E347" s="11"/>
      <c r="F347" s="19"/>
      <c r="G347" s="36"/>
      <c r="H347" s="21"/>
      <c r="I347" s="22"/>
      <c r="J347" s="35"/>
      <c r="K347" s="24"/>
      <c r="N347" s="69"/>
      <c r="O347" s="27"/>
    </row>
    <row r="348" spans="1:15" x14ac:dyDescent="0.25">
      <c r="A348" s="13">
        <f t="shared" si="11"/>
        <v>36</v>
      </c>
      <c r="B348" s="17"/>
      <c r="C348" s="17"/>
      <c r="D348" s="18"/>
      <c r="E348" s="11"/>
      <c r="F348" s="19"/>
      <c r="G348" s="36"/>
      <c r="H348" s="21"/>
      <c r="I348" s="22"/>
      <c r="J348" s="35"/>
      <c r="K348" s="24"/>
      <c r="N348" s="69"/>
      <c r="O348" s="27"/>
    </row>
    <row r="349" spans="1:15" x14ac:dyDescent="0.25">
      <c r="A349" s="13">
        <f t="shared" si="11"/>
        <v>36</v>
      </c>
      <c r="B349" s="17"/>
      <c r="C349" s="17"/>
      <c r="D349" s="18"/>
      <c r="E349" s="11"/>
      <c r="F349" s="19"/>
      <c r="G349" s="36"/>
      <c r="H349" s="21"/>
      <c r="I349" s="22"/>
      <c r="J349" s="35"/>
      <c r="K349" s="24"/>
      <c r="N349" s="69"/>
      <c r="O349" s="27"/>
    </row>
    <row r="350" spans="1:15" x14ac:dyDescent="0.25">
      <c r="A350" s="13">
        <f t="shared" si="11"/>
        <v>36</v>
      </c>
      <c r="B350" s="17"/>
      <c r="C350" s="17"/>
      <c r="D350" s="18"/>
      <c r="E350" s="11"/>
      <c r="F350" s="19"/>
      <c r="G350" s="36"/>
      <c r="H350" s="21"/>
      <c r="I350" s="22"/>
      <c r="J350" s="35"/>
      <c r="K350" s="24"/>
      <c r="N350" s="69"/>
      <c r="O350" s="27"/>
    </row>
    <row r="351" spans="1:15" x14ac:dyDescent="0.25">
      <c r="A351" s="13">
        <f t="shared" si="11"/>
        <v>36</v>
      </c>
      <c r="B351" s="17"/>
      <c r="C351" s="17"/>
      <c r="D351" s="18"/>
      <c r="E351" s="11"/>
      <c r="F351" s="19"/>
      <c r="G351" s="36"/>
      <c r="H351" s="21"/>
      <c r="I351" s="22"/>
      <c r="J351" s="35"/>
      <c r="K351" s="24"/>
      <c r="N351" s="69"/>
      <c r="O351" s="27"/>
    </row>
    <row r="352" spans="1:15" x14ac:dyDescent="0.25">
      <c r="A352" s="13">
        <f t="shared" si="11"/>
        <v>36</v>
      </c>
      <c r="B352" s="17"/>
      <c r="C352" s="17"/>
      <c r="D352" s="18"/>
      <c r="E352" s="11"/>
      <c r="F352" s="19"/>
      <c r="G352" s="20"/>
      <c r="H352" s="37"/>
      <c r="I352" s="22"/>
      <c r="J352" s="39"/>
      <c r="K352" s="24"/>
      <c r="N352" s="69"/>
      <c r="O352" s="27"/>
    </row>
    <row r="353" spans="1:15" x14ac:dyDescent="0.25">
      <c r="A353" s="13">
        <f t="shared" si="11"/>
        <v>36</v>
      </c>
      <c r="B353" s="17"/>
      <c r="C353" s="17"/>
      <c r="D353" s="18"/>
      <c r="E353" s="11"/>
      <c r="F353" s="19"/>
      <c r="G353" s="20"/>
      <c r="H353" s="37"/>
      <c r="I353" s="22"/>
      <c r="J353" s="39"/>
      <c r="K353" s="24"/>
      <c r="N353" s="69"/>
      <c r="O353" s="27"/>
    </row>
    <row r="354" spans="1:15" x14ac:dyDescent="0.25">
      <c r="A354" s="13">
        <f t="shared" si="11"/>
        <v>36</v>
      </c>
      <c r="B354" s="17"/>
      <c r="C354" s="17"/>
      <c r="D354" s="18"/>
      <c r="E354" s="11"/>
      <c r="F354" s="19"/>
      <c r="G354" s="20"/>
      <c r="H354" s="37"/>
      <c r="I354" s="22"/>
      <c r="J354" s="39"/>
      <c r="K354" s="24"/>
      <c r="N354" s="69"/>
      <c r="O354" s="27"/>
    </row>
    <row r="355" spans="1:15" x14ac:dyDescent="0.25">
      <c r="A355" s="13">
        <f t="shared" si="11"/>
        <v>36</v>
      </c>
      <c r="B355" s="17"/>
      <c r="C355" s="17"/>
      <c r="D355" s="18"/>
      <c r="E355" s="11"/>
      <c r="F355" s="19"/>
      <c r="G355" s="20"/>
      <c r="H355" s="37"/>
      <c r="I355" s="22"/>
      <c r="J355" s="39"/>
      <c r="K355" s="24"/>
      <c r="N355" s="69"/>
      <c r="O355" s="27"/>
    </row>
    <row r="356" spans="1:15" x14ac:dyDescent="0.25">
      <c r="A356" s="13">
        <f t="shared" si="11"/>
        <v>36</v>
      </c>
      <c r="B356" s="17"/>
      <c r="C356" s="17"/>
      <c r="D356" s="18"/>
      <c r="E356" s="11"/>
      <c r="F356" s="19"/>
      <c r="G356" s="20"/>
      <c r="H356" s="37"/>
      <c r="I356" s="22"/>
      <c r="J356" s="39"/>
      <c r="K356" s="24"/>
      <c r="N356" s="69"/>
      <c r="O356" s="27"/>
    </row>
    <row r="357" spans="1:15" x14ac:dyDescent="0.25">
      <c r="A357" s="13">
        <f t="shared" si="11"/>
        <v>36</v>
      </c>
      <c r="B357" s="17"/>
      <c r="C357" s="17"/>
      <c r="D357" s="18"/>
      <c r="E357" s="11"/>
      <c r="F357" s="19"/>
      <c r="G357" s="20"/>
      <c r="H357" s="37"/>
      <c r="I357" s="22"/>
      <c r="J357" s="39"/>
      <c r="K357" s="24"/>
      <c r="N357" s="69"/>
      <c r="O357" s="27"/>
    </row>
    <row r="358" spans="1:15" x14ac:dyDescent="0.25">
      <c r="A358" s="13">
        <f t="shared" si="11"/>
        <v>36</v>
      </c>
      <c r="B358" s="17"/>
      <c r="C358" s="17"/>
      <c r="D358" s="18"/>
      <c r="E358" s="11"/>
      <c r="F358" s="19"/>
      <c r="G358" s="20"/>
      <c r="H358" s="37"/>
      <c r="I358" s="22"/>
      <c r="J358" s="39"/>
      <c r="K358" s="24"/>
      <c r="N358" s="69"/>
      <c r="O358" s="27"/>
    </row>
    <row r="359" spans="1:15" x14ac:dyDescent="0.25">
      <c r="A359" s="13">
        <f t="shared" si="11"/>
        <v>36</v>
      </c>
      <c r="B359" s="17"/>
      <c r="C359" s="17"/>
      <c r="D359" s="18"/>
      <c r="E359" s="11"/>
      <c r="F359" s="19"/>
      <c r="G359" s="20"/>
      <c r="H359" s="37"/>
      <c r="I359" s="22"/>
      <c r="J359" s="39"/>
      <c r="K359" s="24"/>
      <c r="N359" s="69"/>
      <c r="O359" s="27"/>
    </row>
    <row r="360" spans="1:15" x14ac:dyDescent="0.25">
      <c r="A360" s="13">
        <f t="shared" si="11"/>
        <v>36</v>
      </c>
      <c r="B360" s="17"/>
      <c r="C360" s="17"/>
      <c r="D360" s="18"/>
      <c r="E360" s="11"/>
      <c r="F360" s="19"/>
      <c r="G360" s="20"/>
      <c r="H360" s="37"/>
      <c r="I360" s="22"/>
      <c r="J360" s="39"/>
      <c r="K360" s="24"/>
      <c r="N360" s="69"/>
      <c r="O360" s="27"/>
    </row>
    <row r="361" spans="1:15" x14ac:dyDescent="0.25">
      <c r="A361" s="13">
        <f t="shared" si="11"/>
        <v>36</v>
      </c>
      <c r="B361" s="17"/>
      <c r="C361" s="17"/>
      <c r="D361" s="18"/>
      <c r="E361" s="11"/>
      <c r="F361" s="19"/>
      <c r="G361" s="20"/>
      <c r="H361" s="37"/>
      <c r="I361" s="22"/>
      <c r="J361" s="39"/>
      <c r="K361" s="24"/>
      <c r="N361" s="69"/>
      <c r="O361" s="27"/>
    </row>
    <row r="362" spans="1:15" x14ac:dyDescent="0.25">
      <c r="A362" s="13">
        <f t="shared" si="11"/>
        <v>36</v>
      </c>
      <c r="B362" s="17"/>
      <c r="C362" s="17"/>
      <c r="D362" s="18"/>
      <c r="E362" s="11"/>
      <c r="F362" s="19"/>
      <c r="G362" s="20"/>
      <c r="H362" s="37"/>
      <c r="I362" s="22"/>
      <c r="J362" s="39"/>
      <c r="K362" s="24"/>
      <c r="N362" s="69"/>
      <c r="O362" s="27"/>
    </row>
    <row r="363" spans="1:15" x14ac:dyDescent="0.25">
      <c r="A363" s="13">
        <f t="shared" si="11"/>
        <v>36</v>
      </c>
      <c r="B363" s="17"/>
      <c r="C363" s="17"/>
      <c r="D363" s="18"/>
      <c r="E363" s="11"/>
      <c r="F363" s="19"/>
      <c r="G363" s="20"/>
      <c r="H363" s="37"/>
      <c r="I363" s="22"/>
      <c r="J363" s="39"/>
      <c r="K363" s="24"/>
      <c r="N363" s="69"/>
      <c r="O363" s="27"/>
    </row>
    <row r="364" spans="1:15" x14ac:dyDescent="0.25">
      <c r="A364" s="13">
        <f t="shared" si="11"/>
        <v>36</v>
      </c>
      <c r="B364" s="17"/>
      <c r="C364" s="17"/>
      <c r="D364" s="18"/>
      <c r="E364" s="11"/>
      <c r="F364" s="19"/>
      <c r="G364" s="20"/>
      <c r="H364" s="37"/>
      <c r="I364" s="22"/>
      <c r="J364" s="39"/>
      <c r="K364" s="24"/>
      <c r="N364" s="69"/>
      <c r="O364" s="27"/>
    </row>
    <row r="365" spans="1:15" x14ac:dyDescent="0.25">
      <c r="A365" s="13">
        <f t="shared" si="11"/>
        <v>36</v>
      </c>
      <c r="B365" s="17"/>
      <c r="C365" s="17"/>
      <c r="D365" s="18"/>
      <c r="E365" s="11"/>
      <c r="F365" s="19"/>
      <c r="G365" s="20"/>
      <c r="H365" s="37"/>
      <c r="I365" s="22"/>
      <c r="J365" s="39"/>
      <c r="K365" s="24"/>
      <c r="N365" s="69"/>
      <c r="O365" s="27"/>
    </row>
    <row r="366" spans="1:15" x14ac:dyDescent="0.25">
      <c r="A366" s="13">
        <f t="shared" si="11"/>
        <v>36</v>
      </c>
      <c r="B366" s="17"/>
      <c r="C366" s="17"/>
      <c r="D366" s="18"/>
      <c r="E366" s="11"/>
      <c r="F366" s="19"/>
      <c r="G366" s="20"/>
      <c r="H366" s="37"/>
      <c r="I366" s="22"/>
      <c r="J366" s="39"/>
      <c r="K366" s="24"/>
      <c r="N366" s="69"/>
      <c r="O366" s="27"/>
    </row>
    <row r="367" spans="1:15" x14ac:dyDescent="0.25">
      <c r="A367" s="13">
        <f t="shared" si="11"/>
        <v>36</v>
      </c>
      <c r="B367" s="17"/>
      <c r="C367" s="17"/>
      <c r="D367" s="18"/>
      <c r="E367" s="11"/>
      <c r="F367" s="19"/>
      <c r="G367" s="20"/>
      <c r="H367" s="37"/>
      <c r="I367" s="22"/>
      <c r="J367" s="39"/>
      <c r="K367" s="24"/>
      <c r="N367" s="69"/>
      <c r="O367" s="27"/>
    </row>
    <row r="368" spans="1:15" x14ac:dyDescent="0.25">
      <c r="A368" s="13">
        <f t="shared" si="11"/>
        <v>36</v>
      </c>
      <c r="B368" s="17"/>
      <c r="C368" s="17"/>
      <c r="D368" s="18"/>
      <c r="E368" s="11"/>
      <c r="F368" s="19"/>
      <c r="G368" s="20"/>
      <c r="H368" s="37"/>
      <c r="I368" s="22"/>
      <c r="J368" s="39"/>
      <c r="K368" s="24"/>
      <c r="N368" s="69"/>
      <c r="O368" s="27"/>
    </row>
    <row r="369" spans="1:15" x14ac:dyDescent="0.25">
      <c r="A369" s="13">
        <f t="shared" si="11"/>
        <v>36</v>
      </c>
      <c r="B369" s="17"/>
      <c r="C369" s="17"/>
      <c r="D369" s="18"/>
      <c r="E369" s="11"/>
      <c r="F369" s="19"/>
      <c r="G369" s="20"/>
      <c r="H369" s="37"/>
      <c r="I369" s="22"/>
      <c r="J369" s="39"/>
      <c r="K369" s="24"/>
      <c r="N369" s="69"/>
      <c r="O369" s="27"/>
    </row>
    <row r="370" spans="1:15" x14ac:dyDescent="0.25">
      <c r="A370" s="13">
        <f t="shared" si="11"/>
        <v>36</v>
      </c>
      <c r="B370" s="17"/>
      <c r="C370" s="17"/>
      <c r="D370" s="18"/>
      <c r="E370" s="11"/>
      <c r="F370" s="19"/>
      <c r="G370" s="20"/>
      <c r="H370" s="37"/>
      <c r="I370" s="22"/>
      <c r="J370" s="39"/>
      <c r="K370" s="24"/>
      <c r="N370" s="69"/>
      <c r="O370" s="27"/>
    </row>
    <row r="371" spans="1:15" x14ac:dyDescent="0.25">
      <c r="A371" s="13">
        <f t="shared" si="11"/>
        <v>36</v>
      </c>
      <c r="B371" s="17"/>
      <c r="C371" s="17"/>
      <c r="D371" s="18"/>
      <c r="E371" s="11"/>
      <c r="F371" s="19"/>
      <c r="G371" s="20"/>
      <c r="H371" s="37"/>
      <c r="I371" s="22"/>
      <c r="J371" s="39"/>
      <c r="K371" s="24"/>
      <c r="N371" s="69"/>
      <c r="O371" s="27"/>
    </row>
    <row r="372" spans="1:15" x14ac:dyDescent="0.25">
      <c r="A372" s="13">
        <f t="shared" si="11"/>
        <v>36</v>
      </c>
      <c r="B372" s="17"/>
      <c r="C372" s="17"/>
      <c r="D372" s="18"/>
      <c r="E372" s="11"/>
      <c r="F372" s="19"/>
      <c r="G372" s="20"/>
      <c r="H372" s="37"/>
      <c r="I372" s="22"/>
      <c r="J372" s="39"/>
      <c r="K372" s="24"/>
      <c r="N372" s="69"/>
      <c r="O372" s="27"/>
    </row>
    <row r="373" spans="1:15" x14ac:dyDescent="0.25">
      <c r="A373" s="13">
        <f t="shared" si="11"/>
        <v>36</v>
      </c>
      <c r="B373" s="17"/>
      <c r="C373" s="17"/>
      <c r="D373" s="18"/>
      <c r="E373" s="11"/>
      <c r="F373" s="19"/>
      <c r="G373" s="20"/>
      <c r="H373" s="37"/>
      <c r="I373" s="22"/>
      <c r="J373" s="39"/>
      <c r="K373" s="24"/>
      <c r="N373" s="69"/>
      <c r="O373" s="27"/>
    </row>
    <row r="374" spans="1:15" x14ac:dyDescent="0.25">
      <c r="A374" s="13">
        <f t="shared" si="11"/>
        <v>36</v>
      </c>
      <c r="B374" s="17"/>
      <c r="C374" s="17"/>
      <c r="D374" s="18"/>
      <c r="E374" s="11"/>
      <c r="F374" s="19"/>
      <c r="G374" s="20"/>
      <c r="H374" s="37"/>
      <c r="I374" s="22"/>
      <c r="J374" s="39"/>
      <c r="K374" s="24"/>
      <c r="N374" s="69"/>
      <c r="O374" s="27"/>
    </row>
    <row r="375" spans="1:15" x14ac:dyDescent="0.25">
      <c r="A375" s="13">
        <f t="shared" si="11"/>
        <v>36</v>
      </c>
      <c r="B375" s="17"/>
      <c r="C375" s="17"/>
      <c r="D375" s="18"/>
      <c r="E375" s="11"/>
      <c r="F375" s="19"/>
      <c r="G375" s="20"/>
      <c r="H375" s="37"/>
      <c r="I375" s="22"/>
      <c r="J375" s="39"/>
      <c r="K375" s="24"/>
      <c r="N375" s="69"/>
      <c r="O375" s="27"/>
    </row>
    <row r="376" spans="1:15" x14ac:dyDescent="0.25">
      <c r="A376" s="13">
        <f t="shared" si="11"/>
        <v>36</v>
      </c>
      <c r="B376" s="17"/>
      <c r="C376" s="17"/>
      <c r="D376" s="18"/>
      <c r="E376" s="11"/>
      <c r="F376" s="19"/>
      <c r="G376" s="20"/>
      <c r="H376" s="37"/>
      <c r="I376" s="22"/>
      <c r="J376" s="39"/>
      <c r="K376" s="24"/>
      <c r="N376" s="69"/>
      <c r="O376" s="27"/>
    </row>
    <row r="377" spans="1:15" x14ac:dyDescent="0.25">
      <c r="A377" s="13">
        <f t="shared" si="11"/>
        <v>36</v>
      </c>
      <c r="B377" s="17"/>
      <c r="C377" s="17"/>
      <c r="D377" s="18"/>
      <c r="E377" s="11"/>
      <c r="F377" s="19"/>
      <c r="G377" s="20"/>
      <c r="H377" s="37"/>
      <c r="I377" s="22"/>
      <c r="J377" s="39"/>
      <c r="K377" s="24"/>
      <c r="N377" s="69"/>
      <c r="O377" s="27"/>
    </row>
    <row r="378" spans="1:15" x14ac:dyDescent="0.25">
      <c r="A378" s="13">
        <f t="shared" si="11"/>
        <v>36</v>
      </c>
      <c r="B378" s="17"/>
      <c r="C378" s="17"/>
      <c r="D378" s="18"/>
      <c r="E378" s="11"/>
      <c r="F378" s="19"/>
      <c r="G378" s="20"/>
      <c r="H378" s="37"/>
      <c r="I378" s="22"/>
      <c r="J378" s="39"/>
      <c r="K378" s="24"/>
      <c r="N378" s="69"/>
      <c r="O378" s="27"/>
    </row>
    <row r="379" spans="1:15" x14ac:dyDescent="0.25">
      <c r="A379" s="13">
        <f t="shared" si="11"/>
        <v>36</v>
      </c>
      <c r="B379" s="17"/>
      <c r="C379" s="17"/>
      <c r="D379" s="18"/>
      <c r="E379" s="11"/>
      <c r="F379" s="19"/>
      <c r="G379" s="20"/>
      <c r="H379" s="37"/>
      <c r="I379" s="22"/>
      <c r="J379" s="39"/>
      <c r="K379" s="24"/>
      <c r="N379" s="69"/>
      <c r="O379" s="27"/>
    </row>
    <row r="380" spans="1:15" x14ac:dyDescent="0.25">
      <c r="A380" s="13">
        <f t="shared" si="11"/>
        <v>36</v>
      </c>
      <c r="B380" s="17"/>
      <c r="C380" s="17"/>
      <c r="D380" s="18"/>
      <c r="E380" s="11"/>
      <c r="F380" s="19"/>
      <c r="G380" s="20"/>
      <c r="H380" s="37"/>
      <c r="I380" s="22"/>
      <c r="J380" s="39"/>
      <c r="K380" s="24"/>
      <c r="N380" s="69"/>
      <c r="O380" s="27"/>
    </row>
    <row r="381" spans="1:15" x14ac:dyDescent="0.25">
      <c r="A381" s="13">
        <f t="shared" si="11"/>
        <v>36</v>
      </c>
      <c r="B381" s="17"/>
      <c r="C381" s="17"/>
      <c r="D381" s="18"/>
      <c r="E381" s="11"/>
      <c r="F381" s="19"/>
      <c r="G381" s="20"/>
      <c r="H381" s="37"/>
      <c r="I381" s="22"/>
      <c r="J381" s="39"/>
      <c r="K381" s="24"/>
      <c r="N381" s="69"/>
      <c r="O381" s="27"/>
    </row>
    <row r="382" spans="1:15" x14ac:dyDescent="0.25">
      <c r="A382" s="13">
        <f t="shared" si="11"/>
        <v>36</v>
      </c>
      <c r="B382" s="17"/>
      <c r="C382" s="17"/>
      <c r="D382" s="18"/>
      <c r="E382" s="11"/>
      <c r="F382" s="19"/>
      <c r="G382" s="20"/>
      <c r="H382" s="37"/>
      <c r="I382" s="22"/>
      <c r="J382" s="39"/>
      <c r="K382" s="24"/>
      <c r="N382" s="69"/>
      <c r="O382" s="27"/>
    </row>
    <row r="383" spans="1:15" x14ac:dyDescent="0.25">
      <c r="A383" s="13">
        <f t="shared" si="11"/>
        <v>36</v>
      </c>
      <c r="B383" s="17"/>
      <c r="C383" s="17"/>
      <c r="D383" s="18"/>
      <c r="E383" s="11"/>
      <c r="F383" s="19"/>
      <c r="G383" s="20"/>
      <c r="H383" s="21"/>
      <c r="I383" s="22"/>
      <c r="J383" s="23"/>
      <c r="K383" s="24"/>
      <c r="N383" s="69"/>
      <c r="O383" s="27"/>
    </row>
    <row r="384" spans="1:15" x14ac:dyDescent="0.25">
      <c r="A384" s="13">
        <f t="shared" si="11"/>
        <v>36</v>
      </c>
      <c r="B384" s="17"/>
      <c r="C384" s="17"/>
      <c r="D384" s="18"/>
      <c r="E384" s="11"/>
      <c r="F384" s="19"/>
      <c r="G384" s="36"/>
      <c r="H384" s="21"/>
      <c r="I384" s="22"/>
      <c r="J384" s="35"/>
      <c r="K384" s="24"/>
      <c r="N384" s="69"/>
      <c r="O384" s="27"/>
    </row>
    <row r="385" spans="1:15" x14ac:dyDescent="0.25">
      <c r="A385" s="13">
        <f t="shared" si="11"/>
        <v>36</v>
      </c>
      <c r="B385" s="17"/>
      <c r="C385" s="17"/>
      <c r="D385" s="18"/>
      <c r="E385" s="11"/>
      <c r="F385" s="19"/>
      <c r="G385" s="36"/>
      <c r="H385" s="21"/>
      <c r="I385" s="22"/>
      <c r="J385" s="35"/>
      <c r="K385" s="24"/>
      <c r="N385" s="69"/>
      <c r="O385" s="27"/>
    </row>
    <row r="386" spans="1:15" x14ac:dyDescent="0.25">
      <c r="A386" s="13">
        <f t="shared" si="11"/>
        <v>36</v>
      </c>
      <c r="B386" s="17"/>
      <c r="C386" s="17"/>
      <c r="D386" s="18"/>
      <c r="E386" s="11"/>
      <c r="F386" s="19"/>
      <c r="G386" s="36"/>
      <c r="H386" s="21"/>
      <c r="I386" s="22"/>
      <c r="J386" s="35"/>
      <c r="K386" s="24"/>
      <c r="N386" s="69"/>
      <c r="O386" s="27"/>
    </row>
    <row r="387" spans="1:15" x14ac:dyDescent="0.25">
      <c r="A387" s="13">
        <f t="shared" si="11"/>
        <v>36</v>
      </c>
      <c r="B387" s="17"/>
      <c r="C387" s="17"/>
      <c r="D387" s="18"/>
      <c r="E387" s="11"/>
      <c r="F387" s="19"/>
      <c r="G387" s="36"/>
      <c r="H387" s="21"/>
      <c r="I387" s="22"/>
      <c r="J387" s="35"/>
      <c r="K387" s="24"/>
      <c r="N387" s="69"/>
      <c r="O387" s="27"/>
    </row>
    <row r="388" spans="1:15" x14ac:dyDescent="0.25">
      <c r="A388" s="13">
        <f t="shared" ref="A388:A451" si="12">IF(B388=B387,A387,A387+1)</f>
        <v>36</v>
      </c>
      <c r="B388" s="17"/>
      <c r="C388" s="17"/>
      <c r="D388" s="18"/>
      <c r="E388" s="11"/>
      <c r="F388" s="19"/>
      <c r="G388" s="36"/>
      <c r="H388" s="21"/>
      <c r="I388" s="22"/>
      <c r="J388" s="35"/>
      <c r="K388" s="24"/>
      <c r="N388" s="69"/>
      <c r="O388" s="27"/>
    </row>
    <row r="389" spans="1:15" x14ac:dyDescent="0.25">
      <c r="A389" s="13">
        <f t="shared" si="12"/>
        <v>36</v>
      </c>
      <c r="B389" s="17"/>
      <c r="C389" s="17"/>
      <c r="D389" s="18"/>
      <c r="E389" s="11"/>
      <c r="F389" s="19"/>
      <c r="G389" s="36"/>
      <c r="H389" s="21"/>
      <c r="I389" s="22"/>
      <c r="J389" s="35"/>
      <c r="K389" s="24"/>
      <c r="N389" s="69"/>
      <c r="O389" s="27"/>
    </row>
    <row r="390" spans="1:15" x14ac:dyDescent="0.25">
      <c r="A390" s="13">
        <f t="shared" si="12"/>
        <v>36</v>
      </c>
      <c r="B390" s="17"/>
      <c r="C390" s="17"/>
      <c r="D390" s="18"/>
      <c r="E390" s="11"/>
      <c r="F390" s="19"/>
      <c r="G390" s="36"/>
      <c r="H390" s="21"/>
      <c r="I390" s="22"/>
      <c r="J390" s="35"/>
      <c r="K390" s="24"/>
      <c r="N390" s="69"/>
      <c r="O390" s="27"/>
    </row>
    <row r="391" spans="1:15" x14ac:dyDescent="0.25">
      <c r="A391" s="13">
        <f t="shared" si="12"/>
        <v>36</v>
      </c>
      <c r="B391" s="17"/>
      <c r="C391" s="17"/>
      <c r="D391" s="18"/>
      <c r="E391" s="11"/>
      <c r="F391" s="19"/>
      <c r="G391" s="36"/>
      <c r="H391" s="21"/>
      <c r="I391" s="22"/>
      <c r="J391" s="35"/>
      <c r="K391" s="24"/>
      <c r="N391" s="69"/>
      <c r="O391" s="27"/>
    </row>
    <row r="392" spans="1:15" x14ac:dyDescent="0.25">
      <c r="A392" s="13">
        <f t="shared" si="12"/>
        <v>36</v>
      </c>
      <c r="B392" s="17"/>
      <c r="C392" s="17"/>
      <c r="D392" s="18"/>
      <c r="E392" s="11"/>
      <c r="F392" s="19"/>
      <c r="G392" s="36"/>
      <c r="H392" s="21"/>
      <c r="I392" s="22"/>
      <c r="J392" s="35"/>
      <c r="K392" s="24"/>
      <c r="N392" s="69"/>
      <c r="O392" s="27"/>
    </row>
    <row r="393" spans="1:15" x14ac:dyDescent="0.25">
      <c r="A393" s="13">
        <f t="shared" si="12"/>
        <v>36</v>
      </c>
      <c r="B393" s="17"/>
      <c r="C393" s="17"/>
      <c r="D393" s="18"/>
      <c r="E393" s="11"/>
      <c r="F393" s="19"/>
      <c r="G393" s="20"/>
      <c r="H393" s="37"/>
      <c r="I393" s="22"/>
      <c r="J393" s="39"/>
      <c r="K393" s="24"/>
      <c r="N393" s="69"/>
      <c r="O393" s="27"/>
    </row>
    <row r="394" spans="1:15" x14ac:dyDescent="0.25">
      <c r="A394" s="13">
        <f t="shared" si="12"/>
        <v>36</v>
      </c>
      <c r="B394" s="17"/>
      <c r="C394" s="17"/>
      <c r="D394" s="18"/>
      <c r="E394" s="11"/>
      <c r="F394" s="19"/>
      <c r="G394" s="20"/>
      <c r="H394" s="37"/>
      <c r="I394" s="22"/>
      <c r="J394" s="39"/>
      <c r="K394" s="24"/>
      <c r="N394" s="69"/>
      <c r="O394" s="27"/>
    </row>
    <row r="395" spans="1:15" x14ac:dyDescent="0.25">
      <c r="A395" s="13">
        <f t="shared" si="12"/>
        <v>36</v>
      </c>
      <c r="B395" s="17"/>
      <c r="C395" s="17"/>
      <c r="D395" s="18"/>
      <c r="E395" s="11"/>
      <c r="F395" s="19"/>
      <c r="G395" s="20"/>
      <c r="H395" s="37"/>
      <c r="I395" s="22"/>
      <c r="J395" s="39"/>
      <c r="K395" s="24"/>
      <c r="N395" s="69"/>
      <c r="O395" s="27"/>
    </row>
    <row r="396" spans="1:15" x14ac:dyDescent="0.25">
      <c r="A396" s="13">
        <f t="shared" si="12"/>
        <v>36</v>
      </c>
      <c r="B396" s="17"/>
      <c r="C396" s="17"/>
      <c r="D396" s="18"/>
      <c r="E396" s="11"/>
      <c r="F396" s="19"/>
      <c r="G396" s="20"/>
      <c r="H396" s="37"/>
      <c r="I396" s="22"/>
      <c r="J396" s="39"/>
      <c r="K396" s="24"/>
      <c r="N396" s="69"/>
      <c r="O396" s="27"/>
    </row>
    <row r="397" spans="1:15" x14ac:dyDescent="0.25">
      <c r="A397" s="13">
        <f t="shared" si="12"/>
        <v>36</v>
      </c>
      <c r="B397" s="17"/>
      <c r="C397" s="17"/>
      <c r="D397" s="18"/>
      <c r="E397" s="11"/>
      <c r="F397" s="19"/>
      <c r="G397" s="20"/>
      <c r="H397" s="37"/>
      <c r="I397" s="22"/>
      <c r="J397" s="39"/>
      <c r="K397" s="24"/>
      <c r="N397" s="69"/>
      <c r="O397" s="27"/>
    </row>
    <row r="398" spans="1:15" x14ac:dyDescent="0.25">
      <c r="A398" s="13">
        <f t="shared" si="12"/>
        <v>36</v>
      </c>
      <c r="B398" s="17"/>
      <c r="C398" s="17"/>
      <c r="D398" s="18"/>
      <c r="E398" s="11"/>
      <c r="F398" s="19"/>
      <c r="G398" s="20"/>
      <c r="H398" s="37"/>
      <c r="I398" s="22"/>
      <c r="J398" s="39"/>
      <c r="K398" s="24"/>
      <c r="N398" s="69"/>
      <c r="O398" s="27"/>
    </row>
    <row r="399" spans="1:15" x14ac:dyDescent="0.25">
      <c r="A399" s="13">
        <f t="shared" si="12"/>
        <v>36</v>
      </c>
      <c r="B399" s="17"/>
      <c r="C399" s="17"/>
      <c r="D399" s="18"/>
      <c r="E399" s="11"/>
      <c r="F399" s="19"/>
      <c r="G399" s="20"/>
      <c r="H399" s="37"/>
      <c r="I399" s="22"/>
      <c r="J399" s="39"/>
      <c r="K399" s="24"/>
      <c r="N399" s="69"/>
      <c r="O399" s="27"/>
    </row>
    <row r="400" spans="1:15" x14ac:dyDescent="0.25">
      <c r="A400" s="13">
        <f t="shared" si="12"/>
        <v>36</v>
      </c>
      <c r="B400" s="17"/>
      <c r="C400" s="17"/>
      <c r="D400" s="18"/>
      <c r="E400" s="11"/>
      <c r="F400" s="19"/>
      <c r="G400" s="20"/>
      <c r="H400" s="37"/>
      <c r="I400" s="22"/>
      <c r="J400" s="39"/>
      <c r="K400" s="24"/>
      <c r="N400" s="69"/>
      <c r="O400" s="27"/>
    </row>
    <row r="401" spans="1:15" x14ac:dyDescent="0.25">
      <c r="A401" s="13">
        <f t="shared" si="12"/>
        <v>36</v>
      </c>
      <c r="B401" s="17"/>
      <c r="C401" s="17"/>
      <c r="D401" s="18"/>
      <c r="E401" s="11"/>
      <c r="F401" s="19"/>
      <c r="G401" s="20"/>
      <c r="H401" s="37"/>
      <c r="I401" s="22"/>
      <c r="J401" s="39"/>
      <c r="K401" s="24"/>
      <c r="N401" s="69"/>
      <c r="O401" s="27"/>
    </row>
    <row r="402" spans="1:15" x14ac:dyDescent="0.25">
      <c r="A402" s="13">
        <f t="shared" si="12"/>
        <v>36</v>
      </c>
      <c r="B402" s="17"/>
      <c r="C402" s="17"/>
      <c r="D402" s="18"/>
      <c r="E402" s="11"/>
      <c r="F402" s="19"/>
      <c r="G402" s="20"/>
      <c r="H402" s="37"/>
      <c r="I402" s="22"/>
      <c r="J402" s="39"/>
      <c r="K402" s="24"/>
      <c r="N402" s="69"/>
      <c r="O402" s="27"/>
    </row>
    <row r="403" spans="1:15" x14ac:dyDescent="0.25">
      <c r="A403" s="13">
        <f t="shared" si="12"/>
        <v>36</v>
      </c>
      <c r="B403" s="17"/>
      <c r="C403" s="17"/>
      <c r="D403" s="18"/>
      <c r="E403" s="11"/>
      <c r="F403" s="19"/>
      <c r="G403" s="20"/>
      <c r="H403" s="37"/>
      <c r="I403" s="22"/>
      <c r="J403" s="39"/>
      <c r="K403" s="24"/>
      <c r="N403" s="69"/>
      <c r="O403" s="27"/>
    </row>
    <row r="404" spans="1:15" x14ac:dyDescent="0.25">
      <c r="A404" s="13">
        <f t="shared" si="12"/>
        <v>36</v>
      </c>
      <c r="B404" s="17"/>
      <c r="C404" s="17"/>
      <c r="D404" s="18"/>
      <c r="E404" s="11"/>
      <c r="F404" s="19"/>
      <c r="G404" s="20"/>
      <c r="H404" s="37"/>
      <c r="I404" s="22"/>
      <c r="J404" s="39"/>
      <c r="K404" s="24"/>
      <c r="N404" s="69"/>
      <c r="O404" s="27"/>
    </row>
    <row r="405" spans="1:15" x14ac:dyDescent="0.25">
      <c r="A405" s="13">
        <f t="shared" si="12"/>
        <v>36</v>
      </c>
      <c r="B405" s="17"/>
      <c r="C405" s="17"/>
      <c r="D405" s="18"/>
      <c r="E405" s="11"/>
      <c r="F405" s="19"/>
      <c r="G405" s="20"/>
      <c r="H405" s="37"/>
      <c r="I405" s="22"/>
      <c r="J405" s="39"/>
      <c r="K405" s="24"/>
      <c r="N405" s="69"/>
      <c r="O405" s="27"/>
    </row>
    <row r="406" spans="1:15" x14ac:dyDescent="0.25">
      <c r="A406" s="13">
        <f t="shared" si="12"/>
        <v>36</v>
      </c>
      <c r="B406" s="17"/>
      <c r="C406" s="17"/>
      <c r="D406" s="18"/>
      <c r="E406" s="11"/>
      <c r="F406" s="19"/>
      <c r="G406" s="20"/>
      <c r="H406" s="37"/>
      <c r="I406" s="22"/>
      <c r="J406" s="39"/>
      <c r="K406" s="24"/>
      <c r="N406" s="69"/>
      <c r="O406" s="27"/>
    </row>
    <row r="407" spans="1:15" x14ac:dyDescent="0.25">
      <c r="A407" s="13">
        <f t="shared" si="12"/>
        <v>36</v>
      </c>
      <c r="B407" s="17"/>
      <c r="C407" s="17"/>
      <c r="D407" s="18"/>
      <c r="E407" s="11"/>
      <c r="F407" s="19"/>
      <c r="G407" s="20"/>
      <c r="H407" s="37"/>
      <c r="I407" s="22"/>
      <c r="J407" s="39"/>
      <c r="K407" s="24"/>
      <c r="N407" s="69"/>
      <c r="O407" s="27"/>
    </row>
    <row r="408" spans="1:15" x14ac:dyDescent="0.25">
      <c r="A408" s="13">
        <f t="shared" si="12"/>
        <v>36</v>
      </c>
      <c r="B408" s="17"/>
      <c r="C408" s="17"/>
      <c r="D408" s="18"/>
      <c r="E408" s="11"/>
      <c r="F408" s="19"/>
      <c r="G408" s="20"/>
      <c r="H408" s="37"/>
      <c r="I408" s="22"/>
      <c r="J408" s="39"/>
      <c r="K408" s="24"/>
      <c r="N408" s="69"/>
      <c r="O408" s="27"/>
    </row>
    <row r="409" spans="1:15" x14ac:dyDescent="0.25">
      <c r="A409" s="13">
        <f t="shared" si="12"/>
        <v>36</v>
      </c>
      <c r="B409" s="17"/>
      <c r="C409" s="17"/>
      <c r="D409" s="18"/>
      <c r="E409" s="11"/>
      <c r="F409" s="19"/>
      <c r="G409" s="20"/>
      <c r="H409" s="21"/>
      <c r="I409" s="22"/>
      <c r="J409" s="39"/>
      <c r="K409" s="24"/>
      <c r="N409" s="69"/>
      <c r="O409" s="27"/>
    </row>
    <row r="410" spans="1:15" x14ac:dyDescent="0.25">
      <c r="A410" s="13">
        <f t="shared" si="12"/>
        <v>36</v>
      </c>
      <c r="B410" s="17"/>
      <c r="C410" s="17"/>
      <c r="D410" s="18"/>
      <c r="E410" s="11"/>
      <c r="F410" s="19"/>
      <c r="G410" s="20"/>
      <c r="H410" s="21"/>
      <c r="I410" s="22"/>
      <c r="J410" s="39"/>
      <c r="K410" s="24"/>
      <c r="N410" s="69"/>
      <c r="O410" s="27"/>
    </row>
    <row r="411" spans="1:15" x14ac:dyDescent="0.25">
      <c r="A411" s="13">
        <f t="shared" si="12"/>
        <v>36</v>
      </c>
      <c r="B411" s="17"/>
      <c r="C411" s="17"/>
      <c r="D411" s="18"/>
      <c r="E411" s="11"/>
      <c r="F411" s="19"/>
      <c r="G411" s="20"/>
      <c r="H411" s="21"/>
      <c r="I411" s="22"/>
      <c r="J411" s="39"/>
      <c r="K411" s="24"/>
      <c r="N411" s="69"/>
      <c r="O411" s="27"/>
    </row>
    <row r="412" spans="1:15" x14ac:dyDescent="0.25">
      <c r="A412" s="13">
        <f t="shared" si="12"/>
        <v>36</v>
      </c>
      <c r="B412" s="17"/>
      <c r="C412" s="17"/>
      <c r="D412" s="18"/>
      <c r="E412" s="11"/>
      <c r="F412" s="19"/>
      <c r="G412" s="20"/>
      <c r="H412" s="21"/>
      <c r="I412" s="22"/>
      <c r="J412" s="39"/>
      <c r="K412" s="24"/>
      <c r="N412" s="69"/>
      <c r="O412" s="27"/>
    </row>
    <row r="413" spans="1:15" x14ac:dyDescent="0.25">
      <c r="A413" s="13">
        <f t="shared" si="12"/>
        <v>36</v>
      </c>
      <c r="B413" s="17"/>
      <c r="C413" s="17"/>
      <c r="D413" s="18"/>
      <c r="E413" s="11"/>
      <c r="F413" s="19"/>
      <c r="G413" s="20"/>
      <c r="H413" s="21"/>
      <c r="I413" s="22"/>
      <c r="J413" s="39"/>
      <c r="K413" s="24"/>
      <c r="N413" s="69"/>
      <c r="O413" s="27"/>
    </row>
    <row r="414" spans="1:15" x14ac:dyDescent="0.25">
      <c r="A414" s="13">
        <f t="shared" si="12"/>
        <v>36</v>
      </c>
      <c r="B414" s="17"/>
      <c r="C414" s="17"/>
      <c r="D414" s="18"/>
      <c r="E414" s="11"/>
      <c r="F414" s="19"/>
      <c r="G414" s="20"/>
      <c r="H414" s="21"/>
      <c r="I414" s="22"/>
      <c r="J414" s="39"/>
      <c r="K414" s="24"/>
      <c r="N414" s="69"/>
      <c r="O414" s="27"/>
    </row>
    <row r="415" spans="1:15" x14ac:dyDescent="0.25">
      <c r="A415" s="13">
        <f t="shared" si="12"/>
        <v>36</v>
      </c>
      <c r="B415" s="17"/>
      <c r="C415" s="17"/>
      <c r="D415" s="18"/>
      <c r="E415" s="11"/>
      <c r="F415" s="19"/>
      <c r="G415" s="20"/>
      <c r="H415" s="21"/>
      <c r="I415" s="22"/>
      <c r="J415" s="39"/>
      <c r="K415" s="24"/>
      <c r="N415" s="69"/>
      <c r="O415" s="27"/>
    </row>
    <row r="416" spans="1:15" x14ac:dyDescent="0.25">
      <c r="A416" s="13">
        <f t="shared" si="12"/>
        <v>36</v>
      </c>
      <c r="B416" s="17"/>
      <c r="C416" s="17"/>
      <c r="D416" s="18"/>
      <c r="E416" s="11"/>
      <c r="F416" s="19"/>
      <c r="G416" s="36"/>
      <c r="H416" s="21"/>
      <c r="I416" s="22"/>
      <c r="J416" s="35"/>
      <c r="K416" s="24"/>
      <c r="N416" s="69"/>
      <c r="O416" s="27"/>
    </row>
    <row r="417" spans="1:15" x14ac:dyDescent="0.25">
      <c r="A417" s="13">
        <f t="shared" si="12"/>
        <v>36</v>
      </c>
      <c r="B417" s="17"/>
      <c r="C417" s="17"/>
      <c r="D417" s="18"/>
      <c r="E417" s="11"/>
      <c r="F417" s="19"/>
      <c r="G417" s="36"/>
      <c r="H417" s="21"/>
      <c r="I417" s="22"/>
      <c r="J417" s="35"/>
      <c r="K417" s="24"/>
      <c r="N417" s="69"/>
      <c r="O417" s="27"/>
    </row>
    <row r="418" spans="1:15" x14ac:dyDescent="0.25">
      <c r="A418" s="13">
        <f t="shared" si="12"/>
        <v>36</v>
      </c>
      <c r="B418" s="17"/>
      <c r="C418" s="17"/>
      <c r="D418" s="18"/>
      <c r="E418" s="11"/>
      <c r="F418" s="19"/>
      <c r="G418" s="36"/>
      <c r="H418" s="21"/>
      <c r="I418" s="22"/>
      <c r="J418" s="35"/>
      <c r="K418" s="24"/>
      <c r="N418" s="69"/>
      <c r="O418" s="27"/>
    </row>
    <row r="419" spans="1:15" x14ac:dyDescent="0.25">
      <c r="A419" s="13">
        <f t="shared" si="12"/>
        <v>36</v>
      </c>
      <c r="B419" s="17"/>
      <c r="C419" s="17"/>
      <c r="D419" s="18"/>
      <c r="E419" s="11"/>
      <c r="F419" s="19"/>
      <c r="G419" s="36"/>
      <c r="H419" s="21"/>
      <c r="I419" s="22"/>
      <c r="J419" s="35"/>
      <c r="K419" s="24"/>
      <c r="N419" s="69"/>
      <c r="O419" s="27"/>
    </row>
    <row r="420" spans="1:15" x14ac:dyDescent="0.25">
      <c r="A420" s="13">
        <f t="shared" si="12"/>
        <v>36</v>
      </c>
      <c r="B420" s="17"/>
      <c r="C420" s="17"/>
      <c r="D420" s="18"/>
      <c r="E420" s="11"/>
      <c r="F420" s="19"/>
      <c r="G420" s="36"/>
      <c r="H420" s="21"/>
      <c r="I420" s="22"/>
      <c r="J420" s="35"/>
      <c r="K420" s="24"/>
      <c r="N420" s="69"/>
      <c r="O420" s="27"/>
    </row>
    <row r="421" spans="1:15" x14ac:dyDescent="0.25">
      <c r="A421" s="13">
        <f t="shared" si="12"/>
        <v>36</v>
      </c>
      <c r="B421" s="17"/>
      <c r="C421" s="17"/>
      <c r="D421" s="18"/>
      <c r="E421" s="11"/>
      <c r="F421" s="19"/>
      <c r="G421" s="36"/>
      <c r="H421" s="21"/>
      <c r="I421" s="22"/>
      <c r="J421" s="35"/>
      <c r="K421" s="24"/>
      <c r="N421" s="69"/>
      <c r="O421" s="27"/>
    </row>
    <row r="422" spans="1:15" x14ac:dyDescent="0.25">
      <c r="A422" s="13">
        <f t="shared" si="12"/>
        <v>36</v>
      </c>
      <c r="B422" s="17"/>
      <c r="C422" s="17"/>
      <c r="D422" s="18"/>
      <c r="E422" s="11"/>
      <c r="F422" s="19"/>
      <c r="G422" s="36"/>
      <c r="H422" s="21"/>
      <c r="I422" s="22"/>
      <c r="J422" s="35"/>
      <c r="K422" s="24"/>
      <c r="N422" s="69"/>
      <c r="O422" s="27"/>
    </row>
    <row r="423" spans="1:15" x14ac:dyDescent="0.25">
      <c r="A423" s="13">
        <f t="shared" si="12"/>
        <v>36</v>
      </c>
      <c r="B423" s="17"/>
      <c r="C423" s="17"/>
      <c r="D423" s="18"/>
      <c r="E423" s="11"/>
      <c r="F423" s="19"/>
      <c r="G423" s="36"/>
      <c r="H423" s="21"/>
      <c r="I423" s="22"/>
      <c r="J423" s="35"/>
      <c r="K423" s="24"/>
      <c r="N423" s="69"/>
      <c r="O423" s="27"/>
    </row>
    <row r="424" spans="1:15" x14ac:dyDescent="0.25">
      <c r="A424" s="13">
        <f t="shared" si="12"/>
        <v>36</v>
      </c>
      <c r="B424" s="17"/>
      <c r="C424" s="17"/>
      <c r="D424" s="18"/>
      <c r="E424" s="11"/>
      <c r="F424" s="19"/>
      <c r="G424" s="36"/>
      <c r="H424" s="21"/>
      <c r="I424" s="22"/>
      <c r="J424" s="35"/>
      <c r="K424" s="24"/>
      <c r="N424" s="69"/>
      <c r="O424" s="27"/>
    </row>
    <row r="425" spans="1:15" x14ac:dyDescent="0.25">
      <c r="A425" s="13">
        <f t="shared" si="12"/>
        <v>36</v>
      </c>
      <c r="B425" s="17"/>
      <c r="C425" s="17"/>
      <c r="D425" s="18"/>
      <c r="E425" s="11"/>
      <c r="F425" s="19"/>
      <c r="G425" s="36"/>
      <c r="H425" s="21"/>
      <c r="I425" s="22"/>
      <c r="J425" s="35"/>
      <c r="K425" s="24"/>
      <c r="N425" s="69"/>
      <c r="O425" s="27"/>
    </row>
    <row r="426" spans="1:15" x14ac:dyDescent="0.25">
      <c r="A426" s="13">
        <f t="shared" si="12"/>
        <v>36</v>
      </c>
      <c r="B426" s="17"/>
      <c r="C426" s="17"/>
      <c r="D426" s="18"/>
      <c r="E426" s="11"/>
      <c r="F426" s="19"/>
      <c r="G426" s="36"/>
      <c r="H426" s="21"/>
      <c r="I426" s="22"/>
      <c r="J426" s="35"/>
      <c r="K426" s="24"/>
      <c r="N426" s="69"/>
      <c r="O426" s="27"/>
    </row>
    <row r="427" spans="1:15" x14ac:dyDescent="0.25">
      <c r="A427" s="13">
        <f t="shared" si="12"/>
        <v>36</v>
      </c>
      <c r="B427" s="17"/>
      <c r="C427" s="17"/>
      <c r="D427" s="18"/>
      <c r="E427" s="11"/>
      <c r="F427" s="19"/>
      <c r="G427" s="36"/>
      <c r="H427" s="21"/>
      <c r="I427" s="22"/>
      <c r="J427" s="35"/>
      <c r="K427" s="24"/>
      <c r="N427" s="69"/>
      <c r="O427" s="27"/>
    </row>
    <row r="428" spans="1:15" x14ac:dyDescent="0.25">
      <c r="A428" s="13">
        <f t="shared" si="12"/>
        <v>36</v>
      </c>
      <c r="B428" s="17"/>
      <c r="C428" s="17"/>
      <c r="D428" s="18"/>
      <c r="E428" s="11"/>
      <c r="F428" s="19"/>
      <c r="G428" s="36"/>
      <c r="H428" s="21"/>
      <c r="I428" s="22"/>
      <c r="J428" s="35"/>
      <c r="K428" s="24"/>
      <c r="N428" s="69"/>
      <c r="O428" s="27"/>
    </row>
    <row r="429" spans="1:15" x14ac:dyDescent="0.25">
      <c r="A429" s="13">
        <f t="shared" si="12"/>
        <v>36</v>
      </c>
      <c r="B429" s="17"/>
      <c r="C429" s="17"/>
      <c r="D429" s="18"/>
      <c r="E429" s="11"/>
      <c r="F429" s="19"/>
      <c r="G429" s="36"/>
      <c r="H429" s="21"/>
      <c r="I429" s="22"/>
      <c r="J429" s="35"/>
      <c r="K429" s="24"/>
      <c r="N429" s="69"/>
      <c r="O429" s="27"/>
    </row>
    <row r="430" spans="1:15" x14ac:dyDescent="0.25">
      <c r="A430" s="13">
        <f t="shared" si="12"/>
        <v>36</v>
      </c>
      <c r="B430" s="17"/>
      <c r="C430" s="17"/>
      <c r="D430" s="18"/>
      <c r="E430" s="11"/>
      <c r="F430" s="19"/>
      <c r="G430" s="36"/>
      <c r="H430" s="21"/>
      <c r="I430" s="22"/>
      <c r="J430" s="35"/>
      <c r="K430" s="24"/>
      <c r="N430" s="69"/>
      <c r="O430" s="27"/>
    </row>
    <row r="431" spans="1:15" x14ac:dyDescent="0.25">
      <c r="A431" s="13">
        <f t="shared" si="12"/>
        <v>36</v>
      </c>
      <c r="B431" s="17"/>
      <c r="C431" s="17"/>
      <c r="D431" s="18"/>
      <c r="E431" s="11"/>
      <c r="F431" s="19"/>
      <c r="G431" s="20"/>
      <c r="H431" s="21"/>
      <c r="I431" s="22"/>
      <c r="J431" s="39"/>
      <c r="K431" s="24"/>
      <c r="N431" s="69"/>
      <c r="O431" s="27"/>
    </row>
    <row r="432" spans="1:15" x14ac:dyDescent="0.25">
      <c r="A432" s="13">
        <f t="shared" si="12"/>
        <v>36</v>
      </c>
      <c r="B432" s="17"/>
      <c r="C432" s="17"/>
      <c r="D432" s="18"/>
      <c r="E432" s="11"/>
      <c r="F432" s="19"/>
      <c r="G432" s="20"/>
      <c r="H432" s="21"/>
      <c r="I432" s="22"/>
      <c r="J432" s="39"/>
      <c r="K432" s="24"/>
      <c r="N432" s="69"/>
      <c r="O432" s="27"/>
    </row>
    <row r="433" spans="1:15" x14ac:dyDescent="0.25">
      <c r="A433" s="13">
        <f t="shared" si="12"/>
        <v>36</v>
      </c>
      <c r="B433" s="17"/>
      <c r="C433" s="17"/>
      <c r="D433" s="18"/>
      <c r="E433" s="11"/>
      <c r="F433" s="19"/>
      <c r="G433" s="20"/>
      <c r="H433" s="21"/>
      <c r="I433" s="22"/>
      <c r="J433" s="39"/>
      <c r="K433" s="24"/>
      <c r="N433" s="69"/>
      <c r="O433" s="27"/>
    </row>
    <row r="434" spans="1:15" x14ac:dyDescent="0.25">
      <c r="A434" s="13">
        <f t="shared" si="12"/>
        <v>36</v>
      </c>
      <c r="B434" s="17"/>
      <c r="C434" s="17"/>
      <c r="D434" s="18"/>
      <c r="E434" s="11"/>
      <c r="F434" s="19"/>
      <c r="G434" s="20"/>
      <c r="H434" s="21"/>
      <c r="I434" s="22"/>
      <c r="J434" s="39"/>
      <c r="K434" s="24"/>
      <c r="N434" s="69"/>
      <c r="O434" s="27"/>
    </row>
    <row r="435" spans="1:15" x14ac:dyDescent="0.25">
      <c r="A435" s="13">
        <f t="shared" si="12"/>
        <v>36</v>
      </c>
      <c r="B435" s="17"/>
      <c r="C435" s="17"/>
      <c r="D435" s="18"/>
      <c r="E435" s="11"/>
      <c r="F435" s="19"/>
      <c r="G435" s="20"/>
      <c r="H435" s="21"/>
      <c r="I435" s="22"/>
      <c r="J435" s="39"/>
      <c r="K435" s="24"/>
      <c r="N435" s="69"/>
      <c r="O435" s="27"/>
    </row>
    <row r="436" spans="1:15" x14ac:dyDescent="0.25">
      <c r="A436" s="13">
        <f t="shared" si="12"/>
        <v>36</v>
      </c>
      <c r="B436" s="17"/>
      <c r="C436" s="17"/>
      <c r="D436" s="18"/>
      <c r="E436" s="11"/>
      <c r="F436" s="19"/>
      <c r="G436" s="20"/>
      <c r="H436" s="21"/>
      <c r="I436" s="22"/>
      <c r="J436" s="39"/>
      <c r="K436" s="24"/>
      <c r="N436" s="69"/>
      <c r="O436" s="27"/>
    </row>
    <row r="437" spans="1:15" x14ac:dyDescent="0.25">
      <c r="A437" s="13">
        <f t="shared" si="12"/>
        <v>36</v>
      </c>
      <c r="B437" s="17"/>
      <c r="C437" s="17"/>
      <c r="D437" s="18"/>
      <c r="E437" s="11"/>
      <c r="F437" s="19"/>
      <c r="G437" s="20"/>
      <c r="H437" s="21"/>
      <c r="I437" s="22"/>
      <c r="J437" s="39"/>
      <c r="K437" s="24"/>
      <c r="N437" s="69"/>
      <c r="O437" s="27"/>
    </row>
    <row r="438" spans="1:15" x14ac:dyDescent="0.25">
      <c r="A438" s="13">
        <f t="shared" si="12"/>
        <v>36</v>
      </c>
      <c r="B438" s="17"/>
      <c r="C438" s="17"/>
      <c r="D438" s="18"/>
      <c r="E438" s="11"/>
      <c r="F438" s="19"/>
      <c r="G438" s="20"/>
      <c r="H438" s="21"/>
      <c r="I438" s="22"/>
      <c r="J438" s="39"/>
      <c r="K438" s="24"/>
      <c r="N438" s="69"/>
      <c r="O438" s="27"/>
    </row>
    <row r="439" spans="1:15" x14ac:dyDescent="0.25">
      <c r="A439" s="13">
        <f t="shared" si="12"/>
        <v>36</v>
      </c>
      <c r="B439" s="17"/>
      <c r="C439" s="17"/>
      <c r="D439" s="18"/>
      <c r="E439" s="11"/>
      <c r="F439" s="19"/>
      <c r="G439" s="20"/>
      <c r="H439" s="21"/>
      <c r="I439" s="22"/>
      <c r="J439" s="39"/>
      <c r="K439" s="24"/>
      <c r="N439" s="69"/>
      <c r="O439" s="27"/>
    </row>
    <row r="440" spans="1:15" x14ac:dyDescent="0.25">
      <c r="A440" s="13">
        <f t="shared" si="12"/>
        <v>36</v>
      </c>
      <c r="B440" s="17"/>
      <c r="C440" s="17"/>
      <c r="D440" s="18"/>
      <c r="E440" s="11"/>
      <c r="F440" s="19"/>
      <c r="G440" s="20"/>
      <c r="H440" s="21"/>
      <c r="I440" s="22"/>
      <c r="J440" s="39"/>
      <c r="K440" s="24"/>
      <c r="N440" s="69"/>
      <c r="O440" s="27"/>
    </row>
    <row r="441" spans="1:15" x14ac:dyDescent="0.25">
      <c r="A441" s="13">
        <f t="shared" si="12"/>
        <v>36</v>
      </c>
      <c r="B441" s="17"/>
      <c r="C441" s="17"/>
      <c r="D441" s="18"/>
      <c r="E441" s="11"/>
      <c r="F441" s="19"/>
      <c r="G441" s="20"/>
      <c r="H441" s="21"/>
      <c r="I441" s="22"/>
      <c r="J441" s="39"/>
      <c r="K441" s="24"/>
      <c r="N441" s="69"/>
      <c r="O441" s="27"/>
    </row>
    <row r="442" spans="1:15" x14ac:dyDescent="0.25">
      <c r="A442" s="13">
        <f t="shared" si="12"/>
        <v>36</v>
      </c>
      <c r="B442" s="17"/>
      <c r="C442" s="17"/>
      <c r="D442" s="18"/>
      <c r="E442" s="11"/>
      <c r="F442" s="19"/>
      <c r="G442" s="20"/>
      <c r="H442" s="21"/>
      <c r="I442" s="22"/>
      <c r="J442" s="39"/>
      <c r="K442" s="24"/>
      <c r="N442" s="69"/>
      <c r="O442" s="27"/>
    </row>
    <row r="443" spans="1:15" x14ac:dyDescent="0.25">
      <c r="A443" s="13">
        <f t="shared" si="12"/>
        <v>36</v>
      </c>
      <c r="B443" s="17"/>
      <c r="C443" s="17"/>
      <c r="D443" s="18"/>
      <c r="E443" s="11"/>
      <c r="F443" s="19"/>
      <c r="G443" s="20"/>
      <c r="H443" s="21"/>
      <c r="I443" s="22"/>
      <c r="J443" s="39"/>
      <c r="K443" s="24"/>
      <c r="N443" s="69"/>
      <c r="O443" s="27"/>
    </row>
    <row r="444" spans="1:15" x14ac:dyDescent="0.25">
      <c r="A444" s="13">
        <f t="shared" si="12"/>
        <v>36</v>
      </c>
      <c r="B444" s="17"/>
      <c r="C444" s="17"/>
      <c r="D444" s="18"/>
      <c r="E444" s="11"/>
      <c r="F444" s="19"/>
      <c r="G444" s="20"/>
      <c r="H444" s="21"/>
      <c r="I444" s="22"/>
      <c r="J444" s="39"/>
      <c r="K444" s="24"/>
      <c r="N444" s="69"/>
      <c r="O444" s="27"/>
    </row>
    <row r="445" spans="1:15" x14ac:dyDescent="0.25">
      <c r="A445" s="13">
        <f t="shared" si="12"/>
        <v>36</v>
      </c>
      <c r="B445" s="17"/>
      <c r="C445" s="17"/>
      <c r="D445" s="18"/>
      <c r="E445" s="11"/>
      <c r="F445" s="19"/>
      <c r="G445" s="20"/>
      <c r="H445" s="21"/>
      <c r="I445" s="22"/>
      <c r="J445" s="39"/>
      <c r="K445" s="24"/>
      <c r="N445" s="69"/>
      <c r="O445" s="27"/>
    </row>
    <row r="446" spans="1:15" x14ac:dyDescent="0.25">
      <c r="A446" s="13">
        <f t="shared" si="12"/>
        <v>36</v>
      </c>
      <c r="B446" s="17"/>
      <c r="C446" s="17"/>
      <c r="D446" s="18"/>
      <c r="E446" s="11"/>
      <c r="F446" s="19"/>
      <c r="G446" s="20"/>
      <c r="H446" s="21"/>
      <c r="I446" s="22"/>
      <c r="J446" s="39"/>
      <c r="K446" s="24"/>
      <c r="N446" s="69"/>
      <c r="O446" s="27"/>
    </row>
    <row r="447" spans="1:15" x14ac:dyDescent="0.25">
      <c r="A447" s="13">
        <f t="shared" si="12"/>
        <v>36</v>
      </c>
      <c r="B447" s="17"/>
      <c r="C447" s="17"/>
      <c r="D447" s="18"/>
      <c r="E447" s="11"/>
      <c r="F447" s="19"/>
      <c r="G447" s="20"/>
      <c r="H447" s="21"/>
      <c r="I447" s="22"/>
      <c r="J447" s="39"/>
      <c r="K447" s="24"/>
      <c r="N447" s="69"/>
      <c r="O447" s="27"/>
    </row>
    <row r="448" spans="1:15" x14ac:dyDescent="0.25">
      <c r="A448" s="13">
        <f t="shared" si="12"/>
        <v>36</v>
      </c>
      <c r="B448" s="17"/>
      <c r="C448" s="17"/>
      <c r="D448" s="18"/>
      <c r="E448" s="11"/>
      <c r="F448" s="19"/>
      <c r="G448" s="20"/>
      <c r="H448" s="21"/>
      <c r="I448" s="22"/>
      <c r="J448" s="39"/>
      <c r="K448" s="24"/>
      <c r="N448" s="69"/>
      <c r="O448" s="27"/>
    </row>
    <row r="449" spans="1:15" x14ac:dyDescent="0.25">
      <c r="A449" s="13">
        <f t="shared" si="12"/>
        <v>36</v>
      </c>
      <c r="B449" s="17"/>
      <c r="C449" s="17"/>
      <c r="D449" s="18"/>
      <c r="E449" s="11"/>
      <c r="F449" s="19"/>
      <c r="G449" s="20"/>
      <c r="H449" s="21"/>
      <c r="I449" s="22"/>
      <c r="J449" s="39"/>
      <c r="K449" s="24"/>
      <c r="N449" s="69"/>
      <c r="O449" s="27"/>
    </row>
    <row r="450" spans="1:15" x14ac:dyDescent="0.25">
      <c r="A450" s="13">
        <f t="shared" si="12"/>
        <v>36</v>
      </c>
      <c r="B450" s="17"/>
      <c r="C450" s="17"/>
      <c r="D450" s="18"/>
      <c r="E450" s="11"/>
      <c r="F450" s="19"/>
      <c r="G450" s="20"/>
      <c r="H450" s="21"/>
      <c r="I450" s="22"/>
      <c r="J450" s="39"/>
      <c r="K450" s="24"/>
      <c r="N450" s="69"/>
      <c r="O450" s="27"/>
    </row>
    <row r="451" spans="1:15" x14ac:dyDescent="0.25">
      <c r="A451" s="13">
        <f t="shared" si="12"/>
        <v>36</v>
      </c>
      <c r="B451" s="17"/>
      <c r="C451" s="17"/>
      <c r="D451" s="18"/>
      <c r="E451" s="11"/>
      <c r="F451" s="19"/>
      <c r="G451" s="20"/>
      <c r="H451" s="21"/>
      <c r="I451" s="22"/>
      <c r="J451" s="39"/>
      <c r="K451" s="24"/>
      <c r="N451" s="69"/>
      <c r="O451" s="27"/>
    </row>
    <row r="452" spans="1:15" x14ac:dyDescent="0.25">
      <c r="A452" s="13">
        <f t="shared" ref="A452:A515" si="13">IF(B452=B451,A451,A451+1)</f>
        <v>36</v>
      </c>
      <c r="B452" s="17"/>
      <c r="C452" s="17"/>
      <c r="D452" s="18"/>
      <c r="E452" s="11"/>
      <c r="F452" s="19"/>
      <c r="G452" s="20"/>
      <c r="H452" s="21"/>
      <c r="I452" s="22"/>
      <c r="J452" s="39"/>
      <c r="K452" s="24"/>
      <c r="N452" s="69"/>
      <c r="O452" s="27"/>
    </row>
    <row r="453" spans="1:15" x14ac:dyDescent="0.25">
      <c r="A453" s="13">
        <f t="shared" si="13"/>
        <v>36</v>
      </c>
      <c r="B453" s="17"/>
      <c r="C453" s="17"/>
      <c r="D453" s="18"/>
      <c r="E453" s="11"/>
      <c r="F453" s="19"/>
      <c r="G453" s="20"/>
      <c r="H453" s="21"/>
      <c r="I453" s="22"/>
      <c r="J453" s="39"/>
      <c r="K453" s="24"/>
      <c r="N453" s="69"/>
      <c r="O453" s="27"/>
    </row>
    <row r="454" spans="1:15" x14ac:dyDescent="0.25">
      <c r="A454" s="13">
        <f t="shared" si="13"/>
        <v>36</v>
      </c>
      <c r="B454" s="17"/>
      <c r="C454" s="17"/>
      <c r="D454" s="18"/>
      <c r="E454" s="11"/>
      <c r="F454" s="19"/>
      <c r="G454" s="20"/>
      <c r="H454" s="21"/>
      <c r="I454" s="22"/>
      <c r="J454" s="39"/>
      <c r="K454" s="24"/>
      <c r="N454" s="69"/>
      <c r="O454" s="27"/>
    </row>
    <row r="455" spans="1:15" x14ac:dyDescent="0.25">
      <c r="A455" s="13">
        <f t="shared" si="13"/>
        <v>36</v>
      </c>
      <c r="B455" s="17"/>
      <c r="C455" s="17"/>
      <c r="D455" s="18"/>
      <c r="E455" s="11"/>
      <c r="F455" s="19"/>
      <c r="G455" s="20"/>
      <c r="H455" s="21"/>
      <c r="I455" s="22"/>
      <c r="J455" s="39"/>
      <c r="K455" s="24"/>
      <c r="N455" s="69"/>
      <c r="O455" s="27"/>
    </row>
    <row r="456" spans="1:15" x14ac:dyDescent="0.25">
      <c r="A456" s="13">
        <f t="shared" si="13"/>
        <v>36</v>
      </c>
      <c r="B456" s="17"/>
      <c r="C456" s="17"/>
      <c r="D456" s="18"/>
      <c r="E456" s="11"/>
      <c r="F456" s="19"/>
      <c r="G456" s="20"/>
      <c r="H456" s="21"/>
      <c r="I456" s="22"/>
      <c r="J456" s="39"/>
      <c r="K456" s="24"/>
      <c r="N456" s="69"/>
      <c r="O456" s="27"/>
    </row>
    <row r="457" spans="1:15" x14ac:dyDescent="0.25">
      <c r="A457" s="13">
        <f t="shared" si="13"/>
        <v>36</v>
      </c>
      <c r="B457" s="17"/>
      <c r="C457" s="17"/>
      <c r="D457" s="18"/>
      <c r="E457" s="11"/>
      <c r="F457" s="19"/>
      <c r="G457" s="20"/>
      <c r="H457" s="21"/>
      <c r="I457" s="22"/>
      <c r="J457" s="39"/>
      <c r="K457" s="24"/>
      <c r="N457" s="69"/>
      <c r="O457" s="27"/>
    </row>
    <row r="458" spans="1:15" x14ac:dyDescent="0.25">
      <c r="A458" s="13">
        <f t="shared" si="13"/>
        <v>36</v>
      </c>
      <c r="B458" s="17"/>
      <c r="C458" s="17"/>
      <c r="D458" s="18"/>
      <c r="E458" s="11"/>
      <c r="F458" s="19"/>
      <c r="G458" s="20"/>
      <c r="H458" s="21"/>
      <c r="I458" s="22"/>
      <c r="J458" s="39"/>
      <c r="K458" s="24"/>
      <c r="N458" s="69"/>
      <c r="O458" s="27"/>
    </row>
    <row r="459" spans="1:15" x14ac:dyDescent="0.25">
      <c r="A459" s="13">
        <f t="shared" si="13"/>
        <v>36</v>
      </c>
      <c r="B459" s="17"/>
      <c r="C459" s="17"/>
      <c r="D459" s="18"/>
      <c r="E459" s="11"/>
      <c r="F459" s="19"/>
      <c r="G459" s="20"/>
      <c r="H459" s="21"/>
      <c r="I459" s="22"/>
      <c r="J459" s="39"/>
      <c r="K459" s="24"/>
      <c r="N459" s="69"/>
      <c r="O459" s="27"/>
    </row>
    <row r="460" spans="1:15" x14ac:dyDescent="0.25">
      <c r="A460" s="13">
        <f t="shared" si="13"/>
        <v>36</v>
      </c>
      <c r="B460" s="17"/>
      <c r="C460" s="17"/>
      <c r="D460" s="18"/>
      <c r="E460" s="11"/>
      <c r="F460" s="19"/>
      <c r="G460" s="20"/>
      <c r="H460" s="21"/>
      <c r="I460" s="22"/>
      <c r="J460" s="39"/>
      <c r="K460" s="24"/>
      <c r="N460" s="69"/>
      <c r="O460" s="27"/>
    </row>
    <row r="461" spans="1:15" x14ac:dyDescent="0.25">
      <c r="A461" s="13">
        <f t="shared" si="13"/>
        <v>36</v>
      </c>
      <c r="B461" s="17"/>
      <c r="C461" s="17"/>
      <c r="D461" s="18"/>
      <c r="E461" s="11"/>
      <c r="F461" s="19"/>
      <c r="G461" s="20"/>
      <c r="H461" s="21"/>
      <c r="I461" s="22"/>
      <c r="J461" s="39"/>
      <c r="K461" s="24"/>
      <c r="N461" s="69"/>
      <c r="O461" s="27"/>
    </row>
    <row r="462" spans="1:15" x14ac:dyDescent="0.25">
      <c r="A462" s="13">
        <f t="shared" si="13"/>
        <v>36</v>
      </c>
      <c r="B462" s="17"/>
      <c r="C462" s="17"/>
      <c r="D462" s="18"/>
      <c r="E462" s="11"/>
      <c r="F462" s="19"/>
      <c r="G462" s="20"/>
      <c r="H462" s="21"/>
      <c r="I462" s="22"/>
      <c r="J462" s="39"/>
      <c r="K462" s="24"/>
      <c r="N462" s="69"/>
      <c r="O462" s="27"/>
    </row>
    <row r="463" spans="1:15" x14ac:dyDescent="0.25">
      <c r="A463" s="13">
        <f t="shared" si="13"/>
        <v>36</v>
      </c>
      <c r="B463" s="17"/>
      <c r="C463" s="17"/>
      <c r="D463" s="18"/>
      <c r="E463" s="11"/>
      <c r="F463" s="19"/>
      <c r="G463" s="20"/>
      <c r="H463" s="21"/>
      <c r="I463" s="22"/>
      <c r="J463" s="39"/>
      <c r="K463" s="24"/>
      <c r="N463" s="69"/>
      <c r="O463" s="27"/>
    </row>
    <row r="464" spans="1:15" x14ac:dyDescent="0.25">
      <c r="A464" s="13">
        <f t="shared" si="13"/>
        <v>36</v>
      </c>
      <c r="B464" s="17"/>
      <c r="C464" s="17"/>
      <c r="D464" s="18"/>
      <c r="E464" s="11"/>
      <c r="F464" s="19"/>
      <c r="G464" s="20"/>
      <c r="H464" s="21"/>
      <c r="I464" s="22"/>
      <c r="J464" s="39"/>
      <c r="K464" s="24"/>
      <c r="N464" s="69"/>
      <c r="O464" s="27"/>
    </row>
    <row r="465" spans="1:15" x14ac:dyDescent="0.25">
      <c r="A465" s="13">
        <f t="shared" si="13"/>
        <v>36</v>
      </c>
      <c r="B465" s="17"/>
      <c r="C465" s="17"/>
      <c r="D465" s="18"/>
      <c r="E465" s="11"/>
      <c r="F465" s="19"/>
      <c r="G465" s="20"/>
      <c r="H465" s="21"/>
      <c r="I465" s="22"/>
      <c r="J465" s="39"/>
      <c r="K465" s="24"/>
      <c r="N465" s="69"/>
      <c r="O465" s="27"/>
    </row>
    <row r="466" spans="1:15" x14ac:dyDescent="0.25">
      <c r="A466" s="13">
        <f t="shared" si="13"/>
        <v>36</v>
      </c>
      <c r="B466" s="17"/>
      <c r="C466" s="17"/>
      <c r="D466" s="18"/>
      <c r="E466" s="11"/>
      <c r="F466" s="19"/>
      <c r="G466" s="20"/>
      <c r="H466" s="21"/>
      <c r="I466" s="22"/>
      <c r="J466" s="39"/>
      <c r="K466" s="24"/>
      <c r="N466" s="69"/>
      <c r="O466" s="27"/>
    </row>
    <row r="467" spans="1:15" x14ac:dyDescent="0.25">
      <c r="A467" s="13">
        <f t="shared" si="13"/>
        <v>36</v>
      </c>
      <c r="B467" s="17"/>
      <c r="C467" s="17"/>
      <c r="D467" s="18"/>
      <c r="E467" s="11"/>
      <c r="F467" s="19"/>
      <c r="G467" s="20"/>
      <c r="H467" s="21"/>
      <c r="I467" s="22"/>
      <c r="J467" s="39"/>
      <c r="K467" s="24"/>
      <c r="N467" s="69"/>
      <c r="O467" s="27"/>
    </row>
    <row r="468" spans="1:15" x14ac:dyDescent="0.25">
      <c r="A468" s="13">
        <f t="shared" si="13"/>
        <v>36</v>
      </c>
      <c r="B468" s="17"/>
      <c r="C468" s="17"/>
      <c r="D468" s="18"/>
      <c r="E468" s="11"/>
      <c r="F468" s="19"/>
      <c r="G468" s="20"/>
      <c r="H468" s="21"/>
      <c r="I468" s="22"/>
      <c r="J468" s="39"/>
      <c r="K468" s="24"/>
      <c r="N468" s="69"/>
      <c r="O468" s="27"/>
    </row>
    <row r="469" spans="1:15" x14ac:dyDescent="0.25">
      <c r="A469" s="13">
        <f t="shared" si="13"/>
        <v>36</v>
      </c>
      <c r="B469" s="17"/>
      <c r="C469" s="17"/>
      <c r="D469" s="18"/>
      <c r="E469" s="11"/>
      <c r="F469" s="19"/>
      <c r="G469" s="20"/>
      <c r="H469" s="21"/>
      <c r="I469" s="22"/>
      <c r="J469" s="39"/>
      <c r="K469" s="24"/>
      <c r="N469" s="69"/>
      <c r="O469" s="27"/>
    </row>
    <row r="470" spans="1:15" x14ac:dyDescent="0.25">
      <c r="A470" s="13">
        <f t="shared" si="13"/>
        <v>36</v>
      </c>
      <c r="B470" s="17"/>
      <c r="C470" s="17"/>
      <c r="D470" s="18"/>
      <c r="E470" s="11"/>
      <c r="F470" s="19"/>
      <c r="G470" s="20"/>
      <c r="H470" s="21"/>
      <c r="I470" s="22"/>
      <c r="J470" s="39"/>
      <c r="K470" s="24"/>
      <c r="N470" s="69"/>
      <c r="O470" s="27"/>
    </row>
    <row r="471" spans="1:15" x14ac:dyDescent="0.25">
      <c r="A471" s="13">
        <f t="shared" si="13"/>
        <v>36</v>
      </c>
      <c r="B471" s="17"/>
      <c r="C471" s="17"/>
      <c r="D471" s="18"/>
      <c r="E471" s="11"/>
      <c r="F471" s="19"/>
      <c r="G471" s="20"/>
      <c r="H471" s="21"/>
      <c r="I471" s="22"/>
      <c r="J471" s="39"/>
      <c r="K471" s="24"/>
      <c r="N471" s="69"/>
      <c r="O471" s="27"/>
    </row>
    <row r="472" spans="1:15" x14ac:dyDescent="0.25">
      <c r="A472" s="13">
        <f t="shared" si="13"/>
        <v>36</v>
      </c>
      <c r="B472" s="17"/>
      <c r="C472" s="17"/>
      <c r="D472" s="18"/>
      <c r="E472" s="11"/>
      <c r="F472" s="19"/>
      <c r="G472" s="20"/>
      <c r="H472" s="21"/>
      <c r="I472" s="22"/>
      <c r="J472" s="39"/>
      <c r="K472" s="24"/>
      <c r="N472" s="69"/>
      <c r="O472" s="27"/>
    </row>
    <row r="473" spans="1:15" x14ac:dyDescent="0.25">
      <c r="A473" s="13">
        <f t="shared" si="13"/>
        <v>36</v>
      </c>
      <c r="B473" s="17"/>
      <c r="C473" s="17"/>
      <c r="D473" s="18"/>
      <c r="E473" s="11"/>
      <c r="F473" s="19"/>
      <c r="G473" s="20"/>
      <c r="H473" s="21"/>
      <c r="I473" s="22"/>
      <c r="J473" s="39"/>
      <c r="K473" s="24"/>
      <c r="N473" s="69"/>
      <c r="O473" s="27"/>
    </row>
    <row r="474" spans="1:15" x14ac:dyDescent="0.25">
      <c r="A474" s="13">
        <f t="shared" si="13"/>
        <v>36</v>
      </c>
      <c r="B474" s="17"/>
      <c r="C474" s="17"/>
      <c r="D474" s="18"/>
      <c r="E474" s="11"/>
      <c r="F474" s="19"/>
      <c r="G474" s="20"/>
      <c r="H474" s="21"/>
      <c r="I474" s="22"/>
      <c r="J474" s="39"/>
      <c r="K474" s="24"/>
      <c r="N474" s="69"/>
      <c r="O474" s="27"/>
    </row>
    <row r="475" spans="1:15" x14ac:dyDescent="0.25">
      <c r="A475" s="13">
        <f t="shared" si="13"/>
        <v>36</v>
      </c>
      <c r="B475" s="17"/>
      <c r="C475" s="17"/>
      <c r="D475" s="18"/>
      <c r="E475" s="11"/>
      <c r="F475" s="19"/>
      <c r="G475" s="20"/>
      <c r="H475" s="21"/>
      <c r="I475" s="22"/>
      <c r="J475" s="39"/>
      <c r="K475" s="24"/>
      <c r="N475" s="69"/>
      <c r="O475" s="27"/>
    </row>
    <row r="476" spans="1:15" x14ac:dyDescent="0.25">
      <c r="A476" s="13">
        <f t="shared" si="13"/>
        <v>36</v>
      </c>
      <c r="B476" s="17"/>
      <c r="C476" s="17"/>
      <c r="D476" s="18"/>
      <c r="E476" s="11"/>
      <c r="F476" s="19"/>
      <c r="G476" s="20"/>
      <c r="H476" s="21"/>
      <c r="I476" s="22"/>
      <c r="J476" s="39"/>
      <c r="K476" s="24"/>
      <c r="N476" s="69"/>
      <c r="O476" s="27"/>
    </row>
    <row r="477" spans="1:15" x14ac:dyDescent="0.25">
      <c r="A477" s="13">
        <f t="shared" si="13"/>
        <v>36</v>
      </c>
      <c r="B477" s="17"/>
      <c r="C477" s="17"/>
      <c r="D477" s="18"/>
      <c r="E477" s="11"/>
      <c r="F477" s="19"/>
      <c r="G477" s="20"/>
      <c r="H477" s="21"/>
      <c r="I477" s="22"/>
      <c r="J477" s="39"/>
      <c r="K477" s="24"/>
      <c r="N477" s="69"/>
      <c r="O477" s="27"/>
    </row>
    <row r="478" spans="1:15" x14ac:dyDescent="0.25">
      <c r="A478" s="13">
        <f t="shared" si="13"/>
        <v>36</v>
      </c>
      <c r="B478" s="17"/>
      <c r="C478" s="17"/>
      <c r="D478" s="18"/>
      <c r="E478" s="11"/>
      <c r="F478" s="19"/>
      <c r="G478" s="20"/>
      <c r="H478" s="21"/>
      <c r="I478" s="22"/>
      <c r="J478" s="39"/>
      <c r="K478" s="24"/>
      <c r="N478" s="69"/>
      <c r="O478" s="27"/>
    </row>
    <row r="479" spans="1:15" x14ac:dyDescent="0.25">
      <c r="A479" s="13">
        <f t="shared" si="13"/>
        <v>36</v>
      </c>
      <c r="B479" s="17"/>
      <c r="C479" s="17"/>
      <c r="D479" s="18"/>
      <c r="E479" s="11"/>
      <c r="F479" s="19"/>
      <c r="G479" s="20"/>
      <c r="H479" s="21"/>
      <c r="I479" s="22"/>
      <c r="J479" s="39"/>
      <c r="K479" s="24"/>
      <c r="N479" s="69"/>
      <c r="O479" s="27"/>
    </row>
    <row r="480" spans="1:15" x14ac:dyDescent="0.25">
      <c r="A480" s="13">
        <f t="shared" si="13"/>
        <v>36</v>
      </c>
      <c r="B480" s="17"/>
      <c r="C480" s="17"/>
      <c r="D480" s="18"/>
      <c r="E480" s="11"/>
      <c r="F480" s="19"/>
      <c r="G480" s="20"/>
      <c r="H480" s="21"/>
      <c r="I480" s="22"/>
      <c r="J480" s="39"/>
      <c r="K480" s="24"/>
      <c r="N480" s="69"/>
      <c r="O480" s="27"/>
    </row>
    <row r="481" spans="1:15" x14ac:dyDescent="0.25">
      <c r="A481" s="13">
        <f t="shared" si="13"/>
        <v>36</v>
      </c>
      <c r="B481" s="17"/>
      <c r="C481" s="17"/>
      <c r="D481" s="18"/>
      <c r="E481" s="11"/>
      <c r="F481" s="19"/>
      <c r="G481" s="20"/>
      <c r="H481" s="21"/>
      <c r="I481" s="22"/>
      <c r="J481" s="39"/>
      <c r="K481" s="24"/>
      <c r="N481" s="69"/>
      <c r="O481" s="27"/>
    </row>
    <row r="482" spans="1:15" x14ac:dyDescent="0.25">
      <c r="A482" s="13">
        <f t="shared" si="13"/>
        <v>36</v>
      </c>
      <c r="B482" s="17"/>
      <c r="C482" s="17"/>
      <c r="D482" s="18"/>
      <c r="E482" s="11"/>
      <c r="F482" s="19"/>
      <c r="G482" s="20"/>
      <c r="H482" s="21"/>
      <c r="I482" s="22"/>
      <c r="J482" s="39"/>
      <c r="K482" s="24"/>
      <c r="N482" s="69"/>
      <c r="O482" s="27"/>
    </row>
    <row r="483" spans="1:15" x14ac:dyDescent="0.25">
      <c r="A483" s="13">
        <f t="shared" si="13"/>
        <v>36</v>
      </c>
      <c r="B483" s="17"/>
      <c r="C483" s="17"/>
      <c r="D483" s="18"/>
      <c r="E483" s="11"/>
      <c r="F483" s="19"/>
      <c r="G483" s="20"/>
      <c r="H483" s="21"/>
      <c r="I483" s="22"/>
      <c r="J483" s="23"/>
      <c r="K483" s="24"/>
      <c r="N483" s="69"/>
      <c r="O483" s="27"/>
    </row>
    <row r="484" spans="1:15" x14ac:dyDescent="0.25">
      <c r="A484" s="13">
        <f t="shared" si="13"/>
        <v>36</v>
      </c>
      <c r="B484" s="17"/>
      <c r="C484" s="17"/>
      <c r="D484" s="40"/>
      <c r="E484" s="41"/>
      <c r="F484" s="19"/>
      <c r="G484" s="20"/>
      <c r="H484" s="21"/>
      <c r="I484" s="22"/>
      <c r="J484" s="23"/>
      <c r="K484" s="24"/>
      <c r="N484" s="69"/>
      <c r="O484" s="27"/>
    </row>
    <row r="485" spans="1:15" x14ac:dyDescent="0.25">
      <c r="A485" s="13">
        <f t="shared" si="13"/>
        <v>36</v>
      </c>
      <c r="B485" s="17"/>
      <c r="C485" s="17"/>
      <c r="D485" s="18"/>
      <c r="E485" s="11"/>
      <c r="F485" s="19"/>
      <c r="G485" s="20"/>
      <c r="H485" s="21"/>
      <c r="I485" s="22"/>
      <c r="J485" s="23"/>
      <c r="K485" s="24"/>
      <c r="N485" s="69"/>
      <c r="O485" s="27"/>
    </row>
    <row r="486" spans="1:15" x14ac:dyDescent="0.25">
      <c r="A486" s="13">
        <f t="shared" si="13"/>
        <v>36</v>
      </c>
      <c r="B486" s="17"/>
      <c r="C486" s="17"/>
      <c r="D486" s="18"/>
      <c r="E486" s="11"/>
      <c r="F486" s="19"/>
      <c r="G486" s="20"/>
      <c r="H486" s="21"/>
      <c r="I486" s="22"/>
      <c r="J486" s="23"/>
      <c r="K486" s="24"/>
      <c r="N486" s="69"/>
      <c r="O486" s="27"/>
    </row>
    <row r="487" spans="1:15" x14ac:dyDescent="0.25">
      <c r="A487" s="13">
        <f t="shared" si="13"/>
        <v>36</v>
      </c>
      <c r="B487" s="17"/>
      <c r="C487" s="17"/>
      <c r="D487" s="18"/>
      <c r="E487" s="11"/>
      <c r="F487" s="19"/>
      <c r="G487" s="20"/>
      <c r="H487" s="21"/>
      <c r="I487" s="22"/>
      <c r="J487" s="23"/>
      <c r="K487" s="24"/>
      <c r="N487" s="69"/>
      <c r="O487" s="27"/>
    </row>
    <row r="488" spans="1:15" x14ac:dyDescent="0.25">
      <c r="A488" s="13">
        <f t="shared" si="13"/>
        <v>36</v>
      </c>
      <c r="B488" s="17"/>
      <c r="C488" s="17"/>
      <c r="D488" s="18"/>
      <c r="E488" s="11"/>
      <c r="F488" s="19"/>
      <c r="G488" s="20"/>
      <c r="H488" s="21"/>
      <c r="I488" s="22"/>
      <c r="J488" s="39"/>
      <c r="K488" s="24"/>
      <c r="N488" s="69"/>
      <c r="O488" s="27"/>
    </row>
    <row r="489" spans="1:15" x14ac:dyDescent="0.25">
      <c r="A489" s="13">
        <f t="shared" si="13"/>
        <v>36</v>
      </c>
      <c r="B489" s="17"/>
      <c r="C489" s="17"/>
      <c r="D489" s="18"/>
      <c r="E489" s="11"/>
      <c r="F489" s="19"/>
      <c r="G489" s="20"/>
      <c r="H489" s="21"/>
      <c r="I489" s="22"/>
      <c r="J489" s="39"/>
      <c r="K489" s="24"/>
      <c r="N489" s="69"/>
      <c r="O489" s="27"/>
    </row>
    <row r="490" spans="1:15" x14ac:dyDescent="0.25">
      <c r="A490" s="13">
        <f t="shared" si="13"/>
        <v>36</v>
      </c>
      <c r="B490" s="17"/>
      <c r="C490" s="17"/>
      <c r="D490" s="18"/>
      <c r="E490" s="11"/>
      <c r="F490" s="19"/>
      <c r="G490" s="20"/>
      <c r="H490" s="21"/>
      <c r="I490" s="22"/>
      <c r="J490" s="39"/>
      <c r="K490" s="24"/>
      <c r="N490" s="69"/>
      <c r="O490" s="27"/>
    </row>
    <row r="491" spans="1:15" x14ac:dyDescent="0.25">
      <c r="A491" s="13">
        <f t="shared" si="13"/>
        <v>36</v>
      </c>
      <c r="B491" s="17"/>
      <c r="C491" s="17"/>
      <c r="D491" s="18"/>
      <c r="E491" s="11"/>
      <c r="F491" s="19"/>
      <c r="G491" s="20"/>
      <c r="H491" s="21"/>
      <c r="I491" s="22"/>
      <c r="J491" s="39"/>
      <c r="K491" s="24"/>
      <c r="N491" s="69"/>
      <c r="O491" s="27"/>
    </row>
    <row r="492" spans="1:15" x14ac:dyDescent="0.25">
      <c r="A492" s="13">
        <f t="shared" si="13"/>
        <v>36</v>
      </c>
      <c r="B492" s="17"/>
      <c r="C492" s="17"/>
      <c r="D492" s="18"/>
      <c r="E492" s="11"/>
      <c r="F492" s="19"/>
      <c r="G492" s="20"/>
      <c r="H492" s="21"/>
      <c r="I492" s="22"/>
      <c r="J492" s="39"/>
      <c r="K492" s="24"/>
      <c r="N492" s="69"/>
      <c r="O492" s="27"/>
    </row>
    <row r="493" spans="1:15" x14ac:dyDescent="0.25">
      <c r="A493" s="13">
        <f t="shared" si="13"/>
        <v>36</v>
      </c>
      <c r="B493" s="17"/>
      <c r="C493" s="17"/>
      <c r="D493" s="18"/>
      <c r="E493" s="11"/>
      <c r="F493" s="19"/>
      <c r="G493" s="20"/>
      <c r="H493" s="21"/>
      <c r="I493" s="22"/>
      <c r="J493" s="39"/>
      <c r="K493" s="24"/>
      <c r="N493" s="69"/>
      <c r="O493" s="27"/>
    </row>
    <row r="494" spans="1:15" x14ac:dyDescent="0.25">
      <c r="A494" s="13">
        <f t="shared" si="13"/>
        <v>36</v>
      </c>
      <c r="B494" s="17"/>
      <c r="C494" s="17"/>
      <c r="D494" s="18"/>
      <c r="E494" s="11"/>
      <c r="F494" s="19"/>
      <c r="G494" s="20"/>
      <c r="H494" s="21"/>
      <c r="I494" s="22"/>
      <c r="J494" s="39"/>
      <c r="K494" s="24"/>
      <c r="N494" s="69"/>
      <c r="O494" s="27"/>
    </row>
    <row r="495" spans="1:15" x14ac:dyDescent="0.25">
      <c r="A495" s="13">
        <f t="shared" si="13"/>
        <v>36</v>
      </c>
      <c r="B495" s="17"/>
      <c r="C495" s="17"/>
      <c r="D495" s="18"/>
      <c r="E495" s="11"/>
      <c r="F495" s="19"/>
      <c r="G495" s="20"/>
      <c r="H495" s="21"/>
      <c r="I495" s="22"/>
      <c r="J495" s="39"/>
      <c r="K495" s="24"/>
      <c r="N495" s="69"/>
      <c r="O495" s="27"/>
    </row>
    <row r="496" spans="1:15" x14ac:dyDescent="0.25">
      <c r="A496" s="13">
        <f t="shared" si="13"/>
        <v>36</v>
      </c>
      <c r="B496" s="17"/>
      <c r="C496" s="17"/>
      <c r="D496" s="18"/>
      <c r="E496" s="11"/>
      <c r="F496" s="19"/>
      <c r="G496" s="20"/>
      <c r="H496" s="21"/>
      <c r="I496" s="22"/>
      <c r="J496" s="39"/>
      <c r="K496" s="24"/>
      <c r="N496" s="69"/>
      <c r="O496" s="27"/>
    </row>
    <row r="497" spans="1:15" x14ac:dyDescent="0.25">
      <c r="A497" s="13">
        <f t="shared" si="13"/>
        <v>36</v>
      </c>
      <c r="B497" s="17"/>
      <c r="C497" s="17"/>
      <c r="D497" s="18"/>
      <c r="E497" s="11"/>
      <c r="F497" s="19"/>
      <c r="G497" s="20"/>
      <c r="H497" s="21"/>
      <c r="I497" s="22"/>
      <c r="J497" s="39"/>
      <c r="K497" s="24"/>
      <c r="N497" s="69"/>
      <c r="O497" s="27"/>
    </row>
    <row r="498" spans="1:15" x14ac:dyDescent="0.25">
      <c r="A498" s="13">
        <f t="shared" si="13"/>
        <v>36</v>
      </c>
      <c r="B498" s="17"/>
      <c r="C498" s="17"/>
      <c r="D498" s="18"/>
      <c r="E498" s="11"/>
      <c r="F498" s="19"/>
      <c r="G498" s="20"/>
      <c r="H498" s="21"/>
      <c r="I498" s="22"/>
      <c r="J498" s="39"/>
      <c r="K498" s="24"/>
      <c r="N498" s="69"/>
      <c r="O498" s="27"/>
    </row>
    <row r="499" spans="1:15" x14ac:dyDescent="0.25">
      <c r="A499" s="13">
        <f t="shared" si="13"/>
        <v>36</v>
      </c>
      <c r="B499" s="17"/>
      <c r="C499" s="17"/>
      <c r="D499" s="18"/>
      <c r="E499" s="11"/>
      <c r="F499" s="19"/>
      <c r="G499" s="20"/>
      <c r="H499" s="21"/>
      <c r="I499" s="22"/>
      <c r="J499" s="39"/>
      <c r="K499" s="24"/>
      <c r="N499" s="69"/>
      <c r="O499" s="27"/>
    </row>
    <row r="500" spans="1:15" x14ac:dyDescent="0.25">
      <c r="A500" s="13">
        <f t="shared" si="13"/>
        <v>36</v>
      </c>
      <c r="B500" s="17"/>
      <c r="C500" s="17"/>
      <c r="D500" s="18"/>
      <c r="E500" s="11"/>
      <c r="F500" s="19"/>
      <c r="G500" s="20"/>
      <c r="H500" s="21"/>
      <c r="I500" s="22"/>
      <c r="J500" s="39"/>
      <c r="K500" s="24"/>
      <c r="N500" s="69"/>
      <c r="O500" s="27"/>
    </row>
    <row r="501" spans="1:15" x14ac:dyDescent="0.25">
      <c r="A501" s="13">
        <f t="shared" si="13"/>
        <v>36</v>
      </c>
      <c r="B501" s="17"/>
      <c r="C501" s="17"/>
      <c r="D501" s="18"/>
      <c r="E501" s="11"/>
      <c r="F501" s="19"/>
      <c r="G501" s="20"/>
      <c r="H501" s="21"/>
      <c r="I501" s="22"/>
      <c r="J501" s="39"/>
      <c r="K501" s="24"/>
      <c r="N501" s="69"/>
      <c r="O501" s="27"/>
    </row>
    <row r="502" spans="1:15" x14ac:dyDescent="0.25">
      <c r="A502" s="13">
        <f t="shared" si="13"/>
        <v>36</v>
      </c>
      <c r="B502" s="17"/>
      <c r="C502" s="17"/>
      <c r="D502" s="18"/>
      <c r="E502" s="11"/>
      <c r="F502" s="19"/>
      <c r="G502" s="20"/>
      <c r="H502" s="21"/>
      <c r="I502" s="22"/>
      <c r="J502" s="39"/>
      <c r="K502" s="24"/>
      <c r="N502" s="69"/>
      <c r="O502" s="27"/>
    </row>
    <row r="503" spans="1:15" x14ac:dyDescent="0.25">
      <c r="A503" s="13">
        <f t="shared" si="13"/>
        <v>36</v>
      </c>
      <c r="B503" s="17"/>
      <c r="C503" s="17"/>
      <c r="D503" s="18"/>
      <c r="E503" s="11"/>
      <c r="F503" s="19"/>
      <c r="G503" s="36"/>
      <c r="H503" s="21"/>
      <c r="I503" s="22"/>
      <c r="J503" s="35"/>
      <c r="K503" s="24"/>
      <c r="N503" s="69"/>
      <c r="O503" s="27"/>
    </row>
    <row r="504" spans="1:15" x14ac:dyDescent="0.25">
      <c r="A504" s="13">
        <f t="shared" si="13"/>
        <v>36</v>
      </c>
      <c r="B504" s="17"/>
      <c r="C504" s="17"/>
      <c r="D504" s="18"/>
      <c r="E504" s="11"/>
      <c r="F504" s="19"/>
      <c r="G504" s="36"/>
      <c r="H504" s="21"/>
      <c r="I504" s="22"/>
      <c r="J504" s="35"/>
      <c r="K504" s="24"/>
      <c r="N504" s="69"/>
      <c r="O504" s="27"/>
    </row>
    <row r="505" spans="1:15" x14ac:dyDescent="0.25">
      <c r="A505" s="13">
        <f t="shared" si="13"/>
        <v>36</v>
      </c>
      <c r="B505" s="17"/>
      <c r="C505" s="17"/>
      <c r="D505" s="18"/>
      <c r="E505" s="11"/>
      <c r="F505" s="19"/>
      <c r="G505" s="36"/>
      <c r="H505" s="21"/>
      <c r="I505" s="22"/>
      <c r="J505" s="35"/>
      <c r="K505" s="24"/>
      <c r="N505" s="69"/>
      <c r="O505" s="27"/>
    </row>
    <row r="506" spans="1:15" x14ac:dyDescent="0.25">
      <c r="A506" s="13">
        <f t="shared" si="13"/>
        <v>36</v>
      </c>
      <c r="B506" s="17"/>
      <c r="C506" s="17"/>
      <c r="D506" s="18"/>
      <c r="E506" s="11"/>
      <c r="F506" s="19"/>
      <c r="G506" s="36"/>
      <c r="H506" s="21"/>
      <c r="I506" s="22"/>
      <c r="J506" s="35"/>
      <c r="K506" s="24"/>
      <c r="N506" s="69"/>
      <c r="O506" s="27"/>
    </row>
    <row r="507" spans="1:15" x14ac:dyDescent="0.25">
      <c r="A507" s="13">
        <f t="shared" si="13"/>
        <v>36</v>
      </c>
      <c r="B507" s="17"/>
      <c r="C507" s="17"/>
      <c r="D507" s="18"/>
      <c r="E507" s="11"/>
      <c r="F507" s="19"/>
      <c r="G507" s="36"/>
      <c r="H507" s="21"/>
      <c r="I507" s="22"/>
      <c r="J507" s="35"/>
      <c r="K507" s="24"/>
      <c r="N507" s="69"/>
      <c r="O507" s="27"/>
    </row>
    <row r="508" spans="1:15" x14ac:dyDescent="0.25">
      <c r="A508" s="13">
        <f t="shared" si="13"/>
        <v>36</v>
      </c>
      <c r="B508" s="17"/>
      <c r="C508" s="17"/>
      <c r="D508" s="18"/>
      <c r="E508" s="11"/>
      <c r="F508" s="19"/>
      <c r="G508" s="36"/>
      <c r="H508" s="21"/>
      <c r="I508" s="22"/>
      <c r="J508" s="35"/>
      <c r="K508" s="24"/>
      <c r="N508" s="69"/>
      <c r="O508" s="27"/>
    </row>
    <row r="509" spans="1:15" x14ac:dyDescent="0.25">
      <c r="A509" s="13">
        <f t="shared" si="13"/>
        <v>36</v>
      </c>
      <c r="B509" s="17"/>
      <c r="C509" s="17"/>
      <c r="D509" s="18"/>
      <c r="E509" s="11"/>
      <c r="F509" s="19"/>
      <c r="G509" s="36"/>
      <c r="H509" s="21"/>
      <c r="I509" s="22"/>
      <c r="J509" s="35"/>
      <c r="K509" s="24"/>
      <c r="N509" s="69"/>
      <c r="O509" s="27"/>
    </row>
    <row r="510" spans="1:15" x14ac:dyDescent="0.25">
      <c r="A510" s="13">
        <f t="shared" si="13"/>
        <v>36</v>
      </c>
      <c r="B510" s="17"/>
      <c r="C510" s="17"/>
      <c r="D510" s="18"/>
      <c r="E510" s="11"/>
      <c r="F510" s="19"/>
      <c r="G510" s="36"/>
      <c r="H510" s="21"/>
      <c r="I510" s="22"/>
      <c r="J510" s="35"/>
      <c r="K510" s="24"/>
      <c r="N510" s="69"/>
      <c r="O510" s="27"/>
    </row>
    <row r="511" spans="1:15" x14ac:dyDescent="0.25">
      <c r="A511" s="13">
        <f t="shared" si="13"/>
        <v>36</v>
      </c>
      <c r="B511" s="17"/>
      <c r="C511" s="17"/>
      <c r="D511" s="18"/>
      <c r="E511" s="11"/>
      <c r="F511" s="19"/>
      <c r="G511" s="36"/>
      <c r="H511" s="21"/>
      <c r="I511" s="22"/>
      <c r="J511" s="35"/>
      <c r="K511" s="24"/>
      <c r="N511" s="69"/>
      <c r="O511" s="27"/>
    </row>
    <row r="512" spans="1:15" x14ac:dyDescent="0.25">
      <c r="A512" s="13">
        <f t="shared" si="13"/>
        <v>36</v>
      </c>
      <c r="B512" s="17"/>
      <c r="C512" s="17"/>
      <c r="D512" s="18"/>
      <c r="E512" s="11"/>
      <c r="F512" s="19"/>
      <c r="G512" s="36"/>
      <c r="H512" s="21"/>
      <c r="I512" s="22"/>
      <c r="J512" s="35"/>
      <c r="K512" s="24"/>
      <c r="N512" s="69"/>
      <c r="O512" s="27"/>
    </row>
    <row r="513" spans="1:15" x14ac:dyDescent="0.25">
      <c r="A513" s="13">
        <f t="shared" si="13"/>
        <v>36</v>
      </c>
      <c r="B513" s="17"/>
      <c r="C513" s="17"/>
      <c r="D513" s="18"/>
      <c r="E513" s="11"/>
      <c r="F513" s="19"/>
      <c r="G513" s="36"/>
      <c r="H513" s="21"/>
      <c r="I513" s="22"/>
      <c r="J513" s="35"/>
      <c r="K513" s="24"/>
      <c r="N513" s="69"/>
      <c r="O513" s="27"/>
    </row>
    <row r="514" spans="1:15" x14ac:dyDescent="0.25">
      <c r="A514" s="13">
        <f t="shared" si="13"/>
        <v>36</v>
      </c>
      <c r="B514" s="17"/>
      <c r="C514" s="17"/>
      <c r="D514" s="18"/>
      <c r="E514" s="11"/>
      <c r="F514" s="19"/>
      <c r="G514" s="36"/>
      <c r="H514" s="21"/>
      <c r="I514" s="22"/>
      <c r="J514" s="35"/>
      <c r="K514" s="24"/>
      <c r="N514" s="69"/>
      <c r="O514" s="27"/>
    </row>
    <row r="515" spans="1:15" x14ac:dyDescent="0.25">
      <c r="A515" s="13">
        <f t="shared" si="13"/>
        <v>36</v>
      </c>
      <c r="B515" s="17"/>
      <c r="C515" s="17"/>
      <c r="D515" s="18"/>
      <c r="E515" s="11"/>
      <c r="F515" s="19"/>
      <c r="G515" s="36"/>
      <c r="H515" s="21"/>
      <c r="I515" s="22"/>
      <c r="J515" s="35"/>
      <c r="K515" s="24"/>
      <c r="N515" s="69"/>
      <c r="O515" s="27"/>
    </row>
    <row r="516" spans="1:15" x14ac:dyDescent="0.25">
      <c r="A516" s="13">
        <f t="shared" ref="A516:A579" si="14">IF(B516=B515,A515,A515+1)</f>
        <v>36</v>
      </c>
      <c r="B516" s="17"/>
      <c r="C516" s="17"/>
      <c r="D516" s="18"/>
      <c r="E516" s="11"/>
      <c r="F516" s="19"/>
      <c r="G516" s="36"/>
      <c r="H516" s="21"/>
      <c r="I516" s="22"/>
      <c r="J516" s="35"/>
      <c r="K516" s="24"/>
      <c r="N516" s="69"/>
      <c r="O516" s="27"/>
    </row>
    <row r="517" spans="1:15" x14ac:dyDescent="0.25">
      <c r="A517" s="13">
        <f t="shared" si="14"/>
        <v>36</v>
      </c>
      <c r="B517" s="17"/>
      <c r="C517" s="17"/>
      <c r="D517" s="18"/>
      <c r="E517" s="11"/>
      <c r="F517" s="19"/>
      <c r="G517" s="20"/>
      <c r="H517" s="21"/>
      <c r="I517" s="22"/>
      <c r="J517" s="39"/>
      <c r="K517" s="24"/>
      <c r="N517" s="69"/>
      <c r="O517" s="27"/>
    </row>
    <row r="518" spans="1:15" x14ac:dyDescent="0.25">
      <c r="A518" s="13">
        <f t="shared" si="14"/>
        <v>36</v>
      </c>
      <c r="B518" s="17"/>
      <c r="C518" s="17"/>
      <c r="D518" s="18"/>
      <c r="E518" s="11"/>
      <c r="F518" s="19"/>
      <c r="G518" s="20"/>
      <c r="H518" s="21"/>
      <c r="I518" s="22"/>
      <c r="J518" s="39"/>
      <c r="K518" s="24"/>
      <c r="N518" s="69"/>
      <c r="O518" s="27"/>
    </row>
    <row r="519" spans="1:15" x14ac:dyDescent="0.25">
      <c r="A519" s="13">
        <f t="shared" si="14"/>
        <v>36</v>
      </c>
      <c r="B519" s="17"/>
      <c r="C519" s="17"/>
      <c r="D519" s="18"/>
      <c r="E519" s="11"/>
      <c r="F519" s="19"/>
      <c r="G519" s="20"/>
      <c r="H519" s="21"/>
      <c r="I519" s="22"/>
      <c r="J519" s="39"/>
      <c r="K519" s="24"/>
      <c r="N519" s="69"/>
      <c r="O519" s="27"/>
    </row>
    <row r="520" spans="1:15" x14ac:dyDescent="0.25">
      <c r="A520" s="13">
        <f t="shared" si="14"/>
        <v>36</v>
      </c>
      <c r="B520" s="17"/>
      <c r="C520" s="17"/>
      <c r="D520" s="18"/>
      <c r="E520" s="11"/>
      <c r="F520" s="19"/>
      <c r="G520" s="20"/>
      <c r="H520" s="21"/>
      <c r="I520" s="22"/>
      <c r="J520" s="39"/>
      <c r="K520" s="24"/>
      <c r="N520" s="69"/>
      <c r="O520" s="27"/>
    </row>
    <row r="521" spans="1:15" x14ac:dyDescent="0.25">
      <c r="A521" s="13">
        <f t="shared" si="14"/>
        <v>36</v>
      </c>
      <c r="B521" s="17"/>
      <c r="C521" s="17"/>
      <c r="D521" s="18"/>
      <c r="E521" s="11"/>
      <c r="F521" s="19"/>
      <c r="G521" s="20"/>
      <c r="H521" s="21"/>
      <c r="I521" s="22"/>
      <c r="J521" s="39"/>
      <c r="K521" s="24"/>
      <c r="N521" s="69"/>
      <c r="O521" s="27"/>
    </row>
    <row r="522" spans="1:15" x14ac:dyDescent="0.25">
      <c r="A522" s="13">
        <f t="shared" si="14"/>
        <v>36</v>
      </c>
      <c r="B522" s="17"/>
      <c r="C522" s="17"/>
      <c r="D522" s="18"/>
      <c r="E522" s="11"/>
      <c r="F522" s="19"/>
      <c r="G522" s="20"/>
      <c r="H522" s="21"/>
      <c r="I522" s="22"/>
      <c r="J522" s="39"/>
      <c r="K522" s="24"/>
      <c r="N522" s="69"/>
      <c r="O522" s="27"/>
    </row>
    <row r="523" spans="1:15" x14ac:dyDescent="0.25">
      <c r="A523" s="13">
        <f t="shared" si="14"/>
        <v>36</v>
      </c>
      <c r="B523" s="17"/>
      <c r="C523" s="17"/>
      <c r="D523" s="18"/>
      <c r="E523" s="11"/>
      <c r="F523" s="19"/>
      <c r="G523" s="20"/>
      <c r="H523" s="21"/>
      <c r="I523" s="22"/>
      <c r="J523" s="39"/>
      <c r="K523" s="24"/>
      <c r="N523" s="69"/>
      <c r="O523" s="27"/>
    </row>
    <row r="524" spans="1:15" x14ac:dyDescent="0.25">
      <c r="A524" s="13">
        <f t="shared" si="14"/>
        <v>36</v>
      </c>
      <c r="B524" s="17"/>
      <c r="C524" s="17"/>
      <c r="D524" s="18"/>
      <c r="E524" s="11"/>
      <c r="F524" s="19"/>
      <c r="G524" s="20"/>
      <c r="H524" s="21"/>
      <c r="I524" s="22"/>
      <c r="J524" s="39"/>
      <c r="K524" s="24"/>
      <c r="N524" s="69"/>
      <c r="O524" s="27"/>
    </row>
    <row r="525" spans="1:15" x14ac:dyDescent="0.25">
      <c r="A525" s="13">
        <f t="shared" si="14"/>
        <v>36</v>
      </c>
      <c r="B525" s="17"/>
      <c r="C525" s="17"/>
      <c r="D525" s="18"/>
      <c r="E525" s="11"/>
      <c r="F525" s="19"/>
      <c r="G525" s="20"/>
      <c r="H525" s="21"/>
      <c r="I525" s="22"/>
      <c r="J525" s="39"/>
      <c r="K525" s="24"/>
      <c r="N525" s="69"/>
      <c r="O525" s="27"/>
    </row>
    <row r="526" spans="1:15" x14ac:dyDescent="0.25">
      <c r="A526" s="13">
        <f t="shared" si="14"/>
        <v>36</v>
      </c>
      <c r="B526" s="17"/>
      <c r="C526" s="17"/>
      <c r="D526" s="18"/>
      <c r="E526" s="11"/>
      <c r="F526" s="19"/>
      <c r="G526" s="20"/>
      <c r="H526" s="21"/>
      <c r="I526" s="22"/>
      <c r="J526" s="39"/>
      <c r="K526" s="24"/>
      <c r="N526" s="69"/>
      <c r="O526" s="27"/>
    </row>
    <row r="527" spans="1:15" x14ac:dyDescent="0.25">
      <c r="A527" s="13">
        <f t="shared" si="14"/>
        <v>36</v>
      </c>
      <c r="B527" s="17"/>
      <c r="C527" s="17"/>
      <c r="D527" s="18"/>
      <c r="E527" s="11"/>
      <c r="F527" s="19"/>
      <c r="G527" s="20"/>
      <c r="H527" s="21"/>
      <c r="I527" s="22"/>
      <c r="J527" s="39"/>
      <c r="K527" s="24"/>
      <c r="N527" s="69"/>
      <c r="O527" s="27"/>
    </row>
    <row r="528" spans="1:15" x14ac:dyDescent="0.25">
      <c r="A528" s="13">
        <f t="shared" si="14"/>
        <v>36</v>
      </c>
      <c r="B528" s="17"/>
      <c r="C528" s="17"/>
      <c r="D528" s="18"/>
      <c r="E528" s="11"/>
      <c r="F528" s="19"/>
      <c r="G528" s="20"/>
      <c r="H528" s="21"/>
      <c r="I528" s="22"/>
      <c r="J528" s="39"/>
      <c r="K528" s="24"/>
      <c r="N528" s="69"/>
      <c r="O528" s="27"/>
    </row>
    <row r="529" spans="1:15" x14ac:dyDescent="0.25">
      <c r="A529" s="13">
        <f t="shared" si="14"/>
        <v>36</v>
      </c>
      <c r="B529" s="17"/>
      <c r="C529" s="17"/>
      <c r="D529" s="18"/>
      <c r="E529" s="11"/>
      <c r="F529" s="19"/>
      <c r="G529" s="20"/>
      <c r="H529" s="21"/>
      <c r="I529" s="22"/>
      <c r="J529" s="39"/>
      <c r="K529" s="24"/>
      <c r="N529" s="69"/>
      <c r="O529" s="27"/>
    </row>
    <row r="530" spans="1:15" x14ac:dyDescent="0.25">
      <c r="A530" s="13">
        <f t="shared" si="14"/>
        <v>36</v>
      </c>
      <c r="B530" s="17"/>
      <c r="C530" s="17"/>
      <c r="D530" s="18"/>
      <c r="E530" s="11"/>
      <c r="F530" s="19"/>
      <c r="G530" s="20"/>
      <c r="H530" s="21"/>
      <c r="I530" s="22"/>
      <c r="J530" s="39"/>
      <c r="K530" s="24"/>
      <c r="N530" s="69"/>
      <c r="O530" s="27"/>
    </row>
    <row r="531" spans="1:15" x14ac:dyDescent="0.25">
      <c r="A531" s="13">
        <f t="shared" si="14"/>
        <v>36</v>
      </c>
      <c r="B531" s="17"/>
      <c r="C531" s="17"/>
      <c r="D531" s="18"/>
      <c r="E531" s="11"/>
      <c r="F531" s="19"/>
      <c r="G531" s="20"/>
      <c r="H531" s="21"/>
      <c r="I531" s="22"/>
      <c r="J531" s="39"/>
      <c r="K531" s="24"/>
      <c r="N531" s="69"/>
      <c r="O531" s="27"/>
    </row>
    <row r="532" spans="1:15" x14ac:dyDescent="0.25">
      <c r="A532" s="13">
        <f t="shared" si="14"/>
        <v>36</v>
      </c>
      <c r="B532" s="17"/>
      <c r="C532" s="17"/>
      <c r="D532" s="18"/>
      <c r="E532" s="11"/>
      <c r="F532" s="19"/>
      <c r="G532" s="20"/>
      <c r="H532" s="21"/>
      <c r="I532" s="22"/>
      <c r="J532" s="39"/>
      <c r="K532" s="24"/>
      <c r="N532" s="69"/>
      <c r="O532" s="27"/>
    </row>
    <row r="533" spans="1:15" x14ac:dyDescent="0.25">
      <c r="A533" s="13">
        <f t="shared" si="14"/>
        <v>36</v>
      </c>
      <c r="B533" s="17"/>
      <c r="C533" s="17"/>
      <c r="D533" s="18"/>
      <c r="E533" s="11"/>
      <c r="F533" s="19"/>
      <c r="G533" s="36"/>
      <c r="H533" s="21"/>
      <c r="I533" s="22"/>
      <c r="J533" s="35"/>
      <c r="K533" s="24"/>
      <c r="N533" s="69"/>
      <c r="O533" s="27"/>
    </row>
    <row r="534" spans="1:15" x14ac:dyDescent="0.25">
      <c r="A534" s="13">
        <f t="shared" si="14"/>
        <v>36</v>
      </c>
      <c r="B534" s="17"/>
      <c r="C534" s="17"/>
      <c r="D534" s="18"/>
      <c r="E534" s="11"/>
      <c r="F534" s="19"/>
      <c r="G534" s="36"/>
      <c r="H534" s="21"/>
      <c r="I534" s="22"/>
      <c r="J534" s="35"/>
      <c r="K534" s="24"/>
      <c r="N534" s="69"/>
      <c r="O534" s="27"/>
    </row>
    <row r="535" spans="1:15" x14ac:dyDescent="0.25">
      <c r="A535" s="13">
        <f t="shared" si="14"/>
        <v>36</v>
      </c>
      <c r="B535" s="17"/>
      <c r="C535" s="17"/>
      <c r="D535" s="18"/>
      <c r="E535" s="11"/>
      <c r="F535" s="19"/>
      <c r="G535" s="36"/>
      <c r="H535" s="21"/>
      <c r="I535" s="22"/>
      <c r="J535" s="35"/>
      <c r="K535" s="24"/>
      <c r="N535" s="69"/>
      <c r="O535" s="27"/>
    </row>
    <row r="536" spans="1:15" x14ac:dyDescent="0.25">
      <c r="A536" s="13">
        <f t="shared" si="14"/>
        <v>36</v>
      </c>
      <c r="B536" s="17"/>
      <c r="C536" s="17"/>
      <c r="D536" s="18"/>
      <c r="E536" s="11"/>
      <c r="F536" s="19"/>
      <c r="G536" s="36"/>
      <c r="H536" s="21"/>
      <c r="I536" s="22"/>
      <c r="J536" s="35"/>
      <c r="K536" s="24"/>
      <c r="N536" s="69"/>
      <c r="O536" s="27"/>
    </row>
    <row r="537" spans="1:15" x14ac:dyDescent="0.25">
      <c r="A537" s="13">
        <f t="shared" si="14"/>
        <v>36</v>
      </c>
      <c r="B537" s="17"/>
      <c r="C537" s="17"/>
      <c r="D537" s="18"/>
      <c r="E537" s="11"/>
      <c r="F537" s="19"/>
      <c r="G537" s="36"/>
      <c r="H537" s="21"/>
      <c r="I537" s="22"/>
      <c r="J537" s="35"/>
      <c r="K537" s="24"/>
      <c r="N537" s="69"/>
      <c r="O537" s="27"/>
    </row>
    <row r="538" spans="1:15" x14ac:dyDescent="0.25">
      <c r="A538" s="13">
        <f t="shared" si="14"/>
        <v>36</v>
      </c>
      <c r="B538" s="17"/>
      <c r="C538" s="17"/>
      <c r="D538" s="18"/>
      <c r="E538" s="11"/>
      <c r="F538" s="19"/>
      <c r="G538" s="36"/>
      <c r="H538" s="21"/>
      <c r="I538" s="22"/>
      <c r="J538" s="35"/>
      <c r="K538" s="24"/>
      <c r="N538" s="69"/>
      <c r="O538" s="27"/>
    </row>
    <row r="539" spans="1:15" x14ac:dyDescent="0.25">
      <c r="A539" s="13">
        <f t="shared" si="14"/>
        <v>36</v>
      </c>
      <c r="B539" s="17"/>
      <c r="C539" s="17"/>
      <c r="D539" s="18"/>
      <c r="E539" s="11"/>
      <c r="F539" s="19"/>
      <c r="G539" s="36"/>
      <c r="H539" s="21"/>
      <c r="I539" s="22"/>
      <c r="J539" s="35"/>
      <c r="K539" s="24"/>
      <c r="N539" s="69"/>
      <c r="O539" s="27"/>
    </row>
    <row r="540" spans="1:15" x14ac:dyDescent="0.25">
      <c r="A540" s="13">
        <f t="shared" si="14"/>
        <v>36</v>
      </c>
      <c r="B540" s="17"/>
      <c r="C540" s="17"/>
      <c r="D540" s="18"/>
      <c r="E540" s="11"/>
      <c r="F540" s="19"/>
      <c r="G540" s="36"/>
      <c r="H540" s="21"/>
      <c r="I540" s="22"/>
      <c r="J540" s="35"/>
      <c r="K540" s="24"/>
      <c r="N540" s="69"/>
      <c r="O540" s="27"/>
    </row>
    <row r="541" spans="1:15" x14ac:dyDescent="0.25">
      <c r="A541" s="13">
        <f t="shared" si="14"/>
        <v>36</v>
      </c>
      <c r="B541" s="17"/>
      <c r="C541" s="17"/>
      <c r="D541" s="18"/>
      <c r="E541" s="11"/>
      <c r="F541" s="19"/>
      <c r="G541" s="36"/>
      <c r="H541" s="21"/>
      <c r="I541" s="22"/>
      <c r="J541" s="35"/>
      <c r="K541" s="24"/>
      <c r="N541" s="69"/>
      <c r="O541" s="27"/>
    </row>
    <row r="542" spans="1:15" x14ac:dyDescent="0.25">
      <c r="A542" s="13">
        <f t="shared" si="14"/>
        <v>36</v>
      </c>
      <c r="B542" s="17"/>
      <c r="C542" s="17"/>
      <c r="D542" s="18"/>
      <c r="E542" s="11"/>
      <c r="F542" s="19"/>
      <c r="G542" s="36"/>
      <c r="H542" s="21"/>
      <c r="I542" s="22"/>
      <c r="J542" s="35"/>
      <c r="K542" s="24"/>
      <c r="N542" s="69"/>
      <c r="O542" s="27"/>
    </row>
    <row r="543" spans="1:15" x14ac:dyDescent="0.25">
      <c r="A543" s="13">
        <f t="shared" si="14"/>
        <v>36</v>
      </c>
      <c r="B543" s="17"/>
      <c r="C543" s="17"/>
      <c r="D543" s="18"/>
      <c r="E543" s="11"/>
      <c r="F543" s="19"/>
      <c r="G543" s="36"/>
      <c r="H543" s="21"/>
      <c r="I543" s="22"/>
      <c r="J543" s="35"/>
      <c r="K543" s="24"/>
      <c r="N543" s="69"/>
      <c r="O543" s="27"/>
    </row>
    <row r="544" spans="1:15" x14ac:dyDescent="0.25">
      <c r="A544" s="13">
        <f t="shared" si="14"/>
        <v>36</v>
      </c>
      <c r="B544" s="17"/>
      <c r="C544" s="17"/>
      <c r="D544" s="18"/>
      <c r="E544" s="11"/>
      <c r="F544" s="19"/>
      <c r="G544" s="36"/>
      <c r="H544" s="21"/>
      <c r="I544" s="22"/>
      <c r="J544" s="35"/>
      <c r="K544" s="24"/>
      <c r="N544" s="69"/>
      <c r="O544" s="27"/>
    </row>
    <row r="545" spans="1:15" x14ac:dyDescent="0.25">
      <c r="A545" s="13">
        <f t="shared" si="14"/>
        <v>36</v>
      </c>
      <c r="B545" s="17"/>
      <c r="C545" s="17"/>
      <c r="D545" s="18"/>
      <c r="E545" s="11"/>
      <c r="F545" s="19"/>
      <c r="G545" s="36"/>
      <c r="H545" s="21"/>
      <c r="I545" s="22"/>
      <c r="J545" s="35"/>
      <c r="K545" s="24"/>
      <c r="N545" s="69"/>
      <c r="O545" s="27"/>
    </row>
    <row r="546" spans="1:15" x14ac:dyDescent="0.25">
      <c r="A546" s="13">
        <f t="shared" si="14"/>
        <v>36</v>
      </c>
      <c r="B546" s="17"/>
      <c r="C546" s="17"/>
      <c r="D546" s="18"/>
      <c r="E546" s="11"/>
      <c r="F546" s="19"/>
      <c r="G546" s="36"/>
      <c r="H546" s="21"/>
      <c r="I546" s="22"/>
      <c r="J546" s="35"/>
      <c r="K546" s="24"/>
      <c r="N546" s="69"/>
      <c r="O546" s="27"/>
    </row>
    <row r="547" spans="1:15" x14ac:dyDescent="0.25">
      <c r="A547" s="13">
        <f t="shared" si="14"/>
        <v>36</v>
      </c>
      <c r="B547" s="17"/>
      <c r="C547" s="17"/>
      <c r="D547" s="18"/>
      <c r="E547" s="11"/>
      <c r="F547" s="19"/>
      <c r="G547" s="36"/>
      <c r="H547" s="21"/>
      <c r="I547" s="22"/>
      <c r="J547" s="35"/>
      <c r="K547" s="24"/>
      <c r="N547" s="69"/>
      <c r="O547" s="27"/>
    </row>
    <row r="548" spans="1:15" x14ac:dyDescent="0.25">
      <c r="A548" s="13">
        <f t="shared" si="14"/>
        <v>36</v>
      </c>
      <c r="B548" s="17"/>
      <c r="C548" s="17"/>
      <c r="D548" s="18"/>
      <c r="E548" s="11"/>
      <c r="F548" s="19"/>
      <c r="G548" s="36"/>
      <c r="H548" s="21"/>
      <c r="I548" s="22"/>
      <c r="J548" s="35"/>
      <c r="K548" s="24"/>
      <c r="N548" s="69"/>
      <c r="O548" s="27"/>
    </row>
    <row r="549" spans="1:15" x14ac:dyDescent="0.25">
      <c r="A549" s="13">
        <f t="shared" si="14"/>
        <v>36</v>
      </c>
      <c r="B549" s="17"/>
      <c r="C549" s="17"/>
      <c r="D549" s="18"/>
      <c r="E549" s="11"/>
      <c r="F549" s="19"/>
      <c r="G549" s="36"/>
      <c r="H549" s="21"/>
      <c r="I549" s="22"/>
      <c r="J549" s="35"/>
      <c r="K549" s="24"/>
      <c r="N549" s="69"/>
      <c r="O549" s="27"/>
    </row>
    <row r="550" spans="1:15" x14ac:dyDescent="0.25">
      <c r="A550" s="13">
        <f t="shared" si="14"/>
        <v>36</v>
      </c>
      <c r="B550" s="17"/>
      <c r="C550" s="17"/>
      <c r="D550" s="18"/>
      <c r="E550" s="11"/>
      <c r="F550" s="19"/>
      <c r="G550" s="36"/>
      <c r="H550" s="21"/>
      <c r="I550" s="22"/>
      <c r="J550" s="35"/>
      <c r="K550" s="24"/>
      <c r="N550" s="69"/>
      <c r="O550" s="27"/>
    </row>
    <row r="551" spans="1:15" x14ac:dyDescent="0.25">
      <c r="A551" s="13">
        <f t="shared" si="14"/>
        <v>36</v>
      </c>
      <c r="B551" s="17"/>
      <c r="C551" s="17"/>
      <c r="D551" s="18"/>
      <c r="E551" s="11"/>
      <c r="F551" s="19"/>
      <c r="G551" s="36"/>
      <c r="H551" s="21"/>
      <c r="I551" s="22"/>
      <c r="J551" s="35"/>
      <c r="K551" s="24"/>
      <c r="N551" s="69"/>
      <c r="O551" s="27"/>
    </row>
    <row r="552" spans="1:15" x14ac:dyDescent="0.25">
      <c r="A552" s="13">
        <f t="shared" si="14"/>
        <v>36</v>
      </c>
      <c r="B552" s="17"/>
      <c r="C552" s="17"/>
      <c r="D552" s="18"/>
      <c r="E552" s="11"/>
      <c r="F552" s="19"/>
      <c r="G552" s="36"/>
      <c r="H552" s="21"/>
      <c r="I552" s="22"/>
      <c r="J552" s="35"/>
      <c r="K552" s="24"/>
      <c r="N552" s="69"/>
      <c r="O552" s="27"/>
    </row>
    <row r="553" spans="1:15" x14ac:dyDescent="0.25">
      <c r="A553" s="13">
        <f t="shared" si="14"/>
        <v>36</v>
      </c>
      <c r="B553" s="17"/>
      <c r="C553" s="17"/>
      <c r="D553" s="18"/>
      <c r="E553" s="11"/>
      <c r="F553" s="19"/>
      <c r="G553" s="36"/>
      <c r="H553" s="21"/>
      <c r="I553" s="22"/>
      <c r="J553" s="35"/>
      <c r="K553" s="24"/>
      <c r="N553" s="69"/>
      <c r="O553" s="27"/>
    </row>
    <row r="554" spans="1:15" x14ac:dyDescent="0.25">
      <c r="A554" s="13">
        <f t="shared" si="14"/>
        <v>36</v>
      </c>
      <c r="B554" s="17"/>
      <c r="C554" s="17"/>
      <c r="D554" s="18"/>
      <c r="E554" s="11"/>
      <c r="F554" s="19"/>
      <c r="G554" s="36"/>
      <c r="H554" s="21"/>
      <c r="I554" s="22"/>
      <c r="J554" s="35"/>
      <c r="K554" s="24"/>
      <c r="N554" s="69"/>
      <c r="O554" s="27"/>
    </row>
    <row r="555" spans="1:15" x14ac:dyDescent="0.25">
      <c r="A555" s="13">
        <f t="shared" si="14"/>
        <v>36</v>
      </c>
      <c r="B555" s="17"/>
      <c r="C555" s="17"/>
      <c r="D555" s="18"/>
      <c r="E555" s="11"/>
      <c r="F555" s="19"/>
      <c r="G555" s="36"/>
      <c r="H555" s="21"/>
      <c r="I555" s="22"/>
      <c r="J555" s="35"/>
      <c r="K555" s="24"/>
      <c r="N555" s="69"/>
      <c r="O555" s="27"/>
    </row>
    <row r="556" spans="1:15" x14ac:dyDescent="0.25">
      <c r="A556" s="13">
        <f t="shared" si="14"/>
        <v>36</v>
      </c>
      <c r="B556" s="17"/>
      <c r="C556" s="17"/>
      <c r="D556" s="18"/>
      <c r="E556" s="11"/>
      <c r="F556" s="19"/>
      <c r="G556" s="36"/>
      <c r="H556" s="21"/>
      <c r="I556" s="22"/>
      <c r="J556" s="35"/>
      <c r="K556" s="24"/>
      <c r="N556" s="69"/>
      <c r="O556" s="27"/>
    </row>
    <row r="557" spans="1:15" x14ac:dyDescent="0.25">
      <c r="A557" s="13">
        <f t="shared" si="14"/>
        <v>36</v>
      </c>
      <c r="B557" s="17"/>
      <c r="C557" s="17"/>
      <c r="D557" s="18"/>
      <c r="E557" s="11"/>
      <c r="F557" s="19"/>
      <c r="G557" s="20"/>
      <c r="H557" s="21"/>
      <c r="I557" s="22"/>
      <c r="J557" s="39"/>
      <c r="K557" s="24"/>
      <c r="N557" s="69"/>
      <c r="O557" s="27"/>
    </row>
    <row r="558" spans="1:15" x14ac:dyDescent="0.25">
      <c r="A558" s="13">
        <f t="shared" si="14"/>
        <v>36</v>
      </c>
      <c r="B558" s="17"/>
      <c r="C558" s="17"/>
      <c r="D558" s="18"/>
      <c r="E558" s="11"/>
      <c r="F558" s="19"/>
      <c r="G558" s="20"/>
      <c r="H558" s="21"/>
      <c r="I558" s="22"/>
      <c r="J558" s="39"/>
      <c r="K558" s="24"/>
      <c r="N558" s="69"/>
      <c r="O558" s="27"/>
    </row>
    <row r="559" spans="1:15" x14ac:dyDescent="0.25">
      <c r="A559" s="13">
        <f t="shared" si="14"/>
        <v>36</v>
      </c>
      <c r="B559" s="17"/>
      <c r="C559" s="17"/>
      <c r="D559" s="18"/>
      <c r="E559" s="11"/>
      <c r="F559" s="19"/>
      <c r="G559" s="20"/>
      <c r="H559" s="21"/>
      <c r="I559" s="22"/>
      <c r="J559" s="39"/>
      <c r="K559" s="24"/>
      <c r="N559" s="69"/>
      <c r="O559" s="27"/>
    </row>
    <row r="560" spans="1:15" x14ac:dyDescent="0.25">
      <c r="A560" s="13">
        <f t="shared" si="14"/>
        <v>36</v>
      </c>
      <c r="B560" s="17"/>
      <c r="C560" s="17"/>
      <c r="D560" s="18"/>
      <c r="E560" s="11"/>
      <c r="F560" s="19"/>
      <c r="G560" s="20"/>
      <c r="H560" s="21"/>
      <c r="I560" s="22"/>
      <c r="J560" s="39"/>
      <c r="K560" s="24"/>
      <c r="N560" s="69"/>
      <c r="O560" s="27"/>
    </row>
    <row r="561" spans="1:15" x14ac:dyDescent="0.25">
      <c r="A561" s="13">
        <f t="shared" si="14"/>
        <v>36</v>
      </c>
      <c r="B561" s="17"/>
      <c r="C561" s="17"/>
      <c r="D561" s="18"/>
      <c r="E561" s="11"/>
      <c r="F561" s="19"/>
      <c r="G561" s="20"/>
      <c r="H561" s="21"/>
      <c r="I561" s="22"/>
      <c r="J561" s="39"/>
      <c r="K561" s="24"/>
      <c r="N561" s="69"/>
      <c r="O561" s="27"/>
    </row>
    <row r="562" spans="1:15" x14ac:dyDescent="0.25">
      <c r="A562" s="13">
        <f t="shared" si="14"/>
        <v>36</v>
      </c>
      <c r="B562" s="17"/>
      <c r="C562" s="17"/>
      <c r="D562" s="18"/>
      <c r="E562" s="11"/>
      <c r="F562" s="19"/>
      <c r="G562" s="20"/>
      <c r="H562" s="21"/>
      <c r="I562" s="22"/>
      <c r="J562" s="39"/>
      <c r="K562" s="24"/>
      <c r="N562" s="69"/>
      <c r="O562" s="27"/>
    </row>
    <row r="563" spans="1:15" x14ac:dyDescent="0.25">
      <c r="A563" s="13">
        <f t="shared" si="14"/>
        <v>36</v>
      </c>
      <c r="B563" s="17"/>
      <c r="C563" s="17"/>
      <c r="D563" s="18"/>
      <c r="E563" s="11"/>
      <c r="F563" s="19"/>
      <c r="G563" s="20"/>
      <c r="H563" s="21"/>
      <c r="I563" s="22"/>
      <c r="J563" s="39"/>
      <c r="K563" s="24"/>
      <c r="N563" s="69"/>
      <c r="O563" s="27"/>
    </row>
    <row r="564" spans="1:15" x14ac:dyDescent="0.25">
      <c r="A564" s="13">
        <f t="shared" si="14"/>
        <v>36</v>
      </c>
      <c r="B564" s="17"/>
      <c r="C564" s="17"/>
      <c r="D564" s="18"/>
      <c r="E564" s="11"/>
      <c r="F564" s="19"/>
      <c r="G564" s="20"/>
      <c r="H564" s="21"/>
      <c r="I564" s="22"/>
      <c r="J564" s="39"/>
      <c r="K564" s="24"/>
      <c r="N564" s="69"/>
      <c r="O564" s="27"/>
    </row>
    <row r="565" spans="1:15" x14ac:dyDescent="0.25">
      <c r="A565" s="13">
        <f t="shared" si="14"/>
        <v>36</v>
      </c>
      <c r="B565" s="17"/>
      <c r="C565" s="17"/>
      <c r="D565" s="18"/>
      <c r="E565" s="11"/>
      <c r="F565" s="19"/>
      <c r="G565" s="20"/>
      <c r="H565" s="21"/>
      <c r="I565" s="22"/>
      <c r="J565" s="39"/>
      <c r="K565" s="24"/>
      <c r="N565" s="69"/>
      <c r="O565" s="27"/>
    </row>
    <row r="566" spans="1:15" x14ac:dyDescent="0.25">
      <c r="A566" s="13">
        <f t="shared" si="14"/>
        <v>36</v>
      </c>
      <c r="B566" s="17"/>
      <c r="C566" s="17"/>
      <c r="D566" s="18"/>
      <c r="E566" s="11"/>
      <c r="F566" s="19"/>
      <c r="G566" s="20"/>
      <c r="H566" s="21"/>
      <c r="I566" s="22"/>
      <c r="J566" s="39"/>
      <c r="K566" s="24"/>
      <c r="N566" s="69"/>
      <c r="O566" s="27"/>
    </row>
    <row r="567" spans="1:15" x14ac:dyDescent="0.25">
      <c r="A567" s="13">
        <f t="shared" si="14"/>
        <v>36</v>
      </c>
      <c r="B567" s="17"/>
      <c r="C567" s="17"/>
      <c r="D567" s="18"/>
      <c r="E567" s="11"/>
      <c r="F567" s="19"/>
      <c r="G567" s="20"/>
      <c r="H567" s="21"/>
      <c r="I567" s="22"/>
      <c r="J567" s="39"/>
      <c r="K567" s="24"/>
      <c r="N567" s="69"/>
      <c r="O567" s="27"/>
    </row>
    <row r="568" spans="1:15" x14ac:dyDescent="0.25">
      <c r="A568" s="13">
        <f t="shared" si="14"/>
        <v>36</v>
      </c>
      <c r="B568" s="17"/>
      <c r="C568" s="17"/>
      <c r="D568" s="18"/>
      <c r="E568" s="11"/>
      <c r="F568" s="19"/>
      <c r="G568" s="20"/>
      <c r="H568" s="21"/>
      <c r="I568" s="22"/>
      <c r="J568" s="39"/>
      <c r="K568" s="24"/>
      <c r="N568" s="69"/>
      <c r="O568" s="27"/>
    </row>
    <row r="569" spans="1:15" x14ac:dyDescent="0.25">
      <c r="A569" s="13">
        <f t="shared" si="14"/>
        <v>36</v>
      </c>
      <c r="B569" s="17"/>
      <c r="C569" s="17"/>
      <c r="D569" s="18"/>
      <c r="E569" s="11"/>
      <c r="F569" s="19"/>
      <c r="G569" s="20"/>
      <c r="H569" s="21"/>
      <c r="I569" s="22"/>
      <c r="J569" s="39"/>
      <c r="K569" s="24"/>
      <c r="N569" s="69"/>
      <c r="O569" s="27"/>
    </row>
    <row r="570" spans="1:15" x14ac:dyDescent="0.25">
      <c r="A570" s="13">
        <f t="shared" si="14"/>
        <v>36</v>
      </c>
      <c r="B570" s="17"/>
      <c r="C570" s="17"/>
      <c r="D570" s="18"/>
      <c r="E570" s="11"/>
      <c r="F570" s="19"/>
      <c r="G570" s="20"/>
      <c r="H570" s="21"/>
      <c r="I570" s="22"/>
      <c r="J570" s="39"/>
      <c r="K570" s="24"/>
      <c r="N570" s="69"/>
      <c r="O570" s="27"/>
    </row>
    <row r="571" spans="1:15" x14ac:dyDescent="0.25">
      <c r="A571" s="13">
        <f t="shared" si="14"/>
        <v>36</v>
      </c>
      <c r="B571" s="17"/>
      <c r="C571" s="17"/>
      <c r="D571" s="18"/>
      <c r="E571" s="11"/>
      <c r="F571" s="19"/>
      <c r="G571" s="20"/>
      <c r="H571" s="21"/>
      <c r="I571" s="22"/>
      <c r="J571" s="39"/>
      <c r="K571" s="24"/>
      <c r="N571" s="69"/>
      <c r="O571" s="27"/>
    </row>
    <row r="572" spans="1:15" x14ac:dyDescent="0.25">
      <c r="A572" s="13">
        <f t="shared" si="14"/>
        <v>36</v>
      </c>
      <c r="B572" s="17"/>
      <c r="C572" s="17"/>
      <c r="D572" s="18"/>
      <c r="E572" s="11"/>
      <c r="F572" s="19"/>
      <c r="G572" s="20"/>
      <c r="H572" s="21"/>
      <c r="I572" s="22"/>
      <c r="J572" s="39"/>
      <c r="K572" s="24"/>
      <c r="N572" s="69"/>
      <c r="O572" s="27"/>
    </row>
    <row r="573" spans="1:15" x14ac:dyDescent="0.25">
      <c r="A573" s="13">
        <f t="shared" si="14"/>
        <v>36</v>
      </c>
      <c r="B573" s="17"/>
      <c r="C573" s="17"/>
      <c r="D573" s="18"/>
      <c r="E573" s="11"/>
      <c r="F573" s="19"/>
      <c r="G573" s="20"/>
      <c r="H573" s="21"/>
      <c r="I573" s="22"/>
      <c r="J573" s="39"/>
      <c r="K573" s="24"/>
      <c r="N573" s="69"/>
      <c r="O573" s="27"/>
    </row>
    <row r="574" spans="1:15" x14ac:dyDescent="0.25">
      <c r="A574" s="13">
        <f t="shared" si="14"/>
        <v>36</v>
      </c>
      <c r="B574" s="17"/>
      <c r="C574" s="17"/>
      <c r="D574" s="18"/>
      <c r="E574" s="11"/>
      <c r="F574" s="19"/>
      <c r="G574" s="20"/>
      <c r="H574" s="21"/>
      <c r="I574" s="22"/>
      <c r="J574" s="39"/>
      <c r="K574" s="24"/>
      <c r="N574" s="69"/>
      <c r="O574" s="27"/>
    </row>
    <row r="575" spans="1:15" x14ac:dyDescent="0.25">
      <c r="A575" s="13">
        <f t="shared" si="14"/>
        <v>36</v>
      </c>
      <c r="B575" s="17"/>
      <c r="C575" s="17"/>
      <c r="D575" s="18"/>
      <c r="E575" s="11"/>
      <c r="F575" s="19"/>
      <c r="G575" s="20"/>
      <c r="H575" s="21"/>
      <c r="I575" s="22"/>
      <c r="J575" s="39"/>
      <c r="K575" s="24"/>
      <c r="N575" s="69"/>
      <c r="O575" s="27"/>
    </row>
    <row r="576" spans="1:15" x14ac:dyDescent="0.25">
      <c r="A576" s="13">
        <f t="shared" si="14"/>
        <v>36</v>
      </c>
      <c r="B576" s="17"/>
      <c r="C576" s="17"/>
      <c r="D576" s="18"/>
      <c r="E576" s="11"/>
      <c r="F576" s="19"/>
      <c r="G576" s="20"/>
      <c r="H576" s="21"/>
      <c r="I576" s="22"/>
      <c r="J576" s="39"/>
      <c r="K576" s="24"/>
      <c r="N576" s="69"/>
      <c r="O576" s="27"/>
    </row>
    <row r="577" spans="1:15" x14ac:dyDescent="0.25">
      <c r="A577" s="13">
        <f t="shared" si="14"/>
        <v>36</v>
      </c>
      <c r="B577" s="17"/>
      <c r="C577" s="17"/>
      <c r="D577" s="18"/>
      <c r="E577" s="11"/>
      <c r="F577" s="19"/>
      <c r="G577" s="20"/>
      <c r="H577" s="21"/>
      <c r="I577" s="22"/>
      <c r="J577" s="23"/>
      <c r="K577" s="24"/>
      <c r="N577" s="69"/>
      <c r="O577" s="27"/>
    </row>
    <row r="578" spans="1:15" x14ac:dyDescent="0.25">
      <c r="A578" s="13">
        <f t="shared" si="14"/>
        <v>36</v>
      </c>
      <c r="B578" s="17"/>
      <c r="C578" s="17"/>
      <c r="D578" s="18"/>
      <c r="E578" s="11"/>
      <c r="F578" s="19"/>
      <c r="G578" s="20"/>
      <c r="H578" s="21"/>
      <c r="I578" s="22"/>
      <c r="J578" s="23"/>
      <c r="K578" s="24"/>
      <c r="N578" s="69"/>
      <c r="O578" s="27"/>
    </row>
    <row r="579" spans="1:15" x14ac:dyDescent="0.25">
      <c r="A579" s="13">
        <f t="shared" si="14"/>
        <v>36</v>
      </c>
      <c r="B579" s="17"/>
      <c r="C579" s="17"/>
      <c r="D579" s="18"/>
      <c r="E579" s="11"/>
      <c r="F579" s="19"/>
      <c r="G579" s="20"/>
      <c r="H579" s="21"/>
      <c r="I579" s="22"/>
      <c r="J579" s="23"/>
      <c r="K579" s="24"/>
      <c r="N579" s="69"/>
      <c r="O579" s="27"/>
    </row>
    <row r="580" spans="1:15" x14ac:dyDescent="0.25">
      <c r="A580" s="13">
        <f t="shared" ref="A580:A643" si="15">IF(B580=B579,A579,A579+1)</f>
        <v>36</v>
      </c>
      <c r="B580" s="17"/>
      <c r="C580" s="17"/>
      <c r="D580" s="18"/>
      <c r="E580" s="11"/>
      <c r="F580" s="19"/>
      <c r="G580" s="20"/>
      <c r="H580" s="21"/>
      <c r="I580" s="22"/>
      <c r="J580" s="23"/>
      <c r="K580" s="24"/>
      <c r="N580" s="69"/>
      <c r="O580" s="27"/>
    </row>
    <row r="581" spans="1:15" x14ac:dyDescent="0.25">
      <c r="A581" s="13">
        <f t="shared" si="15"/>
        <v>36</v>
      </c>
      <c r="B581" s="17"/>
      <c r="C581" s="17"/>
      <c r="D581" s="18"/>
      <c r="E581" s="11"/>
      <c r="F581" s="19"/>
      <c r="G581" s="36"/>
      <c r="H581" s="21"/>
      <c r="I581" s="22"/>
      <c r="J581" s="35"/>
      <c r="K581" s="24"/>
      <c r="N581" s="69"/>
      <c r="O581" s="27"/>
    </row>
    <row r="582" spans="1:15" x14ac:dyDescent="0.25">
      <c r="A582" s="13">
        <f t="shared" si="15"/>
        <v>36</v>
      </c>
      <c r="B582" s="17"/>
      <c r="C582" s="17"/>
      <c r="D582" s="18"/>
      <c r="E582" s="11"/>
      <c r="F582" s="19"/>
      <c r="G582" s="36"/>
      <c r="H582" s="21"/>
      <c r="I582" s="22"/>
      <c r="J582" s="35"/>
      <c r="K582" s="24"/>
      <c r="N582" s="69"/>
      <c r="O582" s="27"/>
    </row>
    <row r="583" spans="1:15" x14ac:dyDescent="0.25">
      <c r="A583" s="13">
        <f t="shared" si="15"/>
        <v>36</v>
      </c>
      <c r="B583" s="17"/>
      <c r="C583" s="17"/>
      <c r="D583" s="18"/>
      <c r="E583" s="11"/>
      <c r="F583" s="19"/>
      <c r="G583" s="36"/>
      <c r="H583" s="21"/>
      <c r="I583" s="22"/>
      <c r="J583" s="35"/>
      <c r="K583" s="24"/>
      <c r="N583" s="69"/>
      <c r="O583" s="27"/>
    </row>
    <row r="584" spans="1:15" x14ac:dyDescent="0.25">
      <c r="A584" s="13">
        <f t="shared" si="15"/>
        <v>36</v>
      </c>
      <c r="B584" s="17"/>
      <c r="C584" s="17"/>
      <c r="D584" s="18"/>
      <c r="E584" s="11"/>
      <c r="F584" s="19"/>
      <c r="G584" s="36"/>
      <c r="H584" s="21"/>
      <c r="I584" s="22"/>
      <c r="J584" s="35"/>
      <c r="K584" s="24"/>
      <c r="N584" s="69"/>
      <c r="O584" s="27"/>
    </row>
    <row r="585" spans="1:15" x14ac:dyDescent="0.25">
      <c r="A585" s="13">
        <f t="shared" si="15"/>
        <v>36</v>
      </c>
      <c r="B585" s="17"/>
      <c r="C585" s="17"/>
      <c r="D585" s="18"/>
      <c r="E585" s="11"/>
      <c r="F585" s="19"/>
      <c r="G585" s="36"/>
      <c r="H585" s="21"/>
      <c r="I585" s="22"/>
      <c r="J585" s="35"/>
      <c r="K585" s="24"/>
      <c r="N585" s="69"/>
      <c r="O585" s="27"/>
    </row>
    <row r="586" spans="1:15" x14ac:dyDescent="0.25">
      <c r="A586" s="13">
        <f t="shared" si="15"/>
        <v>36</v>
      </c>
      <c r="B586" s="17"/>
      <c r="C586" s="17"/>
      <c r="D586" s="18"/>
      <c r="E586" s="11"/>
      <c r="F586" s="19"/>
      <c r="G586" s="36"/>
      <c r="H586" s="21"/>
      <c r="I586" s="22"/>
      <c r="J586" s="35"/>
      <c r="K586" s="24"/>
      <c r="N586" s="69"/>
      <c r="O586" s="27"/>
    </row>
    <row r="587" spans="1:15" x14ac:dyDescent="0.25">
      <c r="A587" s="13">
        <f t="shared" si="15"/>
        <v>36</v>
      </c>
      <c r="B587" s="17"/>
      <c r="C587" s="17"/>
      <c r="D587" s="40"/>
      <c r="E587" s="41"/>
      <c r="F587" s="19"/>
      <c r="G587" s="36"/>
      <c r="H587" s="21"/>
      <c r="I587" s="22"/>
      <c r="J587" s="35"/>
      <c r="K587" s="24"/>
      <c r="N587" s="69"/>
      <c r="O587" s="27"/>
    </row>
    <row r="588" spans="1:15" x14ac:dyDescent="0.25">
      <c r="A588" s="13">
        <f t="shared" si="15"/>
        <v>36</v>
      </c>
      <c r="B588" s="17"/>
      <c r="C588" s="17"/>
      <c r="D588" s="18"/>
      <c r="E588" s="11"/>
      <c r="F588" s="19"/>
      <c r="G588" s="20"/>
      <c r="H588" s="21"/>
      <c r="I588" s="22"/>
      <c r="J588" s="39"/>
      <c r="K588" s="24"/>
      <c r="N588" s="69"/>
      <c r="O588" s="27"/>
    </row>
    <row r="589" spans="1:15" x14ac:dyDescent="0.25">
      <c r="A589" s="13">
        <f t="shared" si="15"/>
        <v>36</v>
      </c>
      <c r="B589" s="17"/>
      <c r="C589" s="17"/>
      <c r="D589" s="18"/>
      <c r="E589" s="11"/>
      <c r="F589" s="19"/>
      <c r="G589" s="20"/>
      <c r="H589" s="21"/>
      <c r="I589" s="22"/>
      <c r="J589" s="39"/>
      <c r="K589" s="24"/>
      <c r="N589" s="69"/>
      <c r="O589" s="27"/>
    </row>
    <row r="590" spans="1:15" x14ac:dyDescent="0.25">
      <c r="A590" s="13">
        <f t="shared" si="15"/>
        <v>36</v>
      </c>
      <c r="B590" s="17"/>
      <c r="C590" s="17"/>
      <c r="D590" s="18"/>
      <c r="E590" s="11"/>
      <c r="F590" s="19"/>
      <c r="G590" s="20"/>
      <c r="H590" s="21"/>
      <c r="I590" s="22"/>
      <c r="J590" s="39"/>
      <c r="K590" s="24"/>
      <c r="N590" s="69"/>
      <c r="O590" s="27"/>
    </row>
    <row r="591" spans="1:15" x14ac:dyDescent="0.25">
      <c r="A591" s="13">
        <f t="shared" si="15"/>
        <v>36</v>
      </c>
      <c r="B591" s="17"/>
      <c r="C591" s="17"/>
      <c r="D591" s="18"/>
      <c r="E591" s="11"/>
      <c r="F591" s="19"/>
      <c r="G591" s="20"/>
      <c r="H591" s="21"/>
      <c r="I591" s="22"/>
      <c r="J591" s="39"/>
      <c r="K591" s="24"/>
      <c r="N591" s="69"/>
      <c r="O591" s="27"/>
    </row>
    <row r="592" spans="1:15" x14ac:dyDescent="0.25">
      <c r="A592" s="13">
        <f t="shared" si="15"/>
        <v>36</v>
      </c>
      <c r="B592" s="17"/>
      <c r="C592" s="17"/>
      <c r="D592" s="18"/>
      <c r="E592" s="11"/>
      <c r="F592" s="19"/>
      <c r="G592" s="20"/>
      <c r="H592" s="21"/>
      <c r="I592" s="22"/>
      <c r="J592" s="39"/>
      <c r="K592" s="24"/>
      <c r="N592" s="69"/>
      <c r="O592" s="27"/>
    </row>
    <row r="593" spans="1:15" x14ac:dyDescent="0.25">
      <c r="A593" s="13">
        <f t="shared" si="15"/>
        <v>36</v>
      </c>
      <c r="B593" s="17"/>
      <c r="C593" s="17"/>
      <c r="D593" s="18"/>
      <c r="E593" s="11"/>
      <c r="F593" s="19"/>
      <c r="G593" s="20"/>
      <c r="H593" s="21"/>
      <c r="I593" s="22"/>
      <c r="J593" s="39"/>
      <c r="K593" s="24"/>
      <c r="N593" s="69"/>
      <c r="O593" s="27"/>
    </row>
    <row r="594" spans="1:15" x14ac:dyDescent="0.25">
      <c r="A594" s="13">
        <f t="shared" si="15"/>
        <v>36</v>
      </c>
      <c r="B594" s="17"/>
      <c r="C594" s="17"/>
      <c r="D594" s="18"/>
      <c r="E594" s="11"/>
      <c r="F594" s="19"/>
      <c r="G594" s="20"/>
      <c r="H594" s="21"/>
      <c r="I594" s="22"/>
      <c r="J594" s="39"/>
      <c r="K594" s="24"/>
      <c r="N594" s="69"/>
      <c r="O594" s="27"/>
    </row>
    <row r="595" spans="1:15" x14ac:dyDescent="0.25">
      <c r="A595" s="13">
        <f t="shared" si="15"/>
        <v>36</v>
      </c>
      <c r="B595" s="17"/>
      <c r="C595" s="17"/>
      <c r="D595" s="18"/>
      <c r="E595" s="11"/>
      <c r="F595" s="19"/>
      <c r="G595" s="20"/>
      <c r="H595" s="21"/>
      <c r="I595" s="22"/>
      <c r="J595" s="39"/>
      <c r="K595" s="24"/>
      <c r="N595" s="69"/>
      <c r="O595" s="27"/>
    </row>
    <row r="596" spans="1:15" x14ac:dyDescent="0.25">
      <c r="A596" s="13">
        <f t="shared" si="15"/>
        <v>36</v>
      </c>
      <c r="B596" s="17"/>
      <c r="C596" s="17"/>
      <c r="D596" s="18"/>
      <c r="E596" s="11"/>
      <c r="F596" s="19"/>
      <c r="G596" s="20"/>
      <c r="H596" s="21"/>
      <c r="I596" s="22"/>
      <c r="J596" s="39"/>
      <c r="K596" s="24"/>
      <c r="N596" s="69"/>
      <c r="O596" s="27"/>
    </row>
    <row r="597" spans="1:15" x14ac:dyDescent="0.25">
      <c r="A597" s="13">
        <f t="shared" si="15"/>
        <v>36</v>
      </c>
      <c r="B597" s="17"/>
      <c r="C597" s="17"/>
      <c r="D597" s="18"/>
      <c r="E597" s="11"/>
      <c r="F597" s="19"/>
      <c r="G597" s="20"/>
      <c r="H597" s="21"/>
      <c r="I597" s="22"/>
      <c r="J597" s="39"/>
      <c r="K597" s="24"/>
      <c r="N597" s="69"/>
      <c r="O597" s="27"/>
    </row>
    <row r="598" spans="1:15" x14ac:dyDescent="0.25">
      <c r="A598" s="13">
        <f t="shared" si="15"/>
        <v>36</v>
      </c>
      <c r="B598" s="17"/>
      <c r="C598" s="17"/>
      <c r="D598" s="18"/>
      <c r="E598" s="11"/>
      <c r="F598" s="19"/>
      <c r="G598" s="20"/>
      <c r="H598" s="21"/>
      <c r="I598" s="22"/>
      <c r="J598" s="39"/>
      <c r="K598" s="24"/>
      <c r="N598" s="69"/>
      <c r="O598" s="27"/>
    </row>
    <row r="599" spans="1:15" x14ac:dyDescent="0.25">
      <c r="A599" s="13">
        <f t="shared" si="15"/>
        <v>36</v>
      </c>
      <c r="B599" s="17"/>
      <c r="C599" s="17"/>
      <c r="D599" s="18"/>
      <c r="E599" s="11"/>
      <c r="F599" s="19"/>
      <c r="G599" s="36"/>
      <c r="H599" s="21"/>
      <c r="I599" s="22"/>
      <c r="J599" s="35"/>
      <c r="K599" s="24"/>
      <c r="N599" s="69"/>
      <c r="O599" s="27"/>
    </row>
    <row r="600" spans="1:15" x14ac:dyDescent="0.25">
      <c r="A600" s="13">
        <f t="shared" si="15"/>
        <v>36</v>
      </c>
      <c r="B600" s="17"/>
      <c r="C600" s="17"/>
      <c r="D600" s="18"/>
      <c r="E600" s="11"/>
      <c r="F600" s="19"/>
      <c r="G600" s="36"/>
      <c r="H600" s="21"/>
      <c r="I600" s="22"/>
      <c r="J600" s="35"/>
      <c r="K600" s="24"/>
      <c r="N600" s="69"/>
      <c r="O600" s="27"/>
    </row>
    <row r="601" spans="1:15" x14ac:dyDescent="0.25">
      <c r="A601" s="13">
        <f t="shared" si="15"/>
        <v>36</v>
      </c>
      <c r="B601" s="17"/>
      <c r="C601" s="17"/>
      <c r="D601" s="18"/>
      <c r="E601" s="11"/>
      <c r="F601" s="19"/>
      <c r="G601" s="36"/>
      <c r="H601" s="21"/>
      <c r="I601" s="22"/>
      <c r="J601" s="35"/>
      <c r="K601" s="24"/>
      <c r="N601" s="69"/>
      <c r="O601" s="27"/>
    </row>
    <row r="602" spans="1:15" x14ac:dyDescent="0.25">
      <c r="A602" s="13">
        <f t="shared" si="15"/>
        <v>36</v>
      </c>
      <c r="B602" s="17"/>
      <c r="C602" s="17"/>
      <c r="D602" s="18"/>
      <c r="E602" s="11"/>
      <c r="F602" s="19"/>
      <c r="G602" s="36"/>
      <c r="H602" s="21"/>
      <c r="I602" s="22"/>
      <c r="J602" s="35"/>
      <c r="K602" s="24"/>
      <c r="N602" s="69"/>
      <c r="O602" s="27"/>
    </row>
    <row r="603" spans="1:15" x14ac:dyDescent="0.25">
      <c r="A603" s="13">
        <f t="shared" si="15"/>
        <v>36</v>
      </c>
      <c r="B603" s="17"/>
      <c r="C603" s="17"/>
      <c r="D603" s="18"/>
      <c r="E603" s="11"/>
      <c r="F603" s="19"/>
      <c r="G603" s="36"/>
      <c r="H603" s="21"/>
      <c r="I603" s="22"/>
      <c r="J603" s="35"/>
      <c r="K603" s="24"/>
      <c r="N603" s="69"/>
      <c r="O603" s="27"/>
    </row>
    <row r="604" spans="1:15" x14ac:dyDescent="0.25">
      <c r="A604" s="13">
        <f t="shared" si="15"/>
        <v>36</v>
      </c>
      <c r="B604" s="17"/>
      <c r="C604" s="17"/>
      <c r="D604" s="18"/>
      <c r="E604" s="11"/>
      <c r="F604" s="19"/>
      <c r="G604" s="36"/>
      <c r="H604" s="21"/>
      <c r="I604" s="22"/>
      <c r="J604" s="35"/>
      <c r="K604" s="24"/>
      <c r="N604" s="69"/>
      <c r="O604" s="27"/>
    </row>
    <row r="605" spans="1:15" x14ac:dyDescent="0.25">
      <c r="A605" s="13">
        <f t="shared" si="15"/>
        <v>36</v>
      </c>
      <c r="B605" s="17"/>
      <c r="C605" s="17"/>
      <c r="D605" s="18"/>
      <c r="E605" s="11"/>
      <c r="F605" s="19"/>
      <c r="G605" s="36"/>
      <c r="H605" s="21"/>
      <c r="I605" s="22"/>
      <c r="J605" s="35"/>
      <c r="K605" s="24"/>
      <c r="N605" s="69"/>
      <c r="O605" s="27"/>
    </row>
    <row r="606" spans="1:15" x14ac:dyDescent="0.25">
      <c r="A606" s="13">
        <f t="shared" si="15"/>
        <v>36</v>
      </c>
      <c r="B606" s="17"/>
      <c r="C606" s="17"/>
      <c r="D606" s="18"/>
      <c r="E606" s="11"/>
      <c r="F606" s="19"/>
      <c r="G606" s="36"/>
      <c r="H606" s="21"/>
      <c r="I606" s="22"/>
      <c r="J606" s="35"/>
      <c r="K606" s="24"/>
      <c r="N606" s="69"/>
      <c r="O606" s="27"/>
    </row>
    <row r="607" spans="1:15" x14ac:dyDescent="0.25">
      <c r="A607" s="13">
        <f t="shared" si="15"/>
        <v>36</v>
      </c>
      <c r="B607" s="17"/>
      <c r="C607" s="17"/>
      <c r="D607" s="18"/>
      <c r="E607" s="11"/>
      <c r="F607" s="19"/>
      <c r="G607" s="36"/>
      <c r="H607" s="21"/>
      <c r="I607" s="22"/>
      <c r="J607" s="35"/>
      <c r="K607" s="24"/>
      <c r="N607" s="69"/>
      <c r="O607" s="27"/>
    </row>
    <row r="608" spans="1:15" x14ac:dyDescent="0.25">
      <c r="A608" s="13">
        <f t="shared" si="15"/>
        <v>36</v>
      </c>
      <c r="B608" s="17"/>
      <c r="C608" s="17"/>
      <c r="D608" s="18"/>
      <c r="E608" s="11"/>
      <c r="F608" s="19"/>
      <c r="G608" s="36"/>
      <c r="H608" s="21"/>
      <c r="I608" s="22"/>
      <c r="J608" s="35"/>
      <c r="K608" s="24"/>
      <c r="N608" s="69"/>
      <c r="O608" s="27"/>
    </row>
    <row r="609" spans="1:15" x14ac:dyDescent="0.25">
      <c r="A609" s="13">
        <f t="shared" si="15"/>
        <v>36</v>
      </c>
      <c r="B609" s="17"/>
      <c r="C609" s="17"/>
      <c r="D609" s="18"/>
      <c r="E609" s="11"/>
      <c r="F609" s="19"/>
      <c r="G609" s="36"/>
      <c r="H609" s="21"/>
      <c r="I609" s="22"/>
      <c r="J609" s="35"/>
      <c r="K609" s="24"/>
      <c r="N609" s="69"/>
      <c r="O609" s="27"/>
    </row>
    <row r="610" spans="1:15" x14ac:dyDescent="0.25">
      <c r="A610" s="13">
        <f t="shared" si="15"/>
        <v>36</v>
      </c>
      <c r="B610" s="17"/>
      <c r="C610" s="17"/>
      <c r="D610" s="18"/>
      <c r="E610" s="11"/>
      <c r="F610" s="19"/>
      <c r="G610" s="36"/>
      <c r="H610" s="21"/>
      <c r="I610" s="22"/>
      <c r="J610" s="35"/>
      <c r="K610" s="24"/>
      <c r="N610" s="69"/>
      <c r="O610" s="27"/>
    </row>
    <row r="611" spans="1:15" x14ac:dyDescent="0.25">
      <c r="A611" s="13">
        <f t="shared" si="15"/>
        <v>36</v>
      </c>
      <c r="B611" s="17"/>
      <c r="C611" s="17"/>
      <c r="D611" s="18"/>
      <c r="E611" s="11"/>
      <c r="F611" s="19"/>
      <c r="G611" s="36"/>
      <c r="H611" s="21"/>
      <c r="I611" s="22"/>
      <c r="J611" s="35"/>
      <c r="K611" s="24"/>
      <c r="N611" s="69"/>
      <c r="O611" s="27"/>
    </row>
    <row r="612" spans="1:15" x14ac:dyDescent="0.25">
      <c r="A612" s="13">
        <f t="shared" si="15"/>
        <v>36</v>
      </c>
      <c r="B612" s="17"/>
      <c r="C612" s="17"/>
      <c r="D612" s="18"/>
      <c r="E612" s="11"/>
      <c r="F612" s="19"/>
      <c r="G612" s="36"/>
      <c r="H612" s="21"/>
      <c r="I612" s="22"/>
      <c r="J612" s="35"/>
      <c r="K612" s="24"/>
      <c r="N612" s="69"/>
      <c r="O612" s="27"/>
    </row>
    <row r="613" spans="1:15" x14ac:dyDescent="0.25">
      <c r="A613" s="13">
        <f t="shared" si="15"/>
        <v>36</v>
      </c>
      <c r="B613" s="17"/>
      <c r="C613" s="17"/>
      <c r="D613" s="18"/>
      <c r="E613" s="11"/>
      <c r="F613" s="19"/>
      <c r="G613" s="36"/>
      <c r="H613" s="21"/>
      <c r="I613" s="22"/>
      <c r="J613" s="35"/>
      <c r="K613" s="24"/>
      <c r="N613" s="69"/>
      <c r="O613" s="27"/>
    </row>
    <row r="614" spans="1:15" x14ac:dyDescent="0.25">
      <c r="A614" s="13">
        <f t="shared" si="15"/>
        <v>36</v>
      </c>
      <c r="B614" s="17"/>
      <c r="C614" s="17"/>
      <c r="D614" s="18"/>
      <c r="E614" s="11"/>
      <c r="F614" s="19"/>
      <c r="G614" s="36"/>
      <c r="H614" s="21"/>
      <c r="I614" s="22"/>
      <c r="J614" s="35"/>
      <c r="K614" s="24"/>
      <c r="N614" s="69"/>
      <c r="O614" s="27"/>
    </row>
    <row r="615" spans="1:15" x14ac:dyDescent="0.25">
      <c r="A615" s="13">
        <f t="shared" si="15"/>
        <v>36</v>
      </c>
      <c r="B615" s="17"/>
      <c r="C615" s="17"/>
      <c r="D615" s="40"/>
      <c r="E615" s="41"/>
      <c r="F615" s="19"/>
      <c r="G615" s="36"/>
      <c r="H615" s="21"/>
      <c r="I615" s="22"/>
      <c r="J615" s="35"/>
      <c r="K615" s="24"/>
      <c r="N615" s="69"/>
      <c r="O615" s="27"/>
    </row>
    <row r="616" spans="1:15" x14ac:dyDescent="0.25">
      <c r="A616" s="13">
        <f t="shared" si="15"/>
        <v>36</v>
      </c>
      <c r="B616" s="17"/>
      <c r="C616" s="17"/>
      <c r="D616" s="18"/>
      <c r="E616" s="11"/>
      <c r="F616" s="19"/>
      <c r="G616" s="20"/>
      <c r="H616" s="21"/>
      <c r="I616" s="22"/>
      <c r="J616" s="39"/>
      <c r="K616" s="24"/>
      <c r="N616" s="69"/>
      <c r="O616" s="27"/>
    </row>
    <row r="617" spans="1:15" x14ac:dyDescent="0.25">
      <c r="A617" s="13">
        <f t="shared" si="15"/>
        <v>36</v>
      </c>
      <c r="B617" s="17"/>
      <c r="C617" s="17"/>
      <c r="D617" s="18"/>
      <c r="E617" s="11"/>
      <c r="F617" s="19"/>
      <c r="G617" s="20"/>
      <c r="H617" s="21"/>
      <c r="I617" s="22"/>
      <c r="J617" s="39"/>
      <c r="K617" s="24"/>
      <c r="N617" s="69"/>
      <c r="O617" s="27"/>
    </row>
    <row r="618" spans="1:15" x14ac:dyDescent="0.25">
      <c r="A618" s="13">
        <f t="shared" si="15"/>
        <v>36</v>
      </c>
      <c r="B618" s="17"/>
      <c r="C618" s="17"/>
      <c r="D618" s="18"/>
      <c r="E618" s="11"/>
      <c r="F618" s="19"/>
      <c r="G618" s="20"/>
      <c r="H618" s="21"/>
      <c r="I618" s="22"/>
      <c r="J618" s="39"/>
      <c r="K618" s="24"/>
      <c r="N618" s="69"/>
      <c r="O618" s="27"/>
    </row>
    <row r="619" spans="1:15" x14ac:dyDescent="0.25">
      <c r="A619" s="13">
        <f t="shared" si="15"/>
        <v>36</v>
      </c>
      <c r="B619" s="17"/>
      <c r="C619" s="17"/>
      <c r="D619" s="18"/>
      <c r="E619" s="11"/>
      <c r="F619" s="19"/>
      <c r="G619" s="20"/>
      <c r="H619" s="21"/>
      <c r="I619" s="22"/>
      <c r="J619" s="39"/>
      <c r="K619" s="24"/>
      <c r="N619" s="69"/>
      <c r="O619" s="27"/>
    </row>
    <row r="620" spans="1:15" x14ac:dyDescent="0.25">
      <c r="A620" s="13">
        <f t="shared" si="15"/>
        <v>36</v>
      </c>
      <c r="B620" s="17"/>
      <c r="C620" s="17"/>
      <c r="D620" s="18"/>
      <c r="E620" s="11"/>
      <c r="F620" s="19"/>
      <c r="G620" s="20"/>
      <c r="H620" s="21"/>
      <c r="I620" s="22"/>
      <c r="J620" s="39"/>
      <c r="K620" s="24"/>
      <c r="N620" s="69"/>
      <c r="O620" s="27"/>
    </row>
    <row r="621" spans="1:15" x14ac:dyDescent="0.25">
      <c r="A621" s="13">
        <f t="shared" si="15"/>
        <v>36</v>
      </c>
      <c r="B621" s="17"/>
      <c r="C621" s="17"/>
      <c r="D621" s="18"/>
      <c r="E621" s="11"/>
      <c r="F621" s="19"/>
      <c r="G621" s="20"/>
      <c r="H621" s="21"/>
      <c r="I621" s="22"/>
      <c r="J621" s="39"/>
      <c r="K621" s="24"/>
      <c r="N621" s="69"/>
      <c r="O621" s="27"/>
    </row>
    <row r="622" spans="1:15" x14ac:dyDescent="0.25">
      <c r="A622" s="13">
        <f t="shared" si="15"/>
        <v>36</v>
      </c>
      <c r="B622" s="17"/>
      <c r="C622" s="17"/>
      <c r="D622" s="18"/>
      <c r="E622" s="11"/>
      <c r="F622" s="19"/>
      <c r="G622" s="20"/>
      <c r="H622" s="21"/>
      <c r="I622" s="22"/>
      <c r="J622" s="39"/>
      <c r="K622" s="24"/>
      <c r="N622" s="69"/>
      <c r="O622" s="27"/>
    </row>
    <row r="623" spans="1:15" x14ac:dyDescent="0.25">
      <c r="A623" s="13">
        <f t="shared" si="15"/>
        <v>36</v>
      </c>
      <c r="B623" s="17"/>
      <c r="C623" s="17"/>
      <c r="D623" s="18"/>
      <c r="E623" s="11"/>
      <c r="F623" s="19"/>
      <c r="G623" s="20"/>
      <c r="H623" s="21"/>
      <c r="I623" s="22"/>
      <c r="J623" s="39"/>
      <c r="K623" s="24"/>
      <c r="N623" s="69"/>
      <c r="O623" s="27"/>
    </row>
    <row r="624" spans="1:15" x14ac:dyDescent="0.25">
      <c r="A624" s="13">
        <f t="shared" si="15"/>
        <v>36</v>
      </c>
      <c r="B624" s="17"/>
      <c r="C624" s="17"/>
      <c r="D624" s="18"/>
      <c r="E624" s="11"/>
      <c r="F624" s="19"/>
      <c r="G624" s="20"/>
      <c r="H624" s="21"/>
      <c r="I624" s="22"/>
      <c r="J624" s="39"/>
      <c r="K624" s="24"/>
      <c r="N624" s="69"/>
      <c r="O624" s="27"/>
    </row>
    <row r="625" spans="1:15" x14ac:dyDescent="0.25">
      <c r="A625" s="13">
        <f t="shared" si="15"/>
        <v>36</v>
      </c>
      <c r="B625" s="17"/>
      <c r="C625" s="17"/>
      <c r="D625" s="18"/>
      <c r="E625" s="11"/>
      <c r="F625" s="19"/>
      <c r="G625" s="20"/>
      <c r="H625" s="21"/>
      <c r="I625" s="22"/>
      <c r="J625" s="39"/>
      <c r="K625" s="24"/>
      <c r="N625" s="69"/>
      <c r="O625" s="27"/>
    </row>
    <row r="626" spans="1:15" x14ac:dyDescent="0.25">
      <c r="A626" s="13">
        <f t="shared" si="15"/>
        <v>36</v>
      </c>
      <c r="B626" s="17"/>
      <c r="C626" s="17"/>
      <c r="D626" s="18"/>
      <c r="E626" s="11"/>
      <c r="F626" s="19"/>
      <c r="G626" s="20"/>
      <c r="H626" s="21"/>
      <c r="I626" s="22"/>
      <c r="J626" s="39"/>
      <c r="K626" s="24"/>
      <c r="N626" s="69"/>
      <c r="O626" s="27"/>
    </row>
    <row r="627" spans="1:15" x14ac:dyDescent="0.25">
      <c r="A627" s="13">
        <f t="shared" si="15"/>
        <v>36</v>
      </c>
      <c r="B627" s="17"/>
      <c r="C627" s="17"/>
      <c r="D627" s="18"/>
      <c r="E627" s="11"/>
      <c r="F627" s="19"/>
      <c r="G627" s="20"/>
      <c r="H627" s="21"/>
      <c r="I627" s="22"/>
      <c r="J627" s="39"/>
      <c r="K627" s="24"/>
      <c r="N627" s="69"/>
      <c r="O627" s="27"/>
    </row>
    <row r="628" spans="1:15" x14ac:dyDescent="0.25">
      <c r="A628" s="13">
        <f t="shared" si="15"/>
        <v>36</v>
      </c>
      <c r="B628" s="17"/>
      <c r="C628" s="17"/>
      <c r="D628" s="18"/>
      <c r="E628" s="11"/>
      <c r="F628" s="19"/>
      <c r="G628" s="20"/>
      <c r="H628" s="21"/>
      <c r="I628" s="22"/>
      <c r="J628" s="39"/>
      <c r="K628" s="24"/>
      <c r="N628" s="69"/>
      <c r="O628" s="27"/>
    </row>
    <row r="629" spans="1:15" x14ac:dyDescent="0.25">
      <c r="A629" s="13">
        <f t="shared" si="15"/>
        <v>36</v>
      </c>
      <c r="B629" s="17"/>
      <c r="C629" s="17"/>
      <c r="D629" s="18"/>
      <c r="E629" s="11"/>
      <c r="F629" s="19"/>
      <c r="G629" s="20"/>
      <c r="H629" s="21"/>
      <c r="I629" s="22"/>
      <c r="J629" s="39"/>
      <c r="K629" s="24"/>
      <c r="N629" s="69"/>
      <c r="O629" s="27"/>
    </row>
    <row r="630" spans="1:15" x14ac:dyDescent="0.25">
      <c r="A630" s="13">
        <f t="shared" si="15"/>
        <v>36</v>
      </c>
      <c r="B630" s="17"/>
      <c r="C630" s="17"/>
      <c r="D630" s="18"/>
      <c r="E630" s="11"/>
      <c r="F630" s="19"/>
      <c r="G630" s="20"/>
      <c r="H630" s="21"/>
      <c r="I630" s="22"/>
      <c r="J630" s="39"/>
      <c r="K630" s="24"/>
      <c r="N630" s="69"/>
      <c r="O630" s="27"/>
    </row>
    <row r="631" spans="1:15" x14ac:dyDescent="0.25">
      <c r="A631" s="13">
        <f t="shared" si="15"/>
        <v>36</v>
      </c>
      <c r="B631" s="17"/>
      <c r="C631" s="17"/>
      <c r="D631" s="18"/>
      <c r="E631" s="11"/>
      <c r="F631" s="19"/>
      <c r="G631" s="20"/>
      <c r="H631" s="21"/>
      <c r="I631" s="22"/>
      <c r="J631" s="39"/>
      <c r="K631" s="24"/>
      <c r="N631" s="69"/>
      <c r="O631" s="27"/>
    </row>
    <row r="632" spans="1:15" x14ac:dyDescent="0.25">
      <c r="A632" s="13">
        <f t="shared" si="15"/>
        <v>36</v>
      </c>
      <c r="B632" s="17"/>
      <c r="C632" s="17"/>
      <c r="D632" s="18"/>
      <c r="E632" s="11"/>
      <c r="F632" s="19"/>
      <c r="G632" s="20"/>
      <c r="H632" s="21"/>
      <c r="I632" s="22"/>
      <c r="J632" s="39"/>
      <c r="K632" s="24"/>
      <c r="N632" s="69"/>
      <c r="O632" s="27"/>
    </row>
    <row r="633" spans="1:15" x14ac:dyDescent="0.25">
      <c r="A633" s="13">
        <f t="shared" si="15"/>
        <v>36</v>
      </c>
      <c r="B633" s="17"/>
      <c r="C633" s="17"/>
      <c r="D633" s="18"/>
      <c r="E633" s="11"/>
      <c r="F633" s="19"/>
      <c r="G633" s="20"/>
      <c r="H633" s="21"/>
      <c r="I633" s="22"/>
      <c r="J633" s="39"/>
      <c r="K633" s="24"/>
      <c r="N633" s="69"/>
      <c r="O633" s="27"/>
    </row>
    <row r="634" spans="1:15" x14ac:dyDescent="0.25">
      <c r="A634" s="13">
        <f t="shared" si="15"/>
        <v>36</v>
      </c>
      <c r="B634" s="17"/>
      <c r="C634" s="17"/>
      <c r="D634" s="18"/>
      <c r="E634" s="11"/>
      <c r="F634" s="19"/>
      <c r="G634" s="20"/>
      <c r="H634" s="21"/>
      <c r="I634" s="22"/>
      <c r="J634" s="39"/>
      <c r="K634" s="24"/>
      <c r="N634" s="69"/>
      <c r="O634" s="27"/>
    </row>
    <row r="635" spans="1:15" x14ac:dyDescent="0.25">
      <c r="A635" s="13">
        <f t="shared" si="15"/>
        <v>36</v>
      </c>
      <c r="B635" s="17"/>
      <c r="C635" s="17"/>
      <c r="D635" s="18"/>
      <c r="E635" s="11"/>
      <c r="F635" s="19"/>
      <c r="G635" s="20"/>
      <c r="H635" s="21"/>
      <c r="I635" s="22"/>
      <c r="J635" s="39"/>
      <c r="K635" s="24"/>
      <c r="N635" s="69"/>
      <c r="O635" s="27"/>
    </row>
    <row r="636" spans="1:15" x14ac:dyDescent="0.25">
      <c r="A636" s="13">
        <f t="shared" si="15"/>
        <v>36</v>
      </c>
      <c r="B636" s="17"/>
      <c r="C636" s="17"/>
      <c r="D636" s="18"/>
      <c r="E636" s="11"/>
      <c r="F636" s="19"/>
      <c r="G636" s="20"/>
      <c r="H636" s="21"/>
      <c r="I636" s="22"/>
      <c r="J636" s="39"/>
      <c r="K636" s="24"/>
      <c r="N636" s="69"/>
      <c r="O636" s="27"/>
    </row>
    <row r="637" spans="1:15" x14ac:dyDescent="0.25">
      <c r="A637" s="13">
        <f t="shared" si="15"/>
        <v>36</v>
      </c>
      <c r="B637" s="17"/>
      <c r="C637" s="17"/>
      <c r="D637" s="18"/>
      <c r="E637" s="11"/>
      <c r="F637" s="19"/>
      <c r="G637" s="20"/>
      <c r="H637" s="21"/>
      <c r="I637" s="22"/>
      <c r="J637" s="39"/>
      <c r="K637" s="24"/>
      <c r="N637" s="69"/>
      <c r="O637" s="27"/>
    </row>
    <row r="638" spans="1:15" x14ac:dyDescent="0.25">
      <c r="A638" s="13">
        <f t="shared" si="15"/>
        <v>36</v>
      </c>
      <c r="B638" s="17"/>
      <c r="C638" s="17"/>
      <c r="D638" s="18"/>
      <c r="E638" s="11"/>
      <c r="F638" s="19"/>
      <c r="G638" s="20"/>
      <c r="H638" s="21"/>
      <c r="I638" s="22"/>
      <c r="J638" s="39"/>
      <c r="K638" s="24"/>
      <c r="N638" s="69"/>
      <c r="O638" s="27"/>
    </row>
    <row r="639" spans="1:15" x14ac:dyDescent="0.25">
      <c r="A639" s="13">
        <f t="shared" si="15"/>
        <v>36</v>
      </c>
      <c r="B639" s="17"/>
      <c r="C639" s="17"/>
      <c r="D639" s="18"/>
      <c r="E639" s="11"/>
      <c r="F639" s="19"/>
      <c r="G639" s="20"/>
      <c r="H639" s="21"/>
      <c r="I639" s="22"/>
      <c r="J639" s="39"/>
      <c r="K639" s="24"/>
      <c r="N639" s="69"/>
      <c r="O639" s="27"/>
    </row>
    <row r="640" spans="1:15" x14ac:dyDescent="0.25">
      <c r="A640" s="13">
        <f t="shared" si="15"/>
        <v>36</v>
      </c>
      <c r="B640" s="17"/>
      <c r="C640" s="17"/>
      <c r="D640" s="18"/>
      <c r="E640" s="11"/>
      <c r="F640" s="19"/>
      <c r="G640" s="20"/>
      <c r="H640" s="21"/>
      <c r="I640" s="22"/>
      <c r="J640" s="39"/>
      <c r="K640" s="24"/>
      <c r="N640" s="69"/>
      <c r="O640" s="27"/>
    </row>
    <row r="641" spans="1:15" x14ac:dyDescent="0.25">
      <c r="A641" s="13">
        <f t="shared" si="15"/>
        <v>36</v>
      </c>
      <c r="B641" s="17"/>
      <c r="C641" s="17"/>
      <c r="D641" s="18"/>
      <c r="E641" s="11"/>
      <c r="F641" s="19"/>
      <c r="G641" s="20"/>
      <c r="H641" s="21"/>
      <c r="I641" s="22"/>
      <c r="J641" s="39"/>
      <c r="K641" s="24"/>
      <c r="N641" s="69"/>
      <c r="O641" s="27"/>
    </row>
    <row r="642" spans="1:15" x14ac:dyDescent="0.25">
      <c r="A642" s="13">
        <f t="shared" si="15"/>
        <v>36</v>
      </c>
      <c r="B642" s="17"/>
      <c r="C642" s="17"/>
      <c r="D642" s="18"/>
      <c r="E642" s="11"/>
      <c r="F642" s="19"/>
      <c r="G642" s="20"/>
      <c r="H642" s="21"/>
      <c r="I642" s="22"/>
      <c r="J642" s="39"/>
      <c r="K642" s="24"/>
      <c r="N642" s="69"/>
      <c r="O642" s="27"/>
    </row>
    <row r="643" spans="1:15" x14ac:dyDescent="0.25">
      <c r="A643" s="13">
        <f t="shared" si="15"/>
        <v>36</v>
      </c>
      <c r="B643" s="17"/>
      <c r="C643" s="17"/>
      <c r="D643" s="40"/>
      <c r="E643" s="41"/>
      <c r="F643" s="19"/>
      <c r="G643" s="20"/>
      <c r="H643" s="21"/>
      <c r="I643" s="22"/>
      <c r="J643" s="39"/>
      <c r="K643" s="24"/>
      <c r="N643" s="69"/>
      <c r="O643" s="27"/>
    </row>
    <row r="644" spans="1:15" x14ac:dyDescent="0.25">
      <c r="A644" s="13">
        <f t="shared" ref="A644:A707" si="16">IF(B644=B643,A643,A643+1)</f>
        <v>36</v>
      </c>
      <c r="B644" s="17"/>
      <c r="C644" s="17"/>
      <c r="D644" s="18"/>
      <c r="E644" s="11"/>
      <c r="F644" s="19"/>
      <c r="G644" s="20"/>
      <c r="H644" s="21"/>
      <c r="I644" s="22"/>
      <c r="J644" s="39"/>
      <c r="K644" s="24"/>
      <c r="N644" s="69"/>
      <c r="O644" s="27"/>
    </row>
    <row r="645" spans="1:15" x14ac:dyDescent="0.25">
      <c r="A645" s="13">
        <f t="shared" si="16"/>
        <v>36</v>
      </c>
      <c r="B645" s="17"/>
      <c r="C645" s="17"/>
      <c r="D645" s="18"/>
      <c r="E645" s="11"/>
      <c r="F645" s="19"/>
      <c r="G645" s="20"/>
      <c r="H645" s="21"/>
      <c r="I645" s="22"/>
      <c r="J645" s="39"/>
      <c r="K645" s="24"/>
      <c r="N645" s="69"/>
      <c r="O645" s="27"/>
    </row>
    <row r="646" spans="1:15" x14ac:dyDescent="0.25">
      <c r="A646" s="13">
        <f t="shared" si="16"/>
        <v>36</v>
      </c>
      <c r="B646" s="17"/>
      <c r="C646" s="17"/>
      <c r="D646" s="18"/>
      <c r="E646" s="11"/>
      <c r="F646" s="19"/>
      <c r="G646" s="20"/>
      <c r="H646" s="21"/>
      <c r="I646" s="22"/>
      <c r="J646" s="39"/>
      <c r="K646" s="24"/>
      <c r="N646" s="69"/>
      <c r="O646" s="27"/>
    </row>
    <row r="647" spans="1:15" x14ac:dyDescent="0.25">
      <c r="A647" s="13">
        <f t="shared" si="16"/>
        <v>36</v>
      </c>
      <c r="B647" s="17"/>
      <c r="C647" s="17"/>
      <c r="D647" s="18"/>
      <c r="E647" s="11"/>
      <c r="F647" s="19"/>
      <c r="G647" s="20"/>
      <c r="H647" s="21"/>
      <c r="I647" s="22"/>
      <c r="J647" s="39"/>
      <c r="K647" s="24"/>
      <c r="N647" s="69"/>
      <c r="O647" s="27"/>
    </row>
    <row r="648" spans="1:15" x14ac:dyDescent="0.25">
      <c r="A648" s="13">
        <f t="shared" si="16"/>
        <v>36</v>
      </c>
      <c r="B648" s="17"/>
      <c r="C648" s="17"/>
      <c r="D648" s="18"/>
      <c r="E648" s="11"/>
      <c r="F648" s="19"/>
      <c r="G648" s="20"/>
      <c r="H648" s="21"/>
      <c r="I648" s="22"/>
      <c r="J648" s="39"/>
      <c r="K648" s="24"/>
      <c r="N648" s="69"/>
      <c r="O648" s="27"/>
    </row>
    <row r="649" spans="1:15" x14ac:dyDescent="0.25">
      <c r="A649" s="13">
        <f t="shared" si="16"/>
        <v>36</v>
      </c>
      <c r="B649" s="17"/>
      <c r="C649" s="17"/>
      <c r="D649" s="18"/>
      <c r="E649" s="11"/>
      <c r="F649" s="19"/>
      <c r="G649" s="20"/>
      <c r="H649" s="21"/>
      <c r="I649" s="22"/>
      <c r="J649" s="39"/>
      <c r="K649" s="24"/>
      <c r="N649" s="69"/>
      <c r="O649" s="27"/>
    </row>
    <row r="650" spans="1:15" x14ac:dyDescent="0.25">
      <c r="A650" s="13">
        <f t="shared" si="16"/>
        <v>36</v>
      </c>
      <c r="B650" s="17"/>
      <c r="C650" s="17"/>
      <c r="D650" s="18"/>
      <c r="E650" s="11"/>
      <c r="F650" s="19"/>
      <c r="G650" s="20"/>
      <c r="H650" s="21"/>
      <c r="I650" s="22"/>
      <c r="J650" s="39"/>
      <c r="K650" s="24"/>
      <c r="N650" s="69"/>
      <c r="O650" s="27"/>
    </row>
    <row r="651" spans="1:15" x14ac:dyDescent="0.25">
      <c r="A651" s="13">
        <f t="shared" si="16"/>
        <v>36</v>
      </c>
      <c r="B651" s="17"/>
      <c r="C651" s="17"/>
      <c r="D651" s="18"/>
      <c r="E651" s="11"/>
      <c r="F651" s="19"/>
      <c r="G651" s="20"/>
      <c r="H651" s="21"/>
      <c r="I651" s="22"/>
      <c r="J651" s="39"/>
      <c r="K651" s="24"/>
      <c r="N651" s="69"/>
      <c r="O651" s="27"/>
    </row>
    <row r="652" spans="1:15" x14ac:dyDescent="0.25">
      <c r="A652" s="13">
        <f t="shared" si="16"/>
        <v>36</v>
      </c>
      <c r="B652" s="17"/>
      <c r="C652" s="17"/>
      <c r="D652" s="18"/>
      <c r="E652" s="11"/>
      <c r="F652" s="19"/>
      <c r="G652" s="20"/>
      <c r="H652" s="21"/>
      <c r="I652" s="22"/>
      <c r="J652" s="39"/>
      <c r="K652" s="24"/>
      <c r="N652" s="69"/>
      <c r="O652" s="27"/>
    </row>
    <row r="653" spans="1:15" x14ac:dyDescent="0.25">
      <c r="A653" s="13">
        <f t="shared" si="16"/>
        <v>36</v>
      </c>
      <c r="B653" s="17"/>
      <c r="C653" s="17"/>
      <c r="D653" s="18"/>
      <c r="E653" s="11"/>
      <c r="F653" s="19"/>
      <c r="G653" s="20"/>
      <c r="H653" s="21"/>
      <c r="I653" s="22"/>
      <c r="J653" s="39"/>
      <c r="K653" s="24"/>
      <c r="N653" s="69"/>
      <c r="O653" s="27"/>
    </row>
    <row r="654" spans="1:15" x14ac:dyDescent="0.25">
      <c r="A654" s="13">
        <f t="shared" si="16"/>
        <v>36</v>
      </c>
      <c r="B654" s="17"/>
      <c r="C654" s="17"/>
      <c r="D654" s="40"/>
      <c r="E654" s="41"/>
      <c r="F654" s="19"/>
      <c r="G654" s="20"/>
      <c r="H654" s="21"/>
      <c r="I654" s="22"/>
      <c r="J654" s="39"/>
      <c r="K654" s="24"/>
      <c r="N654" s="69"/>
      <c r="O654" s="27"/>
    </row>
    <row r="655" spans="1:15" x14ac:dyDescent="0.25">
      <c r="A655" s="13">
        <f t="shared" si="16"/>
        <v>36</v>
      </c>
      <c r="B655" s="17"/>
      <c r="C655" s="17"/>
      <c r="D655" s="18"/>
      <c r="E655" s="11"/>
      <c r="F655" s="19"/>
      <c r="G655" s="36"/>
      <c r="H655" s="21"/>
      <c r="I655" s="22"/>
      <c r="J655" s="35"/>
      <c r="K655" s="24"/>
      <c r="N655" s="69"/>
      <c r="O655" s="27"/>
    </row>
    <row r="656" spans="1:15" x14ac:dyDescent="0.25">
      <c r="A656" s="13">
        <f t="shared" si="16"/>
        <v>36</v>
      </c>
      <c r="B656" s="17"/>
      <c r="C656" s="17"/>
      <c r="D656" s="18"/>
      <c r="E656" s="11"/>
      <c r="F656" s="19"/>
      <c r="G656" s="36"/>
      <c r="H656" s="21"/>
      <c r="I656" s="22"/>
      <c r="J656" s="35"/>
      <c r="K656" s="24"/>
      <c r="N656" s="69"/>
      <c r="O656" s="27"/>
    </row>
    <row r="657" spans="1:15" x14ac:dyDescent="0.25">
      <c r="A657" s="13">
        <f t="shared" si="16"/>
        <v>36</v>
      </c>
      <c r="B657" s="17"/>
      <c r="C657" s="17"/>
      <c r="D657" s="18"/>
      <c r="E657" s="11"/>
      <c r="F657" s="19"/>
      <c r="G657" s="36"/>
      <c r="H657" s="21"/>
      <c r="I657" s="22"/>
      <c r="J657" s="35"/>
      <c r="K657" s="24"/>
      <c r="N657" s="69"/>
      <c r="O657" s="27"/>
    </row>
    <row r="658" spans="1:15" x14ac:dyDescent="0.25">
      <c r="A658" s="13">
        <f t="shared" si="16"/>
        <v>36</v>
      </c>
      <c r="B658" s="17"/>
      <c r="C658" s="17"/>
      <c r="D658" s="18"/>
      <c r="E658" s="11"/>
      <c r="F658" s="19"/>
      <c r="G658" s="36"/>
      <c r="H658" s="21"/>
      <c r="I658" s="22"/>
      <c r="J658" s="35"/>
      <c r="K658" s="24"/>
      <c r="N658" s="69"/>
      <c r="O658" s="27"/>
    </row>
    <row r="659" spans="1:15" x14ac:dyDescent="0.25">
      <c r="A659" s="13">
        <f t="shared" si="16"/>
        <v>36</v>
      </c>
      <c r="B659" s="17"/>
      <c r="C659" s="17"/>
      <c r="D659" s="18"/>
      <c r="E659" s="11"/>
      <c r="F659" s="19"/>
      <c r="G659" s="36"/>
      <c r="H659" s="21"/>
      <c r="I659" s="22"/>
      <c r="J659" s="35"/>
      <c r="K659" s="24"/>
      <c r="N659" s="69"/>
      <c r="O659" s="27"/>
    </row>
    <row r="660" spans="1:15" x14ac:dyDescent="0.25">
      <c r="A660" s="13">
        <f t="shared" si="16"/>
        <v>36</v>
      </c>
      <c r="B660" s="17"/>
      <c r="C660" s="17"/>
      <c r="D660" s="18"/>
      <c r="E660" s="11"/>
      <c r="F660" s="19"/>
      <c r="G660" s="36"/>
      <c r="H660" s="21"/>
      <c r="I660" s="22"/>
      <c r="J660" s="35"/>
      <c r="K660" s="24"/>
      <c r="N660" s="69"/>
      <c r="O660" s="27"/>
    </row>
    <row r="661" spans="1:15" x14ac:dyDescent="0.25">
      <c r="A661" s="13">
        <f t="shared" si="16"/>
        <v>36</v>
      </c>
      <c r="B661" s="17"/>
      <c r="C661" s="17"/>
      <c r="D661" s="18"/>
      <c r="E661" s="11"/>
      <c r="F661" s="19"/>
      <c r="G661" s="36"/>
      <c r="H661" s="21"/>
      <c r="I661" s="22"/>
      <c r="J661" s="35"/>
      <c r="K661" s="24"/>
      <c r="N661" s="69"/>
      <c r="O661" s="27"/>
    </row>
    <row r="662" spans="1:15" x14ac:dyDescent="0.25">
      <c r="A662" s="13">
        <f t="shared" si="16"/>
        <v>36</v>
      </c>
      <c r="B662" s="17"/>
      <c r="C662" s="17"/>
      <c r="D662" s="18"/>
      <c r="E662" s="11"/>
      <c r="F662" s="19"/>
      <c r="G662" s="20"/>
      <c r="H662" s="21"/>
      <c r="I662" s="22"/>
      <c r="J662" s="23"/>
      <c r="K662" s="24"/>
      <c r="N662" s="69"/>
      <c r="O662" s="27"/>
    </row>
    <row r="663" spans="1:15" x14ac:dyDescent="0.25">
      <c r="A663" s="13">
        <f t="shared" si="16"/>
        <v>36</v>
      </c>
      <c r="B663" s="17"/>
      <c r="C663" s="17"/>
      <c r="D663" s="18"/>
      <c r="E663" s="11"/>
      <c r="F663" s="19"/>
      <c r="G663" s="20"/>
      <c r="H663" s="21"/>
      <c r="I663" s="22"/>
      <c r="J663" s="23"/>
      <c r="K663" s="24"/>
      <c r="N663" s="69"/>
      <c r="O663" s="27"/>
    </row>
    <row r="664" spans="1:15" x14ac:dyDescent="0.25">
      <c r="A664" s="13">
        <f t="shared" si="16"/>
        <v>36</v>
      </c>
      <c r="B664" s="17"/>
      <c r="C664" s="17"/>
      <c r="D664" s="18"/>
      <c r="E664" s="11"/>
      <c r="F664" s="19"/>
      <c r="G664" s="20"/>
      <c r="H664" s="21"/>
      <c r="I664" s="22"/>
      <c r="J664" s="23"/>
      <c r="K664" s="24"/>
      <c r="N664" s="69"/>
      <c r="O664" s="27"/>
    </row>
    <row r="665" spans="1:15" x14ac:dyDescent="0.25">
      <c r="A665" s="13">
        <f t="shared" si="16"/>
        <v>36</v>
      </c>
      <c r="B665" s="17"/>
      <c r="C665" s="17"/>
      <c r="D665" s="18"/>
      <c r="E665" s="11"/>
      <c r="F665" s="19"/>
      <c r="G665" s="20"/>
      <c r="H665" s="21"/>
      <c r="I665" s="22"/>
      <c r="J665" s="23"/>
      <c r="K665" s="24"/>
      <c r="N665" s="69"/>
      <c r="O665" s="27"/>
    </row>
    <row r="666" spans="1:15" x14ac:dyDescent="0.25">
      <c r="A666" s="13">
        <f t="shared" si="16"/>
        <v>36</v>
      </c>
      <c r="B666" s="17"/>
      <c r="C666" s="17"/>
      <c r="D666" s="18"/>
      <c r="E666" s="11"/>
      <c r="F666" s="19"/>
      <c r="G666" s="20"/>
      <c r="H666" s="21"/>
      <c r="I666" s="22"/>
      <c r="J666" s="23"/>
      <c r="K666" s="24"/>
      <c r="N666" s="69"/>
      <c r="O666" s="27"/>
    </row>
    <row r="667" spans="1:15" x14ac:dyDescent="0.25">
      <c r="A667" s="13">
        <f t="shared" si="16"/>
        <v>36</v>
      </c>
      <c r="B667" s="17"/>
      <c r="C667" s="17"/>
      <c r="D667" s="18"/>
      <c r="E667" s="11"/>
      <c r="F667" s="19"/>
      <c r="G667" s="20"/>
      <c r="H667" s="21"/>
      <c r="I667" s="22"/>
      <c r="J667" s="23"/>
      <c r="K667" s="24"/>
      <c r="N667" s="69"/>
      <c r="O667" s="27"/>
    </row>
    <row r="668" spans="1:15" x14ac:dyDescent="0.25">
      <c r="A668" s="13">
        <f t="shared" si="16"/>
        <v>36</v>
      </c>
      <c r="B668" s="17"/>
      <c r="C668" s="17"/>
      <c r="D668" s="18"/>
      <c r="E668" s="11"/>
      <c r="F668" s="19"/>
      <c r="G668" s="20"/>
      <c r="H668" s="21"/>
      <c r="I668" s="22"/>
      <c r="J668" s="23"/>
      <c r="K668" s="24"/>
      <c r="N668" s="69"/>
      <c r="O668" s="27"/>
    </row>
    <row r="669" spans="1:15" x14ac:dyDescent="0.25">
      <c r="A669" s="13">
        <f t="shared" si="16"/>
        <v>36</v>
      </c>
      <c r="B669" s="17"/>
      <c r="C669" s="17"/>
      <c r="D669" s="18"/>
      <c r="E669" s="11"/>
      <c r="F669" s="19"/>
      <c r="G669" s="20"/>
      <c r="H669" s="21"/>
      <c r="I669" s="22"/>
      <c r="J669" s="23"/>
      <c r="K669" s="24"/>
      <c r="N669" s="69"/>
      <c r="O669" s="27"/>
    </row>
    <row r="670" spans="1:15" x14ac:dyDescent="0.25">
      <c r="A670" s="13">
        <f t="shared" si="16"/>
        <v>36</v>
      </c>
      <c r="B670" s="17"/>
      <c r="C670" s="17"/>
      <c r="D670" s="18"/>
      <c r="E670" s="11"/>
      <c r="F670" s="19"/>
      <c r="G670" s="20"/>
      <c r="H670" s="21"/>
      <c r="I670" s="22"/>
      <c r="J670" s="23"/>
      <c r="K670" s="24"/>
      <c r="N670" s="69"/>
      <c r="O670" s="27"/>
    </row>
    <row r="671" spans="1:15" x14ac:dyDescent="0.25">
      <c r="A671" s="13">
        <f t="shared" si="16"/>
        <v>36</v>
      </c>
      <c r="B671" s="17"/>
      <c r="C671" s="17"/>
      <c r="D671" s="18"/>
      <c r="E671" s="11"/>
      <c r="F671" s="19"/>
      <c r="G671" s="20"/>
      <c r="H671" s="21"/>
      <c r="I671" s="22"/>
      <c r="J671" s="23"/>
      <c r="K671" s="24"/>
      <c r="N671" s="69"/>
      <c r="O671" s="27"/>
    </row>
    <row r="672" spans="1:15" x14ac:dyDescent="0.25">
      <c r="A672" s="13">
        <f t="shared" si="16"/>
        <v>36</v>
      </c>
      <c r="B672" s="17"/>
      <c r="C672" s="17"/>
      <c r="D672" s="18"/>
      <c r="E672" s="11"/>
      <c r="F672" s="19"/>
      <c r="G672" s="20"/>
      <c r="H672" s="21"/>
      <c r="I672" s="22"/>
      <c r="J672" s="23"/>
      <c r="K672" s="24"/>
      <c r="N672" s="69"/>
      <c r="O672" s="27"/>
    </row>
    <row r="673" spans="1:15" x14ac:dyDescent="0.25">
      <c r="A673" s="13">
        <f t="shared" si="16"/>
        <v>36</v>
      </c>
      <c r="B673" s="17"/>
      <c r="C673" s="17"/>
      <c r="D673" s="18"/>
      <c r="E673" s="11"/>
      <c r="F673" s="19"/>
      <c r="G673" s="20"/>
      <c r="H673" s="21"/>
      <c r="I673" s="22"/>
      <c r="J673" s="23"/>
      <c r="K673" s="24"/>
      <c r="N673" s="69"/>
      <c r="O673" s="27"/>
    </row>
    <row r="674" spans="1:15" x14ac:dyDescent="0.25">
      <c r="A674" s="13">
        <f t="shared" si="16"/>
        <v>36</v>
      </c>
      <c r="B674" s="17"/>
      <c r="C674" s="17"/>
      <c r="D674" s="18"/>
      <c r="E674" s="11"/>
      <c r="F674" s="19"/>
      <c r="G674" s="20"/>
      <c r="H674" s="21"/>
      <c r="I674" s="22"/>
      <c r="J674" s="23"/>
      <c r="K674" s="24"/>
      <c r="N674" s="69"/>
      <c r="O674" s="27"/>
    </row>
    <row r="675" spans="1:15" x14ac:dyDescent="0.25">
      <c r="A675" s="13">
        <f t="shared" si="16"/>
        <v>36</v>
      </c>
      <c r="B675" s="17"/>
      <c r="C675" s="17"/>
      <c r="D675" s="18"/>
      <c r="E675" s="11"/>
      <c r="F675" s="19"/>
      <c r="G675" s="20"/>
      <c r="H675" s="21"/>
      <c r="I675" s="22"/>
      <c r="J675" s="23"/>
      <c r="K675" s="24"/>
      <c r="N675" s="69"/>
      <c r="O675" s="27"/>
    </row>
    <row r="676" spans="1:15" x14ac:dyDescent="0.25">
      <c r="A676" s="13">
        <f t="shared" si="16"/>
        <v>36</v>
      </c>
      <c r="B676" s="17"/>
      <c r="C676" s="17"/>
      <c r="D676" s="40"/>
      <c r="E676" s="41"/>
      <c r="F676" s="19"/>
      <c r="G676" s="20"/>
      <c r="H676" s="21"/>
      <c r="I676" s="22"/>
      <c r="J676" s="23"/>
      <c r="K676" s="24"/>
      <c r="N676" s="69"/>
      <c r="O676" s="27"/>
    </row>
    <row r="677" spans="1:15" x14ac:dyDescent="0.25">
      <c r="A677" s="13">
        <f t="shared" si="16"/>
        <v>36</v>
      </c>
      <c r="B677" s="17"/>
      <c r="C677" s="17"/>
      <c r="D677" s="18"/>
      <c r="E677" s="11"/>
      <c r="F677" s="19"/>
      <c r="G677" s="36"/>
      <c r="H677" s="21"/>
      <c r="I677" s="22"/>
      <c r="J677" s="35"/>
      <c r="K677" s="24"/>
      <c r="N677" s="69"/>
      <c r="O677" s="27"/>
    </row>
    <row r="678" spans="1:15" x14ac:dyDescent="0.25">
      <c r="A678" s="13">
        <f t="shared" si="16"/>
        <v>36</v>
      </c>
      <c r="B678" s="17"/>
      <c r="C678" s="17"/>
      <c r="D678" s="18"/>
      <c r="E678" s="11"/>
      <c r="F678" s="19"/>
      <c r="G678" s="36"/>
      <c r="H678" s="21"/>
      <c r="I678" s="22"/>
      <c r="J678" s="35"/>
      <c r="K678" s="24"/>
      <c r="N678" s="69"/>
      <c r="O678" s="27"/>
    </row>
    <row r="679" spans="1:15" x14ac:dyDescent="0.25">
      <c r="A679" s="13">
        <f t="shared" si="16"/>
        <v>36</v>
      </c>
      <c r="B679" s="17"/>
      <c r="C679" s="17"/>
      <c r="D679" s="18"/>
      <c r="E679" s="11"/>
      <c r="F679" s="19"/>
      <c r="G679" s="36"/>
      <c r="H679" s="21"/>
      <c r="I679" s="22"/>
      <c r="J679" s="35"/>
      <c r="K679" s="24"/>
      <c r="N679" s="69"/>
      <c r="O679" s="27"/>
    </row>
    <row r="680" spans="1:15" x14ac:dyDescent="0.25">
      <c r="A680" s="13">
        <f t="shared" si="16"/>
        <v>36</v>
      </c>
      <c r="B680" s="17"/>
      <c r="C680" s="17"/>
      <c r="D680" s="18"/>
      <c r="E680" s="11"/>
      <c r="F680" s="19"/>
      <c r="G680" s="36"/>
      <c r="H680" s="21"/>
      <c r="I680" s="22"/>
      <c r="J680" s="35"/>
      <c r="K680" s="24"/>
      <c r="N680" s="69"/>
      <c r="O680" s="27"/>
    </row>
    <row r="681" spans="1:15" x14ac:dyDescent="0.25">
      <c r="A681" s="13">
        <f t="shared" si="16"/>
        <v>36</v>
      </c>
      <c r="B681" s="17"/>
      <c r="C681" s="17"/>
      <c r="D681" s="18"/>
      <c r="E681" s="11"/>
      <c r="F681" s="19"/>
      <c r="G681" s="36"/>
      <c r="H681" s="21"/>
      <c r="I681" s="22"/>
      <c r="J681" s="35"/>
      <c r="K681" s="24"/>
      <c r="N681" s="69"/>
      <c r="O681" s="27"/>
    </row>
    <row r="682" spans="1:15" x14ac:dyDescent="0.25">
      <c r="A682" s="13">
        <f t="shared" si="16"/>
        <v>36</v>
      </c>
      <c r="B682" s="17"/>
      <c r="C682" s="17"/>
      <c r="D682" s="18"/>
      <c r="E682" s="11"/>
      <c r="F682" s="19"/>
      <c r="G682" s="36"/>
      <c r="H682" s="21"/>
      <c r="I682" s="22"/>
      <c r="J682" s="35"/>
      <c r="K682" s="24"/>
      <c r="N682" s="69"/>
      <c r="O682" s="27"/>
    </row>
    <row r="683" spans="1:15" x14ac:dyDescent="0.25">
      <c r="A683" s="13">
        <f t="shared" si="16"/>
        <v>36</v>
      </c>
      <c r="B683" s="17"/>
      <c r="C683" s="17"/>
      <c r="D683" s="18"/>
      <c r="E683" s="11"/>
      <c r="F683" s="19"/>
      <c r="G683" s="36"/>
      <c r="H683" s="21"/>
      <c r="I683" s="22"/>
      <c r="J683" s="35"/>
      <c r="K683" s="24"/>
      <c r="N683" s="69"/>
      <c r="O683" s="27"/>
    </row>
    <row r="684" spans="1:15" x14ac:dyDescent="0.25">
      <c r="A684" s="13">
        <f t="shared" si="16"/>
        <v>36</v>
      </c>
      <c r="B684" s="17"/>
      <c r="C684" s="17"/>
      <c r="D684" s="18"/>
      <c r="E684" s="11"/>
      <c r="F684" s="19"/>
      <c r="G684" s="36"/>
      <c r="H684" s="21"/>
      <c r="I684" s="22"/>
      <c r="J684" s="35"/>
      <c r="K684" s="24"/>
      <c r="N684" s="69"/>
      <c r="O684" s="27"/>
    </row>
    <row r="685" spans="1:15" x14ac:dyDescent="0.25">
      <c r="A685" s="13">
        <f t="shared" si="16"/>
        <v>36</v>
      </c>
      <c r="B685" s="17"/>
      <c r="C685" s="17"/>
      <c r="D685" s="18"/>
      <c r="E685" s="11"/>
      <c r="F685" s="19"/>
      <c r="G685" s="36"/>
      <c r="H685" s="21"/>
      <c r="I685" s="22"/>
      <c r="J685" s="35"/>
      <c r="K685" s="24"/>
      <c r="N685" s="69"/>
      <c r="O685" s="27"/>
    </row>
    <row r="686" spans="1:15" x14ac:dyDescent="0.25">
      <c r="A686" s="13">
        <f t="shared" si="16"/>
        <v>36</v>
      </c>
      <c r="B686" s="17"/>
      <c r="C686" s="17"/>
      <c r="D686" s="40"/>
      <c r="E686" s="41"/>
      <c r="F686" s="19"/>
      <c r="G686" s="36"/>
      <c r="H686" s="21"/>
      <c r="I686" s="22"/>
      <c r="J686" s="35"/>
      <c r="K686" s="24"/>
      <c r="N686" s="69"/>
      <c r="O686" s="27"/>
    </row>
    <row r="687" spans="1:15" x14ac:dyDescent="0.25">
      <c r="A687" s="13">
        <f t="shared" si="16"/>
        <v>36</v>
      </c>
      <c r="B687" s="17"/>
      <c r="C687" s="17"/>
      <c r="D687" s="18"/>
      <c r="E687" s="11"/>
      <c r="F687" s="19"/>
      <c r="G687" s="20"/>
      <c r="H687" s="21"/>
      <c r="I687" s="22"/>
      <c r="J687" s="23"/>
      <c r="K687" s="24"/>
      <c r="N687" s="69"/>
      <c r="O687" s="27"/>
    </row>
    <row r="688" spans="1:15" x14ac:dyDescent="0.25">
      <c r="A688" s="13">
        <f t="shared" si="16"/>
        <v>36</v>
      </c>
      <c r="B688" s="17"/>
      <c r="C688" s="17"/>
      <c r="D688" s="18"/>
      <c r="E688" s="11"/>
      <c r="F688" s="19"/>
      <c r="G688" s="20"/>
      <c r="H688" s="21"/>
      <c r="I688" s="22"/>
      <c r="J688" s="23"/>
      <c r="K688" s="24"/>
      <c r="N688" s="69"/>
      <c r="O688" s="27"/>
    </row>
    <row r="689" spans="1:15" x14ac:dyDescent="0.25">
      <c r="A689" s="13">
        <f t="shared" si="16"/>
        <v>36</v>
      </c>
      <c r="B689" s="17"/>
      <c r="C689" s="17"/>
      <c r="D689" s="18"/>
      <c r="E689" s="11"/>
      <c r="F689" s="19"/>
      <c r="G689" s="20"/>
      <c r="H689" s="21"/>
      <c r="I689" s="22"/>
      <c r="J689" s="23"/>
      <c r="K689" s="24"/>
      <c r="N689" s="69"/>
      <c r="O689" s="27"/>
    </row>
    <row r="690" spans="1:15" x14ac:dyDescent="0.25">
      <c r="A690" s="13">
        <f t="shared" si="16"/>
        <v>36</v>
      </c>
      <c r="B690" s="17"/>
      <c r="C690" s="17"/>
      <c r="D690" s="18"/>
      <c r="E690" s="11"/>
      <c r="F690" s="19"/>
      <c r="G690" s="20"/>
      <c r="H690" s="21"/>
      <c r="I690" s="22"/>
      <c r="J690" s="23"/>
      <c r="K690" s="24"/>
      <c r="N690" s="69"/>
      <c r="O690" s="27"/>
    </row>
    <row r="691" spans="1:15" x14ac:dyDescent="0.25">
      <c r="A691" s="13">
        <f t="shared" si="16"/>
        <v>36</v>
      </c>
      <c r="B691" s="17"/>
      <c r="C691" s="17"/>
      <c r="D691" s="18"/>
      <c r="E691" s="11"/>
      <c r="F691" s="19"/>
      <c r="G691" s="20"/>
      <c r="H691" s="21"/>
      <c r="I691" s="22"/>
      <c r="J691" s="23"/>
      <c r="K691" s="24"/>
      <c r="N691" s="69"/>
      <c r="O691" s="27"/>
    </row>
    <row r="692" spans="1:15" x14ac:dyDescent="0.25">
      <c r="A692" s="13">
        <f t="shared" si="16"/>
        <v>36</v>
      </c>
      <c r="B692" s="17"/>
      <c r="C692" s="17"/>
      <c r="D692" s="18"/>
      <c r="E692" s="11"/>
      <c r="F692" s="19"/>
      <c r="G692" s="20"/>
      <c r="H692" s="21"/>
      <c r="I692" s="22"/>
      <c r="J692" s="23"/>
      <c r="K692" s="24"/>
      <c r="N692" s="69"/>
      <c r="O692" s="27"/>
    </row>
    <row r="693" spans="1:15" x14ac:dyDescent="0.25">
      <c r="A693" s="13">
        <f t="shared" si="16"/>
        <v>36</v>
      </c>
      <c r="B693" s="17"/>
      <c r="C693" s="17"/>
      <c r="D693" s="18"/>
      <c r="E693" s="11"/>
      <c r="F693" s="19"/>
      <c r="G693" s="20"/>
      <c r="H693" s="21"/>
      <c r="I693" s="22"/>
      <c r="J693" s="23"/>
      <c r="K693" s="24"/>
      <c r="N693" s="69"/>
      <c r="O693" s="27"/>
    </row>
    <row r="694" spans="1:15" x14ac:dyDescent="0.25">
      <c r="A694" s="13">
        <f t="shared" si="16"/>
        <v>36</v>
      </c>
      <c r="B694" s="17"/>
      <c r="C694" s="17"/>
      <c r="D694" s="18"/>
      <c r="E694" s="11"/>
      <c r="F694" s="19"/>
      <c r="G694" s="20"/>
      <c r="H694" s="21"/>
      <c r="I694" s="22"/>
      <c r="J694" s="23"/>
      <c r="K694" s="24"/>
      <c r="N694" s="69"/>
      <c r="O694" s="27"/>
    </row>
    <row r="695" spans="1:15" x14ac:dyDescent="0.25">
      <c r="A695" s="13">
        <f t="shared" si="16"/>
        <v>36</v>
      </c>
      <c r="B695" s="17"/>
      <c r="C695" s="17"/>
      <c r="D695" s="18"/>
      <c r="E695" s="11"/>
      <c r="F695" s="19"/>
      <c r="G695" s="20"/>
      <c r="H695" s="21"/>
      <c r="I695" s="22"/>
      <c r="J695" s="23"/>
      <c r="K695" s="24"/>
      <c r="N695" s="69"/>
      <c r="O695" s="27"/>
    </row>
    <row r="696" spans="1:15" x14ac:dyDescent="0.25">
      <c r="A696" s="13">
        <f t="shared" si="16"/>
        <v>36</v>
      </c>
      <c r="B696" s="17"/>
      <c r="C696" s="17"/>
      <c r="D696" s="18"/>
      <c r="E696" s="11"/>
      <c r="F696" s="19"/>
      <c r="G696" s="20"/>
      <c r="H696" s="21"/>
      <c r="I696" s="22"/>
      <c r="J696" s="23"/>
      <c r="K696" s="24"/>
      <c r="N696" s="69"/>
      <c r="O696" s="27"/>
    </row>
    <row r="697" spans="1:15" x14ac:dyDescent="0.25">
      <c r="A697" s="13">
        <f t="shared" si="16"/>
        <v>36</v>
      </c>
      <c r="B697" s="17"/>
      <c r="C697" s="17"/>
      <c r="D697" s="18"/>
      <c r="E697" s="11"/>
      <c r="F697" s="19"/>
      <c r="G697" s="36"/>
      <c r="H697" s="21"/>
      <c r="I697" s="22"/>
      <c r="J697" s="23"/>
      <c r="K697" s="24"/>
      <c r="N697" s="69"/>
      <c r="O697" s="27"/>
    </row>
    <row r="698" spans="1:15" x14ac:dyDescent="0.25">
      <c r="A698" s="13">
        <f t="shared" si="16"/>
        <v>36</v>
      </c>
      <c r="B698" s="17"/>
      <c r="C698" s="17"/>
      <c r="D698" s="18"/>
      <c r="E698" s="11"/>
      <c r="F698" s="19"/>
      <c r="G698" s="36"/>
      <c r="H698" s="21"/>
      <c r="I698" s="22"/>
      <c r="J698" s="23"/>
      <c r="K698" s="24"/>
      <c r="N698" s="69"/>
      <c r="O698" s="27"/>
    </row>
    <row r="699" spans="1:15" x14ac:dyDescent="0.25">
      <c r="A699" s="13">
        <f t="shared" si="16"/>
        <v>36</v>
      </c>
      <c r="B699" s="17"/>
      <c r="C699" s="17"/>
      <c r="D699" s="18"/>
      <c r="E699" s="11"/>
      <c r="F699" s="19"/>
      <c r="G699" s="36"/>
      <c r="H699" s="21"/>
      <c r="I699" s="22"/>
      <c r="J699" s="23"/>
      <c r="K699" s="24"/>
      <c r="N699" s="69"/>
      <c r="O699" s="27"/>
    </row>
    <row r="700" spans="1:15" x14ac:dyDescent="0.25">
      <c r="A700" s="13">
        <f t="shared" si="16"/>
        <v>36</v>
      </c>
      <c r="B700" s="17"/>
      <c r="C700" s="17"/>
      <c r="D700" s="18"/>
      <c r="E700" s="11"/>
      <c r="F700" s="19"/>
      <c r="G700" s="36"/>
      <c r="H700" s="21"/>
      <c r="I700" s="22"/>
      <c r="J700" s="23"/>
      <c r="K700" s="24"/>
      <c r="N700" s="69"/>
      <c r="O700" s="27"/>
    </row>
    <row r="701" spans="1:15" x14ac:dyDescent="0.25">
      <c r="A701" s="13">
        <f t="shared" si="16"/>
        <v>36</v>
      </c>
      <c r="B701" s="17"/>
      <c r="C701" s="17"/>
      <c r="D701" s="18"/>
      <c r="E701" s="11"/>
      <c r="F701" s="19"/>
      <c r="G701" s="36"/>
      <c r="H701" s="21"/>
      <c r="I701" s="22"/>
      <c r="J701" s="23"/>
      <c r="K701" s="24"/>
      <c r="N701" s="69"/>
      <c r="O701" s="27"/>
    </row>
    <row r="702" spans="1:15" x14ac:dyDescent="0.25">
      <c r="A702" s="13">
        <f t="shared" si="16"/>
        <v>36</v>
      </c>
      <c r="B702" s="17"/>
      <c r="C702" s="17"/>
      <c r="D702" s="18"/>
      <c r="E702" s="11"/>
      <c r="F702" s="19"/>
      <c r="G702" s="20"/>
      <c r="H702" s="21"/>
      <c r="I702" s="22"/>
      <c r="J702" s="23"/>
      <c r="K702" s="24"/>
      <c r="N702" s="69"/>
      <c r="O702" s="27"/>
    </row>
    <row r="703" spans="1:15" x14ac:dyDescent="0.25">
      <c r="A703" s="13">
        <f t="shared" si="16"/>
        <v>36</v>
      </c>
      <c r="B703" s="17"/>
      <c r="C703" s="17"/>
      <c r="D703" s="18"/>
      <c r="E703" s="11"/>
      <c r="F703" s="19"/>
      <c r="G703" s="20"/>
      <c r="H703" s="21"/>
      <c r="I703" s="22"/>
      <c r="J703" s="23"/>
      <c r="K703" s="24"/>
      <c r="N703" s="69"/>
      <c r="O703" s="27"/>
    </row>
    <row r="704" spans="1:15" x14ac:dyDescent="0.25">
      <c r="A704" s="13">
        <f t="shared" si="16"/>
        <v>36</v>
      </c>
      <c r="B704" s="17"/>
      <c r="C704" s="17"/>
      <c r="D704" s="18"/>
      <c r="E704" s="11"/>
      <c r="F704" s="19"/>
      <c r="G704" s="20"/>
      <c r="H704" s="21"/>
      <c r="I704" s="22"/>
      <c r="J704" s="23"/>
      <c r="K704" s="24"/>
      <c r="N704" s="69"/>
      <c r="O704" s="27"/>
    </row>
    <row r="705" spans="1:15" x14ac:dyDescent="0.25">
      <c r="A705" s="13">
        <f t="shared" si="16"/>
        <v>36</v>
      </c>
      <c r="B705" s="17"/>
      <c r="C705" s="17"/>
      <c r="D705" s="18"/>
      <c r="E705" s="11"/>
      <c r="F705" s="19"/>
      <c r="G705" s="20"/>
      <c r="H705" s="21"/>
      <c r="I705" s="22"/>
      <c r="J705" s="23"/>
      <c r="K705" s="24"/>
      <c r="N705" s="69"/>
      <c r="O705" s="27"/>
    </row>
    <row r="706" spans="1:15" x14ac:dyDescent="0.25">
      <c r="A706" s="13">
        <f t="shared" si="16"/>
        <v>36</v>
      </c>
      <c r="B706" s="17"/>
      <c r="C706" s="17"/>
      <c r="D706" s="18"/>
      <c r="E706" s="11"/>
      <c r="F706" s="19"/>
      <c r="G706" s="20"/>
      <c r="H706" s="21"/>
      <c r="I706" s="22"/>
      <c r="J706" s="23"/>
      <c r="K706" s="24"/>
      <c r="N706" s="69"/>
      <c r="O706" s="27"/>
    </row>
    <row r="707" spans="1:15" x14ac:dyDescent="0.25">
      <c r="A707" s="13">
        <f t="shared" si="16"/>
        <v>36</v>
      </c>
      <c r="B707" s="17"/>
      <c r="C707" s="17"/>
      <c r="D707" s="18"/>
      <c r="E707" s="11"/>
      <c r="F707" s="19"/>
      <c r="G707" s="20"/>
      <c r="H707" s="21"/>
      <c r="I707" s="22"/>
      <c r="J707" s="23"/>
      <c r="K707" s="24"/>
      <c r="N707" s="69"/>
      <c r="O707" s="27"/>
    </row>
    <row r="708" spans="1:15" x14ac:dyDescent="0.25">
      <c r="A708" s="13">
        <f t="shared" ref="A708:A771" si="17">IF(B708=B707,A707,A707+1)</f>
        <v>36</v>
      </c>
      <c r="B708" s="17"/>
      <c r="C708" s="17"/>
      <c r="D708" s="18"/>
      <c r="E708" s="11"/>
      <c r="F708" s="19"/>
      <c r="G708" s="20"/>
      <c r="H708" s="21"/>
      <c r="I708" s="22"/>
      <c r="J708" s="23"/>
      <c r="K708" s="24"/>
      <c r="N708" s="69"/>
      <c r="O708" s="27"/>
    </row>
    <row r="709" spans="1:15" x14ac:dyDescent="0.25">
      <c r="A709" s="13">
        <f t="shared" si="17"/>
        <v>36</v>
      </c>
      <c r="B709" s="17"/>
      <c r="C709" s="17"/>
      <c r="D709" s="18"/>
      <c r="E709" s="11"/>
      <c r="F709" s="19"/>
      <c r="G709" s="36"/>
      <c r="H709" s="21"/>
      <c r="I709" s="22"/>
      <c r="J709" s="23"/>
      <c r="K709" s="24"/>
      <c r="N709" s="69"/>
      <c r="O709" s="27"/>
    </row>
    <row r="710" spans="1:15" x14ac:dyDescent="0.25">
      <c r="A710" s="13">
        <f t="shared" si="17"/>
        <v>36</v>
      </c>
      <c r="B710" s="17"/>
      <c r="C710" s="17"/>
      <c r="D710" s="18"/>
      <c r="E710" s="11"/>
      <c r="F710" s="19"/>
      <c r="G710" s="36"/>
      <c r="H710" s="21"/>
      <c r="I710" s="22"/>
      <c r="J710" s="23"/>
      <c r="K710" s="24"/>
      <c r="N710" s="69"/>
      <c r="O710" s="27"/>
    </row>
    <row r="711" spans="1:15" x14ac:dyDescent="0.25">
      <c r="A711" s="13">
        <f t="shared" si="17"/>
        <v>36</v>
      </c>
      <c r="B711" s="17"/>
      <c r="C711" s="17"/>
      <c r="D711" s="18"/>
      <c r="E711" s="11"/>
      <c r="F711" s="19"/>
      <c r="G711" s="36"/>
      <c r="H711" s="21"/>
      <c r="I711" s="22"/>
      <c r="J711" s="23"/>
      <c r="K711" s="24"/>
      <c r="N711" s="69"/>
      <c r="O711" s="27"/>
    </row>
    <row r="712" spans="1:15" x14ac:dyDescent="0.25">
      <c r="A712" s="13">
        <f t="shared" si="17"/>
        <v>36</v>
      </c>
      <c r="B712" s="17"/>
      <c r="C712" s="17"/>
      <c r="D712" s="18"/>
      <c r="E712" s="11"/>
      <c r="F712" s="19"/>
      <c r="G712" s="36"/>
      <c r="H712" s="21"/>
      <c r="I712" s="22"/>
      <c r="J712" s="23"/>
      <c r="K712" s="24"/>
      <c r="N712" s="69"/>
      <c r="O712" s="27"/>
    </row>
    <row r="713" spans="1:15" x14ac:dyDescent="0.25">
      <c r="A713" s="13">
        <f t="shared" si="17"/>
        <v>36</v>
      </c>
      <c r="B713" s="17"/>
      <c r="C713" s="17"/>
      <c r="D713" s="18"/>
      <c r="E713" s="11"/>
      <c r="F713" s="19"/>
      <c r="G713" s="36"/>
      <c r="H713" s="21"/>
      <c r="I713" s="22"/>
      <c r="J713" s="23"/>
      <c r="K713" s="24"/>
      <c r="N713" s="69"/>
      <c r="O713" s="27"/>
    </row>
    <row r="714" spans="1:15" x14ac:dyDescent="0.25">
      <c r="A714" s="13">
        <f t="shared" si="17"/>
        <v>36</v>
      </c>
      <c r="B714" s="17"/>
      <c r="C714" s="17"/>
      <c r="D714" s="18"/>
      <c r="E714" s="11"/>
      <c r="F714" s="19"/>
      <c r="G714" s="36"/>
      <c r="H714" s="21"/>
      <c r="I714" s="22"/>
      <c r="J714" s="23"/>
      <c r="K714" s="24"/>
      <c r="N714" s="69"/>
      <c r="O714" s="27"/>
    </row>
    <row r="715" spans="1:15" x14ac:dyDescent="0.25">
      <c r="A715" s="13">
        <f t="shared" si="17"/>
        <v>36</v>
      </c>
      <c r="B715" s="17"/>
      <c r="C715" s="17"/>
      <c r="D715" s="18"/>
      <c r="E715" s="11"/>
      <c r="F715" s="19"/>
      <c r="G715" s="36"/>
      <c r="H715" s="21"/>
      <c r="I715" s="22"/>
      <c r="J715" s="23"/>
      <c r="K715" s="24"/>
      <c r="N715" s="69"/>
      <c r="O715" s="27"/>
    </row>
    <row r="716" spans="1:15" x14ac:dyDescent="0.25">
      <c r="A716" s="13">
        <f t="shared" si="17"/>
        <v>36</v>
      </c>
      <c r="B716" s="17"/>
      <c r="C716" s="17"/>
      <c r="D716" s="18"/>
      <c r="E716" s="11"/>
      <c r="F716" s="19"/>
      <c r="G716" s="36"/>
      <c r="H716" s="21"/>
      <c r="I716" s="22"/>
      <c r="J716" s="23"/>
      <c r="K716" s="24"/>
      <c r="N716" s="69"/>
      <c r="O716" s="27"/>
    </row>
    <row r="717" spans="1:15" x14ac:dyDescent="0.25">
      <c r="A717" s="13">
        <f t="shared" si="17"/>
        <v>36</v>
      </c>
      <c r="B717" s="17"/>
      <c r="C717" s="17"/>
      <c r="D717" s="18"/>
      <c r="E717" s="11"/>
      <c r="F717" s="19"/>
      <c r="G717" s="36"/>
      <c r="H717" s="21"/>
      <c r="I717" s="22"/>
      <c r="J717" s="23"/>
      <c r="K717" s="24"/>
      <c r="N717" s="69"/>
      <c r="O717" s="27"/>
    </row>
    <row r="718" spans="1:15" x14ac:dyDescent="0.25">
      <c r="A718" s="13">
        <f t="shared" si="17"/>
        <v>36</v>
      </c>
      <c r="B718" s="17"/>
      <c r="C718" s="17"/>
      <c r="D718" s="18"/>
      <c r="E718" s="11"/>
      <c r="F718" s="19"/>
      <c r="G718" s="36"/>
      <c r="H718" s="21"/>
      <c r="I718" s="22"/>
      <c r="J718" s="23"/>
      <c r="K718" s="24"/>
      <c r="N718" s="69"/>
      <c r="O718" s="27"/>
    </row>
    <row r="719" spans="1:15" x14ac:dyDescent="0.25">
      <c r="A719" s="13">
        <f t="shared" si="17"/>
        <v>36</v>
      </c>
      <c r="B719" s="17"/>
      <c r="C719" s="17"/>
      <c r="D719" s="18"/>
      <c r="E719" s="11"/>
      <c r="F719" s="19"/>
      <c r="G719" s="36"/>
      <c r="H719" s="21"/>
      <c r="I719" s="22"/>
      <c r="J719" s="23"/>
      <c r="K719" s="24"/>
      <c r="N719" s="69"/>
      <c r="O719" s="27"/>
    </row>
    <row r="720" spans="1:15" x14ac:dyDescent="0.25">
      <c r="A720" s="13">
        <f t="shared" si="17"/>
        <v>36</v>
      </c>
      <c r="B720" s="17"/>
      <c r="C720" s="17"/>
      <c r="D720" s="18"/>
      <c r="E720" s="11"/>
      <c r="F720" s="19"/>
      <c r="G720" s="36"/>
      <c r="H720" s="21"/>
      <c r="I720" s="22"/>
      <c r="J720" s="23"/>
      <c r="K720" s="24"/>
      <c r="N720" s="69"/>
      <c r="O720" s="27"/>
    </row>
    <row r="721" spans="1:15" x14ac:dyDescent="0.25">
      <c r="A721" s="13">
        <f t="shared" si="17"/>
        <v>36</v>
      </c>
      <c r="B721" s="17"/>
      <c r="C721" s="17"/>
      <c r="D721" s="18"/>
      <c r="E721" s="11"/>
      <c r="F721" s="19"/>
      <c r="G721" s="36"/>
      <c r="H721" s="21"/>
      <c r="I721" s="22"/>
      <c r="J721" s="23"/>
      <c r="K721" s="24"/>
      <c r="N721" s="69"/>
      <c r="O721" s="27"/>
    </row>
    <row r="722" spans="1:15" x14ac:dyDescent="0.25">
      <c r="A722" s="13">
        <f t="shared" si="17"/>
        <v>36</v>
      </c>
      <c r="B722" s="17"/>
      <c r="C722" s="17"/>
      <c r="D722" s="18"/>
      <c r="E722" s="11"/>
      <c r="F722" s="19"/>
      <c r="G722" s="36"/>
      <c r="H722" s="21"/>
      <c r="I722" s="22"/>
      <c r="J722" s="23"/>
      <c r="K722" s="24"/>
      <c r="N722" s="69"/>
      <c r="O722" s="27"/>
    </row>
    <row r="723" spans="1:15" x14ac:dyDescent="0.25">
      <c r="A723" s="13">
        <f t="shared" si="17"/>
        <v>36</v>
      </c>
      <c r="B723" s="17"/>
      <c r="C723" s="17"/>
      <c r="D723" s="18"/>
      <c r="E723" s="11"/>
      <c r="F723" s="19"/>
      <c r="G723" s="36"/>
      <c r="H723" s="21"/>
      <c r="I723" s="22"/>
      <c r="J723" s="23"/>
      <c r="K723" s="24"/>
      <c r="N723" s="69"/>
      <c r="O723" s="27"/>
    </row>
    <row r="724" spans="1:15" x14ac:dyDescent="0.25">
      <c r="A724" s="13">
        <f t="shared" si="17"/>
        <v>36</v>
      </c>
      <c r="B724" s="17"/>
      <c r="C724" s="17"/>
      <c r="D724" s="18"/>
      <c r="E724" s="11"/>
      <c r="F724" s="19"/>
      <c r="G724" s="36"/>
      <c r="H724" s="21"/>
      <c r="I724" s="22"/>
      <c r="J724" s="23"/>
      <c r="K724" s="24"/>
      <c r="N724" s="69"/>
      <c r="O724" s="27"/>
    </row>
    <row r="725" spans="1:15" x14ac:dyDescent="0.25">
      <c r="A725" s="13">
        <f t="shared" si="17"/>
        <v>36</v>
      </c>
      <c r="B725" s="17"/>
      <c r="C725" s="17"/>
      <c r="D725" s="18"/>
      <c r="E725" s="11"/>
      <c r="F725" s="19"/>
      <c r="G725" s="20"/>
      <c r="H725" s="21"/>
      <c r="I725" s="22"/>
      <c r="J725" s="23"/>
      <c r="K725" s="24"/>
      <c r="N725" s="69"/>
      <c r="O725" s="27"/>
    </row>
    <row r="726" spans="1:15" x14ac:dyDescent="0.25">
      <c r="A726" s="13">
        <f t="shared" si="17"/>
        <v>36</v>
      </c>
      <c r="B726" s="17"/>
      <c r="C726" s="17"/>
      <c r="D726" s="18"/>
      <c r="E726" s="11"/>
      <c r="F726" s="19"/>
      <c r="G726" s="20"/>
      <c r="H726" s="21"/>
      <c r="I726" s="22"/>
      <c r="J726" s="23"/>
      <c r="K726" s="24"/>
      <c r="N726" s="69"/>
      <c r="O726" s="27"/>
    </row>
    <row r="727" spans="1:15" x14ac:dyDescent="0.25">
      <c r="A727" s="13">
        <f t="shared" si="17"/>
        <v>36</v>
      </c>
      <c r="B727" s="17"/>
      <c r="C727" s="17"/>
      <c r="D727" s="18"/>
      <c r="E727" s="11"/>
      <c r="F727" s="19"/>
      <c r="G727" s="20"/>
      <c r="H727" s="21"/>
      <c r="I727" s="22"/>
      <c r="J727" s="23"/>
      <c r="K727" s="24"/>
      <c r="N727" s="69"/>
      <c r="O727" s="27"/>
    </row>
    <row r="728" spans="1:15" x14ac:dyDescent="0.25">
      <c r="A728" s="13">
        <f t="shared" si="17"/>
        <v>36</v>
      </c>
      <c r="B728" s="17"/>
      <c r="C728" s="17"/>
      <c r="D728" s="18"/>
      <c r="E728" s="11"/>
      <c r="F728" s="19"/>
      <c r="G728" s="20"/>
      <c r="H728" s="21"/>
      <c r="I728" s="22"/>
      <c r="J728" s="23"/>
      <c r="K728" s="24"/>
      <c r="N728" s="69"/>
      <c r="O728" s="27"/>
    </row>
    <row r="729" spans="1:15" x14ac:dyDescent="0.25">
      <c r="A729" s="13">
        <f t="shared" si="17"/>
        <v>36</v>
      </c>
      <c r="B729" s="17"/>
      <c r="C729" s="17"/>
      <c r="D729" s="18"/>
      <c r="E729" s="11"/>
      <c r="F729" s="19"/>
      <c r="G729" s="20"/>
      <c r="H729" s="21"/>
      <c r="I729" s="22"/>
      <c r="J729" s="23"/>
      <c r="K729" s="24"/>
      <c r="N729" s="69"/>
      <c r="O729" s="27"/>
    </row>
    <row r="730" spans="1:15" x14ac:dyDescent="0.25">
      <c r="A730" s="13">
        <f t="shared" si="17"/>
        <v>36</v>
      </c>
      <c r="B730" s="17"/>
      <c r="C730" s="17"/>
      <c r="D730" s="18"/>
      <c r="E730" s="11"/>
      <c r="F730" s="19"/>
      <c r="G730" s="20"/>
      <c r="H730" s="21"/>
      <c r="I730" s="22"/>
      <c r="J730" s="23"/>
      <c r="K730" s="24"/>
      <c r="N730" s="69"/>
      <c r="O730" s="27"/>
    </row>
    <row r="731" spans="1:15" x14ac:dyDescent="0.25">
      <c r="A731" s="13">
        <f t="shared" si="17"/>
        <v>36</v>
      </c>
      <c r="B731" s="17"/>
      <c r="C731" s="17"/>
      <c r="D731" s="18"/>
      <c r="E731" s="11"/>
      <c r="F731" s="19"/>
      <c r="G731" s="20"/>
      <c r="H731" s="21"/>
      <c r="I731" s="22"/>
      <c r="J731" s="23"/>
      <c r="K731" s="24"/>
      <c r="N731" s="69"/>
      <c r="O731" s="27"/>
    </row>
    <row r="732" spans="1:15" x14ac:dyDescent="0.25">
      <c r="A732" s="13">
        <f t="shared" si="17"/>
        <v>36</v>
      </c>
      <c r="B732" s="17"/>
      <c r="C732" s="17"/>
      <c r="D732" s="18"/>
      <c r="E732" s="11"/>
      <c r="F732" s="19"/>
      <c r="G732" s="20"/>
      <c r="H732" s="21"/>
      <c r="I732" s="22"/>
      <c r="J732" s="23"/>
      <c r="K732" s="24"/>
      <c r="N732" s="69"/>
      <c r="O732" s="27"/>
    </row>
    <row r="733" spans="1:15" x14ac:dyDescent="0.25">
      <c r="A733" s="13">
        <f t="shared" si="17"/>
        <v>36</v>
      </c>
      <c r="B733" s="17"/>
      <c r="C733" s="17"/>
      <c r="D733" s="18"/>
      <c r="E733" s="11"/>
      <c r="F733" s="19"/>
      <c r="G733" s="20"/>
      <c r="H733" s="21"/>
      <c r="I733" s="22"/>
      <c r="J733" s="23"/>
      <c r="K733" s="24"/>
      <c r="N733" s="69"/>
      <c r="O733" s="27"/>
    </row>
    <row r="734" spans="1:15" x14ac:dyDescent="0.25">
      <c r="A734" s="13">
        <f t="shared" si="17"/>
        <v>36</v>
      </c>
      <c r="B734" s="17"/>
      <c r="C734" s="17"/>
      <c r="D734" s="18"/>
      <c r="E734" s="11"/>
      <c r="F734" s="19"/>
      <c r="G734" s="20"/>
      <c r="H734" s="21"/>
      <c r="I734" s="22"/>
      <c r="J734" s="23"/>
      <c r="K734" s="24"/>
      <c r="N734" s="69"/>
      <c r="O734" s="27"/>
    </row>
    <row r="735" spans="1:15" x14ac:dyDescent="0.25">
      <c r="A735" s="13">
        <f t="shared" si="17"/>
        <v>36</v>
      </c>
      <c r="B735" s="17"/>
      <c r="C735" s="17"/>
      <c r="D735" s="18"/>
      <c r="E735" s="11"/>
      <c r="F735" s="19"/>
      <c r="G735" s="20"/>
      <c r="H735" s="21"/>
      <c r="I735" s="22"/>
      <c r="J735" s="23"/>
      <c r="K735" s="24"/>
      <c r="N735" s="69"/>
      <c r="O735" s="27"/>
    </row>
    <row r="736" spans="1:15" x14ac:dyDescent="0.25">
      <c r="A736" s="13">
        <f t="shared" si="17"/>
        <v>36</v>
      </c>
      <c r="B736" s="17"/>
      <c r="C736" s="17"/>
      <c r="D736" s="18"/>
      <c r="E736" s="11"/>
      <c r="F736" s="19"/>
      <c r="G736" s="20"/>
      <c r="H736" s="21"/>
      <c r="I736" s="22"/>
      <c r="J736" s="23"/>
      <c r="K736" s="24"/>
      <c r="N736" s="69"/>
      <c r="O736" s="27"/>
    </row>
    <row r="737" spans="1:15" x14ac:dyDescent="0.25">
      <c r="A737" s="13">
        <f t="shared" si="17"/>
        <v>36</v>
      </c>
      <c r="B737" s="17"/>
      <c r="C737" s="17"/>
      <c r="D737" s="18"/>
      <c r="E737" s="11"/>
      <c r="F737" s="19"/>
      <c r="G737" s="20"/>
      <c r="H737" s="21"/>
      <c r="I737" s="22"/>
      <c r="J737" s="23"/>
      <c r="K737" s="24"/>
      <c r="N737" s="69"/>
      <c r="O737" s="27"/>
    </row>
    <row r="738" spans="1:15" x14ac:dyDescent="0.25">
      <c r="A738" s="13">
        <f t="shared" si="17"/>
        <v>36</v>
      </c>
      <c r="B738" s="17"/>
      <c r="C738" s="17"/>
      <c r="D738" s="18"/>
      <c r="E738" s="11"/>
      <c r="F738" s="19"/>
      <c r="G738" s="20"/>
      <c r="H738" s="21"/>
      <c r="I738" s="22"/>
      <c r="J738" s="23"/>
      <c r="K738" s="24"/>
      <c r="N738" s="69"/>
      <c r="O738" s="27"/>
    </row>
    <row r="739" spans="1:15" x14ac:dyDescent="0.25">
      <c r="A739" s="13">
        <f t="shared" si="17"/>
        <v>36</v>
      </c>
      <c r="B739" s="17"/>
      <c r="C739" s="17"/>
      <c r="D739" s="18"/>
      <c r="E739" s="11"/>
      <c r="F739" s="19"/>
      <c r="G739" s="20"/>
      <c r="H739" s="21"/>
      <c r="I739" s="22"/>
      <c r="J739" s="23"/>
      <c r="K739" s="24"/>
      <c r="N739" s="69"/>
      <c r="O739" s="27"/>
    </row>
    <row r="740" spans="1:15" x14ac:dyDescent="0.25">
      <c r="A740" s="13">
        <f t="shared" si="17"/>
        <v>36</v>
      </c>
      <c r="B740" s="17"/>
      <c r="C740" s="17"/>
      <c r="D740" s="18"/>
      <c r="E740" s="11"/>
      <c r="F740" s="19"/>
      <c r="G740" s="20"/>
      <c r="H740" s="21"/>
      <c r="I740" s="22"/>
      <c r="J740" s="23"/>
      <c r="K740" s="24"/>
      <c r="N740" s="69"/>
      <c r="O740" s="27"/>
    </row>
    <row r="741" spans="1:15" x14ac:dyDescent="0.25">
      <c r="A741" s="13">
        <f t="shared" si="17"/>
        <v>36</v>
      </c>
      <c r="B741" s="17"/>
      <c r="C741" s="17"/>
      <c r="D741" s="18"/>
      <c r="E741" s="11"/>
      <c r="F741" s="19"/>
      <c r="G741" s="20"/>
      <c r="H741" s="21"/>
      <c r="I741" s="22"/>
      <c r="J741" s="23"/>
      <c r="K741" s="24"/>
      <c r="N741" s="69"/>
      <c r="O741" s="27"/>
    </row>
    <row r="742" spans="1:15" x14ac:dyDescent="0.25">
      <c r="A742" s="13">
        <f t="shared" si="17"/>
        <v>36</v>
      </c>
      <c r="B742" s="17"/>
      <c r="C742" s="17"/>
      <c r="D742" s="18"/>
      <c r="E742" s="11"/>
      <c r="F742" s="19"/>
      <c r="G742" s="20"/>
      <c r="H742" s="21"/>
      <c r="I742" s="22"/>
      <c r="J742" s="23"/>
      <c r="K742" s="24"/>
      <c r="N742" s="69"/>
      <c r="O742" s="27"/>
    </row>
    <row r="743" spans="1:15" x14ac:dyDescent="0.25">
      <c r="A743" s="13">
        <f t="shared" si="17"/>
        <v>36</v>
      </c>
      <c r="B743" s="17"/>
      <c r="C743" s="17"/>
      <c r="D743" s="18"/>
      <c r="E743" s="11"/>
      <c r="F743" s="19"/>
      <c r="G743" s="20"/>
      <c r="H743" s="21"/>
      <c r="I743" s="22"/>
      <c r="J743" s="23"/>
      <c r="K743" s="24"/>
      <c r="N743" s="69"/>
      <c r="O743" s="27"/>
    </row>
    <row r="744" spans="1:15" x14ac:dyDescent="0.25">
      <c r="A744" s="13">
        <f t="shared" si="17"/>
        <v>36</v>
      </c>
      <c r="B744" s="17"/>
      <c r="C744" s="17"/>
      <c r="D744" s="18"/>
      <c r="E744" s="11"/>
      <c r="F744" s="19"/>
      <c r="G744" s="36"/>
      <c r="H744" s="21"/>
      <c r="I744" s="22"/>
      <c r="J744" s="23"/>
      <c r="K744" s="24"/>
      <c r="N744" s="69"/>
      <c r="O744" s="27"/>
    </row>
    <row r="745" spans="1:15" x14ac:dyDescent="0.25">
      <c r="A745" s="13">
        <f t="shared" si="17"/>
        <v>36</v>
      </c>
      <c r="B745" s="17"/>
      <c r="C745" s="17"/>
      <c r="D745" s="18"/>
      <c r="E745" s="11"/>
      <c r="F745" s="19"/>
      <c r="G745" s="36"/>
      <c r="H745" s="21"/>
      <c r="I745" s="22"/>
      <c r="J745" s="23"/>
      <c r="K745" s="24"/>
      <c r="N745" s="69"/>
      <c r="O745" s="27"/>
    </row>
    <row r="746" spans="1:15" x14ac:dyDescent="0.25">
      <c r="A746" s="13">
        <f t="shared" si="17"/>
        <v>36</v>
      </c>
      <c r="B746" s="17"/>
      <c r="C746" s="17"/>
      <c r="D746" s="18"/>
      <c r="E746" s="11"/>
      <c r="F746" s="19"/>
      <c r="G746" s="36"/>
      <c r="H746" s="21"/>
      <c r="I746" s="22"/>
      <c r="J746" s="23"/>
      <c r="K746" s="24"/>
      <c r="N746" s="69"/>
      <c r="O746" s="27"/>
    </row>
    <row r="747" spans="1:15" x14ac:dyDescent="0.25">
      <c r="A747" s="13">
        <f t="shared" si="17"/>
        <v>36</v>
      </c>
      <c r="B747" s="17"/>
      <c r="C747" s="17"/>
      <c r="D747" s="18"/>
      <c r="E747" s="11"/>
      <c r="F747" s="19"/>
      <c r="G747" s="36"/>
      <c r="H747" s="21"/>
      <c r="I747" s="22"/>
      <c r="J747" s="23"/>
      <c r="K747" s="24"/>
      <c r="N747" s="69"/>
      <c r="O747" s="27"/>
    </row>
    <row r="748" spans="1:15" x14ac:dyDescent="0.25">
      <c r="A748" s="13">
        <f t="shared" si="17"/>
        <v>36</v>
      </c>
      <c r="B748" s="17"/>
      <c r="C748" s="17"/>
      <c r="D748" s="18"/>
      <c r="E748" s="11"/>
      <c r="F748" s="19"/>
      <c r="G748" s="36"/>
      <c r="H748" s="21"/>
      <c r="I748" s="22"/>
      <c r="J748" s="23"/>
      <c r="K748" s="24"/>
      <c r="N748" s="69"/>
      <c r="O748" s="27"/>
    </row>
    <row r="749" spans="1:15" x14ac:dyDescent="0.25">
      <c r="A749" s="13">
        <f t="shared" si="17"/>
        <v>36</v>
      </c>
      <c r="B749" s="17"/>
      <c r="C749" s="17"/>
      <c r="D749" s="18"/>
      <c r="E749" s="11"/>
      <c r="F749" s="19"/>
      <c r="G749" s="36"/>
      <c r="H749" s="21"/>
      <c r="I749" s="22"/>
      <c r="J749" s="23"/>
      <c r="K749" s="24"/>
      <c r="N749" s="69"/>
      <c r="O749" s="27"/>
    </row>
    <row r="750" spans="1:15" x14ac:dyDescent="0.25">
      <c r="A750" s="13">
        <f t="shared" si="17"/>
        <v>36</v>
      </c>
      <c r="B750" s="17"/>
      <c r="C750" s="17"/>
      <c r="D750" s="18"/>
      <c r="E750" s="11"/>
      <c r="F750" s="19"/>
      <c r="G750" s="36"/>
      <c r="H750" s="21"/>
      <c r="I750" s="22"/>
      <c r="J750" s="23"/>
      <c r="K750" s="24"/>
      <c r="N750" s="69"/>
      <c r="O750" s="27"/>
    </row>
    <row r="751" spans="1:15" x14ac:dyDescent="0.25">
      <c r="A751" s="13">
        <f t="shared" si="17"/>
        <v>36</v>
      </c>
      <c r="B751" s="17"/>
      <c r="C751" s="17"/>
      <c r="D751" s="18"/>
      <c r="E751" s="11"/>
      <c r="F751" s="19"/>
      <c r="G751" s="36"/>
      <c r="H751" s="21"/>
      <c r="I751" s="22"/>
      <c r="J751" s="23"/>
      <c r="K751" s="24"/>
      <c r="N751" s="69"/>
      <c r="O751" s="27"/>
    </row>
    <row r="752" spans="1:15" x14ac:dyDescent="0.25">
      <c r="A752" s="13">
        <f t="shared" si="17"/>
        <v>36</v>
      </c>
      <c r="B752" s="17"/>
      <c r="C752" s="17"/>
      <c r="D752" s="18"/>
      <c r="E752" s="11"/>
      <c r="F752" s="19"/>
      <c r="G752" s="36"/>
      <c r="H752" s="21"/>
      <c r="I752" s="22"/>
      <c r="J752" s="23"/>
      <c r="K752" s="24"/>
      <c r="N752" s="69"/>
      <c r="O752" s="27"/>
    </row>
    <row r="753" spans="1:15" x14ac:dyDescent="0.25">
      <c r="A753" s="13">
        <f t="shared" si="17"/>
        <v>36</v>
      </c>
      <c r="B753" s="17"/>
      <c r="C753" s="17"/>
      <c r="D753" s="18"/>
      <c r="E753" s="11"/>
      <c r="F753" s="19"/>
      <c r="G753" s="36"/>
      <c r="H753" s="21"/>
      <c r="I753" s="22"/>
      <c r="J753" s="23"/>
      <c r="K753" s="24"/>
      <c r="N753" s="69"/>
      <c r="O753" s="27"/>
    </row>
    <row r="754" spans="1:15" x14ac:dyDescent="0.25">
      <c r="A754" s="13">
        <f t="shared" si="17"/>
        <v>36</v>
      </c>
      <c r="B754" s="17"/>
      <c r="C754" s="17"/>
      <c r="D754" s="18"/>
      <c r="E754" s="11"/>
      <c r="F754" s="19"/>
      <c r="G754" s="36"/>
      <c r="H754" s="21"/>
      <c r="I754" s="22"/>
      <c r="J754" s="23"/>
      <c r="K754" s="24"/>
      <c r="N754" s="69"/>
      <c r="O754" s="27"/>
    </row>
    <row r="755" spans="1:15" x14ac:dyDescent="0.25">
      <c r="A755" s="13">
        <f t="shared" si="17"/>
        <v>36</v>
      </c>
      <c r="B755" s="17"/>
      <c r="C755" s="17"/>
      <c r="D755" s="18"/>
      <c r="E755" s="11"/>
      <c r="F755" s="19"/>
      <c r="G755" s="36"/>
      <c r="H755" s="21"/>
      <c r="I755" s="22"/>
      <c r="J755" s="23"/>
      <c r="K755" s="24"/>
      <c r="N755" s="69"/>
      <c r="O755" s="27"/>
    </row>
    <row r="756" spans="1:15" x14ac:dyDescent="0.25">
      <c r="A756" s="13">
        <f t="shared" si="17"/>
        <v>36</v>
      </c>
      <c r="B756" s="17"/>
      <c r="C756" s="17"/>
      <c r="D756" s="18"/>
      <c r="E756" s="11"/>
      <c r="F756" s="19"/>
      <c r="G756" s="36"/>
      <c r="H756" s="21"/>
      <c r="I756" s="22"/>
      <c r="J756" s="23"/>
      <c r="K756" s="24"/>
      <c r="N756" s="69"/>
      <c r="O756" s="27"/>
    </row>
    <row r="757" spans="1:15" x14ac:dyDescent="0.25">
      <c r="A757" s="13">
        <f t="shared" si="17"/>
        <v>36</v>
      </c>
      <c r="B757" s="17"/>
      <c r="C757" s="17"/>
      <c r="D757" s="18"/>
      <c r="E757" s="11"/>
      <c r="F757" s="19"/>
      <c r="G757" s="36"/>
      <c r="H757" s="21"/>
      <c r="I757" s="22"/>
      <c r="J757" s="23"/>
      <c r="K757" s="24"/>
      <c r="N757" s="69"/>
      <c r="O757" s="27"/>
    </row>
    <row r="758" spans="1:15" x14ac:dyDescent="0.25">
      <c r="A758" s="13">
        <f t="shared" si="17"/>
        <v>36</v>
      </c>
      <c r="B758" s="17"/>
      <c r="C758" s="17"/>
      <c r="D758" s="18"/>
      <c r="E758" s="11"/>
      <c r="F758" s="19"/>
      <c r="G758" s="36"/>
      <c r="H758" s="21"/>
      <c r="I758" s="22"/>
      <c r="J758" s="23"/>
      <c r="K758" s="24"/>
      <c r="N758" s="69"/>
      <c r="O758" s="27"/>
    </row>
    <row r="759" spans="1:15" x14ac:dyDescent="0.25">
      <c r="A759" s="13">
        <f t="shared" si="17"/>
        <v>36</v>
      </c>
      <c r="B759" s="17"/>
      <c r="C759" s="17"/>
      <c r="D759" s="18"/>
      <c r="E759" s="11"/>
      <c r="F759" s="19"/>
      <c r="G759" s="36"/>
      <c r="H759" s="21"/>
      <c r="I759" s="22"/>
      <c r="J759" s="23"/>
      <c r="K759" s="24"/>
      <c r="N759" s="69"/>
      <c r="O759" s="27"/>
    </row>
    <row r="760" spans="1:15" x14ac:dyDescent="0.25">
      <c r="A760" s="13">
        <f t="shared" si="17"/>
        <v>36</v>
      </c>
      <c r="B760" s="17"/>
      <c r="C760" s="17"/>
      <c r="D760" s="18"/>
      <c r="E760" s="11"/>
      <c r="F760" s="19"/>
      <c r="G760" s="36"/>
      <c r="H760" s="21"/>
      <c r="I760" s="22"/>
      <c r="J760" s="23"/>
      <c r="K760" s="24"/>
      <c r="N760" s="69"/>
      <c r="O760" s="27"/>
    </row>
    <row r="761" spans="1:15" x14ac:dyDescent="0.25">
      <c r="A761" s="13">
        <f t="shared" si="17"/>
        <v>36</v>
      </c>
      <c r="B761" s="17"/>
      <c r="C761" s="17"/>
      <c r="D761" s="18"/>
      <c r="E761" s="11"/>
      <c r="F761" s="19"/>
      <c r="G761" s="20"/>
      <c r="H761" s="21"/>
      <c r="I761" s="22"/>
      <c r="J761" s="23"/>
      <c r="K761" s="24"/>
      <c r="N761" s="69"/>
      <c r="O761" s="27"/>
    </row>
    <row r="762" spans="1:15" x14ac:dyDescent="0.25">
      <c r="A762" s="13">
        <f t="shared" si="17"/>
        <v>36</v>
      </c>
      <c r="B762" s="17"/>
      <c r="C762" s="17"/>
      <c r="D762" s="18"/>
      <c r="E762" s="11"/>
      <c r="F762" s="19"/>
      <c r="G762" s="20"/>
      <c r="H762" s="21"/>
      <c r="I762" s="22"/>
      <c r="J762" s="23"/>
      <c r="K762" s="24"/>
      <c r="N762" s="69"/>
      <c r="O762" s="27"/>
    </row>
    <row r="763" spans="1:15" x14ac:dyDescent="0.25">
      <c r="A763" s="13">
        <f t="shared" si="17"/>
        <v>36</v>
      </c>
      <c r="B763" s="17"/>
      <c r="C763" s="17"/>
      <c r="D763" s="18"/>
      <c r="E763" s="11"/>
      <c r="F763" s="19"/>
      <c r="G763" s="20"/>
      <c r="H763" s="21"/>
      <c r="I763" s="22"/>
      <c r="J763" s="23"/>
      <c r="K763" s="24"/>
      <c r="N763" s="69"/>
      <c r="O763" s="27"/>
    </row>
    <row r="764" spans="1:15" x14ac:dyDescent="0.25">
      <c r="A764" s="13">
        <f t="shared" si="17"/>
        <v>36</v>
      </c>
      <c r="B764" s="17"/>
      <c r="C764" s="17"/>
      <c r="D764" s="18"/>
      <c r="E764" s="11"/>
      <c r="F764" s="19"/>
      <c r="G764" s="20"/>
      <c r="H764" s="21"/>
      <c r="I764" s="22"/>
      <c r="J764" s="23"/>
      <c r="K764" s="24"/>
      <c r="N764" s="69"/>
      <c r="O764" s="27"/>
    </row>
    <row r="765" spans="1:15" x14ac:dyDescent="0.25">
      <c r="A765" s="13">
        <f t="shared" si="17"/>
        <v>36</v>
      </c>
      <c r="B765" s="17"/>
      <c r="C765" s="17"/>
      <c r="D765" s="18"/>
      <c r="E765" s="11"/>
      <c r="F765" s="19"/>
      <c r="G765" s="20"/>
      <c r="H765" s="21"/>
      <c r="I765" s="22"/>
      <c r="J765" s="23"/>
      <c r="K765" s="24"/>
      <c r="N765" s="69"/>
      <c r="O765" s="27"/>
    </row>
    <row r="766" spans="1:15" x14ac:dyDescent="0.25">
      <c r="A766" s="13">
        <f t="shared" si="17"/>
        <v>36</v>
      </c>
      <c r="B766" s="17"/>
      <c r="C766" s="17"/>
      <c r="D766" s="18"/>
      <c r="E766" s="11"/>
      <c r="F766" s="19"/>
      <c r="G766" s="20"/>
      <c r="H766" s="21"/>
      <c r="I766" s="22"/>
      <c r="J766" s="23"/>
      <c r="K766" s="24"/>
      <c r="N766" s="69"/>
      <c r="O766" s="27"/>
    </row>
    <row r="767" spans="1:15" x14ac:dyDescent="0.25">
      <c r="A767" s="13">
        <f t="shared" si="17"/>
        <v>36</v>
      </c>
      <c r="B767" s="17"/>
      <c r="C767" s="17"/>
      <c r="D767" s="18"/>
      <c r="E767" s="11"/>
      <c r="F767" s="19"/>
      <c r="G767" s="20"/>
      <c r="H767" s="21"/>
      <c r="I767" s="22"/>
      <c r="J767" s="23"/>
      <c r="K767" s="24"/>
      <c r="N767" s="69"/>
      <c r="O767" s="27"/>
    </row>
    <row r="768" spans="1:15" x14ac:dyDescent="0.25">
      <c r="A768" s="13">
        <f t="shared" si="17"/>
        <v>36</v>
      </c>
      <c r="B768" s="17"/>
      <c r="C768" s="17"/>
      <c r="D768" s="18"/>
      <c r="E768" s="11"/>
      <c r="F768" s="19"/>
      <c r="G768" s="20"/>
      <c r="H768" s="21"/>
      <c r="I768" s="22"/>
      <c r="J768" s="23"/>
      <c r="K768" s="24"/>
      <c r="N768" s="69"/>
      <c r="O768" s="27"/>
    </row>
    <row r="769" spans="1:15" x14ac:dyDescent="0.25">
      <c r="A769" s="13">
        <f t="shared" si="17"/>
        <v>36</v>
      </c>
      <c r="B769" s="17"/>
      <c r="C769" s="17"/>
      <c r="D769" s="18"/>
      <c r="E769" s="11"/>
      <c r="F769" s="19"/>
      <c r="G769" s="36"/>
      <c r="H769" s="21"/>
      <c r="I769" s="22"/>
      <c r="J769" s="23"/>
      <c r="K769" s="24"/>
      <c r="N769" s="69"/>
      <c r="O769" s="27"/>
    </row>
    <row r="770" spans="1:15" x14ac:dyDescent="0.25">
      <c r="A770" s="13">
        <f t="shared" si="17"/>
        <v>36</v>
      </c>
      <c r="B770" s="17"/>
      <c r="C770" s="17"/>
      <c r="D770" s="18"/>
      <c r="E770" s="11"/>
      <c r="F770" s="19"/>
      <c r="G770" s="36"/>
      <c r="H770" s="21"/>
      <c r="I770" s="22"/>
      <c r="J770" s="23"/>
      <c r="K770" s="24"/>
      <c r="N770" s="69"/>
      <c r="O770" s="27"/>
    </row>
    <row r="771" spans="1:15" x14ac:dyDescent="0.25">
      <c r="A771" s="13">
        <f t="shared" si="17"/>
        <v>36</v>
      </c>
      <c r="B771" s="17"/>
      <c r="C771" s="17"/>
      <c r="D771" s="18"/>
      <c r="E771" s="11"/>
      <c r="F771" s="19"/>
      <c r="G771" s="36"/>
      <c r="H771" s="21"/>
      <c r="I771" s="22"/>
      <c r="J771" s="23"/>
      <c r="K771" s="24"/>
      <c r="N771" s="69"/>
      <c r="O771" s="27"/>
    </row>
    <row r="772" spans="1:15" x14ac:dyDescent="0.25">
      <c r="A772" s="13">
        <f t="shared" ref="A772:A835" si="18">IF(B772=B771,A771,A771+1)</f>
        <v>36</v>
      </c>
      <c r="B772" s="17"/>
      <c r="C772" s="17"/>
      <c r="D772" s="18"/>
      <c r="E772" s="11"/>
      <c r="F772" s="19"/>
      <c r="G772" s="36"/>
      <c r="H772" s="21"/>
      <c r="I772" s="22"/>
      <c r="J772" s="23"/>
      <c r="K772" s="24"/>
      <c r="N772" s="69"/>
      <c r="O772" s="27"/>
    </row>
    <row r="773" spans="1:15" x14ac:dyDescent="0.25">
      <c r="A773" s="13">
        <f t="shared" si="18"/>
        <v>36</v>
      </c>
      <c r="B773" s="17"/>
      <c r="C773" s="17"/>
      <c r="D773" s="18"/>
      <c r="E773" s="11"/>
      <c r="F773" s="19"/>
      <c r="G773" s="36"/>
      <c r="H773" s="21"/>
      <c r="I773" s="22"/>
      <c r="J773" s="23"/>
      <c r="K773" s="24"/>
      <c r="N773" s="69"/>
      <c r="O773" s="27"/>
    </row>
    <row r="774" spans="1:15" x14ac:dyDescent="0.25">
      <c r="A774" s="13">
        <f t="shared" si="18"/>
        <v>36</v>
      </c>
      <c r="B774" s="17"/>
      <c r="C774" s="17"/>
      <c r="D774" s="18"/>
      <c r="E774" s="11"/>
      <c r="F774" s="19"/>
      <c r="G774" s="36"/>
      <c r="H774" s="21"/>
      <c r="I774" s="22"/>
      <c r="J774" s="23"/>
      <c r="K774" s="24"/>
      <c r="N774" s="69"/>
      <c r="O774" s="27"/>
    </row>
    <row r="775" spans="1:15" x14ac:dyDescent="0.25">
      <c r="A775" s="13">
        <f t="shared" si="18"/>
        <v>36</v>
      </c>
      <c r="B775" s="17"/>
      <c r="C775" s="17"/>
      <c r="D775" s="18"/>
      <c r="E775" s="11"/>
      <c r="F775" s="19"/>
      <c r="G775" s="36"/>
      <c r="H775" s="21"/>
      <c r="I775" s="22"/>
      <c r="J775" s="23"/>
      <c r="K775" s="24"/>
      <c r="N775" s="69"/>
      <c r="O775" s="27"/>
    </row>
    <row r="776" spans="1:15" x14ac:dyDescent="0.25">
      <c r="A776" s="13">
        <f t="shared" si="18"/>
        <v>36</v>
      </c>
      <c r="B776" s="17"/>
      <c r="C776" s="17"/>
      <c r="D776" s="18"/>
      <c r="E776" s="11"/>
      <c r="F776" s="19"/>
      <c r="G776" s="36"/>
      <c r="H776" s="21"/>
      <c r="I776" s="22"/>
      <c r="J776" s="23"/>
      <c r="K776" s="24"/>
      <c r="N776" s="69"/>
      <c r="O776" s="27"/>
    </row>
    <row r="777" spans="1:15" x14ac:dyDescent="0.25">
      <c r="A777" s="13">
        <f t="shared" si="18"/>
        <v>36</v>
      </c>
      <c r="B777" s="17"/>
      <c r="C777" s="17"/>
      <c r="D777" s="18"/>
      <c r="E777" s="11"/>
      <c r="F777" s="19"/>
      <c r="G777" s="36"/>
      <c r="H777" s="21"/>
      <c r="I777" s="22"/>
      <c r="J777" s="23"/>
      <c r="K777" s="24"/>
      <c r="N777" s="69"/>
      <c r="O777" s="27"/>
    </row>
    <row r="778" spans="1:15" x14ac:dyDescent="0.25">
      <c r="A778" s="13">
        <f t="shared" si="18"/>
        <v>36</v>
      </c>
      <c r="B778" s="17"/>
      <c r="C778" s="17"/>
      <c r="D778" s="18"/>
      <c r="E778" s="11"/>
      <c r="F778" s="19"/>
      <c r="G778" s="36"/>
      <c r="H778" s="21"/>
      <c r="I778" s="22"/>
      <c r="J778" s="23"/>
      <c r="K778" s="24"/>
      <c r="N778" s="69"/>
      <c r="O778" s="27"/>
    </row>
    <row r="779" spans="1:15" x14ac:dyDescent="0.25">
      <c r="A779" s="13">
        <f t="shared" si="18"/>
        <v>36</v>
      </c>
      <c r="B779" s="17"/>
      <c r="C779" s="17"/>
      <c r="D779" s="18"/>
      <c r="E779" s="11"/>
      <c r="F779" s="19"/>
      <c r="G779" s="36"/>
      <c r="H779" s="21"/>
      <c r="I779" s="22"/>
      <c r="J779" s="23"/>
      <c r="K779" s="24"/>
      <c r="N779" s="69"/>
      <c r="O779" s="27"/>
    </row>
    <row r="780" spans="1:15" x14ac:dyDescent="0.25">
      <c r="A780" s="13">
        <f t="shared" si="18"/>
        <v>36</v>
      </c>
      <c r="B780" s="17"/>
      <c r="C780" s="17"/>
      <c r="D780" s="18"/>
      <c r="E780" s="11"/>
      <c r="F780" s="19"/>
      <c r="G780" s="36"/>
      <c r="H780" s="21"/>
      <c r="I780" s="22"/>
      <c r="J780" s="23"/>
      <c r="K780" s="24"/>
      <c r="N780" s="69"/>
      <c r="O780" s="27"/>
    </row>
    <row r="781" spans="1:15" x14ac:dyDescent="0.25">
      <c r="A781" s="13">
        <f t="shared" si="18"/>
        <v>36</v>
      </c>
      <c r="B781" s="17"/>
      <c r="C781" s="17"/>
      <c r="D781" s="18"/>
      <c r="E781" s="11"/>
      <c r="F781" s="19"/>
      <c r="G781" s="36"/>
      <c r="H781" s="21"/>
      <c r="I781" s="22"/>
      <c r="J781" s="23"/>
      <c r="K781" s="24"/>
      <c r="N781" s="69"/>
      <c r="O781" s="27"/>
    </row>
    <row r="782" spans="1:15" x14ac:dyDescent="0.25">
      <c r="A782" s="13">
        <f t="shared" si="18"/>
        <v>36</v>
      </c>
      <c r="B782" s="17"/>
      <c r="C782" s="17"/>
      <c r="D782" s="40"/>
      <c r="E782" s="41"/>
      <c r="F782" s="19"/>
      <c r="G782" s="36"/>
      <c r="H782" s="21"/>
      <c r="I782" s="22"/>
      <c r="J782" s="23"/>
      <c r="K782" s="24"/>
      <c r="N782" s="69"/>
      <c r="O782" s="27"/>
    </row>
    <row r="783" spans="1:15" x14ac:dyDescent="0.25">
      <c r="A783" s="13">
        <f t="shared" si="18"/>
        <v>36</v>
      </c>
      <c r="B783" s="17"/>
      <c r="C783" s="17"/>
      <c r="D783" s="18"/>
      <c r="E783" s="11"/>
      <c r="F783" s="19"/>
      <c r="G783" s="20"/>
      <c r="H783" s="21"/>
      <c r="I783" s="22"/>
      <c r="J783" s="23"/>
      <c r="K783" s="24"/>
      <c r="N783" s="69"/>
      <c r="O783" s="27"/>
    </row>
    <row r="784" spans="1:15" x14ac:dyDescent="0.25">
      <c r="A784" s="13">
        <f t="shared" si="18"/>
        <v>36</v>
      </c>
      <c r="B784" s="17"/>
      <c r="C784" s="17"/>
      <c r="D784" s="18"/>
      <c r="E784" s="11"/>
      <c r="F784" s="19"/>
      <c r="G784" s="20"/>
      <c r="H784" s="21"/>
      <c r="I784" s="22"/>
      <c r="J784" s="23"/>
      <c r="K784" s="24"/>
      <c r="N784" s="69"/>
      <c r="O784" s="27"/>
    </row>
    <row r="785" spans="1:15" x14ac:dyDescent="0.25">
      <c r="A785" s="13">
        <f t="shared" si="18"/>
        <v>36</v>
      </c>
      <c r="B785" s="17"/>
      <c r="C785" s="17"/>
      <c r="D785" s="18"/>
      <c r="E785" s="11"/>
      <c r="F785" s="19"/>
      <c r="G785" s="20"/>
      <c r="H785" s="21"/>
      <c r="I785" s="22"/>
      <c r="J785" s="23"/>
      <c r="K785" s="24"/>
      <c r="N785" s="69"/>
      <c r="O785" s="27"/>
    </row>
    <row r="786" spans="1:15" x14ac:dyDescent="0.25">
      <c r="A786" s="13">
        <f t="shared" si="18"/>
        <v>36</v>
      </c>
      <c r="B786" s="17"/>
      <c r="C786" s="17"/>
      <c r="D786" s="18"/>
      <c r="E786" s="11"/>
      <c r="F786" s="19"/>
      <c r="G786" s="20"/>
      <c r="H786" s="21"/>
      <c r="I786" s="22"/>
      <c r="J786" s="23"/>
      <c r="K786" s="24"/>
      <c r="N786" s="69"/>
      <c r="O786" s="27"/>
    </row>
    <row r="787" spans="1:15" x14ac:dyDescent="0.25">
      <c r="A787" s="13">
        <f t="shared" si="18"/>
        <v>36</v>
      </c>
      <c r="B787" s="17"/>
      <c r="C787" s="17"/>
      <c r="D787" s="18"/>
      <c r="E787" s="11"/>
      <c r="F787" s="19"/>
      <c r="G787" s="20"/>
      <c r="H787" s="21"/>
      <c r="I787" s="22"/>
      <c r="J787" s="23"/>
      <c r="K787" s="24"/>
      <c r="N787" s="69"/>
      <c r="O787" s="27"/>
    </row>
    <row r="788" spans="1:15" x14ac:dyDescent="0.25">
      <c r="A788" s="13">
        <f t="shared" si="18"/>
        <v>36</v>
      </c>
      <c r="B788" s="17"/>
      <c r="C788" s="17"/>
      <c r="D788" s="18"/>
      <c r="E788" s="11"/>
      <c r="F788" s="19"/>
      <c r="G788" s="20"/>
      <c r="H788" s="21"/>
      <c r="I788" s="22"/>
      <c r="J788" s="23"/>
      <c r="K788" s="24"/>
      <c r="N788" s="69"/>
      <c r="O788" s="27"/>
    </row>
    <row r="789" spans="1:15" x14ac:dyDescent="0.25">
      <c r="A789" s="13">
        <f t="shared" si="18"/>
        <v>36</v>
      </c>
      <c r="B789" s="17"/>
      <c r="C789" s="17"/>
      <c r="D789" s="18"/>
      <c r="E789" s="11"/>
      <c r="F789" s="19"/>
      <c r="G789" s="20"/>
      <c r="H789" s="21"/>
      <c r="I789" s="22"/>
      <c r="J789" s="23"/>
      <c r="K789" s="24"/>
      <c r="N789" s="69"/>
      <c r="O789" s="27"/>
    </row>
    <row r="790" spans="1:15" x14ac:dyDescent="0.25">
      <c r="A790" s="13">
        <f t="shared" si="18"/>
        <v>36</v>
      </c>
      <c r="B790" s="17"/>
      <c r="C790" s="17"/>
      <c r="D790" s="18"/>
      <c r="E790" s="11"/>
      <c r="F790" s="19"/>
      <c r="G790" s="20"/>
      <c r="H790" s="21"/>
      <c r="I790" s="22"/>
      <c r="J790" s="23"/>
      <c r="K790" s="24"/>
      <c r="N790" s="69"/>
      <c r="O790" s="27"/>
    </row>
    <row r="791" spans="1:15" x14ac:dyDescent="0.25">
      <c r="A791" s="13">
        <f t="shared" si="18"/>
        <v>36</v>
      </c>
      <c r="B791" s="17"/>
      <c r="C791" s="17"/>
      <c r="D791" s="18"/>
      <c r="E791" s="11"/>
      <c r="F791" s="19"/>
      <c r="G791" s="20"/>
      <c r="H791" s="21"/>
      <c r="I791" s="22"/>
      <c r="J791" s="23"/>
      <c r="K791" s="24"/>
      <c r="N791" s="69"/>
      <c r="O791" s="27"/>
    </row>
    <row r="792" spans="1:15" x14ac:dyDescent="0.25">
      <c r="A792" s="13">
        <f t="shared" si="18"/>
        <v>36</v>
      </c>
      <c r="B792" s="17"/>
      <c r="C792" s="17"/>
      <c r="D792" s="18"/>
      <c r="E792" s="11"/>
      <c r="F792" s="19"/>
      <c r="G792" s="20"/>
      <c r="H792" s="21"/>
      <c r="I792" s="22"/>
      <c r="J792" s="23"/>
      <c r="K792" s="24"/>
      <c r="N792" s="69"/>
      <c r="O792" s="27"/>
    </row>
    <row r="793" spans="1:15" x14ac:dyDescent="0.25">
      <c r="A793" s="13">
        <f t="shared" si="18"/>
        <v>36</v>
      </c>
      <c r="B793" s="17"/>
      <c r="C793" s="17"/>
      <c r="D793" s="18"/>
      <c r="E793" s="11"/>
      <c r="F793" s="19"/>
      <c r="G793" s="20"/>
      <c r="H793" s="21"/>
      <c r="I793" s="22"/>
      <c r="J793" s="23"/>
      <c r="K793" s="24"/>
      <c r="N793" s="69"/>
      <c r="O793" s="27"/>
    </row>
    <row r="794" spans="1:15" x14ac:dyDescent="0.25">
      <c r="A794" s="13">
        <f t="shared" si="18"/>
        <v>36</v>
      </c>
      <c r="B794" s="17"/>
      <c r="C794" s="17"/>
      <c r="D794" s="18"/>
      <c r="E794" s="11"/>
      <c r="F794" s="19"/>
      <c r="G794" s="20"/>
      <c r="H794" s="21"/>
      <c r="I794" s="22"/>
      <c r="J794" s="23"/>
      <c r="K794" s="24"/>
      <c r="N794" s="69"/>
      <c r="O794" s="27"/>
    </row>
    <row r="795" spans="1:15" x14ac:dyDescent="0.25">
      <c r="A795" s="13">
        <f t="shared" si="18"/>
        <v>36</v>
      </c>
      <c r="B795" s="17"/>
      <c r="C795" s="17"/>
      <c r="D795" s="18"/>
      <c r="E795" s="11"/>
      <c r="F795" s="19"/>
      <c r="G795" s="20"/>
      <c r="H795" s="21"/>
      <c r="I795" s="22"/>
      <c r="J795" s="23"/>
      <c r="K795" s="24"/>
      <c r="N795" s="69"/>
      <c r="O795" s="27"/>
    </row>
    <row r="796" spans="1:15" x14ac:dyDescent="0.25">
      <c r="A796" s="13">
        <f t="shared" si="18"/>
        <v>36</v>
      </c>
      <c r="B796" s="17"/>
      <c r="C796" s="17"/>
      <c r="D796" s="18"/>
      <c r="E796" s="11"/>
      <c r="F796" s="19"/>
      <c r="G796" s="20"/>
      <c r="H796" s="21"/>
      <c r="I796" s="22"/>
      <c r="J796" s="23"/>
      <c r="K796" s="24"/>
      <c r="N796" s="69"/>
      <c r="O796" s="27"/>
    </row>
    <row r="797" spans="1:15" x14ac:dyDescent="0.25">
      <c r="A797" s="13">
        <f t="shared" si="18"/>
        <v>36</v>
      </c>
      <c r="B797" s="17"/>
      <c r="C797" s="17"/>
      <c r="D797" s="18"/>
      <c r="E797" s="11"/>
      <c r="F797" s="19"/>
      <c r="G797" s="20"/>
      <c r="H797" s="21"/>
      <c r="I797" s="22"/>
      <c r="J797" s="23"/>
      <c r="K797" s="24"/>
      <c r="N797" s="69"/>
      <c r="O797" s="27"/>
    </row>
    <row r="798" spans="1:15" x14ac:dyDescent="0.25">
      <c r="A798" s="13">
        <f t="shared" si="18"/>
        <v>36</v>
      </c>
      <c r="B798" s="17"/>
      <c r="C798" s="17"/>
      <c r="D798" s="18"/>
      <c r="E798" s="11"/>
      <c r="F798" s="19"/>
      <c r="G798" s="20"/>
      <c r="H798" s="21"/>
      <c r="I798" s="22"/>
      <c r="J798" s="23"/>
      <c r="K798" s="24"/>
      <c r="N798" s="69"/>
      <c r="O798" s="27"/>
    </row>
    <row r="799" spans="1:15" x14ac:dyDescent="0.25">
      <c r="A799" s="13">
        <f t="shared" si="18"/>
        <v>36</v>
      </c>
      <c r="B799" s="17"/>
      <c r="C799" s="17"/>
      <c r="D799" s="18"/>
      <c r="E799" s="11"/>
      <c r="F799" s="19"/>
      <c r="G799" s="20"/>
      <c r="H799" s="21"/>
      <c r="I799" s="22"/>
      <c r="J799" s="23"/>
      <c r="K799" s="24"/>
      <c r="N799" s="69"/>
      <c r="O799" s="27"/>
    </row>
    <row r="800" spans="1:15" x14ac:dyDescent="0.25">
      <c r="A800" s="13">
        <f t="shared" si="18"/>
        <v>36</v>
      </c>
      <c r="B800" s="17"/>
      <c r="C800" s="17"/>
      <c r="D800" s="40"/>
      <c r="E800" s="41"/>
      <c r="F800" s="19"/>
      <c r="G800" s="20"/>
      <c r="H800" s="21"/>
      <c r="I800" s="22"/>
      <c r="J800" s="23"/>
      <c r="K800" s="24"/>
      <c r="N800" s="69"/>
      <c r="O800" s="27"/>
    </row>
    <row r="801" spans="1:15" x14ac:dyDescent="0.25">
      <c r="A801" s="13">
        <f t="shared" si="18"/>
        <v>36</v>
      </c>
      <c r="B801" s="17"/>
      <c r="C801" s="17"/>
      <c r="D801" s="18"/>
      <c r="E801" s="11"/>
      <c r="F801" s="19"/>
      <c r="G801" s="36"/>
      <c r="H801" s="21"/>
      <c r="I801" s="22"/>
      <c r="J801" s="23"/>
      <c r="K801" s="24"/>
      <c r="N801" s="69"/>
      <c r="O801" s="27"/>
    </row>
    <row r="802" spans="1:15" x14ac:dyDescent="0.25">
      <c r="A802" s="13">
        <f t="shared" si="18"/>
        <v>36</v>
      </c>
      <c r="B802" s="17"/>
      <c r="C802" s="17"/>
      <c r="D802" s="18"/>
      <c r="E802" s="11"/>
      <c r="F802" s="19"/>
      <c r="G802" s="36"/>
      <c r="H802" s="21"/>
      <c r="I802" s="22"/>
      <c r="J802" s="23"/>
      <c r="K802" s="24"/>
      <c r="N802" s="69"/>
      <c r="O802" s="27"/>
    </row>
    <row r="803" spans="1:15" x14ac:dyDescent="0.25">
      <c r="A803" s="13">
        <f t="shared" si="18"/>
        <v>36</v>
      </c>
      <c r="B803" s="17"/>
      <c r="C803" s="17"/>
      <c r="D803" s="18"/>
      <c r="E803" s="11"/>
      <c r="F803" s="19"/>
      <c r="G803" s="36"/>
      <c r="H803" s="21"/>
      <c r="I803" s="22"/>
      <c r="J803" s="23"/>
      <c r="K803" s="24"/>
      <c r="N803" s="69"/>
      <c r="O803" s="27"/>
    </row>
    <row r="804" spans="1:15" x14ac:dyDescent="0.25">
      <c r="A804" s="13">
        <f t="shared" si="18"/>
        <v>36</v>
      </c>
      <c r="B804" s="17"/>
      <c r="C804" s="17"/>
      <c r="D804" s="18"/>
      <c r="E804" s="11"/>
      <c r="F804" s="19"/>
      <c r="G804" s="36"/>
      <c r="H804" s="21"/>
      <c r="I804" s="22"/>
      <c r="J804" s="23"/>
      <c r="K804" s="24"/>
      <c r="N804" s="69"/>
      <c r="O804" s="27"/>
    </row>
    <row r="805" spans="1:15" x14ac:dyDescent="0.25">
      <c r="A805" s="13">
        <f t="shared" si="18"/>
        <v>36</v>
      </c>
      <c r="B805" s="17"/>
      <c r="C805" s="17"/>
      <c r="D805" s="18"/>
      <c r="E805" s="11"/>
      <c r="F805" s="19"/>
      <c r="G805" s="36"/>
      <c r="H805" s="21"/>
      <c r="I805" s="22"/>
      <c r="J805" s="23"/>
      <c r="K805" s="24"/>
      <c r="N805" s="69"/>
      <c r="O805" s="27"/>
    </row>
    <row r="806" spans="1:15" x14ac:dyDescent="0.25">
      <c r="A806" s="13">
        <f t="shared" si="18"/>
        <v>36</v>
      </c>
      <c r="B806" s="17"/>
      <c r="C806" s="17"/>
      <c r="D806" s="18"/>
      <c r="E806" s="11"/>
      <c r="F806" s="19"/>
      <c r="G806" s="36"/>
      <c r="H806" s="21"/>
      <c r="I806" s="22"/>
      <c r="J806" s="23"/>
      <c r="K806" s="24"/>
      <c r="N806" s="69"/>
      <c r="O806" s="27"/>
    </row>
    <row r="807" spans="1:15" x14ac:dyDescent="0.25">
      <c r="A807" s="13">
        <f t="shared" si="18"/>
        <v>36</v>
      </c>
      <c r="B807" s="17"/>
      <c r="C807" s="17"/>
      <c r="D807" s="18"/>
      <c r="E807" s="11"/>
      <c r="F807" s="19"/>
      <c r="G807" s="36"/>
      <c r="H807" s="21"/>
      <c r="I807" s="22"/>
      <c r="J807" s="23"/>
      <c r="K807" s="24"/>
      <c r="N807" s="69"/>
      <c r="O807" s="27"/>
    </row>
    <row r="808" spans="1:15" x14ac:dyDescent="0.25">
      <c r="A808" s="13">
        <f t="shared" si="18"/>
        <v>36</v>
      </c>
      <c r="B808" s="17"/>
      <c r="C808" s="17"/>
      <c r="D808" s="18"/>
      <c r="E808" s="11"/>
      <c r="F808" s="19"/>
      <c r="G808" s="36"/>
      <c r="H808" s="21"/>
      <c r="I808" s="22"/>
      <c r="J808" s="23"/>
      <c r="K808" s="24"/>
      <c r="N808" s="69"/>
      <c r="O808" s="27"/>
    </row>
    <row r="809" spans="1:15" x14ac:dyDescent="0.25">
      <c r="A809" s="13">
        <f t="shared" si="18"/>
        <v>36</v>
      </c>
      <c r="B809" s="17"/>
      <c r="C809" s="17"/>
      <c r="D809" s="40"/>
      <c r="E809" s="41"/>
      <c r="F809" s="19"/>
      <c r="G809" s="36"/>
      <c r="H809" s="21"/>
      <c r="I809" s="22"/>
      <c r="J809" s="23"/>
      <c r="K809" s="24"/>
      <c r="N809" s="69"/>
      <c r="O809" s="27"/>
    </row>
    <row r="810" spans="1:15" x14ac:dyDescent="0.25">
      <c r="A810" s="13">
        <f t="shared" si="18"/>
        <v>36</v>
      </c>
      <c r="B810" s="17"/>
      <c r="C810" s="17"/>
      <c r="D810" s="18"/>
      <c r="E810" s="11"/>
      <c r="F810" s="19"/>
      <c r="G810" s="36"/>
      <c r="H810" s="21"/>
      <c r="I810" s="22"/>
      <c r="J810" s="23"/>
      <c r="K810" s="24"/>
      <c r="N810" s="69"/>
      <c r="O810" s="27"/>
    </row>
    <row r="811" spans="1:15" x14ac:dyDescent="0.25">
      <c r="A811" s="13">
        <f t="shared" si="18"/>
        <v>36</v>
      </c>
      <c r="B811" s="17"/>
      <c r="C811" s="17"/>
      <c r="D811" s="18"/>
      <c r="E811" s="11"/>
      <c r="F811" s="19"/>
      <c r="G811" s="36"/>
      <c r="H811" s="21"/>
      <c r="I811" s="22"/>
      <c r="J811" s="23"/>
      <c r="K811" s="24"/>
      <c r="N811" s="69"/>
      <c r="O811" s="27"/>
    </row>
    <row r="812" spans="1:15" x14ac:dyDescent="0.25">
      <c r="A812" s="13">
        <f t="shared" si="18"/>
        <v>36</v>
      </c>
      <c r="B812" s="17"/>
      <c r="C812" s="17"/>
      <c r="D812" s="18"/>
      <c r="E812" s="11"/>
      <c r="F812" s="19"/>
      <c r="G812" s="36"/>
      <c r="H812" s="21"/>
      <c r="I812" s="22"/>
      <c r="J812" s="23"/>
      <c r="K812" s="24"/>
      <c r="N812" s="69"/>
      <c r="O812" s="27"/>
    </row>
    <row r="813" spans="1:15" x14ac:dyDescent="0.25">
      <c r="A813" s="13">
        <f t="shared" si="18"/>
        <v>36</v>
      </c>
      <c r="B813" s="17"/>
      <c r="C813" s="17"/>
      <c r="D813" s="18"/>
      <c r="E813" s="11"/>
      <c r="F813" s="19"/>
      <c r="G813" s="36"/>
      <c r="H813" s="21"/>
      <c r="I813" s="22"/>
      <c r="J813" s="23"/>
      <c r="K813" s="24"/>
      <c r="N813" s="69"/>
      <c r="O813" s="27"/>
    </row>
    <row r="814" spans="1:15" x14ac:dyDescent="0.25">
      <c r="A814" s="13">
        <f t="shared" si="18"/>
        <v>36</v>
      </c>
      <c r="B814" s="17"/>
      <c r="C814" s="17"/>
      <c r="D814" s="18"/>
      <c r="E814" s="11"/>
      <c r="F814" s="19"/>
      <c r="G814" s="36"/>
      <c r="H814" s="21"/>
      <c r="I814" s="22"/>
      <c r="J814" s="23"/>
      <c r="K814" s="24"/>
      <c r="N814" s="69"/>
      <c r="O814" s="27"/>
    </row>
    <row r="815" spans="1:15" x14ac:dyDescent="0.25">
      <c r="A815" s="13">
        <f t="shared" si="18"/>
        <v>36</v>
      </c>
      <c r="B815" s="17"/>
      <c r="C815" s="17"/>
      <c r="D815" s="18"/>
      <c r="E815" s="11"/>
      <c r="F815" s="19"/>
      <c r="G815" s="36"/>
      <c r="H815" s="21"/>
      <c r="I815" s="22"/>
      <c r="J815" s="23"/>
      <c r="K815" s="24"/>
      <c r="N815" s="69"/>
      <c r="O815" s="27"/>
    </row>
    <row r="816" spans="1:15" x14ac:dyDescent="0.25">
      <c r="A816" s="13">
        <f t="shared" si="18"/>
        <v>36</v>
      </c>
      <c r="B816" s="17"/>
      <c r="C816" s="17"/>
      <c r="D816" s="18"/>
      <c r="E816" s="11"/>
      <c r="F816" s="19"/>
      <c r="G816" s="36"/>
      <c r="H816" s="21"/>
      <c r="I816" s="22"/>
      <c r="J816" s="23"/>
      <c r="K816" s="24"/>
      <c r="N816" s="69"/>
      <c r="O816" s="27"/>
    </row>
    <row r="817" spans="1:15" x14ac:dyDescent="0.25">
      <c r="A817" s="13">
        <f t="shared" si="18"/>
        <v>36</v>
      </c>
      <c r="B817" s="17"/>
      <c r="C817" s="17"/>
      <c r="D817" s="18"/>
      <c r="E817" s="11"/>
      <c r="F817" s="19"/>
      <c r="G817" s="36"/>
      <c r="H817" s="21"/>
      <c r="I817" s="22"/>
      <c r="J817" s="23"/>
      <c r="K817" s="24"/>
      <c r="N817" s="69"/>
      <c r="O817" s="27"/>
    </row>
    <row r="818" spans="1:15" x14ac:dyDescent="0.25">
      <c r="A818" s="13">
        <f t="shared" si="18"/>
        <v>36</v>
      </c>
      <c r="B818" s="17"/>
      <c r="C818" s="17"/>
      <c r="D818" s="18"/>
      <c r="E818" s="11"/>
      <c r="F818" s="19"/>
      <c r="G818" s="36"/>
      <c r="H818" s="21"/>
      <c r="I818" s="22"/>
      <c r="J818" s="23"/>
      <c r="K818" s="24"/>
      <c r="N818" s="69"/>
      <c r="O818" s="27"/>
    </row>
    <row r="819" spans="1:15" x14ac:dyDescent="0.25">
      <c r="A819" s="13">
        <f t="shared" si="18"/>
        <v>36</v>
      </c>
      <c r="B819" s="17"/>
      <c r="C819" s="17"/>
      <c r="D819" s="40"/>
      <c r="E819" s="41"/>
      <c r="F819" s="19"/>
      <c r="G819" s="36"/>
      <c r="H819" s="21"/>
      <c r="I819" s="22"/>
      <c r="J819" s="23"/>
      <c r="K819" s="24"/>
      <c r="N819" s="69"/>
      <c r="O819" s="27"/>
    </row>
    <row r="820" spans="1:15" x14ac:dyDescent="0.25">
      <c r="A820" s="13">
        <f t="shared" si="18"/>
        <v>36</v>
      </c>
      <c r="B820" s="17"/>
      <c r="C820" s="17"/>
      <c r="D820" s="18"/>
      <c r="E820" s="11"/>
      <c r="F820" s="19"/>
      <c r="G820" s="36"/>
      <c r="H820" s="21"/>
      <c r="I820" s="22"/>
      <c r="J820" s="23"/>
      <c r="K820" s="24"/>
      <c r="N820" s="69"/>
      <c r="O820" s="27"/>
    </row>
    <row r="821" spans="1:15" x14ac:dyDescent="0.25">
      <c r="A821" s="13">
        <f t="shared" si="18"/>
        <v>36</v>
      </c>
      <c r="B821" s="17"/>
      <c r="C821" s="17"/>
      <c r="D821" s="18"/>
      <c r="E821" s="11"/>
      <c r="F821" s="19"/>
      <c r="G821" s="36"/>
      <c r="H821" s="21"/>
      <c r="I821" s="22"/>
      <c r="J821" s="23"/>
      <c r="K821" s="24"/>
      <c r="N821" s="69"/>
      <c r="O821" s="27"/>
    </row>
    <row r="822" spans="1:15" x14ac:dyDescent="0.25">
      <c r="A822" s="13">
        <f t="shared" si="18"/>
        <v>36</v>
      </c>
      <c r="B822" s="17"/>
      <c r="C822" s="17"/>
      <c r="D822" s="18"/>
      <c r="E822" s="11"/>
      <c r="F822" s="19"/>
      <c r="G822" s="36"/>
      <c r="H822" s="21"/>
      <c r="I822" s="22"/>
      <c r="J822" s="23"/>
      <c r="K822" s="24"/>
      <c r="N822" s="69"/>
      <c r="O822" s="27"/>
    </row>
    <row r="823" spans="1:15" x14ac:dyDescent="0.25">
      <c r="A823" s="13">
        <f t="shared" si="18"/>
        <v>36</v>
      </c>
      <c r="B823" s="17"/>
      <c r="C823" s="17"/>
      <c r="D823" s="18"/>
      <c r="E823" s="11"/>
      <c r="F823" s="19"/>
      <c r="G823" s="36"/>
      <c r="H823" s="21"/>
      <c r="I823" s="22"/>
      <c r="J823" s="23"/>
      <c r="K823" s="24"/>
      <c r="N823" s="69"/>
      <c r="O823" s="27"/>
    </row>
    <row r="824" spans="1:15" x14ac:dyDescent="0.25">
      <c r="A824" s="13">
        <f t="shared" si="18"/>
        <v>36</v>
      </c>
      <c r="B824" s="17"/>
      <c r="C824" s="17"/>
      <c r="D824" s="18"/>
      <c r="E824" s="11"/>
      <c r="F824" s="19"/>
      <c r="G824" s="36"/>
      <c r="H824" s="21"/>
      <c r="I824" s="22"/>
      <c r="J824" s="23"/>
      <c r="K824" s="24"/>
      <c r="N824" s="69"/>
      <c r="O824" s="27"/>
    </row>
    <row r="825" spans="1:15" x14ac:dyDescent="0.25">
      <c r="A825" s="13">
        <f t="shared" si="18"/>
        <v>36</v>
      </c>
      <c r="B825" s="17"/>
      <c r="C825" s="17"/>
      <c r="D825" s="18"/>
      <c r="E825" s="11"/>
      <c r="F825" s="19"/>
      <c r="G825" s="36"/>
      <c r="H825" s="21"/>
      <c r="I825" s="22"/>
      <c r="J825" s="23"/>
      <c r="K825" s="24"/>
      <c r="N825" s="69"/>
      <c r="O825" s="27"/>
    </row>
    <row r="826" spans="1:15" x14ac:dyDescent="0.25">
      <c r="A826" s="13">
        <f t="shared" si="18"/>
        <v>36</v>
      </c>
      <c r="B826" s="17"/>
      <c r="C826" s="17"/>
      <c r="D826" s="18"/>
      <c r="E826" s="11"/>
      <c r="F826" s="19"/>
      <c r="G826" s="36"/>
      <c r="H826" s="21"/>
      <c r="I826" s="22"/>
      <c r="J826" s="23"/>
      <c r="K826" s="24"/>
      <c r="N826" s="69"/>
      <c r="O826" s="27"/>
    </row>
    <row r="827" spans="1:15" x14ac:dyDescent="0.25">
      <c r="A827" s="13">
        <f t="shared" si="18"/>
        <v>36</v>
      </c>
      <c r="B827" s="17"/>
      <c r="C827" s="17"/>
      <c r="D827" s="18"/>
      <c r="E827" s="11"/>
      <c r="F827" s="19"/>
      <c r="G827" s="36"/>
      <c r="H827" s="21"/>
      <c r="I827" s="22"/>
      <c r="J827" s="23"/>
      <c r="K827" s="24"/>
      <c r="N827" s="69"/>
      <c r="O827" s="27"/>
    </row>
    <row r="828" spans="1:15" x14ac:dyDescent="0.25">
      <c r="A828" s="13">
        <f t="shared" si="18"/>
        <v>36</v>
      </c>
      <c r="B828" s="17"/>
      <c r="C828" s="17"/>
      <c r="D828" s="18"/>
      <c r="E828" s="11"/>
      <c r="F828" s="19"/>
      <c r="G828" s="36"/>
      <c r="H828" s="21"/>
      <c r="I828" s="22"/>
      <c r="J828" s="23"/>
      <c r="K828" s="24"/>
      <c r="N828" s="69"/>
      <c r="O828" s="27"/>
    </row>
    <row r="829" spans="1:15" x14ac:dyDescent="0.25">
      <c r="A829" s="13">
        <f t="shared" si="18"/>
        <v>36</v>
      </c>
      <c r="B829" s="17"/>
      <c r="C829" s="17"/>
      <c r="D829" s="18"/>
      <c r="E829" s="11"/>
      <c r="F829" s="19"/>
      <c r="G829" s="36"/>
      <c r="H829" s="21"/>
      <c r="I829" s="22"/>
      <c r="J829" s="23"/>
      <c r="K829" s="24"/>
      <c r="N829" s="69"/>
      <c r="O829" s="27"/>
    </row>
    <row r="830" spans="1:15" x14ac:dyDescent="0.25">
      <c r="A830" s="13">
        <f t="shared" si="18"/>
        <v>36</v>
      </c>
      <c r="B830" s="17"/>
      <c r="C830" s="17"/>
      <c r="D830" s="18"/>
      <c r="E830" s="11"/>
      <c r="F830" s="19"/>
      <c r="G830" s="36"/>
      <c r="H830" s="21"/>
      <c r="I830" s="22"/>
      <c r="J830" s="23"/>
      <c r="K830" s="24"/>
      <c r="N830" s="69"/>
      <c r="O830" s="27"/>
    </row>
    <row r="831" spans="1:15" x14ac:dyDescent="0.25">
      <c r="A831" s="13">
        <f t="shared" si="18"/>
        <v>36</v>
      </c>
      <c r="B831" s="17"/>
      <c r="C831" s="17"/>
      <c r="D831" s="18"/>
      <c r="E831" s="11"/>
      <c r="F831" s="19"/>
      <c r="G831" s="36"/>
      <c r="H831" s="21"/>
      <c r="I831" s="22"/>
      <c r="J831" s="23"/>
      <c r="K831" s="24"/>
      <c r="N831" s="69"/>
      <c r="O831" s="27"/>
    </row>
    <row r="832" spans="1:15" x14ac:dyDescent="0.25">
      <c r="A832" s="13">
        <f t="shared" si="18"/>
        <v>36</v>
      </c>
      <c r="B832" s="17"/>
      <c r="C832" s="17"/>
      <c r="D832" s="18"/>
      <c r="E832" s="11"/>
      <c r="F832" s="19"/>
      <c r="G832" s="36"/>
      <c r="H832" s="21"/>
      <c r="I832" s="22"/>
      <c r="J832" s="23"/>
      <c r="K832" s="24"/>
      <c r="N832" s="69"/>
      <c r="O832" s="27"/>
    </row>
    <row r="833" spans="1:15" x14ac:dyDescent="0.25">
      <c r="A833" s="13">
        <f t="shared" si="18"/>
        <v>36</v>
      </c>
      <c r="B833" s="17"/>
      <c r="C833" s="17"/>
      <c r="D833" s="18"/>
      <c r="E833" s="11"/>
      <c r="F833" s="19"/>
      <c r="G833" s="36"/>
      <c r="H833" s="21"/>
      <c r="I833" s="22"/>
      <c r="J833" s="23"/>
      <c r="K833" s="24"/>
      <c r="N833" s="69"/>
      <c r="O833" s="27"/>
    </row>
    <row r="834" spans="1:15" x14ac:dyDescent="0.25">
      <c r="A834" s="13">
        <f t="shared" si="18"/>
        <v>36</v>
      </c>
      <c r="B834" s="17"/>
      <c r="C834" s="17"/>
      <c r="D834" s="18"/>
      <c r="E834" s="11"/>
      <c r="F834" s="19"/>
      <c r="G834" s="36"/>
      <c r="H834" s="21"/>
      <c r="I834" s="22"/>
      <c r="J834" s="23"/>
      <c r="K834" s="24"/>
      <c r="N834" s="69"/>
      <c r="O834" s="27"/>
    </row>
    <row r="835" spans="1:15" x14ac:dyDescent="0.25">
      <c r="A835" s="13">
        <f t="shared" si="18"/>
        <v>36</v>
      </c>
      <c r="B835" s="17"/>
      <c r="C835" s="17"/>
      <c r="D835" s="18"/>
      <c r="E835" s="11"/>
      <c r="F835" s="19"/>
      <c r="G835" s="36"/>
      <c r="H835" s="21"/>
      <c r="I835" s="22"/>
      <c r="J835" s="23"/>
      <c r="K835" s="24"/>
      <c r="N835" s="69"/>
      <c r="O835" s="27"/>
    </row>
    <row r="836" spans="1:15" x14ac:dyDescent="0.25">
      <c r="A836" s="13">
        <f t="shared" ref="A836:A899" si="19">IF(B836=B835,A835,A835+1)</f>
        <v>36</v>
      </c>
      <c r="B836" s="17"/>
      <c r="C836" s="17"/>
      <c r="D836" s="18"/>
      <c r="E836" s="11"/>
      <c r="F836" s="19"/>
      <c r="G836" s="36"/>
      <c r="H836" s="21"/>
      <c r="I836" s="22"/>
      <c r="J836" s="23"/>
      <c r="K836" s="24"/>
      <c r="N836" s="69"/>
      <c r="O836" s="27"/>
    </row>
    <row r="837" spans="1:15" x14ac:dyDescent="0.25">
      <c r="A837" s="13">
        <f t="shared" si="19"/>
        <v>36</v>
      </c>
      <c r="B837" s="17"/>
      <c r="C837" s="17"/>
      <c r="D837" s="18"/>
      <c r="E837" s="11"/>
      <c r="F837" s="19"/>
      <c r="G837" s="36"/>
      <c r="H837" s="21"/>
      <c r="I837" s="22"/>
      <c r="J837" s="23"/>
      <c r="K837" s="24"/>
      <c r="N837" s="69"/>
      <c r="O837" s="27"/>
    </row>
    <row r="838" spans="1:15" x14ac:dyDescent="0.25">
      <c r="A838" s="13">
        <f t="shared" si="19"/>
        <v>36</v>
      </c>
      <c r="B838" s="17"/>
      <c r="C838" s="17"/>
      <c r="D838" s="18"/>
      <c r="E838" s="11"/>
      <c r="F838" s="19"/>
      <c r="G838" s="36"/>
      <c r="H838" s="21"/>
      <c r="I838" s="22"/>
      <c r="J838" s="23"/>
      <c r="K838" s="24"/>
      <c r="N838" s="69"/>
      <c r="O838" s="27"/>
    </row>
    <row r="839" spans="1:15" x14ac:dyDescent="0.25">
      <c r="A839" s="13">
        <f t="shared" si="19"/>
        <v>36</v>
      </c>
      <c r="B839" s="17"/>
      <c r="C839" s="17"/>
      <c r="D839" s="18"/>
      <c r="E839" s="11"/>
      <c r="F839" s="19"/>
      <c r="G839" s="36"/>
      <c r="H839" s="21"/>
      <c r="I839" s="22"/>
      <c r="J839" s="23"/>
      <c r="K839" s="24"/>
      <c r="N839" s="69"/>
      <c r="O839" s="27"/>
    </row>
    <row r="840" spans="1:15" x14ac:dyDescent="0.25">
      <c r="A840" s="13">
        <f t="shared" si="19"/>
        <v>36</v>
      </c>
      <c r="B840" s="17"/>
      <c r="C840" s="17"/>
      <c r="D840" s="18"/>
      <c r="E840" s="11"/>
      <c r="F840" s="19"/>
      <c r="G840" s="36"/>
      <c r="H840" s="21"/>
      <c r="I840" s="22"/>
      <c r="J840" s="23"/>
      <c r="K840" s="24"/>
      <c r="N840" s="69"/>
      <c r="O840" s="27"/>
    </row>
    <row r="841" spans="1:15" x14ac:dyDescent="0.25">
      <c r="A841" s="13">
        <f t="shared" si="19"/>
        <v>36</v>
      </c>
      <c r="B841" s="17"/>
      <c r="C841" s="17"/>
      <c r="D841" s="18"/>
      <c r="E841" s="11"/>
      <c r="F841" s="19"/>
      <c r="G841" s="36"/>
      <c r="H841" s="21"/>
      <c r="I841" s="22"/>
      <c r="J841" s="23"/>
      <c r="K841" s="24"/>
      <c r="N841" s="69"/>
      <c r="O841" s="27"/>
    </row>
    <row r="842" spans="1:15" x14ac:dyDescent="0.25">
      <c r="A842" s="13">
        <f t="shared" si="19"/>
        <v>36</v>
      </c>
      <c r="B842" s="17"/>
      <c r="C842" s="17"/>
      <c r="D842" s="18"/>
      <c r="E842" s="11"/>
      <c r="F842" s="19"/>
      <c r="G842" s="36"/>
      <c r="H842" s="21"/>
      <c r="I842" s="22"/>
      <c r="J842" s="23"/>
      <c r="K842" s="24"/>
      <c r="N842" s="69"/>
      <c r="O842" s="27"/>
    </row>
    <row r="843" spans="1:15" x14ac:dyDescent="0.25">
      <c r="A843" s="13">
        <f t="shared" si="19"/>
        <v>36</v>
      </c>
      <c r="B843" s="17"/>
      <c r="C843" s="17"/>
      <c r="D843" s="18"/>
      <c r="E843" s="11"/>
      <c r="F843" s="19"/>
      <c r="G843" s="20"/>
      <c r="H843" s="21"/>
      <c r="I843" s="22"/>
      <c r="J843" s="23"/>
      <c r="K843" s="24"/>
      <c r="N843" s="69"/>
      <c r="O843" s="27"/>
    </row>
    <row r="844" spans="1:15" x14ac:dyDescent="0.25">
      <c r="A844" s="13">
        <f t="shared" si="19"/>
        <v>36</v>
      </c>
      <c r="B844" s="17"/>
      <c r="C844" s="17"/>
      <c r="D844" s="18"/>
      <c r="E844" s="11"/>
      <c r="F844" s="19"/>
      <c r="G844" s="20"/>
      <c r="H844" s="21"/>
      <c r="I844" s="22"/>
      <c r="J844" s="23"/>
      <c r="K844" s="24"/>
      <c r="N844" s="69"/>
      <c r="O844" s="27"/>
    </row>
    <row r="845" spans="1:15" x14ac:dyDescent="0.25">
      <c r="A845" s="13">
        <f t="shared" si="19"/>
        <v>36</v>
      </c>
      <c r="B845" s="17"/>
      <c r="C845" s="17"/>
      <c r="D845" s="18"/>
      <c r="E845" s="11"/>
      <c r="F845" s="19"/>
      <c r="G845" s="20"/>
      <c r="H845" s="21"/>
      <c r="I845" s="22"/>
      <c r="J845" s="23"/>
      <c r="K845" s="24"/>
      <c r="N845" s="69"/>
      <c r="O845" s="27"/>
    </row>
    <row r="846" spans="1:15" x14ac:dyDescent="0.25">
      <c r="A846" s="13">
        <f t="shared" si="19"/>
        <v>36</v>
      </c>
      <c r="B846" s="17"/>
      <c r="C846" s="17"/>
      <c r="D846" s="18"/>
      <c r="E846" s="11"/>
      <c r="F846" s="19"/>
      <c r="G846" s="20"/>
      <c r="H846" s="21"/>
      <c r="I846" s="22"/>
      <c r="J846" s="23"/>
      <c r="K846" s="24"/>
      <c r="N846" s="69"/>
      <c r="O846" s="27"/>
    </row>
    <row r="847" spans="1:15" x14ac:dyDescent="0.25">
      <c r="A847" s="13">
        <f t="shared" si="19"/>
        <v>36</v>
      </c>
      <c r="B847" s="17"/>
      <c r="C847" s="17"/>
      <c r="D847" s="18"/>
      <c r="E847" s="11"/>
      <c r="F847" s="19"/>
      <c r="G847" s="20"/>
      <c r="H847" s="21"/>
      <c r="I847" s="22"/>
      <c r="J847" s="23"/>
      <c r="K847" s="24"/>
      <c r="N847" s="69"/>
      <c r="O847" s="27"/>
    </row>
    <row r="848" spans="1:15" x14ac:dyDescent="0.25">
      <c r="A848" s="13">
        <f t="shared" si="19"/>
        <v>36</v>
      </c>
      <c r="B848" s="17"/>
      <c r="C848" s="17"/>
      <c r="D848" s="18"/>
      <c r="E848" s="11"/>
      <c r="F848" s="19"/>
      <c r="G848" s="20"/>
      <c r="H848" s="21"/>
      <c r="I848" s="22"/>
      <c r="J848" s="23"/>
      <c r="K848" s="24"/>
      <c r="N848" s="69"/>
      <c r="O848" s="27"/>
    </row>
    <row r="849" spans="1:15" x14ac:dyDescent="0.25">
      <c r="A849" s="13">
        <f t="shared" si="19"/>
        <v>36</v>
      </c>
      <c r="B849" s="17"/>
      <c r="C849" s="17"/>
      <c r="D849" s="18"/>
      <c r="E849" s="11"/>
      <c r="F849" s="19"/>
      <c r="G849" s="20"/>
      <c r="H849" s="21"/>
      <c r="I849" s="22"/>
      <c r="J849" s="23"/>
      <c r="K849" s="24"/>
      <c r="N849" s="69"/>
      <c r="O849" s="27"/>
    </row>
    <row r="850" spans="1:15" x14ac:dyDescent="0.25">
      <c r="A850" s="13">
        <f t="shared" si="19"/>
        <v>36</v>
      </c>
      <c r="B850" s="17"/>
      <c r="C850" s="17"/>
      <c r="D850" s="18"/>
      <c r="E850" s="11"/>
      <c r="F850" s="19"/>
      <c r="G850" s="20"/>
      <c r="H850" s="21"/>
      <c r="I850" s="22"/>
      <c r="J850" s="23"/>
      <c r="K850" s="24"/>
      <c r="N850" s="69"/>
      <c r="O850" s="27"/>
    </row>
    <row r="851" spans="1:15" x14ac:dyDescent="0.25">
      <c r="A851" s="13">
        <f t="shared" si="19"/>
        <v>36</v>
      </c>
      <c r="B851" s="17"/>
      <c r="C851" s="17"/>
      <c r="D851" s="18"/>
      <c r="E851" s="11"/>
      <c r="F851" s="19"/>
      <c r="G851" s="20"/>
      <c r="H851" s="21"/>
      <c r="I851" s="22"/>
      <c r="J851" s="23"/>
      <c r="K851" s="24"/>
      <c r="N851" s="69"/>
      <c r="O851" s="27"/>
    </row>
    <row r="852" spans="1:15" x14ac:dyDescent="0.25">
      <c r="A852" s="13">
        <f t="shared" si="19"/>
        <v>36</v>
      </c>
      <c r="B852" s="17"/>
      <c r="C852" s="17"/>
      <c r="D852" s="18"/>
      <c r="E852" s="11"/>
      <c r="F852" s="19"/>
      <c r="G852" s="20"/>
      <c r="H852" s="21"/>
      <c r="I852" s="22"/>
      <c r="J852" s="23"/>
      <c r="K852" s="24"/>
      <c r="N852" s="69"/>
      <c r="O852" s="27"/>
    </row>
    <row r="853" spans="1:15" x14ac:dyDescent="0.25">
      <c r="A853" s="13">
        <f t="shared" si="19"/>
        <v>36</v>
      </c>
      <c r="B853" s="17"/>
      <c r="C853" s="17"/>
      <c r="D853" s="18"/>
      <c r="E853" s="11"/>
      <c r="F853" s="19"/>
      <c r="G853" s="20"/>
      <c r="H853" s="21"/>
      <c r="I853" s="22"/>
      <c r="J853" s="23"/>
      <c r="K853" s="24"/>
      <c r="N853" s="69"/>
      <c r="O853" s="27"/>
    </row>
    <row r="854" spans="1:15" x14ac:dyDescent="0.25">
      <c r="A854" s="13">
        <f t="shared" si="19"/>
        <v>36</v>
      </c>
      <c r="B854" s="17"/>
      <c r="C854" s="17"/>
      <c r="D854" s="18"/>
      <c r="E854" s="11"/>
      <c r="F854" s="19"/>
      <c r="G854" s="20"/>
      <c r="H854" s="21"/>
      <c r="I854" s="22"/>
      <c r="J854" s="23"/>
      <c r="K854" s="24"/>
      <c r="N854" s="69"/>
      <c r="O854" s="27"/>
    </row>
    <row r="855" spans="1:15" x14ac:dyDescent="0.25">
      <c r="A855" s="13">
        <f t="shared" si="19"/>
        <v>36</v>
      </c>
      <c r="B855" s="17"/>
      <c r="C855" s="17"/>
      <c r="D855" s="18"/>
      <c r="E855" s="11"/>
      <c r="F855" s="19"/>
      <c r="G855" s="20"/>
      <c r="H855" s="21"/>
      <c r="I855" s="22"/>
      <c r="J855" s="23"/>
      <c r="K855" s="24"/>
      <c r="N855" s="69"/>
      <c r="O855" s="27"/>
    </row>
    <row r="856" spans="1:15" x14ac:dyDescent="0.25">
      <c r="A856" s="13">
        <f t="shared" si="19"/>
        <v>36</v>
      </c>
      <c r="B856" s="17"/>
      <c r="C856" s="17"/>
      <c r="D856" s="18"/>
      <c r="E856" s="11"/>
      <c r="F856" s="19"/>
      <c r="G856" s="20"/>
      <c r="H856" s="21"/>
      <c r="I856" s="22"/>
      <c r="J856" s="23"/>
      <c r="K856" s="24"/>
      <c r="N856" s="69"/>
      <c r="O856" s="27"/>
    </row>
    <row r="857" spans="1:15" x14ac:dyDescent="0.25">
      <c r="A857" s="13">
        <f t="shared" si="19"/>
        <v>36</v>
      </c>
      <c r="B857" s="17"/>
      <c r="C857" s="17"/>
      <c r="D857" s="18"/>
      <c r="E857" s="11"/>
      <c r="F857" s="19"/>
      <c r="G857" s="36"/>
      <c r="H857" s="21"/>
      <c r="I857" s="22"/>
      <c r="J857" s="23"/>
      <c r="K857" s="24"/>
      <c r="N857" s="69"/>
      <c r="O857" s="27"/>
    </row>
    <row r="858" spans="1:15" x14ac:dyDescent="0.25">
      <c r="A858" s="13">
        <f t="shared" si="19"/>
        <v>36</v>
      </c>
      <c r="B858" s="17"/>
      <c r="C858" s="17"/>
      <c r="D858" s="18"/>
      <c r="E858" s="11"/>
      <c r="F858" s="19"/>
      <c r="G858" s="36"/>
      <c r="H858" s="21"/>
      <c r="I858" s="22"/>
      <c r="J858" s="23"/>
      <c r="K858" s="24"/>
      <c r="N858" s="69"/>
      <c r="O858" s="27"/>
    </row>
    <row r="859" spans="1:15" x14ac:dyDescent="0.25">
      <c r="A859" s="13">
        <f t="shared" si="19"/>
        <v>36</v>
      </c>
      <c r="B859" s="17"/>
      <c r="C859" s="17"/>
      <c r="D859" s="18"/>
      <c r="E859" s="11"/>
      <c r="F859" s="19"/>
      <c r="G859" s="36"/>
      <c r="H859" s="21"/>
      <c r="I859" s="22"/>
      <c r="J859" s="23"/>
      <c r="K859" s="24"/>
      <c r="N859" s="69"/>
      <c r="O859" s="27"/>
    </row>
    <row r="860" spans="1:15" x14ac:dyDescent="0.25">
      <c r="A860" s="13">
        <f t="shared" si="19"/>
        <v>36</v>
      </c>
      <c r="B860" s="17"/>
      <c r="C860" s="17"/>
      <c r="D860" s="18"/>
      <c r="E860" s="11"/>
      <c r="F860" s="19"/>
      <c r="G860" s="36"/>
      <c r="H860" s="21"/>
      <c r="I860" s="22"/>
      <c r="J860" s="23"/>
      <c r="K860" s="24"/>
      <c r="N860" s="69"/>
      <c r="O860" s="27"/>
    </row>
    <row r="861" spans="1:15" x14ac:dyDescent="0.25">
      <c r="A861" s="13">
        <f t="shared" si="19"/>
        <v>36</v>
      </c>
      <c r="B861" s="17"/>
      <c r="C861" s="17"/>
      <c r="D861" s="18"/>
      <c r="E861" s="11"/>
      <c r="F861" s="19"/>
      <c r="G861" s="36"/>
      <c r="H861" s="21"/>
      <c r="I861" s="22"/>
      <c r="J861" s="23"/>
      <c r="K861" s="24"/>
      <c r="N861" s="69"/>
      <c r="O861" s="27"/>
    </row>
    <row r="862" spans="1:15" x14ac:dyDescent="0.25">
      <c r="A862" s="13">
        <f t="shared" si="19"/>
        <v>36</v>
      </c>
      <c r="B862" s="17"/>
      <c r="C862" s="17"/>
      <c r="D862" s="18"/>
      <c r="E862" s="11"/>
      <c r="F862" s="19"/>
      <c r="G862" s="36"/>
      <c r="H862" s="21"/>
      <c r="I862" s="22"/>
      <c r="J862" s="23"/>
      <c r="K862" s="24"/>
      <c r="N862" s="69"/>
      <c r="O862" s="27"/>
    </row>
    <row r="863" spans="1:15" x14ac:dyDescent="0.25">
      <c r="A863" s="13">
        <f t="shared" si="19"/>
        <v>36</v>
      </c>
      <c r="B863" s="17"/>
      <c r="C863" s="17"/>
      <c r="D863" s="18"/>
      <c r="E863" s="11"/>
      <c r="F863" s="19"/>
      <c r="G863" s="36"/>
      <c r="H863" s="21"/>
      <c r="I863" s="22"/>
      <c r="J863" s="23"/>
      <c r="K863" s="24"/>
      <c r="N863" s="69"/>
      <c r="O863" s="27"/>
    </row>
    <row r="864" spans="1:15" x14ac:dyDescent="0.25">
      <c r="A864" s="13">
        <f t="shared" si="19"/>
        <v>36</v>
      </c>
      <c r="B864" s="17"/>
      <c r="C864" s="17"/>
      <c r="D864" s="18"/>
      <c r="E864" s="11"/>
      <c r="F864" s="19"/>
      <c r="G864" s="36"/>
      <c r="H864" s="21"/>
      <c r="I864" s="22"/>
      <c r="J864" s="23"/>
      <c r="K864" s="24"/>
      <c r="N864" s="69"/>
      <c r="O864" s="27"/>
    </row>
    <row r="865" spans="1:15" x14ac:dyDescent="0.25">
      <c r="A865" s="13">
        <f t="shared" si="19"/>
        <v>36</v>
      </c>
      <c r="B865" s="17"/>
      <c r="C865" s="17"/>
      <c r="D865" s="18"/>
      <c r="E865" s="11"/>
      <c r="F865" s="19"/>
      <c r="G865" s="36"/>
      <c r="H865" s="21"/>
      <c r="I865" s="22"/>
      <c r="J865" s="23"/>
      <c r="K865" s="24"/>
      <c r="N865" s="69"/>
      <c r="O865" s="27"/>
    </row>
    <row r="866" spans="1:15" x14ac:dyDescent="0.25">
      <c r="A866" s="13">
        <f t="shared" si="19"/>
        <v>36</v>
      </c>
      <c r="B866" s="17"/>
      <c r="C866" s="17"/>
      <c r="D866" s="18"/>
      <c r="E866" s="11"/>
      <c r="F866" s="19"/>
      <c r="G866" s="36"/>
      <c r="H866" s="21"/>
      <c r="I866" s="22"/>
      <c r="J866" s="23"/>
      <c r="K866" s="24"/>
      <c r="N866" s="69"/>
      <c r="O866" s="27"/>
    </row>
    <row r="867" spans="1:15" x14ac:dyDescent="0.25">
      <c r="A867" s="13">
        <f t="shared" si="19"/>
        <v>36</v>
      </c>
      <c r="B867" s="17"/>
      <c r="C867" s="17"/>
      <c r="D867" s="18"/>
      <c r="E867" s="11"/>
      <c r="F867" s="19"/>
      <c r="G867" s="36"/>
      <c r="H867" s="21"/>
      <c r="I867" s="22"/>
      <c r="J867" s="23"/>
      <c r="K867" s="24"/>
      <c r="N867" s="69"/>
      <c r="O867" s="27"/>
    </row>
    <row r="868" spans="1:15" x14ac:dyDescent="0.25">
      <c r="A868" s="13">
        <f t="shared" si="19"/>
        <v>36</v>
      </c>
      <c r="B868" s="17"/>
      <c r="C868" s="17"/>
      <c r="D868" s="18"/>
      <c r="E868" s="11"/>
      <c r="F868" s="19"/>
      <c r="G868" s="36"/>
      <c r="H868" s="21"/>
      <c r="I868" s="22"/>
      <c r="J868" s="23"/>
      <c r="K868" s="24"/>
      <c r="N868" s="69"/>
      <c r="O868" s="27"/>
    </row>
    <row r="869" spans="1:15" x14ac:dyDescent="0.25">
      <c r="A869" s="13">
        <f t="shared" si="19"/>
        <v>36</v>
      </c>
      <c r="B869" s="17"/>
      <c r="C869" s="17"/>
      <c r="D869" s="18"/>
      <c r="E869" s="11"/>
      <c r="F869" s="19"/>
      <c r="G869" s="36"/>
      <c r="H869" s="21"/>
      <c r="I869" s="22"/>
      <c r="J869" s="23"/>
      <c r="K869" s="24"/>
      <c r="N869" s="69"/>
      <c r="O869" s="27"/>
    </row>
    <row r="870" spans="1:15" x14ac:dyDescent="0.25">
      <c r="A870" s="13">
        <f t="shared" si="19"/>
        <v>36</v>
      </c>
      <c r="B870" s="17"/>
      <c r="C870" s="17"/>
      <c r="D870" s="18"/>
      <c r="E870" s="11"/>
      <c r="F870" s="19"/>
      <c r="G870" s="36"/>
      <c r="H870" s="21"/>
      <c r="I870" s="22"/>
      <c r="J870" s="23"/>
      <c r="K870" s="24"/>
      <c r="N870" s="69"/>
      <c r="O870" s="27"/>
    </row>
    <row r="871" spans="1:15" x14ac:dyDescent="0.25">
      <c r="A871" s="13">
        <f t="shared" si="19"/>
        <v>36</v>
      </c>
      <c r="B871" s="17"/>
      <c r="C871" s="17"/>
      <c r="D871" s="18"/>
      <c r="E871" s="11"/>
      <c r="F871" s="19"/>
      <c r="G871" s="36"/>
      <c r="H871" s="21"/>
      <c r="I871" s="22"/>
      <c r="J871" s="23"/>
      <c r="K871" s="24"/>
      <c r="N871" s="69"/>
      <c r="O871" s="27"/>
    </row>
    <row r="872" spans="1:15" x14ac:dyDescent="0.25">
      <c r="A872" s="13">
        <f t="shared" si="19"/>
        <v>36</v>
      </c>
      <c r="B872" s="17"/>
      <c r="C872" s="17"/>
      <c r="D872" s="18"/>
      <c r="E872" s="11"/>
      <c r="F872" s="19"/>
      <c r="G872" s="36"/>
      <c r="H872" s="21"/>
      <c r="I872" s="22"/>
      <c r="J872" s="23"/>
      <c r="K872" s="24"/>
      <c r="N872" s="69"/>
      <c r="O872" s="27"/>
    </row>
    <row r="873" spans="1:15" x14ac:dyDescent="0.25">
      <c r="A873" s="13">
        <f t="shared" si="19"/>
        <v>36</v>
      </c>
      <c r="B873" s="17"/>
      <c r="C873" s="17"/>
      <c r="D873" s="18"/>
      <c r="E873" s="11"/>
      <c r="F873" s="19"/>
      <c r="G873" s="36"/>
      <c r="H873" s="21"/>
      <c r="I873" s="22"/>
      <c r="J873" s="23"/>
      <c r="K873"/>
      <c r="N873" s="69"/>
      <c r="O873" s="27"/>
    </row>
    <row r="874" spans="1:15" x14ac:dyDescent="0.25">
      <c r="A874" s="13">
        <f t="shared" si="19"/>
        <v>36</v>
      </c>
      <c r="B874" s="17"/>
      <c r="C874" s="17"/>
      <c r="D874" s="18"/>
      <c r="E874" s="11"/>
      <c r="F874" s="19"/>
      <c r="G874" s="36"/>
      <c r="H874" s="21"/>
      <c r="I874" s="22"/>
      <c r="J874" s="23"/>
      <c r="K874"/>
      <c r="N874" s="69"/>
      <c r="O874" s="27"/>
    </row>
    <row r="875" spans="1:15" x14ac:dyDescent="0.25">
      <c r="A875" s="13">
        <f t="shared" si="19"/>
        <v>36</v>
      </c>
      <c r="B875" s="17"/>
      <c r="C875" s="17"/>
      <c r="D875" s="18"/>
      <c r="E875" s="11"/>
      <c r="F875" s="19"/>
      <c r="G875" s="36"/>
      <c r="H875" s="21"/>
      <c r="I875" s="22"/>
      <c r="J875" s="23"/>
      <c r="K875"/>
      <c r="N875" s="69"/>
      <c r="O875" s="27"/>
    </row>
    <row r="876" spans="1:15" x14ac:dyDescent="0.25">
      <c r="A876" s="13">
        <f t="shared" si="19"/>
        <v>36</v>
      </c>
      <c r="B876" s="17"/>
      <c r="C876" s="17"/>
      <c r="D876" s="18"/>
      <c r="E876" s="11"/>
      <c r="F876" s="19"/>
      <c r="G876" s="36"/>
      <c r="H876" s="21"/>
      <c r="I876" s="22"/>
      <c r="J876" s="23"/>
      <c r="K876"/>
      <c r="N876" s="69"/>
      <c r="O876" s="27"/>
    </row>
    <row r="877" spans="1:15" x14ac:dyDescent="0.25">
      <c r="A877" s="13">
        <f t="shared" si="19"/>
        <v>36</v>
      </c>
      <c r="B877" s="17"/>
      <c r="C877" s="17"/>
      <c r="D877" s="18"/>
      <c r="E877" s="11"/>
      <c r="F877" s="19"/>
      <c r="G877" s="36"/>
      <c r="H877" s="21"/>
      <c r="I877" s="22"/>
      <c r="J877" s="23"/>
      <c r="K877"/>
      <c r="N877" s="69"/>
      <c r="O877" s="27"/>
    </row>
    <row r="878" spans="1:15" x14ac:dyDescent="0.25">
      <c r="A878" s="13">
        <f t="shared" si="19"/>
        <v>36</v>
      </c>
      <c r="B878" s="17"/>
      <c r="C878" s="17"/>
      <c r="D878" s="18"/>
      <c r="E878" s="11"/>
      <c r="F878" s="19"/>
      <c r="G878" s="36"/>
      <c r="H878" s="21"/>
      <c r="I878" s="22"/>
      <c r="J878" s="23"/>
      <c r="K878"/>
      <c r="N878" s="69"/>
      <c r="O878" s="27"/>
    </row>
    <row r="879" spans="1:15" x14ac:dyDescent="0.25">
      <c r="A879" s="13">
        <f t="shared" si="19"/>
        <v>36</v>
      </c>
      <c r="B879" s="17"/>
      <c r="C879" s="17"/>
      <c r="D879" s="18"/>
      <c r="E879" s="11"/>
      <c r="F879" s="19"/>
      <c r="G879" s="36"/>
      <c r="H879" s="21"/>
      <c r="I879" s="22"/>
      <c r="J879" s="23"/>
      <c r="K879"/>
      <c r="N879" s="69"/>
      <c r="O879" s="27"/>
    </row>
    <row r="880" spans="1:15" x14ac:dyDescent="0.25">
      <c r="A880" s="13">
        <f t="shared" si="19"/>
        <v>36</v>
      </c>
      <c r="B880" s="17"/>
      <c r="C880" s="17"/>
      <c r="D880" s="18"/>
      <c r="E880" s="11"/>
      <c r="F880" s="19"/>
      <c r="G880" s="36"/>
      <c r="H880" s="21"/>
      <c r="I880" s="22"/>
      <c r="J880" s="23"/>
      <c r="K880"/>
      <c r="N880" s="69"/>
      <c r="O880" s="27"/>
    </row>
    <row r="881" spans="1:15" x14ac:dyDescent="0.25">
      <c r="A881" s="13">
        <f t="shared" si="19"/>
        <v>36</v>
      </c>
      <c r="B881" s="17"/>
      <c r="C881" s="17"/>
      <c r="D881" s="18"/>
      <c r="E881" s="11"/>
      <c r="F881" s="19"/>
      <c r="G881" s="36"/>
      <c r="H881" s="21"/>
      <c r="I881" s="22"/>
      <c r="J881" s="23"/>
      <c r="K881"/>
      <c r="N881" s="69"/>
      <c r="O881" s="27"/>
    </row>
    <row r="882" spans="1:15" x14ac:dyDescent="0.25">
      <c r="A882" s="13">
        <f t="shared" si="19"/>
        <v>36</v>
      </c>
      <c r="B882" s="17"/>
      <c r="C882" s="17"/>
      <c r="D882" s="18"/>
      <c r="E882" s="11"/>
      <c r="F882" s="19"/>
      <c r="G882" s="36"/>
      <c r="H882" s="21"/>
      <c r="I882" s="22"/>
      <c r="J882" s="23"/>
      <c r="K882"/>
      <c r="N882" s="69"/>
      <c r="O882" s="27"/>
    </row>
    <row r="883" spans="1:15" x14ac:dyDescent="0.25">
      <c r="A883" s="13">
        <f t="shared" si="19"/>
        <v>36</v>
      </c>
      <c r="B883" s="17"/>
      <c r="C883" s="17"/>
      <c r="D883" s="18"/>
      <c r="E883" s="11"/>
      <c r="F883" s="19"/>
      <c r="G883" s="36"/>
      <c r="H883" s="21"/>
      <c r="I883" s="22"/>
      <c r="J883" s="23"/>
      <c r="K883"/>
      <c r="N883" s="69"/>
      <c r="O883" s="27"/>
    </row>
    <row r="884" spans="1:15" x14ac:dyDescent="0.25">
      <c r="A884" s="13">
        <f t="shared" si="19"/>
        <v>36</v>
      </c>
      <c r="B884" s="17"/>
      <c r="C884" s="17"/>
      <c r="D884" s="42"/>
      <c r="E884" s="43"/>
      <c r="F884" s="19"/>
      <c r="G884" s="20"/>
      <c r="H884" s="21"/>
      <c r="I884" s="22"/>
      <c r="J884" s="23"/>
      <c r="K884"/>
      <c r="N884" s="69"/>
      <c r="O884" s="27"/>
    </row>
    <row r="885" spans="1:15" x14ac:dyDescent="0.25">
      <c r="A885" s="13">
        <f t="shared" si="19"/>
        <v>36</v>
      </c>
      <c r="B885" s="17"/>
      <c r="C885" s="17"/>
      <c r="D885" s="18"/>
      <c r="E885" s="11"/>
      <c r="F885" s="19"/>
      <c r="G885" s="20"/>
      <c r="H885" s="21"/>
      <c r="I885" s="22"/>
      <c r="J885" s="23"/>
      <c r="K885"/>
      <c r="N885" s="69"/>
      <c r="O885" s="27"/>
    </row>
    <row r="886" spans="1:15" x14ac:dyDescent="0.25">
      <c r="A886" s="13">
        <f t="shared" si="19"/>
        <v>36</v>
      </c>
      <c r="B886" s="17"/>
      <c r="C886" s="17"/>
      <c r="D886" s="18"/>
      <c r="E886" s="11"/>
      <c r="F886" s="19"/>
      <c r="G886" s="20"/>
      <c r="H886" s="21"/>
      <c r="I886" s="22"/>
      <c r="J886" s="23"/>
      <c r="K886"/>
      <c r="N886" s="69"/>
      <c r="O886" s="27"/>
    </row>
    <row r="887" spans="1:15" x14ac:dyDescent="0.25">
      <c r="A887" s="13">
        <f t="shared" si="19"/>
        <v>36</v>
      </c>
      <c r="B887" s="17"/>
      <c r="C887" s="17"/>
      <c r="D887" s="18"/>
      <c r="E887" s="11"/>
      <c r="F887" s="19"/>
      <c r="G887" s="20"/>
      <c r="H887" s="21"/>
      <c r="I887" s="22"/>
      <c r="J887" s="23"/>
      <c r="K887"/>
      <c r="N887" s="69"/>
      <c r="O887" s="27"/>
    </row>
    <row r="888" spans="1:15" x14ac:dyDescent="0.25">
      <c r="A888" s="13">
        <f t="shared" si="19"/>
        <v>36</v>
      </c>
      <c r="B888" s="17"/>
      <c r="C888" s="17"/>
      <c r="D888" s="18"/>
      <c r="E888" s="11"/>
      <c r="F888" s="19"/>
      <c r="G888" s="20"/>
      <c r="H888" s="21"/>
      <c r="I888" s="22"/>
      <c r="J888" s="23"/>
      <c r="K888" s="24"/>
      <c r="N888" s="69"/>
      <c r="O888" s="27"/>
    </row>
    <row r="889" spans="1:15" x14ac:dyDescent="0.25">
      <c r="A889" s="13">
        <f t="shared" si="19"/>
        <v>36</v>
      </c>
      <c r="B889" s="17"/>
      <c r="C889" s="17"/>
      <c r="D889" s="18"/>
      <c r="E889" s="11"/>
      <c r="F889" s="19"/>
      <c r="G889" s="20"/>
      <c r="H889" s="21"/>
      <c r="I889" s="22"/>
      <c r="J889" s="23"/>
      <c r="K889" s="24"/>
      <c r="N889" s="69"/>
      <c r="O889" s="27"/>
    </row>
    <row r="890" spans="1:15" x14ac:dyDescent="0.25">
      <c r="A890" s="13">
        <f t="shared" si="19"/>
        <v>36</v>
      </c>
      <c r="B890" s="17"/>
      <c r="C890" s="17"/>
      <c r="D890" s="18"/>
      <c r="E890" s="11"/>
      <c r="F890" s="19"/>
      <c r="G890" s="20"/>
      <c r="H890" s="21"/>
      <c r="I890" s="22"/>
      <c r="J890" s="23"/>
      <c r="K890" s="24"/>
      <c r="N890" s="69"/>
      <c r="O890" s="27"/>
    </row>
    <row r="891" spans="1:15" x14ac:dyDescent="0.25">
      <c r="A891" s="13">
        <f t="shared" si="19"/>
        <v>36</v>
      </c>
      <c r="B891" s="17"/>
      <c r="C891" s="17"/>
      <c r="D891" s="18"/>
      <c r="E891" s="11"/>
      <c r="F891" s="19"/>
      <c r="G891" s="20"/>
      <c r="H891" s="21"/>
      <c r="I891" s="22"/>
      <c r="J891" s="23"/>
      <c r="K891" s="24"/>
      <c r="N891" s="69"/>
      <c r="O891" s="27"/>
    </row>
    <row r="892" spans="1:15" x14ac:dyDescent="0.25">
      <c r="A892" s="13">
        <f t="shared" si="19"/>
        <v>36</v>
      </c>
      <c r="B892" s="17"/>
      <c r="C892" s="17"/>
      <c r="D892" s="40"/>
      <c r="E892" s="41"/>
      <c r="F892" s="19"/>
      <c r="G892" s="20"/>
      <c r="H892" s="21"/>
      <c r="I892" s="22"/>
      <c r="J892" s="23"/>
      <c r="K892" s="24"/>
      <c r="N892" s="69"/>
      <c r="O892" s="27"/>
    </row>
    <row r="893" spans="1:15" x14ac:dyDescent="0.25">
      <c r="A893" s="13">
        <f t="shared" si="19"/>
        <v>36</v>
      </c>
      <c r="B893" s="17"/>
      <c r="C893" s="17"/>
      <c r="D893" s="18"/>
      <c r="E893" s="11"/>
      <c r="F893" s="19"/>
      <c r="G893" s="20"/>
      <c r="H893" s="21"/>
      <c r="I893" s="22"/>
      <c r="J893" s="23"/>
      <c r="K893" s="24"/>
      <c r="N893" s="69"/>
      <c r="O893" s="27"/>
    </row>
    <row r="894" spans="1:15" x14ac:dyDescent="0.25">
      <c r="A894" s="13">
        <f t="shared" si="19"/>
        <v>36</v>
      </c>
      <c r="B894" s="17"/>
      <c r="C894" s="17"/>
      <c r="D894" s="18"/>
      <c r="E894" s="11"/>
      <c r="F894" s="19"/>
      <c r="G894" s="20"/>
      <c r="H894" s="21"/>
      <c r="I894" s="22"/>
      <c r="J894" s="23"/>
      <c r="K894" s="24"/>
      <c r="N894" s="69"/>
      <c r="O894" s="27"/>
    </row>
    <row r="895" spans="1:15" x14ac:dyDescent="0.25">
      <c r="A895" s="13">
        <f t="shared" si="19"/>
        <v>36</v>
      </c>
      <c r="B895" s="17"/>
      <c r="C895" s="17"/>
      <c r="D895" s="18"/>
      <c r="E895" s="11"/>
      <c r="F895" s="19"/>
      <c r="G895" s="36"/>
      <c r="H895" s="21"/>
      <c r="I895" s="22"/>
      <c r="J895" s="23"/>
      <c r="K895" s="24"/>
      <c r="N895" s="69"/>
      <c r="O895" s="27"/>
    </row>
    <row r="896" spans="1:15" x14ac:dyDescent="0.25">
      <c r="A896" s="13">
        <f t="shared" si="19"/>
        <v>36</v>
      </c>
      <c r="B896" s="17"/>
      <c r="C896" s="17"/>
      <c r="D896" s="18"/>
      <c r="E896" s="11"/>
      <c r="F896" s="19"/>
      <c r="G896" s="36"/>
      <c r="H896" s="21"/>
      <c r="I896" s="22"/>
      <c r="J896" s="23"/>
      <c r="K896" s="24"/>
      <c r="N896" s="69"/>
      <c r="O896" s="27"/>
    </row>
    <row r="897" spans="1:15" x14ac:dyDescent="0.25">
      <c r="A897" s="13">
        <f t="shared" si="19"/>
        <v>36</v>
      </c>
      <c r="B897" s="17"/>
      <c r="C897" s="17"/>
      <c r="D897" s="18"/>
      <c r="E897" s="11"/>
      <c r="F897" s="19"/>
      <c r="G897" s="36"/>
      <c r="H897" s="21"/>
      <c r="I897" s="22"/>
      <c r="J897" s="23"/>
      <c r="K897" s="24"/>
      <c r="N897" s="69"/>
      <c r="O897" s="27"/>
    </row>
    <row r="898" spans="1:15" x14ac:dyDescent="0.25">
      <c r="A898" s="13">
        <f t="shared" si="19"/>
        <v>36</v>
      </c>
      <c r="B898" s="17"/>
      <c r="C898" s="17"/>
      <c r="D898" s="18"/>
      <c r="E898" s="11"/>
      <c r="F898" s="19"/>
      <c r="G898" s="36"/>
      <c r="H898" s="21"/>
      <c r="I898" s="22"/>
      <c r="J898" s="23"/>
      <c r="K898" s="24"/>
      <c r="N898" s="69"/>
      <c r="O898" s="27"/>
    </row>
    <row r="899" spans="1:15" x14ac:dyDescent="0.25">
      <c r="A899" s="13">
        <f t="shared" si="19"/>
        <v>36</v>
      </c>
      <c r="B899" s="17"/>
      <c r="C899" s="17"/>
      <c r="D899" s="18"/>
      <c r="E899" s="11"/>
      <c r="F899" s="19"/>
      <c r="G899" s="36"/>
      <c r="H899" s="21"/>
      <c r="I899" s="22"/>
      <c r="J899" s="23"/>
      <c r="K899" s="24"/>
      <c r="N899" s="69"/>
      <c r="O899" s="27"/>
    </row>
    <row r="900" spans="1:15" x14ac:dyDescent="0.25">
      <c r="A900" s="13">
        <f t="shared" ref="A900:A963" si="20">IF(B900=B899,A899,A899+1)</f>
        <v>36</v>
      </c>
      <c r="B900" s="17"/>
      <c r="C900" s="17"/>
      <c r="D900" s="18"/>
      <c r="E900" s="11"/>
      <c r="F900" s="19"/>
      <c r="G900" s="36"/>
      <c r="H900" s="21"/>
      <c r="I900" s="22"/>
      <c r="J900" s="23"/>
      <c r="K900" s="24"/>
      <c r="N900" s="69"/>
      <c r="O900" s="27"/>
    </row>
    <row r="901" spans="1:15" x14ac:dyDescent="0.25">
      <c r="A901" s="13">
        <f t="shared" si="20"/>
        <v>36</v>
      </c>
      <c r="B901" s="17"/>
      <c r="C901" s="17"/>
      <c r="D901" s="18"/>
      <c r="E901" s="11"/>
      <c r="F901" s="19"/>
      <c r="G901" s="36"/>
      <c r="H901" s="21"/>
      <c r="I901" s="22"/>
      <c r="J901" s="23"/>
      <c r="N901" s="27"/>
    </row>
    <row r="902" spans="1:15" x14ac:dyDescent="0.25">
      <c r="A902" s="13">
        <f t="shared" si="20"/>
        <v>36</v>
      </c>
      <c r="B902" s="17"/>
      <c r="C902" s="17"/>
      <c r="D902" s="18"/>
      <c r="E902" s="11"/>
      <c r="F902" s="19"/>
      <c r="G902" s="36"/>
      <c r="H902" s="21"/>
      <c r="I902" s="22"/>
      <c r="J902" s="23"/>
      <c r="N902" s="27"/>
    </row>
    <row r="903" spans="1:15" x14ac:dyDescent="0.25">
      <c r="A903" s="13">
        <f t="shared" si="20"/>
        <v>36</v>
      </c>
      <c r="B903" s="17"/>
      <c r="C903" s="17"/>
      <c r="D903" s="18"/>
      <c r="E903" s="11"/>
      <c r="F903" s="19"/>
      <c r="G903" s="36"/>
      <c r="H903" s="21"/>
      <c r="I903" s="22"/>
      <c r="J903" s="23"/>
      <c r="N903" s="27"/>
    </row>
    <row r="904" spans="1:15" x14ac:dyDescent="0.25">
      <c r="A904" s="13">
        <f t="shared" si="20"/>
        <v>36</v>
      </c>
      <c r="B904" s="17"/>
      <c r="C904" s="17"/>
      <c r="D904" s="18"/>
      <c r="E904" s="11"/>
      <c r="F904" s="19"/>
      <c r="G904" s="36"/>
      <c r="H904" s="21"/>
      <c r="I904" s="22"/>
      <c r="J904" s="23"/>
      <c r="N904" s="27"/>
    </row>
    <row r="905" spans="1:15" x14ac:dyDescent="0.25">
      <c r="A905" s="13">
        <f t="shared" si="20"/>
        <v>36</v>
      </c>
      <c r="B905" s="17"/>
      <c r="C905" s="17"/>
      <c r="D905" s="18"/>
      <c r="E905" s="11"/>
      <c r="F905" s="19"/>
      <c r="G905" s="36"/>
      <c r="H905" s="21"/>
      <c r="I905" s="22"/>
      <c r="J905" s="23"/>
      <c r="N905" s="27"/>
    </row>
    <row r="906" spans="1:15" x14ac:dyDescent="0.25">
      <c r="A906" s="13">
        <f t="shared" si="20"/>
        <v>36</v>
      </c>
      <c r="B906" s="17"/>
      <c r="C906" s="17"/>
      <c r="D906" s="18"/>
      <c r="E906" s="11"/>
      <c r="F906" s="19"/>
      <c r="G906" s="36"/>
      <c r="H906" s="21"/>
      <c r="I906" s="22"/>
      <c r="J906" s="23"/>
      <c r="N906" s="27"/>
    </row>
    <row r="907" spans="1:15" x14ac:dyDescent="0.25">
      <c r="A907" s="13">
        <f t="shared" si="20"/>
        <v>36</v>
      </c>
      <c r="B907" s="17"/>
      <c r="C907" s="17"/>
      <c r="D907" s="18"/>
      <c r="E907" s="11"/>
      <c r="F907" s="19"/>
      <c r="G907" s="36"/>
      <c r="H907" s="21"/>
      <c r="I907" s="22"/>
      <c r="J907" s="23"/>
      <c r="N907" s="27"/>
    </row>
    <row r="908" spans="1:15" x14ac:dyDescent="0.25">
      <c r="A908" s="13">
        <f t="shared" si="20"/>
        <v>36</v>
      </c>
      <c r="B908" s="17"/>
      <c r="C908" s="17"/>
      <c r="D908" s="18"/>
      <c r="E908" s="11"/>
      <c r="F908" s="19"/>
      <c r="G908" s="36"/>
      <c r="H908" s="21"/>
      <c r="I908" s="22"/>
      <c r="J908" s="23"/>
      <c r="N908" s="27"/>
    </row>
    <row r="909" spans="1:15" x14ac:dyDescent="0.25">
      <c r="A909" s="13">
        <f t="shared" si="20"/>
        <v>36</v>
      </c>
      <c r="B909" s="17"/>
      <c r="C909" s="17"/>
      <c r="D909" s="18"/>
      <c r="E909" s="11"/>
      <c r="F909" s="19"/>
      <c r="G909" s="36"/>
      <c r="H909" s="21"/>
      <c r="I909" s="22"/>
      <c r="J909" s="23"/>
      <c r="N909" s="27"/>
    </row>
    <row r="910" spans="1:15" x14ac:dyDescent="0.25">
      <c r="A910" s="13">
        <f t="shared" si="20"/>
        <v>36</v>
      </c>
      <c r="B910" s="17"/>
      <c r="C910" s="17"/>
      <c r="D910" s="18"/>
      <c r="E910" s="44"/>
      <c r="F910" s="19"/>
      <c r="G910" s="36"/>
      <c r="H910" s="21"/>
      <c r="I910" s="22"/>
      <c r="J910" s="23"/>
      <c r="N910" s="27"/>
    </row>
    <row r="911" spans="1:15" x14ac:dyDescent="0.25">
      <c r="A911" s="13">
        <f t="shared" si="20"/>
        <v>36</v>
      </c>
      <c r="B911" s="17"/>
      <c r="C911" s="17"/>
      <c r="D911" s="18"/>
      <c r="E911" s="11"/>
      <c r="F911" s="19"/>
      <c r="G911" s="36"/>
      <c r="H911" s="21"/>
      <c r="I911" s="22"/>
      <c r="J911" s="23"/>
      <c r="N911" s="27"/>
    </row>
    <row r="912" spans="1:15" x14ac:dyDescent="0.25">
      <c r="A912" s="13">
        <f t="shared" si="20"/>
        <v>36</v>
      </c>
      <c r="B912" s="17"/>
      <c r="C912" s="17"/>
      <c r="D912" s="18"/>
      <c r="E912" s="11"/>
      <c r="F912" s="19"/>
      <c r="G912" s="36"/>
      <c r="H912" s="21"/>
      <c r="I912" s="22"/>
      <c r="J912" s="23"/>
      <c r="N912" s="27"/>
    </row>
    <row r="913" spans="1:14" x14ac:dyDescent="0.25">
      <c r="A913" s="13">
        <f t="shared" si="20"/>
        <v>36</v>
      </c>
      <c r="B913" s="17"/>
      <c r="C913" s="17"/>
      <c r="D913" s="18"/>
      <c r="E913" s="11"/>
      <c r="F913" s="19"/>
      <c r="G913" s="36"/>
      <c r="H913" s="21"/>
      <c r="I913" s="22"/>
      <c r="J913" s="23"/>
      <c r="N913" s="27"/>
    </row>
    <row r="914" spans="1:14" x14ac:dyDescent="0.25">
      <c r="A914" s="13">
        <f t="shared" si="20"/>
        <v>36</v>
      </c>
      <c r="B914" s="17"/>
      <c r="C914" s="17"/>
      <c r="D914" s="18"/>
      <c r="E914" s="11"/>
      <c r="F914" s="19"/>
      <c r="G914" s="36"/>
      <c r="H914" s="21"/>
      <c r="I914" s="22"/>
      <c r="J914" s="23"/>
      <c r="N914" s="27"/>
    </row>
    <row r="915" spans="1:14" x14ac:dyDescent="0.25">
      <c r="A915" s="13">
        <f t="shared" si="20"/>
        <v>36</v>
      </c>
      <c r="B915" s="17"/>
      <c r="C915" s="17"/>
      <c r="D915" s="18"/>
      <c r="E915" s="11"/>
      <c r="F915" s="19"/>
      <c r="G915" s="36"/>
      <c r="H915" s="21"/>
      <c r="I915" s="22"/>
      <c r="J915" s="23"/>
      <c r="N915" s="27"/>
    </row>
    <row r="916" spans="1:14" x14ac:dyDescent="0.25">
      <c r="A916" s="13">
        <f t="shared" si="20"/>
        <v>36</v>
      </c>
      <c r="B916" s="17"/>
      <c r="C916" s="17"/>
      <c r="D916" s="18"/>
      <c r="E916" s="11"/>
      <c r="F916" s="19"/>
      <c r="G916" s="36"/>
      <c r="H916" s="21"/>
      <c r="I916" s="22"/>
      <c r="J916" s="23"/>
      <c r="N916" s="27"/>
    </row>
    <row r="917" spans="1:14" x14ac:dyDescent="0.25">
      <c r="A917" s="13">
        <f t="shared" si="20"/>
        <v>36</v>
      </c>
      <c r="B917" s="17"/>
      <c r="C917" s="17"/>
      <c r="D917" s="18"/>
      <c r="E917" s="11"/>
      <c r="F917" s="19"/>
      <c r="G917" s="36"/>
      <c r="H917" s="21"/>
      <c r="I917" s="22"/>
      <c r="J917" s="23"/>
      <c r="N917" s="27"/>
    </row>
    <row r="918" spans="1:14" x14ac:dyDescent="0.25">
      <c r="A918" s="13">
        <f t="shared" si="20"/>
        <v>36</v>
      </c>
      <c r="B918" s="17"/>
      <c r="C918" s="17"/>
      <c r="D918" s="18"/>
      <c r="E918" s="11"/>
      <c r="F918" s="19"/>
      <c r="G918" s="36"/>
      <c r="H918" s="21"/>
      <c r="I918" s="22"/>
      <c r="J918" s="23"/>
      <c r="N918" s="27"/>
    </row>
    <row r="919" spans="1:14" x14ac:dyDescent="0.25">
      <c r="A919" s="13">
        <f t="shared" si="20"/>
        <v>36</v>
      </c>
      <c r="B919" s="17"/>
      <c r="C919" s="17"/>
      <c r="D919" s="18"/>
      <c r="E919" s="11"/>
      <c r="F919" s="19"/>
      <c r="G919" s="36"/>
      <c r="H919" s="21"/>
      <c r="I919" s="22"/>
      <c r="J919" s="23"/>
      <c r="N919" s="27"/>
    </row>
    <row r="920" spans="1:14" x14ac:dyDescent="0.25">
      <c r="A920" s="13">
        <f t="shared" si="20"/>
        <v>36</v>
      </c>
      <c r="B920" s="17"/>
      <c r="C920" s="17"/>
      <c r="D920" s="18"/>
      <c r="E920" s="11"/>
      <c r="F920" s="19"/>
      <c r="G920" s="36"/>
      <c r="H920" s="21"/>
      <c r="I920" s="22"/>
      <c r="J920" s="23"/>
      <c r="N920" s="27"/>
    </row>
    <row r="921" spans="1:14" x14ac:dyDescent="0.25">
      <c r="A921" s="13">
        <f t="shared" si="20"/>
        <v>36</v>
      </c>
      <c r="B921" s="17"/>
      <c r="C921" s="17"/>
      <c r="D921" s="18"/>
      <c r="E921" s="11"/>
      <c r="F921" s="19"/>
      <c r="G921" s="36"/>
      <c r="H921" s="21"/>
      <c r="I921" s="22"/>
      <c r="J921" s="23"/>
      <c r="N921" s="27"/>
    </row>
    <row r="922" spans="1:14" x14ac:dyDescent="0.25">
      <c r="A922" s="13">
        <f t="shared" si="20"/>
        <v>36</v>
      </c>
      <c r="B922" s="17"/>
      <c r="C922" s="17"/>
      <c r="D922" s="18"/>
      <c r="E922" s="11"/>
      <c r="F922" s="19"/>
      <c r="G922" s="36"/>
      <c r="H922" s="21"/>
      <c r="I922" s="22"/>
      <c r="J922" s="23"/>
      <c r="N922" s="27"/>
    </row>
    <row r="923" spans="1:14" x14ac:dyDescent="0.25">
      <c r="A923" s="13">
        <f t="shared" si="20"/>
        <v>36</v>
      </c>
      <c r="B923" s="17"/>
      <c r="C923" s="17"/>
      <c r="D923" s="18"/>
      <c r="E923" s="11"/>
      <c r="F923" s="19"/>
      <c r="G923" s="36"/>
      <c r="H923" s="21"/>
      <c r="I923" s="22"/>
      <c r="J923" s="23"/>
      <c r="N923" s="27"/>
    </row>
    <row r="924" spans="1:14" x14ac:dyDescent="0.25">
      <c r="A924" s="13">
        <f t="shared" si="20"/>
        <v>36</v>
      </c>
      <c r="B924" s="17"/>
      <c r="C924" s="17"/>
      <c r="D924" s="18"/>
      <c r="E924" s="11"/>
      <c r="F924" s="19"/>
      <c r="G924" s="36"/>
      <c r="H924" s="21"/>
      <c r="I924" s="22"/>
      <c r="J924" s="23"/>
      <c r="N924" s="27"/>
    </row>
    <row r="925" spans="1:14" x14ac:dyDescent="0.25">
      <c r="A925" s="13">
        <f t="shared" si="20"/>
        <v>36</v>
      </c>
      <c r="B925" s="17"/>
      <c r="C925" s="17"/>
      <c r="D925" s="18"/>
      <c r="E925" s="11"/>
      <c r="F925" s="19"/>
      <c r="G925" s="36"/>
      <c r="H925" s="21"/>
      <c r="I925" s="22"/>
      <c r="J925" s="23"/>
      <c r="N925" s="27"/>
    </row>
    <row r="926" spans="1:14" x14ac:dyDescent="0.25">
      <c r="A926" s="13">
        <f t="shared" si="20"/>
        <v>36</v>
      </c>
      <c r="B926" s="17"/>
      <c r="C926" s="17"/>
      <c r="D926" s="18"/>
      <c r="E926" s="11"/>
      <c r="F926" s="19"/>
      <c r="G926" s="20"/>
      <c r="H926" s="21"/>
      <c r="I926" s="45"/>
      <c r="J926" s="23"/>
      <c r="N926" s="27"/>
    </row>
    <row r="927" spans="1:14" x14ac:dyDescent="0.25">
      <c r="A927" s="13">
        <f t="shared" si="20"/>
        <v>36</v>
      </c>
      <c r="B927" s="17"/>
      <c r="C927" s="17"/>
      <c r="D927" s="18"/>
      <c r="E927" s="11"/>
      <c r="F927" s="19"/>
      <c r="G927" s="20"/>
      <c r="H927" s="21"/>
      <c r="I927" s="45"/>
      <c r="J927" s="23"/>
      <c r="N927" s="27"/>
    </row>
    <row r="928" spans="1:14" x14ac:dyDescent="0.25">
      <c r="A928" s="13">
        <f t="shared" si="20"/>
        <v>36</v>
      </c>
      <c r="B928" s="17"/>
      <c r="C928" s="17"/>
      <c r="D928" s="18"/>
      <c r="E928" s="11"/>
      <c r="F928" s="19"/>
      <c r="G928" s="20"/>
      <c r="H928" s="21"/>
      <c r="I928" s="45"/>
      <c r="J928" s="23"/>
      <c r="N928" s="27"/>
    </row>
    <row r="929" spans="1:14" x14ac:dyDescent="0.25">
      <c r="A929" s="13">
        <f t="shared" si="20"/>
        <v>36</v>
      </c>
      <c r="B929" s="17"/>
      <c r="C929" s="17"/>
      <c r="D929" s="18"/>
      <c r="E929" s="11"/>
      <c r="F929" s="19"/>
      <c r="G929" s="36"/>
      <c r="H929" s="21"/>
      <c r="I929" s="45"/>
      <c r="J929" s="23"/>
      <c r="N929" s="27"/>
    </row>
    <row r="930" spans="1:14" x14ac:dyDescent="0.25">
      <c r="A930" s="13">
        <f t="shared" si="20"/>
        <v>36</v>
      </c>
      <c r="B930" s="17"/>
      <c r="C930" s="17"/>
      <c r="D930" s="18"/>
      <c r="E930" s="11"/>
      <c r="F930" s="19"/>
      <c r="G930" s="36"/>
      <c r="H930" s="21"/>
      <c r="I930" s="45"/>
      <c r="J930" s="23"/>
      <c r="N930" s="27"/>
    </row>
    <row r="931" spans="1:14" x14ac:dyDescent="0.25">
      <c r="A931" s="13">
        <f t="shared" si="20"/>
        <v>36</v>
      </c>
      <c r="B931" s="17"/>
      <c r="C931" s="17"/>
      <c r="D931" s="18"/>
      <c r="E931" s="11"/>
      <c r="F931" s="19"/>
      <c r="G931" s="36"/>
      <c r="H931" s="21"/>
      <c r="I931" s="45"/>
      <c r="J931" s="23"/>
      <c r="N931" s="27"/>
    </row>
    <row r="932" spans="1:14" x14ac:dyDescent="0.25">
      <c r="A932" s="13">
        <f t="shared" si="20"/>
        <v>36</v>
      </c>
      <c r="B932" s="17"/>
      <c r="C932" s="17"/>
      <c r="D932" s="18"/>
      <c r="E932" s="11"/>
      <c r="F932" s="19"/>
      <c r="G932" s="36"/>
      <c r="H932" s="21"/>
      <c r="I932" s="45"/>
      <c r="J932" s="23"/>
      <c r="N932" s="27"/>
    </row>
    <row r="933" spans="1:14" x14ac:dyDescent="0.25">
      <c r="A933" s="13">
        <f t="shared" si="20"/>
        <v>36</v>
      </c>
      <c r="J933" s="24"/>
      <c r="N933" s="27"/>
    </row>
    <row r="934" spans="1:14" x14ac:dyDescent="0.25">
      <c r="A934" s="13">
        <f t="shared" si="20"/>
        <v>36</v>
      </c>
      <c r="J934" s="24"/>
      <c r="N934" s="27"/>
    </row>
    <row r="935" spans="1:14" x14ac:dyDescent="0.25">
      <c r="A935" s="13">
        <f t="shared" si="20"/>
        <v>36</v>
      </c>
      <c r="J935" s="24"/>
      <c r="N935" s="27"/>
    </row>
    <row r="936" spans="1:14" x14ac:dyDescent="0.25">
      <c r="A936" s="13">
        <f t="shared" si="20"/>
        <v>36</v>
      </c>
      <c r="J936" s="24"/>
      <c r="N936" s="27"/>
    </row>
    <row r="937" spans="1:14" x14ac:dyDescent="0.25">
      <c r="A937" s="13">
        <f t="shared" si="20"/>
        <v>36</v>
      </c>
      <c r="J937" s="24"/>
      <c r="N937" s="27"/>
    </row>
    <row r="938" spans="1:14" x14ac:dyDescent="0.25">
      <c r="A938" s="13">
        <f t="shared" si="20"/>
        <v>36</v>
      </c>
      <c r="J938" s="24"/>
      <c r="N938" s="27"/>
    </row>
    <row r="939" spans="1:14" x14ac:dyDescent="0.25">
      <c r="A939" s="13">
        <f t="shared" si="20"/>
        <v>36</v>
      </c>
      <c r="J939" s="24"/>
      <c r="N939" s="27"/>
    </row>
    <row r="940" spans="1:14" x14ac:dyDescent="0.25">
      <c r="A940" s="13">
        <f t="shared" si="20"/>
        <v>36</v>
      </c>
      <c r="J940" s="24"/>
      <c r="N940" s="27"/>
    </row>
    <row r="941" spans="1:14" x14ac:dyDescent="0.25">
      <c r="A941" s="13">
        <f t="shared" si="20"/>
        <v>36</v>
      </c>
      <c r="J941" s="24"/>
      <c r="N941" s="27"/>
    </row>
    <row r="942" spans="1:14" x14ac:dyDescent="0.25">
      <c r="A942" s="13">
        <f t="shared" si="20"/>
        <v>36</v>
      </c>
      <c r="J942" s="24"/>
      <c r="N942" s="27"/>
    </row>
    <row r="943" spans="1:14" x14ac:dyDescent="0.25">
      <c r="A943" s="13">
        <f t="shared" si="20"/>
        <v>36</v>
      </c>
      <c r="J943" s="24"/>
      <c r="N943" s="27"/>
    </row>
    <row r="944" spans="1:14" x14ac:dyDescent="0.25">
      <c r="A944" s="13">
        <f t="shared" si="20"/>
        <v>36</v>
      </c>
      <c r="J944" s="24"/>
      <c r="N944" s="27"/>
    </row>
    <row r="945" spans="1:14" x14ac:dyDescent="0.25">
      <c r="A945" s="13">
        <f t="shared" si="20"/>
        <v>36</v>
      </c>
      <c r="J945" s="24"/>
      <c r="N945" s="27"/>
    </row>
    <row r="946" spans="1:14" x14ac:dyDescent="0.25">
      <c r="A946" s="13">
        <f t="shared" si="20"/>
        <v>36</v>
      </c>
      <c r="J946" s="24"/>
      <c r="N946" s="27"/>
    </row>
    <row r="947" spans="1:14" x14ac:dyDescent="0.25">
      <c r="A947" s="13">
        <f t="shared" si="20"/>
        <v>36</v>
      </c>
      <c r="J947" s="24"/>
      <c r="N947" s="27"/>
    </row>
    <row r="948" spans="1:14" x14ac:dyDescent="0.25">
      <c r="A948" s="13">
        <f t="shared" si="20"/>
        <v>36</v>
      </c>
      <c r="J948" s="24"/>
      <c r="N948" s="27"/>
    </row>
    <row r="949" spans="1:14" x14ac:dyDescent="0.25">
      <c r="A949" s="13">
        <f t="shared" si="20"/>
        <v>36</v>
      </c>
      <c r="J949" s="24"/>
      <c r="N949" s="27"/>
    </row>
    <row r="950" spans="1:14" x14ac:dyDescent="0.25">
      <c r="A950" s="13">
        <f t="shared" si="20"/>
        <v>36</v>
      </c>
      <c r="J950" s="24"/>
      <c r="N950" s="27"/>
    </row>
    <row r="951" spans="1:14" x14ac:dyDescent="0.25">
      <c r="A951" s="13">
        <f t="shared" si="20"/>
        <v>36</v>
      </c>
      <c r="J951" s="24"/>
      <c r="N951" s="27"/>
    </row>
    <row r="952" spans="1:14" x14ac:dyDescent="0.25">
      <c r="A952" s="13">
        <f t="shared" si="20"/>
        <v>36</v>
      </c>
      <c r="J952" s="24"/>
      <c r="N952" s="27"/>
    </row>
    <row r="953" spans="1:14" x14ac:dyDescent="0.25">
      <c r="A953" s="13">
        <f t="shared" si="20"/>
        <v>36</v>
      </c>
      <c r="J953" s="24"/>
      <c r="N953" s="27"/>
    </row>
    <row r="954" spans="1:14" x14ac:dyDescent="0.25">
      <c r="A954" s="13">
        <f t="shared" si="20"/>
        <v>36</v>
      </c>
      <c r="J954" s="24"/>
      <c r="N954" s="27"/>
    </row>
    <row r="955" spans="1:14" x14ac:dyDescent="0.25">
      <c r="A955" s="13">
        <f t="shared" si="20"/>
        <v>36</v>
      </c>
      <c r="J955" s="24"/>
      <c r="N955" s="27"/>
    </row>
    <row r="956" spans="1:14" x14ac:dyDescent="0.25">
      <c r="A956" s="13">
        <f t="shared" si="20"/>
        <v>36</v>
      </c>
      <c r="J956" s="24"/>
      <c r="N956" s="27"/>
    </row>
    <row r="957" spans="1:14" x14ac:dyDescent="0.25">
      <c r="A957" s="13">
        <f t="shared" si="20"/>
        <v>36</v>
      </c>
      <c r="J957" s="24"/>
      <c r="N957" s="27"/>
    </row>
    <row r="958" spans="1:14" x14ac:dyDescent="0.25">
      <c r="A958" s="13">
        <f t="shared" si="20"/>
        <v>36</v>
      </c>
      <c r="J958" s="24"/>
      <c r="N958" s="27"/>
    </row>
    <row r="959" spans="1:14" x14ac:dyDescent="0.25">
      <c r="A959" s="13">
        <f t="shared" si="20"/>
        <v>36</v>
      </c>
      <c r="J959" s="24"/>
      <c r="N959" s="27"/>
    </row>
    <row r="960" spans="1:14" x14ac:dyDescent="0.25">
      <c r="A960" s="13">
        <f t="shared" si="20"/>
        <v>36</v>
      </c>
      <c r="J960" s="24"/>
      <c r="N960" s="27"/>
    </row>
    <row r="961" spans="1:14" x14ac:dyDescent="0.25">
      <c r="A961" s="13">
        <f t="shared" si="20"/>
        <v>36</v>
      </c>
      <c r="J961" s="24"/>
      <c r="N961" s="27"/>
    </row>
    <row r="962" spans="1:14" x14ac:dyDescent="0.25">
      <c r="A962" s="13">
        <f t="shared" si="20"/>
        <v>36</v>
      </c>
      <c r="J962" s="24"/>
      <c r="N962" s="27"/>
    </row>
    <row r="963" spans="1:14" x14ac:dyDescent="0.25">
      <c r="A963" s="13">
        <f t="shared" si="20"/>
        <v>36</v>
      </c>
      <c r="J963" s="24"/>
      <c r="N963" s="27"/>
    </row>
    <row r="964" spans="1:14" x14ac:dyDescent="0.25">
      <c r="A964" s="13">
        <f t="shared" ref="A964:A1027" si="21">IF(B964=B963,A963,A963+1)</f>
        <v>36</v>
      </c>
      <c r="J964" s="24"/>
      <c r="N964" s="27"/>
    </row>
    <row r="965" spans="1:14" x14ac:dyDescent="0.25">
      <c r="A965" s="13">
        <f t="shared" si="21"/>
        <v>36</v>
      </c>
      <c r="J965" s="24"/>
      <c r="N965" s="27"/>
    </row>
    <row r="966" spans="1:14" x14ac:dyDescent="0.25">
      <c r="A966" s="13">
        <f t="shared" si="21"/>
        <v>36</v>
      </c>
      <c r="J966" s="24"/>
      <c r="N966" s="27"/>
    </row>
    <row r="967" spans="1:14" x14ac:dyDescent="0.25">
      <c r="A967" s="13">
        <f t="shared" si="21"/>
        <v>36</v>
      </c>
      <c r="J967" s="24"/>
      <c r="N967" s="27"/>
    </row>
    <row r="968" spans="1:14" x14ac:dyDescent="0.25">
      <c r="A968" s="13">
        <f t="shared" si="21"/>
        <v>36</v>
      </c>
      <c r="J968" s="24"/>
      <c r="N968" s="27"/>
    </row>
    <row r="969" spans="1:14" x14ac:dyDescent="0.25">
      <c r="A969" s="13">
        <f t="shared" si="21"/>
        <v>36</v>
      </c>
      <c r="J969" s="24"/>
      <c r="N969" s="27"/>
    </row>
    <row r="970" spans="1:14" x14ac:dyDescent="0.25">
      <c r="A970" s="13">
        <f t="shared" si="21"/>
        <v>36</v>
      </c>
      <c r="J970" s="24"/>
      <c r="N970" s="27"/>
    </row>
    <row r="971" spans="1:14" x14ac:dyDescent="0.25">
      <c r="A971" s="13">
        <f t="shared" si="21"/>
        <v>36</v>
      </c>
      <c r="J971" s="24"/>
      <c r="N971" s="27"/>
    </row>
    <row r="972" spans="1:14" x14ac:dyDescent="0.25">
      <c r="A972" s="13">
        <f t="shared" si="21"/>
        <v>36</v>
      </c>
      <c r="J972" s="24"/>
      <c r="N972" s="27"/>
    </row>
    <row r="973" spans="1:14" x14ac:dyDescent="0.25">
      <c r="A973" s="13">
        <f t="shared" si="21"/>
        <v>36</v>
      </c>
      <c r="J973" s="24"/>
      <c r="N973" s="27"/>
    </row>
    <row r="974" spans="1:14" x14ac:dyDescent="0.25">
      <c r="A974" s="13">
        <f t="shared" si="21"/>
        <v>36</v>
      </c>
      <c r="J974" s="24"/>
      <c r="N974" s="27"/>
    </row>
    <row r="975" spans="1:14" x14ac:dyDescent="0.25">
      <c r="A975" s="13">
        <f t="shared" si="21"/>
        <v>36</v>
      </c>
      <c r="J975" s="24"/>
      <c r="N975" s="27"/>
    </row>
    <row r="976" spans="1:14" x14ac:dyDescent="0.25">
      <c r="A976" s="13">
        <f t="shared" si="21"/>
        <v>36</v>
      </c>
      <c r="J976" s="24"/>
      <c r="N976" s="27"/>
    </row>
    <row r="977" spans="1:14" x14ac:dyDescent="0.25">
      <c r="A977" s="13">
        <f t="shared" si="21"/>
        <v>36</v>
      </c>
      <c r="J977" s="24"/>
      <c r="N977" s="27"/>
    </row>
    <row r="978" spans="1:14" x14ac:dyDescent="0.25">
      <c r="A978" s="13">
        <f t="shared" si="21"/>
        <v>36</v>
      </c>
      <c r="J978" s="24"/>
      <c r="N978" s="27"/>
    </row>
    <row r="979" spans="1:14" x14ac:dyDescent="0.25">
      <c r="A979" s="13">
        <f t="shared" si="21"/>
        <v>36</v>
      </c>
      <c r="J979" s="24"/>
      <c r="N979" s="27"/>
    </row>
    <row r="980" spans="1:14" x14ac:dyDescent="0.25">
      <c r="A980" s="13">
        <f t="shared" si="21"/>
        <v>36</v>
      </c>
      <c r="J980" s="24"/>
      <c r="N980" s="27"/>
    </row>
    <row r="981" spans="1:14" x14ac:dyDescent="0.25">
      <c r="A981" s="13">
        <f t="shared" si="21"/>
        <v>36</v>
      </c>
      <c r="J981" s="24"/>
      <c r="N981" s="27"/>
    </row>
    <row r="982" spans="1:14" x14ac:dyDescent="0.25">
      <c r="A982" s="13">
        <f t="shared" si="21"/>
        <v>36</v>
      </c>
      <c r="J982" s="24"/>
      <c r="N982" s="27"/>
    </row>
    <row r="983" spans="1:14" x14ac:dyDescent="0.25">
      <c r="A983" s="13">
        <f t="shared" si="21"/>
        <v>36</v>
      </c>
      <c r="J983" s="24"/>
      <c r="N983" s="27"/>
    </row>
    <row r="984" spans="1:14" x14ac:dyDescent="0.25">
      <c r="A984" s="13">
        <f t="shared" si="21"/>
        <v>36</v>
      </c>
      <c r="J984" s="24"/>
      <c r="N984" s="27"/>
    </row>
    <row r="985" spans="1:14" x14ac:dyDescent="0.25">
      <c r="A985" s="13">
        <f t="shared" si="21"/>
        <v>36</v>
      </c>
      <c r="J985" s="24"/>
      <c r="N985" s="27"/>
    </row>
    <row r="986" spans="1:14" x14ac:dyDescent="0.25">
      <c r="A986" s="13">
        <f t="shared" si="21"/>
        <v>36</v>
      </c>
      <c r="J986" s="24"/>
      <c r="N986" s="27"/>
    </row>
    <row r="987" spans="1:14" x14ac:dyDescent="0.25">
      <c r="A987" s="13">
        <f t="shared" si="21"/>
        <v>36</v>
      </c>
      <c r="J987" s="24"/>
      <c r="N987" s="27"/>
    </row>
    <row r="988" spans="1:14" x14ac:dyDescent="0.25">
      <c r="A988" s="13">
        <f t="shared" si="21"/>
        <v>36</v>
      </c>
      <c r="J988" s="24"/>
      <c r="N988" s="27"/>
    </row>
    <row r="989" spans="1:14" x14ac:dyDescent="0.25">
      <c r="A989" s="13">
        <f t="shared" si="21"/>
        <v>36</v>
      </c>
      <c r="J989" s="24"/>
      <c r="N989" s="27"/>
    </row>
    <row r="990" spans="1:14" x14ac:dyDescent="0.25">
      <c r="A990" s="13">
        <f t="shared" si="21"/>
        <v>36</v>
      </c>
      <c r="J990" s="24"/>
      <c r="N990" s="27"/>
    </row>
    <row r="991" spans="1:14" x14ac:dyDescent="0.25">
      <c r="A991" s="13">
        <f t="shared" si="21"/>
        <v>36</v>
      </c>
      <c r="J991" s="24"/>
      <c r="N991" s="27"/>
    </row>
    <row r="992" spans="1:14" x14ac:dyDescent="0.25">
      <c r="A992" s="13">
        <f t="shared" si="21"/>
        <v>36</v>
      </c>
      <c r="J992" s="24"/>
      <c r="N992" s="27"/>
    </row>
    <row r="993" spans="1:14" x14ac:dyDescent="0.25">
      <c r="A993" s="13">
        <f t="shared" si="21"/>
        <v>36</v>
      </c>
      <c r="J993" s="24"/>
      <c r="N993" s="27"/>
    </row>
    <row r="994" spans="1:14" x14ac:dyDescent="0.25">
      <c r="A994" s="13">
        <f t="shared" si="21"/>
        <v>36</v>
      </c>
      <c r="J994" s="24"/>
      <c r="N994" s="27"/>
    </row>
    <row r="995" spans="1:14" x14ac:dyDescent="0.25">
      <c r="A995" s="13">
        <f t="shared" si="21"/>
        <v>36</v>
      </c>
      <c r="J995" s="24"/>
      <c r="N995" s="27"/>
    </row>
    <row r="996" spans="1:14" x14ac:dyDescent="0.25">
      <c r="A996" s="13">
        <f t="shared" si="21"/>
        <v>36</v>
      </c>
      <c r="J996" s="24"/>
      <c r="N996" s="27"/>
    </row>
    <row r="997" spans="1:14" x14ac:dyDescent="0.25">
      <c r="A997" s="13">
        <f t="shared" si="21"/>
        <v>36</v>
      </c>
      <c r="J997" s="24"/>
      <c r="N997" s="27"/>
    </row>
    <row r="998" spans="1:14" x14ac:dyDescent="0.25">
      <c r="A998" s="13">
        <f t="shared" si="21"/>
        <v>36</v>
      </c>
      <c r="J998" s="24"/>
      <c r="N998" s="27"/>
    </row>
    <row r="999" spans="1:14" x14ac:dyDescent="0.25">
      <c r="A999" s="13">
        <f t="shared" si="21"/>
        <v>36</v>
      </c>
      <c r="J999" s="24"/>
      <c r="N999" s="27"/>
    </row>
    <row r="1000" spans="1:14" x14ac:dyDescent="0.25">
      <c r="A1000" s="13">
        <f t="shared" si="21"/>
        <v>36</v>
      </c>
      <c r="J1000" s="24"/>
      <c r="N1000" s="27"/>
    </row>
    <row r="1001" spans="1:14" x14ac:dyDescent="0.25">
      <c r="A1001" s="13">
        <f t="shared" si="21"/>
        <v>36</v>
      </c>
      <c r="J1001" s="24"/>
      <c r="N1001" s="27"/>
    </row>
    <row r="1002" spans="1:14" x14ac:dyDescent="0.25">
      <c r="A1002" s="13">
        <f t="shared" si="21"/>
        <v>36</v>
      </c>
      <c r="J1002" s="24"/>
      <c r="N1002" s="27"/>
    </row>
    <row r="1003" spans="1:14" x14ac:dyDescent="0.25">
      <c r="A1003" s="13">
        <f t="shared" si="21"/>
        <v>36</v>
      </c>
      <c r="J1003" s="24"/>
      <c r="N1003" s="27"/>
    </row>
    <row r="1004" spans="1:14" x14ac:dyDescent="0.25">
      <c r="A1004" s="13">
        <f t="shared" si="21"/>
        <v>36</v>
      </c>
      <c r="J1004" s="24"/>
      <c r="N1004" s="27"/>
    </row>
    <row r="1005" spans="1:14" x14ac:dyDescent="0.25">
      <c r="A1005" s="13">
        <f t="shared" si="21"/>
        <v>36</v>
      </c>
      <c r="J1005" s="24"/>
      <c r="N1005" s="27"/>
    </row>
    <row r="1006" spans="1:14" x14ac:dyDescent="0.25">
      <c r="A1006" s="13">
        <f t="shared" si="21"/>
        <v>36</v>
      </c>
      <c r="J1006" s="24"/>
      <c r="N1006" s="27"/>
    </row>
    <row r="1007" spans="1:14" x14ac:dyDescent="0.25">
      <c r="A1007" s="13">
        <f t="shared" si="21"/>
        <v>36</v>
      </c>
      <c r="J1007" s="24"/>
      <c r="N1007" s="27"/>
    </row>
    <row r="1008" spans="1:14" x14ac:dyDescent="0.25">
      <c r="A1008" s="13">
        <f t="shared" si="21"/>
        <v>36</v>
      </c>
      <c r="J1008" s="24"/>
      <c r="N1008" s="27"/>
    </row>
    <row r="1009" spans="1:14" x14ac:dyDescent="0.25">
      <c r="A1009" s="13">
        <f t="shared" si="21"/>
        <v>36</v>
      </c>
      <c r="J1009" s="24"/>
      <c r="N1009" s="27"/>
    </row>
    <row r="1010" spans="1:14" x14ac:dyDescent="0.25">
      <c r="A1010" s="13">
        <f t="shared" si="21"/>
        <v>36</v>
      </c>
      <c r="J1010" s="24"/>
      <c r="N1010" s="27"/>
    </row>
    <row r="1011" spans="1:14" x14ac:dyDescent="0.25">
      <c r="A1011" s="13">
        <f t="shared" si="21"/>
        <v>36</v>
      </c>
      <c r="J1011" s="24"/>
      <c r="N1011" s="27"/>
    </row>
    <row r="1012" spans="1:14" x14ac:dyDescent="0.25">
      <c r="A1012" s="13">
        <f t="shared" si="21"/>
        <v>36</v>
      </c>
      <c r="J1012" s="24"/>
      <c r="N1012" s="27"/>
    </row>
    <row r="1013" spans="1:14" x14ac:dyDescent="0.25">
      <c r="A1013" s="13">
        <f t="shared" si="21"/>
        <v>36</v>
      </c>
      <c r="J1013" s="24"/>
      <c r="N1013" s="27"/>
    </row>
    <row r="1014" spans="1:14" x14ac:dyDescent="0.25">
      <c r="A1014" s="13">
        <f t="shared" si="21"/>
        <v>36</v>
      </c>
      <c r="J1014" s="24"/>
      <c r="N1014" s="27"/>
    </row>
    <row r="1015" spans="1:14" x14ac:dyDescent="0.25">
      <c r="A1015" s="13">
        <f t="shared" si="21"/>
        <v>36</v>
      </c>
      <c r="J1015" s="24"/>
      <c r="N1015" s="27"/>
    </row>
    <row r="1016" spans="1:14" x14ac:dyDescent="0.25">
      <c r="A1016" s="13">
        <f t="shared" si="21"/>
        <v>36</v>
      </c>
      <c r="J1016" s="24"/>
      <c r="N1016" s="27"/>
    </row>
    <row r="1017" spans="1:14" x14ac:dyDescent="0.25">
      <c r="A1017" s="13">
        <f t="shared" si="21"/>
        <v>36</v>
      </c>
      <c r="J1017" s="24"/>
      <c r="N1017" s="27"/>
    </row>
    <row r="1018" spans="1:14" x14ac:dyDescent="0.25">
      <c r="A1018" s="13">
        <f t="shared" si="21"/>
        <v>36</v>
      </c>
      <c r="J1018" s="24"/>
      <c r="N1018" s="27"/>
    </row>
    <row r="1019" spans="1:14" x14ac:dyDescent="0.25">
      <c r="A1019" s="13">
        <f t="shared" si="21"/>
        <v>36</v>
      </c>
      <c r="J1019" s="24"/>
      <c r="N1019" s="27"/>
    </row>
    <row r="1020" spans="1:14" x14ac:dyDescent="0.25">
      <c r="A1020" s="13">
        <f t="shared" si="21"/>
        <v>36</v>
      </c>
      <c r="J1020" s="24"/>
      <c r="N1020" s="27"/>
    </row>
    <row r="1021" spans="1:14" x14ac:dyDescent="0.25">
      <c r="A1021" s="13">
        <f t="shared" si="21"/>
        <v>36</v>
      </c>
      <c r="J1021" s="24"/>
      <c r="N1021" s="27"/>
    </row>
    <row r="1022" spans="1:14" x14ac:dyDescent="0.25">
      <c r="A1022" s="13">
        <f t="shared" si="21"/>
        <v>36</v>
      </c>
      <c r="J1022" s="24"/>
      <c r="N1022" s="27"/>
    </row>
    <row r="1023" spans="1:14" x14ac:dyDescent="0.25">
      <c r="A1023" s="13">
        <f t="shared" si="21"/>
        <v>36</v>
      </c>
      <c r="J1023" s="24"/>
      <c r="N1023" s="27"/>
    </row>
    <row r="1024" spans="1:14" x14ac:dyDescent="0.25">
      <c r="A1024" s="13">
        <f t="shared" si="21"/>
        <v>36</v>
      </c>
      <c r="J1024" s="24"/>
      <c r="N1024" s="27"/>
    </row>
    <row r="1025" spans="1:14" x14ac:dyDescent="0.25">
      <c r="A1025" s="13">
        <f t="shared" si="21"/>
        <v>36</v>
      </c>
      <c r="J1025" s="24"/>
      <c r="N1025" s="27"/>
    </row>
    <row r="1026" spans="1:14" x14ac:dyDescent="0.25">
      <c r="A1026" s="13">
        <f t="shared" si="21"/>
        <v>36</v>
      </c>
      <c r="J1026" s="24"/>
      <c r="N1026" s="27"/>
    </row>
    <row r="1027" spans="1:14" x14ac:dyDescent="0.25">
      <c r="A1027" s="13">
        <f t="shared" si="21"/>
        <v>36</v>
      </c>
      <c r="J1027" s="24"/>
      <c r="N1027" s="27"/>
    </row>
    <row r="1028" spans="1:14" x14ac:dyDescent="0.25">
      <c r="A1028" s="13">
        <f t="shared" ref="A1028:A1091" si="22">IF(B1028=B1027,A1027,A1027+1)</f>
        <v>36</v>
      </c>
      <c r="J1028" s="24"/>
      <c r="N1028" s="27"/>
    </row>
    <row r="1029" spans="1:14" x14ac:dyDescent="0.25">
      <c r="A1029" s="13">
        <f t="shared" si="22"/>
        <v>36</v>
      </c>
      <c r="J1029" s="24"/>
      <c r="N1029" s="27"/>
    </row>
    <row r="1030" spans="1:14" x14ac:dyDescent="0.25">
      <c r="A1030" s="13">
        <f t="shared" si="22"/>
        <v>36</v>
      </c>
      <c r="J1030" s="24"/>
      <c r="N1030" s="27"/>
    </row>
    <row r="1031" spans="1:14" x14ac:dyDescent="0.25">
      <c r="A1031" s="13">
        <f t="shared" si="22"/>
        <v>36</v>
      </c>
      <c r="J1031" s="24"/>
      <c r="N1031" s="27"/>
    </row>
    <row r="1032" spans="1:14" x14ac:dyDescent="0.25">
      <c r="A1032" s="13">
        <f t="shared" si="22"/>
        <v>36</v>
      </c>
      <c r="J1032" s="24"/>
      <c r="N1032" s="27"/>
    </row>
    <row r="1033" spans="1:14" x14ac:dyDescent="0.25">
      <c r="A1033" s="13">
        <f t="shared" si="22"/>
        <v>36</v>
      </c>
      <c r="J1033" s="24"/>
      <c r="N1033" s="27"/>
    </row>
    <row r="1034" spans="1:14" x14ac:dyDescent="0.25">
      <c r="A1034" s="13">
        <f t="shared" si="22"/>
        <v>36</v>
      </c>
      <c r="J1034" s="24"/>
      <c r="N1034" s="27"/>
    </row>
    <row r="1035" spans="1:14" x14ac:dyDescent="0.25">
      <c r="A1035" s="13">
        <f t="shared" si="22"/>
        <v>36</v>
      </c>
      <c r="J1035" s="24"/>
      <c r="N1035" s="27"/>
    </row>
    <row r="1036" spans="1:14" x14ac:dyDescent="0.25">
      <c r="A1036" s="13">
        <f t="shared" si="22"/>
        <v>36</v>
      </c>
      <c r="J1036" s="24"/>
      <c r="N1036" s="27"/>
    </row>
    <row r="1037" spans="1:14" x14ac:dyDescent="0.25">
      <c r="A1037" s="13">
        <f t="shared" si="22"/>
        <v>36</v>
      </c>
      <c r="J1037" s="24"/>
      <c r="N1037" s="27"/>
    </row>
    <row r="1038" spans="1:14" x14ac:dyDescent="0.25">
      <c r="A1038" s="13">
        <f t="shared" si="22"/>
        <v>36</v>
      </c>
      <c r="J1038" s="24"/>
      <c r="N1038" s="27"/>
    </row>
    <row r="1039" spans="1:14" x14ac:dyDescent="0.25">
      <c r="A1039" s="13">
        <f t="shared" si="22"/>
        <v>36</v>
      </c>
      <c r="J1039" s="24"/>
      <c r="N1039" s="27"/>
    </row>
    <row r="1040" spans="1:14" x14ac:dyDescent="0.25">
      <c r="A1040" s="13">
        <f t="shared" si="22"/>
        <v>36</v>
      </c>
      <c r="J1040" s="24"/>
      <c r="N1040" s="27"/>
    </row>
    <row r="1041" spans="1:14" x14ac:dyDescent="0.25">
      <c r="A1041" s="13">
        <f t="shared" si="22"/>
        <v>36</v>
      </c>
      <c r="J1041" s="24"/>
      <c r="N1041" s="27"/>
    </row>
    <row r="1042" spans="1:14" x14ac:dyDescent="0.25">
      <c r="A1042" s="13">
        <f t="shared" si="22"/>
        <v>36</v>
      </c>
      <c r="J1042" s="24"/>
      <c r="N1042" s="27"/>
    </row>
    <row r="1043" spans="1:14" x14ac:dyDescent="0.25">
      <c r="A1043" s="13">
        <f t="shared" si="22"/>
        <v>36</v>
      </c>
      <c r="J1043" s="24"/>
      <c r="N1043" s="27"/>
    </row>
    <row r="1044" spans="1:14" x14ac:dyDescent="0.25">
      <c r="A1044" s="13">
        <f t="shared" si="22"/>
        <v>36</v>
      </c>
      <c r="J1044" s="24"/>
      <c r="N1044" s="27"/>
    </row>
    <row r="1045" spans="1:14" x14ac:dyDescent="0.25">
      <c r="A1045" s="13">
        <f t="shared" si="22"/>
        <v>36</v>
      </c>
      <c r="J1045" s="24"/>
      <c r="N1045" s="27"/>
    </row>
    <row r="1046" spans="1:14" x14ac:dyDescent="0.25">
      <c r="A1046" s="13">
        <f t="shared" si="22"/>
        <v>36</v>
      </c>
      <c r="J1046" s="24"/>
      <c r="N1046" s="27"/>
    </row>
    <row r="1047" spans="1:14" x14ac:dyDescent="0.25">
      <c r="A1047" s="13">
        <f t="shared" si="22"/>
        <v>36</v>
      </c>
      <c r="J1047" s="24"/>
      <c r="N1047" s="27"/>
    </row>
    <row r="1048" spans="1:14" x14ac:dyDescent="0.25">
      <c r="A1048" s="13">
        <f t="shared" si="22"/>
        <v>36</v>
      </c>
      <c r="J1048" s="24"/>
      <c r="N1048" s="27"/>
    </row>
    <row r="1049" spans="1:14" x14ac:dyDescent="0.25">
      <c r="A1049" s="13">
        <f t="shared" si="22"/>
        <v>36</v>
      </c>
      <c r="J1049" s="24"/>
      <c r="N1049" s="27"/>
    </row>
    <row r="1050" spans="1:14" x14ac:dyDescent="0.25">
      <c r="A1050" s="13">
        <f t="shared" si="22"/>
        <v>36</v>
      </c>
      <c r="J1050" s="24"/>
      <c r="N1050" s="27"/>
    </row>
    <row r="1051" spans="1:14" x14ac:dyDescent="0.25">
      <c r="A1051" s="13">
        <f t="shared" si="22"/>
        <v>36</v>
      </c>
      <c r="J1051" s="24"/>
      <c r="N1051" s="27"/>
    </row>
    <row r="1052" spans="1:14" x14ac:dyDescent="0.25">
      <c r="A1052" s="13">
        <f t="shared" si="22"/>
        <v>36</v>
      </c>
      <c r="J1052" s="24"/>
      <c r="N1052" s="27"/>
    </row>
    <row r="1053" spans="1:14" x14ac:dyDescent="0.25">
      <c r="A1053" s="13">
        <f t="shared" si="22"/>
        <v>36</v>
      </c>
      <c r="J1053" s="24"/>
      <c r="N1053" s="27"/>
    </row>
    <row r="1054" spans="1:14" x14ac:dyDescent="0.25">
      <c r="A1054" s="13">
        <f t="shared" si="22"/>
        <v>36</v>
      </c>
      <c r="J1054" s="24"/>
      <c r="N1054" s="27"/>
    </row>
    <row r="1055" spans="1:14" x14ac:dyDescent="0.25">
      <c r="A1055" s="13">
        <f t="shared" si="22"/>
        <v>36</v>
      </c>
      <c r="J1055" s="24"/>
      <c r="N1055" s="27"/>
    </row>
    <row r="1056" spans="1:14" x14ac:dyDescent="0.25">
      <c r="A1056" s="13">
        <f t="shared" si="22"/>
        <v>36</v>
      </c>
      <c r="J1056" s="24"/>
      <c r="N1056" s="27"/>
    </row>
    <row r="1057" spans="1:14" x14ac:dyDescent="0.25">
      <c r="A1057" s="13">
        <f t="shared" si="22"/>
        <v>36</v>
      </c>
      <c r="J1057" s="24"/>
      <c r="N1057" s="27"/>
    </row>
    <row r="1058" spans="1:14" x14ac:dyDescent="0.25">
      <c r="A1058" s="13">
        <f t="shared" si="22"/>
        <v>36</v>
      </c>
      <c r="J1058" s="24"/>
      <c r="N1058" s="27"/>
    </row>
    <row r="1059" spans="1:14" x14ac:dyDescent="0.25">
      <c r="A1059" s="13">
        <f t="shared" si="22"/>
        <v>36</v>
      </c>
      <c r="J1059" s="24"/>
      <c r="N1059" s="27"/>
    </row>
    <row r="1060" spans="1:14" x14ac:dyDescent="0.25">
      <c r="A1060" s="13">
        <f t="shared" si="22"/>
        <v>36</v>
      </c>
      <c r="J1060" s="24"/>
      <c r="N1060" s="27"/>
    </row>
    <row r="1061" spans="1:14" x14ac:dyDescent="0.25">
      <c r="A1061" s="13">
        <f t="shared" si="22"/>
        <v>36</v>
      </c>
      <c r="J1061" s="24"/>
      <c r="N1061" s="27"/>
    </row>
    <row r="1062" spans="1:14" x14ac:dyDescent="0.25">
      <c r="A1062" s="13">
        <f t="shared" si="22"/>
        <v>36</v>
      </c>
      <c r="J1062" s="24"/>
      <c r="N1062" s="27"/>
    </row>
    <row r="1063" spans="1:14" x14ac:dyDescent="0.25">
      <c r="A1063" s="13">
        <f t="shared" si="22"/>
        <v>36</v>
      </c>
      <c r="J1063" s="24"/>
      <c r="N1063" s="27"/>
    </row>
    <row r="1064" spans="1:14" x14ac:dyDescent="0.25">
      <c r="A1064" s="13">
        <f t="shared" si="22"/>
        <v>36</v>
      </c>
      <c r="J1064" s="24"/>
      <c r="N1064" s="27"/>
    </row>
    <row r="1065" spans="1:14" x14ac:dyDescent="0.25">
      <c r="A1065" s="13">
        <f t="shared" si="22"/>
        <v>36</v>
      </c>
      <c r="J1065" s="24"/>
      <c r="N1065" s="27"/>
    </row>
    <row r="1066" spans="1:14" x14ac:dyDescent="0.25">
      <c r="A1066" s="13">
        <f t="shared" si="22"/>
        <v>36</v>
      </c>
      <c r="J1066" s="24"/>
      <c r="N1066" s="27"/>
    </row>
    <row r="1067" spans="1:14" x14ac:dyDescent="0.25">
      <c r="A1067" s="13">
        <f t="shared" si="22"/>
        <v>36</v>
      </c>
      <c r="J1067" s="24"/>
      <c r="N1067" s="27"/>
    </row>
    <row r="1068" spans="1:14" x14ac:dyDescent="0.25">
      <c r="A1068" s="13">
        <f t="shared" si="22"/>
        <v>36</v>
      </c>
      <c r="J1068" s="24"/>
      <c r="N1068" s="27"/>
    </row>
    <row r="1069" spans="1:14" x14ac:dyDescent="0.25">
      <c r="A1069" s="13">
        <f t="shared" si="22"/>
        <v>36</v>
      </c>
      <c r="J1069" s="24"/>
      <c r="N1069" s="27"/>
    </row>
    <row r="1070" spans="1:14" x14ac:dyDescent="0.25">
      <c r="A1070" s="13">
        <f t="shared" si="22"/>
        <v>36</v>
      </c>
      <c r="J1070" s="24"/>
      <c r="N1070" s="27"/>
    </row>
    <row r="1071" spans="1:14" x14ac:dyDescent="0.25">
      <c r="A1071" s="13">
        <f t="shared" si="22"/>
        <v>36</v>
      </c>
      <c r="J1071" s="24"/>
      <c r="N1071" s="27"/>
    </row>
    <row r="1072" spans="1:14" x14ac:dyDescent="0.25">
      <c r="A1072" s="13">
        <f t="shared" si="22"/>
        <v>36</v>
      </c>
      <c r="J1072" s="24"/>
      <c r="N1072" s="27"/>
    </row>
    <row r="1073" spans="1:14" x14ac:dyDescent="0.25">
      <c r="A1073" s="13">
        <f t="shared" si="22"/>
        <v>36</v>
      </c>
      <c r="J1073" s="24"/>
      <c r="N1073" s="27"/>
    </row>
    <row r="1074" spans="1:14" x14ac:dyDescent="0.25">
      <c r="A1074" s="13">
        <f t="shared" si="22"/>
        <v>36</v>
      </c>
      <c r="J1074" s="24"/>
      <c r="N1074" s="27"/>
    </row>
    <row r="1075" spans="1:14" x14ac:dyDescent="0.25">
      <c r="A1075" s="13">
        <f t="shared" si="22"/>
        <v>36</v>
      </c>
      <c r="J1075" s="24"/>
      <c r="N1075" s="27"/>
    </row>
    <row r="1076" spans="1:14" x14ac:dyDescent="0.25">
      <c r="A1076" s="13">
        <f t="shared" si="22"/>
        <v>36</v>
      </c>
      <c r="J1076" s="24"/>
      <c r="N1076" s="27"/>
    </row>
    <row r="1077" spans="1:14" x14ac:dyDescent="0.25">
      <c r="A1077" s="13">
        <f t="shared" si="22"/>
        <v>36</v>
      </c>
      <c r="J1077" s="24"/>
      <c r="N1077" s="27"/>
    </row>
    <row r="1078" spans="1:14" x14ac:dyDescent="0.25">
      <c r="A1078" s="13">
        <f t="shared" si="22"/>
        <v>36</v>
      </c>
      <c r="J1078" s="24"/>
      <c r="N1078" s="27"/>
    </row>
    <row r="1079" spans="1:14" x14ac:dyDescent="0.25">
      <c r="A1079" s="13">
        <f t="shared" si="22"/>
        <v>36</v>
      </c>
      <c r="J1079" s="24"/>
      <c r="N1079" s="27"/>
    </row>
    <row r="1080" spans="1:14" x14ac:dyDescent="0.25">
      <c r="A1080" s="13">
        <f t="shared" si="22"/>
        <v>36</v>
      </c>
      <c r="J1080" s="24"/>
      <c r="N1080" s="27"/>
    </row>
    <row r="1081" spans="1:14" x14ac:dyDescent="0.25">
      <c r="A1081" s="13">
        <f t="shared" si="22"/>
        <v>36</v>
      </c>
      <c r="J1081" s="24"/>
      <c r="N1081" s="27"/>
    </row>
    <row r="1082" spans="1:14" x14ac:dyDescent="0.25">
      <c r="A1082" s="13">
        <f t="shared" si="22"/>
        <v>36</v>
      </c>
      <c r="J1082" s="24"/>
      <c r="N1082" s="27"/>
    </row>
    <row r="1083" spans="1:14" x14ac:dyDescent="0.25">
      <c r="A1083" s="13">
        <f t="shared" si="22"/>
        <v>36</v>
      </c>
      <c r="J1083" s="24"/>
      <c r="N1083" s="27"/>
    </row>
    <row r="1084" spans="1:14" x14ac:dyDescent="0.25">
      <c r="A1084" s="13">
        <f t="shared" si="22"/>
        <v>36</v>
      </c>
      <c r="J1084" s="24"/>
      <c r="N1084" s="27"/>
    </row>
    <row r="1085" spans="1:14" x14ac:dyDescent="0.25">
      <c r="A1085" s="13">
        <f t="shared" si="22"/>
        <v>36</v>
      </c>
      <c r="J1085" s="24"/>
      <c r="N1085" s="27"/>
    </row>
    <row r="1086" spans="1:14" x14ac:dyDescent="0.25">
      <c r="A1086" s="13">
        <f t="shared" si="22"/>
        <v>36</v>
      </c>
      <c r="J1086" s="24"/>
      <c r="N1086" s="27"/>
    </row>
    <row r="1087" spans="1:14" x14ac:dyDescent="0.25">
      <c r="A1087" s="13">
        <f t="shared" si="22"/>
        <v>36</v>
      </c>
      <c r="J1087" s="24"/>
      <c r="N1087" s="27"/>
    </row>
    <row r="1088" spans="1:14" x14ac:dyDescent="0.25">
      <c r="A1088" s="13">
        <f t="shared" si="22"/>
        <v>36</v>
      </c>
      <c r="J1088" s="24"/>
      <c r="N1088" s="27"/>
    </row>
    <row r="1089" spans="1:14" x14ac:dyDescent="0.25">
      <c r="A1089" s="13">
        <f t="shared" si="22"/>
        <v>36</v>
      </c>
      <c r="J1089" s="24"/>
      <c r="N1089" s="27"/>
    </row>
    <row r="1090" spans="1:14" x14ac:dyDescent="0.25">
      <c r="A1090" s="13">
        <f t="shared" si="22"/>
        <v>36</v>
      </c>
      <c r="J1090" s="24"/>
      <c r="N1090" s="27"/>
    </row>
    <row r="1091" spans="1:14" x14ac:dyDescent="0.25">
      <c r="A1091" s="13">
        <f t="shared" si="22"/>
        <v>36</v>
      </c>
      <c r="J1091" s="24"/>
      <c r="N1091" s="27"/>
    </row>
    <row r="1092" spans="1:14" x14ac:dyDescent="0.25">
      <c r="A1092" s="13">
        <f t="shared" ref="A1092:A1155" si="23">IF(B1092=B1091,A1091,A1091+1)</f>
        <v>36</v>
      </c>
      <c r="J1092" s="24"/>
      <c r="N1092" s="27"/>
    </row>
    <row r="1093" spans="1:14" x14ac:dyDescent="0.25">
      <c r="A1093" s="13">
        <f t="shared" si="23"/>
        <v>36</v>
      </c>
      <c r="J1093" s="24"/>
      <c r="N1093" s="27"/>
    </row>
    <row r="1094" spans="1:14" x14ac:dyDescent="0.25">
      <c r="A1094" s="13">
        <f t="shared" si="23"/>
        <v>36</v>
      </c>
      <c r="J1094" s="24"/>
      <c r="N1094" s="27"/>
    </row>
    <row r="1095" spans="1:14" x14ac:dyDescent="0.25">
      <c r="A1095" s="13">
        <f t="shared" si="23"/>
        <v>36</v>
      </c>
      <c r="J1095" s="24"/>
      <c r="N1095" s="27"/>
    </row>
    <row r="1096" spans="1:14" x14ac:dyDescent="0.25">
      <c r="A1096" s="13">
        <f t="shared" si="23"/>
        <v>36</v>
      </c>
      <c r="J1096" s="24"/>
      <c r="N1096" s="27"/>
    </row>
    <row r="1097" spans="1:14" x14ac:dyDescent="0.25">
      <c r="A1097" s="13">
        <f t="shared" si="23"/>
        <v>36</v>
      </c>
      <c r="J1097" s="24"/>
      <c r="N1097" s="27"/>
    </row>
    <row r="1098" spans="1:14" x14ac:dyDescent="0.25">
      <c r="A1098" s="13">
        <f t="shared" si="23"/>
        <v>36</v>
      </c>
      <c r="J1098" s="24"/>
      <c r="N1098" s="27"/>
    </row>
    <row r="1099" spans="1:14" x14ac:dyDescent="0.25">
      <c r="A1099" s="13">
        <f t="shared" si="23"/>
        <v>36</v>
      </c>
      <c r="J1099" s="24"/>
      <c r="N1099" s="27"/>
    </row>
    <row r="1100" spans="1:14" x14ac:dyDescent="0.25">
      <c r="A1100" s="13">
        <f t="shared" si="23"/>
        <v>36</v>
      </c>
      <c r="J1100" s="24"/>
      <c r="N1100" s="27"/>
    </row>
    <row r="1101" spans="1:14" x14ac:dyDescent="0.25">
      <c r="A1101" s="13">
        <f t="shared" si="23"/>
        <v>36</v>
      </c>
      <c r="J1101" s="24"/>
      <c r="N1101" s="27"/>
    </row>
    <row r="1102" spans="1:14" x14ac:dyDescent="0.25">
      <c r="A1102" s="13">
        <f t="shared" si="23"/>
        <v>36</v>
      </c>
      <c r="J1102" s="24"/>
      <c r="N1102" s="27"/>
    </row>
    <row r="1103" spans="1:14" x14ac:dyDescent="0.25">
      <c r="A1103" s="13">
        <f t="shared" si="23"/>
        <v>36</v>
      </c>
      <c r="J1103" s="24"/>
      <c r="N1103" s="27"/>
    </row>
    <row r="1104" spans="1:14" x14ac:dyDescent="0.25">
      <c r="A1104" s="13">
        <f t="shared" si="23"/>
        <v>36</v>
      </c>
      <c r="J1104" s="24"/>
      <c r="N1104" s="27"/>
    </row>
    <row r="1105" spans="1:14" x14ac:dyDescent="0.25">
      <c r="A1105" s="13">
        <f t="shared" si="23"/>
        <v>36</v>
      </c>
      <c r="J1105" s="24"/>
      <c r="N1105" s="27"/>
    </row>
    <row r="1106" spans="1:14" x14ac:dyDescent="0.25">
      <c r="A1106" s="13">
        <f t="shared" si="23"/>
        <v>36</v>
      </c>
      <c r="J1106" s="24"/>
      <c r="N1106" s="27"/>
    </row>
    <row r="1107" spans="1:14" x14ac:dyDescent="0.25">
      <c r="A1107" s="13">
        <f t="shared" si="23"/>
        <v>36</v>
      </c>
      <c r="J1107" s="24"/>
      <c r="N1107" s="27"/>
    </row>
    <row r="1108" spans="1:14" x14ac:dyDescent="0.25">
      <c r="A1108" s="13">
        <f t="shared" si="23"/>
        <v>36</v>
      </c>
      <c r="J1108" s="24"/>
      <c r="N1108" s="27"/>
    </row>
    <row r="1109" spans="1:14" x14ac:dyDescent="0.25">
      <c r="A1109" s="13">
        <f t="shared" si="23"/>
        <v>36</v>
      </c>
      <c r="J1109" s="24"/>
      <c r="N1109" s="27"/>
    </row>
    <row r="1110" spans="1:14" x14ac:dyDescent="0.25">
      <c r="A1110" s="13">
        <f t="shared" si="23"/>
        <v>36</v>
      </c>
      <c r="J1110" s="24"/>
      <c r="N1110" s="27"/>
    </row>
    <row r="1111" spans="1:14" x14ac:dyDescent="0.25">
      <c r="A1111" s="13">
        <f t="shared" si="23"/>
        <v>36</v>
      </c>
      <c r="J1111" s="24"/>
      <c r="N1111" s="27"/>
    </row>
    <row r="1112" spans="1:14" x14ac:dyDescent="0.25">
      <c r="A1112" s="13">
        <f t="shared" si="23"/>
        <v>36</v>
      </c>
      <c r="J1112" s="24"/>
      <c r="N1112" s="27"/>
    </row>
    <row r="1113" spans="1:14" x14ac:dyDescent="0.25">
      <c r="A1113" s="13">
        <f t="shared" si="23"/>
        <v>36</v>
      </c>
      <c r="J1113" s="24"/>
      <c r="N1113" s="27"/>
    </row>
    <row r="1114" spans="1:14" x14ac:dyDescent="0.25">
      <c r="A1114" s="13">
        <f t="shared" si="23"/>
        <v>36</v>
      </c>
      <c r="J1114" s="24"/>
      <c r="N1114" s="27"/>
    </row>
    <row r="1115" spans="1:14" x14ac:dyDescent="0.25">
      <c r="A1115" s="13">
        <f t="shared" si="23"/>
        <v>36</v>
      </c>
      <c r="J1115" s="24"/>
      <c r="N1115" s="27"/>
    </row>
    <row r="1116" spans="1:14" x14ac:dyDescent="0.25">
      <c r="A1116" s="13">
        <f t="shared" si="23"/>
        <v>36</v>
      </c>
      <c r="J1116" s="24"/>
      <c r="N1116" s="27"/>
    </row>
    <row r="1117" spans="1:14" x14ac:dyDescent="0.25">
      <c r="A1117" s="13">
        <f t="shared" si="23"/>
        <v>36</v>
      </c>
      <c r="J1117" s="24"/>
      <c r="N1117" s="27"/>
    </row>
    <row r="1118" spans="1:14" x14ac:dyDescent="0.25">
      <c r="A1118" s="13">
        <f t="shared" si="23"/>
        <v>36</v>
      </c>
      <c r="J1118" s="24"/>
      <c r="N1118" s="27"/>
    </row>
    <row r="1119" spans="1:14" x14ac:dyDescent="0.25">
      <c r="A1119" s="13">
        <f t="shared" si="23"/>
        <v>36</v>
      </c>
      <c r="J1119" s="24"/>
      <c r="N1119" s="27"/>
    </row>
    <row r="1120" spans="1:14" x14ac:dyDescent="0.25">
      <c r="A1120" s="13">
        <f t="shared" si="23"/>
        <v>36</v>
      </c>
      <c r="J1120" s="24"/>
      <c r="N1120" s="27"/>
    </row>
    <row r="1121" spans="1:14" x14ac:dyDescent="0.25">
      <c r="A1121" s="13">
        <f t="shared" si="23"/>
        <v>36</v>
      </c>
      <c r="J1121" s="24"/>
      <c r="N1121" s="27"/>
    </row>
    <row r="1122" spans="1:14" x14ac:dyDescent="0.25">
      <c r="A1122" s="13">
        <f t="shared" si="23"/>
        <v>36</v>
      </c>
      <c r="J1122" s="24"/>
      <c r="N1122" s="27"/>
    </row>
    <row r="1123" spans="1:14" x14ac:dyDescent="0.25">
      <c r="A1123" s="13">
        <f t="shared" si="23"/>
        <v>36</v>
      </c>
      <c r="J1123" s="24"/>
      <c r="N1123" s="27"/>
    </row>
    <row r="1124" spans="1:14" x14ac:dyDescent="0.25">
      <c r="A1124" s="13">
        <f t="shared" si="23"/>
        <v>36</v>
      </c>
      <c r="J1124" s="24"/>
      <c r="N1124" s="27"/>
    </row>
    <row r="1125" spans="1:14" x14ac:dyDescent="0.25">
      <c r="A1125" s="13">
        <f t="shared" si="23"/>
        <v>36</v>
      </c>
      <c r="J1125" s="24"/>
      <c r="N1125" s="27"/>
    </row>
    <row r="1126" spans="1:14" x14ac:dyDescent="0.25">
      <c r="A1126" s="13">
        <f t="shared" si="23"/>
        <v>36</v>
      </c>
      <c r="J1126" s="24"/>
      <c r="N1126" s="27"/>
    </row>
    <row r="1127" spans="1:14" x14ac:dyDescent="0.25">
      <c r="A1127" s="13">
        <f t="shared" si="23"/>
        <v>36</v>
      </c>
      <c r="J1127" s="24"/>
      <c r="N1127" s="27"/>
    </row>
    <row r="1128" spans="1:14" x14ac:dyDescent="0.25">
      <c r="A1128" s="13">
        <f t="shared" si="23"/>
        <v>36</v>
      </c>
      <c r="J1128" s="24"/>
      <c r="N1128" s="27"/>
    </row>
    <row r="1129" spans="1:14" x14ac:dyDescent="0.25">
      <c r="A1129" s="13">
        <f t="shared" si="23"/>
        <v>36</v>
      </c>
      <c r="J1129" s="24"/>
      <c r="N1129" s="27"/>
    </row>
    <row r="1130" spans="1:14" x14ac:dyDescent="0.25">
      <c r="A1130" s="13">
        <f t="shared" si="23"/>
        <v>36</v>
      </c>
      <c r="J1130" s="24"/>
      <c r="N1130" s="27"/>
    </row>
    <row r="1131" spans="1:14" x14ac:dyDescent="0.25">
      <c r="A1131" s="13">
        <f t="shared" si="23"/>
        <v>36</v>
      </c>
      <c r="J1131" s="24"/>
      <c r="N1131" s="27"/>
    </row>
    <row r="1132" spans="1:14" x14ac:dyDescent="0.25">
      <c r="A1132" s="13">
        <f t="shared" si="23"/>
        <v>36</v>
      </c>
      <c r="J1132" s="24"/>
      <c r="N1132" s="27"/>
    </row>
    <row r="1133" spans="1:14" x14ac:dyDescent="0.25">
      <c r="A1133" s="13">
        <f t="shared" si="23"/>
        <v>36</v>
      </c>
      <c r="J1133" s="24"/>
      <c r="N1133" s="27"/>
    </row>
    <row r="1134" spans="1:14" x14ac:dyDescent="0.25">
      <c r="A1134" s="13">
        <f t="shared" si="23"/>
        <v>36</v>
      </c>
      <c r="J1134" s="24"/>
      <c r="N1134" s="27"/>
    </row>
    <row r="1135" spans="1:14" x14ac:dyDescent="0.25">
      <c r="A1135" s="13">
        <f t="shared" si="23"/>
        <v>36</v>
      </c>
      <c r="J1135" s="24"/>
      <c r="N1135" s="27"/>
    </row>
    <row r="1136" spans="1:14" x14ac:dyDescent="0.25">
      <c r="A1136" s="13">
        <f t="shared" si="23"/>
        <v>36</v>
      </c>
      <c r="J1136" s="24"/>
      <c r="N1136" s="27"/>
    </row>
    <row r="1137" spans="1:14" x14ac:dyDescent="0.25">
      <c r="A1137" s="13">
        <f t="shared" si="23"/>
        <v>36</v>
      </c>
      <c r="J1137" s="24"/>
      <c r="N1137" s="27"/>
    </row>
    <row r="1138" spans="1:14" x14ac:dyDescent="0.25">
      <c r="A1138" s="13">
        <f t="shared" si="23"/>
        <v>36</v>
      </c>
      <c r="J1138" s="24"/>
      <c r="N1138" s="27"/>
    </row>
    <row r="1139" spans="1:14" x14ac:dyDescent="0.25">
      <c r="A1139" s="13">
        <f t="shared" si="23"/>
        <v>36</v>
      </c>
      <c r="J1139" s="24"/>
      <c r="N1139" s="27"/>
    </row>
    <row r="1140" spans="1:14" x14ac:dyDescent="0.25">
      <c r="A1140" s="13">
        <f t="shared" si="23"/>
        <v>36</v>
      </c>
      <c r="J1140" s="24"/>
      <c r="N1140" s="27"/>
    </row>
    <row r="1141" spans="1:14" x14ac:dyDescent="0.25">
      <c r="A1141" s="13">
        <f t="shared" si="23"/>
        <v>36</v>
      </c>
      <c r="J1141" s="24"/>
      <c r="N1141" s="27"/>
    </row>
    <row r="1142" spans="1:14" x14ac:dyDescent="0.25">
      <c r="A1142" s="13">
        <f t="shared" si="23"/>
        <v>36</v>
      </c>
      <c r="J1142" s="24"/>
      <c r="N1142" s="27"/>
    </row>
    <row r="1143" spans="1:14" x14ac:dyDescent="0.25">
      <c r="A1143" s="13">
        <f t="shared" si="23"/>
        <v>36</v>
      </c>
      <c r="J1143" s="24"/>
      <c r="N1143" s="27"/>
    </row>
    <row r="1144" spans="1:14" x14ac:dyDescent="0.25">
      <c r="A1144" s="13">
        <f t="shared" si="23"/>
        <v>36</v>
      </c>
      <c r="J1144" s="24"/>
      <c r="N1144" s="27"/>
    </row>
    <row r="1145" spans="1:14" x14ac:dyDescent="0.25">
      <c r="A1145" s="13">
        <f t="shared" si="23"/>
        <v>36</v>
      </c>
      <c r="J1145" s="24"/>
      <c r="N1145" s="27"/>
    </row>
    <row r="1146" spans="1:14" x14ac:dyDescent="0.25">
      <c r="A1146" s="13">
        <f t="shared" si="23"/>
        <v>36</v>
      </c>
      <c r="J1146" s="24"/>
      <c r="N1146" s="27"/>
    </row>
    <row r="1147" spans="1:14" x14ac:dyDescent="0.25">
      <c r="A1147" s="13">
        <f t="shared" si="23"/>
        <v>36</v>
      </c>
      <c r="J1147" s="24"/>
      <c r="N1147" s="27"/>
    </row>
    <row r="1148" spans="1:14" x14ac:dyDescent="0.25">
      <c r="A1148" s="13">
        <f t="shared" si="23"/>
        <v>36</v>
      </c>
      <c r="J1148" s="24"/>
      <c r="N1148" s="27"/>
    </row>
    <row r="1149" spans="1:14" x14ac:dyDescent="0.25">
      <c r="A1149" s="13">
        <f t="shared" si="23"/>
        <v>36</v>
      </c>
      <c r="J1149" s="24"/>
      <c r="N1149" s="27"/>
    </row>
    <row r="1150" spans="1:14" x14ac:dyDescent="0.25">
      <c r="A1150" s="13">
        <f t="shared" si="23"/>
        <v>36</v>
      </c>
      <c r="J1150" s="24"/>
      <c r="N1150" s="27"/>
    </row>
    <row r="1151" spans="1:14" x14ac:dyDescent="0.25">
      <c r="A1151" s="13">
        <f t="shared" si="23"/>
        <v>36</v>
      </c>
      <c r="J1151" s="24"/>
      <c r="N1151" s="27"/>
    </row>
    <row r="1152" spans="1:14" x14ac:dyDescent="0.25">
      <c r="A1152" s="13">
        <f t="shared" si="23"/>
        <v>36</v>
      </c>
      <c r="J1152" s="24"/>
      <c r="N1152" s="27"/>
    </row>
    <row r="1153" spans="1:14" x14ac:dyDescent="0.25">
      <c r="A1153" s="13">
        <f t="shared" si="23"/>
        <v>36</v>
      </c>
      <c r="J1153" s="24"/>
      <c r="N1153" s="27"/>
    </row>
    <row r="1154" spans="1:14" x14ac:dyDescent="0.25">
      <c r="A1154" s="13">
        <f t="shared" si="23"/>
        <v>36</v>
      </c>
      <c r="J1154" s="24"/>
      <c r="N1154" s="27"/>
    </row>
    <row r="1155" spans="1:14" x14ac:dyDescent="0.25">
      <c r="A1155" s="13">
        <f t="shared" si="23"/>
        <v>36</v>
      </c>
      <c r="J1155" s="24"/>
      <c r="N1155" s="27"/>
    </row>
    <row r="1156" spans="1:14" x14ac:dyDescent="0.25">
      <c r="A1156" s="13">
        <f t="shared" ref="A1156:A1219" si="24">IF(B1156=B1155,A1155,A1155+1)</f>
        <v>36</v>
      </c>
      <c r="J1156" s="24"/>
      <c r="N1156" s="27"/>
    </row>
    <row r="1157" spans="1:14" x14ac:dyDescent="0.25">
      <c r="A1157" s="13">
        <f t="shared" si="24"/>
        <v>36</v>
      </c>
      <c r="J1157" s="24"/>
      <c r="N1157" s="27"/>
    </row>
    <row r="1158" spans="1:14" x14ac:dyDescent="0.25">
      <c r="A1158" s="13">
        <f t="shared" si="24"/>
        <v>36</v>
      </c>
      <c r="J1158" s="24"/>
      <c r="N1158" s="27"/>
    </row>
    <row r="1159" spans="1:14" x14ac:dyDescent="0.25">
      <c r="A1159" s="13">
        <f t="shared" si="24"/>
        <v>36</v>
      </c>
      <c r="J1159" s="24"/>
      <c r="N1159" s="27"/>
    </row>
    <row r="1160" spans="1:14" x14ac:dyDescent="0.25">
      <c r="A1160" s="13">
        <f t="shared" si="24"/>
        <v>36</v>
      </c>
      <c r="J1160" s="24"/>
      <c r="N1160" s="27"/>
    </row>
    <row r="1161" spans="1:14" x14ac:dyDescent="0.25">
      <c r="A1161" s="13">
        <f t="shared" si="24"/>
        <v>36</v>
      </c>
      <c r="J1161" s="24"/>
      <c r="N1161" s="27"/>
    </row>
    <row r="1162" spans="1:14" x14ac:dyDescent="0.25">
      <c r="A1162" s="13">
        <f t="shared" si="24"/>
        <v>36</v>
      </c>
      <c r="J1162" s="24"/>
      <c r="N1162" s="27"/>
    </row>
    <row r="1163" spans="1:14" x14ac:dyDescent="0.25">
      <c r="A1163" s="13">
        <f t="shared" si="24"/>
        <v>36</v>
      </c>
      <c r="J1163" s="24"/>
      <c r="N1163" s="27"/>
    </row>
    <row r="1164" spans="1:14" x14ac:dyDescent="0.25">
      <c r="A1164" s="13">
        <f t="shared" si="24"/>
        <v>36</v>
      </c>
      <c r="J1164" s="24"/>
      <c r="N1164" s="27"/>
    </row>
    <row r="1165" spans="1:14" x14ac:dyDescent="0.25">
      <c r="A1165" s="13">
        <f t="shared" si="24"/>
        <v>36</v>
      </c>
      <c r="J1165" s="24"/>
      <c r="N1165" s="27"/>
    </row>
    <row r="1166" spans="1:14" x14ac:dyDescent="0.25">
      <c r="A1166" s="13">
        <f t="shared" si="24"/>
        <v>36</v>
      </c>
      <c r="J1166" s="24"/>
      <c r="N1166" s="27"/>
    </row>
    <row r="1167" spans="1:14" x14ac:dyDescent="0.25">
      <c r="A1167" s="13">
        <f t="shared" si="24"/>
        <v>36</v>
      </c>
      <c r="J1167" s="24"/>
      <c r="N1167" s="27"/>
    </row>
    <row r="1168" spans="1:14" x14ac:dyDescent="0.25">
      <c r="A1168" s="13">
        <f t="shared" si="24"/>
        <v>36</v>
      </c>
      <c r="J1168" s="24"/>
      <c r="N1168" s="27"/>
    </row>
    <row r="1169" spans="1:14" x14ac:dyDescent="0.25">
      <c r="A1169" s="13">
        <f t="shared" si="24"/>
        <v>36</v>
      </c>
      <c r="J1169" s="24"/>
      <c r="N1169" s="27"/>
    </row>
    <row r="1170" spans="1:14" x14ac:dyDescent="0.25">
      <c r="A1170" s="13">
        <f t="shared" si="24"/>
        <v>36</v>
      </c>
      <c r="J1170" s="24"/>
      <c r="N1170" s="27"/>
    </row>
    <row r="1171" spans="1:14" x14ac:dyDescent="0.25">
      <c r="A1171" s="13">
        <f t="shared" si="24"/>
        <v>36</v>
      </c>
      <c r="J1171" s="24"/>
      <c r="N1171" s="27"/>
    </row>
    <row r="1172" spans="1:14" x14ac:dyDescent="0.25">
      <c r="A1172" s="13">
        <f t="shared" si="24"/>
        <v>36</v>
      </c>
      <c r="J1172" s="24"/>
      <c r="N1172" s="27"/>
    </row>
    <row r="1173" spans="1:14" x14ac:dyDescent="0.25">
      <c r="A1173" s="13">
        <f t="shared" si="24"/>
        <v>36</v>
      </c>
      <c r="J1173" s="24"/>
      <c r="N1173" s="27"/>
    </row>
    <row r="1174" spans="1:14" x14ac:dyDescent="0.25">
      <c r="A1174" s="13">
        <f t="shared" si="24"/>
        <v>36</v>
      </c>
      <c r="J1174" s="24"/>
      <c r="N1174" s="27"/>
    </row>
    <row r="1175" spans="1:14" x14ac:dyDescent="0.25">
      <c r="A1175" s="13">
        <f t="shared" si="24"/>
        <v>36</v>
      </c>
      <c r="J1175" s="24"/>
      <c r="N1175" s="27"/>
    </row>
    <row r="1176" spans="1:14" x14ac:dyDescent="0.25">
      <c r="A1176" s="13">
        <f t="shared" si="24"/>
        <v>36</v>
      </c>
      <c r="J1176" s="24"/>
      <c r="N1176" s="27"/>
    </row>
    <row r="1177" spans="1:14" x14ac:dyDescent="0.25">
      <c r="A1177" s="13">
        <f t="shared" si="24"/>
        <v>36</v>
      </c>
      <c r="J1177" s="24"/>
      <c r="N1177" s="27"/>
    </row>
    <row r="1178" spans="1:14" x14ac:dyDescent="0.25">
      <c r="A1178" s="13">
        <f t="shared" si="24"/>
        <v>36</v>
      </c>
      <c r="J1178" s="24"/>
      <c r="N1178" s="27"/>
    </row>
    <row r="1179" spans="1:14" x14ac:dyDescent="0.25">
      <c r="A1179" s="13">
        <f t="shared" si="24"/>
        <v>36</v>
      </c>
      <c r="J1179" s="24"/>
      <c r="N1179" s="27"/>
    </row>
    <row r="1180" spans="1:14" x14ac:dyDescent="0.25">
      <c r="A1180" s="13">
        <f t="shared" si="24"/>
        <v>36</v>
      </c>
      <c r="J1180" s="24"/>
      <c r="N1180" s="27"/>
    </row>
    <row r="1181" spans="1:14" x14ac:dyDescent="0.25">
      <c r="A1181" s="13">
        <f t="shared" si="24"/>
        <v>36</v>
      </c>
      <c r="J1181" s="24"/>
      <c r="N1181" s="27"/>
    </row>
    <row r="1182" spans="1:14" x14ac:dyDescent="0.25">
      <c r="A1182" s="13">
        <f t="shared" si="24"/>
        <v>36</v>
      </c>
      <c r="J1182" s="24"/>
      <c r="N1182" s="27"/>
    </row>
    <row r="1183" spans="1:14" x14ac:dyDescent="0.25">
      <c r="A1183" s="13">
        <f t="shared" si="24"/>
        <v>36</v>
      </c>
      <c r="J1183" s="24"/>
      <c r="N1183" s="27"/>
    </row>
    <row r="1184" spans="1:14" x14ac:dyDescent="0.25">
      <c r="A1184" s="13">
        <f t="shared" si="24"/>
        <v>36</v>
      </c>
      <c r="J1184" s="24"/>
      <c r="N1184" s="27"/>
    </row>
    <row r="1185" spans="1:14" x14ac:dyDescent="0.25">
      <c r="A1185" s="13">
        <f t="shared" si="24"/>
        <v>36</v>
      </c>
      <c r="J1185" s="24"/>
      <c r="N1185" s="27"/>
    </row>
    <row r="1186" spans="1:14" x14ac:dyDescent="0.25">
      <c r="A1186" s="13">
        <f t="shared" si="24"/>
        <v>36</v>
      </c>
      <c r="J1186" s="24"/>
      <c r="N1186" s="27"/>
    </row>
    <row r="1187" spans="1:14" x14ac:dyDescent="0.25">
      <c r="A1187" s="13">
        <f t="shared" si="24"/>
        <v>36</v>
      </c>
      <c r="J1187" s="24"/>
      <c r="N1187" s="27"/>
    </row>
    <row r="1188" spans="1:14" x14ac:dyDescent="0.25">
      <c r="A1188" s="13">
        <f t="shared" si="24"/>
        <v>36</v>
      </c>
      <c r="J1188" s="24"/>
      <c r="N1188" s="27"/>
    </row>
    <row r="1189" spans="1:14" x14ac:dyDescent="0.25">
      <c r="A1189" s="13">
        <f t="shared" si="24"/>
        <v>36</v>
      </c>
      <c r="J1189" s="24"/>
      <c r="N1189" s="27"/>
    </row>
    <row r="1190" spans="1:14" x14ac:dyDescent="0.25">
      <c r="A1190" s="13">
        <f t="shared" si="24"/>
        <v>36</v>
      </c>
      <c r="J1190" s="24"/>
      <c r="N1190" s="27"/>
    </row>
    <row r="1191" spans="1:14" x14ac:dyDescent="0.25">
      <c r="A1191" s="13">
        <f t="shared" si="24"/>
        <v>36</v>
      </c>
      <c r="J1191" s="24"/>
      <c r="N1191" s="27"/>
    </row>
    <row r="1192" spans="1:14" x14ac:dyDescent="0.25">
      <c r="A1192" s="13">
        <f t="shared" si="24"/>
        <v>36</v>
      </c>
      <c r="J1192" s="24"/>
      <c r="N1192" s="27"/>
    </row>
    <row r="1193" spans="1:14" x14ac:dyDescent="0.25">
      <c r="A1193" s="13">
        <f t="shared" si="24"/>
        <v>36</v>
      </c>
      <c r="J1193" s="24"/>
      <c r="N1193" s="27"/>
    </row>
    <row r="1194" spans="1:14" x14ac:dyDescent="0.25">
      <c r="A1194" s="13">
        <f t="shared" si="24"/>
        <v>36</v>
      </c>
      <c r="J1194" s="24"/>
      <c r="N1194" s="27"/>
    </row>
    <row r="1195" spans="1:14" x14ac:dyDescent="0.25">
      <c r="A1195" s="13">
        <f t="shared" si="24"/>
        <v>36</v>
      </c>
      <c r="J1195" s="24"/>
      <c r="N1195" s="27"/>
    </row>
    <row r="1196" spans="1:14" x14ac:dyDescent="0.25">
      <c r="A1196" s="13">
        <f t="shared" si="24"/>
        <v>36</v>
      </c>
      <c r="J1196" s="24"/>
      <c r="N1196" s="27"/>
    </row>
    <row r="1197" spans="1:14" x14ac:dyDescent="0.25">
      <c r="A1197" s="13">
        <f t="shared" si="24"/>
        <v>36</v>
      </c>
      <c r="J1197" s="24"/>
      <c r="N1197" s="27"/>
    </row>
    <row r="1198" spans="1:14" x14ac:dyDescent="0.25">
      <c r="A1198" s="13">
        <f t="shared" si="24"/>
        <v>36</v>
      </c>
      <c r="J1198" s="24"/>
      <c r="N1198" s="27"/>
    </row>
    <row r="1199" spans="1:14" x14ac:dyDescent="0.25">
      <c r="A1199" s="13">
        <f t="shared" si="24"/>
        <v>36</v>
      </c>
      <c r="J1199" s="24"/>
      <c r="N1199" s="27"/>
    </row>
    <row r="1200" spans="1:14" x14ac:dyDescent="0.25">
      <c r="A1200" s="13">
        <f t="shared" si="24"/>
        <v>36</v>
      </c>
      <c r="J1200" s="24"/>
      <c r="N1200" s="27"/>
    </row>
    <row r="1201" spans="1:14" x14ac:dyDescent="0.25">
      <c r="A1201" s="13">
        <f t="shared" si="24"/>
        <v>36</v>
      </c>
      <c r="J1201" s="24"/>
      <c r="N1201" s="27"/>
    </row>
    <row r="1202" spans="1:14" x14ac:dyDescent="0.25">
      <c r="A1202" s="13">
        <f t="shared" si="24"/>
        <v>36</v>
      </c>
      <c r="J1202" s="24"/>
      <c r="N1202" s="27"/>
    </row>
    <row r="1203" spans="1:14" x14ac:dyDescent="0.25">
      <c r="A1203" s="13">
        <f t="shared" si="24"/>
        <v>36</v>
      </c>
      <c r="J1203" s="24"/>
      <c r="N1203" s="27"/>
    </row>
    <row r="1204" spans="1:14" x14ac:dyDescent="0.25">
      <c r="A1204" s="13">
        <f t="shared" si="24"/>
        <v>36</v>
      </c>
      <c r="J1204" s="24"/>
      <c r="N1204" s="27"/>
    </row>
    <row r="1205" spans="1:14" x14ac:dyDescent="0.25">
      <c r="A1205" s="13">
        <f t="shared" si="24"/>
        <v>36</v>
      </c>
      <c r="J1205" s="24"/>
      <c r="N1205" s="27"/>
    </row>
    <row r="1206" spans="1:14" x14ac:dyDescent="0.25">
      <c r="A1206" s="13">
        <f t="shared" si="24"/>
        <v>36</v>
      </c>
      <c r="J1206" s="24"/>
      <c r="N1206" s="27"/>
    </row>
    <row r="1207" spans="1:14" x14ac:dyDescent="0.25">
      <c r="A1207" s="13">
        <f t="shared" si="24"/>
        <v>36</v>
      </c>
      <c r="J1207" s="24"/>
      <c r="N1207" s="27"/>
    </row>
    <row r="1208" spans="1:14" x14ac:dyDescent="0.25">
      <c r="A1208" s="13">
        <f t="shared" si="24"/>
        <v>36</v>
      </c>
      <c r="J1208" s="24"/>
      <c r="N1208" s="27"/>
    </row>
    <row r="1209" spans="1:14" x14ac:dyDescent="0.25">
      <c r="A1209" s="13">
        <f t="shared" si="24"/>
        <v>36</v>
      </c>
      <c r="J1209" s="24"/>
      <c r="N1209" s="27"/>
    </row>
    <row r="1210" spans="1:14" x14ac:dyDescent="0.25">
      <c r="A1210" s="13">
        <f t="shared" si="24"/>
        <v>36</v>
      </c>
      <c r="J1210" s="24"/>
      <c r="N1210" s="27"/>
    </row>
    <row r="1211" spans="1:14" x14ac:dyDescent="0.25">
      <c r="A1211" s="13">
        <f t="shared" si="24"/>
        <v>36</v>
      </c>
      <c r="J1211" s="24"/>
      <c r="N1211" s="27"/>
    </row>
    <row r="1212" spans="1:14" x14ac:dyDescent="0.25">
      <c r="A1212" s="13">
        <f t="shared" si="24"/>
        <v>36</v>
      </c>
      <c r="J1212" s="24"/>
      <c r="N1212" s="27"/>
    </row>
    <row r="1213" spans="1:14" x14ac:dyDescent="0.25">
      <c r="A1213" s="13">
        <f t="shared" si="24"/>
        <v>36</v>
      </c>
      <c r="J1213" s="24"/>
      <c r="N1213" s="27"/>
    </row>
    <row r="1214" spans="1:14" x14ac:dyDescent="0.25">
      <c r="A1214" s="13">
        <f t="shared" si="24"/>
        <v>36</v>
      </c>
      <c r="J1214" s="24"/>
      <c r="N1214" s="27"/>
    </row>
    <row r="1215" spans="1:14" x14ac:dyDescent="0.25">
      <c r="A1215" s="13">
        <f t="shared" si="24"/>
        <v>36</v>
      </c>
      <c r="J1215" s="24"/>
    </row>
    <row r="1216" spans="1:14" x14ac:dyDescent="0.25">
      <c r="A1216" s="13">
        <f t="shared" si="24"/>
        <v>36</v>
      </c>
      <c r="J1216" s="24"/>
    </row>
    <row r="1217" spans="1:10" x14ac:dyDescent="0.25">
      <c r="A1217" s="13">
        <f t="shared" si="24"/>
        <v>36</v>
      </c>
      <c r="J1217" s="24"/>
    </row>
    <row r="1218" spans="1:10" x14ac:dyDescent="0.25">
      <c r="A1218" s="13">
        <f t="shared" si="24"/>
        <v>36</v>
      </c>
      <c r="J1218" s="24"/>
    </row>
    <row r="1219" spans="1:10" x14ac:dyDescent="0.25">
      <c r="A1219" s="13">
        <f t="shared" si="24"/>
        <v>36</v>
      </c>
      <c r="J1219" s="24"/>
    </row>
    <row r="1220" spans="1:10" x14ac:dyDescent="0.25">
      <c r="A1220" s="13">
        <f t="shared" ref="A1220:A1283" si="25">IF(B1220=B1219,A1219,A1219+1)</f>
        <v>36</v>
      </c>
      <c r="J1220" s="24"/>
    </row>
    <row r="1221" spans="1:10" x14ac:dyDescent="0.25">
      <c r="A1221" s="13">
        <f t="shared" si="25"/>
        <v>36</v>
      </c>
      <c r="J1221" s="24"/>
    </row>
    <row r="1222" spans="1:10" x14ac:dyDescent="0.25">
      <c r="A1222" s="13">
        <f t="shared" si="25"/>
        <v>36</v>
      </c>
      <c r="J1222" s="24"/>
    </row>
    <row r="1223" spans="1:10" x14ac:dyDescent="0.25">
      <c r="A1223" s="13">
        <f t="shared" si="25"/>
        <v>36</v>
      </c>
      <c r="J1223" s="24"/>
    </row>
    <row r="1224" spans="1:10" x14ac:dyDescent="0.25">
      <c r="A1224" s="13">
        <f t="shared" si="25"/>
        <v>36</v>
      </c>
      <c r="J1224" s="24"/>
    </row>
    <row r="1225" spans="1:10" x14ac:dyDescent="0.25">
      <c r="A1225" s="13">
        <f t="shared" si="25"/>
        <v>36</v>
      </c>
      <c r="J1225" s="24"/>
    </row>
    <row r="1226" spans="1:10" x14ac:dyDescent="0.25">
      <c r="A1226" s="13">
        <f t="shared" si="25"/>
        <v>36</v>
      </c>
      <c r="J1226" s="24"/>
    </row>
    <row r="1227" spans="1:10" x14ac:dyDescent="0.25">
      <c r="A1227" s="13">
        <f t="shared" si="25"/>
        <v>36</v>
      </c>
      <c r="J1227" s="24"/>
    </row>
    <row r="1228" spans="1:10" x14ac:dyDescent="0.25">
      <c r="A1228" s="13">
        <f t="shared" si="25"/>
        <v>36</v>
      </c>
      <c r="J1228" s="24"/>
    </row>
    <row r="1229" spans="1:10" x14ac:dyDescent="0.25">
      <c r="A1229" s="13">
        <f t="shared" si="25"/>
        <v>36</v>
      </c>
      <c r="J1229" s="24"/>
    </row>
    <row r="1230" spans="1:10" x14ac:dyDescent="0.25">
      <c r="A1230" s="13">
        <f t="shared" si="25"/>
        <v>36</v>
      </c>
      <c r="J1230" s="24"/>
    </row>
    <row r="1231" spans="1:10" x14ac:dyDescent="0.25">
      <c r="A1231" s="13">
        <f t="shared" si="25"/>
        <v>36</v>
      </c>
      <c r="J1231" s="24"/>
    </row>
    <row r="1232" spans="1:10" x14ac:dyDescent="0.25">
      <c r="A1232" s="13">
        <f t="shared" si="25"/>
        <v>36</v>
      </c>
      <c r="J1232" s="24"/>
    </row>
    <row r="1233" spans="1:10" x14ac:dyDescent="0.25">
      <c r="A1233" s="13">
        <f t="shared" si="25"/>
        <v>36</v>
      </c>
      <c r="J1233" s="24"/>
    </row>
    <row r="1234" spans="1:10" x14ac:dyDescent="0.25">
      <c r="A1234" s="13">
        <f t="shared" si="25"/>
        <v>36</v>
      </c>
      <c r="J1234" s="24"/>
    </row>
    <row r="1235" spans="1:10" x14ac:dyDescent="0.25">
      <c r="A1235" s="13">
        <f t="shared" si="25"/>
        <v>36</v>
      </c>
      <c r="J1235" s="24"/>
    </row>
    <row r="1236" spans="1:10" x14ac:dyDescent="0.25">
      <c r="A1236" s="13">
        <f t="shared" si="25"/>
        <v>36</v>
      </c>
      <c r="J1236" s="24"/>
    </row>
    <row r="1237" spans="1:10" x14ac:dyDescent="0.25">
      <c r="A1237" s="13">
        <f t="shared" si="25"/>
        <v>36</v>
      </c>
    </row>
    <row r="1238" spans="1:10" x14ac:dyDescent="0.25">
      <c r="A1238" s="13">
        <f t="shared" si="25"/>
        <v>36</v>
      </c>
    </row>
    <row r="1239" spans="1:10" x14ac:dyDescent="0.25">
      <c r="A1239" s="13">
        <f t="shared" si="25"/>
        <v>36</v>
      </c>
    </row>
    <row r="1240" spans="1:10" x14ac:dyDescent="0.25">
      <c r="A1240" s="13">
        <f t="shared" si="25"/>
        <v>36</v>
      </c>
    </row>
    <row r="1241" spans="1:10" x14ac:dyDescent="0.25">
      <c r="A1241" s="13">
        <f t="shared" si="25"/>
        <v>36</v>
      </c>
    </row>
    <row r="1242" spans="1:10" x14ac:dyDescent="0.25">
      <c r="A1242" s="13">
        <f t="shared" si="25"/>
        <v>36</v>
      </c>
    </row>
    <row r="1243" spans="1:10" x14ac:dyDescent="0.25">
      <c r="A1243" s="13">
        <f t="shared" si="25"/>
        <v>36</v>
      </c>
    </row>
    <row r="1244" spans="1:10" x14ac:dyDescent="0.25">
      <c r="A1244" s="13">
        <f t="shared" si="25"/>
        <v>36</v>
      </c>
    </row>
    <row r="1245" spans="1:10" x14ac:dyDescent="0.25">
      <c r="A1245" s="13">
        <f t="shared" si="25"/>
        <v>36</v>
      </c>
    </row>
    <row r="1246" spans="1:10" x14ac:dyDescent="0.25">
      <c r="A1246" s="13">
        <f t="shared" si="25"/>
        <v>36</v>
      </c>
    </row>
    <row r="1247" spans="1:10" x14ac:dyDescent="0.25">
      <c r="A1247" s="13">
        <f t="shared" si="25"/>
        <v>36</v>
      </c>
    </row>
    <row r="1248" spans="1:10" x14ac:dyDescent="0.25">
      <c r="A1248" s="13">
        <f t="shared" si="25"/>
        <v>36</v>
      </c>
    </row>
    <row r="1249" spans="1:1" x14ac:dyDescent="0.25">
      <c r="A1249" s="13">
        <f t="shared" si="25"/>
        <v>36</v>
      </c>
    </row>
    <row r="1250" spans="1:1" x14ac:dyDescent="0.25">
      <c r="A1250" s="13">
        <f t="shared" si="25"/>
        <v>36</v>
      </c>
    </row>
    <row r="1251" spans="1:1" x14ac:dyDescent="0.25">
      <c r="A1251" s="13">
        <f t="shared" si="25"/>
        <v>36</v>
      </c>
    </row>
    <row r="1252" spans="1:1" x14ac:dyDescent="0.25">
      <c r="A1252" s="13">
        <f t="shared" si="25"/>
        <v>36</v>
      </c>
    </row>
    <row r="1253" spans="1:1" x14ac:dyDescent="0.25">
      <c r="A1253" s="13">
        <f t="shared" si="25"/>
        <v>36</v>
      </c>
    </row>
    <row r="1254" spans="1:1" x14ac:dyDescent="0.25">
      <c r="A1254" s="13">
        <f t="shared" si="25"/>
        <v>36</v>
      </c>
    </row>
    <row r="1255" spans="1:1" x14ac:dyDescent="0.25">
      <c r="A1255" s="13">
        <f t="shared" si="25"/>
        <v>36</v>
      </c>
    </row>
    <row r="1256" spans="1:1" x14ac:dyDescent="0.25">
      <c r="A1256" s="13">
        <f t="shared" si="25"/>
        <v>36</v>
      </c>
    </row>
    <row r="1257" spans="1:1" x14ac:dyDescent="0.25">
      <c r="A1257" s="13">
        <f t="shared" si="25"/>
        <v>36</v>
      </c>
    </row>
    <row r="1258" spans="1:1" x14ac:dyDescent="0.25">
      <c r="A1258" s="13">
        <f t="shared" si="25"/>
        <v>36</v>
      </c>
    </row>
    <row r="1259" spans="1:1" x14ac:dyDescent="0.25">
      <c r="A1259" s="13">
        <f t="shared" si="25"/>
        <v>36</v>
      </c>
    </row>
    <row r="1260" spans="1:1" x14ac:dyDescent="0.25">
      <c r="A1260" s="13">
        <f t="shared" si="25"/>
        <v>36</v>
      </c>
    </row>
    <row r="1261" spans="1:1" x14ac:dyDescent="0.25">
      <c r="A1261" s="13">
        <f t="shared" si="25"/>
        <v>36</v>
      </c>
    </row>
    <row r="1262" spans="1:1" x14ac:dyDescent="0.25">
      <c r="A1262" s="13">
        <f t="shared" si="25"/>
        <v>36</v>
      </c>
    </row>
    <row r="1263" spans="1:1" x14ac:dyDescent="0.25">
      <c r="A1263" s="13">
        <f t="shared" si="25"/>
        <v>36</v>
      </c>
    </row>
    <row r="1264" spans="1:1" x14ac:dyDescent="0.25">
      <c r="A1264" s="13">
        <f t="shared" si="25"/>
        <v>36</v>
      </c>
    </row>
    <row r="1265" spans="1:1" x14ac:dyDescent="0.25">
      <c r="A1265" s="13">
        <f t="shared" si="25"/>
        <v>36</v>
      </c>
    </row>
    <row r="1266" spans="1:1" x14ac:dyDescent="0.25">
      <c r="A1266" s="13">
        <f t="shared" si="25"/>
        <v>36</v>
      </c>
    </row>
    <row r="1267" spans="1:1" x14ac:dyDescent="0.25">
      <c r="A1267" s="13">
        <f t="shared" si="25"/>
        <v>36</v>
      </c>
    </row>
    <row r="1268" spans="1:1" x14ac:dyDescent="0.25">
      <c r="A1268" s="13">
        <f t="shared" si="25"/>
        <v>36</v>
      </c>
    </row>
    <row r="1269" spans="1:1" x14ac:dyDescent="0.25">
      <c r="A1269" s="13">
        <f t="shared" si="25"/>
        <v>36</v>
      </c>
    </row>
    <row r="1270" spans="1:1" x14ac:dyDescent="0.25">
      <c r="A1270" s="13">
        <f t="shared" si="25"/>
        <v>36</v>
      </c>
    </row>
    <row r="1271" spans="1:1" x14ac:dyDescent="0.25">
      <c r="A1271" s="13">
        <f t="shared" si="25"/>
        <v>36</v>
      </c>
    </row>
    <row r="1272" spans="1:1" x14ac:dyDescent="0.25">
      <c r="A1272" s="13">
        <f t="shared" si="25"/>
        <v>36</v>
      </c>
    </row>
    <row r="1273" spans="1:1" x14ac:dyDescent="0.25">
      <c r="A1273" s="13">
        <f t="shared" si="25"/>
        <v>36</v>
      </c>
    </row>
    <row r="1274" spans="1:1" x14ac:dyDescent="0.25">
      <c r="A1274" s="13">
        <f t="shared" si="25"/>
        <v>36</v>
      </c>
    </row>
    <row r="1275" spans="1:1" x14ac:dyDescent="0.25">
      <c r="A1275" s="13">
        <f t="shared" si="25"/>
        <v>36</v>
      </c>
    </row>
    <row r="1276" spans="1:1" x14ac:dyDescent="0.25">
      <c r="A1276" s="13">
        <f t="shared" si="25"/>
        <v>36</v>
      </c>
    </row>
    <row r="1277" spans="1:1" x14ac:dyDescent="0.25">
      <c r="A1277" s="13">
        <f t="shared" si="25"/>
        <v>36</v>
      </c>
    </row>
    <row r="1278" spans="1:1" x14ac:dyDescent="0.25">
      <c r="A1278" s="13">
        <f t="shared" si="25"/>
        <v>36</v>
      </c>
    </row>
    <row r="1279" spans="1:1" x14ac:dyDescent="0.25">
      <c r="A1279" s="13">
        <f t="shared" si="25"/>
        <v>36</v>
      </c>
    </row>
    <row r="1280" spans="1:1" x14ac:dyDescent="0.25">
      <c r="A1280" s="13">
        <f t="shared" si="25"/>
        <v>36</v>
      </c>
    </row>
    <row r="1281" spans="1:1" x14ac:dyDescent="0.25">
      <c r="A1281" s="13">
        <f t="shared" si="25"/>
        <v>36</v>
      </c>
    </row>
    <row r="1282" spans="1:1" x14ac:dyDescent="0.25">
      <c r="A1282" s="13">
        <f t="shared" si="25"/>
        <v>36</v>
      </c>
    </row>
    <row r="1283" spans="1:1" x14ac:dyDescent="0.25">
      <c r="A1283" s="13">
        <f t="shared" si="25"/>
        <v>36</v>
      </c>
    </row>
    <row r="1284" spans="1:1" x14ac:dyDescent="0.25">
      <c r="A1284" s="13">
        <f t="shared" ref="A1284:A1347" si="26">IF(B1284=B1283,A1283,A1283+1)</f>
        <v>36</v>
      </c>
    </row>
    <row r="1285" spans="1:1" x14ac:dyDescent="0.25">
      <c r="A1285" s="13">
        <f t="shared" si="26"/>
        <v>36</v>
      </c>
    </row>
    <row r="1286" spans="1:1" x14ac:dyDescent="0.25">
      <c r="A1286" s="13">
        <f t="shared" si="26"/>
        <v>36</v>
      </c>
    </row>
    <row r="1287" spans="1:1" x14ac:dyDescent="0.25">
      <c r="A1287" s="13">
        <f t="shared" si="26"/>
        <v>36</v>
      </c>
    </row>
    <row r="1288" spans="1:1" x14ac:dyDescent="0.25">
      <c r="A1288" s="13">
        <f t="shared" si="26"/>
        <v>36</v>
      </c>
    </row>
    <row r="1289" spans="1:1" x14ac:dyDescent="0.25">
      <c r="A1289" s="13">
        <f t="shared" si="26"/>
        <v>36</v>
      </c>
    </row>
    <row r="1290" spans="1:1" x14ac:dyDescent="0.25">
      <c r="A1290" s="13">
        <f t="shared" si="26"/>
        <v>36</v>
      </c>
    </row>
    <row r="1291" spans="1:1" x14ac:dyDescent="0.25">
      <c r="A1291" s="13">
        <f t="shared" si="26"/>
        <v>36</v>
      </c>
    </row>
    <row r="1292" spans="1:1" x14ac:dyDescent="0.25">
      <c r="A1292" s="13">
        <f t="shared" si="26"/>
        <v>36</v>
      </c>
    </row>
    <row r="1293" spans="1:1" x14ac:dyDescent="0.25">
      <c r="A1293" s="13">
        <f t="shared" si="26"/>
        <v>36</v>
      </c>
    </row>
    <row r="1294" spans="1:1" x14ac:dyDescent="0.25">
      <c r="A1294" s="13">
        <f t="shared" si="26"/>
        <v>36</v>
      </c>
    </row>
    <row r="1295" spans="1:1" x14ac:dyDescent="0.25">
      <c r="A1295" s="13">
        <f t="shared" si="26"/>
        <v>36</v>
      </c>
    </row>
    <row r="1296" spans="1:1" x14ac:dyDescent="0.25">
      <c r="A1296" s="13">
        <f t="shared" si="26"/>
        <v>36</v>
      </c>
    </row>
    <row r="1297" spans="1:1" x14ac:dyDescent="0.25">
      <c r="A1297" s="13">
        <f t="shared" si="26"/>
        <v>36</v>
      </c>
    </row>
    <row r="1298" spans="1:1" x14ac:dyDescent="0.25">
      <c r="A1298" s="13">
        <f t="shared" si="26"/>
        <v>36</v>
      </c>
    </row>
    <row r="1299" spans="1:1" x14ac:dyDescent="0.25">
      <c r="A1299" s="13">
        <f t="shared" si="26"/>
        <v>36</v>
      </c>
    </row>
    <row r="1300" spans="1:1" x14ac:dyDescent="0.25">
      <c r="A1300" s="13">
        <f t="shared" si="26"/>
        <v>36</v>
      </c>
    </row>
    <row r="1301" spans="1:1" x14ac:dyDescent="0.25">
      <c r="A1301" s="13">
        <f t="shared" si="26"/>
        <v>36</v>
      </c>
    </row>
    <row r="1302" spans="1:1" x14ac:dyDescent="0.25">
      <c r="A1302" s="13">
        <f t="shared" si="26"/>
        <v>36</v>
      </c>
    </row>
    <row r="1303" spans="1:1" x14ac:dyDescent="0.25">
      <c r="A1303" s="13">
        <f t="shared" si="26"/>
        <v>36</v>
      </c>
    </row>
    <row r="1304" spans="1:1" x14ac:dyDescent="0.25">
      <c r="A1304" s="13">
        <f t="shared" si="26"/>
        <v>36</v>
      </c>
    </row>
    <row r="1305" spans="1:1" x14ac:dyDescent="0.25">
      <c r="A1305" s="13">
        <f t="shared" si="26"/>
        <v>36</v>
      </c>
    </row>
    <row r="1306" spans="1:1" x14ac:dyDescent="0.25">
      <c r="A1306" s="13">
        <f t="shared" si="26"/>
        <v>36</v>
      </c>
    </row>
    <row r="1307" spans="1:1" x14ac:dyDescent="0.25">
      <c r="A1307" s="13">
        <f t="shared" si="26"/>
        <v>36</v>
      </c>
    </row>
    <row r="1308" spans="1:1" x14ac:dyDescent="0.25">
      <c r="A1308" s="13">
        <f t="shared" si="26"/>
        <v>36</v>
      </c>
    </row>
    <row r="1309" spans="1:1" x14ac:dyDescent="0.25">
      <c r="A1309" s="13">
        <f t="shared" si="26"/>
        <v>36</v>
      </c>
    </row>
    <row r="1310" spans="1:1" x14ac:dyDescent="0.25">
      <c r="A1310" s="13">
        <f t="shared" si="26"/>
        <v>36</v>
      </c>
    </row>
    <row r="1311" spans="1:1" x14ac:dyDescent="0.25">
      <c r="A1311" s="13">
        <f t="shared" si="26"/>
        <v>36</v>
      </c>
    </row>
    <row r="1312" spans="1:1" x14ac:dyDescent="0.25">
      <c r="A1312" s="13">
        <f t="shared" si="26"/>
        <v>36</v>
      </c>
    </row>
    <row r="1313" spans="1:1" x14ac:dyDescent="0.25">
      <c r="A1313" s="13">
        <f t="shared" si="26"/>
        <v>36</v>
      </c>
    </row>
    <row r="1314" spans="1:1" x14ac:dyDescent="0.25">
      <c r="A1314" s="13">
        <f t="shared" si="26"/>
        <v>36</v>
      </c>
    </row>
    <row r="1315" spans="1:1" x14ac:dyDescent="0.25">
      <c r="A1315" s="13">
        <f t="shared" si="26"/>
        <v>36</v>
      </c>
    </row>
    <row r="1316" spans="1:1" x14ac:dyDescent="0.25">
      <c r="A1316" s="13">
        <f t="shared" si="26"/>
        <v>36</v>
      </c>
    </row>
    <row r="1317" spans="1:1" x14ac:dyDescent="0.25">
      <c r="A1317" s="13">
        <f t="shared" si="26"/>
        <v>36</v>
      </c>
    </row>
    <row r="1318" spans="1:1" x14ac:dyDescent="0.25">
      <c r="A1318" s="13">
        <f t="shared" si="26"/>
        <v>36</v>
      </c>
    </row>
    <row r="1319" spans="1:1" x14ac:dyDescent="0.25">
      <c r="A1319" s="13">
        <f t="shared" si="26"/>
        <v>36</v>
      </c>
    </row>
    <row r="1320" spans="1:1" x14ac:dyDescent="0.25">
      <c r="A1320" s="13">
        <f t="shared" si="26"/>
        <v>36</v>
      </c>
    </row>
    <row r="1321" spans="1:1" x14ac:dyDescent="0.25">
      <c r="A1321" s="13">
        <f t="shared" si="26"/>
        <v>36</v>
      </c>
    </row>
    <row r="1322" spans="1:1" x14ac:dyDescent="0.25">
      <c r="A1322" s="13">
        <f t="shared" si="26"/>
        <v>36</v>
      </c>
    </row>
    <row r="1323" spans="1:1" x14ac:dyDescent="0.25">
      <c r="A1323" s="13">
        <f t="shared" si="26"/>
        <v>36</v>
      </c>
    </row>
    <row r="1324" spans="1:1" x14ac:dyDescent="0.25">
      <c r="A1324" s="13">
        <f t="shared" si="26"/>
        <v>36</v>
      </c>
    </row>
    <row r="1325" spans="1:1" x14ac:dyDescent="0.25">
      <c r="A1325" s="13">
        <f t="shared" si="26"/>
        <v>36</v>
      </c>
    </row>
    <row r="1326" spans="1:1" x14ac:dyDescent="0.25">
      <c r="A1326" s="13">
        <f t="shared" si="26"/>
        <v>36</v>
      </c>
    </row>
    <row r="1327" spans="1:1" x14ac:dyDescent="0.25">
      <c r="A1327" s="13">
        <f t="shared" si="26"/>
        <v>36</v>
      </c>
    </row>
    <row r="1328" spans="1:1" x14ac:dyDescent="0.25">
      <c r="A1328" s="13">
        <f t="shared" si="26"/>
        <v>36</v>
      </c>
    </row>
    <row r="1329" spans="1:1" x14ac:dyDescent="0.25">
      <c r="A1329" s="13">
        <f t="shared" si="26"/>
        <v>36</v>
      </c>
    </row>
    <row r="1330" spans="1:1" x14ac:dyDescent="0.25">
      <c r="A1330" s="13">
        <f t="shared" si="26"/>
        <v>36</v>
      </c>
    </row>
    <row r="1331" spans="1:1" x14ac:dyDescent="0.25">
      <c r="A1331" s="13">
        <f t="shared" si="26"/>
        <v>36</v>
      </c>
    </row>
    <row r="1332" spans="1:1" x14ac:dyDescent="0.25">
      <c r="A1332" s="13">
        <f t="shared" si="26"/>
        <v>36</v>
      </c>
    </row>
    <row r="1333" spans="1:1" x14ac:dyDescent="0.25">
      <c r="A1333" s="13">
        <f t="shared" si="26"/>
        <v>36</v>
      </c>
    </row>
    <row r="1334" spans="1:1" x14ac:dyDescent="0.25">
      <c r="A1334" s="13">
        <f t="shared" si="26"/>
        <v>36</v>
      </c>
    </row>
    <row r="1335" spans="1:1" x14ac:dyDescent="0.25">
      <c r="A1335" s="13">
        <f t="shared" si="26"/>
        <v>36</v>
      </c>
    </row>
    <row r="1336" spans="1:1" x14ac:dyDescent="0.25">
      <c r="A1336" s="13">
        <f t="shared" si="26"/>
        <v>36</v>
      </c>
    </row>
    <row r="1337" spans="1:1" x14ac:dyDescent="0.25">
      <c r="A1337" s="13">
        <f t="shared" si="26"/>
        <v>36</v>
      </c>
    </row>
    <row r="1338" spans="1:1" x14ac:dyDescent="0.25">
      <c r="A1338" s="13">
        <f t="shared" si="26"/>
        <v>36</v>
      </c>
    </row>
    <row r="1339" spans="1:1" x14ac:dyDescent="0.25">
      <c r="A1339" s="13">
        <f t="shared" si="26"/>
        <v>36</v>
      </c>
    </row>
    <row r="1340" spans="1:1" x14ac:dyDescent="0.25">
      <c r="A1340" s="13">
        <f t="shared" si="26"/>
        <v>36</v>
      </c>
    </row>
    <row r="1341" spans="1:1" x14ac:dyDescent="0.25">
      <c r="A1341" s="13">
        <f t="shared" si="26"/>
        <v>36</v>
      </c>
    </row>
    <row r="1342" spans="1:1" x14ac:dyDescent="0.25">
      <c r="A1342" s="13">
        <f t="shared" si="26"/>
        <v>36</v>
      </c>
    </row>
    <row r="1343" spans="1:1" x14ac:dyDescent="0.25">
      <c r="A1343" s="13">
        <f t="shared" si="26"/>
        <v>36</v>
      </c>
    </row>
    <row r="1344" spans="1:1" x14ac:dyDescent="0.25">
      <c r="A1344" s="13">
        <f t="shared" si="26"/>
        <v>36</v>
      </c>
    </row>
    <row r="1345" spans="1:1" x14ac:dyDescent="0.25">
      <c r="A1345" s="13">
        <f t="shared" si="26"/>
        <v>36</v>
      </c>
    </row>
    <row r="1346" spans="1:1" x14ac:dyDescent="0.25">
      <c r="A1346" s="13">
        <f t="shared" si="26"/>
        <v>36</v>
      </c>
    </row>
    <row r="1347" spans="1:1" x14ac:dyDescent="0.25">
      <c r="A1347" s="13">
        <f t="shared" si="26"/>
        <v>36</v>
      </c>
    </row>
    <row r="1348" spans="1:1" x14ac:dyDescent="0.25">
      <c r="A1348" s="13">
        <f t="shared" ref="A1348:A1411" si="27">IF(B1348=B1347,A1347,A1347+1)</f>
        <v>36</v>
      </c>
    </row>
    <row r="1349" spans="1:1" x14ac:dyDescent="0.25">
      <c r="A1349" s="13">
        <f t="shared" si="27"/>
        <v>36</v>
      </c>
    </row>
    <row r="1350" spans="1:1" x14ac:dyDescent="0.25">
      <c r="A1350" s="13">
        <f t="shared" si="27"/>
        <v>36</v>
      </c>
    </row>
    <row r="1351" spans="1:1" x14ac:dyDescent="0.25">
      <c r="A1351" s="13">
        <f t="shared" si="27"/>
        <v>36</v>
      </c>
    </row>
    <row r="1352" spans="1:1" x14ac:dyDescent="0.25">
      <c r="A1352" s="13">
        <f t="shared" si="27"/>
        <v>36</v>
      </c>
    </row>
    <row r="1353" spans="1:1" x14ac:dyDescent="0.25">
      <c r="A1353" s="13">
        <f t="shared" si="27"/>
        <v>36</v>
      </c>
    </row>
    <row r="1354" spans="1:1" x14ac:dyDescent="0.25">
      <c r="A1354" s="13">
        <f t="shared" si="27"/>
        <v>36</v>
      </c>
    </row>
    <row r="1355" spans="1:1" x14ac:dyDescent="0.25">
      <c r="A1355" s="13">
        <f t="shared" si="27"/>
        <v>36</v>
      </c>
    </row>
    <row r="1356" spans="1:1" x14ac:dyDescent="0.25">
      <c r="A1356" s="13">
        <f t="shared" si="27"/>
        <v>36</v>
      </c>
    </row>
    <row r="1357" spans="1:1" x14ac:dyDescent="0.25">
      <c r="A1357" s="13">
        <f t="shared" si="27"/>
        <v>36</v>
      </c>
    </row>
    <row r="1358" spans="1:1" x14ac:dyDescent="0.25">
      <c r="A1358" s="13">
        <f t="shared" si="27"/>
        <v>36</v>
      </c>
    </row>
    <row r="1359" spans="1:1" x14ac:dyDescent="0.25">
      <c r="A1359" s="13">
        <f t="shared" si="27"/>
        <v>36</v>
      </c>
    </row>
    <row r="1360" spans="1:1" x14ac:dyDescent="0.25">
      <c r="A1360" s="13">
        <f t="shared" si="27"/>
        <v>36</v>
      </c>
    </row>
    <row r="1361" spans="1:1" x14ac:dyDescent="0.25">
      <c r="A1361" s="13">
        <f t="shared" si="27"/>
        <v>36</v>
      </c>
    </row>
    <row r="1362" spans="1:1" x14ac:dyDescent="0.25">
      <c r="A1362" s="13">
        <f t="shared" si="27"/>
        <v>36</v>
      </c>
    </row>
    <row r="1363" spans="1:1" x14ac:dyDescent="0.25">
      <c r="A1363" s="13">
        <f t="shared" si="27"/>
        <v>36</v>
      </c>
    </row>
    <row r="1364" spans="1:1" x14ac:dyDescent="0.25">
      <c r="A1364" s="13">
        <f t="shared" si="27"/>
        <v>36</v>
      </c>
    </row>
    <row r="1365" spans="1:1" x14ac:dyDescent="0.25">
      <c r="A1365" s="13">
        <f t="shared" si="27"/>
        <v>36</v>
      </c>
    </row>
    <row r="1366" spans="1:1" x14ac:dyDescent="0.25">
      <c r="A1366" s="13">
        <f t="shared" si="27"/>
        <v>36</v>
      </c>
    </row>
    <row r="1367" spans="1:1" x14ac:dyDescent="0.25">
      <c r="A1367" s="13">
        <f t="shared" si="27"/>
        <v>36</v>
      </c>
    </row>
    <row r="1368" spans="1:1" x14ac:dyDescent="0.25">
      <c r="A1368" s="13">
        <f t="shared" si="27"/>
        <v>36</v>
      </c>
    </row>
    <row r="1369" spans="1:1" x14ac:dyDescent="0.25">
      <c r="A1369" s="13">
        <f t="shared" si="27"/>
        <v>36</v>
      </c>
    </row>
    <row r="1370" spans="1:1" x14ac:dyDescent="0.25">
      <c r="A1370" s="13">
        <f t="shared" si="27"/>
        <v>36</v>
      </c>
    </row>
    <row r="1371" spans="1:1" x14ac:dyDescent="0.25">
      <c r="A1371" s="13">
        <f t="shared" si="27"/>
        <v>36</v>
      </c>
    </row>
    <row r="1372" spans="1:1" x14ac:dyDescent="0.25">
      <c r="A1372" s="13">
        <f t="shared" si="27"/>
        <v>36</v>
      </c>
    </row>
    <row r="1373" spans="1:1" x14ac:dyDescent="0.25">
      <c r="A1373" s="13">
        <f t="shared" si="27"/>
        <v>36</v>
      </c>
    </row>
    <row r="1374" spans="1:1" x14ac:dyDescent="0.25">
      <c r="A1374" s="13">
        <f t="shared" si="27"/>
        <v>36</v>
      </c>
    </row>
    <row r="1375" spans="1:1" x14ac:dyDescent="0.25">
      <c r="A1375" s="13">
        <f t="shared" si="27"/>
        <v>36</v>
      </c>
    </row>
    <row r="1376" spans="1:1" x14ac:dyDescent="0.25">
      <c r="A1376" s="13">
        <f t="shared" si="27"/>
        <v>36</v>
      </c>
    </row>
    <row r="1377" spans="1:1" x14ac:dyDescent="0.25">
      <c r="A1377" s="13">
        <f t="shared" si="27"/>
        <v>36</v>
      </c>
    </row>
    <row r="1378" spans="1:1" x14ac:dyDescent="0.25">
      <c r="A1378" s="13">
        <f t="shared" si="27"/>
        <v>36</v>
      </c>
    </row>
    <row r="1379" spans="1:1" x14ac:dyDescent="0.25">
      <c r="A1379" s="13">
        <f t="shared" si="27"/>
        <v>36</v>
      </c>
    </row>
    <row r="1380" spans="1:1" x14ac:dyDescent="0.25">
      <c r="A1380" s="13">
        <f t="shared" si="27"/>
        <v>36</v>
      </c>
    </row>
    <row r="1381" spans="1:1" x14ac:dyDescent="0.25">
      <c r="A1381" s="13">
        <f t="shared" si="27"/>
        <v>36</v>
      </c>
    </row>
    <row r="1382" spans="1:1" x14ac:dyDescent="0.25">
      <c r="A1382" s="13">
        <f t="shared" si="27"/>
        <v>36</v>
      </c>
    </row>
    <row r="1383" spans="1:1" x14ac:dyDescent="0.25">
      <c r="A1383" s="13">
        <f t="shared" si="27"/>
        <v>36</v>
      </c>
    </row>
    <row r="1384" spans="1:1" x14ac:dyDescent="0.25">
      <c r="A1384" s="13">
        <f t="shared" si="27"/>
        <v>36</v>
      </c>
    </row>
    <row r="1385" spans="1:1" x14ac:dyDescent="0.25">
      <c r="A1385" s="13">
        <f t="shared" si="27"/>
        <v>36</v>
      </c>
    </row>
    <row r="1386" spans="1:1" x14ac:dyDescent="0.25">
      <c r="A1386" s="13">
        <f t="shared" si="27"/>
        <v>36</v>
      </c>
    </row>
    <row r="1387" spans="1:1" x14ac:dyDescent="0.25">
      <c r="A1387" s="13">
        <f t="shared" si="27"/>
        <v>36</v>
      </c>
    </row>
    <row r="1388" spans="1:1" x14ac:dyDescent="0.25">
      <c r="A1388" s="13">
        <f t="shared" si="27"/>
        <v>36</v>
      </c>
    </row>
    <row r="1389" spans="1:1" x14ac:dyDescent="0.25">
      <c r="A1389" s="13">
        <f t="shared" si="27"/>
        <v>36</v>
      </c>
    </row>
    <row r="1390" spans="1:1" x14ac:dyDescent="0.25">
      <c r="A1390" s="13">
        <f t="shared" si="27"/>
        <v>36</v>
      </c>
    </row>
    <row r="1391" spans="1:1" x14ac:dyDescent="0.25">
      <c r="A1391" s="13">
        <f t="shared" si="27"/>
        <v>36</v>
      </c>
    </row>
    <row r="1392" spans="1:1" x14ac:dyDescent="0.25">
      <c r="A1392" s="13">
        <f t="shared" si="27"/>
        <v>36</v>
      </c>
    </row>
    <row r="1393" spans="1:1" x14ac:dyDescent="0.25">
      <c r="A1393" s="13">
        <f t="shared" si="27"/>
        <v>36</v>
      </c>
    </row>
    <row r="1394" spans="1:1" x14ac:dyDescent="0.25">
      <c r="A1394" s="13">
        <f t="shared" si="27"/>
        <v>36</v>
      </c>
    </row>
    <row r="1395" spans="1:1" x14ac:dyDescent="0.25">
      <c r="A1395" s="13">
        <f t="shared" si="27"/>
        <v>36</v>
      </c>
    </row>
    <row r="1396" spans="1:1" x14ac:dyDescent="0.25">
      <c r="A1396" s="13">
        <f t="shared" si="27"/>
        <v>36</v>
      </c>
    </row>
    <row r="1397" spans="1:1" x14ac:dyDescent="0.25">
      <c r="A1397" s="13">
        <f t="shared" si="27"/>
        <v>36</v>
      </c>
    </row>
    <row r="1398" spans="1:1" x14ac:dyDescent="0.25">
      <c r="A1398" s="13">
        <f t="shared" si="27"/>
        <v>36</v>
      </c>
    </row>
    <row r="1399" spans="1:1" x14ac:dyDescent="0.25">
      <c r="A1399" s="13">
        <f t="shared" si="27"/>
        <v>36</v>
      </c>
    </row>
    <row r="1400" spans="1:1" x14ac:dyDescent="0.25">
      <c r="A1400" s="13">
        <f t="shared" si="27"/>
        <v>36</v>
      </c>
    </row>
    <row r="1401" spans="1:1" x14ac:dyDescent="0.25">
      <c r="A1401" s="13">
        <f t="shared" si="27"/>
        <v>36</v>
      </c>
    </row>
    <row r="1402" spans="1:1" x14ac:dyDescent="0.25">
      <c r="A1402" s="13">
        <f t="shared" si="27"/>
        <v>36</v>
      </c>
    </row>
    <row r="1403" spans="1:1" x14ac:dyDescent="0.25">
      <c r="A1403" s="13">
        <f t="shared" si="27"/>
        <v>36</v>
      </c>
    </row>
    <row r="1404" spans="1:1" x14ac:dyDescent="0.25">
      <c r="A1404" s="13">
        <f t="shared" si="27"/>
        <v>36</v>
      </c>
    </row>
    <row r="1405" spans="1:1" x14ac:dyDescent="0.25">
      <c r="A1405" s="13">
        <f t="shared" si="27"/>
        <v>36</v>
      </c>
    </row>
    <row r="1406" spans="1:1" x14ac:dyDescent="0.25">
      <c r="A1406" s="13">
        <f t="shared" si="27"/>
        <v>36</v>
      </c>
    </row>
    <row r="1407" spans="1:1" x14ac:dyDescent="0.25">
      <c r="A1407" s="13">
        <f t="shared" si="27"/>
        <v>36</v>
      </c>
    </row>
    <row r="1408" spans="1:1" x14ac:dyDescent="0.25">
      <c r="A1408" s="13">
        <f t="shared" si="27"/>
        <v>36</v>
      </c>
    </row>
    <row r="1409" spans="1:1" x14ac:dyDescent="0.25">
      <c r="A1409" s="13">
        <f t="shared" si="27"/>
        <v>36</v>
      </c>
    </row>
    <row r="1410" spans="1:1" x14ac:dyDescent="0.25">
      <c r="A1410" s="13">
        <f t="shared" si="27"/>
        <v>36</v>
      </c>
    </row>
    <row r="1411" spans="1:1" x14ac:dyDescent="0.25">
      <c r="A1411" s="13">
        <f t="shared" si="27"/>
        <v>36</v>
      </c>
    </row>
    <row r="1412" spans="1:1" x14ac:dyDescent="0.25">
      <c r="A1412" s="13">
        <f t="shared" ref="A1412:A1475" si="28">IF(B1412=B1411,A1411,A1411+1)</f>
        <v>36</v>
      </c>
    </row>
    <row r="1413" spans="1:1" x14ac:dyDescent="0.25">
      <c r="A1413" s="13">
        <f t="shared" si="28"/>
        <v>36</v>
      </c>
    </row>
    <row r="1414" spans="1:1" x14ac:dyDescent="0.25">
      <c r="A1414" s="13">
        <f t="shared" si="28"/>
        <v>36</v>
      </c>
    </row>
    <row r="1415" spans="1:1" x14ac:dyDescent="0.25">
      <c r="A1415" s="13">
        <f t="shared" si="28"/>
        <v>36</v>
      </c>
    </row>
    <row r="1416" spans="1:1" x14ac:dyDescent="0.25">
      <c r="A1416" s="13">
        <f t="shared" si="28"/>
        <v>36</v>
      </c>
    </row>
    <row r="1417" spans="1:1" x14ac:dyDescent="0.25">
      <c r="A1417" s="13">
        <f t="shared" si="28"/>
        <v>36</v>
      </c>
    </row>
    <row r="1418" spans="1:1" x14ac:dyDescent="0.25">
      <c r="A1418" s="13">
        <f t="shared" si="28"/>
        <v>36</v>
      </c>
    </row>
    <row r="1419" spans="1:1" x14ac:dyDescent="0.25">
      <c r="A1419" s="13">
        <f t="shared" si="28"/>
        <v>36</v>
      </c>
    </row>
    <row r="1420" spans="1:1" x14ac:dyDescent="0.25">
      <c r="A1420" s="13">
        <f t="shared" si="28"/>
        <v>36</v>
      </c>
    </row>
    <row r="1421" spans="1:1" x14ac:dyDescent="0.25">
      <c r="A1421" s="13">
        <f t="shared" si="28"/>
        <v>36</v>
      </c>
    </row>
    <row r="1422" spans="1:1" x14ac:dyDescent="0.25">
      <c r="A1422" s="13">
        <f t="shared" si="28"/>
        <v>36</v>
      </c>
    </row>
    <row r="1423" spans="1:1" x14ac:dyDescent="0.25">
      <c r="A1423" s="13">
        <f t="shared" si="28"/>
        <v>36</v>
      </c>
    </row>
    <row r="1424" spans="1:1" x14ac:dyDescent="0.25">
      <c r="A1424" s="13">
        <f t="shared" si="28"/>
        <v>36</v>
      </c>
    </row>
    <row r="1425" spans="1:1" x14ac:dyDescent="0.25">
      <c r="A1425" s="13">
        <f t="shared" si="28"/>
        <v>36</v>
      </c>
    </row>
    <row r="1426" spans="1:1" x14ac:dyDescent="0.25">
      <c r="A1426" s="13">
        <f t="shared" si="28"/>
        <v>36</v>
      </c>
    </row>
    <row r="1427" spans="1:1" x14ac:dyDescent="0.25">
      <c r="A1427" s="13">
        <f t="shared" si="28"/>
        <v>36</v>
      </c>
    </row>
    <row r="1428" spans="1:1" x14ac:dyDescent="0.25">
      <c r="A1428" s="13">
        <f t="shared" si="28"/>
        <v>36</v>
      </c>
    </row>
    <row r="1429" spans="1:1" x14ac:dyDescent="0.25">
      <c r="A1429" s="13">
        <f t="shared" si="28"/>
        <v>36</v>
      </c>
    </row>
    <row r="1430" spans="1:1" x14ac:dyDescent="0.25">
      <c r="A1430" s="13">
        <f t="shared" si="28"/>
        <v>36</v>
      </c>
    </row>
    <row r="1431" spans="1:1" x14ac:dyDescent="0.25">
      <c r="A1431" s="13">
        <f t="shared" si="28"/>
        <v>36</v>
      </c>
    </row>
    <row r="1432" spans="1:1" x14ac:dyDescent="0.25">
      <c r="A1432" s="13">
        <f t="shared" si="28"/>
        <v>36</v>
      </c>
    </row>
    <row r="1433" spans="1:1" x14ac:dyDescent="0.25">
      <c r="A1433" s="13">
        <f t="shared" si="28"/>
        <v>36</v>
      </c>
    </row>
    <row r="1434" spans="1:1" x14ac:dyDescent="0.25">
      <c r="A1434" s="13">
        <f t="shared" si="28"/>
        <v>36</v>
      </c>
    </row>
    <row r="1435" spans="1:1" x14ac:dyDescent="0.25">
      <c r="A1435" s="13">
        <f t="shared" si="28"/>
        <v>36</v>
      </c>
    </row>
    <row r="1436" spans="1:1" x14ac:dyDescent="0.25">
      <c r="A1436" s="13">
        <f t="shared" si="28"/>
        <v>36</v>
      </c>
    </row>
    <row r="1437" spans="1:1" x14ac:dyDescent="0.25">
      <c r="A1437" s="13">
        <f t="shared" si="28"/>
        <v>36</v>
      </c>
    </row>
    <row r="1438" spans="1:1" x14ac:dyDescent="0.25">
      <c r="A1438" s="13">
        <f t="shared" si="28"/>
        <v>36</v>
      </c>
    </row>
    <row r="1439" spans="1:1" x14ac:dyDescent="0.25">
      <c r="A1439" s="13">
        <f t="shared" si="28"/>
        <v>36</v>
      </c>
    </row>
    <row r="1440" spans="1:1" x14ac:dyDescent="0.25">
      <c r="A1440" s="13">
        <f t="shared" si="28"/>
        <v>36</v>
      </c>
    </row>
    <row r="1441" spans="1:1" x14ac:dyDescent="0.25">
      <c r="A1441" s="13">
        <f t="shared" si="28"/>
        <v>36</v>
      </c>
    </row>
    <row r="1442" spans="1:1" x14ac:dyDescent="0.25">
      <c r="A1442" s="13">
        <f t="shared" si="28"/>
        <v>36</v>
      </c>
    </row>
    <row r="1443" spans="1:1" x14ac:dyDescent="0.25">
      <c r="A1443" s="13">
        <f t="shared" si="28"/>
        <v>36</v>
      </c>
    </row>
    <row r="1444" spans="1:1" x14ac:dyDescent="0.25">
      <c r="A1444" s="13">
        <f t="shared" si="28"/>
        <v>36</v>
      </c>
    </row>
    <row r="1445" spans="1:1" x14ac:dyDescent="0.25">
      <c r="A1445" s="13">
        <f t="shared" si="28"/>
        <v>36</v>
      </c>
    </row>
    <row r="1446" spans="1:1" x14ac:dyDescent="0.25">
      <c r="A1446" s="13">
        <f t="shared" si="28"/>
        <v>36</v>
      </c>
    </row>
    <row r="1447" spans="1:1" x14ac:dyDescent="0.25">
      <c r="A1447" s="13">
        <f t="shared" si="28"/>
        <v>36</v>
      </c>
    </row>
    <row r="1448" spans="1:1" x14ac:dyDescent="0.25">
      <c r="A1448" s="13">
        <f t="shared" si="28"/>
        <v>36</v>
      </c>
    </row>
    <row r="1449" spans="1:1" x14ac:dyDescent="0.25">
      <c r="A1449" s="13">
        <f t="shared" si="28"/>
        <v>36</v>
      </c>
    </row>
    <row r="1450" spans="1:1" x14ac:dyDescent="0.25">
      <c r="A1450" s="13">
        <f t="shared" si="28"/>
        <v>36</v>
      </c>
    </row>
    <row r="1451" spans="1:1" x14ac:dyDescent="0.25">
      <c r="A1451" s="13">
        <f t="shared" si="28"/>
        <v>36</v>
      </c>
    </row>
    <row r="1452" spans="1:1" x14ac:dyDescent="0.25">
      <c r="A1452" s="13">
        <f t="shared" si="28"/>
        <v>36</v>
      </c>
    </row>
    <row r="1453" spans="1:1" x14ac:dyDescent="0.25">
      <c r="A1453" s="13">
        <f t="shared" si="28"/>
        <v>36</v>
      </c>
    </row>
    <row r="1454" spans="1:1" x14ac:dyDescent="0.25">
      <c r="A1454" s="13">
        <f t="shared" si="28"/>
        <v>36</v>
      </c>
    </row>
    <row r="1455" spans="1:1" x14ac:dyDescent="0.25">
      <c r="A1455" s="13">
        <f t="shared" si="28"/>
        <v>36</v>
      </c>
    </row>
    <row r="1456" spans="1:1" x14ac:dyDescent="0.25">
      <c r="A1456" s="13">
        <f t="shared" si="28"/>
        <v>36</v>
      </c>
    </row>
    <row r="1457" spans="1:1" x14ac:dyDescent="0.25">
      <c r="A1457" s="13">
        <f t="shared" si="28"/>
        <v>36</v>
      </c>
    </row>
    <row r="1458" spans="1:1" x14ac:dyDescent="0.25">
      <c r="A1458" s="13">
        <f t="shared" si="28"/>
        <v>36</v>
      </c>
    </row>
    <row r="1459" spans="1:1" x14ac:dyDescent="0.25">
      <c r="A1459" s="13">
        <f t="shared" si="28"/>
        <v>36</v>
      </c>
    </row>
    <row r="1460" spans="1:1" x14ac:dyDescent="0.25">
      <c r="A1460" s="13">
        <f t="shared" si="28"/>
        <v>36</v>
      </c>
    </row>
    <row r="1461" spans="1:1" x14ac:dyDescent="0.25">
      <c r="A1461" s="13">
        <f t="shared" si="28"/>
        <v>36</v>
      </c>
    </row>
    <row r="1462" spans="1:1" x14ac:dyDescent="0.25">
      <c r="A1462" s="13">
        <f t="shared" si="28"/>
        <v>36</v>
      </c>
    </row>
    <row r="1463" spans="1:1" x14ac:dyDescent="0.25">
      <c r="A1463" s="13">
        <f t="shared" si="28"/>
        <v>36</v>
      </c>
    </row>
    <row r="1464" spans="1:1" x14ac:dyDescent="0.25">
      <c r="A1464" s="13">
        <f t="shared" si="28"/>
        <v>36</v>
      </c>
    </row>
    <row r="1465" spans="1:1" x14ac:dyDescent="0.25">
      <c r="A1465" s="13">
        <f t="shared" si="28"/>
        <v>36</v>
      </c>
    </row>
    <row r="1466" spans="1:1" x14ac:dyDescent="0.25">
      <c r="A1466" s="13">
        <f t="shared" si="28"/>
        <v>36</v>
      </c>
    </row>
    <row r="1467" spans="1:1" x14ac:dyDescent="0.25">
      <c r="A1467" s="13">
        <f t="shared" si="28"/>
        <v>36</v>
      </c>
    </row>
    <row r="1468" spans="1:1" x14ac:dyDescent="0.25">
      <c r="A1468" s="13">
        <f t="shared" si="28"/>
        <v>36</v>
      </c>
    </row>
    <row r="1469" spans="1:1" x14ac:dyDescent="0.25">
      <c r="A1469" s="13">
        <f t="shared" si="28"/>
        <v>36</v>
      </c>
    </row>
    <row r="1470" spans="1:1" x14ac:dyDescent="0.25">
      <c r="A1470" s="13">
        <f t="shared" si="28"/>
        <v>36</v>
      </c>
    </row>
    <row r="1471" spans="1:1" x14ac:dyDescent="0.25">
      <c r="A1471" s="13">
        <f t="shared" si="28"/>
        <v>36</v>
      </c>
    </row>
    <row r="1472" spans="1:1" x14ac:dyDescent="0.25">
      <c r="A1472" s="13">
        <f t="shared" si="28"/>
        <v>36</v>
      </c>
    </row>
    <row r="1473" spans="1:1" x14ac:dyDescent="0.25">
      <c r="A1473" s="13">
        <f t="shared" si="28"/>
        <v>36</v>
      </c>
    </row>
    <row r="1474" spans="1:1" x14ac:dyDescent="0.25">
      <c r="A1474" s="13">
        <f t="shared" si="28"/>
        <v>36</v>
      </c>
    </row>
    <row r="1475" spans="1:1" x14ac:dyDescent="0.25">
      <c r="A1475" s="13">
        <f t="shared" si="28"/>
        <v>36</v>
      </c>
    </row>
    <row r="1476" spans="1:1" x14ac:dyDescent="0.25">
      <c r="A1476" s="13">
        <f t="shared" ref="A1476:A1539" si="29">IF(B1476=B1475,A1475,A1475+1)</f>
        <v>36</v>
      </c>
    </row>
    <row r="1477" spans="1:1" x14ac:dyDescent="0.25">
      <c r="A1477" s="13">
        <f t="shared" si="29"/>
        <v>36</v>
      </c>
    </row>
    <row r="1478" spans="1:1" x14ac:dyDescent="0.25">
      <c r="A1478" s="13">
        <f t="shared" si="29"/>
        <v>36</v>
      </c>
    </row>
    <row r="1479" spans="1:1" x14ac:dyDescent="0.25">
      <c r="A1479" s="13">
        <f t="shared" si="29"/>
        <v>36</v>
      </c>
    </row>
    <row r="1480" spans="1:1" x14ac:dyDescent="0.25">
      <c r="A1480" s="13">
        <f t="shared" si="29"/>
        <v>36</v>
      </c>
    </row>
    <row r="1481" spans="1:1" x14ac:dyDescent="0.25">
      <c r="A1481" s="13">
        <f t="shared" si="29"/>
        <v>36</v>
      </c>
    </row>
    <row r="1482" spans="1:1" x14ac:dyDescent="0.25">
      <c r="A1482" s="13">
        <f t="shared" si="29"/>
        <v>36</v>
      </c>
    </row>
    <row r="1483" spans="1:1" x14ac:dyDescent="0.25">
      <c r="A1483" s="13">
        <f t="shared" si="29"/>
        <v>36</v>
      </c>
    </row>
    <row r="1484" spans="1:1" x14ac:dyDescent="0.25">
      <c r="A1484" s="13">
        <f t="shared" si="29"/>
        <v>36</v>
      </c>
    </row>
    <row r="1485" spans="1:1" x14ac:dyDescent="0.25">
      <c r="A1485" s="13">
        <f t="shared" si="29"/>
        <v>36</v>
      </c>
    </row>
    <row r="1486" spans="1:1" x14ac:dyDescent="0.25">
      <c r="A1486" s="13">
        <f t="shared" si="29"/>
        <v>36</v>
      </c>
    </row>
    <row r="1487" spans="1:1" x14ac:dyDescent="0.25">
      <c r="A1487" s="13">
        <f t="shared" si="29"/>
        <v>36</v>
      </c>
    </row>
    <row r="1488" spans="1:1" x14ac:dyDescent="0.25">
      <c r="A1488" s="13">
        <f t="shared" si="29"/>
        <v>36</v>
      </c>
    </row>
    <row r="1489" spans="1:1" x14ac:dyDescent="0.25">
      <c r="A1489" s="13">
        <f t="shared" si="29"/>
        <v>36</v>
      </c>
    </row>
    <row r="1490" spans="1:1" x14ac:dyDescent="0.25">
      <c r="A1490" s="13">
        <f t="shared" si="29"/>
        <v>36</v>
      </c>
    </row>
    <row r="1491" spans="1:1" x14ac:dyDescent="0.25">
      <c r="A1491" s="13">
        <f t="shared" si="29"/>
        <v>36</v>
      </c>
    </row>
    <row r="1492" spans="1:1" x14ac:dyDescent="0.25">
      <c r="A1492" s="13">
        <f t="shared" si="29"/>
        <v>36</v>
      </c>
    </row>
    <row r="1493" spans="1:1" x14ac:dyDescent="0.25">
      <c r="A1493" s="13">
        <f t="shared" si="29"/>
        <v>36</v>
      </c>
    </row>
    <row r="1494" spans="1:1" x14ac:dyDescent="0.25">
      <c r="A1494" s="13">
        <f t="shared" si="29"/>
        <v>36</v>
      </c>
    </row>
    <row r="1495" spans="1:1" x14ac:dyDescent="0.25">
      <c r="A1495" s="13">
        <f t="shared" si="29"/>
        <v>36</v>
      </c>
    </row>
    <row r="1496" spans="1:1" x14ac:dyDescent="0.25">
      <c r="A1496" s="13">
        <f t="shared" si="29"/>
        <v>36</v>
      </c>
    </row>
    <row r="1497" spans="1:1" x14ac:dyDescent="0.25">
      <c r="A1497" s="13">
        <f t="shared" si="29"/>
        <v>36</v>
      </c>
    </row>
    <row r="1498" spans="1:1" x14ac:dyDescent="0.25">
      <c r="A1498" s="13">
        <f t="shared" si="29"/>
        <v>36</v>
      </c>
    </row>
    <row r="1499" spans="1:1" x14ac:dyDescent="0.25">
      <c r="A1499" s="13">
        <f t="shared" si="29"/>
        <v>36</v>
      </c>
    </row>
    <row r="1500" spans="1:1" x14ac:dyDescent="0.25">
      <c r="A1500" s="13">
        <f t="shared" si="29"/>
        <v>36</v>
      </c>
    </row>
    <row r="1501" spans="1:1" x14ac:dyDescent="0.25">
      <c r="A1501" s="13">
        <f t="shared" si="29"/>
        <v>36</v>
      </c>
    </row>
    <row r="1502" spans="1:1" x14ac:dyDescent="0.25">
      <c r="A1502" s="13">
        <f t="shared" si="29"/>
        <v>36</v>
      </c>
    </row>
    <row r="1503" spans="1:1" x14ac:dyDescent="0.25">
      <c r="A1503" s="13">
        <f t="shared" si="29"/>
        <v>36</v>
      </c>
    </row>
    <row r="1504" spans="1:1" x14ac:dyDescent="0.25">
      <c r="A1504" s="13">
        <f t="shared" si="29"/>
        <v>36</v>
      </c>
    </row>
    <row r="1505" spans="1:1" x14ac:dyDescent="0.25">
      <c r="A1505" s="13">
        <f t="shared" si="29"/>
        <v>36</v>
      </c>
    </row>
    <row r="1506" spans="1:1" x14ac:dyDescent="0.25">
      <c r="A1506" s="13">
        <f t="shared" si="29"/>
        <v>36</v>
      </c>
    </row>
    <row r="1507" spans="1:1" x14ac:dyDescent="0.25">
      <c r="A1507" s="13">
        <f t="shared" si="29"/>
        <v>36</v>
      </c>
    </row>
    <row r="1508" spans="1:1" x14ac:dyDescent="0.25">
      <c r="A1508" s="13">
        <f t="shared" si="29"/>
        <v>36</v>
      </c>
    </row>
    <row r="1509" spans="1:1" x14ac:dyDescent="0.25">
      <c r="A1509" s="13">
        <f t="shared" si="29"/>
        <v>36</v>
      </c>
    </row>
    <row r="1510" spans="1:1" x14ac:dyDescent="0.25">
      <c r="A1510" s="13">
        <f t="shared" si="29"/>
        <v>36</v>
      </c>
    </row>
    <row r="1511" spans="1:1" x14ac:dyDescent="0.25">
      <c r="A1511" s="13">
        <f t="shared" si="29"/>
        <v>36</v>
      </c>
    </row>
    <row r="1512" spans="1:1" x14ac:dyDescent="0.25">
      <c r="A1512" s="13">
        <f t="shared" si="29"/>
        <v>36</v>
      </c>
    </row>
    <row r="1513" spans="1:1" x14ac:dyDescent="0.25">
      <c r="A1513" s="13">
        <f t="shared" si="29"/>
        <v>36</v>
      </c>
    </row>
    <row r="1514" spans="1:1" x14ac:dyDescent="0.25">
      <c r="A1514" s="13">
        <f t="shared" si="29"/>
        <v>36</v>
      </c>
    </row>
    <row r="1515" spans="1:1" x14ac:dyDescent="0.25">
      <c r="A1515" s="13">
        <f t="shared" si="29"/>
        <v>36</v>
      </c>
    </row>
    <row r="1516" spans="1:1" x14ac:dyDescent="0.25">
      <c r="A1516" s="13">
        <f t="shared" si="29"/>
        <v>36</v>
      </c>
    </row>
    <row r="1517" spans="1:1" x14ac:dyDescent="0.25">
      <c r="A1517" s="13">
        <f t="shared" si="29"/>
        <v>36</v>
      </c>
    </row>
    <row r="1518" spans="1:1" x14ac:dyDescent="0.25">
      <c r="A1518" s="13">
        <f t="shared" si="29"/>
        <v>36</v>
      </c>
    </row>
    <row r="1519" spans="1:1" x14ac:dyDescent="0.25">
      <c r="A1519" s="13">
        <f t="shared" si="29"/>
        <v>36</v>
      </c>
    </row>
    <row r="1520" spans="1:1" x14ac:dyDescent="0.25">
      <c r="A1520" s="13">
        <f t="shared" si="29"/>
        <v>36</v>
      </c>
    </row>
    <row r="1521" spans="1:1" x14ac:dyDescent="0.25">
      <c r="A1521" s="13">
        <f t="shared" si="29"/>
        <v>36</v>
      </c>
    </row>
    <row r="1522" spans="1:1" x14ac:dyDescent="0.25">
      <c r="A1522" s="13">
        <f t="shared" si="29"/>
        <v>36</v>
      </c>
    </row>
    <row r="1523" spans="1:1" x14ac:dyDescent="0.25">
      <c r="A1523" s="13">
        <f t="shared" si="29"/>
        <v>36</v>
      </c>
    </row>
    <row r="1524" spans="1:1" x14ac:dyDescent="0.25">
      <c r="A1524" s="13">
        <f t="shared" si="29"/>
        <v>36</v>
      </c>
    </row>
    <row r="1525" spans="1:1" x14ac:dyDescent="0.25">
      <c r="A1525" s="13">
        <f t="shared" si="29"/>
        <v>36</v>
      </c>
    </row>
    <row r="1526" spans="1:1" x14ac:dyDescent="0.25">
      <c r="A1526" s="13">
        <f t="shared" si="29"/>
        <v>36</v>
      </c>
    </row>
    <row r="1527" spans="1:1" x14ac:dyDescent="0.25">
      <c r="A1527" s="13">
        <f t="shared" si="29"/>
        <v>36</v>
      </c>
    </row>
    <row r="1528" spans="1:1" x14ac:dyDescent="0.25">
      <c r="A1528" s="13">
        <f t="shared" si="29"/>
        <v>36</v>
      </c>
    </row>
    <row r="1529" spans="1:1" x14ac:dyDescent="0.25">
      <c r="A1529" s="13">
        <f t="shared" si="29"/>
        <v>36</v>
      </c>
    </row>
    <row r="1530" spans="1:1" x14ac:dyDescent="0.25">
      <c r="A1530" s="13">
        <f t="shared" si="29"/>
        <v>36</v>
      </c>
    </row>
    <row r="1531" spans="1:1" x14ac:dyDescent="0.25">
      <c r="A1531" s="13">
        <f t="shared" si="29"/>
        <v>36</v>
      </c>
    </row>
    <row r="1532" spans="1:1" x14ac:dyDescent="0.25">
      <c r="A1532" s="13">
        <f t="shared" si="29"/>
        <v>36</v>
      </c>
    </row>
    <row r="1533" spans="1:1" x14ac:dyDescent="0.25">
      <c r="A1533" s="13">
        <f t="shared" si="29"/>
        <v>36</v>
      </c>
    </row>
    <row r="1534" spans="1:1" x14ac:dyDescent="0.25">
      <c r="A1534" s="13">
        <f t="shared" si="29"/>
        <v>36</v>
      </c>
    </row>
    <row r="1535" spans="1:1" x14ac:dyDescent="0.25">
      <c r="A1535" s="13">
        <f t="shared" si="29"/>
        <v>36</v>
      </c>
    </row>
    <row r="1536" spans="1:1" x14ac:dyDescent="0.25">
      <c r="A1536" s="13">
        <f t="shared" si="29"/>
        <v>36</v>
      </c>
    </row>
    <row r="1537" spans="1:1" x14ac:dyDescent="0.25">
      <c r="A1537" s="13">
        <f t="shared" si="29"/>
        <v>36</v>
      </c>
    </row>
    <row r="1538" spans="1:1" x14ac:dyDescent="0.25">
      <c r="A1538" s="13">
        <f t="shared" si="29"/>
        <v>36</v>
      </c>
    </row>
    <row r="1539" spans="1:1" x14ac:dyDescent="0.25">
      <c r="A1539" s="13">
        <f t="shared" si="29"/>
        <v>36</v>
      </c>
    </row>
    <row r="1540" spans="1:1" x14ac:dyDescent="0.25">
      <c r="A1540" s="13">
        <f t="shared" ref="A1540:A1603" si="30">IF(B1540=B1539,A1539,A1539+1)</f>
        <v>36</v>
      </c>
    </row>
    <row r="1541" spans="1:1" x14ac:dyDescent="0.25">
      <c r="A1541" s="13">
        <f t="shared" si="30"/>
        <v>36</v>
      </c>
    </row>
    <row r="1542" spans="1:1" x14ac:dyDescent="0.25">
      <c r="A1542" s="13">
        <f t="shared" si="30"/>
        <v>36</v>
      </c>
    </row>
    <row r="1543" spans="1:1" x14ac:dyDescent="0.25">
      <c r="A1543" s="13">
        <f t="shared" si="30"/>
        <v>36</v>
      </c>
    </row>
    <row r="1544" spans="1:1" x14ac:dyDescent="0.25">
      <c r="A1544" s="13">
        <f t="shared" si="30"/>
        <v>36</v>
      </c>
    </row>
    <row r="1545" spans="1:1" x14ac:dyDescent="0.25">
      <c r="A1545" s="13">
        <f t="shared" si="30"/>
        <v>36</v>
      </c>
    </row>
    <row r="1546" spans="1:1" x14ac:dyDescent="0.25">
      <c r="A1546" s="13">
        <f t="shared" si="30"/>
        <v>36</v>
      </c>
    </row>
    <row r="1547" spans="1:1" x14ac:dyDescent="0.25">
      <c r="A1547" s="13">
        <f t="shared" si="30"/>
        <v>36</v>
      </c>
    </row>
    <row r="1548" spans="1:1" x14ac:dyDescent="0.25">
      <c r="A1548" s="13">
        <f t="shared" si="30"/>
        <v>36</v>
      </c>
    </row>
    <row r="1549" spans="1:1" x14ac:dyDescent="0.25">
      <c r="A1549" s="13">
        <f t="shared" si="30"/>
        <v>36</v>
      </c>
    </row>
    <row r="1550" spans="1:1" x14ac:dyDescent="0.25">
      <c r="A1550" s="13">
        <f t="shared" si="30"/>
        <v>36</v>
      </c>
    </row>
    <row r="1551" spans="1:1" x14ac:dyDescent="0.25">
      <c r="A1551" s="13">
        <f t="shared" si="30"/>
        <v>36</v>
      </c>
    </row>
    <row r="1552" spans="1:1" x14ac:dyDescent="0.25">
      <c r="A1552" s="13">
        <f t="shared" si="30"/>
        <v>36</v>
      </c>
    </row>
    <row r="1553" spans="1:1" x14ac:dyDescent="0.25">
      <c r="A1553" s="13">
        <f t="shared" si="30"/>
        <v>36</v>
      </c>
    </row>
    <row r="1554" spans="1:1" x14ac:dyDescent="0.25">
      <c r="A1554" s="13">
        <f t="shared" si="30"/>
        <v>36</v>
      </c>
    </row>
    <row r="1555" spans="1:1" x14ac:dyDescent="0.25">
      <c r="A1555" s="13">
        <f t="shared" si="30"/>
        <v>36</v>
      </c>
    </row>
    <row r="1556" spans="1:1" x14ac:dyDescent="0.25">
      <c r="A1556" s="13">
        <f t="shared" si="30"/>
        <v>36</v>
      </c>
    </row>
    <row r="1557" spans="1:1" x14ac:dyDescent="0.25">
      <c r="A1557" s="13">
        <f t="shared" si="30"/>
        <v>36</v>
      </c>
    </row>
    <row r="1558" spans="1:1" x14ac:dyDescent="0.25">
      <c r="A1558" s="13">
        <f t="shared" si="30"/>
        <v>36</v>
      </c>
    </row>
    <row r="1559" spans="1:1" x14ac:dyDescent="0.25">
      <c r="A1559" s="13">
        <f t="shared" si="30"/>
        <v>36</v>
      </c>
    </row>
    <row r="1560" spans="1:1" x14ac:dyDescent="0.25">
      <c r="A1560" s="13">
        <f t="shared" si="30"/>
        <v>36</v>
      </c>
    </row>
    <row r="1561" spans="1:1" x14ac:dyDescent="0.25">
      <c r="A1561" s="13">
        <f t="shared" si="30"/>
        <v>36</v>
      </c>
    </row>
    <row r="1562" spans="1:1" x14ac:dyDescent="0.25">
      <c r="A1562" s="13">
        <f t="shared" si="30"/>
        <v>36</v>
      </c>
    </row>
    <row r="1563" spans="1:1" x14ac:dyDescent="0.25">
      <c r="A1563" s="13">
        <f t="shared" si="30"/>
        <v>36</v>
      </c>
    </row>
    <row r="1564" spans="1:1" x14ac:dyDescent="0.25">
      <c r="A1564" s="13">
        <f t="shared" si="30"/>
        <v>36</v>
      </c>
    </row>
    <row r="1565" spans="1:1" x14ac:dyDescent="0.25">
      <c r="A1565" s="13">
        <f t="shared" si="30"/>
        <v>36</v>
      </c>
    </row>
    <row r="1566" spans="1:1" x14ac:dyDescent="0.25">
      <c r="A1566" s="13">
        <f t="shared" si="30"/>
        <v>36</v>
      </c>
    </row>
    <row r="1567" spans="1:1" x14ac:dyDescent="0.25">
      <c r="A1567" s="13">
        <f t="shared" si="30"/>
        <v>36</v>
      </c>
    </row>
    <row r="1568" spans="1:1" x14ac:dyDescent="0.25">
      <c r="A1568" s="13">
        <f t="shared" si="30"/>
        <v>36</v>
      </c>
    </row>
    <row r="1569" spans="1:1" x14ac:dyDescent="0.25">
      <c r="A1569" s="13">
        <f t="shared" si="30"/>
        <v>36</v>
      </c>
    </row>
    <row r="1570" spans="1:1" x14ac:dyDescent="0.25">
      <c r="A1570" s="13">
        <f t="shared" si="30"/>
        <v>36</v>
      </c>
    </row>
    <row r="1571" spans="1:1" x14ac:dyDescent="0.25">
      <c r="A1571" s="13">
        <f t="shared" si="30"/>
        <v>36</v>
      </c>
    </row>
    <row r="1572" spans="1:1" x14ac:dyDescent="0.25">
      <c r="A1572" s="13">
        <f t="shared" si="30"/>
        <v>36</v>
      </c>
    </row>
    <row r="1573" spans="1:1" x14ac:dyDescent="0.25">
      <c r="A1573" s="13">
        <f t="shared" si="30"/>
        <v>36</v>
      </c>
    </row>
    <row r="1574" spans="1:1" x14ac:dyDescent="0.25">
      <c r="A1574" s="13">
        <f t="shared" si="30"/>
        <v>36</v>
      </c>
    </row>
    <row r="1575" spans="1:1" x14ac:dyDescent="0.25">
      <c r="A1575" s="13">
        <f t="shared" si="30"/>
        <v>36</v>
      </c>
    </row>
    <row r="1576" spans="1:1" x14ac:dyDescent="0.25">
      <c r="A1576" s="13">
        <f t="shared" si="30"/>
        <v>36</v>
      </c>
    </row>
    <row r="1577" spans="1:1" x14ac:dyDescent="0.25">
      <c r="A1577" s="13">
        <f t="shared" si="30"/>
        <v>36</v>
      </c>
    </row>
    <row r="1578" spans="1:1" x14ac:dyDescent="0.25">
      <c r="A1578" s="13">
        <f t="shared" si="30"/>
        <v>36</v>
      </c>
    </row>
    <row r="1579" spans="1:1" x14ac:dyDescent="0.25">
      <c r="A1579" s="13">
        <f t="shared" si="30"/>
        <v>36</v>
      </c>
    </row>
    <row r="1580" spans="1:1" x14ac:dyDescent="0.25">
      <c r="A1580" s="13">
        <f t="shared" si="30"/>
        <v>36</v>
      </c>
    </row>
    <row r="1581" spans="1:1" x14ac:dyDescent="0.25">
      <c r="A1581" s="13">
        <f t="shared" si="30"/>
        <v>36</v>
      </c>
    </row>
    <row r="1582" spans="1:1" x14ac:dyDescent="0.25">
      <c r="A1582" s="13">
        <f t="shared" si="30"/>
        <v>36</v>
      </c>
    </row>
    <row r="1583" spans="1:1" x14ac:dyDescent="0.25">
      <c r="A1583" s="13">
        <f t="shared" si="30"/>
        <v>36</v>
      </c>
    </row>
    <row r="1584" spans="1:1" x14ac:dyDescent="0.25">
      <c r="A1584" s="13">
        <f t="shared" si="30"/>
        <v>36</v>
      </c>
    </row>
    <row r="1585" spans="1:1" x14ac:dyDescent="0.25">
      <c r="A1585" s="13">
        <f t="shared" si="30"/>
        <v>36</v>
      </c>
    </row>
    <row r="1586" spans="1:1" x14ac:dyDescent="0.25">
      <c r="A1586" s="13">
        <f t="shared" si="30"/>
        <v>36</v>
      </c>
    </row>
    <row r="1587" spans="1:1" x14ac:dyDescent="0.25">
      <c r="A1587" s="13">
        <f t="shared" si="30"/>
        <v>36</v>
      </c>
    </row>
    <row r="1588" spans="1:1" x14ac:dyDescent="0.25">
      <c r="A1588" s="13">
        <f t="shared" si="30"/>
        <v>36</v>
      </c>
    </row>
    <row r="1589" spans="1:1" x14ac:dyDescent="0.25">
      <c r="A1589" s="13">
        <f t="shared" si="30"/>
        <v>36</v>
      </c>
    </row>
    <row r="1590" spans="1:1" x14ac:dyDescent="0.25">
      <c r="A1590" s="13">
        <f t="shared" si="30"/>
        <v>36</v>
      </c>
    </row>
    <row r="1591" spans="1:1" x14ac:dyDescent="0.25">
      <c r="A1591" s="13">
        <f t="shared" si="30"/>
        <v>36</v>
      </c>
    </row>
    <row r="1592" spans="1:1" x14ac:dyDescent="0.25">
      <c r="A1592" s="13">
        <f t="shared" si="30"/>
        <v>36</v>
      </c>
    </row>
    <row r="1593" spans="1:1" x14ac:dyDescent="0.25">
      <c r="A1593" s="13">
        <f t="shared" si="30"/>
        <v>36</v>
      </c>
    </row>
    <row r="1594" spans="1:1" x14ac:dyDescent="0.25">
      <c r="A1594" s="13">
        <f t="shared" si="30"/>
        <v>36</v>
      </c>
    </row>
    <row r="1595" spans="1:1" x14ac:dyDescent="0.25">
      <c r="A1595" s="13">
        <f t="shared" si="30"/>
        <v>36</v>
      </c>
    </row>
    <row r="1596" spans="1:1" x14ac:dyDescent="0.25">
      <c r="A1596" s="13">
        <f t="shared" si="30"/>
        <v>36</v>
      </c>
    </row>
    <row r="1597" spans="1:1" x14ac:dyDescent="0.25">
      <c r="A1597" s="13">
        <f t="shared" si="30"/>
        <v>36</v>
      </c>
    </row>
    <row r="1598" spans="1:1" x14ac:dyDescent="0.25">
      <c r="A1598" s="13">
        <f t="shared" si="30"/>
        <v>36</v>
      </c>
    </row>
    <row r="1599" spans="1:1" x14ac:dyDescent="0.25">
      <c r="A1599" s="13">
        <f t="shared" si="30"/>
        <v>36</v>
      </c>
    </row>
    <row r="1600" spans="1:1" x14ac:dyDescent="0.25">
      <c r="A1600" s="13">
        <f t="shared" si="30"/>
        <v>36</v>
      </c>
    </row>
    <row r="1601" spans="1:1" x14ac:dyDescent="0.25">
      <c r="A1601" s="13">
        <f t="shared" si="30"/>
        <v>36</v>
      </c>
    </row>
    <row r="1602" spans="1:1" x14ac:dyDescent="0.25">
      <c r="A1602" s="13">
        <f t="shared" si="30"/>
        <v>36</v>
      </c>
    </row>
    <row r="1603" spans="1:1" x14ac:dyDescent="0.25">
      <c r="A1603" s="13">
        <f t="shared" si="30"/>
        <v>36</v>
      </c>
    </row>
    <row r="1604" spans="1:1" x14ac:dyDescent="0.25">
      <c r="A1604" s="13">
        <f t="shared" ref="A1604:A1667" si="31">IF(B1604=B1603,A1603,A1603+1)</f>
        <v>36</v>
      </c>
    </row>
    <row r="1605" spans="1:1" x14ac:dyDescent="0.25">
      <c r="A1605" s="13">
        <f t="shared" si="31"/>
        <v>36</v>
      </c>
    </row>
    <row r="1606" spans="1:1" x14ac:dyDescent="0.25">
      <c r="A1606" s="13">
        <f t="shared" si="31"/>
        <v>36</v>
      </c>
    </row>
    <row r="1607" spans="1:1" x14ac:dyDescent="0.25">
      <c r="A1607" s="13">
        <f t="shared" si="31"/>
        <v>36</v>
      </c>
    </row>
    <row r="1608" spans="1:1" x14ac:dyDescent="0.25">
      <c r="A1608" s="13">
        <f t="shared" si="31"/>
        <v>36</v>
      </c>
    </row>
    <row r="1609" spans="1:1" x14ac:dyDescent="0.25">
      <c r="A1609" s="13">
        <f t="shared" si="31"/>
        <v>36</v>
      </c>
    </row>
    <row r="1610" spans="1:1" x14ac:dyDescent="0.25">
      <c r="A1610" s="13">
        <f t="shared" si="31"/>
        <v>36</v>
      </c>
    </row>
    <row r="1611" spans="1:1" x14ac:dyDescent="0.25">
      <c r="A1611" s="13">
        <f t="shared" si="31"/>
        <v>36</v>
      </c>
    </row>
    <row r="1612" spans="1:1" x14ac:dyDescent="0.25">
      <c r="A1612" s="13">
        <f t="shared" si="31"/>
        <v>36</v>
      </c>
    </row>
    <row r="1613" spans="1:1" x14ac:dyDescent="0.25">
      <c r="A1613" s="13">
        <f t="shared" si="31"/>
        <v>36</v>
      </c>
    </row>
    <row r="1614" spans="1:1" x14ac:dyDescent="0.25">
      <c r="A1614" s="13">
        <f t="shared" si="31"/>
        <v>36</v>
      </c>
    </row>
    <row r="1615" spans="1:1" x14ac:dyDescent="0.25">
      <c r="A1615" s="13">
        <f t="shared" si="31"/>
        <v>36</v>
      </c>
    </row>
    <row r="1616" spans="1:1" x14ac:dyDescent="0.25">
      <c r="A1616" s="13">
        <f t="shared" si="31"/>
        <v>36</v>
      </c>
    </row>
    <row r="1617" spans="1:1" x14ac:dyDescent="0.25">
      <c r="A1617" s="13">
        <f t="shared" si="31"/>
        <v>36</v>
      </c>
    </row>
    <row r="1618" spans="1:1" x14ac:dyDescent="0.25">
      <c r="A1618" s="13">
        <f t="shared" si="31"/>
        <v>36</v>
      </c>
    </row>
    <row r="1619" spans="1:1" x14ac:dyDescent="0.25">
      <c r="A1619" s="13">
        <f t="shared" si="31"/>
        <v>36</v>
      </c>
    </row>
    <row r="1620" spans="1:1" x14ac:dyDescent="0.25">
      <c r="A1620" s="13">
        <f t="shared" si="31"/>
        <v>36</v>
      </c>
    </row>
    <row r="1621" spans="1:1" x14ac:dyDescent="0.25">
      <c r="A1621" s="13">
        <f t="shared" si="31"/>
        <v>36</v>
      </c>
    </row>
    <row r="1622" spans="1:1" x14ac:dyDescent="0.25">
      <c r="A1622" s="13">
        <f t="shared" si="31"/>
        <v>36</v>
      </c>
    </row>
    <row r="1623" spans="1:1" x14ac:dyDescent="0.25">
      <c r="A1623" s="13">
        <f t="shared" si="31"/>
        <v>36</v>
      </c>
    </row>
    <row r="1624" spans="1:1" x14ac:dyDescent="0.25">
      <c r="A1624" s="13">
        <f t="shared" si="31"/>
        <v>36</v>
      </c>
    </row>
    <row r="1625" spans="1:1" x14ac:dyDescent="0.25">
      <c r="A1625" s="13">
        <f t="shared" si="31"/>
        <v>36</v>
      </c>
    </row>
    <row r="1626" spans="1:1" x14ac:dyDescent="0.25">
      <c r="A1626" s="13">
        <f t="shared" si="31"/>
        <v>36</v>
      </c>
    </row>
    <row r="1627" spans="1:1" x14ac:dyDescent="0.25">
      <c r="A1627" s="13">
        <f t="shared" si="31"/>
        <v>36</v>
      </c>
    </row>
    <row r="1628" spans="1:1" x14ac:dyDescent="0.25">
      <c r="A1628" s="13">
        <f t="shared" si="31"/>
        <v>36</v>
      </c>
    </row>
    <row r="1629" spans="1:1" x14ac:dyDescent="0.25">
      <c r="A1629" s="13">
        <f t="shared" si="31"/>
        <v>36</v>
      </c>
    </row>
    <row r="1630" spans="1:1" x14ac:dyDescent="0.25">
      <c r="A1630" s="13">
        <f t="shared" si="31"/>
        <v>36</v>
      </c>
    </row>
    <row r="1631" spans="1:1" x14ac:dyDescent="0.25">
      <c r="A1631" s="13">
        <f t="shared" si="31"/>
        <v>36</v>
      </c>
    </row>
    <row r="1632" spans="1:1" x14ac:dyDescent="0.25">
      <c r="A1632" s="13">
        <f t="shared" si="31"/>
        <v>36</v>
      </c>
    </row>
    <row r="1633" spans="1:1" x14ac:dyDescent="0.25">
      <c r="A1633" s="13">
        <f t="shared" si="31"/>
        <v>36</v>
      </c>
    </row>
    <row r="1634" spans="1:1" x14ac:dyDescent="0.25">
      <c r="A1634" s="13">
        <f t="shared" si="31"/>
        <v>36</v>
      </c>
    </row>
    <row r="1635" spans="1:1" x14ac:dyDescent="0.25">
      <c r="A1635" s="13">
        <f t="shared" si="31"/>
        <v>36</v>
      </c>
    </row>
    <row r="1636" spans="1:1" x14ac:dyDescent="0.25">
      <c r="A1636" s="13">
        <f t="shared" si="31"/>
        <v>36</v>
      </c>
    </row>
    <row r="1637" spans="1:1" x14ac:dyDescent="0.25">
      <c r="A1637" s="13">
        <f t="shared" si="31"/>
        <v>36</v>
      </c>
    </row>
    <row r="1638" spans="1:1" x14ac:dyDescent="0.25">
      <c r="A1638" s="13">
        <f t="shared" si="31"/>
        <v>36</v>
      </c>
    </row>
    <row r="1639" spans="1:1" x14ac:dyDescent="0.25">
      <c r="A1639" s="13">
        <f t="shared" si="31"/>
        <v>36</v>
      </c>
    </row>
    <row r="1640" spans="1:1" x14ac:dyDescent="0.25">
      <c r="A1640" s="13">
        <f t="shared" si="31"/>
        <v>36</v>
      </c>
    </row>
    <row r="1641" spans="1:1" x14ac:dyDescent="0.25">
      <c r="A1641" s="13">
        <f t="shared" si="31"/>
        <v>36</v>
      </c>
    </row>
    <row r="1642" spans="1:1" x14ac:dyDescent="0.25">
      <c r="A1642" s="13">
        <f t="shared" si="31"/>
        <v>36</v>
      </c>
    </row>
    <row r="1643" spans="1:1" x14ac:dyDescent="0.25">
      <c r="A1643" s="13">
        <f t="shared" si="31"/>
        <v>36</v>
      </c>
    </row>
    <row r="1644" spans="1:1" x14ac:dyDescent="0.25">
      <c r="A1644" s="13">
        <f t="shared" si="31"/>
        <v>36</v>
      </c>
    </row>
    <row r="1645" spans="1:1" x14ac:dyDescent="0.25">
      <c r="A1645" s="13">
        <f t="shared" si="31"/>
        <v>36</v>
      </c>
    </row>
    <row r="1646" spans="1:1" x14ac:dyDescent="0.25">
      <c r="A1646" s="13">
        <f t="shared" si="31"/>
        <v>36</v>
      </c>
    </row>
    <row r="1647" spans="1:1" x14ac:dyDescent="0.25">
      <c r="A1647" s="13">
        <f t="shared" si="31"/>
        <v>36</v>
      </c>
    </row>
    <row r="1648" spans="1:1" x14ac:dyDescent="0.25">
      <c r="A1648" s="13">
        <f t="shared" si="31"/>
        <v>36</v>
      </c>
    </row>
    <row r="1649" spans="1:1" x14ac:dyDescent="0.25">
      <c r="A1649" s="13">
        <f t="shared" si="31"/>
        <v>36</v>
      </c>
    </row>
    <row r="1650" spans="1:1" x14ac:dyDescent="0.25">
      <c r="A1650" s="13">
        <f t="shared" si="31"/>
        <v>36</v>
      </c>
    </row>
    <row r="1651" spans="1:1" x14ac:dyDescent="0.25">
      <c r="A1651" s="13">
        <f t="shared" si="31"/>
        <v>36</v>
      </c>
    </row>
    <row r="1652" spans="1:1" x14ac:dyDescent="0.25">
      <c r="A1652" s="13">
        <f t="shared" si="31"/>
        <v>36</v>
      </c>
    </row>
    <row r="1653" spans="1:1" x14ac:dyDescent="0.25">
      <c r="A1653" s="13">
        <f t="shared" si="31"/>
        <v>36</v>
      </c>
    </row>
    <row r="1654" spans="1:1" x14ac:dyDescent="0.25">
      <c r="A1654" s="13">
        <f t="shared" si="31"/>
        <v>36</v>
      </c>
    </row>
    <row r="1655" spans="1:1" x14ac:dyDescent="0.25">
      <c r="A1655" s="13">
        <f t="shared" si="31"/>
        <v>36</v>
      </c>
    </row>
    <row r="1656" spans="1:1" x14ac:dyDescent="0.25">
      <c r="A1656" s="13">
        <f t="shared" si="31"/>
        <v>36</v>
      </c>
    </row>
    <row r="1657" spans="1:1" x14ac:dyDescent="0.25">
      <c r="A1657" s="13">
        <f t="shared" si="31"/>
        <v>36</v>
      </c>
    </row>
    <row r="1658" spans="1:1" x14ac:dyDescent="0.25">
      <c r="A1658" s="13">
        <f t="shared" si="31"/>
        <v>36</v>
      </c>
    </row>
    <row r="1659" spans="1:1" x14ac:dyDescent="0.25">
      <c r="A1659" s="13">
        <f t="shared" si="31"/>
        <v>36</v>
      </c>
    </row>
    <row r="1660" spans="1:1" x14ac:dyDescent="0.25">
      <c r="A1660" s="13">
        <f t="shared" si="31"/>
        <v>36</v>
      </c>
    </row>
    <row r="1661" spans="1:1" x14ac:dyDescent="0.25">
      <c r="A1661" s="13">
        <f t="shared" si="31"/>
        <v>36</v>
      </c>
    </row>
    <row r="1662" spans="1:1" x14ac:dyDescent="0.25">
      <c r="A1662" s="13">
        <f t="shared" si="31"/>
        <v>36</v>
      </c>
    </row>
    <row r="1663" spans="1:1" x14ac:dyDescent="0.25">
      <c r="A1663" s="13">
        <f t="shared" si="31"/>
        <v>36</v>
      </c>
    </row>
    <row r="1664" spans="1:1" x14ac:dyDescent="0.25">
      <c r="A1664" s="13">
        <f t="shared" si="31"/>
        <v>36</v>
      </c>
    </row>
    <row r="1665" spans="1:1" x14ac:dyDescent="0.25">
      <c r="A1665" s="13">
        <f t="shared" si="31"/>
        <v>36</v>
      </c>
    </row>
    <row r="1666" spans="1:1" x14ac:dyDescent="0.25">
      <c r="A1666" s="13">
        <f t="shared" si="31"/>
        <v>36</v>
      </c>
    </row>
    <row r="1667" spans="1:1" x14ac:dyDescent="0.25">
      <c r="A1667" s="13">
        <f t="shared" si="31"/>
        <v>36</v>
      </c>
    </row>
    <row r="1668" spans="1:1" x14ac:dyDescent="0.25">
      <c r="A1668" s="13">
        <f t="shared" ref="A1668:A1731" si="32">IF(B1668=B1667,A1667,A1667+1)</f>
        <v>36</v>
      </c>
    </row>
    <row r="1669" spans="1:1" x14ac:dyDescent="0.25">
      <c r="A1669" s="13">
        <f t="shared" si="32"/>
        <v>36</v>
      </c>
    </row>
    <row r="1670" spans="1:1" x14ac:dyDescent="0.25">
      <c r="A1670" s="13">
        <f t="shared" si="32"/>
        <v>36</v>
      </c>
    </row>
    <row r="1671" spans="1:1" x14ac:dyDescent="0.25">
      <c r="A1671" s="13">
        <f t="shared" si="32"/>
        <v>36</v>
      </c>
    </row>
    <row r="1672" spans="1:1" x14ac:dyDescent="0.25">
      <c r="A1672" s="13">
        <f t="shared" si="32"/>
        <v>36</v>
      </c>
    </row>
    <row r="1673" spans="1:1" x14ac:dyDescent="0.25">
      <c r="A1673" s="13">
        <f t="shared" si="32"/>
        <v>36</v>
      </c>
    </row>
    <row r="1674" spans="1:1" x14ac:dyDescent="0.25">
      <c r="A1674" s="13">
        <f t="shared" si="32"/>
        <v>36</v>
      </c>
    </row>
    <row r="1675" spans="1:1" x14ac:dyDescent="0.25">
      <c r="A1675" s="13">
        <f t="shared" si="32"/>
        <v>36</v>
      </c>
    </row>
    <row r="1676" spans="1:1" x14ac:dyDescent="0.25">
      <c r="A1676" s="13">
        <f t="shared" si="32"/>
        <v>36</v>
      </c>
    </row>
    <row r="1677" spans="1:1" x14ac:dyDescent="0.25">
      <c r="A1677" s="13">
        <f t="shared" si="32"/>
        <v>36</v>
      </c>
    </row>
    <row r="1678" spans="1:1" x14ac:dyDescent="0.25">
      <c r="A1678" s="13">
        <f t="shared" si="32"/>
        <v>36</v>
      </c>
    </row>
    <row r="1679" spans="1:1" x14ac:dyDescent="0.25">
      <c r="A1679" s="13">
        <f t="shared" si="32"/>
        <v>36</v>
      </c>
    </row>
    <row r="1680" spans="1:1" x14ac:dyDescent="0.25">
      <c r="A1680" s="13">
        <f t="shared" si="32"/>
        <v>36</v>
      </c>
    </row>
    <row r="1681" spans="1:1" x14ac:dyDescent="0.25">
      <c r="A1681" s="13">
        <f t="shared" si="32"/>
        <v>36</v>
      </c>
    </row>
    <row r="1682" spans="1:1" x14ac:dyDescent="0.25">
      <c r="A1682" s="13">
        <f t="shared" si="32"/>
        <v>36</v>
      </c>
    </row>
    <row r="1683" spans="1:1" x14ac:dyDescent="0.25">
      <c r="A1683" s="13">
        <f t="shared" si="32"/>
        <v>36</v>
      </c>
    </row>
    <row r="1684" spans="1:1" x14ac:dyDescent="0.25">
      <c r="A1684" s="13">
        <f t="shared" si="32"/>
        <v>36</v>
      </c>
    </row>
    <row r="1685" spans="1:1" x14ac:dyDescent="0.25">
      <c r="A1685" s="13">
        <f t="shared" si="32"/>
        <v>36</v>
      </c>
    </row>
    <row r="1686" spans="1:1" x14ac:dyDescent="0.25">
      <c r="A1686" s="13">
        <f t="shared" si="32"/>
        <v>36</v>
      </c>
    </row>
    <row r="1687" spans="1:1" x14ac:dyDescent="0.25">
      <c r="A1687" s="13">
        <f t="shared" si="32"/>
        <v>36</v>
      </c>
    </row>
    <row r="1688" spans="1:1" x14ac:dyDescent="0.25">
      <c r="A1688" s="13">
        <f t="shared" si="32"/>
        <v>36</v>
      </c>
    </row>
    <row r="1689" spans="1:1" x14ac:dyDescent="0.25">
      <c r="A1689" s="13">
        <f t="shared" si="32"/>
        <v>36</v>
      </c>
    </row>
    <row r="1690" spans="1:1" x14ac:dyDescent="0.25">
      <c r="A1690" s="13">
        <f t="shared" si="32"/>
        <v>36</v>
      </c>
    </row>
    <row r="1691" spans="1:1" x14ac:dyDescent="0.25">
      <c r="A1691" s="13">
        <f t="shared" si="32"/>
        <v>36</v>
      </c>
    </row>
    <row r="1692" spans="1:1" x14ac:dyDescent="0.25">
      <c r="A1692" s="13">
        <f t="shared" si="32"/>
        <v>36</v>
      </c>
    </row>
    <row r="1693" spans="1:1" x14ac:dyDescent="0.25">
      <c r="A1693" s="13">
        <f t="shared" si="32"/>
        <v>36</v>
      </c>
    </row>
    <row r="1694" spans="1:1" x14ac:dyDescent="0.25">
      <c r="A1694" s="13">
        <f t="shared" si="32"/>
        <v>36</v>
      </c>
    </row>
    <row r="1695" spans="1:1" x14ac:dyDescent="0.25">
      <c r="A1695" s="13">
        <f t="shared" si="32"/>
        <v>36</v>
      </c>
    </row>
    <row r="1696" spans="1:1" x14ac:dyDescent="0.25">
      <c r="A1696" s="13">
        <f t="shared" si="32"/>
        <v>36</v>
      </c>
    </row>
    <row r="1697" spans="1:1" x14ac:dyDescent="0.25">
      <c r="A1697" s="13">
        <f t="shared" si="32"/>
        <v>36</v>
      </c>
    </row>
    <row r="1698" spans="1:1" x14ac:dyDescent="0.25">
      <c r="A1698" s="13">
        <f t="shared" si="32"/>
        <v>36</v>
      </c>
    </row>
    <row r="1699" spans="1:1" x14ac:dyDescent="0.25">
      <c r="A1699" s="13">
        <f t="shared" si="32"/>
        <v>36</v>
      </c>
    </row>
    <row r="1700" spans="1:1" x14ac:dyDescent="0.25">
      <c r="A1700" s="13">
        <f t="shared" si="32"/>
        <v>36</v>
      </c>
    </row>
    <row r="1701" spans="1:1" x14ac:dyDescent="0.25">
      <c r="A1701" s="13">
        <f t="shared" si="32"/>
        <v>36</v>
      </c>
    </row>
    <row r="1702" spans="1:1" x14ac:dyDescent="0.25">
      <c r="A1702" s="13">
        <f t="shared" si="32"/>
        <v>36</v>
      </c>
    </row>
    <row r="1703" spans="1:1" x14ac:dyDescent="0.25">
      <c r="A1703" s="13">
        <f t="shared" si="32"/>
        <v>36</v>
      </c>
    </row>
    <row r="1704" spans="1:1" x14ac:dyDescent="0.25">
      <c r="A1704" s="13">
        <f t="shared" si="32"/>
        <v>36</v>
      </c>
    </row>
    <row r="1705" spans="1:1" x14ac:dyDescent="0.25">
      <c r="A1705" s="13">
        <f t="shared" si="32"/>
        <v>36</v>
      </c>
    </row>
    <row r="1706" spans="1:1" x14ac:dyDescent="0.25">
      <c r="A1706" s="13">
        <f t="shared" si="32"/>
        <v>36</v>
      </c>
    </row>
    <row r="1707" spans="1:1" x14ac:dyDescent="0.25">
      <c r="A1707" s="13">
        <f t="shared" si="32"/>
        <v>36</v>
      </c>
    </row>
    <row r="1708" spans="1:1" x14ac:dyDescent="0.25">
      <c r="A1708" s="13">
        <f t="shared" si="32"/>
        <v>36</v>
      </c>
    </row>
    <row r="1709" spans="1:1" x14ac:dyDescent="0.25">
      <c r="A1709" s="13">
        <f t="shared" si="32"/>
        <v>36</v>
      </c>
    </row>
    <row r="1710" spans="1:1" x14ac:dyDescent="0.25">
      <c r="A1710" s="13">
        <f t="shared" si="32"/>
        <v>36</v>
      </c>
    </row>
    <row r="1711" spans="1:1" x14ac:dyDescent="0.25">
      <c r="A1711" s="13">
        <f t="shared" si="32"/>
        <v>36</v>
      </c>
    </row>
    <row r="1712" spans="1:1" x14ac:dyDescent="0.25">
      <c r="A1712" s="13">
        <f t="shared" si="32"/>
        <v>36</v>
      </c>
    </row>
    <row r="1713" spans="1:1" x14ac:dyDescent="0.25">
      <c r="A1713" s="13">
        <f t="shared" si="32"/>
        <v>36</v>
      </c>
    </row>
    <row r="1714" spans="1:1" x14ac:dyDescent="0.25">
      <c r="A1714" s="13">
        <f t="shared" si="32"/>
        <v>36</v>
      </c>
    </row>
    <row r="1715" spans="1:1" x14ac:dyDescent="0.25">
      <c r="A1715" s="13">
        <f t="shared" si="32"/>
        <v>36</v>
      </c>
    </row>
    <row r="1716" spans="1:1" x14ac:dyDescent="0.25">
      <c r="A1716" s="13">
        <f t="shared" si="32"/>
        <v>36</v>
      </c>
    </row>
    <row r="1717" spans="1:1" x14ac:dyDescent="0.25">
      <c r="A1717" s="13">
        <f t="shared" si="32"/>
        <v>36</v>
      </c>
    </row>
    <row r="1718" spans="1:1" x14ac:dyDescent="0.25">
      <c r="A1718" s="13">
        <f t="shared" si="32"/>
        <v>36</v>
      </c>
    </row>
    <row r="1719" spans="1:1" x14ac:dyDescent="0.25">
      <c r="A1719" s="13">
        <f t="shared" si="32"/>
        <v>36</v>
      </c>
    </row>
    <row r="1720" spans="1:1" x14ac:dyDescent="0.25">
      <c r="A1720" s="13">
        <f t="shared" si="32"/>
        <v>36</v>
      </c>
    </row>
    <row r="1721" spans="1:1" x14ac:dyDescent="0.25">
      <c r="A1721" s="13">
        <f t="shared" si="32"/>
        <v>36</v>
      </c>
    </row>
    <row r="1722" spans="1:1" x14ac:dyDescent="0.25">
      <c r="A1722" s="13">
        <f t="shared" si="32"/>
        <v>36</v>
      </c>
    </row>
    <row r="1723" spans="1:1" x14ac:dyDescent="0.25">
      <c r="A1723" s="13">
        <f t="shared" si="32"/>
        <v>36</v>
      </c>
    </row>
    <row r="1724" spans="1:1" x14ac:dyDescent="0.25">
      <c r="A1724" s="13">
        <f t="shared" si="32"/>
        <v>36</v>
      </c>
    </row>
    <row r="1725" spans="1:1" x14ac:dyDescent="0.25">
      <c r="A1725" s="13">
        <f t="shared" si="32"/>
        <v>36</v>
      </c>
    </row>
    <row r="1726" spans="1:1" x14ac:dyDescent="0.25">
      <c r="A1726" s="13">
        <f t="shared" si="32"/>
        <v>36</v>
      </c>
    </row>
    <row r="1727" spans="1:1" x14ac:dyDescent="0.25">
      <c r="A1727" s="13">
        <f t="shared" si="32"/>
        <v>36</v>
      </c>
    </row>
    <row r="1728" spans="1:1" x14ac:dyDescent="0.25">
      <c r="A1728" s="13">
        <f t="shared" si="32"/>
        <v>36</v>
      </c>
    </row>
    <row r="1729" spans="1:1" x14ac:dyDescent="0.25">
      <c r="A1729" s="13">
        <f t="shared" si="32"/>
        <v>36</v>
      </c>
    </row>
    <row r="1730" spans="1:1" x14ac:dyDescent="0.25">
      <c r="A1730" s="13">
        <f t="shared" si="32"/>
        <v>36</v>
      </c>
    </row>
    <row r="1731" spans="1:1" x14ac:dyDescent="0.25">
      <c r="A1731" s="13">
        <f t="shared" si="32"/>
        <v>36</v>
      </c>
    </row>
    <row r="1732" spans="1:1" x14ac:dyDescent="0.25">
      <c r="A1732" s="13">
        <f t="shared" ref="A1732:A1748" si="33">IF(B1732=B1731,A1731,A1731+1)</f>
        <v>36</v>
      </c>
    </row>
    <row r="1733" spans="1:1" x14ac:dyDescent="0.25">
      <c r="A1733" s="13">
        <f t="shared" si="33"/>
        <v>36</v>
      </c>
    </row>
    <row r="1734" spans="1:1" x14ac:dyDescent="0.25">
      <c r="A1734" s="13">
        <f t="shared" si="33"/>
        <v>36</v>
      </c>
    </row>
    <row r="1735" spans="1:1" x14ac:dyDescent="0.25">
      <c r="A1735" s="13">
        <f t="shared" si="33"/>
        <v>36</v>
      </c>
    </row>
    <row r="1736" spans="1:1" x14ac:dyDescent="0.25">
      <c r="A1736" s="13">
        <f t="shared" si="33"/>
        <v>36</v>
      </c>
    </row>
    <row r="1737" spans="1:1" x14ac:dyDescent="0.25">
      <c r="A1737" s="13">
        <f t="shared" si="33"/>
        <v>36</v>
      </c>
    </row>
    <row r="1738" spans="1:1" x14ac:dyDescent="0.25">
      <c r="A1738" s="13">
        <f t="shared" si="33"/>
        <v>36</v>
      </c>
    </row>
    <row r="1739" spans="1:1" x14ac:dyDescent="0.25">
      <c r="A1739" s="13">
        <f t="shared" si="33"/>
        <v>36</v>
      </c>
    </row>
    <row r="1740" spans="1:1" x14ac:dyDescent="0.25">
      <c r="A1740" s="13">
        <f t="shared" si="33"/>
        <v>36</v>
      </c>
    </row>
    <row r="1741" spans="1:1" x14ac:dyDescent="0.25">
      <c r="A1741" s="13">
        <f t="shared" si="33"/>
        <v>36</v>
      </c>
    </row>
    <row r="1742" spans="1:1" x14ac:dyDescent="0.25">
      <c r="A1742" s="13">
        <f t="shared" si="33"/>
        <v>36</v>
      </c>
    </row>
    <row r="1743" spans="1:1" x14ac:dyDescent="0.25">
      <c r="A1743" s="13">
        <f t="shared" si="33"/>
        <v>36</v>
      </c>
    </row>
    <row r="1744" spans="1:1" x14ac:dyDescent="0.25">
      <c r="A1744" s="13">
        <f t="shared" si="33"/>
        <v>36</v>
      </c>
    </row>
    <row r="1745" spans="1:1" x14ac:dyDescent="0.25">
      <c r="A1745" s="13">
        <f t="shared" si="33"/>
        <v>36</v>
      </c>
    </row>
    <row r="1746" spans="1:1" x14ac:dyDescent="0.25">
      <c r="A1746" s="13">
        <f t="shared" si="33"/>
        <v>36</v>
      </c>
    </row>
    <row r="1747" spans="1:1" x14ac:dyDescent="0.25">
      <c r="A1747" s="13">
        <f t="shared" si="33"/>
        <v>36</v>
      </c>
    </row>
    <row r="1748" spans="1:1" x14ac:dyDescent="0.25">
      <c r="A1748" s="13">
        <f t="shared" si="33"/>
        <v>36</v>
      </c>
    </row>
  </sheetData>
  <mergeCells count="3">
    <mergeCell ref="M3:N3"/>
    <mergeCell ref="O3:P3"/>
    <mergeCell ref="V3:W3"/>
  </mergeCells>
  <conditionalFormatting sqref="B4:E167 I159:J187 B345:J13000 B173:E199 B200:D200 B201:E214 G199:G214 G188:J198 G173:G187 G159:G167 G4:J158 I199:J228 B229:E344 G229:J344">
    <cfRule type="expression" dxfId="75" priority="16">
      <formula>IF($B4=$B3,0,1)</formula>
    </cfRule>
  </conditionalFormatting>
  <conditionalFormatting sqref="J920:J1252">
    <cfRule type="expression" dxfId="74" priority="15">
      <formula>IF($J920=0,1,0)</formula>
    </cfRule>
  </conditionalFormatting>
  <conditionalFormatting sqref="K888:L900 L873:L887 K159:L872 O159:O900">
    <cfRule type="expression" dxfId="73" priority="14">
      <formula>IF($K159=0,0,1)</formula>
    </cfRule>
  </conditionalFormatting>
  <conditionalFormatting sqref="N901:N1214">
    <cfRule type="expression" dxfId="72" priority="13">
      <formula>IF(ISNUMBER(CODE($N901)),1,0)</formula>
    </cfRule>
  </conditionalFormatting>
  <conditionalFormatting sqref="L4:P4 L5:L464 M5:N900 O5:P464">
    <cfRule type="expression" dxfId="71" priority="17">
      <formula>IF($L4=0,1,0)</formula>
    </cfRule>
    <cfRule type="expression" dxfId="70" priority="18">
      <formula>IF($L4=0,0,1)</formula>
    </cfRule>
  </conditionalFormatting>
  <conditionalFormatting sqref="O4:P158">
    <cfRule type="expression" dxfId="69" priority="19">
      <formula>IF(ISNUMBER(CODE($P4)),1,0)</formula>
    </cfRule>
  </conditionalFormatting>
  <conditionalFormatting sqref="K888:L900 L873:L887 O159:O900 K159:L872">
    <cfRule type="expression" dxfId="68" priority="20">
      <formula>IF($K159=0,1,0)</formula>
    </cfRule>
  </conditionalFormatting>
  <conditionalFormatting sqref="O159:O900">
    <cfRule type="expression" dxfId="67" priority="21">
      <formula>IF(ISNUMBER(CODE($O159)),1,0)</formula>
    </cfRule>
  </conditionalFormatting>
  <conditionalFormatting sqref="L901:M1214">
    <cfRule type="expression" dxfId="66" priority="22">
      <formula>IF($K901=0,1,0)</formula>
    </cfRule>
    <cfRule type="expression" dxfId="65" priority="23">
      <formula>IF($K901=0,0,1)</formula>
    </cfRule>
  </conditionalFormatting>
  <conditionalFormatting sqref="K1215:N1230 K901:K1214 N901:N1214">
    <cfRule type="expression" dxfId="64" priority="24">
      <formula>IF($J923=0,1,0)</formula>
    </cfRule>
  </conditionalFormatting>
  <conditionalFormatting sqref="H159:H167">
    <cfRule type="expression" dxfId="63" priority="12">
      <formula>IF($B159=$B158,0,1)</formula>
    </cfRule>
  </conditionalFormatting>
  <conditionalFormatting sqref="B168:E172 G168:G172">
    <cfRule type="expression" dxfId="62" priority="11">
      <formula>IF($B168=$B167,0,1)</formula>
    </cfRule>
  </conditionalFormatting>
  <conditionalFormatting sqref="H168:H174">
    <cfRule type="expression" dxfId="61" priority="10">
      <formula>IF($B168=$B167,0,1)</formula>
    </cfRule>
  </conditionalFormatting>
  <conditionalFormatting sqref="H175:H180">
    <cfRule type="expression" dxfId="60" priority="9">
      <formula>IF($B175=$B174,0,1)</formula>
    </cfRule>
  </conditionalFormatting>
  <conditionalFormatting sqref="H181:H187">
    <cfRule type="expression" dxfId="59" priority="8">
      <formula>IF($B181=$B180,0,1)</formula>
    </cfRule>
  </conditionalFormatting>
  <conditionalFormatting sqref="H199:H206">
    <cfRule type="expression" dxfId="58" priority="7">
      <formula>IF($B199=$B198,0,1)</formula>
    </cfRule>
  </conditionalFormatting>
  <conditionalFormatting sqref="E200">
    <cfRule type="expression" dxfId="57" priority="6">
      <formula>IF($B200=$B199,0,1)</formula>
    </cfRule>
  </conditionalFormatting>
  <conditionalFormatting sqref="H207:H214">
    <cfRule type="expression" dxfId="56" priority="5">
      <formula>IF($B207=$B206,0,1)</formula>
    </cfRule>
  </conditionalFormatting>
  <conditionalFormatting sqref="B215:G221 F4:F214 F222:F344">
    <cfRule type="expression" dxfId="55" priority="4">
      <formula>IF($B4=$B3,0,1)</formula>
    </cfRule>
  </conditionalFormatting>
  <conditionalFormatting sqref="H215:H221">
    <cfRule type="expression" dxfId="54" priority="3">
      <formula>IF($B215=$B214,0,1)</formula>
    </cfRule>
  </conditionalFormatting>
  <conditionalFormatting sqref="B222:E228 G222:G228">
    <cfRule type="expression" dxfId="53" priority="2">
      <formula>IF($B222=$B221,0,1)</formula>
    </cfRule>
  </conditionalFormatting>
  <conditionalFormatting sqref="H222:H228">
    <cfRule type="expression" dxfId="52" priority="1">
      <formula>IF($B222=$B221,0,1)</formula>
    </cfRule>
  </conditionalFormatting>
  <dataValidations count="1">
    <dataValidation type="list" allowBlank="1" showInputMessage="1" showErrorMessage="1" sqref="T2">
      <formula1>$Y$4:$Y$10</formula1>
    </dataValidation>
  </dataValidation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A1748"/>
  <sheetViews>
    <sheetView topLeftCell="B206" zoomScaleNormal="100" workbookViewId="0">
      <selection activeCell="H222" sqref="H222:H228"/>
    </sheetView>
  </sheetViews>
  <sheetFormatPr defaultRowHeight="15" x14ac:dyDescent="0.25"/>
  <cols>
    <col min="1" max="1" width="1.28515625" style="13" customWidth="1"/>
    <col min="2" max="2" width="9.7109375" bestFit="1" customWidth="1"/>
    <col min="3" max="3" width="12.7109375" bestFit="1" customWidth="1"/>
    <col min="4" max="4" width="25.7109375" style="14" bestFit="1" customWidth="1"/>
    <col min="5" max="5" width="21.5703125" customWidth="1"/>
    <col min="6" max="6" width="9.7109375" bestFit="1" customWidth="1"/>
    <col min="7" max="7" width="11.140625" bestFit="1" customWidth="1"/>
    <col min="10" max="10" width="15.5703125" style="6" bestFit="1" customWidth="1"/>
    <col min="11" max="12" width="10.7109375" style="6" bestFit="1" customWidth="1"/>
    <col min="13" max="13" width="7.140625" style="6" customWidth="1"/>
    <col min="14" max="14" width="8.28515625" bestFit="1" customWidth="1"/>
    <col min="15" max="15" width="7.7109375" bestFit="1" customWidth="1"/>
    <col min="18" max="18" width="8.85546875" bestFit="1" customWidth="1"/>
    <col min="19" max="19" width="12" bestFit="1" customWidth="1"/>
    <col min="20" max="20" width="17.140625" bestFit="1" customWidth="1"/>
    <col min="21" max="21" width="14.5703125" bestFit="1" customWidth="1"/>
    <col min="22" max="22" width="12.7109375" bestFit="1" customWidth="1"/>
    <col min="26" max="26" width="11" bestFit="1" customWidth="1"/>
  </cols>
  <sheetData>
    <row r="2" spans="1:27" ht="18" customHeight="1" x14ac:dyDescent="0.25">
      <c r="T2" t="s">
        <v>802</v>
      </c>
    </row>
    <row r="3" spans="1:27" x14ac:dyDescent="0.25">
      <c r="B3" s="6" t="s">
        <v>786</v>
      </c>
      <c r="C3" s="6" t="s">
        <v>785</v>
      </c>
      <c r="D3" s="6" t="s">
        <v>787</v>
      </c>
      <c r="E3" s="6" t="s">
        <v>782</v>
      </c>
      <c r="F3" s="6" t="s">
        <v>788</v>
      </c>
      <c r="G3" s="6" t="s">
        <v>789</v>
      </c>
      <c r="H3" s="6" t="s">
        <v>790</v>
      </c>
      <c r="I3" s="6" t="s">
        <v>791</v>
      </c>
      <c r="J3" s="6" t="s">
        <v>792</v>
      </c>
      <c r="K3"/>
      <c r="L3" s="15" t="s">
        <v>786</v>
      </c>
      <c r="M3" s="93" t="s">
        <v>793</v>
      </c>
      <c r="N3" s="93"/>
      <c r="O3" s="93" t="s">
        <v>794</v>
      </c>
      <c r="P3" s="94"/>
      <c r="Q3" t="s">
        <v>1344</v>
      </c>
      <c r="R3" t="s">
        <v>1344</v>
      </c>
      <c r="T3" s="16" t="s">
        <v>795</v>
      </c>
      <c r="U3" s="16" t="s">
        <v>793</v>
      </c>
      <c r="V3" s="93" t="s">
        <v>794</v>
      </c>
      <c r="W3" s="94"/>
    </row>
    <row r="4" spans="1:27" x14ac:dyDescent="0.25">
      <c r="A4" s="13">
        <f t="shared" ref="A4:A67" si="0">IF(B4=B3,A3,A3+1)</f>
        <v>1</v>
      </c>
      <c r="B4" s="17">
        <v>43578</v>
      </c>
      <c r="C4" s="17" t="s">
        <v>802</v>
      </c>
      <c r="D4" s="18" t="s">
        <v>811</v>
      </c>
      <c r="E4" s="11" t="s">
        <v>812</v>
      </c>
      <c r="F4" s="19">
        <f>10</f>
        <v>10</v>
      </c>
      <c r="G4" s="46" t="s">
        <v>813</v>
      </c>
      <c r="H4" s="21" t="s">
        <v>262</v>
      </c>
      <c r="I4" s="22">
        <f>IF(Bets[[#This Row],[Result]]="L",0-Bets[[#This Row],[Risk]],IF(Bets[[#This Row],[Result]]="Push",0,IF(Bets[[#This Row],[Result]]="No Action",0,IF(Bets[[#This Row],[Result]]="W",IF(Bets[[#This Row],[Odds]]&gt;0,Bets[[#This Row],[Odds]]/100*Bets[[#This Row],[Risk]],(Bets[[#This Row],[Risk]]/Bets[[#This Row],[Odds]]*-100)),""))))</f>
        <v>21</v>
      </c>
      <c r="J4" s="23" t="str">
        <f>IF(ISNUMBER(SEARCH(CHAR(10),Bets[[#This Row],[Bet]])),"P",IF(ISNUMBER(FIND("Under",Bets[[#This Row],[Bet]])),"U",IF(ISNUMBER(SEARCH("Over",Bets[[#This Row],[Bet]])),"O",IF(ISNUMBER(SEARCH("+",Bets[[#This Row],[Bet]])),"D",IF(ISNUMBER(SEARCH("-",Bets[[#This Row],[Bet]])),"F",IF(ISNUMBER(SEARCH("Moneyline",Bets[[#This Row],[Bet]])),IF(Bets[[#This Row],[Odds]]&lt;0,"MF","MD"),""))))))</f>
        <v>MD</v>
      </c>
      <c r="K4"/>
      <c r="L4" s="24">
        <f t="shared" ref="L4:L35" si="1">IFERROR(VLOOKUP(ROW()-3,A:B,2,0),0)</f>
        <v>43578</v>
      </c>
      <c r="M4" s="1" t="str">
        <f>COUNTIFS(Bets[Date],L4,Bets[Result],"W")&amp;"-"&amp;COUNTIFS(Bets[Date],L4,Bets[Result],"L")&amp;IF(COUNTIFS(Bets[Date],L4,Bets[Result],"Push")&gt;0,"-"&amp;COUNTIFS(Bets[Date],L4,Bets[Result],"Push"),"")</f>
        <v>11-7-1</v>
      </c>
      <c r="N4" s="25">
        <f>IFERROR(COUNTIFS(Bets[Date],L4,Bets[Result],"W")/(COUNTIFS(Bets[Date],L4,Bets[Result],"W")+COUNTIFS(Bets[Date],L4,Bets[Result],"L")),"")</f>
        <v>0.61111111111111116</v>
      </c>
      <c r="O4" s="26">
        <f>SUMIF(Bets[Date],L4,Bets[Net])</f>
        <v>45.55594405594406</v>
      </c>
      <c r="P4" s="27" t="str">
        <f>IFERROR("("&amp;ROUND(SUMIF(Bets[Date],L4,Bets[Net])/SUMIF(Bets[Date],L4,Bets[Risk]),2)*100&amp;"%)","")</f>
        <v>(24%)</v>
      </c>
      <c r="Q4" s="72">
        <f>O4</f>
        <v>45.55594405594406</v>
      </c>
      <c r="R4" s="73">
        <f>IFERROR(SUMIF(Bets[Date],"&lt;="&amp;L4,Bets[Net])/SUMIF(Bets[Date],"&lt;="&amp;L4,Bets[Risk]),"")</f>
        <v>0.23976812661023189</v>
      </c>
      <c r="S4" s="28" t="s">
        <v>796</v>
      </c>
      <c r="T4" s="29" t="s">
        <v>797</v>
      </c>
      <c r="U4" s="16" t="str">
        <f>IFERROR(IF($T$2="All",COUNTIFS(Bets[Bet Type],S4,Bets[Result],"W")&amp;"-"&amp;COUNTIFS(Bets[Bet Type],S4,Bets[Result],"L")&amp;IF(COUNTIFS(Bets[Bet Type],S4,Bets[Result],"Push")&gt;0,"-"&amp;COUNTIFS(Bets[Bet Type],S4,Bets[Result],"Push"),"")&amp;" ("&amp;ROUND(COUNTIFS(Bets[Bet Type],S4,Bets[Result],"W")/(COUNTIFS(Bets[Bet Type],S4,Bets[Result],"W")+COUNTIFS(Bets[Bet Type],S4,Bets[Result],"L"))*100,1)&amp;"%)",COUNTIFS(Bets[Sport],$T$2,Bets[Bet Type],S4,Bets[Result],"W")&amp;"-"&amp;COUNTIFS(Bets[Sport],$T$2,Bets[Bet Type],S4,Bets[Result],"L")&amp;IF(COUNTIFS(Bets[Sport],$T$2,Bets[Bet Type],S4,Bets[Result],"Push")&gt;0,"-"&amp;COUNTIFS(Bets[Sport],$T$2,Bets[Bet Type],S4,Bets[Result],"Push"),"")&amp;" ("&amp;ROUND(COUNTIFS(Bets[Sport],$T$2,Bets[Bet Type],S4,Bets[Result],"W")/(COUNTIFS(Bets[Sport],$T$2,Bets[Bet Type],S4,Bets[Result],"W")+COUNTIFS(Bets[Sport],$T$2,Bets[Bet Type],S4,Bets[Result],"L"))*100,1)&amp;"%)"),"No Bets")</f>
        <v>19-14-2 (57.6%)</v>
      </c>
      <c r="V4" s="30">
        <f>IF($T$2="All",SUMIF(Bets[Bet Type],S4,Bets[Net]),SUMIFS(Bets[Net],Bets[Bet Type],S4,Bets[Sport],$T$2))</f>
        <v>33.664878599661208</v>
      </c>
      <c r="W4" s="31" t="str">
        <f>IF($T$2="All",IFERROR("("&amp;ROUND((SUMIF(Bets[Bet Type],S4,Bets[Net]))/SUMIF(Bets[Bet Type],S4,Bets[Risk]),2)*100&amp;"%)",""),IFERROR("("&amp;ROUND((SUMIFS(Bets[Net],Bets[Bet Type],S4,Bets[Sport],$T$2))/SUMIFS(Bets[Risk],Bets[Bet Type],S4,Bets[Sport],$T$2),2)*100&amp;"%)",""))</f>
        <v>(9%)</v>
      </c>
    </row>
    <row r="5" spans="1:27" x14ac:dyDescent="0.25">
      <c r="A5" s="13">
        <f t="shared" si="0"/>
        <v>1</v>
      </c>
      <c r="B5" s="17">
        <v>43578</v>
      </c>
      <c r="C5" s="17" t="s">
        <v>802</v>
      </c>
      <c r="D5" s="18" t="s">
        <v>814</v>
      </c>
      <c r="E5" s="11" t="s">
        <v>815</v>
      </c>
      <c r="F5" s="19">
        <f>10</f>
        <v>10</v>
      </c>
      <c r="G5" s="46">
        <v>-115</v>
      </c>
      <c r="H5" s="21" t="s">
        <v>263</v>
      </c>
      <c r="I5" s="22">
        <f>IF(Bets[[#This Row],[Result]]="L",0-Bets[[#This Row],[Risk]],IF(Bets[[#This Row],[Result]]="Push",0,IF(Bets[[#This Row],[Result]]="No Action",0,IF(Bets[[#This Row],[Result]]="W",IF(Bets[[#This Row],[Odds]]&gt;0,Bets[[#This Row],[Odds]]/100*Bets[[#This Row],[Risk]],(Bets[[#This Row],[Risk]]/Bets[[#This Row],[Odds]]*-100)),""))))</f>
        <v>-10</v>
      </c>
      <c r="J5" s="23" t="str">
        <f>IF(ISNUMBER(SEARCH(CHAR(10),Bets[[#This Row],[Bet]])),"P",IF(ISNUMBER(FIND("Under",Bets[[#This Row],[Bet]])),"U",IF(ISNUMBER(SEARCH("Over",Bets[[#This Row],[Bet]])),"O",IF(ISNUMBER(SEARCH("+",Bets[[#This Row],[Bet]])),"D",IF(ISNUMBER(SEARCH("-",Bets[[#This Row],[Bet]])),"F",IF(ISNUMBER(SEARCH("Moneyline",Bets[[#This Row],[Bet]])),IF(Bets[[#This Row],[Odds]]&lt;0,"MF","MD"),""))))))</f>
        <v>MF</v>
      </c>
      <c r="K5"/>
      <c r="L5" s="24">
        <f t="shared" si="1"/>
        <v>43579</v>
      </c>
      <c r="M5" s="1" t="str">
        <f>COUNTIFS(Bets[Date],L5,Bets[Result],"W")&amp;"-"&amp;COUNTIFS(Bets[Date],L5,Bets[Result],"L")&amp;IF(COUNTIFS(Bets[Date],L5,Bets[Result],"Push")&gt;0,"-"&amp;COUNTIFS(Bets[Date],L5,Bets[Result],"Push"),"")</f>
        <v>11-9</v>
      </c>
      <c r="N5" s="25">
        <f>IFERROR(COUNTIFS(Bets[Date],L5,Bets[Result],"W")/(COUNTIFS(Bets[Date],L5,Bets[Result],"W")+COUNTIFS(Bets[Date],L5,Bets[Result],"L")),"")</f>
        <v>0.55000000000000004</v>
      </c>
      <c r="O5" s="26">
        <f>SUMIF(Bets[Date],L5,Bets[Net])</f>
        <v>8.0870240870240941</v>
      </c>
      <c r="P5" s="27" t="str">
        <f>IFERROR("("&amp;ROUND(SUMIF(Bets[Date],L5,Bets[Net])/SUMIF(Bets[Date],L5,Bets[Risk]),2)*100&amp;"%)","")</f>
        <v>(4%)</v>
      </c>
      <c r="Q5" s="72">
        <f>IF(L5&lt;&gt;0,Q4+O5,"")</f>
        <v>53.642968142968158</v>
      </c>
      <c r="R5" s="73">
        <f>IFERROR(SUMIF(Bets[Date],"&lt;="&amp;L5,Bets[Net])/SUMIF(Bets[Date],"&lt;="&amp;L5,Bets[Risk]),"")</f>
        <v>0.13754607216145681</v>
      </c>
      <c r="S5" s="28" t="s">
        <v>798</v>
      </c>
      <c r="T5" s="29" t="s">
        <v>799</v>
      </c>
      <c r="U5" s="16" t="str">
        <f>IFERROR(IF($T$2="All",COUNTIFS(Bets[Bet Type],S5,Bets[Result],"W")&amp;"-"&amp;COUNTIFS(Bets[Bet Type],S5,Bets[Result],"L")&amp;IF(COUNTIFS(Bets[Bet Type],S5,Bets[Result],"Push")&gt;0,"-"&amp;COUNTIFS(Bets[Bet Type],S5,Bets[Result],"Push"),"")&amp;" ("&amp;ROUND(COUNTIFS(Bets[Bet Type],S5,Bets[Result],"W")/(COUNTIFS(Bets[Bet Type],S5,Bets[Result],"W")+COUNTIFS(Bets[Bet Type],S5,Bets[Result],"L"))*100,1)&amp;"%)",COUNTIFS(Bets[Sport],$T$2,Bets[Bet Type],S5,Bets[Result],"W")&amp;"-"&amp;COUNTIFS(Bets[Sport],$T$2,Bets[Bet Type],S5,Bets[Result],"L")&amp;IF(COUNTIFS(Bets[Sport],$T$2,Bets[Bet Type],S5,Bets[Result],"Push")&gt;0,"-"&amp;COUNTIFS(Bets[Sport],$T$2,Bets[Bet Type],S5,Bets[Result],"Push"),"")&amp;" ("&amp;ROUND(COUNTIFS(Bets[Sport],$T$2,Bets[Bet Type],S5,Bets[Result],"W")/(COUNTIFS(Bets[Sport],$T$2,Bets[Bet Type],S5,Bets[Result],"W")+COUNTIFS(Bets[Sport],$T$2,Bets[Bet Type],S5,Bets[Result],"L"))*100,1)&amp;"%)"),"No Bets")</f>
        <v>29-22-6 (56.9%)</v>
      </c>
      <c r="V5" s="30">
        <f>IF($T$2="All",SUMIF(Bets[Bet Type],S5,Bets[Net]),SUMIFS(Bets[Net],Bets[Bet Type],S5,Bets[Sport],$T$2))</f>
        <v>46.009881422924906</v>
      </c>
      <c r="W5" s="31" t="str">
        <f>IF($T$2="All",IFERROR("("&amp;ROUND((SUMIF(Bets[Bet Type],S5,Bets[Net]))/SUMIF(Bets[Bet Type],S5,Bets[Risk]),2)*100&amp;"%)",""),IFERROR("("&amp;ROUND((SUMIFS(Bets[Net],Bets[Bet Type],S5,Bets[Sport],$T$2))/SUMIFS(Bets[Risk],Bets[Bet Type],S5,Bets[Sport],$T$2),2)*100&amp;"%)",""))</f>
        <v>(8%)</v>
      </c>
    </row>
    <row r="6" spans="1:27" x14ac:dyDescent="0.25">
      <c r="A6" s="13">
        <f t="shared" si="0"/>
        <v>1</v>
      </c>
      <c r="B6" s="17">
        <v>43578</v>
      </c>
      <c r="C6" s="17" t="s">
        <v>802</v>
      </c>
      <c r="D6" s="18" t="s">
        <v>816</v>
      </c>
      <c r="E6" s="11" t="s">
        <v>810</v>
      </c>
      <c r="F6" s="19">
        <f>10</f>
        <v>10</v>
      </c>
      <c r="G6" s="47" t="s">
        <v>817</v>
      </c>
      <c r="H6" s="21" t="s">
        <v>262</v>
      </c>
      <c r="I6" s="45">
        <f>IF(Bets[[#This Row],[Result]]="L",0-Bets[[#This Row],[Risk]],IF(Bets[[#This Row],[Result]]="Push",0,IF(Bets[[#This Row],[Result]]="No Action",0,IF(Bets[[#This Row],[Result]]="W",IF(Bets[[#This Row],[Odds]]&gt;0,Bets[[#This Row],[Odds]]/100*Bets[[#This Row],[Risk]],(Bets[[#This Row],[Risk]]/Bets[[#This Row],[Odds]]*-100)),""))))</f>
        <v>12</v>
      </c>
      <c r="J6" s="23" t="str">
        <f>IF(ISNUMBER(SEARCH(CHAR(10),Bets[[#This Row],[Bet]])),"P",IF(ISNUMBER(FIND("Under",Bets[[#This Row],[Bet]])),"U",IF(ISNUMBER(SEARCH("Over",Bets[[#This Row],[Bet]])),"O",IF(ISNUMBER(SEARCH("+",Bets[[#This Row],[Bet]])),"D",IF(ISNUMBER(SEARCH("-",Bets[[#This Row],[Bet]])),"F",IF(ISNUMBER(SEARCH("Moneyline",Bets[[#This Row],[Bet]])),IF(Bets[[#This Row],[Odds]]&lt;0,"MF","MD"),""))))))</f>
        <v>MD</v>
      </c>
      <c r="K6"/>
      <c r="L6" s="24">
        <f t="shared" si="1"/>
        <v>43580</v>
      </c>
      <c r="M6" s="1" t="str">
        <f>COUNTIFS(Bets[Date],L6,Bets[Result],"W")&amp;"-"&amp;COUNTIFS(Bets[Date],L6,Bets[Result],"L")&amp;IF(COUNTIFS(Bets[Date],L6,Bets[Result],"Push")&gt;0,"-"&amp;COUNTIFS(Bets[Date],L6,Bets[Result],"Push"),"")</f>
        <v>3-2</v>
      </c>
      <c r="N6" s="25">
        <f>IFERROR(COUNTIFS(Bets[Date],L6,Bets[Result],"W")/(COUNTIFS(Bets[Date],L6,Bets[Result],"W")+COUNTIFS(Bets[Date],L6,Bets[Result],"L")),"")</f>
        <v>0.6</v>
      </c>
      <c r="O6" s="26">
        <f>SUMIF(Bets[Date],L6,Bets[Net])</f>
        <v>20.090909090909093</v>
      </c>
      <c r="P6" s="27" t="str">
        <f>IFERROR("("&amp;ROUND(SUMIF(Bets[Date],L6,Bets[Net])/SUMIF(Bets[Date],L6,Bets[Risk]),2)*100&amp;"%)","")</f>
        <v>(40%)</v>
      </c>
      <c r="Q6" s="72">
        <f t="shared" ref="Q6:Q69" si="2">IF(L6&lt;&gt;0,Q5+O6,"")</f>
        <v>73.733877233877251</v>
      </c>
      <c r="R6" s="73">
        <f>IFERROR(SUMIF(Bets[Date],"&lt;="&amp;L6,Bets[Net])/SUMIF(Bets[Date],"&lt;="&amp;L6,Bets[Risk]),"")</f>
        <v>0.16757699371335738</v>
      </c>
      <c r="S6" s="28" t="s">
        <v>800</v>
      </c>
      <c r="T6" s="29" t="s">
        <v>1211</v>
      </c>
      <c r="U6" s="16" t="str">
        <f>IFERROR(IF($T$2="All",COUNTIFS(Bets[Bet Type],S6,Bets[Result],"W")&amp;"-"&amp;COUNTIFS(Bets[Bet Type],S6,Bets[Result],"L")&amp;IF(COUNTIFS(Bets[Bet Type],S6,Bets[Result],"Push")&gt;0,"-"&amp;COUNTIFS(Bets[Bet Type],S6,Bets[Result],"Push"),"")&amp;" ("&amp;ROUND(COUNTIFS(Bets[Bet Type],S6,Bets[Result],"W")/(COUNTIFS(Bets[Bet Type],S6,Bets[Result],"W")+COUNTIFS(Bets[Bet Type],S6,Bets[Result],"L"))*100,1)&amp;"%)",COUNTIFS(Bets[Sport],$T$2,Bets[Bet Type],S6,Bets[Result],"W")&amp;"-"&amp;COUNTIFS(Bets[Sport],$T$2,Bets[Bet Type],S6,Bets[Result],"L")&amp;IF(COUNTIFS(Bets[Sport],$T$2,Bets[Bet Type],S6,Bets[Result],"Push")&gt;0,"-"&amp;COUNTIFS(Bets[Sport],$T$2,Bets[Bet Type],S6,Bets[Result],"Push"),"")&amp;" ("&amp;ROUND(COUNTIFS(Bets[Sport],$T$2,Bets[Bet Type],S6,Bets[Result],"W")/(COUNTIFS(Bets[Sport],$T$2,Bets[Bet Type],S6,Bets[Result],"W")+COUNTIFS(Bets[Sport],$T$2,Bets[Bet Type],S6,Bets[Result],"L"))*100,1)&amp;"%)"),"No Bets")</f>
        <v>No Bets</v>
      </c>
      <c r="V6" s="30">
        <f>IF($T$2="All",SUMIF(Bets[Bet Type],S6,Bets[Net]),SUMIFS(Bets[Net],Bets[Bet Type],S6,Bets[Sport],$T$2))</f>
        <v>0</v>
      </c>
      <c r="W6" s="31" t="str">
        <f>IF($T$2="All",IFERROR("("&amp;ROUND((SUMIF(Bets[Bet Type],S6,Bets[Net]))/SUMIF(Bets[Bet Type],S6,Bets[Risk]),2)*100&amp;"%)",""),IFERROR("("&amp;ROUND((SUMIFS(Bets[Net],Bets[Bet Type],S6,Bets[Sport],$T$2))/SUMIFS(Bets[Risk],Bets[Bet Type],S6,Bets[Sport],$T$2),2)*100&amp;"%)",""))</f>
        <v/>
      </c>
    </row>
    <row r="7" spans="1:27" x14ac:dyDescent="0.25">
      <c r="A7" s="13">
        <f t="shared" si="0"/>
        <v>1</v>
      </c>
      <c r="B7" s="17">
        <v>43578</v>
      </c>
      <c r="C7" s="17" t="s">
        <v>802</v>
      </c>
      <c r="D7" s="18" t="s">
        <v>818</v>
      </c>
      <c r="E7" s="11" t="s">
        <v>819</v>
      </c>
      <c r="F7" s="19">
        <f>10</f>
        <v>10</v>
      </c>
      <c r="G7" s="47">
        <v>-200</v>
      </c>
      <c r="H7" s="21" t="s">
        <v>262</v>
      </c>
      <c r="I7" s="45">
        <f>IF(Bets[[#This Row],[Result]]="L",0-Bets[[#This Row],[Risk]],IF(Bets[[#This Row],[Result]]="Push",0,IF(Bets[[#This Row],[Result]]="No Action",0,IF(Bets[[#This Row],[Result]]="W",IF(Bets[[#This Row],[Odds]]&gt;0,Bets[[#This Row],[Odds]]/100*Bets[[#This Row],[Risk]],(Bets[[#This Row],[Risk]]/Bets[[#This Row],[Odds]]*-100)),""))))</f>
        <v>5</v>
      </c>
      <c r="J7" s="23" t="str">
        <f>IF(ISNUMBER(SEARCH(CHAR(10),Bets[[#This Row],[Bet]])),"P",IF(ISNUMBER(FIND("Under",Bets[[#This Row],[Bet]])),"U",IF(ISNUMBER(SEARCH("Over",Bets[[#This Row],[Bet]])),"O",IF(ISNUMBER(SEARCH("+",Bets[[#This Row],[Bet]])),"D",IF(ISNUMBER(SEARCH("-",Bets[[#This Row],[Bet]])),"F",IF(ISNUMBER(SEARCH("Moneyline",Bets[[#This Row],[Bet]])),IF(Bets[[#This Row],[Odds]]&lt;0,"MF","MD"),""))))))</f>
        <v>MF</v>
      </c>
      <c r="K7"/>
      <c r="L7" s="24">
        <f t="shared" si="1"/>
        <v>43581</v>
      </c>
      <c r="M7" s="1" t="str">
        <f>COUNTIFS(Bets[Date],L7,Bets[Result],"W")&amp;"-"&amp;COUNTIFS(Bets[Date],L7,Bets[Result],"L")&amp;IF(COUNTIFS(Bets[Date],L7,Bets[Result],"Push")&gt;0,"-"&amp;COUNTIFS(Bets[Date],L7,Bets[Result],"Push"),"")</f>
        <v>4-4-2</v>
      </c>
      <c r="N7" s="25">
        <f>IFERROR(COUNTIFS(Bets[Date],L7,Bets[Result],"W")/(COUNTIFS(Bets[Date],L7,Bets[Result],"W")+COUNTIFS(Bets[Date],L7,Bets[Result],"L")),"")</f>
        <v>0.5</v>
      </c>
      <c r="O7" s="26">
        <f>SUMIF(Bets[Date],L7,Bets[Net])</f>
        <v>-9.6243120677278569</v>
      </c>
      <c r="P7" s="27" t="str">
        <f>IFERROR("("&amp;ROUND(SUMIF(Bets[Date],L7,Bets[Net])/SUMIF(Bets[Date],L7,Bets[Risk]),2)*100&amp;"%)","")</f>
        <v>(-10%)</v>
      </c>
      <c r="Q7" s="72">
        <f t="shared" si="2"/>
        <v>64.109565166149395</v>
      </c>
      <c r="R7" s="73">
        <f>IFERROR(SUMIF(Bets[Date],"&lt;="&amp;L7,Bets[Net])/SUMIF(Bets[Date],"&lt;="&amp;L7,Bets[Risk]),"")</f>
        <v>0.11872141697435074</v>
      </c>
      <c r="S7" s="28" t="s">
        <v>801</v>
      </c>
      <c r="T7" s="29" t="s">
        <v>1212</v>
      </c>
      <c r="U7" s="16" t="str">
        <f>IFERROR(IF($T$2="All",COUNTIFS(Bets[Bet Type],S7,Bets[Result],"W")&amp;"-"&amp;COUNTIFS(Bets[Bet Type],S7,Bets[Result],"L")&amp;IF(COUNTIFS(Bets[Bet Type],S7,Bets[Result],"Push")&gt;0,"-"&amp;COUNTIFS(Bets[Bet Type],S7,Bets[Result],"Push"),"")&amp;" ("&amp;ROUND(COUNTIFS(Bets[Bet Type],S7,Bets[Result],"W")/(COUNTIFS(Bets[Bet Type],S7,Bets[Result],"W")+COUNTIFS(Bets[Bet Type],S7,Bets[Result],"L"))*100,1)&amp;"%)",COUNTIFS(Bets[Sport],$T$2,Bets[Bet Type],S7,Bets[Result],"W")&amp;"-"&amp;COUNTIFS(Bets[Sport],$T$2,Bets[Bet Type],S7,Bets[Result],"L")&amp;IF(COUNTIFS(Bets[Sport],$T$2,Bets[Bet Type],S7,Bets[Result],"Push")&gt;0,"-"&amp;COUNTIFS(Bets[Sport],$T$2,Bets[Bet Type],S7,Bets[Result],"Push"),"")&amp;" ("&amp;ROUND(COUNTIFS(Bets[Sport],$T$2,Bets[Bet Type],S7,Bets[Result],"W")/(COUNTIFS(Bets[Sport],$T$2,Bets[Bet Type],S7,Bets[Result],"W")+COUNTIFS(Bets[Sport],$T$2,Bets[Bet Type],S7,Bets[Result],"L"))*100,1)&amp;"%)"),"No Bets")</f>
        <v>No Bets</v>
      </c>
      <c r="V7" s="30">
        <f>IF($T$2="All",SUMIF(Bets[Bet Type],S7,Bets[Net]),SUMIFS(Bets[Net],Bets[Bet Type],S7,Bets[Sport],$T$2))</f>
        <v>0</v>
      </c>
      <c r="W7" s="31" t="str">
        <f>IF($T$2="All",IFERROR("("&amp;ROUND((SUMIF(Bets[Bet Type],S7,Bets[Net]))/SUMIF(Bets[Bet Type],S7,Bets[Risk]),2)*100&amp;"%)",""),IFERROR("("&amp;ROUND((SUMIFS(Bets[Net],Bets[Bet Type],S7,Bets[Sport],$T$2))/SUMIFS(Bets[Risk],Bets[Bet Type],S7,Bets[Sport],$T$2),2)*100&amp;"%)",""))</f>
        <v/>
      </c>
    </row>
    <row r="8" spans="1:27" x14ac:dyDescent="0.25">
      <c r="A8" s="13">
        <f t="shared" si="0"/>
        <v>1</v>
      </c>
      <c r="B8" s="17">
        <v>43578</v>
      </c>
      <c r="C8" s="17" t="s">
        <v>802</v>
      </c>
      <c r="D8" s="18" t="s">
        <v>811</v>
      </c>
      <c r="E8" s="11" t="s">
        <v>812</v>
      </c>
      <c r="F8" s="19">
        <f>10</f>
        <v>10</v>
      </c>
      <c r="G8" s="47" t="s">
        <v>820</v>
      </c>
      <c r="H8" s="21" t="s">
        <v>262</v>
      </c>
      <c r="I8" s="45">
        <f>IF(Bets[[#This Row],[Result]]="L",0-Bets[[#This Row],[Risk]],IF(Bets[[#This Row],[Result]]="Push",0,IF(Bets[[#This Row],[Result]]="No Action",0,IF(Bets[[#This Row],[Result]]="W",IF(Bets[[#This Row],[Odds]]&gt;0,Bets[[#This Row],[Odds]]/100*Bets[[#This Row],[Risk]],(Bets[[#This Row],[Risk]]/Bets[[#This Row],[Odds]]*-100)),""))))</f>
        <v>18.5</v>
      </c>
      <c r="J8" s="23" t="str">
        <f>IF(ISNUMBER(SEARCH(CHAR(10),Bets[[#This Row],[Bet]])),"P",IF(ISNUMBER(FIND("Under",Bets[[#This Row],[Bet]])),"U",IF(ISNUMBER(SEARCH("Over",Bets[[#This Row],[Bet]])),"O",IF(ISNUMBER(SEARCH("+",Bets[[#This Row],[Bet]])),"D",IF(ISNUMBER(SEARCH("-",Bets[[#This Row],[Bet]])),"F",IF(ISNUMBER(SEARCH("Moneyline",Bets[[#This Row],[Bet]])),IF(Bets[[#This Row],[Odds]]&lt;0,"MF","MD"),""))))))</f>
        <v>MD</v>
      </c>
      <c r="K8"/>
      <c r="L8" s="24">
        <f t="shared" si="1"/>
        <v>43584</v>
      </c>
      <c r="M8" s="1" t="str">
        <f>COUNTIFS(Bets[Date],L8,Bets[Result],"W")&amp;"-"&amp;COUNTIFS(Bets[Date],L8,Bets[Result],"L")&amp;IF(COUNTIFS(Bets[Date],L8,Bets[Result],"Push")&gt;0,"-"&amp;COUNTIFS(Bets[Date],L8,Bets[Result],"Push"),"")</f>
        <v>6-3</v>
      </c>
      <c r="N8" s="25">
        <f>IFERROR(COUNTIFS(Bets[Date],L8,Bets[Result],"W")/(COUNTIFS(Bets[Date],L8,Bets[Result],"W")+COUNTIFS(Bets[Date],L8,Bets[Result],"L")),"")</f>
        <v>0.66666666666666663</v>
      </c>
      <c r="O8" s="26">
        <f>SUMIF(Bets[Date],L8,Bets[Net])</f>
        <v>39.523809523809526</v>
      </c>
      <c r="P8" s="27" t="str">
        <f>IFERROR("("&amp;ROUND(SUMIF(Bets[Date],L8,Bets[Net])/SUMIF(Bets[Date],L8,Bets[Risk]),2)*100&amp;"%)","")</f>
        <v>(44%)</v>
      </c>
      <c r="Q8" s="72">
        <f t="shared" si="2"/>
        <v>103.63337468995891</v>
      </c>
      <c r="R8" s="73">
        <f>IFERROR(SUMIF(Bets[Date],"&lt;="&amp;L8,Bets[Net])/SUMIF(Bets[Date],"&lt;="&amp;L8,Bets[Risk]),"")</f>
        <v>0.16449742014279192</v>
      </c>
      <c r="S8" s="28" t="s">
        <v>803</v>
      </c>
      <c r="T8" s="29" t="s">
        <v>804</v>
      </c>
      <c r="U8" s="16" t="str">
        <f>IFERROR(IF($T$2="All",COUNTIFS(Bets[Bet Type],S8,Bets[Result],"W")&amp;"-"&amp;COUNTIFS(Bets[Bet Type],S8,Bets[Result],"L")&amp;IF(COUNTIFS(Bets[Bet Type],S8,Bets[Result],"Push")&gt;0,"-"&amp;COUNTIFS(Bets[Bet Type],S8,Bets[Result],"Push"),"")&amp;" ("&amp;ROUND(COUNTIFS(Bets[Bet Type],S8,Bets[Result],"W")/(COUNTIFS(Bets[Bet Type],S8,Bets[Result],"W")+COUNTIFS(Bets[Bet Type],S8,Bets[Result],"L"))*100,1)&amp;"%)",COUNTIFS(Bets[Sport],$T$2,Bets[Bet Type],S8,Bets[Result],"W")&amp;"-"&amp;COUNTIFS(Bets[Sport],$T$2,Bets[Bet Type],S8,Bets[Result],"L")&amp;IF(COUNTIFS(Bets[Sport],$T$2,Bets[Bet Type],S8,Bets[Result],"Push")&gt;0,"-"&amp;COUNTIFS(Bets[Sport],$T$2,Bets[Bet Type],S8,Bets[Result],"Push"),"")&amp;" ("&amp;ROUND(COUNTIFS(Bets[Sport],$T$2,Bets[Bet Type],S8,Bets[Result],"W")/(COUNTIFS(Bets[Sport],$T$2,Bets[Bet Type],S8,Bets[Result],"W")+COUNTIFS(Bets[Sport],$T$2,Bets[Bet Type],S8,Bets[Result],"L"))*100,1)&amp;"%)"),"No Bets")</f>
        <v>50-35-1 (58.8%)</v>
      </c>
      <c r="V8" s="30">
        <f>IF($T$2="All",SUMIF(Bets[Bet Type],S8,Bets[Net]),SUMIFS(Bets[Net],Bets[Bet Type],S8,Bets[Sport],$T$2))</f>
        <v>-11.629861091187209</v>
      </c>
      <c r="W8" s="31" t="str">
        <f>IF($T$2="All",IFERROR("("&amp;ROUND((SUMIF(Bets[Bet Type],S8,Bets[Net]))/SUMIF(Bets[Bet Type],S8,Bets[Risk]),2)*100&amp;"%)",""),IFERROR("("&amp;ROUND((SUMIFS(Bets[Net],Bets[Bet Type],S8,Bets[Sport],$T$2))/SUMIFS(Bets[Risk],Bets[Bet Type],S8,Bets[Sport],$T$2),2)*100&amp;"%)",""))</f>
        <v>(-1%)</v>
      </c>
    </row>
    <row r="9" spans="1:27" x14ac:dyDescent="0.25">
      <c r="A9" s="13">
        <f t="shared" si="0"/>
        <v>1</v>
      </c>
      <c r="B9" s="17">
        <v>43578</v>
      </c>
      <c r="C9" s="17" t="s">
        <v>802</v>
      </c>
      <c r="D9" s="18" t="s">
        <v>821</v>
      </c>
      <c r="E9" s="11" t="s">
        <v>822</v>
      </c>
      <c r="F9" s="19">
        <f>10</f>
        <v>10</v>
      </c>
      <c r="G9" s="47" t="s">
        <v>823</v>
      </c>
      <c r="H9" s="21" t="s">
        <v>263</v>
      </c>
      <c r="I9" s="45">
        <f>IF(Bets[[#This Row],[Result]]="L",0-Bets[[#This Row],[Risk]],IF(Bets[[#This Row],[Result]]="Push",0,IF(Bets[[#This Row],[Result]]="No Action",0,IF(Bets[[#This Row],[Result]]="W",IF(Bets[[#This Row],[Odds]]&gt;0,Bets[[#This Row],[Odds]]/100*Bets[[#This Row],[Risk]],(Bets[[#This Row],[Risk]]/Bets[[#This Row],[Odds]]*-100)),""))))</f>
        <v>-10</v>
      </c>
      <c r="J9" s="23" t="str">
        <f>IF(ISNUMBER(SEARCH(CHAR(10),Bets[[#This Row],[Bet]])),"P",IF(ISNUMBER(FIND("Under",Bets[[#This Row],[Bet]])),"U",IF(ISNUMBER(SEARCH("Over",Bets[[#This Row],[Bet]])),"O",IF(ISNUMBER(SEARCH("+",Bets[[#This Row],[Bet]])),"D",IF(ISNUMBER(SEARCH("-",Bets[[#This Row],[Bet]])),"F",IF(ISNUMBER(SEARCH("Moneyline",Bets[[#This Row],[Bet]])),IF(Bets[[#This Row],[Odds]]&lt;0,"MF","MD"),""))))))</f>
        <v>MD</v>
      </c>
      <c r="K9"/>
      <c r="L9" s="24">
        <f t="shared" si="1"/>
        <v>43585</v>
      </c>
      <c r="M9" s="1" t="str">
        <f>COUNTIFS(Bets[Date],L9,Bets[Result],"W")&amp;"-"&amp;COUNTIFS(Bets[Date],L9,Bets[Result],"L")&amp;IF(COUNTIFS(Bets[Date],L9,Bets[Result],"Push")&gt;0,"-"&amp;COUNTIFS(Bets[Date],L9,Bets[Result],"Push"),"")</f>
        <v>9-5-3</v>
      </c>
      <c r="N9" s="25">
        <f>IFERROR(COUNTIFS(Bets[Date],L9,Bets[Result],"W")/(COUNTIFS(Bets[Date],L9,Bets[Result],"W")+COUNTIFS(Bets[Date],L9,Bets[Result],"L")),"")</f>
        <v>0.6428571428571429</v>
      </c>
      <c r="O9" s="26">
        <f>SUMIF(Bets[Date],L9,Bets[Net])</f>
        <v>23.776071754332627</v>
      </c>
      <c r="P9" s="27" t="str">
        <f>IFERROR("("&amp;ROUND(SUMIF(Bets[Date],L9,Bets[Net])/SUMIF(Bets[Date],L9,Bets[Risk]),2)*100&amp;"%)","")</f>
        <v>(14%)</v>
      </c>
      <c r="Q9" s="72">
        <f t="shared" si="2"/>
        <v>127.40944644429155</v>
      </c>
      <c r="R9" s="73">
        <f>IFERROR(SUMIF(Bets[Date],"&lt;="&amp;L9,Bets[Net])/SUMIF(Bets[Date],"&lt;="&amp;L9,Bets[Risk]),"")</f>
        <v>0.15926180805536441</v>
      </c>
      <c r="S9" s="28" t="s">
        <v>805</v>
      </c>
      <c r="T9" s="29" t="s">
        <v>806</v>
      </c>
      <c r="U9" s="16" t="str">
        <f>IFERROR(IF($T$2="All",COUNTIFS(Bets[Bet Type],S9,Bets[Result],"W")&amp;"-"&amp;COUNTIFS(Bets[Bet Type],S9,Bets[Result],"L")&amp;IF(COUNTIFS(Bets[Bet Type],S9,Bets[Result],"Push")&gt;0,"-"&amp;COUNTIFS(Bets[Bet Type],S9,Bets[Result],"Push"),"")&amp;" ("&amp;ROUND(COUNTIFS(Bets[Bet Type],S9,Bets[Result],"W")/(COUNTIFS(Bets[Bet Type],S9,Bets[Result],"W")+COUNTIFS(Bets[Bet Type],S9,Bets[Result],"L"))*100,1)&amp;"%)",COUNTIFS(Bets[Sport],$T$2,Bets[Bet Type],S9,Bets[Result],"W")&amp;"-"&amp;COUNTIFS(Bets[Sport],$T$2,Bets[Bet Type],S9,Bets[Result],"L")&amp;IF(COUNTIFS(Bets[Sport],$T$2,Bets[Bet Type],S9,Bets[Result],"Push")&gt;0,"-"&amp;COUNTIFS(Bets[Sport],$T$2,Bets[Bet Type],S9,Bets[Result],"Push"),"")&amp;" ("&amp;ROUND(COUNTIFS(Bets[Sport],$T$2,Bets[Bet Type],S9,Bets[Result],"W")/(COUNTIFS(Bets[Sport],$T$2,Bets[Bet Type],S9,Bets[Result],"W")+COUNTIFS(Bets[Sport],$T$2,Bets[Bet Type],S9,Bets[Result],"L"))*100,1)&amp;"%)"),"No Bets")</f>
        <v>18-26-1 (40.9%)</v>
      </c>
      <c r="V9" s="30">
        <f>IF($T$2="All",SUMIF(Bets[Bet Type],S9,Bets[Net]),SUMIFS(Bets[Net],Bets[Bet Type],S9,Bets[Sport],$T$2))</f>
        <v>-9.7999999999999972</v>
      </c>
      <c r="W9" s="31" t="str">
        <f>IF($T$2="All",IFERROR("("&amp;ROUND((SUMIF(Bets[Bet Type],S9,Bets[Net]))/SUMIF(Bets[Bet Type],S9,Bets[Risk]),2)*100&amp;"%)",""),IFERROR("("&amp;ROUND((SUMIFS(Bets[Net],Bets[Bet Type],S9,Bets[Sport],$T$2))/SUMIFS(Bets[Risk],Bets[Bet Type],S9,Bets[Sport],$T$2),2)*100&amp;"%)",""))</f>
        <v>(-2%)</v>
      </c>
    </row>
    <row r="10" spans="1:27" x14ac:dyDescent="0.25">
      <c r="A10" s="13">
        <f t="shared" si="0"/>
        <v>1</v>
      </c>
      <c r="B10" s="17">
        <v>43578</v>
      </c>
      <c r="C10" s="17" t="s">
        <v>802</v>
      </c>
      <c r="D10" s="18" t="s">
        <v>824</v>
      </c>
      <c r="E10" s="11" t="s">
        <v>809</v>
      </c>
      <c r="F10" s="19">
        <f>10</f>
        <v>10</v>
      </c>
      <c r="G10" s="47" t="s">
        <v>825</v>
      </c>
      <c r="H10" s="21" t="s">
        <v>263</v>
      </c>
      <c r="I10" s="45">
        <f>IF(Bets[[#This Row],[Result]]="L",0-Bets[[#This Row],[Risk]],IF(Bets[[#This Row],[Result]]="Push",0,IF(Bets[[#This Row],[Result]]="No Action",0,IF(Bets[[#This Row],[Result]]="W",IF(Bets[[#This Row],[Odds]]&gt;0,Bets[[#This Row],[Odds]]/100*Bets[[#This Row],[Risk]],(Bets[[#This Row],[Risk]]/Bets[[#This Row],[Odds]]*-100)),""))))</f>
        <v>-10</v>
      </c>
      <c r="J10" s="23" t="str">
        <f>IF(ISNUMBER(SEARCH(CHAR(10),Bets[[#This Row],[Bet]])),"P",IF(ISNUMBER(FIND("Under",Bets[[#This Row],[Bet]])),"U",IF(ISNUMBER(SEARCH("Over",Bets[[#This Row],[Bet]])),"O",IF(ISNUMBER(SEARCH("+",Bets[[#This Row],[Bet]])),"D",IF(ISNUMBER(SEARCH("-",Bets[[#This Row],[Bet]])),"F",IF(ISNUMBER(SEARCH("Moneyline",Bets[[#This Row],[Bet]])),IF(Bets[[#This Row],[Odds]]&lt;0,"MF","MD"),""))))))</f>
        <v>MD</v>
      </c>
      <c r="K10"/>
      <c r="L10" s="24">
        <f t="shared" si="1"/>
        <v>43586</v>
      </c>
      <c r="M10" s="1" t="str">
        <f>COUNTIFS(Bets[Date],L10,Bets[Result],"W")&amp;"-"&amp;COUNTIFS(Bets[Date],L10,Bets[Result],"L")&amp;IF(COUNTIFS(Bets[Date],L10,Bets[Result],"Push")&gt;0,"-"&amp;COUNTIFS(Bets[Date],L10,Bets[Result],"Push"),"")</f>
        <v>7-6-1</v>
      </c>
      <c r="N10" s="25">
        <f>IFERROR(COUNTIFS(Bets[Date],L10,Bets[Result],"W")/(COUNTIFS(Bets[Date],L10,Bets[Result],"W")+COUNTIFS(Bets[Date],L10,Bets[Result],"L")),"")</f>
        <v>0.53846153846153844</v>
      </c>
      <c r="O10" s="26">
        <f>SUMIF(Bets[Date],L10,Bets[Net])</f>
        <v>15.267399267399263</v>
      </c>
      <c r="P10" s="27" t="str">
        <f>IFERROR("("&amp;ROUND(SUMIF(Bets[Date],L10,Bets[Net])/SUMIF(Bets[Date],L10,Bets[Risk]),2)*100&amp;"%)","")</f>
        <v>(10%)</v>
      </c>
      <c r="Q10" s="72">
        <f t="shared" si="2"/>
        <v>142.67684571169082</v>
      </c>
      <c r="R10" s="73">
        <f>IFERROR(SUMIF(Bets[Date],"&lt;="&amp;L10,Bets[Net])/SUMIF(Bets[Date],"&lt;="&amp;L10,Bets[Risk]),"")</f>
        <v>0.15018615338072713</v>
      </c>
      <c r="S10" s="28" t="s">
        <v>807</v>
      </c>
      <c r="T10" s="29" t="s">
        <v>808</v>
      </c>
      <c r="U10" s="16" t="str">
        <f>IFERROR(IF($T$2="All",COUNTIFS(Bets[Bet Type],S10,Bets[Result],"W")&amp;"-"&amp;COUNTIFS(Bets[Bet Type],S10,Bets[Result],"L")&amp;IF(COUNTIFS(Bets[Bet Type],S10,Bets[Result],"Push")&gt;0,"-"&amp;COUNTIFS(Bets[Bet Type],S10,Bets[Result],"Push"),"")&amp;" ("&amp;ROUND(COUNTIFS(Bets[Bet Type],S10,Bets[Result],"W")/(COUNTIFS(Bets[Bet Type],S10,Bets[Result],"W")+COUNTIFS(Bets[Bet Type],S10,Bets[Result],"L"))*100,1)&amp;"%)",COUNTIFS(Bets[Sport],$T$2,Bets[Bet Type],S10,Bets[Result],"W")&amp;"-"&amp;COUNTIFS(Bets[Sport],$T$2,Bets[Bet Type],S10,Bets[Result],"L")&amp;IF(COUNTIFS(Bets[Sport],$T$2,Bets[Bet Type],S10,Bets[Result],"Push")&gt;0,"-"&amp;COUNTIFS(Bets[Sport],$T$2,Bets[Bet Type],S10,Bets[Result],"Push"),"")&amp;" ("&amp;ROUND(COUNTIFS(Bets[Sport],$T$2,Bets[Bet Type],S10,Bets[Result],"W")/(COUNTIFS(Bets[Sport],$T$2,Bets[Bet Type],S10,Bets[Result],"W")+COUNTIFS(Bets[Sport],$T$2,Bets[Bet Type],S10,Bets[Result],"L"))*100,1)&amp;"%)"),"No Bets")</f>
        <v>No Bets</v>
      </c>
      <c r="V10" s="30">
        <f>IF($T$2="All",SUMIF(Bets[Bet Type],S10,Bets[Net]),SUMIFS(Bets[Net],Bets[Bet Type],S10,Bets[Sport],$T$2))</f>
        <v>0</v>
      </c>
      <c r="W10" s="31" t="str">
        <f>IF($T$2="All",IFERROR("("&amp;ROUND((SUMIF(Bets[Bet Type],S10,Bets[Net]))/SUMIF(Bets[Bet Type],S10,Bets[Risk]),2)*100&amp;"%)",""),IFERROR("("&amp;ROUND((SUMIFS(Bets[Net],Bets[Bet Type],S10,Bets[Sport],$T$2))/SUMIFS(Bets[Risk],Bets[Bet Type],S10,Bets[Sport],$T$2),2)*100&amp;"%)",""))</f>
        <v/>
      </c>
    </row>
    <row r="11" spans="1:27" x14ac:dyDescent="0.25">
      <c r="A11" s="13">
        <f t="shared" si="0"/>
        <v>1</v>
      </c>
      <c r="B11" s="17">
        <v>43578</v>
      </c>
      <c r="C11" s="17" t="s">
        <v>802</v>
      </c>
      <c r="D11" s="18" t="s">
        <v>826</v>
      </c>
      <c r="E11" s="11" t="s">
        <v>827</v>
      </c>
      <c r="F11" s="19">
        <f>10</f>
        <v>10</v>
      </c>
      <c r="G11" s="47" t="s">
        <v>828</v>
      </c>
      <c r="H11" s="21" t="s">
        <v>263</v>
      </c>
      <c r="I11" s="45">
        <f>IF(Bets[[#This Row],[Result]]="L",0-Bets[[#This Row],[Risk]],IF(Bets[[#This Row],[Result]]="Push",0,IF(Bets[[#This Row],[Result]]="No Action",0,IF(Bets[[#This Row],[Result]]="W",IF(Bets[[#This Row],[Odds]]&gt;0,Bets[[#This Row],[Odds]]/100*Bets[[#This Row],[Risk]],(Bets[[#This Row],[Risk]]/Bets[[#This Row],[Odds]]*-100)),""))))</f>
        <v>-10</v>
      </c>
      <c r="J11" s="23" t="str">
        <f>IF(ISNUMBER(SEARCH(CHAR(10),Bets[[#This Row],[Bet]])),"P",IF(ISNUMBER(FIND("Under",Bets[[#This Row],[Bet]])),"U",IF(ISNUMBER(SEARCH("Over",Bets[[#This Row],[Bet]])),"O",IF(ISNUMBER(SEARCH("+",Bets[[#This Row],[Bet]])),"D",IF(ISNUMBER(SEARCH("-",Bets[[#This Row],[Bet]])),"F",IF(ISNUMBER(SEARCH("Moneyline",Bets[[#This Row],[Bet]])),IF(Bets[[#This Row],[Odds]]&lt;0,"MF","MD"),""))))))</f>
        <v>MD</v>
      </c>
      <c r="K11"/>
      <c r="L11" s="24">
        <f t="shared" si="1"/>
        <v>43587</v>
      </c>
      <c r="M11" s="1" t="str">
        <f>COUNTIFS(Bets[Date],L11,Bets[Result],"W")&amp;"-"&amp;COUNTIFS(Bets[Date],L11,Bets[Result],"L")&amp;IF(COUNTIFS(Bets[Date],L11,Bets[Result],"Push")&gt;0,"-"&amp;COUNTIFS(Bets[Date],L11,Bets[Result],"Push"),"")</f>
        <v>2-2</v>
      </c>
      <c r="N11" s="25">
        <f>IFERROR(COUNTIFS(Bets[Date],L11,Bets[Result],"W")/(COUNTIFS(Bets[Date],L11,Bets[Result],"W")+COUNTIFS(Bets[Date],L11,Bets[Result],"L")),"")</f>
        <v>0.5</v>
      </c>
      <c r="O11" s="26">
        <f>SUMIF(Bets[Date],L11,Bets[Net])</f>
        <v>-5.8527131782945752</v>
      </c>
      <c r="P11" s="27" t="str">
        <f>IFERROR("("&amp;ROUND(SUMIF(Bets[Date],L11,Bets[Net])/SUMIF(Bets[Date],L11,Bets[Risk]),2)*100&amp;"%)","")</f>
        <v>(-15%)</v>
      </c>
      <c r="Q11" s="72">
        <f t="shared" si="2"/>
        <v>136.82413253339624</v>
      </c>
      <c r="R11" s="73">
        <f>IFERROR(SUMIF(Bets[Date],"&lt;="&amp;L11,Bets[Net])/SUMIF(Bets[Date],"&lt;="&amp;L11,Bets[Risk]),"")</f>
        <v>0.13820619447817803</v>
      </c>
      <c r="AA11" s="32"/>
    </row>
    <row r="12" spans="1:27" x14ac:dyDescent="0.25">
      <c r="A12" s="13">
        <f t="shared" si="0"/>
        <v>1</v>
      </c>
      <c r="B12" s="17">
        <v>43578</v>
      </c>
      <c r="C12" s="17" t="s">
        <v>802</v>
      </c>
      <c r="D12" s="18" t="s">
        <v>829</v>
      </c>
      <c r="E12" s="11" t="s">
        <v>830</v>
      </c>
      <c r="F12" s="19">
        <f>10</f>
        <v>10</v>
      </c>
      <c r="G12" s="47">
        <v>-130</v>
      </c>
      <c r="H12" s="21" t="s">
        <v>262</v>
      </c>
      <c r="I12" s="45">
        <f>IF(Bets[[#This Row],[Result]]="L",0-Bets[[#This Row],[Risk]],IF(Bets[[#This Row],[Result]]="Push",0,IF(Bets[[#This Row],[Result]]="No Action",0,IF(Bets[[#This Row],[Result]]="W",IF(Bets[[#This Row],[Odds]]&gt;0,Bets[[#This Row],[Odds]]/100*Bets[[#This Row],[Risk]],(Bets[[#This Row],[Risk]]/Bets[[#This Row],[Odds]]*-100)),""))))</f>
        <v>7.6923076923076925</v>
      </c>
      <c r="J12" s="23" t="str">
        <f>IF(ISNUMBER(SEARCH(CHAR(10),Bets[[#This Row],[Bet]])),"P",IF(ISNUMBER(FIND("Under",Bets[[#This Row],[Bet]])),"U",IF(ISNUMBER(SEARCH("Over",Bets[[#This Row],[Bet]])),"O",IF(ISNUMBER(SEARCH("+",Bets[[#This Row],[Bet]])),"D",IF(ISNUMBER(SEARCH("-",Bets[[#This Row],[Bet]])),"F",IF(ISNUMBER(SEARCH("Moneyline",Bets[[#This Row],[Bet]])),IF(Bets[[#This Row],[Odds]]&lt;0,"MF","MD"),""))))))</f>
        <v>MF</v>
      </c>
      <c r="K12"/>
      <c r="L12" s="24">
        <f t="shared" si="1"/>
        <v>43592</v>
      </c>
      <c r="M12" s="1" t="str">
        <f>COUNTIFS(Bets[Date],L12,Bets[Result],"W")&amp;"-"&amp;COUNTIFS(Bets[Date],L12,Bets[Result],"L")&amp;IF(COUNTIFS(Bets[Date],L12,Bets[Result],"Push")&gt;0,"-"&amp;COUNTIFS(Bets[Date],L12,Bets[Result],"Push"),"")</f>
        <v>7-9</v>
      </c>
      <c r="N12" s="25">
        <f>IFERROR(COUNTIFS(Bets[Date],L12,Bets[Result],"W")/(COUNTIFS(Bets[Date],L12,Bets[Result],"W")+COUNTIFS(Bets[Date],L12,Bets[Result],"L")),"")</f>
        <v>0.4375</v>
      </c>
      <c r="O12" s="26">
        <f>SUMIF(Bets[Date],L12,Bets[Net])</f>
        <v>-29.87802001657424</v>
      </c>
      <c r="P12" s="27" t="str">
        <f>IFERROR("("&amp;ROUND(SUMIF(Bets[Date],L12,Bets[Net])/SUMIF(Bets[Date],L12,Bets[Risk]),2)*100&amp;"%)","")</f>
        <v>(-19%)</v>
      </c>
      <c r="Q12" s="72">
        <f t="shared" si="2"/>
        <v>106.946112516822</v>
      </c>
      <c r="R12" s="73">
        <f>IFERROR(SUMIF(Bets[Date],"&lt;="&amp;L12,Bets[Net])/SUMIF(Bets[Date],"&lt;="&amp;L12,Bets[Risk]),"")</f>
        <v>9.2996619579845202E-2</v>
      </c>
      <c r="AA12" s="32"/>
    </row>
    <row r="13" spans="1:27" x14ac:dyDescent="0.25">
      <c r="A13" s="13">
        <f t="shared" si="0"/>
        <v>1</v>
      </c>
      <c r="B13" s="17">
        <v>43578</v>
      </c>
      <c r="C13" s="17" t="s">
        <v>802</v>
      </c>
      <c r="D13" s="18" t="s">
        <v>831</v>
      </c>
      <c r="E13" s="11" t="s">
        <v>832</v>
      </c>
      <c r="F13" s="19">
        <f>10</f>
        <v>10</v>
      </c>
      <c r="G13" s="47">
        <v>-120</v>
      </c>
      <c r="H13" s="21" t="s">
        <v>262</v>
      </c>
      <c r="I13" s="45">
        <f>IF(Bets[[#This Row],[Result]]="L",0-Bets[[#This Row],[Risk]],IF(Bets[[#This Row],[Result]]="Push",0,IF(Bets[[#This Row],[Result]]="No Action",0,IF(Bets[[#This Row],[Result]]="W",IF(Bets[[#This Row],[Odds]]&gt;0,Bets[[#This Row],[Odds]]/100*Bets[[#This Row],[Risk]],(Bets[[#This Row],[Risk]]/Bets[[#This Row],[Odds]]*-100)),""))))</f>
        <v>8.3333333333333321</v>
      </c>
      <c r="J13" s="23" t="str">
        <f>IF(ISNUMBER(SEARCH(CHAR(10),Bets[[#This Row],[Bet]])),"P",IF(ISNUMBER(FIND("Under",Bets[[#This Row],[Bet]])),"U",IF(ISNUMBER(SEARCH("Over",Bets[[#This Row],[Bet]])),"O",IF(ISNUMBER(SEARCH("+",Bets[[#This Row],[Bet]])),"D",IF(ISNUMBER(SEARCH("-",Bets[[#This Row],[Bet]])),"F",IF(ISNUMBER(SEARCH("Moneyline",Bets[[#This Row],[Bet]])),IF(Bets[[#This Row],[Odds]]&lt;0,"MF","MD"),""))))))</f>
        <v>MF</v>
      </c>
      <c r="K13"/>
      <c r="L13" s="24">
        <f t="shared" si="1"/>
        <v>43593</v>
      </c>
      <c r="M13" s="1" t="str">
        <f>COUNTIFS(Bets[Date],L13,Bets[Result],"W")&amp;"-"&amp;COUNTIFS(Bets[Date],L13,Bets[Result],"L")&amp;IF(COUNTIFS(Bets[Date],L13,Bets[Result],"Push")&gt;0,"-"&amp;COUNTIFS(Bets[Date],L13,Bets[Result],"Push"),"")</f>
        <v>8-4-1</v>
      </c>
      <c r="N13" s="25">
        <f>IFERROR(COUNTIFS(Bets[Date],L13,Bets[Result],"W")/(COUNTIFS(Bets[Date],L13,Bets[Result],"W")+COUNTIFS(Bets[Date],L13,Bets[Result],"L")),"")</f>
        <v>0.66666666666666663</v>
      </c>
      <c r="O13" s="26">
        <f>SUMIF(Bets[Date],L13,Bets[Net])</f>
        <v>19.262106771946591</v>
      </c>
      <c r="P13" s="27" t="str">
        <f>IFERROR("("&amp;ROUND(SUMIF(Bets[Date],L13,Bets[Net])/SUMIF(Bets[Date],L13,Bets[Risk]),2)*100&amp;"%)","")</f>
        <v>(14%)</v>
      </c>
      <c r="Q13" s="72">
        <f t="shared" si="2"/>
        <v>126.20821928876859</v>
      </c>
      <c r="R13" s="73">
        <f>IFERROR(SUMIF(Bets[Date],"&lt;="&amp;L13,Bets[Net])/SUMIF(Bets[Date],"&lt;="&amp;L13,Bets[Risk]),"")</f>
        <v>9.7835828906022146E-2</v>
      </c>
      <c r="AA13" s="32"/>
    </row>
    <row r="14" spans="1:27" x14ac:dyDescent="0.25">
      <c r="A14" s="13">
        <f t="shared" si="0"/>
        <v>1</v>
      </c>
      <c r="B14" s="17">
        <v>43578</v>
      </c>
      <c r="C14" s="17" t="s">
        <v>802</v>
      </c>
      <c r="D14" s="18" t="s">
        <v>833</v>
      </c>
      <c r="E14" s="11" t="s">
        <v>834</v>
      </c>
      <c r="F14" s="19">
        <f>10</f>
        <v>10</v>
      </c>
      <c r="G14" s="47">
        <v>-150</v>
      </c>
      <c r="H14" s="21" t="s">
        <v>262</v>
      </c>
      <c r="I14" s="45">
        <f>IF(Bets[[#This Row],[Result]]="L",0-Bets[[#This Row],[Risk]],IF(Bets[[#This Row],[Result]]="Push",0,IF(Bets[[#This Row],[Result]]="No Action",0,IF(Bets[[#This Row],[Result]]="W",IF(Bets[[#This Row],[Odds]]&gt;0,Bets[[#This Row],[Odds]]/100*Bets[[#This Row],[Risk]],(Bets[[#This Row],[Risk]]/Bets[[#This Row],[Odds]]*-100)),""))))</f>
        <v>6.666666666666667</v>
      </c>
      <c r="J14" s="23" t="str">
        <f>IF(ISNUMBER(SEARCH(CHAR(10),Bets[[#This Row],[Bet]])),"P",IF(ISNUMBER(FIND("Under",Bets[[#This Row],[Bet]])),"U",IF(ISNUMBER(SEARCH("Over",Bets[[#This Row],[Bet]])),"O",IF(ISNUMBER(SEARCH("+",Bets[[#This Row],[Bet]])),"D",IF(ISNUMBER(SEARCH("-",Bets[[#This Row],[Bet]])),"F",IF(ISNUMBER(SEARCH("Moneyline",Bets[[#This Row],[Bet]])),IF(Bets[[#This Row],[Odds]]&lt;0,"MF","MD"),""))))))</f>
        <v>MF</v>
      </c>
      <c r="K14"/>
      <c r="L14" s="24">
        <f t="shared" si="1"/>
        <v>43594</v>
      </c>
      <c r="M14" s="1" t="str">
        <f>COUNTIFS(Bets[Date],L14,Bets[Result],"W")&amp;"-"&amp;COUNTIFS(Bets[Date],L14,Bets[Result],"L")&amp;IF(COUNTIFS(Bets[Date],L14,Bets[Result],"Push")&gt;0,"-"&amp;COUNTIFS(Bets[Date],L14,Bets[Result],"Push"),"")</f>
        <v>3-5</v>
      </c>
      <c r="N14" s="25">
        <f>IFERROR(COUNTIFS(Bets[Date],L14,Bets[Result],"W")/(COUNTIFS(Bets[Date],L14,Bets[Result],"W")+COUNTIFS(Bets[Date],L14,Bets[Result],"L")),"")</f>
        <v>0.375</v>
      </c>
      <c r="O14" s="26">
        <f>SUMIF(Bets[Date],L14,Bets[Net])</f>
        <v>-27.38095238095238</v>
      </c>
      <c r="P14" s="27" t="str">
        <f>IFERROR("("&amp;ROUND(SUMIF(Bets[Date],L14,Bets[Net])/SUMIF(Bets[Date],L14,Bets[Risk]),2)*100&amp;"%)","")</f>
        <v>(-34%)</v>
      </c>
      <c r="Q14" s="72">
        <f t="shared" si="2"/>
        <v>98.82726690781621</v>
      </c>
      <c r="R14" s="73">
        <f>IFERROR(SUMIF(Bets[Date],"&lt;="&amp;L14,Bets[Net])/SUMIF(Bets[Date],"&lt;="&amp;L14,Bets[Risk]),"")</f>
        <v>7.2136691173588438E-2</v>
      </c>
      <c r="T14" s="29" t="s">
        <v>782</v>
      </c>
      <c r="U14" s="55">
        <f ca="1">SUMIF(Bets[Date],"&lt;"&amp;TODAY(),Bets[Risk])</f>
        <v>2250</v>
      </c>
      <c r="AA14" s="32"/>
    </row>
    <row r="15" spans="1:27" x14ac:dyDescent="0.25">
      <c r="A15" s="13">
        <f t="shared" si="0"/>
        <v>1</v>
      </c>
      <c r="B15" s="17">
        <v>43578</v>
      </c>
      <c r="C15" s="17" t="s">
        <v>802</v>
      </c>
      <c r="D15" s="18" t="s">
        <v>835</v>
      </c>
      <c r="E15" s="11" t="s">
        <v>836</v>
      </c>
      <c r="F15" s="19">
        <f>10</f>
        <v>10</v>
      </c>
      <c r="G15" s="47">
        <v>-180</v>
      </c>
      <c r="H15" s="21" t="s">
        <v>263</v>
      </c>
      <c r="I15" s="45">
        <f>IF(Bets[[#This Row],[Result]]="L",0-Bets[[#This Row],[Risk]],IF(Bets[[#This Row],[Result]]="Push",0,IF(Bets[[#This Row],[Result]]="No Action",0,IF(Bets[[#This Row],[Result]]="W",IF(Bets[[#This Row],[Odds]]&gt;0,Bets[[#This Row],[Odds]]/100*Bets[[#This Row],[Risk]],(Bets[[#This Row],[Risk]]/Bets[[#This Row],[Odds]]*-100)),""))))</f>
        <v>-10</v>
      </c>
      <c r="J15" s="23" t="str">
        <f>IF(ISNUMBER(SEARCH(CHAR(10),Bets[[#This Row],[Bet]])),"P",IF(ISNUMBER(FIND("Under",Bets[[#This Row],[Bet]])),"U",IF(ISNUMBER(SEARCH("Over",Bets[[#This Row],[Bet]])),"O",IF(ISNUMBER(SEARCH("+",Bets[[#This Row],[Bet]])),"D",IF(ISNUMBER(SEARCH("-",Bets[[#This Row],[Bet]])),"F",IF(ISNUMBER(SEARCH("Moneyline",Bets[[#This Row],[Bet]])),IF(Bets[[#This Row],[Odds]]&lt;0,"MF","MD"),""))))))</f>
        <v>MF</v>
      </c>
      <c r="K15"/>
      <c r="L15" s="24">
        <f t="shared" si="1"/>
        <v>43595</v>
      </c>
      <c r="M15" s="1" t="str">
        <f>COUNTIFS(Bets[Date],L15,Bets[Result],"W")&amp;"-"&amp;COUNTIFS(Bets[Date],L15,Bets[Result],"L")&amp;IF(COUNTIFS(Bets[Date],L15,Bets[Result],"Push")&gt;0,"-"&amp;COUNTIFS(Bets[Date],L15,Bets[Result],"Push"),"")</f>
        <v>3-7</v>
      </c>
      <c r="N15" s="25">
        <f>IFERROR(COUNTIFS(Bets[Date],L15,Bets[Result],"W")/(COUNTIFS(Bets[Date],L15,Bets[Result],"W")+COUNTIFS(Bets[Date],L15,Bets[Result],"L")),"")</f>
        <v>0.3</v>
      </c>
      <c r="O15" s="26">
        <f>SUMIF(Bets[Date],L15,Bets[Net])</f>
        <v>-52.259316770186338</v>
      </c>
      <c r="P15" s="27" t="str">
        <f>IFERROR("("&amp;ROUND(SUMIF(Bets[Date],L15,Bets[Net])/SUMIF(Bets[Date],L15,Bets[Risk]),2)*100&amp;"%)","")</f>
        <v>(-52%)</v>
      </c>
      <c r="Q15" s="72">
        <f t="shared" si="2"/>
        <v>46.567950137629872</v>
      </c>
      <c r="R15" s="73">
        <f>IFERROR(SUMIF(Bets[Date],"&lt;="&amp;L15,Bets[Net])/SUMIF(Bets[Date],"&lt;="&amp;L15,Bets[Risk]),"")</f>
        <v>3.1678877644646136E-2</v>
      </c>
      <c r="T15" s="29" t="s">
        <v>882</v>
      </c>
      <c r="U15" s="56">
        <f>SUM(Bets[Net])</f>
        <v>58.244898931398836</v>
      </c>
    </row>
    <row r="16" spans="1:27" x14ac:dyDescent="0.25">
      <c r="A16" s="13">
        <f t="shared" si="0"/>
        <v>1</v>
      </c>
      <c r="B16" s="17">
        <v>43578</v>
      </c>
      <c r="C16" s="17" t="s">
        <v>802</v>
      </c>
      <c r="D16" s="18" t="s">
        <v>811</v>
      </c>
      <c r="E16" s="11" t="s">
        <v>839</v>
      </c>
      <c r="F16" s="19">
        <f>10</f>
        <v>10</v>
      </c>
      <c r="G16" s="37">
        <v>-110</v>
      </c>
      <c r="H16" s="21" t="s">
        <v>262</v>
      </c>
      <c r="I16" s="45">
        <f>IF(Bets[[#This Row],[Result]]="L",0-Bets[[#This Row],[Risk]],IF(Bets[[#This Row],[Result]]="Push",0,IF(Bets[[#This Row],[Result]]="No Action",0,IF(Bets[[#This Row],[Result]]="W",IF(Bets[[#This Row],[Odds]]&gt;0,Bets[[#This Row],[Odds]]/100*Bets[[#This Row],[Risk]],(Bets[[#This Row],[Risk]]/Bets[[#This Row],[Odds]]*-100)),""))))</f>
        <v>9.0909090909090917</v>
      </c>
      <c r="J16" s="23" t="str">
        <f>IF(ISNUMBER(SEARCH(CHAR(10),Bets[[#This Row],[Bet]])),"P",IF(ISNUMBER(FIND("Under",Bets[[#This Row],[Bet]])),"U",IF(ISNUMBER(SEARCH("Over",Bets[[#This Row],[Bet]])),"O",IF(ISNUMBER(SEARCH("+",Bets[[#This Row],[Bet]])),"D",IF(ISNUMBER(SEARCH("-",Bets[[#This Row],[Bet]])),"F",IF(ISNUMBER(SEARCH("Moneyline",Bets[[#This Row],[Bet]])),IF(Bets[[#This Row],[Odds]]&lt;0,"MF","MD"),""))))))</f>
        <v>O</v>
      </c>
      <c r="K16"/>
      <c r="L16" s="24">
        <f t="shared" si="1"/>
        <v>43598</v>
      </c>
      <c r="M16" s="1" t="str">
        <f>COUNTIFS(Bets[Date],L16,Bets[Result],"W")&amp;"-"&amp;COUNTIFS(Bets[Date],L16,Bets[Result],"L")&amp;IF(COUNTIFS(Bets[Date],L16,Bets[Result],"Push")&gt;0,"-"&amp;COUNTIFS(Bets[Date],L16,Bets[Result],"Push"),"")</f>
        <v>5-3</v>
      </c>
      <c r="N16" s="25">
        <f>IFERROR(COUNTIFS(Bets[Date],L16,Bets[Result],"W")/(COUNTIFS(Bets[Date],L16,Bets[Result],"W")+COUNTIFS(Bets[Date],L16,Bets[Result],"L")),"")</f>
        <v>0.625</v>
      </c>
      <c r="O16" s="26">
        <f>SUMIF(Bets[Date],L16,Bets[Net])</f>
        <v>9.9723105280537609</v>
      </c>
      <c r="P16" s="27" t="str">
        <f>IFERROR("("&amp;ROUND(SUMIF(Bets[Date],L16,Bets[Net])/SUMIF(Bets[Date],L16,Bets[Risk]),2)*100&amp;"%)","")</f>
        <v>(12%)</v>
      </c>
      <c r="Q16" s="72">
        <f t="shared" si="2"/>
        <v>56.540260665683633</v>
      </c>
      <c r="R16" s="73">
        <f>IFERROR(SUMIF(Bets[Date],"&lt;="&amp;L16,Bets[Net])/SUMIF(Bets[Date],"&lt;="&amp;L16,Bets[Risk]),"")</f>
        <v>3.6477587526247475E-2</v>
      </c>
      <c r="T16" s="29" t="s">
        <v>883</v>
      </c>
      <c r="U16" s="57">
        <f ca="1">U15/U14</f>
        <v>2.5886621747288372E-2</v>
      </c>
    </row>
    <row r="17" spans="1:21" x14ac:dyDescent="0.25">
      <c r="A17" s="13">
        <f t="shared" si="0"/>
        <v>1</v>
      </c>
      <c r="B17" s="17">
        <v>43578</v>
      </c>
      <c r="C17" s="17" t="s">
        <v>802</v>
      </c>
      <c r="D17" s="18" t="s">
        <v>840</v>
      </c>
      <c r="E17" s="11" t="s">
        <v>841</v>
      </c>
      <c r="F17" s="19">
        <f>10</f>
        <v>10</v>
      </c>
      <c r="G17" s="37">
        <v>-110</v>
      </c>
      <c r="H17" s="21" t="s">
        <v>263</v>
      </c>
      <c r="I17" s="45">
        <f>IF(Bets[[#This Row],[Result]]="L",0-Bets[[#This Row],[Risk]],IF(Bets[[#This Row],[Result]]="Push",0,IF(Bets[[#This Row],[Result]]="No Action",0,IF(Bets[[#This Row],[Result]]="W",IF(Bets[[#This Row],[Odds]]&gt;0,Bets[[#This Row],[Odds]]/100*Bets[[#This Row],[Risk]],(Bets[[#This Row],[Risk]]/Bets[[#This Row],[Odds]]*-100)),""))))</f>
        <v>-10</v>
      </c>
      <c r="J17" s="23" t="str">
        <f>IF(ISNUMBER(SEARCH(CHAR(10),Bets[[#This Row],[Bet]])),"P",IF(ISNUMBER(FIND("Under",Bets[[#This Row],[Bet]])),"U",IF(ISNUMBER(SEARCH("Over",Bets[[#This Row],[Bet]])),"O",IF(ISNUMBER(SEARCH("+",Bets[[#This Row],[Bet]])),"D",IF(ISNUMBER(SEARCH("-",Bets[[#This Row],[Bet]])),"F",IF(ISNUMBER(SEARCH("Moneyline",Bets[[#This Row],[Bet]])),IF(Bets[[#This Row],[Odds]]&lt;0,"MF","MD"),""))))))</f>
        <v>O</v>
      </c>
      <c r="K17"/>
      <c r="L17" s="24">
        <f t="shared" si="1"/>
        <v>43599</v>
      </c>
      <c r="M17" s="1" t="str">
        <f>COUNTIFS(Bets[Date],L17,Bets[Result],"W")&amp;"-"&amp;COUNTIFS(Bets[Date],L17,Bets[Result],"L")&amp;IF(COUNTIFS(Bets[Date],L17,Bets[Result],"Push")&gt;0,"-"&amp;COUNTIFS(Bets[Date],L17,Bets[Result],"Push"),"")</f>
        <v>6-3</v>
      </c>
      <c r="N17" s="25">
        <f>IFERROR(COUNTIFS(Bets[Date],L17,Bets[Result],"W")/(COUNTIFS(Bets[Date],L17,Bets[Result],"W")+COUNTIFS(Bets[Date],L17,Bets[Result],"L")),"")</f>
        <v>0.66666666666666663</v>
      </c>
      <c r="O17" s="26">
        <f>SUMIF(Bets[Date],L17,Bets[Net])</f>
        <v>13.203894979180042</v>
      </c>
      <c r="P17" s="27" t="str">
        <f>IFERROR("("&amp;ROUND(SUMIF(Bets[Date],L17,Bets[Net])/SUMIF(Bets[Date],L17,Bets[Risk]),2)*100&amp;"%)","")</f>
        <v>(15%)</v>
      </c>
      <c r="Q17" s="72">
        <f t="shared" si="2"/>
        <v>69.744155644863667</v>
      </c>
      <c r="R17" s="73">
        <f>IFERROR(SUMIF(Bets[Date],"&lt;="&amp;L17,Bets[Net])/SUMIF(Bets[Date],"&lt;="&amp;L17,Bets[Risk]),"")</f>
        <v>4.2526924173697335E-2</v>
      </c>
      <c r="T17" s="29" t="s">
        <v>793</v>
      </c>
      <c r="U17" s="58" t="str">
        <f>COUNTIFS(Bets[Result],"W")&amp;"-"&amp;COUNTIFS(Bets[Result],"L")&amp;IF(COUNTIFS(Bets[Result],"Push")&gt;0,"-"&amp;COUNTIFS(Bets[Result],"Push"),"")</f>
        <v>116-97-10</v>
      </c>
    </row>
    <row r="18" spans="1:21" x14ac:dyDescent="0.25">
      <c r="A18" s="13">
        <f t="shared" si="0"/>
        <v>1</v>
      </c>
      <c r="B18" s="17">
        <v>43578</v>
      </c>
      <c r="C18" s="17" t="s">
        <v>802</v>
      </c>
      <c r="D18" s="18" t="s">
        <v>814</v>
      </c>
      <c r="E18" s="11" t="s">
        <v>842</v>
      </c>
      <c r="F18" s="19">
        <f>10</f>
        <v>10</v>
      </c>
      <c r="G18" s="37">
        <v>-110</v>
      </c>
      <c r="H18" s="21" t="s">
        <v>263</v>
      </c>
      <c r="I18" s="45">
        <f>IF(Bets[[#This Row],[Result]]="L",0-Bets[[#This Row],[Risk]],IF(Bets[[#This Row],[Result]]="Push",0,IF(Bets[[#This Row],[Result]]="No Action",0,IF(Bets[[#This Row],[Result]]="W",IF(Bets[[#This Row],[Odds]]&gt;0,Bets[[#This Row],[Odds]]/100*Bets[[#This Row],[Risk]],(Bets[[#This Row],[Risk]]/Bets[[#This Row],[Odds]]*-100)),""))))</f>
        <v>-10</v>
      </c>
      <c r="J18" s="23" t="str">
        <f>IF(ISNUMBER(SEARCH(CHAR(10),Bets[[#This Row],[Bet]])),"P",IF(ISNUMBER(FIND("Under",Bets[[#This Row],[Bet]])),"U",IF(ISNUMBER(SEARCH("Over",Bets[[#This Row],[Bet]])),"O",IF(ISNUMBER(SEARCH("+",Bets[[#This Row],[Bet]])),"D",IF(ISNUMBER(SEARCH("-",Bets[[#This Row],[Bet]])),"F",IF(ISNUMBER(SEARCH("Moneyline",Bets[[#This Row],[Bet]])),IF(Bets[[#This Row],[Odds]]&lt;0,"MF","MD"),""))))))</f>
        <v>U</v>
      </c>
      <c r="K18"/>
      <c r="L18" s="24">
        <f t="shared" si="1"/>
        <v>43600</v>
      </c>
      <c r="M18" s="1" t="str">
        <f>COUNTIFS(Bets[Date],L18,Bets[Result],"W")&amp;"-"&amp;COUNTIFS(Bets[Date],L18,Bets[Result],"L")&amp;IF(COUNTIFS(Bets[Date],L18,Bets[Result],"Push")&gt;0,"-"&amp;COUNTIFS(Bets[Date],L18,Bets[Result],"Push"),"")</f>
        <v>6-1</v>
      </c>
      <c r="N18" s="25">
        <f>IFERROR(COUNTIFS(Bets[Date],L18,Bets[Result],"W")/(COUNTIFS(Bets[Date],L18,Bets[Result],"W")+COUNTIFS(Bets[Date],L18,Bets[Result],"L")),"")</f>
        <v>0.8571428571428571</v>
      </c>
      <c r="O18" s="26">
        <f>SUMIF(Bets[Date],L18,Bets[Net])</f>
        <v>29.685014685014686</v>
      </c>
      <c r="P18" s="27" t="str">
        <f>IFERROR("("&amp;ROUND(SUMIF(Bets[Date],L18,Bets[Net])/SUMIF(Bets[Date],L18,Bets[Risk]),2)*100&amp;"%)","")</f>
        <v>(42%)</v>
      </c>
      <c r="Q18" s="72">
        <f t="shared" si="2"/>
        <v>99.42917032987836</v>
      </c>
      <c r="R18" s="73">
        <f>IFERROR(SUMIF(Bets[Date],"&lt;="&amp;L18,Bets[Net])/SUMIF(Bets[Date],"&lt;="&amp;L18,Bets[Risk]),"")</f>
        <v>5.8145713643203679E-2</v>
      </c>
      <c r="T18" s="29" t="s">
        <v>884</v>
      </c>
      <c r="U18" s="59">
        <f>COUNTIFS(Bets[Result],"W")/(COUNTIFS(Bets[Result],"L")+COUNTIFS(Bets[Result],"W"))</f>
        <v>0.54460093896713613</v>
      </c>
    </row>
    <row r="19" spans="1:21" x14ac:dyDescent="0.25">
      <c r="A19" s="13">
        <f t="shared" si="0"/>
        <v>1</v>
      </c>
      <c r="B19" s="17">
        <v>43578</v>
      </c>
      <c r="C19" s="17" t="s">
        <v>802</v>
      </c>
      <c r="D19" s="18" t="s">
        <v>843</v>
      </c>
      <c r="E19" s="11" t="s">
        <v>844</v>
      </c>
      <c r="F19" s="19">
        <f>10</f>
        <v>10</v>
      </c>
      <c r="G19" s="37">
        <v>-110</v>
      </c>
      <c r="H19" s="21" t="s">
        <v>846</v>
      </c>
      <c r="I19" s="45">
        <f>IF(Bets[[#This Row],[Result]]="L",0-Bets[[#This Row],[Risk]],IF(Bets[[#This Row],[Result]]="Push",0,IF(Bets[[#This Row],[Result]]="No Action",0,IF(Bets[[#This Row],[Result]]="W",IF(Bets[[#This Row],[Odds]]&gt;0,Bets[[#This Row],[Odds]]/100*Bets[[#This Row],[Risk]],(Bets[[#This Row],[Risk]]/Bets[[#This Row],[Odds]]*-100)),""))))</f>
        <v>0</v>
      </c>
      <c r="J19" s="23" t="str">
        <f>IF(ISNUMBER(SEARCH(CHAR(10),Bets[[#This Row],[Bet]])),"P",IF(ISNUMBER(FIND("Under",Bets[[#This Row],[Bet]])),"U",IF(ISNUMBER(SEARCH("Over",Bets[[#This Row],[Bet]])),"O",IF(ISNUMBER(SEARCH("+",Bets[[#This Row],[Bet]])),"D",IF(ISNUMBER(SEARCH("-",Bets[[#This Row],[Bet]])),"F",IF(ISNUMBER(SEARCH("Moneyline",Bets[[#This Row],[Bet]])),IF(Bets[[#This Row],[Odds]]&lt;0,"MF","MD"),""))))))</f>
        <v>O</v>
      </c>
      <c r="K19" s="22"/>
      <c r="L19" s="24">
        <f t="shared" si="1"/>
        <v>43601</v>
      </c>
      <c r="M19" s="1" t="str">
        <f>COUNTIFS(Bets[Date],L19,Bets[Result],"W")&amp;"-"&amp;COUNTIFS(Bets[Date],L19,Bets[Result],"L")&amp;IF(COUNTIFS(Bets[Date],L19,Bets[Result],"Push")&gt;0,"-"&amp;COUNTIFS(Bets[Date],L19,Bets[Result],"Push"),"")</f>
        <v>2-4</v>
      </c>
      <c r="N19" s="25">
        <f>IFERROR(COUNTIFS(Bets[Date],L19,Bets[Result],"W")/(COUNTIFS(Bets[Date],L19,Bets[Result],"W")+COUNTIFS(Bets[Date],L19,Bets[Result],"L")),"")</f>
        <v>0.33333333333333331</v>
      </c>
      <c r="O19" s="26">
        <f>SUMIF(Bets[Date],L19,Bets[Net])</f>
        <v>-21.304347826086957</v>
      </c>
      <c r="P19" s="27" t="str">
        <f>IFERROR("("&amp;ROUND(SUMIF(Bets[Date],L19,Bets[Net])/SUMIF(Bets[Date],L19,Bets[Risk]),2)*100&amp;"%)","")</f>
        <v>(-36%)</v>
      </c>
      <c r="Q19" s="72">
        <f t="shared" si="2"/>
        <v>78.124822503791407</v>
      </c>
      <c r="R19" s="73">
        <f>IFERROR(SUMIF(Bets[Date],"&lt;="&amp;L19,Bets[Net])/SUMIF(Bets[Date],"&lt;="&amp;L19,Bets[Risk]),"")</f>
        <v>4.4138317798752165E-2</v>
      </c>
      <c r="T19" s="33"/>
      <c r="U19" s="34"/>
    </row>
    <row r="20" spans="1:21" x14ac:dyDescent="0.25">
      <c r="A20" s="13">
        <f t="shared" si="0"/>
        <v>1</v>
      </c>
      <c r="B20" s="17">
        <v>43578</v>
      </c>
      <c r="C20" s="17" t="s">
        <v>802</v>
      </c>
      <c r="D20" s="18" t="s">
        <v>821</v>
      </c>
      <c r="E20" s="11" t="s">
        <v>845</v>
      </c>
      <c r="F20" s="19">
        <f>10</f>
        <v>10</v>
      </c>
      <c r="G20" s="37">
        <v>-110</v>
      </c>
      <c r="H20" s="21" t="s">
        <v>262</v>
      </c>
      <c r="I20" s="45">
        <f>IF(Bets[[#This Row],[Result]]="L",0-Bets[[#This Row],[Risk]],IF(Bets[[#This Row],[Result]]="Push",0,IF(Bets[[#This Row],[Result]]="No Action",0,IF(Bets[[#This Row],[Result]]="W",IF(Bets[[#This Row],[Odds]]&gt;0,Bets[[#This Row],[Odds]]/100*Bets[[#This Row],[Risk]],(Bets[[#This Row],[Risk]]/Bets[[#This Row],[Odds]]*-100)),""))))</f>
        <v>9.0909090909090917</v>
      </c>
      <c r="J20" s="23" t="str">
        <f>IF(ISNUMBER(SEARCH(CHAR(10),Bets[[#This Row],[Bet]])),"P",IF(ISNUMBER(FIND("Under",Bets[[#This Row],[Bet]])),"U",IF(ISNUMBER(SEARCH("Over",Bets[[#This Row],[Bet]])),"O",IF(ISNUMBER(SEARCH("+",Bets[[#This Row],[Bet]])),"D",IF(ISNUMBER(SEARCH("-",Bets[[#This Row],[Bet]])),"F",IF(ISNUMBER(SEARCH("Moneyline",Bets[[#This Row],[Bet]])),IF(Bets[[#This Row],[Odds]]&lt;0,"MF","MD"),""))))))</f>
        <v>O</v>
      </c>
      <c r="K20" s="22"/>
      <c r="L20" s="24">
        <f t="shared" si="1"/>
        <v>43602</v>
      </c>
      <c r="M20" s="1" t="str">
        <f>COUNTIFS(Bets[Date],L20,Bets[Result],"W")&amp;"-"&amp;COUNTIFS(Bets[Date],L20,Bets[Result],"L")&amp;IF(COUNTIFS(Bets[Date],L20,Bets[Result],"Push")&gt;0,"-"&amp;COUNTIFS(Bets[Date],L20,Bets[Result],"Push"),"")</f>
        <v>5-1-1</v>
      </c>
      <c r="N20" s="25">
        <f>IFERROR(COUNTIFS(Bets[Date],L20,Bets[Result],"W")/(COUNTIFS(Bets[Date],L20,Bets[Result],"W")+COUNTIFS(Bets[Date],L20,Bets[Result],"L")),"")</f>
        <v>0.83333333333333337</v>
      </c>
      <c r="O20" s="26">
        <f>SUMIF(Bets[Date],L20,Bets[Net])</f>
        <v>41.266907646879133</v>
      </c>
      <c r="P20" s="27" t="str">
        <f>IFERROR("("&amp;ROUND(SUMIF(Bets[Date],L20,Bets[Net])/SUMIF(Bets[Date],L20,Bets[Risk]),2)*100&amp;"%)","")</f>
        <v>(59%)</v>
      </c>
      <c r="Q20" s="72">
        <f t="shared" si="2"/>
        <v>119.39173015067054</v>
      </c>
      <c r="R20" s="73">
        <f>IFERROR(SUMIF(Bets[Date],"&lt;="&amp;L20,Bets[Net])/SUMIF(Bets[Date],"&lt;="&amp;L20,Bets[Risk]),"")</f>
        <v>6.4886809864494827E-2</v>
      </c>
      <c r="T20" s="33"/>
    </row>
    <row r="21" spans="1:21" x14ac:dyDescent="0.25">
      <c r="A21" s="13">
        <f t="shared" si="0"/>
        <v>1</v>
      </c>
      <c r="B21" s="17">
        <v>43578</v>
      </c>
      <c r="C21" s="17" t="s">
        <v>802</v>
      </c>
      <c r="D21" s="18" t="s">
        <v>826</v>
      </c>
      <c r="E21" s="11" t="s">
        <v>839</v>
      </c>
      <c r="F21" s="19">
        <f>10</f>
        <v>10</v>
      </c>
      <c r="G21" s="37">
        <v>-110</v>
      </c>
      <c r="H21" s="21" t="s">
        <v>262</v>
      </c>
      <c r="I21" s="45">
        <f>IF(Bets[[#This Row],[Result]]="L",0-Bets[[#This Row],[Risk]],IF(Bets[[#This Row],[Result]]="Push",0,IF(Bets[[#This Row],[Result]]="No Action",0,IF(Bets[[#This Row],[Result]]="W",IF(Bets[[#This Row],[Odds]]&gt;0,Bets[[#This Row],[Odds]]/100*Bets[[#This Row],[Risk]],(Bets[[#This Row],[Risk]]/Bets[[#This Row],[Odds]]*-100)),""))))</f>
        <v>9.0909090909090917</v>
      </c>
      <c r="J21" s="23" t="str">
        <f>IF(ISNUMBER(SEARCH(CHAR(10),Bets[[#This Row],[Bet]])),"P",IF(ISNUMBER(FIND("Under",Bets[[#This Row],[Bet]])),"U",IF(ISNUMBER(SEARCH("Over",Bets[[#This Row],[Bet]])),"O",IF(ISNUMBER(SEARCH("+",Bets[[#This Row],[Bet]])),"D",IF(ISNUMBER(SEARCH("-",Bets[[#This Row],[Bet]])),"F",IF(ISNUMBER(SEARCH("Moneyline",Bets[[#This Row],[Bet]])),IF(Bets[[#This Row],[Odds]]&lt;0,"MF","MD"),""))))))</f>
        <v>O</v>
      </c>
      <c r="K21" s="22"/>
      <c r="L21" s="24">
        <f t="shared" si="1"/>
        <v>43606</v>
      </c>
      <c r="M21" s="1" t="str">
        <f>COUNTIFS(Bets[Date],L21,Bets[Result],"W")&amp;"-"&amp;COUNTIFS(Bets[Date],L21,Bets[Result],"L")&amp;IF(COUNTIFS(Bets[Date],L21,Bets[Result],"Push")&gt;0,"-"&amp;COUNTIFS(Bets[Date],L21,Bets[Result],"Push"),"")</f>
        <v>5-6</v>
      </c>
      <c r="N21" s="25">
        <f>IFERROR(COUNTIFS(Bets[Date],L21,Bets[Result],"W")/(COUNTIFS(Bets[Date],L21,Bets[Result],"W")+COUNTIFS(Bets[Date],L21,Bets[Result],"L")),"")</f>
        <v>0.45454545454545453</v>
      </c>
      <c r="O21" s="26">
        <f>SUMIF(Bets[Date],L21,Bets[Net])</f>
        <v>-14.6472049689441</v>
      </c>
      <c r="P21" s="27" t="str">
        <f>IFERROR("("&amp;ROUND(SUMIF(Bets[Date],L21,Bets[Net])/SUMIF(Bets[Date],L21,Bets[Risk]),2)*100&amp;"%)","")</f>
        <v>(-13%)</v>
      </c>
      <c r="Q21" s="72">
        <f t="shared" si="2"/>
        <v>104.74452518172644</v>
      </c>
      <c r="R21" s="73">
        <f>IFERROR(SUMIF(Bets[Date],"&lt;="&amp;L21,Bets[Net])/SUMIF(Bets[Date],"&lt;="&amp;L21,Bets[Risk]),"")</f>
        <v>5.3715141118834034E-2</v>
      </c>
    </row>
    <row r="22" spans="1:21" x14ac:dyDescent="0.25">
      <c r="A22" s="13">
        <f t="shared" si="0"/>
        <v>1</v>
      </c>
      <c r="B22" s="17">
        <v>43578</v>
      </c>
      <c r="C22" s="17" t="s">
        <v>802</v>
      </c>
      <c r="D22" s="18" t="s">
        <v>833</v>
      </c>
      <c r="E22" s="11" t="s">
        <v>839</v>
      </c>
      <c r="F22" s="19">
        <f>10</f>
        <v>10</v>
      </c>
      <c r="G22" s="37">
        <v>-110</v>
      </c>
      <c r="H22" s="21" t="s">
        <v>262</v>
      </c>
      <c r="I22" s="45">
        <f>IF(Bets[[#This Row],[Result]]="L",0-Bets[[#This Row],[Risk]],IF(Bets[[#This Row],[Result]]="Push",0,IF(Bets[[#This Row],[Result]]="No Action",0,IF(Bets[[#This Row],[Result]]="W",IF(Bets[[#This Row],[Odds]]&gt;0,Bets[[#This Row],[Odds]]/100*Bets[[#This Row],[Risk]],(Bets[[#This Row],[Risk]]/Bets[[#This Row],[Odds]]*-100)),""))))</f>
        <v>9.0909090909090917</v>
      </c>
      <c r="J22" s="23" t="str">
        <f>IF(ISNUMBER(SEARCH(CHAR(10),Bets[[#This Row],[Bet]])),"P",IF(ISNUMBER(FIND("Under",Bets[[#This Row],[Bet]])),"U",IF(ISNUMBER(SEARCH("Over",Bets[[#This Row],[Bet]])),"O",IF(ISNUMBER(SEARCH("+",Bets[[#This Row],[Bet]])),"D",IF(ISNUMBER(SEARCH("-",Bets[[#This Row],[Bet]])),"F",IF(ISNUMBER(SEARCH("Moneyline",Bets[[#This Row],[Bet]])),IF(Bets[[#This Row],[Odds]]&lt;0,"MF","MD"),""))))))</f>
        <v>O</v>
      </c>
      <c r="K22" s="22"/>
      <c r="L22" s="24">
        <f t="shared" si="1"/>
        <v>43608</v>
      </c>
      <c r="M22" s="1" t="str">
        <f>COUNTIFS(Bets[Date],L22,Bets[Result],"W")&amp;"-"&amp;COUNTIFS(Bets[Date],L22,Bets[Result],"L")&amp;IF(COUNTIFS(Bets[Date],L22,Bets[Result],"Push")&gt;0,"-"&amp;COUNTIFS(Bets[Date],L22,Bets[Result],"Push"),"")</f>
        <v>4-3-1</v>
      </c>
      <c r="N22" s="25">
        <f>IFERROR(COUNTIFS(Bets[Date],L22,Bets[Result],"W")/(COUNTIFS(Bets[Date],L22,Bets[Result],"W")+COUNTIFS(Bets[Date],L22,Bets[Result],"L")),"")</f>
        <v>0.5714285714285714</v>
      </c>
      <c r="O22" s="26">
        <f>SUMIF(Bets[Date],L22,Bets[Net])</f>
        <v>3.6040770823379518</v>
      </c>
      <c r="P22" s="27" t="str">
        <f>IFERROR("("&amp;ROUND(SUMIF(Bets[Date],L22,Bets[Net])/SUMIF(Bets[Date],L22,Bets[Risk]),2)*100&amp;"%)","")</f>
        <v>(5%)</v>
      </c>
      <c r="Q22" s="72">
        <f t="shared" si="2"/>
        <v>108.3486022640644</v>
      </c>
      <c r="R22" s="73">
        <f>IFERROR(SUMIF(Bets[Date],"&lt;="&amp;L22,Bets[Net])/SUMIF(Bets[Date],"&lt;="&amp;L22,Bets[Risk]),"")</f>
        <v>5.3373695696583408E-2</v>
      </c>
    </row>
    <row r="23" spans="1:21" x14ac:dyDescent="0.25">
      <c r="A23" s="13">
        <f t="shared" si="0"/>
        <v>2</v>
      </c>
      <c r="B23" s="17">
        <v>43579</v>
      </c>
      <c r="C23" s="17" t="s">
        <v>802</v>
      </c>
      <c r="D23" s="18" t="s">
        <v>826</v>
      </c>
      <c r="E23" s="11" t="s">
        <v>867</v>
      </c>
      <c r="F23" s="19">
        <f>10</f>
        <v>10</v>
      </c>
      <c r="G23" s="37" t="s">
        <v>868</v>
      </c>
      <c r="H23" s="21" t="s">
        <v>262</v>
      </c>
      <c r="I23" s="45">
        <f>IF(Bets[[#This Row],[Result]]="L",0-Bets[[#This Row],[Risk]],IF(Bets[[#This Row],[Result]]="Push",0,IF(Bets[[#This Row],[Result]]="No Action",0,IF(Bets[[#This Row],[Result]]="W",IF(Bets[[#This Row],[Odds]]&gt;0,Bets[[#This Row],[Odds]]/100*Bets[[#This Row],[Risk]],(Bets[[#This Row],[Risk]]/Bets[[#This Row],[Odds]]*-100)),""))))</f>
        <v>12.5</v>
      </c>
      <c r="J23" s="23" t="str">
        <f>IF(ISNUMBER(SEARCH(CHAR(10),Bets[[#This Row],[Bet]])),"P",IF(ISNUMBER(FIND("Under",Bets[[#This Row],[Bet]])),"U",IF(ISNUMBER(SEARCH("Over",Bets[[#This Row],[Bet]])),"O",IF(ISNUMBER(SEARCH("+",Bets[[#This Row],[Bet]])),"D",IF(ISNUMBER(SEARCH("-",Bets[[#This Row],[Bet]])),"F",IF(ISNUMBER(SEARCH("Moneyline",Bets[[#This Row],[Bet]])),IF(Bets[[#This Row],[Odds]]&lt;0,"MF","MD"),""))))))</f>
        <v>MD</v>
      </c>
      <c r="K23" s="22"/>
      <c r="L23" s="24">
        <f t="shared" si="1"/>
        <v>43613</v>
      </c>
      <c r="M23" s="1" t="str">
        <f>COUNTIFS(Bets[Date],L23,Bets[Result],"W")&amp;"-"&amp;COUNTIFS(Bets[Date],L23,Bets[Result],"L")&amp;IF(COUNTIFS(Bets[Date],L23,Bets[Result],"Push")&gt;0,"-"&amp;COUNTIFS(Bets[Date],L23,Bets[Result],"Push"),"")</f>
        <v>4-4</v>
      </c>
      <c r="N23" s="25">
        <f>IFERROR(COUNTIFS(Bets[Date],L23,Bets[Result],"W")/(COUNTIFS(Bets[Date],L23,Bets[Result],"W")+COUNTIFS(Bets[Date],L23,Bets[Result],"L")),"")</f>
        <v>0.5</v>
      </c>
      <c r="O23" s="26">
        <f>SUMIF(Bets[Date],L23,Bets[Net])</f>
        <v>-4.6376811594202927</v>
      </c>
      <c r="P23" s="27" t="str">
        <f>IFERROR("("&amp;ROUND(SUMIF(Bets[Date],L23,Bets[Net])/SUMIF(Bets[Date],L23,Bets[Risk]),2)*100&amp;"%)","")</f>
        <v>(-6%)</v>
      </c>
      <c r="Q23" s="72">
        <f t="shared" si="2"/>
        <v>103.7109211046441</v>
      </c>
      <c r="R23" s="73">
        <f>IFERROR(SUMIF(Bets[Date],"&lt;="&amp;L23,Bets[Net])/SUMIF(Bets[Date],"&lt;="&amp;L23,Bets[Risk]),"")</f>
        <v>4.9152095310257826E-2</v>
      </c>
    </row>
    <row r="24" spans="1:21" x14ac:dyDescent="0.25">
      <c r="A24" s="13">
        <f t="shared" si="0"/>
        <v>2</v>
      </c>
      <c r="B24" s="17">
        <v>43579</v>
      </c>
      <c r="C24" s="17" t="s">
        <v>802</v>
      </c>
      <c r="D24" s="18" t="s">
        <v>831</v>
      </c>
      <c r="E24" s="11" t="s">
        <v>832</v>
      </c>
      <c r="F24" s="19">
        <f>10</f>
        <v>10</v>
      </c>
      <c r="G24" s="37" t="s">
        <v>828</v>
      </c>
      <c r="H24" s="21" t="s">
        <v>262</v>
      </c>
      <c r="I24" s="45">
        <f>IF(Bets[[#This Row],[Result]]="L",0-Bets[[#This Row],[Risk]],IF(Bets[[#This Row],[Result]]="Push",0,IF(Bets[[#This Row],[Result]]="No Action",0,IF(Bets[[#This Row],[Result]]="W",IF(Bets[[#This Row],[Odds]]&gt;0,Bets[[#This Row],[Odds]]/100*Bets[[#This Row],[Risk]],(Bets[[#This Row],[Risk]]/Bets[[#This Row],[Odds]]*-100)),""))))</f>
        <v>11.5</v>
      </c>
      <c r="J24" s="23" t="str">
        <f>IF(ISNUMBER(SEARCH(CHAR(10),Bets[[#This Row],[Bet]])),"P",IF(ISNUMBER(FIND("Under",Bets[[#This Row],[Bet]])),"U",IF(ISNUMBER(SEARCH("Over",Bets[[#This Row],[Bet]])),"O",IF(ISNUMBER(SEARCH("+",Bets[[#This Row],[Bet]])),"D",IF(ISNUMBER(SEARCH("-",Bets[[#This Row],[Bet]])),"F",IF(ISNUMBER(SEARCH("Moneyline",Bets[[#This Row],[Bet]])),IF(Bets[[#This Row],[Odds]]&lt;0,"MF","MD"),""))))))</f>
        <v>MD</v>
      </c>
      <c r="K24" s="22"/>
      <c r="L24" s="24">
        <f t="shared" si="1"/>
        <v>43614</v>
      </c>
      <c r="M24" s="1" t="str">
        <f>COUNTIFS(Bets[Date],L24,Bets[Result],"W")&amp;"-"&amp;COUNTIFS(Bets[Date],L24,Bets[Result],"L")&amp;IF(COUNTIFS(Bets[Date],L24,Bets[Result],"Push")&gt;0,"-"&amp;COUNTIFS(Bets[Date],L24,Bets[Result],"Push"),"")</f>
        <v>2-5</v>
      </c>
      <c r="N24" s="25">
        <f>IFERROR(COUNTIFS(Bets[Date],L24,Bets[Result],"W")/(COUNTIFS(Bets[Date],L24,Bets[Result],"W")+COUNTIFS(Bets[Date],L24,Bets[Result],"L")),"")</f>
        <v>0.2857142857142857</v>
      </c>
      <c r="O24" s="26">
        <f>SUMIF(Bets[Date],L24,Bets[Net])</f>
        <v>-31.780538302277431</v>
      </c>
      <c r="P24" s="27" t="str">
        <f>IFERROR("("&amp;ROUND(SUMIF(Bets[Date],L24,Bets[Net])/SUMIF(Bets[Date],L24,Bets[Risk]),2)*100&amp;"%)","")</f>
        <v>(-45%)</v>
      </c>
      <c r="Q24" s="72">
        <f t="shared" si="2"/>
        <v>71.930382802366665</v>
      </c>
      <c r="R24" s="73">
        <f>IFERROR(SUMIF(Bets[Date],"&lt;="&amp;L24,Bets[Net])/SUMIF(Bets[Date],"&lt;="&amp;L24,Bets[Risk]),"")</f>
        <v>3.2995588441452561E-2</v>
      </c>
    </row>
    <row r="25" spans="1:21" x14ac:dyDescent="0.25">
      <c r="A25" s="13">
        <f t="shared" si="0"/>
        <v>2</v>
      </c>
      <c r="B25" s="17">
        <v>43579</v>
      </c>
      <c r="C25" s="17" t="s">
        <v>802</v>
      </c>
      <c r="D25" s="18" t="s">
        <v>840</v>
      </c>
      <c r="E25" s="11" t="s">
        <v>869</v>
      </c>
      <c r="F25" s="19">
        <f>10</f>
        <v>10</v>
      </c>
      <c r="G25" s="37">
        <v>-180</v>
      </c>
      <c r="H25" s="21" t="s">
        <v>262</v>
      </c>
      <c r="I25" s="45">
        <f>IF(Bets[[#This Row],[Result]]="L",0-Bets[[#This Row],[Risk]],IF(Bets[[#This Row],[Result]]="Push",0,IF(Bets[[#This Row],[Result]]="No Action",0,IF(Bets[[#This Row],[Result]]="W",IF(Bets[[#This Row],[Odds]]&gt;0,Bets[[#This Row],[Odds]]/100*Bets[[#This Row],[Risk]],(Bets[[#This Row],[Risk]]/Bets[[#This Row],[Odds]]*-100)),""))))</f>
        <v>5.5555555555555554</v>
      </c>
      <c r="J25" s="23" t="str">
        <f>IF(ISNUMBER(SEARCH(CHAR(10),Bets[[#This Row],[Bet]])),"P",IF(ISNUMBER(FIND("Under",Bets[[#This Row],[Bet]])),"U",IF(ISNUMBER(SEARCH("Over",Bets[[#This Row],[Bet]])),"O",IF(ISNUMBER(SEARCH("+",Bets[[#This Row],[Bet]])),"D",IF(ISNUMBER(SEARCH("-",Bets[[#This Row],[Bet]])),"F",IF(ISNUMBER(SEARCH("Moneyline",Bets[[#This Row],[Bet]])),IF(Bets[[#This Row],[Odds]]&lt;0,"MF","MD"),""))))))</f>
        <v>MF</v>
      </c>
      <c r="K25" s="22"/>
      <c r="L25" s="24">
        <f t="shared" si="1"/>
        <v>43616</v>
      </c>
      <c r="M25" s="1" t="str">
        <f>COUNTIFS(Bets[Date],L25,Bets[Result],"W")&amp;"-"&amp;COUNTIFS(Bets[Date],L25,Bets[Result],"L")&amp;IF(COUNTIFS(Bets[Date],L25,Bets[Result],"Push")&gt;0,"-"&amp;COUNTIFS(Bets[Date],L25,Bets[Result],"Push"),"")</f>
        <v>3-4</v>
      </c>
      <c r="N25" s="25">
        <f>IFERROR(COUNTIFS(Bets[Date],L25,Bets[Result],"W")/(COUNTIFS(Bets[Date],L25,Bets[Result],"W")+COUNTIFS(Bets[Date],L25,Bets[Result],"L")),"")</f>
        <v>0.42857142857142855</v>
      </c>
      <c r="O25" s="26">
        <f>SUMIF(Bets[Date],L25,Bets[Net])</f>
        <v>-13.685483870967742</v>
      </c>
      <c r="P25" s="27" t="str">
        <f>IFERROR("("&amp;ROUND(SUMIF(Bets[Date],L25,Bets[Net])/SUMIF(Bets[Date],L25,Bets[Risk]),2)*100&amp;"%)","")</f>
        <v>(-20%)</v>
      </c>
      <c r="Q25" s="72">
        <f t="shared" si="2"/>
        <v>58.244898931398922</v>
      </c>
      <c r="R25" s="73">
        <f>IFERROR(SUMIF(Bets[Date],"&lt;="&amp;L25,Bets[Net])/SUMIF(Bets[Date],"&lt;="&amp;L25,Bets[Risk]),"")</f>
        <v>2.5886621747288372E-2</v>
      </c>
    </row>
    <row r="26" spans="1:21" x14ac:dyDescent="0.25">
      <c r="A26" s="13">
        <f t="shared" si="0"/>
        <v>2</v>
      </c>
      <c r="B26" s="17">
        <v>43579</v>
      </c>
      <c r="C26" s="17" t="s">
        <v>802</v>
      </c>
      <c r="D26" s="18" t="s">
        <v>818</v>
      </c>
      <c r="E26" s="11" t="s">
        <v>819</v>
      </c>
      <c r="F26" s="19">
        <f>10</f>
        <v>10</v>
      </c>
      <c r="G26" s="37">
        <v>-270</v>
      </c>
      <c r="H26" s="21" t="s">
        <v>263</v>
      </c>
      <c r="I26" s="45">
        <f>IF(Bets[[#This Row],[Result]]="L",0-Bets[[#This Row],[Risk]],IF(Bets[[#This Row],[Result]]="Push",0,IF(Bets[[#This Row],[Result]]="No Action",0,IF(Bets[[#This Row],[Result]]="W",IF(Bets[[#This Row],[Odds]]&gt;0,Bets[[#This Row],[Odds]]/100*Bets[[#This Row],[Risk]],(Bets[[#This Row],[Risk]]/Bets[[#This Row],[Odds]]*-100)),""))))</f>
        <v>-10</v>
      </c>
      <c r="J26" s="23" t="str">
        <f>IF(ISNUMBER(SEARCH(CHAR(10),Bets[[#This Row],[Bet]])),"P",IF(ISNUMBER(FIND("Under",Bets[[#This Row],[Bet]])),"U",IF(ISNUMBER(SEARCH("Over",Bets[[#This Row],[Bet]])),"O",IF(ISNUMBER(SEARCH("+",Bets[[#This Row],[Bet]])),"D",IF(ISNUMBER(SEARCH("-",Bets[[#This Row],[Bet]])),"F",IF(ISNUMBER(SEARCH("Moneyline",Bets[[#This Row],[Bet]])),IF(Bets[[#This Row],[Odds]]&lt;0,"MF","MD"),""))))))</f>
        <v>MF</v>
      </c>
      <c r="K26" s="22"/>
      <c r="L26" s="24">
        <f t="shared" si="1"/>
        <v>0</v>
      </c>
      <c r="M26" s="1" t="str">
        <f>COUNTIFS(Bets[Date],L26,Bets[Result],"W")&amp;"-"&amp;COUNTIFS(Bets[Date],L26,Bets[Result],"L")&amp;IF(COUNTIFS(Bets[Date],L26,Bets[Result],"Push")&gt;0,"-"&amp;COUNTIFS(Bets[Date],L26,Bets[Result],"Push"),"")</f>
        <v>0-0</v>
      </c>
      <c r="N26" s="25" t="str">
        <f>IFERROR(COUNTIFS(Bets[Date],L26,Bets[Result],"W")/(COUNTIFS(Bets[Date],L26,Bets[Result],"W")+COUNTIFS(Bets[Date],L26,Bets[Result],"L")),"")</f>
        <v/>
      </c>
      <c r="O26" s="26">
        <f>SUMIF(Bets[Date],L26,Bets[Net])</f>
        <v>0</v>
      </c>
      <c r="P26" s="27" t="str">
        <f>IFERROR("("&amp;ROUND(SUMIF(Bets[Date],L26,Bets[Net])/SUMIF(Bets[Date],L26,Bets[Risk]),2)*100&amp;"%)","")</f>
        <v/>
      </c>
      <c r="Q26" s="72" t="str">
        <f t="shared" si="2"/>
        <v/>
      </c>
      <c r="R26" s="73" t="str">
        <f>IFERROR(SUMIF(Bets[Date],"&lt;="&amp;L26,Bets[Net])/SUMIF(Bets[Date],"&lt;="&amp;L26,Bets[Risk]),"")</f>
        <v/>
      </c>
    </row>
    <row r="27" spans="1:21" x14ac:dyDescent="0.25">
      <c r="A27" s="13">
        <f t="shared" si="0"/>
        <v>2</v>
      </c>
      <c r="B27" s="17">
        <v>43579</v>
      </c>
      <c r="C27" s="17" t="s">
        <v>802</v>
      </c>
      <c r="D27" s="18" t="s">
        <v>833</v>
      </c>
      <c r="E27" s="11" t="s">
        <v>870</v>
      </c>
      <c r="F27" s="19">
        <f>10</f>
        <v>10</v>
      </c>
      <c r="G27" s="37" t="s">
        <v>871</v>
      </c>
      <c r="H27" s="21" t="s">
        <v>263</v>
      </c>
      <c r="I27" s="45">
        <f>IF(Bets[[#This Row],[Result]]="L",0-Bets[[#This Row],[Risk]],IF(Bets[[#This Row],[Result]]="Push",0,IF(Bets[[#This Row],[Result]]="No Action",0,IF(Bets[[#This Row],[Result]]="W",IF(Bets[[#This Row],[Odds]]&gt;0,Bets[[#This Row],[Odds]]/100*Bets[[#This Row],[Risk]],(Bets[[#This Row],[Risk]]/Bets[[#This Row],[Odds]]*-100)),""))))</f>
        <v>-10</v>
      </c>
      <c r="J27" s="23" t="str">
        <f>IF(ISNUMBER(SEARCH(CHAR(10),Bets[[#This Row],[Bet]])),"P",IF(ISNUMBER(FIND("Under",Bets[[#This Row],[Bet]])),"U",IF(ISNUMBER(SEARCH("Over",Bets[[#This Row],[Bet]])),"O",IF(ISNUMBER(SEARCH("+",Bets[[#This Row],[Bet]])),"D",IF(ISNUMBER(SEARCH("-",Bets[[#This Row],[Bet]])),"F",IF(ISNUMBER(SEARCH("Moneyline",Bets[[#This Row],[Bet]])),IF(Bets[[#This Row],[Odds]]&lt;0,"MF","MD"),""))))))</f>
        <v>MD</v>
      </c>
      <c r="K27" s="22"/>
      <c r="L27" s="24">
        <f t="shared" si="1"/>
        <v>0</v>
      </c>
      <c r="M27" s="1" t="str">
        <f>COUNTIFS(Bets[Date],L27,Bets[Result],"W")&amp;"-"&amp;COUNTIFS(Bets[Date],L27,Bets[Result],"L")&amp;IF(COUNTIFS(Bets[Date],L27,Bets[Result],"Push")&gt;0,"-"&amp;COUNTIFS(Bets[Date],L27,Bets[Result],"Push"),"")</f>
        <v>0-0</v>
      </c>
      <c r="N27" s="25" t="str">
        <f>IFERROR(COUNTIFS(Bets[Date],L27,Bets[Result],"W")/(COUNTIFS(Bets[Date],L27,Bets[Result],"W")+COUNTIFS(Bets[Date],L27,Bets[Result],"L")),"")</f>
        <v/>
      </c>
      <c r="O27" s="26">
        <f>SUMIF(Bets[Date],L27,Bets[Net])</f>
        <v>0</v>
      </c>
      <c r="P27" s="27" t="str">
        <f>IFERROR("("&amp;ROUND(SUMIF(Bets[Date],L27,Bets[Net])/SUMIF(Bets[Date],L27,Bets[Risk]),2)*100&amp;"%)","")</f>
        <v/>
      </c>
      <c r="Q27" s="72" t="str">
        <f t="shared" si="2"/>
        <v/>
      </c>
      <c r="R27" s="73" t="str">
        <f>IFERROR(SUMIF(Bets[Date],"&lt;="&amp;L27,Bets[Net])/SUMIF(Bets[Date],"&lt;="&amp;L27,Bets[Risk]),"")</f>
        <v/>
      </c>
    </row>
    <row r="28" spans="1:21" x14ac:dyDescent="0.25">
      <c r="A28" s="13">
        <f t="shared" si="0"/>
        <v>2</v>
      </c>
      <c r="B28" s="17">
        <v>43579</v>
      </c>
      <c r="C28" s="17" t="s">
        <v>802</v>
      </c>
      <c r="D28" s="18" t="s">
        <v>835</v>
      </c>
      <c r="E28" s="11" t="s">
        <v>836</v>
      </c>
      <c r="F28" s="19">
        <f>10</f>
        <v>10</v>
      </c>
      <c r="G28" s="37" t="s">
        <v>872</v>
      </c>
      <c r="H28" s="21" t="s">
        <v>263</v>
      </c>
      <c r="I28" s="45">
        <f>IF(Bets[[#This Row],[Result]]="L",0-Bets[[#This Row],[Risk]],IF(Bets[[#This Row],[Result]]="Push",0,IF(Bets[[#This Row],[Result]]="No Action",0,IF(Bets[[#This Row],[Result]]="W",IF(Bets[[#This Row],[Odds]]&gt;0,Bets[[#This Row],[Odds]]/100*Bets[[#This Row],[Risk]],(Bets[[#This Row],[Risk]]/Bets[[#This Row],[Odds]]*-100)),""))))</f>
        <v>-10</v>
      </c>
      <c r="J28" s="23" t="str">
        <f>IF(ISNUMBER(SEARCH(CHAR(10),Bets[[#This Row],[Bet]])),"P",IF(ISNUMBER(FIND("Under",Bets[[#This Row],[Bet]])),"U",IF(ISNUMBER(SEARCH("Over",Bets[[#This Row],[Bet]])),"O",IF(ISNUMBER(SEARCH("+",Bets[[#This Row],[Bet]])),"D",IF(ISNUMBER(SEARCH("-",Bets[[#This Row],[Bet]])),"F",IF(ISNUMBER(SEARCH("Moneyline",Bets[[#This Row],[Bet]])),IF(Bets[[#This Row],[Odds]]&lt;0,"MF","MD"),""))))))</f>
        <v>MD</v>
      </c>
      <c r="K28" s="22"/>
      <c r="L28" s="24">
        <f t="shared" si="1"/>
        <v>0</v>
      </c>
      <c r="M28" s="1" t="str">
        <f>COUNTIFS(Bets[Date],L28,Bets[Result],"W")&amp;"-"&amp;COUNTIFS(Bets[Date],L28,Bets[Result],"L")&amp;IF(COUNTIFS(Bets[Date],L28,Bets[Result],"Push")&gt;0,"-"&amp;COUNTIFS(Bets[Date],L28,Bets[Result],"Push"),"")</f>
        <v>0-0</v>
      </c>
      <c r="N28" s="25" t="str">
        <f>IFERROR(COUNTIFS(Bets[Date],L28,Bets[Result],"W")/(COUNTIFS(Bets[Date],L28,Bets[Result],"W")+COUNTIFS(Bets[Date],L28,Bets[Result],"L")),"")</f>
        <v/>
      </c>
      <c r="O28" s="26">
        <f>SUMIF(Bets[Date],L28,Bets[Net])</f>
        <v>0</v>
      </c>
      <c r="P28" s="27" t="str">
        <f>IFERROR("("&amp;ROUND(SUMIF(Bets[Date],L28,Bets[Net])/SUMIF(Bets[Date],L28,Bets[Risk]),2)*100&amp;"%)","")</f>
        <v/>
      </c>
      <c r="Q28" s="72" t="str">
        <f t="shared" si="2"/>
        <v/>
      </c>
      <c r="R28" s="73" t="str">
        <f>IFERROR(SUMIF(Bets[Date],"&lt;="&amp;L28,Bets[Net])/SUMIF(Bets[Date],"&lt;="&amp;L28,Bets[Risk]),"")</f>
        <v/>
      </c>
    </row>
    <row r="29" spans="1:21" x14ac:dyDescent="0.25">
      <c r="A29" s="13">
        <f t="shared" si="0"/>
        <v>2</v>
      </c>
      <c r="B29" s="17">
        <v>43579</v>
      </c>
      <c r="C29" s="17" t="s">
        <v>802</v>
      </c>
      <c r="D29" s="18" t="s">
        <v>816</v>
      </c>
      <c r="E29" s="11" t="s">
        <v>873</v>
      </c>
      <c r="F29" s="19">
        <f>10</f>
        <v>10</v>
      </c>
      <c r="G29" s="37" t="s">
        <v>825</v>
      </c>
      <c r="H29" s="21" t="s">
        <v>263</v>
      </c>
      <c r="I29" s="45">
        <f>IF(Bets[[#This Row],[Result]]="L",0-Bets[[#This Row],[Risk]],IF(Bets[[#This Row],[Result]]="Push",0,IF(Bets[[#This Row],[Result]]="No Action",0,IF(Bets[[#This Row],[Result]]="W",IF(Bets[[#This Row],[Odds]]&gt;0,Bets[[#This Row],[Odds]]/100*Bets[[#This Row],[Risk]],(Bets[[#This Row],[Risk]]/Bets[[#This Row],[Odds]]*-100)),""))))</f>
        <v>-10</v>
      </c>
      <c r="J29" s="23" t="str">
        <f>IF(ISNUMBER(SEARCH(CHAR(10),Bets[[#This Row],[Bet]])),"P",IF(ISNUMBER(FIND("Under",Bets[[#This Row],[Bet]])),"U",IF(ISNUMBER(SEARCH("Over",Bets[[#This Row],[Bet]])),"O",IF(ISNUMBER(SEARCH("+",Bets[[#This Row],[Bet]])),"D",IF(ISNUMBER(SEARCH("-",Bets[[#This Row],[Bet]])),"F",IF(ISNUMBER(SEARCH("Moneyline",Bets[[#This Row],[Bet]])),IF(Bets[[#This Row],[Odds]]&lt;0,"MF","MD"),""))))))</f>
        <v>MD</v>
      </c>
      <c r="K29" s="22"/>
      <c r="L29" s="24">
        <f t="shared" si="1"/>
        <v>0</v>
      </c>
      <c r="M29" s="1" t="str">
        <f>COUNTIFS(Bets[Date],L29,Bets[Result],"W")&amp;"-"&amp;COUNTIFS(Bets[Date],L29,Bets[Result],"L")&amp;IF(COUNTIFS(Bets[Date],L29,Bets[Result],"Push")&gt;0,"-"&amp;COUNTIFS(Bets[Date],L29,Bets[Result],"Push"),"")</f>
        <v>0-0</v>
      </c>
      <c r="N29" s="25" t="str">
        <f>IFERROR(COUNTIFS(Bets[Date],L29,Bets[Result],"W")/(COUNTIFS(Bets[Date],L29,Bets[Result],"W")+COUNTIFS(Bets[Date],L29,Bets[Result],"L")),"")</f>
        <v/>
      </c>
      <c r="O29" s="26">
        <f>SUMIF(Bets[Date],L29,Bets[Net])</f>
        <v>0</v>
      </c>
      <c r="P29" s="27" t="str">
        <f>IFERROR("("&amp;ROUND(SUMIF(Bets[Date],L29,Bets[Net])/SUMIF(Bets[Date],L29,Bets[Risk]),2)*100&amp;"%)","")</f>
        <v/>
      </c>
      <c r="Q29" s="72" t="str">
        <f t="shared" si="2"/>
        <v/>
      </c>
      <c r="R29" s="73" t="str">
        <f>IFERROR(SUMIF(Bets[Date],"&lt;="&amp;L29,Bets[Net])/SUMIF(Bets[Date],"&lt;="&amp;L29,Bets[Risk]),"")</f>
        <v/>
      </c>
    </row>
    <row r="30" spans="1:21" x14ac:dyDescent="0.25">
      <c r="A30" s="13">
        <f t="shared" si="0"/>
        <v>2</v>
      </c>
      <c r="B30" s="17">
        <v>43579</v>
      </c>
      <c r="C30" s="17" t="s">
        <v>802</v>
      </c>
      <c r="D30" s="18" t="s">
        <v>814</v>
      </c>
      <c r="E30" s="11" t="s">
        <v>815</v>
      </c>
      <c r="F30" s="19">
        <f>10</f>
        <v>10</v>
      </c>
      <c r="G30" s="37">
        <v>-130</v>
      </c>
      <c r="H30" s="21" t="s">
        <v>262</v>
      </c>
      <c r="I30" s="45">
        <f>IF(Bets[[#This Row],[Result]]="L",0-Bets[[#This Row],[Risk]],IF(Bets[[#This Row],[Result]]="Push",0,IF(Bets[[#This Row],[Result]]="No Action",0,IF(Bets[[#This Row],[Result]]="W",IF(Bets[[#This Row],[Odds]]&gt;0,Bets[[#This Row],[Odds]]/100*Bets[[#This Row],[Risk]],(Bets[[#This Row],[Risk]]/Bets[[#This Row],[Odds]]*-100)),""))))</f>
        <v>7.6923076923076925</v>
      </c>
      <c r="J30" s="23" t="str">
        <f>IF(ISNUMBER(SEARCH(CHAR(10),Bets[[#This Row],[Bet]])),"P",IF(ISNUMBER(FIND("Under",Bets[[#This Row],[Bet]])),"U",IF(ISNUMBER(SEARCH("Over",Bets[[#This Row],[Bet]])),"O",IF(ISNUMBER(SEARCH("+",Bets[[#This Row],[Bet]])),"D",IF(ISNUMBER(SEARCH("-",Bets[[#This Row],[Bet]])),"F",IF(ISNUMBER(SEARCH("Moneyline",Bets[[#This Row],[Bet]])),IF(Bets[[#This Row],[Odds]]&lt;0,"MF","MD"),""))))))</f>
        <v>MF</v>
      </c>
      <c r="K30" s="22"/>
      <c r="L30" s="24">
        <f t="shared" si="1"/>
        <v>0</v>
      </c>
      <c r="M30" s="1" t="str">
        <f>COUNTIFS(Bets[Date],L30,Bets[Result],"W")&amp;"-"&amp;COUNTIFS(Bets[Date],L30,Bets[Result],"L")&amp;IF(COUNTIFS(Bets[Date],L30,Bets[Result],"Push")&gt;0,"-"&amp;COUNTIFS(Bets[Date],L30,Bets[Result],"Push"),"")</f>
        <v>0-0</v>
      </c>
      <c r="N30" s="25" t="str">
        <f>IFERROR(COUNTIFS(Bets[Date],L30,Bets[Result],"W")/(COUNTIFS(Bets[Date],L30,Bets[Result],"W")+COUNTIFS(Bets[Date],L30,Bets[Result],"L")),"")</f>
        <v/>
      </c>
      <c r="O30" s="26">
        <f>SUMIF(Bets[Date],L30,Bets[Net])</f>
        <v>0</v>
      </c>
      <c r="P30" s="27" t="str">
        <f>IFERROR("("&amp;ROUND(SUMIF(Bets[Date],L30,Bets[Net])/SUMIF(Bets[Date],L30,Bets[Risk]),2)*100&amp;"%)","")</f>
        <v/>
      </c>
      <c r="Q30" s="72" t="str">
        <f t="shared" si="2"/>
        <v/>
      </c>
      <c r="R30" s="73" t="str">
        <f>IFERROR(SUMIF(Bets[Date],"&lt;="&amp;L30,Bets[Net])/SUMIF(Bets[Date],"&lt;="&amp;L30,Bets[Risk]),"")</f>
        <v/>
      </c>
    </row>
    <row r="31" spans="1:21" x14ac:dyDescent="0.25">
      <c r="A31" s="13">
        <f t="shared" si="0"/>
        <v>2</v>
      </c>
      <c r="B31" s="17">
        <v>43579</v>
      </c>
      <c r="C31" s="17" t="s">
        <v>802</v>
      </c>
      <c r="D31" s="18" t="s">
        <v>843</v>
      </c>
      <c r="E31" s="11" t="s">
        <v>874</v>
      </c>
      <c r="F31" s="19">
        <f>10</f>
        <v>10</v>
      </c>
      <c r="G31" s="37">
        <v>-130</v>
      </c>
      <c r="H31" s="21" t="s">
        <v>262</v>
      </c>
      <c r="I31" s="45">
        <f>IF(Bets[[#This Row],[Result]]="L",0-Bets[[#This Row],[Risk]],IF(Bets[[#This Row],[Result]]="Push",0,IF(Bets[[#This Row],[Result]]="No Action",0,IF(Bets[[#This Row],[Result]]="W",IF(Bets[[#This Row],[Odds]]&gt;0,Bets[[#This Row],[Odds]]/100*Bets[[#This Row],[Risk]],(Bets[[#This Row],[Risk]]/Bets[[#This Row],[Odds]]*-100)),""))))</f>
        <v>7.6923076923076925</v>
      </c>
      <c r="J31" s="23" t="str">
        <f>IF(ISNUMBER(SEARCH(CHAR(10),Bets[[#This Row],[Bet]])),"P",IF(ISNUMBER(FIND("Under",Bets[[#This Row],[Bet]])),"U",IF(ISNUMBER(SEARCH("Over",Bets[[#This Row],[Bet]])),"O",IF(ISNUMBER(SEARCH("+",Bets[[#This Row],[Bet]])),"D",IF(ISNUMBER(SEARCH("-",Bets[[#This Row],[Bet]])),"F",IF(ISNUMBER(SEARCH("Moneyline",Bets[[#This Row],[Bet]])),IF(Bets[[#This Row],[Odds]]&lt;0,"MF","MD"),""))))))</f>
        <v>MF</v>
      </c>
      <c r="K31" s="22"/>
      <c r="L31" s="24">
        <f t="shared" si="1"/>
        <v>0</v>
      </c>
      <c r="M31" s="1" t="str">
        <f>COUNTIFS(Bets[Date],L31,Bets[Result],"W")&amp;"-"&amp;COUNTIFS(Bets[Date],L31,Bets[Result],"L")&amp;IF(COUNTIFS(Bets[Date],L31,Bets[Result],"Push")&gt;0,"-"&amp;COUNTIFS(Bets[Date],L31,Bets[Result],"Push"),"")</f>
        <v>0-0</v>
      </c>
      <c r="N31" s="25" t="str">
        <f>IFERROR(COUNTIFS(Bets[Date],L31,Bets[Result],"W")/(COUNTIFS(Bets[Date],L31,Bets[Result],"W")+COUNTIFS(Bets[Date],L31,Bets[Result],"L")),"")</f>
        <v/>
      </c>
      <c r="O31" s="26">
        <f>SUMIF(Bets[Date],L31,Bets[Net])</f>
        <v>0</v>
      </c>
      <c r="P31" s="27" t="str">
        <f>IFERROR("("&amp;ROUND(SUMIF(Bets[Date],L31,Bets[Net])/SUMIF(Bets[Date],L31,Bets[Risk]),2)*100&amp;"%)","")</f>
        <v/>
      </c>
      <c r="Q31" s="72" t="str">
        <f t="shared" si="2"/>
        <v/>
      </c>
      <c r="R31" s="73" t="str">
        <f>IFERROR(SUMIF(Bets[Date],"&lt;="&amp;L31,Bets[Net])/SUMIF(Bets[Date],"&lt;="&amp;L31,Bets[Risk]),"")</f>
        <v/>
      </c>
    </row>
    <row r="32" spans="1:21" x14ac:dyDescent="0.25">
      <c r="A32" s="13">
        <f t="shared" si="0"/>
        <v>2</v>
      </c>
      <c r="B32" s="17">
        <v>43579</v>
      </c>
      <c r="C32" s="17" t="s">
        <v>802</v>
      </c>
      <c r="D32" s="18" t="s">
        <v>875</v>
      </c>
      <c r="E32" s="11" t="s">
        <v>876</v>
      </c>
      <c r="F32" s="19">
        <f>10</f>
        <v>10</v>
      </c>
      <c r="G32" s="37">
        <v>-120</v>
      </c>
      <c r="H32" s="21" t="s">
        <v>263</v>
      </c>
      <c r="I32" s="45">
        <f>IF(Bets[[#This Row],[Result]]="L",0-Bets[[#This Row],[Risk]],IF(Bets[[#This Row],[Result]]="Push",0,IF(Bets[[#This Row],[Result]]="No Action",0,IF(Bets[[#This Row],[Result]]="W",IF(Bets[[#This Row],[Odds]]&gt;0,Bets[[#This Row],[Odds]]/100*Bets[[#This Row],[Risk]],(Bets[[#This Row],[Risk]]/Bets[[#This Row],[Odds]]*-100)),""))))</f>
        <v>-10</v>
      </c>
      <c r="J32" s="23" t="str">
        <f>IF(ISNUMBER(SEARCH(CHAR(10),Bets[[#This Row],[Bet]])),"P",IF(ISNUMBER(FIND("Under",Bets[[#This Row],[Bet]])),"U",IF(ISNUMBER(SEARCH("Over",Bets[[#This Row],[Bet]])),"O",IF(ISNUMBER(SEARCH("+",Bets[[#This Row],[Bet]])),"D",IF(ISNUMBER(SEARCH("-",Bets[[#This Row],[Bet]])),"F",IF(ISNUMBER(SEARCH("Moneyline",Bets[[#This Row],[Bet]])),IF(Bets[[#This Row],[Odds]]&lt;0,"MF","MD"),""))))))</f>
        <v>MF</v>
      </c>
      <c r="K32" s="22"/>
      <c r="L32" s="24">
        <f t="shared" si="1"/>
        <v>0</v>
      </c>
      <c r="M32" s="1" t="str">
        <f>COUNTIFS(Bets[Date],L32,Bets[Result],"W")&amp;"-"&amp;COUNTIFS(Bets[Date],L32,Bets[Result],"L")&amp;IF(COUNTIFS(Bets[Date],L32,Bets[Result],"Push")&gt;0,"-"&amp;COUNTIFS(Bets[Date],L32,Bets[Result],"Push"),"")</f>
        <v>0-0</v>
      </c>
      <c r="N32" s="25" t="str">
        <f>IFERROR(COUNTIFS(Bets[Date],L32,Bets[Result],"W")/(COUNTIFS(Bets[Date],L32,Bets[Result],"W")+COUNTIFS(Bets[Date],L32,Bets[Result],"L")),"")</f>
        <v/>
      </c>
      <c r="O32" s="26">
        <f>SUMIF(Bets[Date],L32,Bets[Net])</f>
        <v>0</v>
      </c>
      <c r="P32" s="27" t="str">
        <f>IFERROR("("&amp;ROUND(SUMIF(Bets[Date],L32,Bets[Net])/SUMIF(Bets[Date],L32,Bets[Risk]),2)*100&amp;"%)","")</f>
        <v/>
      </c>
      <c r="Q32" s="72" t="str">
        <f t="shared" si="2"/>
        <v/>
      </c>
      <c r="R32" s="73" t="str">
        <f>IFERROR(SUMIF(Bets[Date],"&lt;="&amp;L32,Bets[Net])/SUMIF(Bets[Date],"&lt;="&amp;L32,Bets[Risk]),"")</f>
        <v/>
      </c>
    </row>
    <row r="33" spans="1:18" x14ac:dyDescent="0.25">
      <c r="A33" s="13">
        <f t="shared" si="0"/>
        <v>2</v>
      </c>
      <c r="B33" s="17">
        <v>43579</v>
      </c>
      <c r="C33" s="17" t="s">
        <v>802</v>
      </c>
      <c r="D33" s="18" t="s">
        <v>811</v>
      </c>
      <c r="E33" s="11" t="s">
        <v>812</v>
      </c>
      <c r="F33" s="19">
        <f>10</f>
        <v>10</v>
      </c>
      <c r="G33" s="37" t="s">
        <v>813</v>
      </c>
      <c r="H33" s="21" t="s">
        <v>263</v>
      </c>
      <c r="I33" s="45">
        <f>IF(Bets[[#This Row],[Result]]="L",0-Bets[[#This Row],[Risk]],IF(Bets[[#This Row],[Result]]="Push",0,IF(Bets[[#This Row],[Result]]="No Action",0,IF(Bets[[#This Row],[Result]]="W",IF(Bets[[#This Row],[Odds]]&gt;0,Bets[[#This Row],[Odds]]/100*Bets[[#This Row],[Risk]],(Bets[[#This Row],[Risk]]/Bets[[#This Row],[Odds]]*-100)),""))))</f>
        <v>-10</v>
      </c>
      <c r="J33" s="23" t="str">
        <f>IF(ISNUMBER(SEARCH(CHAR(10),Bets[[#This Row],[Bet]])),"P",IF(ISNUMBER(FIND("Under",Bets[[#This Row],[Bet]])),"U",IF(ISNUMBER(SEARCH("Over",Bets[[#This Row],[Bet]])),"O",IF(ISNUMBER(SEARCH("+",Bets[[#This Row],[Bet]])),"D",IF(ISNUMBER(SEARCH("-",Bets[[#This Row],[Bet]])),"F",IF(ISNUMBER(SEARCH("Moneyline",Bets[[#This Row],[Bet]])),IF(Bets[[#This Row],[Odds]]&lt;0,"MF","MD"),""))))))</f>
        <v>MD</v>
      </c>
      <c r="K33" s="22"/>
      <c r="L33" s="24">
        <f t="shared" si="1"/>
        <v>0</v>
      </c>
      <c r="M33" s="1" t="str">
        <f>COUNTIFS(Bets[Date],L33,Bets[Result],"W")&amp;"-"&amp;COUNTIFS(Bets[Date],L33,Bets[Result],"L")&amp;IF(COUNTIFS(Bets[Date],L33,Bets[Result],"Push")&gt;0,"-"&amp;COUNTIFS(Bets[Date],L33,Bets[Result],"Push"),"")</f>
        <v>0-0</v>
      </c>
      <c r="N33" s="25" t="str">
        <f>IFERROR(COUNTIFS(Bets[Date],L33,Bets[Result],"W")/(COUNTIFS(Bets[Date],L33,Bets[Result],"W")+COUNTIFS(Bets[Date],L33,Bets[Result],"L")),"")</f>
        <v/>
      </c>
      <c r="O33" s="26">
        <f>SUMIF(Bets[Date],L33,Bets[Net])</f>
        <v>0</v>
      </c>
      <c r="P33" s="27" t="str">
        <f>IFERROR("("&amp;ROUND(SUMIF(Bets[Date],L33,Bets[Net])/SUMIF(Bets[Date],L33,Bets[Risk]),2)*100&amp;"%)","")</f>
        <v/>
      </c>
      <c r="Q33" s="72" t="str">
        <f t="shared" si="2"/>
        <v/>
      </c>
      <c r="R33" s="73" t="str">
        <f>IFERROR(SUMIF(Bets[Date],"&lt;="&amp;L33,Bets[Net])/SUMIF(Bets[Date],"&lt;="&amp;L33,Bets[Risk]),"")</f>
        <v/>
      </c>
    </row>
    <row r="34" spans="1:18" x14ac:dyDescent="0.25">
      <c r="A34" s="13">
        <f t="shared" si="0"/>
        <v>2</v>
      </c>
      <c r="B34" s="17">
        <v>43579</v>
      </c>
      <c r="C34" s="17" t="s">
        <v>802</v>
      </c>
      <c r="D34" s="18" t="s">
        <v>821</v>
      </c>
      <c r="E34" s="11" t="s">
        <v>822</v>
      </c>
      <c r="F34" s="19">
        <f>10</f>
        <v>10</v>
      </c>
      <c r="G34" s="37">
        <v>-130</v>
      </c>
      <c r="H34" s="21" t="s">
        <v>262</v>
      </c>
      <c r="I34" s="45">
        <f>IF(Bets[[#This Row],[Result]]="L",0-Bets[[#This Row],[Risk]],IF(Bets[[#This Row],[Result]]="Push",0,IF(Bets[[#This Row],[Result]]="No Action",0,IF(Bets[[#This Row],[Result]]="W",IF(Bets[[#This Row],[Odds]]&gt;0,Bets[[#This Row],[Odds]]/100*Bets[[#This Row],[Risk]],(Bets[[#This Row],[Risk]]/Bets[[#This Row],[Odds]]*-100)),""))))</f>
        <v>7.6923076923076925</v>
      </c>
      <c r="J34" s="23" t="str">
        <f>IF(ISNUMBER(SEARCH(CHAR(10),Bets[[#This Row],[Bet]])),"P",IF(ISNUMBER(FIND("Under",Bets[[#This Row],[Bet]])),"U",IF(ISNUMBER(SEARCH("Over",Bets[[#This Row],[Bet]])),"O",IF(ISNUMBER(SEARCH("+",Bets[[#This Row],[Bet]])),"D",IF(ISNUMBER(SEARCH("-",Bets[[#This Row],[Bet]])),"F",IF(ISNUMBER(SEARCH("Moneyline",Bets[[#This Row],[Bet]])),IF(Bets[[#This Row],[Odds]]&lt;0,"MF","MD"),""))))))</f>
        <v>MF</v>
      </c>
      <c r="K34" s="22"/>
      <c r="L34" s="24">
        <f t="shared" si="1"/>
        <v>0</v>
      </c>
      <c r="M34" s="1" t="str">
        <f>COUNTIFS(Bets[Date],L34,Bets[Result],"W")&amp;"-"&amp;COUNTIFS(Bets[Date],L34,Bets[Result],"L")&amp;IF(COUNTIFS(Bets[Date],L34,Bets[Result],"Push")&gt;0,"-"&amp;COUNTIFS(Bets[Date],L34,Bets[Result],"Push"),"")</f>
        <v>0-0</v>
      </c>
      <c r="N34" s="25" t="str">
        <f>IFERROR(COUNTIFS(Bets[Date],L34,Bets[Result],"W")/(COUNTIFS(Bets[Date],L34,Bets[Result],"W")+COUNTIFS(Bets[Date],L34,Bets[Result],"L")),"")</f>
        <v/>
      </c>
      <c r="O34" s="26">
        <f>SUMIF(Bets[Date],L34,Bets[Net])</f>
        <v>0</v>
      </c>
      <c r="P34" s="27" t="str">
        <f>IFERROR("("&amp;ROUND(SUMIF(Bets[Date],L34,Bets[Net])/SUMIF(Bets[Date],L34,Bets[Risk]),2)*100&amp;"%)","")</f>
        <v/>
      </c>
      <c r="Q34" s="72" t="str">
        <f t="shared" si="2"/>
        <v/>
      </c>
      <c r="R34" s="73" t="str">
        <f>IFERROR(SUMIF(Bets[Date],"&lt;="&amp;L34,Bets[Net])/SUMIF(Bets[Date],"&lt;="&amp;L34,Bets[Risk]),"")</f>
        <v/>
      </c>
    </row>
    <row r="35" spans="1:18" x14ac:dyDescent="0.25">
      <c r="A35" s="13">
        <f t="shared" si="0"/>
        <v>2</v>
      </c>
      <c r="B35" s="17">
        <v>43579</v>
      </c>
      <c r="C35" s="17" t="s">
        <v>802</v>
      </c>
      <c r="D35" s="18" t="s">
        <v>826</v>
      </c>
      <c r="E35" s="11" t="s">
        <v>839</v>
      </c>
      <c r="F35" s="19">
        <f>10</f>
        <v>10</v>
      </c>
      <c r="G35" s="37">
        <v>-110</v>
      </c>
      <c r="H35" s="21" t="s">
        <v>262</v>
      </c>
      <c r="I35" s="45">
        <f>IF(Bets[[#This Row],[Result]]="L",0-Bets[[#This Row],[Risk]],IF(Bets[[#This Row],[Result]]="Push",0,IF(Bets[[#This Row],[Result]]="No Action",0,IF(Bets[[#This Row],[Result]]="W",IF(Bets[[#This Row],[Odds]]&gt;0,Bets[[#This Row],[Odds]]/100*Bets[[#This Row],[Risk]],(Bets[[#This Row],[Risk]]/Bets[[#This Row],[Odds]]*-100)),""))))</f>
        <v>9.0909090909090917</v>
      </c>
      <c r="J35" s="23" t="str">
        <f>IF(ISNUMBER(SEARCH(CHAR(10),Bets[[#This Row],[Bet]])),"P",IF(ISNUMBER(FIND("Under",Bets[[#This Row],[Bet]])),"U",IF(ISNUMBER(SEARCH("Over",Bets[[#This Row],[Bet]])),"O",IF(ISNUMBER(SEARCH("+",Bets[[#This Row],[Bet]])),"D",IF(ISNUMBER(SEARCH("-",Bets[[#This Row],[Bet]])),"F",IF(ISNUMBER(SEARCH("Moneyline",Bets[[#This Row],[Bet]])),IF(Bets[[#This Row],[Odds]]&lt;0,"MF","MD"),""))))))</f>
        <v>O</v>
      </c>
      <c r="K35" s="22"/>
      <c r="L35" s="24">
        <f t="shared" si="1"/>
        <v>0</v>
      </c>
      <c r="M35" s="1" t="str">
        <f>COUNTIFS(Bets[Date],L35,Bets[Result],"W")&amp;"-"&amp;COUNTIFS(Bets[Date],L35,Bets[Result],"L")&amp;IF(COUNTIFS(Bets[Date],L35,Bets[Result],"Push")&gt;0,"-"&amp;COUNTIFS(Bets[Date],L35,Bets[Result],"Push"),"")</f>
        <v>0-0</v>
      </c>
      <c r="N35" s="25" t="str">
        <f>IFERROR(COUNTIFS(Bets[Date],L35,Bets[Result],"W")/(COUNTIFS(Bets[Date],L35,Bets[Result],"W")+COUNTIFS(Bets[Date],L35,Bets[Result],"L")),"")</f>
        <v/>
      </c>
      <c r="O35" s="26">
        <f>SUMIF(Bets[Date],L35,Bets[Net])</f>
        <v>0</v>
      </c>
      <c r="P35" s="27" t="str">
        <f>IFERROR("("&amp;ROUND(SUMIF(Bets[Date],L35,Bets[Net])/SUMIF(Bets[Date],L35,Bets[Risk]),2)*100&amp;"%)","")</f>
        <v/>
      </c>
      <c r="Q35" s="72" t="str">
        <f t="shared" si="2"/>
        <v/>
      </c>
      <c r="R35" s="73" t="str">
        <f>IFERROR(SUMIF(Bets[Date],"&lt;="&amp;L35,Bets[Net])/SUMIF(Bets[Date],"&lt;="&amp;L35,Bets[Risk]),"")</f>
        <v/>
      </c>
    </row>
    <row r="36" spans="1:18" x14ac:dyDescent="0.25">
      <c r="A36" s="13">
        <f t="shared" si="0"/>
        <v>2</v>
      </c>
      <c r="B36" s="17">
        <v>43579</v>
      </c>
      <c r="C36" s="17" t="s">
        <v>802</v>
      </c>
      <c r="D36" s="18" t="s">
        <v>840</v>
      </c>
      <c r="E36" s="11" t="s">
        <v>877</v>
      </c>
      <c r="F36" s="19">
        <f>10</f>
        <v>10</v>
      </c>
      <c r="G36" s="37">
        <v>-110</v>
      </c>
      <c r="H36" s="21" t="s">
        <v>262</v>
      </c>
      <c r="I36" s="45">
        <f>IF(Bets[[#This Row],[Result]]="L",0-Bets[[#This Row],[Risk]],IF(Bets[[#This Row],[Result]]="Push",0,IF(Bets[[#This Row],[Result]]="No Action",0,IF(Bets[[#This Row],[Result]]="W",IF(Bets[[#This Row],[Odds]]&gt;0,Bets[[#This Row],[Odds]]/100*Bets[[#This Row],[Risk]],(Bets[[#This Row],[Risk]]/Bets[[#This Row],[Odds]]*-100)),""))))</f>
        <v>9.0909090909090917</v>
      </c>
      <c r="J36" s="23" t="str">
        <f>IF(ISNUMBER(SEARCH(CHAR(10),Bets[[#This Row],[Bet]])),"P",IF(ISNUMBER(FIND("Under",Bets[[#This Row],[Bet]])),"U",IF(ISNUMBER(SEARCH("Over",Bets[[#This Row],[Bet]])),"O",IF(ISNUMBER(SEARCH("+",Bets[[#This Row],[Bet]])),"D",IF(ISNUMBER(SEARCH("-",Bets[[#This Row],[Bet]])),"F",IF(ISNUMBER(SEARCH("Moneyline",Bets[[#This Row],[Bet]])),IF(Bets[[#This Row],[Odds]]&lt;0,"MF","MD"),""))))))</f>
        <v>U</v>
      </c>
      <c r="K36" s="22"/>
      <c r="L36" s="24">
        <f t="shared" ref="L36:L67" si="3">IFERROR(VLOOKUP(ROW()-3,A:B,2,0),0)</f>
        <v>0</v>
      </c>
      <c r="M36" s="1" t="str">
        <f>COUNTIFS(Bets[Date],L36,Bets[Result],"W")&amp;"-"&amp;COUNTIFS(Bets[Date],L36,Bets[Result],"L")&amp;IF(COUNTIFS(Bets[Date],L36,Bets[Result],"Push")&gt;0,"-"&amp;COUNTIFS(Bets[Date],L36,Bets[Result],"Push"),"")</f>
        <v>0-0</v>
      </c>
      <c r="N36" s="25" t="str">
        <f>IFERROR(COUNTIFS(Bets[Date],L36,Bets[Result],"W")/(COUNTIFS(Bets[Date],L36,Bets[Result],"W")+COUNTIFS(Bets[Date],L36,Bets[Result],"L")),"")</f>
        <v/>
      </c>
      <c r="O36" s="26">
        <f>SUMIF(Bets[Date],L36,Bets[Net])</f>
        <v>0</v>
      </c>
      <c r="P36" s="27" t="str">
        <f>IFERROR("("&amp;ROUND(SUMIF(Bets[Date],L36,Bets[Net])/SUMIF(Bets[Date],L36,Bets[Risk]),2)*100&amp;"%)","")</f>
        <v/>
      </c>
      <c r="Q36" s="72" t="str">
        <f t="shared" si="2"/>
        <v/>
      </c>
      <c r="R36" s="73" t="str">
        <f>IFERROR(SUMIF(Bets[Date],"&lt;="&amp;L36,Bets[Net])/SUMIF(Bets[Date],"&lt;="&amp;L36,Bets[Risk]),"")</f>
        <v/>
      </c>
    </row>
    <row r="37" spans="1:18" x14ac:dyDescent="0.25">
      <c r="A37" s="13">
        <f t="shared" si="0"/>
        <v>2</v>
      </c>
      <c r="B37" s="17">
        <v>43579</v>
      </c>
      <c r="C37" s="17" t="s">
        <v>802</v>
      </c>
      <c r="D37" s="18" t="s">
        <v>818</v>
      </c>
      <c r="E37" s="11" t="s">
        <v>878</v>
      </c>
      <c r="F37" s="19">
        <f>10</f>
        <v>10</v>
      </c>
      <c r="G37" s="37">
        <v>-110</v>
      </c>
      <c r="H37" s="21" t="s">
        <v>262</v>
      </c>
      <c r="I37" s="45">
        <f>IF(Bets[[#This Row],[Result]]="L",0-Bets[[#This Row],[Risk]],IF(Bets[[#This Row],[Result]]="Push",0,IF(Bets[[#This Row],[Result]]="No Action",0,IF(Bets[[#This Row],[Result]]="W",IF(Bets[[#This Row],[Odds]]&gt;0,Bets[[#This Row],[Odds]]/100*Bets[[#This Row],[Risk]],(Bets[[#This Row],[Risk]]/Bets[[#This Row],[Odds]]*-100)),""))))</f>
        <v>9.0909090909090917</v>
      </c>
      <c r="J37" s="23" t="str">
        <f>IF(ISNUMBER(SEARCH(CHAR(10),Bets[[#This Row],[Bet]])),"P",IF(ISNUMBER(FIND("Under",Bets[[#This Row],[Bet]])),"U",IF(ISNUMBER(SEARCH("Over",Bets[[#This Row],[Bet]])),"O",IF(ISNUMBER(SEARCH("+",Bets[[#This Row],[Bet]])),"D",IF(ISNUMBER(SEARCH("-",Bets[[#This Row],[Bet]])),"F",IF(ISNUMBER(SEARCH("Moneyline",Bets[[#This Row],[Bet]])),IF(Bets[[#This Row],[Odds]]&lt;0,"MF","MD"),""))))))</f>
        <v>O</v>
      </c>
      <c r="K37" s="22"/>
      <c r="L37" s="24">
        <f t="shared" si="3"/>
        <v>0</v>
      </c>
      <c r="M37" s="1" t="str">
        <f>COUNTIFS(Bets[Date],L37,Bets[Result],"W")&amp;"-"&amp;COUNTIFS(Bets[Date],L37,Bets[Result],"L")&amp;IF(COUNTIFS(Bets[Date],L37,Bets[Result],"Push")&gt;0,"-"&amp;COUNTIFS(Bets[Date],L37,Bets[Result],"Push"),"")</f>
        <v>0-0</v>
      </c>
      <c r="N37" s="25" t="str">
        <f>IFERROR(COUNTIFS(Bets[Date],L37,Bets[Result],"W")/(COUNTIFS(Bets[Date],L37,Bets[Result],"W")+COUNTIFS(Bets[Date],L37,Bets[Result],"L")),"")</f>
        <v/>
      </c>
      <c r="O37" s="26">
        <f>SUMIF(Bets[Date],L37,Bets[Net])</f>
        <v>0</v>
      </c>
      <c r="P37" s="27" t="str">
        <f>IFERROR("("&amp;ROUND(SUMIF(Bets[Date],L37,Bets[Net])/SUMIF(Bets[Date],L37,Bets[Risk]),2)*100&amp;"%)","")</f>
        <v/>
      </c>
      <c r="Q37" s="72" t="str">
        <f t="shared" si="2"/>
        <v/>
      </c>
      <c r="R37" s="73" t="str">
        <f>IFERROR(SUMIF(Bets[Date],"&lt;="&amp;L37,Bets[Net])/SUMIF(Bets[Date],"&lt;="&amp;L37,Bets[Risk]),"")</f>
        <v/>
      </c>
    </row>
    <row r="38" spans="1:18" x14ac:dyDescent="0.25">
      <c r="A38" s="13">
        <f t="shared" si="0"/>
        <v>2</v>
      </c>
      <c r="B38" s="17">
        <v>43579</v>
      </c>
      <c r="C38" s="17" t="s">
        <v>802</v>
      </c>
      <c r="D38" s="18" t="s">
        <v>824</v>
      </c>
      <c r="E38" s="11" t="s">
        <v>845</v>
      </c>
      <c r="F38" s="19">
        <f>10</f>
        <v>10</v>
      </c>
      <c r="G38" s="37">
        <v>-110</v>
      </c>
      <c r="H38" s="21" t="s">
        <v>263</v>
      </c>
      <c r="I38" s="45">
        <f>IF(Bets[[#This Row],[Result]]="L",0-Bets[[#This Row],[Risk]],IF(Bets[[#This Row],[Result]]="Push",0,IF(Bets[[#This Row],[Result]]="No Action",0,IF(Bets[[#This Row],[Result]]="W",IF(Bets[[#This Row],[Odds]]&gt;0,Bets[[#This Row],[Odds]]/100*Bets[[#This Row],[Risk]],(Bets[[#This Row],[Risk]]/Bets[[#This Row],[Odds]]*-100)),""))))</f>
        <v>-10</v>
      </c>
      <c r="J38" s="23" t="str">
        <f>IF(ISNUMBER(SEARCH(CHAR(10),Bets[[#This Row],[Bet]])),"P",IF(ISNUMBER(FIND("Under",Bets[[#This Row],[Bet]])),"U",IF(ISNUMBER(SEARCH("Over",Bets[[#This Row],[Bet]])),"O",IF(ISNUMBER(SEARCH("+",Bets[[#This Row],[Bet]])),"D",IF(ISNUMBER(SEARCH("-",Bets[[#This Row],[Bet]])),"F",IF(ISNUMBER(SEARCH("Moneyline",Bets[[#This Row],[Bet]])),IF(Bets[[#This Row],[Odds]]&lt;0,"MF","MD"),""))))))</f>
        <v>O</v>
      </c>
      <c r="K38" s="22"/>
      <c r="L38" s="24">
        <f t="shared" si="3"/>
        <v>0</v>
      </c>
      <c r="M38" s="1" t="str">
        <f>COUNTIFS(Bets[Date],L38,Bets[Result],"W")&amp;"-"&amp;COUNTIFS(Bets[Date],L38,Bets[Result],"L")&amp;IF(COUNTIFS(Bets[Date],L38,Bets[Result],"Push")&gt;0,"-"&amp;COUNTIFS(Bets[Date],L38,Bets[Result],"Push"),"")</f>
        <v>0-0</v>
      </c>
      <c r="N38" s="25" t="str">
        <f>IFERROR(COUNTIFS(Bets[Date],L38,Bets[Result],"W")/(COUNTIFS(Bets[Date],L38,Bets[Result],"W")+COUNTIFS(Bets[Date],L38,Bets[Result],"L")),"")</f>
        <v/>
      </c>
      <c r="O38" s="26">
        <f>SUMIF(Bets[Date],L38,Bets[Net])</f>
        <v>0</v>
      </c>
      <c r="P38" s="27" t="str">
        <f>IFERROR("("&amp;ROUND(SUMIF(Bets[Date],L38,Bets[Net])/SUMIF(Bets[Date],L38,Bets[Risk]),2)*100&amp;"%)","")</f>
        <v/>
      </c>
      <c r="Q38" s="72" t="str">
        <f t="shared" si="2"/>
        <v/>
      </c>
      <c r="R38" s="73" t="str">
        <f>IFERROR(SUMIF(Bets[Date],"&lt;="&amp;L38,Bets[Net])/SUMIF(Bets[Date],"&lt;="&amp;L38,Bets[Risk]),"")</f>
        <v/>
      </c>
    </row>
    <row r="39" spans="1:18" x14ac:dyDescent="0.25">
      <c r="A39" s="13">
        <f t="shared" si="0"/>
        <v>2</v>
      </c>
      <c r="B39" s="17">
        <v>43579</v>
      </c>
      <c r="C39" s="17" t="s">
        <v>802</v>
      </c>
      <c r="D39" s="18" t="s">
        <v>829</v>
      </c>
      <c r="E39" s="11" t="s">
        <v>879</v>
      </c>
      <c r="F39" s="19">
        <f>10</f>
        <v>10</v>
      </c>
      <c r="G39" s="37">
        <v>-110</v>
      </c>
      <c r="H39" s="21" t="s">
        <v>263</v>
      </c>
      <c r="I39" s="45">
        <f>IF(Bets[[#This Row],[Result]]="L",0-Bets[[#This Row],[Risk]],IF(Bets[[#This Row],[Result]]="Push",0,IF(Bets[[#This Row],[Result]]="No Action",0,IF(Bets[[#This Row],[Result]]="W",IF(Bets[[#This Row],[Odds]]&gt;0,Bets[[#This Row],[Odds]]/100*Bets[[#This Row],[Risk]],(Bets[[#This Row],[Risk]]/Bets[[#This Row],[Odds]]*-100)),""))))</f>
        <v>-10</v>
      </c>
      <c r="J39" s="23" t="str">
        <f>IF(ISNUMBER(SEARCH(CHAR(10),Bets[[#This Row],[Bet]])),"P",IF(ISNUMBER(FIND("Under",Bets[[#This Row],[Bet]])),"U",IF(ISNUMBER(SEARCH("Over",Bets[[#This Row],[Bet]])),"O",IF(ISNUMBER(SEARCH("+",Bets[[#This Row],[Bet]])),"D",IF(ISNUMBER(SEARCH("-",Bets[[#This Row],[Bet]])),"F",IF(ISNUMBER(SEARCH("Moneyline",Bets[[#This Row],[Bet]])),IF(Bets[[#This Row],[Odds]]&lt;0,"MF","MD"),""))))))</f>
        <v>U</v>
      </c>
      <c r="K39" s="22"/>
      <c r="L39" s="24">
        <f t="shared" si="3"/>
        <v>0</v>
      </c>
      <c r="M39" s="1" t="str">
        <f>COUNTIFS(Bets[Date],L39,Bets[Result],"W")&amp;"-"&amp;COUNTIFS(Bets[Date],L39,Bets[Result],"L")&amp;IF(COUNTIFS(Bets[Date],L39,Bets[Result],"Push")&gt;0,"-"&amp;COUNTIFS(Bets[Date],L39,Bets[Result],"Push"),"")</f>
        <v>0-0</v>
      </c>
      <c r="N39" s="25" t="str">
        <f>IFERROR(COUNTIFS(Bets[Date],L39,Bets[Result],"W")/(COUNTIFS(Bets[Date],L39,Bets[Result],"W")+COUNTIFS(Bets[Date],L39,Bets[Result],"L")),"")</f>
        <v/>
      </c>
      <c r="O39" s="26">
        <f>SUMIF(Bets[Date],L39,Bets[Net])</f>
        <v>0</v>
      </c>
      <c r="P39" s="27" t="str">
        <f>IFERROR("("&amp;ROUND(SUMIF(Bets[Date],L39,Bets[Net])/SUMIF(Bets[Date],L39,Bets[Risk]),2)*100&amp;"%)","")</f>
        <v/>
      </c>
      <c r="Q39" s="72" t="str">
        <f t="shared" si="2"/>
        <v/>
      </c>
      <c r="R39" s="73" t="str">
        <f>IFERROR(SUMIF(Bets[Date],"&lt;="&amp;L39,Bets[Net])/SUMIF(Bets[Date],"&lt;="&amp;L39,Bets[Risk]),"")</f>
        <v/>
      </c>
    </row>
    <row r="40" spans="1:18" x14ac:dyDescent="0.25">
      <c r="A40" s="13">
        <f t="shared" si="0"/>
        <v>2</v>
      </c>
      <c r="B40" s="17">
        <v>43579</v>
      </c>
      <c r="C40" s="17" t="s">
        <v>802</v>
      </c>
      <c r="D40" s="18" t="s">
        <v>816</v>
      </c>
      <c r="E40" s="11" t="s">
        <v>877</v>
      </c>
      <c r="F40" s="19">
        <f>10</f>
        <v>10</v>
      </c>
      <c r="G40" s="37">
        <v>-110</v>
      </c>
      <c r="H40" s="21" t="s">
        <v>262</v>
      </c>
      <c r="I40" s="45">
        <f>IF(Bets[[#This Row],[Result]]="L",0-Bets[[#This Row],[Risk]],IF(Bets[[#This Row],[Result]]="Push",0,IF(Bets[[#This Row],[Result]]="No Action",0,IF(Bets[[#This Row],[Result]]="W",IF(Bets[[#This Row],[Odds]]&gt;0,Bets[[#This Row],[Odds]]/100*Bets[[#This Row],[Risk]],(Bets[[#This Row],[Risk]]/Bets[[#This Row],[Odds]]*-100)),""))))</f>
        <v>9.0909090909090917</v>
      </c>
      <c r="J40" s="23" t="str">
        <f>IF(ISNUMBER(SEARCH(CHAR(10),Bets[[#This Row],[Bet]])),"P",IF(ISNUMBER(FIND("Under",Bets[[#This Row],[Bet]])),"U",IF(ISNUMBER(SEARCH("Over",Bets[[#This Row],[Bet]])),"O",IF(ISNUMBER(SEARCH("+",Bets[[#This Row],[Bet]])),"D",IF(ISNUMBER(SEARCH("-",Bets[[#This Row],[Bet]])),"F",IF(ISNUMBER(SEARCH("Moneyline",Bets[[#This Row],[Bet]])),IF(Bets[[#This Row],[Odds]]&lt;0,"MF","MD"),""))))))</f>
        <v>U</v>
      </c>
      <c r="K40" s="22"/>
      <c r="L40" s="24">
        <f t="shared" si="3"/>
        <v>0</v>
      </c>
      <c r="M40" s="1" t="str">
        <f>COUNTIFS(Bets[Date],L40,Bets[Result],"W")&amp;"-"&amp;COUNTIFS(Bets[Date],L40,Bets[Result],"L")&amp;IF(COUNTIFS(Bets[Date],L40,Bets[Result],"Push")&gt;0,"-"&amp;COUNTIFS(Bets[Date],L40,Bets[Result],"Push"),"")</f>
        <v>0-0</v>
      </c>
      <c r="N40" s="25" t="str">
        <f>IFERROR(COUNTIFS(Bets[Date],L40,Bets[Result],"W")/(COUNTIFS(Bets[Date],L40,Bets[Result],"W")+COUNTIFS(Bets[Date],L40,Bets[Result],"L")),"")</f>
        <v/>
      </c>
      <c r="O40" s="26">
        <f>SUMIF(Bets[Date],L40,Bets[Net])</f>
        <v>0</v>
      </c>
      <c r="P40" s="27" t="str">
        <f>IFERROR("("&amp;ROUND(SUMIF(Bets[Date],L40,Bets[Net])/SUMIF(Bets[Date],L40,Bets[Risk]),2)*100&amp;"%)","")</f>
        <v/>
      </c>
      <c r="Q40" s="72" t="str">
        <f t="shared" si="2"/>
        <v/>
      </c>
      <c r="R40" s="73" t="str">
        <f>IFERROR(SUMIF(Bets[Date],"&lt;="&amp;L40,Bets[Net])/SUMIF(Bets[Date],"&lt;="&amp;L40,Bets[Risk]),"")</f>
        <v/>
      </c>
    </row>
    <row r="41" spans="1:18" x14ac:dyDescent="0.25">
      <c r="A41" s="13">
        <f t="shared" si="0"/>
        <v>2</v>
      </c>
      <c r="B41" s="17">
        <v>43579</v>
      </c>
      <c r="C41" s="17" t="s">
        <v>802</v>
      </c>
      <c r="D41" s="18" t="s">
        <v>814</v>
      </c>
      <c r="E41" s="11" t="s">
        <v>880</v>
      </c>
      <c r="F41" s="19">
        <f>10</f>
        <v>10</v>
      </c>
      <c r="G41" s="37">
        <v>-110</v>
      </c>
      <c r="H41" s="21" t="s">
        <v>262</v>
      </c>
      <c r="I41" s="45">
        <f>IF(Bets[[#This Row],[Result]]="L",0-Bets[[#This Row],[Risk]],IF(Bets[[#This Row],[Result]]="Push",0,IF(Bets[[#This Row],[Result]]="No Action",0,IF(Bets[[#This Row],[Result]]="W",IF(Bets[[#This Row],[Odds]]&gt;0,Bets[[#This Row],[Odds]]/100*Bets[[#This Row],[Risk]],(Bets[[#This Row],[Risk]]/Bets[[#This Row],[Odds]]*-100)),""))))</f>
        <v>9.0909090909090917</v>
      </c>
      <c r="J41" s="23" t="str">
        <f>IF(ISNUMBER(SEARCH(CHAR(10),Bets[[#This Row],[Bet]])),"P",IF(ISNUMBER(FIND("Under",Bets[[#This Row],[Bet]])),"U",IF(ISNUMBER(SEARCH("Over",Bets[[#This Row],[Bet]])),"O",IF(ISNUMBER(SEARCH("+",Bets[[#This Row],[Bet]])),"D",IF(ISNUMBER(SEARCH("-",Bets[[#This Row],[Bet]])),"F",IF(ISNUMBER(SEARCH("Moneyline",Bets[[#This Row],[Bet]])),IF(Bets[[#This Row],[Odds]]&lt;0,"MF","MD"),""))))))</f>
        <v>U</v>
      </c>
      <c r="K41" s="22"/>
      <c r="L41" s="24">
        <f t="shared" si="3"/>
        <v>0</v>
      </c>
      <c r="M41" s="1" t="str">
        <f>COUNTIFS(Bets[Date],L41,Bets[Result],"W")&amp;"-"&amp;COUNTIFS(Bets[Date],L41,Bets[Result],"L")&amp;IF(COUNTIFS(Bets[Date],L41,Bets[Result],"Push")&gt;0,"-"&amp;COUNTIFS(Bets[Date],L41,Bets[Result],"Push"),"")</f>
        <v>0-0</v>
      </c>
      <c r="N41" s="25" t="str">
        <f>IFERROR(COUNTIFS(Bets[Date],L41,Bets[Result],"W")/(COUNTIFS(Bets[Date],L41,Bets[Result],"W")+COUNTIFS(Bets[Date],L41,Bets[Result],"L")),"")</f>
        <v/>
      </c>
      <c r="O41" s="26">
        <f>SUMIF(Bets[Date],L41,Bets[Net])</f>
        <v>0</v>
      </c>
      <c r="P41" s="27" t="str">
        <f>IFERROR("("&amp;ROUND(SUMIF(Bets[Date],L41,Bets[Net])/SUMIF(Bets[Date],L41,Bets[Risk]),2)*100&amp;"%)","")</f>
        <v/>
      </c>
      <c r="Q41" s="72" t="str">
        <f t="shared" si="2"/>
        <v/>
      </c>
      <c r="R41" s="73" t="str">
        <f>IFERROR(SUMIF(Bets[Date],"&lt;="&amp;L41,Bets[Net])/SUMIF(Bets[Date],"&lt;="&amp;L41,Bets[Risk]),"")</f>
        <v/>
      </c>
    </row>
    <row r="42" spans="1:18" x14ac:dyDescent="0.25">
      <c r="A42" s="13">
        <f t="shared" si="0"/>
        <v>2</v>
      </c>
      <c r="B42" s="17">
        <v>43579</v>
      </c>
      <c r="C42" s="17" t="s">
        <v>802</v>
      </c>
      <c r="D42" s="18" t="s">
        <v>821</v>
      </c>
      <c r="E42" s="11" t="s">
        <v>881</v>
      </c>
      <c r="F42" s="19">
        <f>10</f>
        <v>10</v>
      </c>
      <c r="G42" s="37">
        <v>-110</v>
      </c>
      <c r="H42" s="21" t="s">
        <v>263</v>
      </c>
      <c r="I42" s="45">
        <f>IF(Bets[[#This Row],[Result]]="L",0-Bets[[#This Row],[Risk]],IF(Bets[[#This Row],[Result]]="Push",0,IF(Bets[[#This Row],[Result]]="No Action",0,IF(Bets[[#This Row],[Result]]="W",IF(Bets[[#This Row],[Odds]]&gt;0,Bets[[#This Row],[Odds]]/100*Bets[[#This Row],[Risk]],(Bets[[#This Row],[Risk]]/Bets[[#This Row],[Odds]]*-100)),""))))</f>
        <v>-10</v>
      </c>
      <c r="J42" s="23" t="str">
        <f>IF(ISNUMBER(SEARCH(CHAR(10),Bets[[#This Row],[Bet]])),"P",IF(ISNUMBER(FIND("Under",Bets[[#This Row],[Bet]])),"U",IF(ISNUMBER(SEARCH("Over",Bets[[#This Row],[Bet]])),"O",IF(ISNUMBER(SEARCH("+",Bets[[#This Row],[Bet]])),"D",IF(ISNUMBER(SEARCH("-",Bets[[#This Row],[Bet]])),"F",IF(ISNUMBER(SEARCH("Moneyline",Bets[[#This Row],[Bet]])),IF(Bets[[#This Row],[Odds]]&lt;0,"MF","MD"),""))))))</f>
        <v>O</v>
      </c>
      <c r="K42" s="22"/>
      <c r="L42" s="24">
        <f t="shared" si="3"/>
        <v>0</v>
      </c>
      <c r="M42" s="1" t="str">
        <f>COUNTIFS(Bets[Date],L42,Bets[Result],"W")&amp;"-"&amp;COUNTIFS(Bets[Date],L42,Bets[Result],"L")&amp;IF(COUNTIFS(Bets[Date],L42,Bets[Result],"Push")&gt;0,"-"&amp;COUNTIFS(Bets[Date],L42,Bets[Result],"Push"),"")</f>
        <v>0-0</v>
      </c>
      <c r="N42" s="25" t="str">
        <f>IFERROR(COUNTIFS(Bets[Date],L42,Bets[Result],"W")/(COUNTIFS(Bets[Date],L42,Bets[Result],"W")+COUNTIFS(Bets[Date],L42,Bets[Result],"L")),"")</f>
        <v/>
      </c>
      <c r="O42" s="26">
        <f>SUMIF(Bets[Date],L42,Bets[Net])</f>
        <v>0</v>
      </c>
      <c r="P42" s="27" t="str">
        <f>IFERROR("("&amp;ROUND(SUMIF(Bets[Date],L42,Bets[Net])/SUMIF(Bets[Date],L42,Bets[Risk]),2)*100&amp;"%)","")</f>
        <v/>
      </c>
      <c r="Q42" s="72" t="str">
        <f t="shared" si="2"/>
        <v/>
      </c>
      <c r="R42" s="73" t="str">
        <f>IFERROR(SUMIF(Bets[Date],"&lt;="&amp;L42,Bets[Net])/SUMIF(Bets[Date],"&lt;="&amp;L42,Bets[Risk]),"")</f>
        <v/>
      </c>
    </row>
    <row r="43" spans="1:18" x14ac:dyDescent="0.25">
      <c r="A43" s="13">
        <f t="shared" si="0"/>
        <v>3</v>
      </c>
      <c r="B43" s="17">
        <v>43580</v>
      </c>
      <c r="C43" s="17" t="s">
        <v>802</v>
      </c>
      <c r="D43" s="18" t="s">
        <v>831</v>
      </c>
      <c r="E43" s="11" t="s">
        <v>832</v>
      </c>
      <c r="F43" s="19">
        <f>10</f>
        <v>10</v>
      </c>
      <c r="G43" s="37" t="s">
        <v>828</v>
      </c>
      <c r="H43" s="21" t="s">
        <v>263</v>
      </c>
      <c r="I43" s="45">
        <f>IF(Bets[[#This Row],[Result]]="L",0-Bets[[#This Row],[Risk]],IF(Bets[[#This Row],[Result]]="Push",0,IF(Bets[[#This Row],[Result]]="No Action",0,IF(Bets[[#This Row],[Result]]="W",IF(Bets[[#This Row],[Odds]]&gt;0,Bets[[#This Row],[Odds]]/100*Bets[[#This Row],[Risk]],(Bets[[#This Row],[Risk]]/Bets[[#This Row],[Odds]]*-100)),""))))</f>
        <v>-10</v>
      </c>
      <c r="J43" s="23" t="str">
        <f>IF(ISNUMBER(SEARCH(CHAR(10),Bets[[#This Row],[Bet]])),"P",IF(ISNUMBER(FIND("Under",Bets[[#This Row],[Bet]])),"U",IF(ISNUMBER(SEARCH("Over",Bets[[#This Row],[Bet]])),"O",IF(ISNUMBER(SEARCH("+",Bets[[#This Row],[Bet]])),"D",IF(ISNUMBER(SEARCH("-",Bets[[#This Row],[Bet]])),"F",IF(ISNUMBER(SEARCH("Moneyline",Bets[[#This Row],[Bet]])),IF(Bets[[#This Row],[Odds]]&lt;0,"MF","MD"),""))))))</f>
        <v>MD</v>
      </c>
      <c r="K43" s="22"/>
      <c r="L43" s="24">
        <f t="shared" si="3"/>
        <v>0</v>
      </c>
      <c r="M43" s="1" t="str">
        <f>COUNTIFS(Bets[Date],L43,Bets[Result],"W")&amp;"-"&amp;COUNTIFS(Bets[Date],L43,Bets[Result],"L")&amp;IF(COUNTIFS(Bets[Date],L43,Bets[Result],"Push")&gt;0,"-"&amp;COUNTIFS(Bets[Date],L43,Bets[Result],"Push"),"")</f>
        <v>0-0</v>
      </c>
      <c r="N43" s="25" t="str">
        <f>IFERROR(COUNTIFS(Bets[Date],L43,Bets[Result],"W")/(COUNTIFS(Bets[Date],L43,Bets[Result],"W")+COUNTIFS(Bets[Date],L43,Bets[Result],"L")),"")</f>
        <v/>
      </c>
      <c r="O43" s="26">
        <f>SUMIF(Bets[Date],L43,Bets[Net])</f>
        <v>0</v>
      </c>
      <c r="P43" s="27" t="str">
        <f>IFERROR("("&amp;ROUND(SUMIF(Bets[Date],L43,Bets[Net])/SUMIF(Bets[Date],L43,Bets[Risk]),2)*100&amp;"%)","")</f>
        <v/>
      </c>
      <c r="Q43" s="72" t="str">
        <f t="shared" si="2"/>
        <v/>
      </c>
      <c r="R43" s="73" t="str">
        <f>IFERROR(SUMIF(Bets[Date],"&lt;="&amp;L43,Bets[Net])/SUMIF(Bets[Date],"&lt;="&amp;L43,Bets[Risk]),"")</f>
        <v/>
      </c>
    </row>
    <row r="44" spans="1:18" x14ac:dyDescent="0.25">
      <c r="A44" s="13">
        <f t="shared" si="0"/>
        <v>3</v>
      </c>
      <c r="B44" s="17">
        <v>43580</v>
      </c>
      <c r="C44" s="17" t="s">
        <v>802</v>
      </c>
      <c r="D44" s="18" t="s">
        <v>826</v>
      </c>
      <c r="E44" s="11" t="s">
        <v>827</v>
      </c>
      <c r="F44" s="19">
        <f>10</f>
        <v>10</v>
      </c>
      <c r="G44" s="37" t="s">
        <v>886</v>
      </c>
      <c r="H44" s="21" t="s">
        <v>262</v>
      </c>
      <c r="I44" s="45">
        <f>IF(Bets[[#This Row],[Result]]="L",0-Bets[[#This Row],[Risk]],IF(Bets[[#This Row],[Result]]="Push",0,IF(Bets[[#This Row],[Result]]="No Action",0,IF(Bets[[#This Row],[Result]]="W",IF(Bets[[#This Row],[Odds]]&gt;0,Bets[[#This Row],[Odds]]/100*Bets[[#This Row],[Risk]],(Bets[[#This Row],[Risk]]/Bets[[#This Row],[Odds]]*-100)),""))))</f>
        <v>11</v>
      </c>
      <c r="J44" s="23" t="str">
        <f>IF(ISNUMBER(SEARCH(CHAR(10),Bets[[#This Row],[Bet]])),"P",IF(ISNUMBER(FIND("Under",Bets[[#This Row],[Bet]])),"U",IF(ISNUMBER(SEARCH("Over",Bets[[#This Row],[Bet]])),"O",IF(ISNUMBER(SEARCH("+",Bets[[#This Row],[Bet]])),"D",IF(ISNUMBER(SEARCH("-",Bets[[#This Row],[Bet]])),"F",IF(ISNUMBER(SEARCH("Moneyline",Bets[[#This Row],[Bet]])),IF(Bets[[#This Row],[Odds]]&lt;0,"MF","MD"),""))))))</f>
        <v>MD</v>
      </c>
      <c r="K44" s="22"/>
      <c r="L44" s="24">
        <f t="shared" si="3"/>
        <v>0</v>
      </c>
      <c r="M44" s="1" t="str">
        <f>COUNTIFS(Bets[Date],L44,Bets[Result],"W")&amp;"-"&amp;COUNTIFS(Bets[Date],L44,Bets[Result],"L")&amp;IF(COUNTIFS(Bets[Date],L44,Bets[Result],"Push")&gt;0,"-"&amp;COUNTIFS(Bets[Date],L44,Bets[Result],"Push"),"")</f>
        <v>0-0</v>
      </c>
      <c r="N44" s="25" t="str">
        <f>IFERROR(COUNTIFS(Bets[Date],L44,Bets[Result],"W")/(COUNTIFS(Bets[Date],L44,Bets[Result],"W")+COUNTIFS(Bets[Date],L44,Bets[Result],"L")),"")</f>
        <v/>
      </c>
      <c r="O44" s="26">
        <f>SUMIF(Bets[Date],L44,Bets[Net])</f>
        <v>0</v>
      </c>
      <c r="P44" s="27" t="str">
        <f>IFERROR("("&amp;ROUND(SUMIF(Bets[Date],L44,Bets[Net])/SUMIF(Bets[Date],L44,Bets[Risk]),2)*100&amp;"%)","")</f>
        <v/>
      </c>
      <c r="Q44" s="72" t="str">
        <f t="shared" si="2"/>
        <v/>
      </c>
      <c r="R44" s="73" t="str">
        <f>IFERROR(SUMIF(Bets[Date],"&lt;="&amp;L44,Bets[Net])/SUMIF(Bets[Date],"&lt;="&amp;L44,Bets[Risk]),"")</f>
        <v/>
      </c>
    </row>
    <row r="45" spans="1:18" x14ac:dyDescent="0.25">
      <c r="A45" s="13">
        <f t="shared" si="0"/>
        <v>3</v>
      </c>
      <c r="B45" s="17">
        <v>43580</v>
      </c>
      <c r="C45" s="17" t="s">
        <v>802</v>
      </c>
      <c r="D45" s="18" t="s">
        <v>887</v>
      </c>
      <c r="E45" s="11" t="s">
        <v>888</v>
      </c>
      <c r="F45" s="19">
        <f>10</f>
        <v>10</v>
      </c>
      <c r="G45" s="37" t="s">
        <v>889</v>
      </c>
      <c r="H45" s="21" t="s">
        <v>262</v>
      </c>
      <c r="I45" s="45">
        <f>IF(Bets[[#This Row],[Result]]="L",0-Bets[[#This Row],[Risk]],IF(Bets[[#This Row],[Result]]="Push",0,IF(Bets[[#This Row],[Result]]="No Action",0,IF(Bets[[#This Row],[Result]]="W",IF(Bets[[#This Row],[Odds]]&gt;0,Bets[[#This Row],[Odds]]/100*Bets[[#This Row],[Risk]],(Bets[[#This Row],[Risk]]/Bets[[#This Row],[Odds]]*-100)),""))))</f>
        <v>20</v>
      </c>
      <c r="J45" s="23" t="str">
        <f>IF(ISNUMBER(SEARCH(CHAR(10),Bets[[#This Row],[Bet]])),"P",IF(ISNUMBER(FIND("Under",Bets[[#This Row],[Bet]])),"U",IF(ISNUMBER(SEARCH("Over",Bets[[#This Row],[Bet]])),"O",IF(ISNUMBER(SEARCH("+",Bets[[#This Row],[Bet]])),"D",IF(ISNUMBER(SEARCH("-",Bets[[#This Row],[Bet]])),"F",IF(ISNUMBER(SEARCH("Moneyline",Bets[[#This Row],[Bet]])),IF(Bets[[#This Row],[Odds]]&lt;0,"MF","MD"),""))))))</f>
        <v>MD</v>
      </c>
      <c r="K45" s="22"/>
      <c r="L45" s="24">
        <f t="shared" si="3"/>
        <v>0</v>
      </c>
      <c r="M45" s="1" t="str">
        <f>COUNTIFS(Bets[Date],L45,Bets[Result],"W")&amp;"-"&amp;COUNTIFS(Bets[Date],L45,Bets[Result],"L")&amp;IF(COUNTIFS(Bets[Date],L45,Bets[Result],"Push")&gt;0,"-"&amp;COUNTIFS(Bets[Date],L45,Bets[Result],"Push"),"")</f>
        <v>0-0</v>
      </c>
      <c r="N45" s="25" t="str">
        <f>IFERROR(COUNTIFS(Bets[Date],L45,Bets[Result],"W")/(COUNTIFS(Bets[Date],L45,Bets[Result],"W")+COUNTIFS(Bets[Date],L45,Bets[Result],"L")),"")</f>
        <v/>
      </c>
      <c r="O45" s="26">
        <f>SUMIF(Bets[Date],L45,Bets[Net])</f>
        <v>0</v>
      </c>
      <c r="P45" s="27" t="str">
        <f>IFERROR("("&amp;ROUND(SUMIF(Bets[Date],L45,Bets[Net])/SUMIF(Bets[Date],L45,Bets[Risk]),2)*100&amp;"%)","")</f>
        <v/>
      </c>
      <c r="Q45" s="72" t="str">
        <f t="shared" si="2"/>
        <v/>
      </c>
      <c r="R45" s="73" t="str">
        <f>IFERROR(SUMIF(Bets[Date],"&lt;="&amp;L45,Bets[Net])/SUMIF(Bets[Date],"&lt;="&amp;L45,Bets[Risk]),"")</f>
        <v/>
      </c>
    </row>
    <row r="46" spans="1:18" x14ac:dyDescent="0.25">
      <c r="A46" s="13">
        <f t="shared" si="0"/>
        <v>3</v>
      </c>
      <c r="B46" s="17">
        <v>43580</v>
      </c>
      <c r="C46" s="17" t="s">
        <v>802</v>
      </c>
      <c r="D46" s="18" t="s">
        <v>811</v>
      </c>
      <c r="E46" s="11" t="s">
        <v>812</v>
      </c>
      <c r="F46" s="19">
        <f>10</f>
        <v>10</v>
      </c>
      <c r="G46" s="37" t="s">
        <v>890</v>
      </c>
      <c r="H46" s="21" t="s">
        <v>263</v>
      </c>
      <c r="I46" s="45">
        <f>IF(Bets[[#This Row],[Result]]="L",0-Bets[[#This Row],[Risk]],IF(Bets[[#This Row],[Result]]="Push",0,IF(Bets[[#This Row],[Result]]="No Action",0,IF(Bets[[#This Row],[Result]]="W",IF(Bets[[#This Row],[Odds]]&gt;0,Bets[[#This Row],[Odds]]/100*Bets[[#This Row],[Risk]],(Bets[[#This Row],[Risk]]/Bets[[#This Row],[Odds]]*-100)),""))))</f>
        <v>-10</v>
      </c>
      <c r="J46" s="23" t="str">
        <f>IF(ISNUMBER(SEARCH(CHAR(10),Bets[[#This Row],[Bet]])),"P",IF(ISNUMBER(FIND("Under",Bets[[#This Row],[Bet]])),"U",IF(ISNUMBER(SEARCH("Over",Bets[[#This Row],[Bet]])),"O",IF(ISNUMBER(SEARCH("+",Bets[[#This Row],[Bet]])),"D",IF(ISNUMBER(SEARCH("-",Bets[[#This Row],[Bet]])),"F",IF(ISNUMBER(SEARCH("Moneyline",Bets[[#This Row],[Bet]])),IF(Bets[[#This Row],[Odds]]&lt;0,"MF","MD"),""))))))</f>
        <v>MD</v>
      </c>
      <c r="K46" s="22"/>
      <c r="L46" s="24">
        <f t="shared" si="3"/>
        <v>0</v>
      </c>
      <c r="M46" s="1" t="str">
        <f>COUNTIFS(Bets[Date],L46,Bets[Result],"W")&amp;"-"&amp;COUNTIFS(Bets[Date],L46,Bets[Result],"L")&amp;IF(COUNTIFS(Bets[Date],L46,Bets[Result],"Push")&gt;0,"-"&amp;COUNTIFS(Bets[Date],L46,Bets[Result],"Push"),"")</f>
        <v>0-0</v>
      </c>
      <c r="N46" s="25" t="str">
        <f>IFERROR(COUNTIFS(Bets[Date],L46,Bets[Result],"W")/(COUNTIFS(Bets[Date],L46,Bets[Result],"W")+COUNTIFS(Bets[Date],L46,Bets[Result],"L")),"")</f>
        <v/>
      </c>
      <c r="O46" s="26">
        <f>SUMIF(Bets[Date],L46,Bets[Net])</f>
        <v>0</v>
      </c>
      <c r="P46" s="27" t="str">
        <f>IFERROR("("&amp;ROUND(SUMIF(Bets[Date],L46,Bets[Net])/SUMIF(Bets[Date],L46,Bets[Risk]),2)*100&amp;"%)","")</f>
        <v/>
      </c>
      <c r="Q46" s="72" t="str">
        <f t="shared" si="2"/>
        <v/>
      </c>
      <c r="R46" s="73" t="str">
        <f>IFERROR(SUMIF(Bets[Date],"&lt;="&amp;L46,Bets[Net])/SUMIF(Bets[Date],"&lt;="&amp;L46,Bets[Risk]),"")</f>
        <v/>
      </c>
    </row>
    <row r="47" spans="1:18" x14ac:dyDescent="0.25">
      <c r="A47" s="13">
        <f t="shared" si="0"/>
        <v>3</v>
      </c>
      <c r="B47" s="17">
        <v>43580</v>
      </c>
      <c r="C47" s="17" t="s">
        <v>802</v>
      </c>
      <c r="D47" s="18" t="s">
        <v>891</v>
      </c>
      <c r="E47" s="11" t="s">
        <v>845</v>
      </c>
      <c r="F47" s="19">
        <f>10</f>
        <v>10</v>
      </c>
      <c r="G47" s="37">
        <v>-110</v>
      </c>
      <c r="H47" s="21" t="s">
        <v>262</v>
      </c>
      <c r="I47" s="45">
        <f>IF(Bets[[#This Row],[Result]]="L",0-Bets[[#This Row],[Risk]],IF(Bets[[#This Row],[Result]]="Push",0,IF(Bets[[#This Row],[Result]]="No Action",0,IF(Bets[[#This Row],[Result]]="W",IF(Bets[[#This Row],[Odds]]&gt;0,Bets[[#This Row],[Odds]]/100*Bets[[#This Row],[Risk]],(Bets[[#This Row],[Risk]]/Bets[[#This Row],[Odds]]*-100)),""))))</f>
        <v>9.0909090909090917</v>
      </c>
      <c r="J47" s="23" t="str">
        <f>IF(ISNUMBER(SEARCH(CHAR(10),Bets[[#This Row],[Bet]])),"P",IF(ISNUMBER(FIND("Under",Bets[[#This Row],[Bet]])),"U",IF(ISNUMBER(SEARCH("Over",Bets[[#This Row],[Bet]])),"O",IF(ISNUMBER(SEARCH("+",Bets[[#This Row],[Bet]])),"D",IF(ISNUMBER(SEARCH("-",Bets[[#This Row],[Bet]])),"F",IF(ISNUMBER(SEARCH("Moneyline",Bets[[#This Row],[Bet]])),IF(Bets[[#This Row],[Odds]]&lt;0,"MF","MD"),""))))))</f>
        <v>O</v>
      </c>
      <c r="K47" s="22"/>
      <c r="L47" s="24">
        <f t="shared" si="3"/>
        <v>0</v>
      </c>
      <c r="M47" s="1" t="str">
        <f>COUNTIFS(Bets[Date],L47,Bets[Result],"W")&amp;"-"&amp;COUNTIFS(Bets[Date],L47,Bets[Result],"L")&amp;IF(COUNTIFS(Bets[Date],L47,Bets[Result],"Push")&gt;0,"-"&amp;COUNTIFS(Bets[Date],L47,Bets[Result],"Push"),"")</f>
        <v>0-0</v>
      </c>
      <c r="N47" s="25" t="str">
        <f>IFERROR(COUNTIFS(Bets[Date],L47,Bets[Result],"W")/(COUNTIFS(Bets[Date],L47,Bets[Result],"W")+COUNTIFS(Bets[Date],L47,Bets[Result],"L")),"")</f>
        <v/>
      </c>
      <c r="O47" s="26">
        <f>SUMIF(Bets[Date],L47,Bets[Net])</f>
        <v>0</v>
      </c>
      <c r="P47" s="27" t="str">
        <f>IFERROR("("&amp;ROUND(SUMIF(Bets[Date],L47,Bets[Net])/SUMIF(Bets[Date],L47,Bets[Risk]),2)*100&amp;"%)","")</f>
        <v/>
      </c>
      <c r="Q47" s="72" t="str">
        <f t="shared" si="2"/>
        <v/>
      </c>
      <c r="R47" s="73" t="str">
        <f>IFERROR(SUMIF(Bets[Date],"&lt;="&amp;L47,Bets[Net])/SUMIF(Bets[Date],"&lt;="&amp;L47,Bets[Risk]),"")</f>
        <v/>
      </c>
    </row>
    <row r="48" spans="1:18" x14ac:dyDescent="0.25">
      <c r="A48" s="13">
        <f t="shared" si="0"/>
        <v>4</v>
      </c>
      <c r="B48" s="17">
        <v>43581</v>
      </c>
      <c r="C48" s="17" t="s">
        <v>802</v>
      </c>
      <c r="D48" s="18" t="s">
        <v>887</v>
      </c>
      <c r="E48" s="11" t="s">
        <v>822</v>
      </c>
      <c r="F48" s="19">
        <f>10</f>
        <v>10</v>
      </c>
      <c r="G48" s="37">
        <v>-172</v>
      </c>
      <c r="H48" s="21" t="s">
        <v>262</v>
      </c>
      <c r="I48" s="45">
        <f>IF(Bets[[#This Row],[Result]]="L",0-Bets[[#This Row],[Risk]],IF(Bets[[#This Row],[Result]]="Push",0,IF(Bets[[#This Row],[Result]]="No Action",0,IF(Bets[[#This Row],[Result]]="W",IF(Bets[[#This Row],[Odds]]&gt;0,Bets[[#This Row],[Odds]]/100*Bets[[#This Row],[Risk]],(Bets[[#This Row],[Risk]]/Bets[[#This Row],[Odds]]*-100)),""))))</f>
        <v>5.8139534883720927</v>
      </c>
      <c r="J48" s="23" t="str">
        <f>IF(ISNUMBER(SEARCH(CHAR(10),Bets[[#This Row],[Bet]])),"P",IF(ISNUMBER(FIND("Under",Bets[[#This Row],[Bet]])),"U",IF(ISNUMBER(SEARCH("Over",Bets[[#This Row],[Bet]])),"O",IF(ISNUMBER(SEARCH("+",Bets[[#This Row],[Bet]])),"D",IF(ISNUMBER(SEARCH("-",Bets[[#This Row],[Bet]])),"F",IF(ISNUMBER(SEARCH("Moneyline",Bets[[#This Row],[Bet]])),IF(Bets[[#This Row],[Odds]]&lt;0,"MF","MD"),""))))))</f>
        <v>MF</v>
      </c>
      <c r="K48" s="22"/>
      <c r="L48" s="24">
        <f t="shared" si="3"/>
        <v>0</v>
      </c>
      <c r="M48" s="1" t="str">
        <f>COUNTIFS(Bets[Date],L48,Bets[Result],"W")&amp;"-"&amp;COUNTIFS(Bets[Date],L48,Bets[Result],"L")&amp;IF(COUNTIFS(Bets[Date],L48,Bets[Result],"Push")&gt;0,"-"&amp;COUNTIFS(Bets[Date],L48,Bets[Result],"Push"),"")</f>
        <v>0-0</v>
      </c>
      <c r="N48" s="25" t="str">
        <f>IFERROR(COUNTIFS(Bets[Date],L48,Bets[Result],"W")/(COUNTIFS(Bets[Date],L48,Bets[Result],"W")+COUNTIFS(Bets[Date],L48,Bets[Result],"L")),"")</f>
        <v/>
      </c>
      <c r="O48" s="26">
        <f>SUMIF(Bets[Date],L48,Bets[Net])</f>
        <v>0</v>
      </c>
      <c r="P48" s="27" t="str">
        <f>IFERROR("("&amp;ROUND(SUMIF(Bets[Date],L48,Bets[Net])/SUMIF(Bets[Date],L48,Bets[Risk]),2)*100&amp;"%)","")</f>
        <v/>
      </c>
      <c r="Q48" s="72" t="str">
        <f t="shared" si="2"/>
        <v/>
      </c>
      <c r="R48" s="73" t="str">
        <f>IFERROR(SUMIF(Bets[Date],"&lt;="&amp;L48,Bets[Net])/SUMIF(Bets[Date],"&lt;="&amp;L48,Bets[Risk]),"")</f>
        <v/>
      </c>
    </row>
    <row r="49" spans="1:18" x14ac:dyDescent="0.25">
      <c r="A49" s="13">
        <f t="shared" si="0"/>
        <v>4</v>
      </c>
      <c r="B49" s="17">
        <v>43581</v>
      </c>
      <c r="C49" s="17" t="s">
        <v>802</v>
      </c>
      <c r="D49" s="18" t="s">
        <v>895</v>
      </c>
      <c r="E49" s="11" t="s">
        <v>815</v>
      </c>
      <c r="F49" s="19">
        <f>10</f>
        <v>10</v>
      </c>
      <c r="G49" s="37">
        <v>-172</v>
      </c>
      <c r="H49" s="21" t="s">
        <v>263</v>
      </c>
      <c r="I49" s="45">
        <f>IF(Bets[[#This Row],[Result]]="L",0-Bets[[#This Row],[Risk]],IF(Bets[[#This Row],[Result]]="Push",0,IF(Bets[[#This Row],[Result]]="No Action",0,IF(Bets[[#This Row],[Result]]="W",IF(Bets[[#This Row],[Odds]]&gt;0,Bets[[#This Row],[Odds]]/100*Bets[[#This Row],[Risk]],(Bets[[#This Row],[Risk]]/Bets[[#This Row],[Odds]]*-100)),""))))</f>
        <v>-10</v>
      </c>
      <c r="J49" s="23" t="str">
        <f>IF(ISNUMBER(SEARCH(CHAR(10),Bets[[#This Row],[Bet]])),"P",IF(ISNUMBER(FIND("Under",Bets[[#This Row],[Bet]])),"U",IF(ISNUMBER(SEARCH("Over",Bets[[#This Row],[Bet]])),"O",IF(ISNUMBER(SEARCH("+",Bets[[#This Row],[Bet]])),"D",IF(ISNUMBER(SEARCH("-",Bets[[#This Row],[Bet]])),"F",IF(ISNUMBER(SEARCH("Moneyline",Bets[[#This Row],[Bet]])),IF(Bets[[#This Row],[Odds]]&lt;0,"MF","MD"),""))))))</f>
        <v>MF</v>
      </c>
      <c r="K49" s="22"/>
      <c r="L49" s="24">
        <f t="shared" si="3"/>
        <v>0</v>
      </c>
      <c r="M49" s="1" t="str">
        <f>COUNTIFS(Bets[Date],L49,Bets[Result],"W")&amp;"-"&amp;COUNTIFS(Bets[Date],L49,Bets[Result],"L")&amp;IF(COUNTIFS(Bets[Date],L49,Bets[Result],"Push")&gt;0,"-"&amp;COUNTIFS(Bets[Date],L49,Bets[Result],"Push"),"")</f>
        <v>0-0</v>
      </c>
      <c r="N49" s="25" t="str">
        <f>IFERROR(COUNTIFS(Bets[Date],L49,Bets[Result],"W")/(COUNTIFS(Bets[Date],L49,Bets[Result],"W")+COUNTIFS(Bets[Date],L49,Bets[Result],"L")),"")</f>
        <v/>
      </c>
      <c r="O49" s="26">
        <f>SUMIF(Bets[Date],L49,Bets[Net])</f>
        <v>0</v>
      </c>
      <c r="P49" s="27" t="str">
        <f>IFERROR("("&amp;ROUND(SUMIF(Bets[Date],L49,Bets[Net])/SUMIF(Bets[Date],L49,Bets[Risk]),2)*100&amp;"%)","")</f>
        <v/>
      </c>
      <c r="Q49" s="72" t="str">
        <f t="shared" si="2"/>
        <v/>
      </c>
      <c r="R49" s="73" t="str">
        <f>IFERROR(SUMIF(Bets[Date],"&lt;="&amp;L49,Bets[Net])/SUMIF(Bets[Date],"&lt;="&amp;L49,Bets[Risk]),"")</f>
        <v/>
      </c>
    </row>
    <row r="50" spans="1:18" x14ac:dyDescent="0.25">
      <c r="A50" s="13">
        <f t="shared" si="0"/>
        <v>4</v>
      </c>
      <c r="B50" s="17">
        <v>43581</v>
      </c>
      <c r="C50" s="17" t="s">
        <v>802</v>
      </c>
      <c r="D50" s="18" t="s">
        <v>896</v>
      </c>
      <c r="E50" s="11" t="s">
        <v>897</v>
      </c>
      <c r="F50" s="19">
        <f>10</f>
        <v>10</v>
      </c>
      <c r="G50" s="37">
        <v>-124</v>
      </c>
      <c r="H50" s="21" t="s">
        <v>263</v>
      </c>
      <c r="I50" s="45">
        <f>IF(Bets[[#This Row],[Result]]="L",0-Bets[[#This Row],[Risk]],IF(Bets[[#This Row],[Result]]="Push",0,IF(Bets[[#This Row],[Result]]="No Action",0,IF(Bets[[#This Row],[Result]]="W",IF(Bets[[#This Row],[Odds]]&gt;0,Bets[[#This Row],[Odds]]/100*Bets[[#This Row],[Risk]],(Bets[[#This Row],[Risk]]/Bets[[#This Row],[Odds]]*-100)),""))))</f>
        <v>-10</v>
      </c>
      <c r="J50" s="23" t="str">
        <f>IF(ISNUMBER(SEARCH(CHAR(10),Bets[[#This Row],[Bet]])),"P",IF(ISNUMBER(FIND("Under",Bets[[#This Row],[Bet]])),"U",IF(ISNUMBER(SEARCH("Over",Bets[[#This Row],[Bet]])),"O",IF(ISNUMBER(SEARCH("+",Bets[[#This Row],[Bet]])),"D",IF(ISNUMBER(SEARCH("-",Bets[[#This Row],[Bet]])),"F",IF(ISNUMBER(SEARCH("Moneyline",Bets[[#This Row],[Bet]])),IF(Bets[[#This Row],[Odds]]&lt;0,"MF","MD"),""))))))</f>
        <v>MF</v>
      </c>
      <c r="K50" s="22"/>
      <c r="L50" s="24">
        <f t="shared" si="3"/>
        <v>0</v>
      </c>
      <c r="M50" s="1" t="str">
        <f>COUNTIFS(Bets[Date],L50,Bets[Result],"W")&amp;"-"&amp;COUNTIFS(Bets[Date],L50,Bets[Result],"L")&amp;IF(COUNTIFS(Bets[Date],L50,Bets[Result],"Push")&gt;0,"-"&amp;COUNTIFS(Bets[Date],L50,Bets[Result],"Push"),"")</f>
        <v>0-0</v>
      </c>
      <c r="N50" s="25" t="str">
        <f>IFERROR(COUNTIFS(Bets[Date],L50,Bets[Result],"W")/(COUNTIFS(Bets[Date],L50,Bets[Result],"W")+COUNTIFS(Bets[Date],L50,Bets[Result],"L")),"")</f>
        <v/>
      </c>
      <c r="O50" s="26">
        <f>SUMIF(Bets[Date],L50,Bets[Net])</f>
        <v>0</v>
      </c>
      <c r="P50" s="27" t="str">
        <f>IFERROR("("&amp;ROUND(SUMIF(Bets[Date],L50,Bets[Net])/SUMIF(Bets[Date],L50,Bets[Risk]),2)*100&amp;"%)","")</f>
        <v/>
      </c>
      <c r="Q50" s="72" t="str">
        <f t="shared" si="2"/>
        <v/>
      </c>
      <c r="R50" s="73" t="str">
        <f>IFERROR(SUMIF(Bets[Date],"&lt;="&amp;L50,Bets[Net])/SUMIF(Bets[Date],"&lt;="&amp;L50,Bets[Risk]),"")</f>
        <v/>
      </c>
    </row>
    <row r="51" spans="1:18" x14ac:dyDescent="0.25">
      <c r="A51" s="13">
        <f t="shared" si="0"/>
        <v>4</v>
      </c>
      <c r="B51" s="17">
        <v>43581</v>
      </c>
      <c r="C51" s="17" t="s">
        <v>802</v>
      </c>
      <c r="D51" s="18" t="s">
        <v>898</v>
      </c>
      <c r="E51" s="11" t="s">
        <v>899</v>
      </c>
      <c r="F51" s="19">
        <f>10</f>
        <v>10</v>
      </c>
      <c r="G51" s="37">
        <v>-152</v>
      </c>
      <c r="H51" s="21" t="s">
        <v>263</v>
      </c>
      <c r="I51" s="45">
        <f>IF(Bets[[#This Row],[Result]]="L",0-Bets[[#This Row],[Risk]],IF(Bets[[#This Row],[Result]]="Push",0,IF(Bets[[#This Row],[Result]]="No Action",0,IF(Bets[[#This Row],[Result]]="W",IF(Bets[[#This Row],[Odds]]&gt;0,Bets[[#This Row],[Odds]]/100*Bets[[#This Row],[Risk]],(Bets[[#This Row],[Risk]]/Bets[[#This Row],[Odds]]*-100)),""))))</f>
        <v>-10</v>
      </c>
      <c r="J51" s="23" t="str">
        <f>IF(ISNUMBER(SEARCH(CHAR(10),Bets[[#This Row],[Bet]])),"P",IF(ISNUMBER(FIND("Under",Bets[[#This Row],[Bet]])),"U",IF(ISNUMBER(SEARCH("Over",Bets[[#This Row],[Bet]])),"O",IF(ISNUMBER(SEARCH("+",Bets[[#This Row],[Bet]])),"D",IF(ISNUMBER(SEARCH("-",Bets[[#This Row],[Bet]])),"F",IF(ISNUMBER(SEARCH("Moneyline",Bets[[#This Row],[Bet]])),IF(Bets[[#This Row],[Odds]]&lt;0,"MF","MD"),""))))))</f>
        <v>MF</v>
      </c>
      <c r="K51" s="22"/>
      <c r="L51" s="24">
        <f t="shared" si="3"/>
        <v>0</v>
      </c>
      <c r="M51" s="1" t="str">
        <f>COUNTIFS(Bets[Date],L51,Bets[Result],"W")&amp;"-"&amp;COUNTIFS(Bets[Date],L51,Bets[Result],"L")&amp;IF(COUNTIFS(Bets[Date],L51,Bets[Result],"Push")&gt;0,"-"&amp;COUNTIFS(Bets[Date],L51,Bets[Result],"Push"),"")</f>
        <v>0-0</v>
      </c>
      <c r="N51" s="25" t="str">
        <f>IFERROR(COUNTIFS(Bets[Date],L51,Bets[Result],"W")/(COUNTIFS(Bets[Date],L51,Bets[Result],"W")+COUNTIFS(Bets[Date],L51,Bets[Result],"L")),"")</f>
        <v/>
      </c>
      <c r="O51" s="26">
        <f>SUMIF(Bets[Date],L51,Bets[Net])</f>
        <v>0</v>
      </c>
      <c r="P51" s="27" t="str">
        <f>IFERROR("("&amp;ROUND(SUMIF(Bets[Date],L51,Bets[Net])/SUMIF(Bets[Date],L51,Bets[Risk]),2)*100&amp;"%)","")</f>
        <v/>
      </c>
      <c r="Q51" s="72" t="str">
        <f t="shared" si="2"/>
        <v/>
      </c>
      <c r="R51" s="73" t="str">
        <f>IFERROR(SUMIF(Bets[Date],"&lt;="&amp;L51,Bets[Net])/SUMIF(Bets[Date],"&lt;="&amp;L51,Bets[Risk]),"")</f>
        <v/>
      </c>
    </row>
    <row r="52" spans="1:18" x14ac:dyDescent="0.25">
      <c r="A52" s="13">
        <f t="shared" si="0"/>
        <v>4</v>
      </c>
      <c r="B52" s="17">
        <v>43581</v>
      </c>
      <c r="C52" s="17" t="s">
        <v>802</v>
      </c>
      <c r="D52" s="18" t="s">
        <v>891</v>
      </c>
      <c r="E52" s="11" t="s">
        <v>836</v>
      </c>
      <c r="F52" s="19">
        <f>10</f>
        <v>10</v>
      </c>
      <c r="G52" s="37">
        <v>-157</v>
      </c>
      <c r="H52" s="21" t="s">
        <v>262</v>
      </c>
      <c r="I52" s="45">
        <f>IF(Bets[[#This Row],[Result]]="L",0-Bets[[#This Row],[Risk]],IF(Bets[[#This Row],[Result]]="Push",0,IF(Bets[[#This Row],[Result]]="No Action",0,IF(Bets[[#This Row],[Result]]="W",IF(Bets[[#This Row],[Odds]]&gt;0,Bets[[#This Row],[Odds]]/100*Bets[[#This Row],[Risk]],(Bets[[#This Row],[Risk]]/Bets[[#This Row],[Odds]]*-100)),""))))</f>
        <v>6.369426751592357</v>
      </c>
      <c r="J52" s="23" t="str">
        <f>IF(ISNUMBER(SEARCH(CHAR(10),Bets[[#This Row],[Bet]])),"P",IF(ISNUMBER(FIND("Under",Bets[[#This Row],[Bet]])),"U",IF(ISNUMBER(SEARCH("Over",Bets[[#This Row],[Bet]])),"O",IF(ISNUMBER(SEARCH("+",Bets[[#This Row],[Bet]])),"D",IF(ISNUMBER(SEARCH("-",Bets[[#This Row],[Bet]])),"F",IF(ISNUMBER(SEARCH("Moneyline",Bets[[#This Row],[Bet]])),IF(Bets[[#This Row],[Odds]]&lt;0,"MF","MD"),""))))))</f>
        <v>MF</v>
      </c>
      <c r="K52" s="22"/>
      <c r="L52" s="24">
        <f t="shared" si="3"/>
        <v>0</v>
      </c>
      <c r="M52" s="1" t="str">
        <f>COUNTIFS(Bets[Date],L52,Bets[Result],"W")&amp;"-"&amp;COUNTIFS(Bets[Date],L52,Bets[Result],"L")&amp;IF(COUNTIFS(Bets[Date],L52,Bets[Result],"Push")&gt;0,"-"&amp;COUNTIFS(Bets[Date],L52,Bets[Result],"Push"),"")</f>
        <v>0-0</v>
      </c>
      <c r="N52" s="25" t="str">
        <f>IFERROR(COUNTIFS(Bets[Date],L52,Bets[Result],"W")/(COUNTIFS(Bets[Date],L52,Bets[Result],"W")+COUNTIFS(Bets[Date],L52,Bets[Result],"L")),"")</f>
        <v/>
      </c>
      <c r="O52" s="26">
        <f>SUMIF(Bets[Date],L52,Bets[Net])</f>
        <v>0</v>
      </c>
      <c r="P52" s="27" t="str">
        <f>IFERROR("("&amp;ROUND(SUMIF(Bets[Date],L52,Bets[Net])/SUMIF(Bets[Date],L52,Bets[Risk]),2)*100&amp;"%)","")</f>
        <v/>
      </c>
      <c r="Q52" s="72" t="str">
        <f t="shared" si="2"/>
        <v/>
      </c>
      <c r="R52" s="73" t="str">
        <f>IFERROR(SUMIF(Bets[Date],"&lt;="&amp;L52,Bets[Net])/SUMIF(Bets[Date],"&lt;="&amp;L52,Bets[Risk]),"")</f>
        <v/>
      </c>
    </row>
    <row r="53" spans="1:18" x14ac:dyDescent="0.25">
      <c r="A53" s="13">
        <f t="shared" si="0"/>
        <v>4</v>
      </c>
      <c r="B53" s="17">
        <v>43581</v>
      </c>
      <c r="C53" s="17" t="s">
        <v>802</v>
      </c>
      <c r="D53" s="18" t="s">
        <v>900</v>
      </c>
      <c r="E53" s="11" t="s">
        <v>832</v>
      </c>
      <c r="F53" s="19">
        <f>10</f>
        <v>10</v>
      </c>
      <c r="G53" s="37">
        <v>-130</v>
      </c>
      <c r="H53" s="21" t="s">
        <v>262</v>
      </c>
      <c r="I53" s="45">
        <f>IF(Bets[[#This Row],[Result]]="L",0-Bets[[#This Row],[Risk]],IF(Bets[[#This Row],[Result]]="Push",0,IF(Bets[[#This Row],[Result]]="No Action",0,IF(Bets[[#This Row],[Result]]="W",IF(Bets[[#This Row],[Odds]]&gt;0,Bets[[#This Row],[Odds]]/100*Bets[[#This Row],[Risk]],(Bets[[#This Row],[Risk]]/Bets[[#This Row],[Odds]]*-100)),""))))</f>
        <v>7.6923076923076925</v>
      </c>
      <c r="J53" s="23" t="str">
        <f>IF(ISNUMBER(SEARCH(CHAR(10),Bets[[#This Row],[Bet]])),"P",IF(ISNUMBER(FIND("Under",Bets[[#This Row],[Bet]])),"U",IF(ISNUMBER(SEARCH("Over",Bets[[#This Row],[Bet]])),"O",IF(ISNUMBER(SEARCH("+",Bets[[#This Row],[Bet]])),"D",IF(ISNUMBER(SEARCH("-",Bets[[#This Row],[Bet]])),"F",IF(ISNUMBER(SEARCH("Moneyline",Bets[[#This Row],[Bet]])),IF(Bets[[#This Row],[Odds]]&lt;0,"MF","MD"),""))))))</f>
        <v>MF</v>
      </c>
      <c r="K53" s="22"/>
      <c r="L53" s="24">
        <f t="shared" si="3"/>
        <v>0</v>
      </c>
      <c r="M53" s="1" t="str">
        <f>COUNTIFS(Bets[Date],L53,Bets[Result],"W")&amp;"-"&amp;COUNTIFS(Bets[Date],L53,Bets[Result],"L")&amp;IF(COUNTIFS(Bets[Date],L53,Bets[Result],"Push")&gt;0,"-"&amp;COUNTIFS(Bets[Date],L53,Bets[Result],"Push"),"")</f>
        <v>0-0</v>
      </c>
      <c r="N53" s="25" t="str">
        <f>IFERROR(COUNTIFS(Bets[Date],L53,Bets[Result],"W")/(COUNTIFS(Bets[Date],L53,Bets[Result],"W")+COUNTIFS(Bets[Date],L53,Bets[Result],"L")),"")</f>
        <v/>
      </c>
      <c r="O53" s="26">
        <f>SUMIF(Bets[Date],L53,Bets[Net])</f>
        <v>0</v>
      </c>
      <c r="P53" s="27" t="str">
        <f>IFERROR("("&amp;ROUND(SUMIF(Bets[Date],L53,Bets[Net])/SUMIF(Bets[Date],L53,Bets[Risk]),2)*100&amp;"%)","")</f>
        <v/>
      </c>
      <c r="Q53" s="72" t="str">
        <f t="shared" si="2"/>
        <v/>
      </c>
      <c r="R53" s="73" t="str">
        <f>IFERROR(SUMIF(Bets[Date],"&lt;="&amp;L53,Bets[Net])/SUMIF(Bets[Date],"&lt;="&amp;L53,Bets[Risk]),"")</f>
        <v/>
      </c>
    </row>
    <row r="54" spans="1:18" x14ac:dyDescent="0.25">
      <c r="A54" s="13">
        <f t="shared" si="0"/>
        <v>4</v>
      </c>
      <c r="B54" s="17">
        <v>43581</v>
      </c>
      <c r="C54" s="17" t="s">
        <v>802</v>
      </c>
      <c r="D54" s="18" t="s">
        <v>901</v>
      </c>
      <c r="E54" s="11" t="s">
        <v>902</v>
      </c>
      <c r="F54" s="19">
        <f>10</f>
        <v>10</v>
      </c>
      <c r="G54" s="37">
        <v>-115</v>
      </c>
      <c r="H54" s="21" t="s">
        <v>846</v>
      </c>
      <c r="I54" s="45">
        <f>IF(Bets[[#This Row],[Result]]="L",0-Bets[[#This Row],[Risk]],IF(Bets[[#This Row],[Result]]="Push",0,IF(Bets[[#This Row],[Result]]="No Action",0,IF(Bets[[#This Row],[Result]]="W",IF(Bets[[#This Row],[Odds]]&gt;0,Bets[[#This Row],[Odds]]/100*Bets[[#This Row],[Risk]],(Bets[[#This Row],[Risk]]/Bets[[#This Row],[Odds]]*-100)),""))))</f>
        <v>0</v>
      </c>
      <c r="J54" s="23" t="str">
        <f>IF(ISNUMBER(SEARCH(CHAR(10),Bets[[#This Row],[Bet]])),"P",IF(ISNUMBER(FIND("Under",Bets[[#This Row],[Bet]])),"U",IF(ISNUMBER(SEARCH("Over",Bets[[#This Row],[Bet]])),"O",IF(ISNUMBER(SEARCH("+",Bets[[#This Row],[Bet]])),"D",IF(ISNUMBER(SEARCH("-",Bets[[#This Row],[Bet]])),"F",IF(ISNUMBER(SEARCH("Moneyline",Bets[[#This Row],[Bet]])),IF(Bets[[#This Row],[Odds]]&lt;0,"MF","MD"),""))))))</f>
        <v>O</v>
      </c>
      <c r="K54" s="22"/>
      <c r="L54" s="24">
        <f t="shared" si="3"/>
        <v>0</v>
      </c>
      <c r="M54" s="1" t="str">
        <f>COUNTIFS(Bets[Date],L54,Bets[Result],"W")&amp;"-"&amp;COUNTIFS(Bets[Date],L54,Bets[Result],"L")&amp;IF(COUNTIFS(Bets[Date],L54,Bets[Result],"Push")&gt;0,"-"&amp;COUNTIFS(Bets[Date],L54,Bets[Result],"Push"),"")</f>
        <v>0-0</v>
      </c>
      <c r="N54" s="25" t="str">
        <f>IFERROR(COUNTIFS(Bets[Date],L54,Bets[Result],"W")/(COUNTIFS(Bets[Date],L54,Bets[Result],"W")+COUNTIFS(Bets[Date],L54,Bets[Result],"L")),"")</f>
        <v/>
      </c>
      <c r="O54" s="26">
        <f>SUMIF(Bets[Date],L54,Bets[Net])</f>
        <v>0</v>
      </c>
      <c r="P54" s="27" t="str">
        <f>IFERROR("("&amp;ROUND(SUMIF(Bets[Date],L54,Bets[Net])/SUMIF(Bets[Date],L54,Bets[Risk]),2)*100&amp;"%)","")</f>
        <v/>
      </c>
      <c r="Q54" s="72" t="str">
        <f t="shared" si="2"/>
        <v/>
      </c>
      <c r="R54" s="73" t="str">
        <f>IFERROR(SUMIF(Bets[Date],"&lt;="&amp;L54,Bets[Net])/SUMIF(Bets[Date],"&lt;="&amp;L54,Bets[Risk]),"")</f>
        <v/>
      </c>
    </row>
    <row r="55" spans="1:18" x14ac:dyDescent="0.25">
      <c r="A55" s="13">
        <f t="shared" si="0"/>
        <v>4</v>
      </c>
      <c r="B55" s="17">
        <v>43581</v>
      </c>
      <c r="C55" s="17" t="s">
        <v>802</v>
      </c>
      <c r="D55" s="18" t="s">
        <v>903</v>
      </c>
      <c r="E55" s="11" t="s">
        <v>841</v>
      </c>
      <c r="F55" s="19">
        <f>10</f>
        <v>10</v>
      </c>
      <c r="G55" s="37">
        <v>105</v>
      </c>
      <c r="H55" s="21" t="s">
        <v>262</v>
      </c>
      <c r="I55" s="45">
        <f>IF(Bets[[#This Row],[Result]]="L",0-Bets[[#This Row],[Risk]],IF(Bets[[#This Row],[Result]]="Push",0,IF(Bets[[#This Row],[Result]]="No Action",0,IF(Bets[[#This Row],[Result]]="W",IF(Bets[[#This Row],[Odds]]&gt;0,Bets[[#This Row],[Odds]]/100*Bets[[#This Row],[Risk]],(Bets[[#This Row],[Risk]]/Bets[[#This Row],[Odds]]*-100)),""))))</f>
        <v>10.5</v>
      </c>
      <c r="J55" s="23" t="str">
        <f>IF(ISNUMBER(SEARCH(CHAR(10),Bets[[#This Row],[Bet]])),"P",IF(ISNUMBER(FIND("Under",Bets[[#This Row],[Bet]])),"U",IF(ISNUMBER(SEARCH("Over",Bets[[#This Row],[Bet]])),"O",IF(ISNUMBER(SEARCH("+",Bets[[#This Row],[Bet]])),"D",IF(ISNUMBER(SEARCH("-",Bets[[#This Row],[Bet]])),"F",IF(ISNUMBER(SEARCH("Moneyline",Bets[[#This Row],[Bet]])),IF(Bets[[#This Row],[Odds]]&lt;0,"MF","MD"),""))))))</f>
        <v>O</v>
      </c>
      <c r="K55" s="22"/>
      <c r="L55" s="24">
        <f t="shared" si="3"/>
        <v>0</v>
      </c>
      <c r="M55" s="1" t="str">
        <f>COUNTIFS(Bets[Date],L55,Bets[Result],"W")&amp;"-"&amp;COUNTIFS(Bets[Date],L55,Bets[Result],"L")&amp;IF(COUNTIFS(Bets[Date],L55,Bets[Result],"Push")&gt;0,"-"&amp;COUNTIFS(Bets[Date],L55,Bets[Result],"Push"),"")</f>
        <v>0-0</v>
      </c>
      <c r="N55" s="25" t="str">
        <f>IFERROR(COUNTIFS(Bets[Date],L55,Bets[Result],"W")/(COUNTIFS(Bets[Date],L55,Bets[Result],"W")+COUNTIFS(Bets[Date],L55,Bets[Result],"L")),"")</f>
        <v/>
      </c>
      <c r="O55" s="26">
        <f>SUMIF(Bets[Date],L55,Bets[Net])</f>
        <v>0</v>
      </c>
      <c r="P55" s="27" t="str">
        <f>IFERROR("("&amp;ROUND(SUMIF(Bets[Date],L55,Bets[Net])/SUMIF(Bets[Date],L55,Bets[Risk]),2)*100&amp;"%)","")</f>
        <v/>
      </c>
      <c r="Q55" s="72" t="str">
        <f t="shared" si="2"/>
        <v/>
      </c>
      <c r="R55" s="73" t="str">
        <f>IFERROR(SUMIF(Bets[Date],"&lt;="&amp;L55,Bets[Net])/SUMIF(Bets[Date],"&lt;="&amp;L55,Bets[Risk]),"")</f>
        <v/>
      </c>
    </row>
    <row r="56" spans="1:18" x14ac:dyDescent="0.25">
      <c r="A56" s="13">
        <f t="shared" si="0"/>
        <v>4</v>
      </c>
      <c r="B56" s="17">
        <v>43581</v>
      </c>
      <c r="C56" s="17" t="s">
        <v>802</v>
      </c>
      <c r="D56" s="18" t="s">
        <v>904</v>
      </c>
      <c r="E56" s="11" t="s">
        <v>905</v>
      </c>
      <c r="F56" s="19">
        <f>10</f>
        <v>10</v>
      </c>
      <c r="G56" s="37">
        <v>-125</v>
      </c>
      <c r="H56" s="21" t="s">
        <v>263</v>
      </c>
      <c r="I56" s="45">
        <f>IF(Bets[[#This Row],[Result]]="L",0-Bets[[#This Row],[Risk]],IF(Bets[[#This Row],[Result]]="Push",0,IF(Bets[[#This Row],[Result]]="No Action",0,IF(Bets[[#This Row],[Result]]="W",IF(Bets[[#This Row],[Odds]]&gt;0,Bets[[#This Row],[Odds]]/100*Bets[[#This Row],[Risk]],(Bets[[#This Row],[Risk]]/Bets[[#This Row],[Odds]]*-100)),""))))</f>
        <v>-10</v>
      </c>
      <c r="J56" s="23" t="str">
        <f>IF(ISNUMBER(SEARCH(CHAR(10),Bets[[#This Row],[Bet]])),"P",IF(ISNUMBER(FIND("Under",Bets[[#This Row],[Bet]])),"U",IF(ISNUMBER(SEARCH("Over",Bets[[#This Row],[Bet]])),"O",IF(ISNUMBER(SEARCH("+",Bets[[#This Row],[Bet]])),"D",IF(ISNUMBER(SEARCH("-",Bets[[#This Row],[Bet]])),"F",IF(ISNUMBER(SEARCH("Moneyline",Bets[[#This Row],[Bet]])),IF(Bets[[#This Row],[Odds]]&lt;0,"MF","MD"),""))))))</f>
        <v>O</v>
      </c>
      <c r="K56" s="22"/>
      <c r="L56" s="24">
        <f t="shared" si="3"/>
        <v>0</v>
      </c>
      <c r="M56" s="1" t="str">
        <f>COUNTIFS(Bets[Date],L56,Bets[Result],"W")&amp;"-"&amp;COUNTIFS(Bets[Date],L56,Bets[Result],"L")&amp;IF(COUNTIFS(Bets[Date],L56,Bets[Result],"Push")&gt;0,"-"&amp;COUNTIFS(Bets[Date],L56,Bets[Result],"Push"),"")</f>
        <v>0-0</v>
      </c>
      <c r="N56" s="25" t="str">
        <f>IFERROR(COUNTIFS(Bets[Date],L56,Bets[Result],"W")/(COUNTIFS(Bets[Date],L56,Bets[Result],"W")+COUNTIFS(Bets[Date],L56,Bets[Result],"L")),"")</f>
        <v/>
      </c>
      <c r="O56" s="26">
        <f>SUMIF(Bets[Date],L56,Bets[Net])</f>
        <v>0</v>
      </c>
      <c r="P56" s="27" t="str">
        <f>IFERROR("("&amp;ROUND(SUMIF(Bets[Date],L56,Bets[Net])/SUMIF(Bets[Date],L56,Bets[Risk]),2)*100&amp;"%)","")</f>
        <v/>
      </c>
      <c r="Q56" s="72" t="str">
        <f t="shared" si="2"/>
        <v/>
      </c>
      <c r="R56" s="73" t="str">
        <f>IFERROR(SUMIF(Bets[Date],"&lt;="&amp;L56,Bets[Net])/SUMIF(Bets[Date],"&lt;="&amp;L56,Bets[Risk]),"")</f>
        <v/>
      </c>
    </row>
    <row r="57" spans="1:18" x14ac:dyDescent="0.25">
      <c r="A57" s="13">
        <f t="shared" si="0"/>
        <v>4</v>
      </c>
      <c r="B57" s="17">
        <v>43581</v>
      </c>
      <c r="C57" s="17" t="s">
        <v>802</v>
      </c>
      <c r="D57" s="18" t="s">
        <v>891</v>
      </c>
      <c r="E57" s="11" t="s">
        <v>905</v>
      </c>
      <c r="F57" s="19">
        <f>10</f>
        <v>10</v>
      </c>
      <c r="G57" s="37">
        <v>-115</v>
      </c>
      <c r="H57" s="21" t="s">
        <v>846</v>
      </c>
      <c r="I57" s="45">
        <f>IF(Bets[[#This Row],[Result]]="L",0-Bets[[#This Row],[Risk]],IF(Bets[[#This Row],[Result]]="Push",0,IF(Bets[[#This Row],[Result]]="No Action",0,IF(Bets[[#This Row],[Result]]="W",IF(Bets[[#This Row],[Odds]]&gt;0,Bets[[#This Row],[Odds]]/100*Bets[[#This Row],[Risk]],(Bets[[#This Row],[Risk]]/Bets[[#This Row],[Odds]]*-100)),""))))</f>
        <v>0</v>
      </c>
      <c r="J57" s="23" t="str">
        <f>IF(ISNUMBER(SEARCH(CHAR(10),Bets[[#This Row],[Bet]])),"P",IF(ISNUMBER(FIND("Under",Bets[[#This Row],[Bet]])),"U",IF(ISNUMBER(SEARCH("Over",Bets[[#This Row],[Bet]])),"O",IF(ISNUMBER(SEARCH("+",Bets[[#This Row],[Bet]])),"D",IF(ISNUMBER(SEARCH("-",Bets[[#This Row],[Bet]])),"F",IF(ISNUMBER(SEARCH("Moneyline",Bets[[#This Row],[Bet]])),IF(Bets[[#This Row],[Odds]]&lt;0,"MF","MD"),""))))))</f>
        <v>O</v>
      </c>
      <c r="K57" s="22"/>
      <c r="L57" s="24">
        <f t="shared" si="3"/>
        <v>0</v>
      </c>
      <c r="M57" s="1" t="str">
        <f>COUNTIFS(Bets[Date],L57,Bets[Result],"W")&amp;"-"&amp;COUNTIFS(Bets[Date],L57,Bets[Result],"L")&amp;IF(COUNTIFS(Bets[Date],L57,Bets[Result],"Push")&gt;0,"-"&amp;COUNTIFS(Bets[Date],L57,Bets[Result],"Push"),"")</f>
        <v>0-0</v>
      </c>
      <c r="N57" s="25" t="str">
        <f>IFERROR(COUNTIFS(Bets[Date],L57,Bets[Result],"W")/(COUNTIFS(Bets[Date],L57,Bets[Result],"W")+COUNTIFS(Bets[Date],L57,Bets[Result],"L")),"")</f>
        <v/>
      </c>
      <c r="O57" s="26">
        <f>SUMIF(Bets[Date],L57,Bets[Net])</f>
        <v>0</v>
      </c>
      <c r="P57" s="27" t="str">
        <f>IFERROR("("&amp;ROUND(SUMIF(Bets[Date],L57,Bets[Net])/SUMIF(Bets[Date],L57,Bets[Risk]),2)*100&amp;"%)","")</f>
        <v/>
      </c>
      <c r="Q57" s="72" t="str">
        <f t="shared" si="2"/>
        <v/>
      </c>
      <c r="R57" s="73" t="str">
        <f>IFERROR(SUMIF(Bets[Date],"&lt;="&amp;L57,Bets[Net])/SUMIF(Bets[Date],"&lt;="&amp;L57,Bets[Risk]),"")</f>
        <v/>
      </c>
    </row>
    <row r="58" spans="1:18" x14ac:dyDescent="0.25">
      <c r="A58" s="13">
        <f t="shared" si="0"/>
        <v>5</v>
      </c>
      <c r="B58" s="17">
        <v>43584</v>
      </c>
      <c r="C58" s="17" t="s">
        <v>802</v>
      </c>
      <c r="D58" s="18" t="s">
        <v>926</v>
      </c>
      <c r="E58" s="11" t="s">
        <v>830</v>
      </c>
      <c r="F58" s="19">
        <f>10</f>
        <v>10</v>
      </c>
      <c r="G58" s="37" t="s">
        <v>934</v>
      </c>
      <c r="H58" s="21" t="s">
        <v>263</v>
      </c>
      <c r="I58" s="45">
        <f>IF(Bets[[#This Row],[Result]]="L",0-Bets[[#This Row],[Risk]],IF(Bets[[#This Row],[Result]]="Push",0,IF(Bets[[#This Row],[Result]]="No Action",0,IF(Bets[[#This Row],[Result]]="W",IF(Bets[[#This Row],[Odds]]&gt;0,Bets[[#This Row],[Odds]]/100*Bets[[#This Row],[Risk]],(Bets[[#This Row],[Risk]]/Bets[[#This Row],[Odds]]*-100)),""))))</f>
        <v>-10</v>
      </c>
      <c r="J58" s="23" t="str">
        <f>IF(ISNUMBER(SEARCH(CHAR(10),Bets[[#This Row],[Bet]])),"P",IF(ISNUMBER(FIND("Under",Bets[[#This Row],[Bet]])),"U",IF(ISNUMBER(SEARCH("Over",Bets[[#This Row],[Bet]])),"O",IF(ISNUMBER(SEARCH("+",Bets[[#This Row],[Bet]])),"D",IF(ISNUMBER(SEARCH("-",Bets[[#This Row],[Bet]])),"F",IF(ISNUMBER(SEARCH("Moneyline",Bets[[#This Row],[Bet]])),IF(Bets[[#This Row],[Odds]]&lt;0,"MF","MD"),""))))))</f>
        <v>MD</v>
      </c>
      <c r="K58" s="22"/>
      <c r="L58" s="24">
        <f t="shared" si="3"/>
        <v>0</v>
      </c>
      <c r="M58" s="1" t="str">
        <f>COUNTIFS(Bets[Date],L58,Bets[Result],"W")&amp;"-"&amp;COUNTIFS(Bets[Date],L58,Bets[Result],"L")&amp;IF(COUNTIFS(Bets[Date],L58,Bets[Result],"Push")&gt;0,"-"&amp;COUNTIFS(Bets[Date],L58,Bets[Result],"Push"),"")</f>
        <v>0-0</v>
      </c>
      <c r="N58" s="25" t="str">
        <f>IFERROR(COUNTIFS(Bets[Date],L58,Bets[Result],"W")/(COUNTIFS(Bets[Date],L58,Bets[Result],"W")+COUNTIFS(Bets[Date],L58,Bets[Result],"L")),"")</f>
        <v/>
      </c>
      <c r="O58" s="26">
        <f>SUMIF(Bets[Date],L58,Bets[Net])</f>
        <v>0</v>
      </c>
      <c r="P58" s="27" t="str">
        <f>IFERROR("("&amp;ROUND(SUMIF(Bets[Date],L58,Bets[Net])/SUMIF(Bets[Date],L58,Bets[Risk]),2)*100&amp;"%)","")</f>
        <v/>
      </c>
      <c r="Q58" s="72" t="str">
        <f t="shared" si="2"/>
        <v/>
      </c>
      <c r="R58" s="73" t="str">
        <f>IFERROR(SUMIF(Bets[Date],"&lt;="&amp;L58,Bets[Net])/SUMIF(Bets[Date],"&lt;="&amp;L58,Bets[Risk]),"")</f>
        <v/>
      </c>
    </row>
    <row r="59" spans="1:18" x14ac:dyDescent="0.25">
      <c r="A59" s="13">
        <f t="shared" si="0"/>
        <v>5</v>
      </c>
      <c r="B59" s="17">
        <v>43584</v>
      </c>
      <c r="C59" s="17" t="s">
        <v>802</v>
      </c>
      <c r="D59" s="18" t="s">
        <v>925</v>
      </c>
      <c r="E59" s="11" t="s">
        <v>834</v>
      </c>
      <c r="F59" s="19">
        <f>10</f>
        <v>10</v>
      </c>
      <c r="G59" s="37">
        <v>-155</v>
      </c>
      <c r="H59" s="21" t="s">
        <v>263</v>
      </c>
      <c r="I59" s="45">
        <f>IF(Bets[[#This Row],[Result]]="L",0-Bets[[#This Row],[Risk]],IF(Bets[[#This Row],[Result]]="Push",0,IF(Bets[[#This Row],[Result]]="No Action",0,IF(Bets[[#This Row],[Result]]="W",IF(Bets[[#This Row],[Odds]]&gt;0,Bets[[#This Row],[Odds]]/100*Bets[[#This Row],[Risk]],(Bets[[#This Row],[Risk]]/Bets[[#This Row],[Odds]]*-100)),""))))</f>
        <v>-10</v>
      </c>
      <c r="J59" s="23" t="str">
        <f>IF(ISNUMBER(SEARCH(CHAR(10),Bets[[#This Row],[Bet]])),"P",IF(ISNUMBER(FIND("Under",Bets[[#This Row],[Bet]])),"U",IF(ISNUMBER(SEARCH("Over",Bets[[#This Row],[Bet]])),"O",IF(ISNUMBER(SEARCH("+",Bets[[#This Row],[Bet]])),"D",IF(ISNUMBER(SEARCH("-",Bets[[#This Row],[Bet]])),"F",IF(ISNUMBER(SEARCH("Moneyline",Bets[[#This Row],[Bet]])),IF(Bets[[#This Row],[Odds]]&lt;0,"MF","MD"),""))))))</f>
        <v>MF</v>
      </c>
      <c r="K59" s="22"/>
      <c r="L59" s="24">
        <f t="shared" si="3"/>
        <v>0</v>
      </c>
      <c r="M59" s="1" t="str">
        <f>COUNTIFS(Bets[Date],L59,Bets[Result],"W")&amp;"-"&amp;COUNTIFS(Bets[Date],L59,Bets[Result],"L")&amp;IF(COUNTIFS(Bets[Date],L59,Bets[Result],"Push")&gt;0,"-"&amp;COUNTIFS(Bets[Date],L59,Bets[Result],"Push"),"")</f>
        <v>0-0</v>
      </c>
      <c r="N59" s="25" t="str">
        <f>IFERROR(COUNTIFS(Bets[Date],L59,Bets[Result],"W")/(COUNTIFS(Bets[Date],L59,Bets[Result],"W")+COUNTIFS(Bets[Date],L59,Bets[Result],"L")),"")</f>
        <v/>
      </c>
      <c r="O59" s="26">
        <f>SUMIF(Bets[Date],L59,Bets[Net])</f>
        <v>0</v>
      </c>
      <c r="P59" s="27" t="str">
        <f>IFERROR("("&amp;ROUND(SUMIF(Bets[Date],L59,Bets[Net])/SUMIF(Bets[Date],L59,Bets[Risk]),2)*100&amp;"%)","")</f>
        <v/>
      </c>
      <c r="Q59" s="72" t="str">
        <f t="shared" si="2"/>
        <v/>
      </c>
      <c r="R59" s="73" t="str">
        <f>IFERROR(SUMIF(Bets[Date],"&lt;="&amp;L59,Bets[Net])/SUMIF(Bets[Date],"&lt;="&amp;L59,Bets[Risk]),"")</f>
        <v/>
      </c>
    </row>
    <row r="60" spans="1:18" x14ac:dyDescent="0.25">
      <c r="A60" s="13">
        <f t="shared" si="0"/>
        <v>5</v>
      </c>
      <c r="B60" s="17">
        <v>43584</v>
      </c>
      <c r="C60" s="17" t="s">
        <v>802</v>
      </c>
      <c r="D60" s="18" t="s">
        <v>932</v>
      </c>
      <c r="E60" s="11" t="s">
        <v>815</v>
      </c>
      <c r="F60" s="19">
        <f>10</f>
        <v>10</v>
      </c>
      <c r="G60" s="37" t="s">
        <v>817</v>
      </c>
      <c r="H60" s="21" t="s">
        <v>262</v>
      </c>
      <c r="I60" s="45">
        <f>IF(Bets[[#This Row],[Result]]="L",0-Bets[[#This Row],[Risk]],IF(Bets[[#This Row],[Result]]="Push",0,IF(Bets[[#This Row],[Result]]="No Action",0,IF(Bets[[#This Row],[Result]]="W",IF(Bets[[#This Row],[Odds]]&gt;0,Bets[[#This Row],[Odds]]/100*Bets[[#This Row],[Risk]],(Bets[[#This Row],[Risk]]/Bets[[#This Row],[Odds]]*-100)),""))))</f>
        <v>12</v>
      </c>
      <c r="J60" s="23" t="str">
        <f>IF(ISNUMBER(SEARCH(CHAR(10),Bets[[#This Row],[Bet]])),"P",IF(ISNUMBER(FIND("Under",Bets[[#This Row],[Bet]])),"U",IF(ISNUMBER(SEARCH("Over",Bets[[#This Row],[Bet]])),"O",IF(ISNUMBER(SEARCH("+",Bets[[#This Row],[Bet]])),"D",IF(ISNUMBER(SEARCH("-",Bets[[#This Row],[Bet]])),"F",IF(ISNUMBER(SEARCH("Moneyline",Bets[[#This Row],[Bet]])),IF(Bets[[#This Row],[Odds]]&lt;0,"MF","MD"),""))))))</f>
        <v>MD</v>
      </c>
      <c r="K60" s="22"/>
      <c r="L60" s="24">
        <f t="shared" si="3"/>
        <v>0</v>
      </c>
      <c r="M60" s="1" t="str">
        <f>COUNTIFS(Bets[Date],L60,Bets[Result],"W")&amp;"-"&amp;COUNTIFS(Bets[Date],L60,Bets[Result],"L")&amp;IF(COUNTIFS(Bets[Date],L60,Bets[Result],"Push")&gt;0,"-"&amp;COUNTIFS(Bets[Date],L60,Bets[Result],"Push"),"")</f>
        <v>0-0</v>
      </c>
      <c r="N60" s="25" t="str">
        <f>IFERROR(COUNTIFS(Bets[Date],L60,Bets[Result],"W")/(COUNTIFS(Bets[Date],L60,Bets[Result],"W")+COUNTIFS(Bets[Date],L60,Bets[Result],"L")),"")</f>
        <v/>
      </c>
      <c r="O60" s="26">
        <f>SUMIF(Bets[Date],L60,Bets[Net])</f>
        <v>0</v>
      </c>
      <c r="P60" s="27" t="str">
        <f>IFERROR("("&amp;ROUND(SUMIF(Bets[Date],L60,Bets[Net])/SUMIF(Bets[Date],L60,Bets[Risk]),2)*100&amp;"%)","")</f>
        <v/>
      </c>
      <c r="Q60" s="72" t="str">
        <f t="shared" si="2"/>
        <v/>
      </c>
      <c r="R60" s="73" t="str">
        <f>IFERROR(SUMIF(Bets[Date],"&lt;="&amp;L60,Bets[Net])/SUMIF(Bets[Date],"&lt;="&amp;L60,Bets[Risk]),"")</f>
        <v/>
      </c>
    </row>
    <row r="61" spans="1:18" x14ac:dyDescent="0.25">
      <c r="A61" s="13">
        <f t="shared" si="0"/>
        <v>5</v>
      </c>
      <c r="B61" s="17">
        <v>43584</v>
      </c>
      <c r="C61" s="17" t="s">
        <v>802</v>
      </c>
      <c r="D61" s="18" t="s">
        <v>928</v>
      </c>
      <c r="E61" s="11" t="s">
        <v>809</v>
      </c>
      <c r="F61" s="19">
        <f>10</f>
        <v>10</v>
      </c>
      <c r="G61" s="37" t="s">
        <v>871</v>
      </c>
      <c r="H61" s="21" t="s">
        <v>262</v>
      </c>
      <c r="I61" s="45">
        <f>IF(Bets[[#This Row],[Result]]="L",0-Bets[[#This Row],[Risk]],IF(Bets[[#This Row],[Result]]="Push",0,IF(Bets[[#This Row],[Result]]="No Action",0,IF(Bets[[#This Row],[Result]]="W",IF(Bets[[#This Row],[Odds]]&gt;0,Bets[[#This Row],[Odds]]/100*Bets[[#This Row],[Risk]],(Bets[[#This Row],[Risk]]/Bets[[#This Row],[Odds]]*-100)),""))))</f>
        <v>16.5</v>
      </c>
      <c r="J61" s="23" t="str">
        <f>IF(ISNUMBER(SEARCH(CHAR(10),Bets[[#This Row],[Bet]])),"P",IF(ISNUMBER(FIND("Under",Bets[[#This Row],[Bet]])),"U",IF(ISNUMBER(SEARCH("Over",Bets[[#This Row],[Bet]])),"O",IF(ISNUMBER(SEARCH("+",Bets[[#This Row],[Bet]])),"D",IF(ISNUMBER(SEARCH("-",Bets[[#This Row],[Bet]])),"F",IF(ISNUMBER(SEARCH("Moneyline",Bets[[#This Row],[Bet]])),IF(Bets[[#This Row],[Odds]]&lt;0,"MF","MD"),""))))))</f>
        <v>MD</v>
      </c>
      <c r="K61" s="22"/>
      <c r="L61" s="24">
        <f t="shared" si="3"/>
        <v>0</v>
      </c>
      <c r="M61" s="1" t="str">
        <f>COUNTIFS(Bets[Date],L61,Bets[Result],"W")&amp;"-"&amp;COUNTIFS(Bets[Date],L61,Bets[Result],"L")&amp;IF(COUNTIFS(Bets[Date],L61,Bets[Result],"Push")&gt;0,"-"&amp;COUNTIFS(Bets[Date],L61,Bets[Result],"Push"),"")</f>
        <v>0-0</v>
      </c>
      <c r="N61" s="25" t="str">
        <f>IFERROR(COUNTIFS(Bets[Date],L61,Bets[Result],"W")/(COUNTIFS(Bets[Date],L61,Bets[Result],"W")+COUNTIFS(Bets[Date],L61,Bets[Result],"L")),"")</f>
        <v/>
      </c>
      <c r="O61" s="26">
        <f>SUMIF(Bets[Date],L61,Bets[Net])</f>
        <v>0</v>
      </c>
      <c r="P61" s="27" t="str">
        <f>IFERROR("("&amp;ROUND(SUMIF(Bets[Date],L61,Bets[Net])/SUMIF(Bets[Date],L61,Bets[Risk]),2)*100&amp;"%)","")</f>
        <v/>
      </c>
      <c r="Q61" s="72" t="str">
        <f t="shared" si="2"/>
        <v/>
      </c>
      <c r="R61" s="73" t="str">
        <f>IFERROR(SUMIF(Bets[Date],"&lt;="&amp;L61,Bets[Net])/SUMIF(Bets[Date],"&lt;="&amp;L61,Bets[Risk]),"")</f>
        <v/>
      </c>
    </row>
    <row r="62" spans="1:18" x14ac:dyDescent="0.25">
      <c r="A62" s="13">
        <f t="shared" si="0"/>
        <v>5</v>
      </c>
      <c r="B62" s="17">
        <v>43584</v>
      </c>
      <c r="C62" s="17" t="s">
        <v>802</v>
      </c>
      <c r="D62" s="18" t="s">
        <v>930</v>
      </c>
      <c r="E62" s="11" t="s">
        <v>819</v>
      </c>
      <c r="F62" s="19">
        <f>10</f>
        <v>10</v>
      </c>
      <c r="G62" s="37" t="s">
        <v>828</v>
      </c>
      <c r="H62" s="21" t="s">
        <v>262</v>
      </c>
      <c r="I62" s="45">
        <f>IF(Bets[[#This Row],[Result]]="L",0-Bets[[#This Row],[Risk]],IF(Bets[[#This Row],[Result]]="Push",0,IF(Bets[[#This Row],[Result]]="No Action",0,IF(Bets[[#This Row],[Result]]="W",IF(Bets[[#This Row],[Odds]]&gt;0,Bets[[#This Row],[Odds]]/100*Bets[[#This Row],[Risk]],(Bets[[#This Row],[Risk]]/Bets[[#This Row],[Odds]]*-100)),""))))</f>
        <v>11.5</v>
      </c>
      <c r="J62" s="23" t="str">
        <f>IF(ISNUMBER(SEARCH(CHAR(10),Bets[[#This Row],[Bet]])),"P",IF(ISNUMBER(FIND("Under",Bets[[#This Row],[Bet]])),"U",IF(ISNUMBER(SEARCH("Over",Bets[[#This Row],[Bet]])),"O",IF(ISNUMBER(SEARCH("+",Bets[[#This Row],[Bet]])),"D",IF(ISNUMBER(SEARCH("-",Bets[[#This Row],[Bet]])),"F",IF(ISNUMBER(SEARCH("Moneyline",Bets[[#This Row],[Bet]])),IF(Bets[[#This Row],[Odds]]&lt;0,"MF","MD"),""))))))</f>
        <v>MD</v>
      </c>
      <c r="K62" s="22"/>
      <c r="L62" s="24">
        <f t="shared" si="3"/>
        <v>0</v>
      </c>
      <c r="M62" s="1" t="str">
        <f>COUNTIFS(Bets[Date],L62,Bets[Result],"W")&amp;"-"&amp;COUNTIFS(Bets[Date],L62,Bets[Result],"L")&amp;IF(COUNTIFS(Bets[Date],L62,Bets[Result],"Push")&gt;0,"-"&amp;COUNTIFS(Bets[Date],L62,Bets[Result],"Push"),"")</f>
        <v>0-0</v>
      </c>
      <c r="N62" s="25" t="str">
        <f>IFERROR(COUNTIFS(Bets[Date],L62,Bets[Result],"W")/(COUNTIFS(Bets[Date],L62,Bets[Result],"W")+COUNTIFS(Bets[Date],L62,Bets[Result],"L")),"")</f>
        <v/>
      </c>
      <c r="O62" s="26">
        <f>SUMIF(Bets[Date],L62,Bets[Net])</f>
        <v>0</v>
      </c>
      <c r="P62" s="27" t="str">
        <f>IFERROR("("&amp;ROUND(SUMIF(Bets[Date],L62,Bets[Net])/SUMIF(Bets[Date],L62,Bets[Risk]),2)*100&amp;"%)","")</f>
        <v/>
      </c>
      <c r="Q62" s="72" t="str">
        <f t="shared" si="2"/>
        <v/>
      </c>
      <c r="R62" s="73" t="str">
        <f>IFERROR(SUMIF(Bets[Date],"&lt;="&amp;L62,Bets[Net])/SUMIF(Bets[Date],"&lt;="&amp;L62,Bets[Risk]),"")</f>
        <v/>
      </c>
    </row>
    <row r="63" spans="1:18" x14ac:dyDescent="0.25">
      <c r="A63" s="13">
        <f t="shared" si="0"/>
        <v>5</v>
      </c>
      <c r="B63" s="17">
        <v>43584</v>
      </c>
      <c r="C63" s="17" t="s">
        <v>802</v>
      </c>
      <c r="D63" s="18" t="s">
        <v>935</v>
      </c>
      <c r="E63" s="11" t="s">
        <v>827</v>
      </c>
      <c r="F63" s="19">
        <f>10</f>
        <v>10</v>
      </c>
      <c r="G63" s="37" t="s">
        <v>886</v>
      </c>
      <c r="H63" s="21" t="s">
        <v>263</v>
      </c>
      <c r="I63" s="45">
        <f>IF(Bets[[#This Row],[Result]]="L",0-Bets[[#This Row],[Risk]],IF(Bets[[#This Row],[Result]]="Push",0,IF(Bets[[#This Row],[Result]]="No Action",0,IF(Bets[[#This Row],[Result]]="W",IF(Bets[[#This Row],[Odds]]&gt;0,Bets[[#This Row],[Odds]]/100*Bets[[#This Row],[Risk]],(Bets[[#This Row],[Risk]]/Bets[[#This Row],[Odds]]*-100)),""))))</f>
        <v>-10</v>
      </c>
      <c r="J63" s="23" t="str">
        <f>IF(ISNUMBER(SEARCH(CHAR(10),Bets[[#This Row],[Bet]])),"P",IF(ISNUMBER(FIND("Under",Bets[[#This Row],[Bet]])),"U",IF(ISNUMBER(SEARCH("Over",Bets[[#This Row],[Bet]])),"O",IF(ISNUMBER(SEARCH("+",Bets[[#This Row],[Bet]])),"D",IF(ISNUMBER(SEARCH("-",Bets[[#This Row],[Bet]])),"F",IF(ISNUMBER(SEARCH("Moneyline",Bets[[#This Row],[Bet]])),IF(Bets[[#This Row],[Odds]]&lt;0,"MF","MD"),""))))))</f>
        <v>MD</v>
      </c>
      <c r="K63" s="22"/>
      <c r="L63" s="24">
        <f t="shared" si="3"/>
        <v>0</v>
      </c>
      <c r="M63" s="1" t="str">
        <f>COUNTIFS(Bets[Date],L63,Bets[Result],"W")&amp;"-"&amp;COUNTIFS(Bets[Date],L63,Bets[Result],"L")&amp;IF(COUNTIFS(Bets[Date],L63,Bets[Result],"Push")&gt;0,"-"&amp;COUNTIFS(Bets[Date],L63,Bets[Result],"Push"),"")</f>
        <v>0-0</v>
      </c>
      <c r="N63" s="25" t="str">
        <f>IFERROR(COUNTIFS(Bets[Date],L63,Bets[Result],"W")/(COUNTIFS(Bets[Date],L63,Bets[Result],"W")+COUNTIFS(Bets[Date],L63,Bets[Result],"L")),"")</f>
        <v/>
      </c>
      <c r="O63" s="26">
        <f>SUMIF(Bets[Date],L63,Bets[Net])</f>
        <v>0</v>
      </c>
      <c r="P63" s="27" t="str">
        <f>IFERROR("("&amp;ROUND(SUMIF(Bets[Date],L63,Bets[Net])/SUMIF(Bets[Date],L63,Bets[Risk]),2)*100&amp;"%)","")</f>
        <v/>
      </c>
      <c r="Q63" s="72" t="str">
        <f t="shared" si="2"/>
        <v/>
      </c>
      <c r="R63" s="73" t="str">
        <f>IFERROR(SUMIF(Bets[Date],"&lt;="&amp;L63,Bets[Net])/SUMIF(Bets[Date],"&lt;="&amp;L63,Bets[Risk]),"")</f>
        <v/>
      </c>
    </row>
    <row r="64" spans="1:18" x14ac:dyDescent="0.25">
      <c r="A64" s="13">
        <f t="shared" si="0"/>
        <v>5</v>
      </c>
      <c r="B64" s="17">
        <v>43584</v>
      </c>
      <c r="C64" s="17" t="s">
        <v>802</v>
      </c>
      <c r="D64" s="18" t="s">
        <v>926</v>
      </c>
      <c r="E64" s="11" t="s">
        <v>845</v>
      </c>
      <c r="F64" s="19">
        <f>10</f>
        <v>10</v>
      </c>
      <c r="G64" s="37">
        <v>100</v>
      </c>
      <c r="H64" s="21" t="s">
        <v>262</v>
      </c>
      <c r="I64" s="45">
        <f>IF(Bets[[#This Row],[Result]]="L",0-Bets[[#This Row],[Risk]],IF(Bets[[#This Row],[Result]]="Push",0,IF(Bets[[#This Row],[Result]]="No Action",0,IF(Bets[[#This Row],[Result]]="W",IF(Bets[[#This Row],[Odds]]&gt;0,Bets[[#This Row],[Odds]]/100*Bets[[#This Row],[Risk]],(Bets[[#This Row],[Risk]]/Bets[[#This Row],[Odds]]*-100)),""))))</f>
        <v>10</v>
      </c>
      <c r="J64" s="23" t="str">
        <f>IF(ISNUMBER(SEARCH(CHAR(10),Bets[[#This Row],[Bet]])),"P",IF(ISNUMBER(FIND("Under",Bets[[#This Row],[Bet]])),"U",IF(ISNUMBER(SEARCH("Over",Bets[[#This Row],[Bet]])),"O",IF(ISNUMBER(SEARCH("+",Bets[[#This Row],[Bet]])),"D",IF(ISNUMBER(SEARCH("-",Bets[[#This Row],[Bet]])),"F",IF(ISNUMBER(SEARCH("Moneyline",Bets[[#This Row],[Bet]])),IF(Bets[[#This Row],[Odds]]&lt;0,"MF","MD"),""))))))</f>
        <v>O</v>
      </c>
      <c r="K64" s="22"/>
      <c r="L64" s="24">
        <f t="shared" si="3"/>
        <v>0</v>
      </c>
      <c r="M64" s="1" t="str">
        <f>COUNTIFS(Bets[Date],L64,Bets[Result],"W")&amp;"-"&amp;COUNTIFS(Bets[Date],L64,Bets[Result],"L")&amp;IF(COUNTIFS(Bets[Date],L64,Bets[Result],"Push")&gt;0,"-"&amp;COUNTIFS(Bets[Date],L64,Bets[Result],"Push"),"")</f>
        <v>0-0</v>
      </c>
      <c r="N64" s="25" t="str">
        <f>IFERROR(COUNTIFS(Bets[Date],L64,Bets[Result],"W")/(COUNTIFS(Bets[Date],L64,Bets[Result],"W")+COUNTIFS(Bets[Date],L64,Bets[Result],"L")),"")</f>
        <v/>
      </c>
      <c r="O64" s="26">
        <f>SUMIF(Bets[Date],L64,Bets[Net])</f>
        <v>0</v>
      </c>
      <c r="P64" s="27" t="str">
        <f>IFERROR("("&amp;ROUND(SUMIF(Bets[Date],L64,Bets[Net])/SUMIF(Bets[Date],L64,Bets[Risk]),2)*100&amp;"%)","")</f>
        <v/>
      </c>
      <c r="Q64" s="72" t="str">
        <f t="shared" si="2"/>
        <v/>
      </c>
      <c r="R64" s="73" t="str">
        <f>IFERROR(SUMIF(Bets[Date],"&lt;="&amp;L64,Bets[Net])/SUMIF(Bets[Date],"&lt;="&amp;L64,Bets[Risk]),"")</f>
        <v/>
      </c>
    </row>
    <row r="65" spans="1:18" x14ac:dyDescent="0.25">
      <c r="A65" s="13">
        <f t="shared" si="0"/>
        <v>5</v>
      </c>
      <c r="B65" s="17">
        <v>43584</v>
      </c>
      <c r="C65" s="17" t="s">
        <v>802</v>
      </c>
      <c r="D65" s="18" t="s">
        <v>927</v>
      </c>
      <c r="E65" s="11" t="s">
        <v>931</v>
      </c>
      <c r="F65" s="19">
        <f>10</f>
        <v>10</v>
      </c>
      <c r="G65" s="37">
        <v>-105</v>
      </c>
      <c r="H65" s="21" t="s">
        <v>262</v>
      </c>
      <c r="I65" s="45">
        <f>IF(Bets[[#This Row],[Result]]="L",0-Bets[[#This Row],[Risk]],IF(Bets[[#This Row],[Result]]="Push",0,IF(Bets[[#This Row],[Result]]="No Action",0,IF(Bets[[#This Row],[Result]]="W",IF(Bets[[#This Row],[Odds]]&gt;0,Bets[[#This Row],[Odds]]/100*Bets[[#This Row],[Risk]],(Bets[[#This Row],[Risk]]/Bets[[#This Row],[Odds]]*-100)),""))))</f>
        <v>9.5238095238095237</v>
      </c>
      <c r="J65" s="23" t="str">
        <f>IF(ISNUMBER(SEARCH(CHAR(10),Bets[[#This Row],[Bet]])),"P",IF(ISNUMBER(FIND("Under",Bets[[#This Row],[Bet]])),"U",IF(ISNUMBER(SEARCH("Over",Bets[[#This Row],[Bet]])),"O",IF(ISNUMBER(SEARCH("+",Bets[[#This Row],[Bet]])),"D",IF(ISNUMBER(SEARCH("-",Bets[[#This Row],[Bet]])),"F",IF(ISNUMBER(SEARCH("Moneyline",Bets[[#This Row],[Bet]])),IF(Bets[[#This Row],[Odds]]&lt;0,"MF","MD"),""))))))</f>
        <v>O</v>
      </c>
      <c r="K65" s="22"/>
      <c r="L65" s="24">
        <f t="shared" si="3"/>
        <v>0</v>
      </c>
      <c r="M65" s="1" t="str">
        <f>COUNTIFS(Bets[Date],L65,Bets[Result],"W")&amp;"-"&amp;COUNTIFS(Bets[Date],L65,Bets[Result],"L")&amp;IF(COUNTIFS(Bets[Date],L65,Bets[Result],"Push")&gt;0,"-"&amp;COUNTIFS(Bets[Date],L65,Bets[Result],"Push"),"")</f>
        <v>0-0</v>
      </c>
      <c r="N65" s="25" t="str">
        <f>IFERROR(COUNTIFS(Bets[Date],L65,Bets[Result],"W")/(COUNTIFS(Bets[Date],L65,Bets[Result],"W")+COUNTIFS(Bets[Date],L65,Bets[Result],"L")),"")</f>
        <v/>
      </c>
      <c r="O65" s="26">
        <f>SUMIF(Bets[Date],L65,Bets[Net])</f>
        <v>0</v>
      </c>
      <c r="P65" s="27" t="str">
        <f>IFERROR("("&amp;ROUND(SUMIF(Bets[Date],L65,Bets[Net])/SUMIF(Bets[Date],L65,Bets[Risk]),2)*100&amp;"%)","")</f>
        <v/>
      </c>
      <c r="Q65" s="72" t="str">
        <f t="shared" si="2"/>
        <v/>
      </c>
      <c r="R65" s="73" t="str">
        <f>IFERROR(SUMIF(Bets[Date],"&lt;="&amp;L65,Bets[Net])/SUMIF(Bets[Date],"&lt;="&amp;L65,Bets[Risk]),"")</f>
        <v/>
      </c>
    </row>
    <row r="66" spans="1:18" x14ac:dyDescent="0.25">
      <c r="A66" s="13">
        <f t="shared" si="0"/>
        <v>5</v>
      </c>
      <c r="B66" s="17">
        <v>43584</v>
      </c>
      <c r="C66" s="17" t="s">
        <v>802</v>
      </c>
      <c r="D66" s="18" t="s">
        <v>932</v>
      </c>
      <c r="E66" s="11" t="s">
        <v>933</v>
      </c>
      <c r="F66" s="19">
        <f>10</f>
        <v>10</v>
      </c>
      <c r="G66" s="37">
        <v>100</v>
      </c>
      <c r="H66" s="21" t="s">
        <v>262</v>
      </c>
      <c r="I66" s="45">
        <f>IF(Bets[[#This Row],[Result]]="L",0-Bets[[#This Row],[Risk]],IF(Bets[[#This Row],[Result]]="Push",0,IF(Bets[[#This Row],[Result]]="No Action",0,IF(Bets[[#This Row],[Result]]="W",IF(Bets[[#This Row],[Odds]]&gt;0,Bets[[#This Row],[Odds]]/100*Bets[[#This Row],[Risk]],(Bets[[#This Row],[Risk]]/Bets[[#This Row],[Odds]]*-100)),""))))</f>
        <v>10</v>
      </c>
      <c r="J66" s="23" t="str">
        <f>IF(ISNUMBER(SEARCH(CHAR(10),Bets[[#This Row],[Bet]])),"P",IF(ISNUMBER(FIND("Under",Bets[[#This Row],[Bet]])),"U",IF(ISNUMBER(SEARCH("Over",Bets[[#This Row],[Bet]])),"O",IF(ISNUMBER(SEARCH("+",Bets[[#This Row],[Bet]])),"D",IF(ISNUMBER(SEARCH("-",Bets[[#This Row],[Bet]])),"F",IF(ISNUMBER(SEARCH("Moneyline",Bets[[#This Row],[Bet]])),IF(Bets[[#This Row],[Odds]]&lt;0,"MF","MD"),""))))))</f>
        <v>U</v>
      </c>
      <c r="K66"/>
      <c r="L66" s="24">
        <f t="shared" si="3"/>
        <v>0</v>
      </c>
      <c r="M66" s="1" t="str">
        <f>COUNTIFS(Bets[Date],L66,Bets[Result],"W")&amp;"-"&amp;COUNTIFS(Bets[Date],L66,Bets[Result],"L")&amp;IF(COUNTIFS(Bets[Date],L66,Bets[Result],"Push")&gt;0,"-"&amp;COUNTIFS(Bets[Date],L66,Bets[Result],"Push"),"")</f>
        <v>0-0</v>
      </c>
      <c r="N66" s="25" t="str">
        <f>IFERROR(COUNTIFS(Bets[Date],L66,Bets[Result],"W")/(COUNTIFS(Bets[Date],L66,Bets[Result],"W")+COUNTIFS(Bets[Date],L66,Bets[Result],"L")),"")</f>
        <v/>
      </c>
      <c r="O66" s="26">
        <f>SUMIF(Bets[Date],L66,Bets[Net])</f>
        <v>0</v>
      </c>
      <c r="P66" s="27" t="str">
        <f>IFERROR("("&amp;ROUND(SUMIF(Bets[Date],L66,Bets[Net])/SUMIF(Bets[Date],L66,Bets[Risk]),2)*100&amp;"%)","")</f>
        <v/>
      </c>
      <c r="Q66" s="72" t="str">
        <f t="shared" si="2"/>
        <v/>
      </c>
      <c r="R66" s="73" t="str">
        <f>IFERROR(SUMIF(Bets[Date],"&lt;="&amp;L66,Bets[Net])/SUMIF(Bets[Date],"&lt;="&amp;L66,Bets[Risk]),"")</f>
        <v/>
      </c>
    </row>
    <row r="67" spans="1:18" x14ac:dyDescent="0.25">
      <c r="A67" s="13">
        <f t="shared" si="0"/>
        <v>6</v>
      </c>
      <c r="B67" s="17">
        <v>43585</v>
      </c>
      <c r="C67" s="17" t="s">
        <v>802</v>
      </c>
      <c r="D67" s="18" t="s">
        <v>1150</v>
      </c>
      <c r="E67" s="11" t="s">
        <v>822</v>
      </c>
      <c r="F67" s="19">
        <f>10</f>
        <v>10</v>
      </c>
      <c r="G67" s="37">
        <v>-205</v>
      </c>
      <c r="H67" s="21" t="s">
        <v>263</v>
      </c>
      <c r="I67" s="45">
        <f>IF(Bets[[#This Row],[Result]]="L",0-Bets[[#This Row],[Risk]],IF(Bets[[#This Row],[Result]]="Push",0,IF(Bets[[#This Row],[Result]]="No Action",0,IF(Bets[[#This Row],[Result]]="W",IF(Bets[[#This Row],[Odds]]&gt;0,Bets[[#This Row],[Odds]]/100*Bets[[#This Row],[Risk]],(Bets[[#This Row],[Risk]]/Bets[[#This Row],[Odds]]*-100)),""))))</f>
        <v>-10</v>
      </c>
      <c r="J67" s="23" t="str">
        <f>IF(ISNUMBER(SEARCH(CHAR(10),Bets[[#This Row],[Bet]])),"P",IF(ISNUMBER(FIND("Under",Bets[[#This Row],[Bet]])),"U",IF(ISNUMBER(SEARCH("Over",Bets[[#This Row],[Bet]])),"O",IF(ISNUMBER(SEARCH("+",Bets[[#This Row],[Bet]])),"D",IF(ISNUMBER(SEARCH("-",Bets[[#This Row],[Bet]])),"F",IF(ISNUMBER(SEARCH("Moneyline",Bets[[#This Row],[Bet]])),IF(Bets[[#This Row],[Odds]]&lt;0,"MF","MD"),""))))))</f>
        <v>MF</v>
      </c>
      <c r="K67"/>
      <c r="L67" s="24">
        <f t="shared" si="3"/>
        <v>0</v>
      </c>
      <c r="M67" s="1" t="str">
        <f>COUNTIFS(Bets[Date],L67,Bets[Result],"W")&amp;"-"&amp;COUNTIFS(Bets[Date],L67,Bets[Result],"L")&amp;IF(COUNTIFS(Bets[Date],L67,Bets[Result],"Push")&gt;0,"-"&amp;COUNTIFS(Bets[Date],L67,Bets[Result],"Push"),"")</f>
        <v>0-0</v>
      </c>
      <c r="N67" s="25" t="str">
        <f>IFERROR(COUNTIFS(Bets[Date],L67,Bets[Result],"W")/(COUNTIFS(Bets[Date],L67,Bets[Result],"W")+COUNTIFS(Bets[Date],L67,Bets[Result],"L")),"")</f>
        <v/>
      </c>
      <c r="O67" s="26">
        <f>SUMIF(Bets[Date],L67,Bets[Net])</f>
        <v>0</v>
      </c>
      <c r="P67" s="27" t="str">
        <f>IFERROR("("&amp;ROUND(SUMIF(Bets[Date],L67,Bets[Net])/SUMIF(Bets[Date],L67,Bets[Risk]),2)*100&amp;"%)","")</f>
        <v/>
      </c>
      <c r="Q67" s="72" t="str">
        <f t="shared" si="2"/>
        <v/>
      </c>
      <c r="R67" s="73" t="str">
        <f>IFERROR(SUMIF(Bets[Date],"&lt;="&amp;L67,Bets[Net])/SUMIF(Bets[Date],"&lt;="&amp;L67,Bets[Risk]),"")</f>
        <v/>
      </c>
    </row>
    <row r="68" spans="1:18" x14ac:dyDescent="0.25">
      <c r="A68" s="13">
        <f t="shared" ref="A68:A131" si="4">IF(B68=B67,A67,A67+1)</f>
        <v>6</v>
      </c>
      <c r="B68" s="17">
        <v>43585</v>
      </c>
      <c r="C68" s="17" t="s">
        <v>802</v>
      </c>
      <c r="D68" s="18" t="s">
        <v>926</v>
      </c>
      <c r="E68" s="11" t="s">
        <v>899</v>
      </c>
      <c r="F68" s="19">
        <f>10</f>
        <v>10</v>
      </c>
      <c r="G68" s="37">
        <v>-115</v>
      </c>
      <c r="H68" s="21" t="s">
        <v>262</v>
      </c>
      <c r="I68" s="45">
        <f>IF(Bets[[#This Row],[Result]]="L",0-Bets[[#This Row],[Risk]],IF(Bets[[#This Row],[Result]]="Push",0,IF(Bets[[#This Row],[Result]]="No Action",0,IF(Bets[[#This Row],[Result]]="W",IF(Bets[[#This Row],[Odds]]&gt;0,Bets[[#This Row],[Odds]]/100*Bets[[#This Row],[Risk]],(Bets[[#This Row],[Risk]]/Bets[[#This Row],[Odds]]*-100)),""))))</f>
        <v>8.695652173913043</v>
      </c>
      <c r="J68" s="23" t="str">
        <f>IF(ISNUMBER(SEARCH(CHAR(10),Bets[[#This Row],[Bet]])),"P",IF(ISNUMBER(FIND("Under",Bets[[#This Row],[Bet]])),"U",IF(ISNUMBER(SEARCH("Over",Bets[[#This Row],[Bet]])),"O",IF(ISNUMBER(SEARCH("+",Bets[[#This Row],[Bet]])),"D",IF(ISNUMBER(SEARCH("-",Bets[[#This Row],[Bet]])),"F",IF(ISNUMBER(SEARCH("Moneyline",Bets[[#This Row],[Bet]])),IF(Bets[[#This Row],[Odds]]&lt;0,"MF","MD"),""))))))</f>
        <v>MF</v>
      </c>
      <c r="K68"/>
      <c r="L68" s="24">
        <f t="shared" ref="L68:L99" si="5">IFERROR(VLOOKUP(ROW()-3,A:B,2,0),0)</f>
        <v>0</v>
      </c>
      <c r="M68" s="1" t="str">
        <f>COUNTIFS(Bets[Date],L68,Bets[Result],"W")&amp;"-"&amp;COUNTIFS(Bets[Date],L68,Bets[Result],"L")&amp;IF(COUNTIFS(Bets[Date],L68,Bets[Result],"Push")&gt;0,"-"&amp;COUNTIFS(Bets[Date],L68,Bets[Result],"Push"),"")</f>
        <v>0-0</v>
      </c>
      <c r="N68" s="25" t="str">
        <f>IFERROR(COUNTIFS(Bets[Date],L68,Bets[Result],"W")/(COUNTIFS(Bets[Date],L68,Bets[Result],"W")+COUNTIFS(Bets[Date],L68,Bets[Result],"L")),"")</f>
        <v/>
      </c>
      <c r="O68" s="26">
        <f>SUMIF(Bets[Date],L68,Bets[Net])</f>
        <v>0</v>
      </c>
      <c r="P68" s="27" t="str">
        <f>IFERROR("("&amp;ROUND(SUMIF(Bets[Date],L68,Bets[Net])/SUMIF(Bets[Date],L68,Bets[Risk]),2)*100&amp;"%)","")</f>
        <v/>
      </c>
      <c r="Q68" s="72" t="str">
        <f t="shared" si="2"/>
        <v/>
      </c>
      <c r="R68" s="73" t="str">
        <f>IFERROR(SUMIF(Bets[Date],"&lt;="&amp;L68,Bets[Net])/SUMIF(Bets[Date],"&lt;="&amp;L68,Bets[Risk]),"")</f>
        <v/>
      </c>
    </row>
    <row r="69" spans="1:18" x14ac:dyDescent="0.25">
      <c r="A69" s="13">
        <f t="shared" si="4"/>
        <v>6</v>
      </c>
      <c r="B69" s="17">
        <v>43585</v>
      </c>
      <c r="C69" s="17" t="s">
        <v>802</v>
      </c>
      <c r="D69" s="18" t="s">
        <v>1151</v>
      </c>
      <c r="E69" s="11" t="s">
        <v>869</v>
      </c>
      <c r="F69" s="19">
        <f>10</f>
        <v>10</v>
      </c>
      <c r="G69" s="37">
        <v>-208</v>
      </c>
      <c r="H69" s="21" t="s">
        <v>262</v>
      </c>
      <c r="I69" s="45">
        <f>IF(Bets[[#This Row],[Result]]="L",0-Bets[[#This Row],[Risk]],IF(Bets[[#This Row],[Result]]="Push",0,IF(Bets[[#This Row],[Result]]="No Action",0,IF(Bets[[#This Row],[Result]]="W",IF(Bets[[#This Row],[Odds]]&gt;0,Bets[[#This Row],[Odds]]/100*Bets[[#This Row],[Risk]],(Bets[[#This Row],[Risk]]/Bets[[#This Row],[Odds]]*-100)),""))))</f>
        <v>4.8076923076923084</v>
      </c>
      <c r="J69" s="23" t="str">
        <f>IF(ISNUMBER(SEARCH(CHAR(10),Bets[[#This Row],[Bet]])),"P",IF(ISNUMBER(FIND("Under",Bets[[#This Row],[Bet]])),"U",IF(ISNUMBER(SEARCH("Over",Bets[[#This Row],[Bet]])),"O",IF(ISNUMBER(SEARCH("+",Bets[[#This Row],[Bet]])),"D",IF(ISNUMBER(SEARCH("-",Bets[[#This Row],[Bet]])),"F",IF(ISNUMBER(SEARCH("Moneyline",Bets[[#This Row],[Bet]])),IF(Bets[[#This Row],[Odds]]&lt;0,"MF","MD"),""))))))</f>
        <v>MF</v>
      </c>
      <c r="K69"/>
      <c r="L69" s="24">
        <f t="shared" si="5"/>
        <v>0</v>
      </c>
      <c r="M69" s="1" t="str">
        <f>COUNTIFS(Bets[Date],L69,Bets[Result],"W")&amp;"-"&amp;COUNTIFS(Bets[Date],L69,Bets[Result],"L")&amp;IF(COUNTIFS(Bets[Date],L69,Bets[Result],"Push")&gt;0,"-"&amp;COUNTIFS(Bets[Date],L69,Bets[Result],"Push"),"")</f>
        <v>0-0</v>
      </c>
      <c r="N69" s="25" t="str">
        <f>IFERROR(COUNTIFS(Bets[Date],L69,Bets[Result],"W")/(COUNTIFS(Bets[Date],L69,Bets[Result],"W")+COUNTIFS(Bets[Date],L69,Bets[Result],"L")),"")</f>
        <v/>
      </c>
      <c r="O69" s="26">
        <f>SUMIF(Bets[Date],L69,Bets[Net])</f>
        <v>0</v>
      </c>
      <c r="P69" s="27" t="str">
        <f>IFERROR("("&amp;ROUND(SUMIF(Bets[Date],L69,Bets[Net])/SUMIF(Bets[Date],L69,Bets[Risk]),2)*100&amp;"%)","")</f>
        <v/>
      </c>
      <c r="Q69" s="72" t="str">
        <f t="shared" si="2"/>
        <v/>
      </c>
      <c r="R69" s="73" t="str">
        <f>IFERROR(SUMIF(Bets[Date],"&lt;="&amp;L69,Bets[Net])/SUMIF(Bets[Date],"&lt;="&amp;L69,Bets[Risk]),"")</f>
        <v/>
      </c>
    </row>
    <row r="70" spans="1:18" x14ac:dyDescent="0.25">
      <c r="A70" s="13">
        <f t="shared" si="4"/>
        <v>6</v>
      </c>
      <c r="B70" s="17">
        <v>43585</v>
      </c>
      <c r="C70" s="17" t="s">
        <v>802</v>
      </c>
      <c r="D70" s="18" t="s">
        <v>932</v>
      </c>
      <c r="E70" s="11" t="s">
        <v>1152</v>
      </c>
      <c r="F70" s="19">
        <f>10</f>
        <v>10</v>
      </c>
      <c r="G70" s="37">
        <v>-110</v>
      </c>
      <c r="H70" s="21" t="s">
        <v>262</v>
      </c>
      <c r="I70" s="45">
        <f>IF(Bets[[#This Row],[Result]]="L",0-Bets[[#This Row],[Risk]],IF(Bets[[#This Row],[Result]]="Push",0,IF(Bets[[#This Row],[Result]]="No Action",0,IF(Bets[[#This Row],[Result]]="W",IF(Bets[[#This Row],[Odds]]&gt;0,Bets[[#This Row],[Odds]]/100*Bets[[#This Row],[Risk]],(Bets[[#This Row],[Risk]]/Bets[[#This Row],[Odds]]*-100)),""))))</f>
        <v>9.0909090909090917</v>
      </c>
      <c r="J70" s="23" t="str">
        <f>IF(ISNUMBER(SEARCH(CHAR(10),Bets[[#This Row],[Bet]])),"P",IF(ISNUMBER(FIND("Under",Bets[[#This Row],[Bet]])),"U",IF(ISNUMBER(SEARCH("Over",Bets[[#This Row],[Bet]])),"O",IF(ISNUMBER(SEARCH("+",Bets[[#This Row],[Bet]])),"D",IF(ISNUMBER(SEARCH("-",Bets[[#This Row],[Bet]])),"F",IF(ISNUMBER(SEARCH("Moneyline",Bets[[#This Row],[Bet]])),IF(Bets[[#This Row],[Odds]]&lt;0,"MF","MD"),""))))))</f>
        <v>MF</v>
      </c>
      <c r="K70"/>
      <c r="L70" s="24">
        <f t="shared" si="5"/>
        <v>0</v>
      </c>
      <c r="M70" s="1" t="str">
        <f>COUNTIFS(Bets[Date],L70,Bets[Result],"W")&amp;"-"&amp;COUNTIFS(Bets[Date],L70,Bets[Result],"L")&amp;IF(COUNTIFS(Bets[Date],L70,Bets[Result],"Push")&gt;0,"-"&amp;COUNTIFS(Bets[Date],L70,Bets[Result],"Push"),"")</f>
        <v>0-0</v>
      </c>
      <c r="N70" s="25" t="str">
        <f>IFERROR(COUNTIFS(Bets[Date],L70,Bets[Result],"W")/(COUNTIFS(Bets[Date],L70,Bets[Result],"W")+COUNTIFS(Bets[Date],L70,Bets[Result],"L")),"")</f>
        <v/>
      </c>
      <c r="O70" s="26">
        <f>SUMIF(Bets[Date],L70,Bets[Net])</f>
        <v>0</v>
      </c>
      <c r="P70" s="27" t="str">
        <f>IFERROR("("&amp;ROUND(SUMIF(Bets[Date],L70,Bets[Net])/SUMIF(Bets[Date],L70,Bets[Risk]),2)*100&amp;"%)","")</f>
        <v/>
      </c>
      <c r="Q70" s="72" t="str">
        <f t="shared" ref="Q70:Q133" si="6">IF(L70&lt;&gt;0,Q69+O70,"")</f>
        <v/>
      </c>
      <c r="R70" s="73" t="str">
        <f>IFERROR(SUMIF(Bets[Date],"&lt;="&amp;L70,Bets[Net])/SUMIF(Bets[Date],"&lt;="&amp;L70,Bets[Risk]),"")</f>
        <v/>
      </c>
    </row>
    <row r="71" spans="1:18" x14ac:dyDescent="0.25">
      <c r="A71" s="13">
        <f t="shared" si="4"/>
        <v>6</v>
      </c>
      <c r="B71" s="17">
        <v>43585</v>
      </c>
      <c r="C71" s="17" t="s">
        <v>802</v>
      </c>
      <c r="D71" s="18" t="s">
        <v>928</v>
      </c>
      <c r="E71" s="11" t="s">
        <v>1153</v>
      </c>
      <c r="F71" s="19">
        <f>10</f>
        <v>10</v>
      </c>
      <c r="G71" s="37">
        <v>-125</v>
      </c>
      <c r="H71" s="21" t="s">
        <v>263</v>
      </c>
      <c r="I71" s="45">
        <f>IF(Bets[[#This Row],[Result]]="L",0-Bets[[#This Row],[Risk]],IF(Bets[[#This Row],[Result]]="Push",0,IF(Bets[[#This Row],[Result]]="No Action",0,IF(Bets[[#This Row],[Result]]="W",IF(Bets[[#This Row],[Odds]]&gt;0,Bets[[#This Row],[Odds]]/100*Bets[[#This Row],[Risk]],(Bets[[#This Row],[Risk]]/Bets[[#This Row],[Odds]]*-100)),""))))</f>
        <v>-10</v>
      </c>
      <c r="J71" s="23" t="str">
        <f>IF(ISNUMBER(SEARCH(CHAR(10),Bets[[#This Row],[Bet]])),"P",IF(ISNUMBER(FIND("Under",Bets[[#This Row],[Bet]])),"U",IF(ISNUMBER(SEARCH("Over",Bets[[#This Row],[Bet]])),"O",IF(ISNUMBER(SEARCH("+",Bets[[#This Row],[Bet]])),"D",IF(ISNUMBER(SEARCH("-",Bets[[#This Row],[Bet]])),"F",IF(ISNUMBER(SEARCH("Moneyline",Bets[[#This Row],[Bet]])),IF(Bets[[#This Row],[Odds]]&lt;0,"MF","MD"),""))))))</f>
        <v>MF</v>
      </c>
      <c r="K71"/>
      <c r="L71" s="24">
        <f t="shared" si="5"/>
        <v>0</v>
      </c>
      <c r="M71" s="1" t="str">
        <f>COUNTIFS(Bets[Date],L71,Bets[Result],"W")&amp;"-"&amp;COUNTIFS(Bets[Date],L71,Bets[Result],"L")&amp;IF(COUNTIFS(Bets[Date],L71,Bets[Result],"Push")&gt;0,"-"&amp;COUNTIFS(Bets[Date],L71,Bets[Result],"Push"),"")</f>
        <v>0-0</v>
      </c>
      <c r="N71" s="25" t="str">
        <f>IFERROR(COUNTIFS(Bets[Date],L71,Bets[Result],"W")/(COUNTIFS(Bets[Date],L71,Bets[Result],"W")+COUNTIFS(Bets[Date],L71,Bets[Result],"L")),"")</f>
        <v/>
      </c>
      <c r="O71" s="26">
        <f>SUMIF(Bets[Date],L71,Bets[Net])</f>
        <v>0</v>
      </c>
      <c r="P71" s="27" t="str">
        <f>IFERROR("("&amp;ROUND(SUMIF(Bets[Date],L71,Bets[Net])/SUMIF(Bets[Date],L71,Bets[Risk]),2)*100&amp;"%)","")</f>
        <v/>
      </c>
      <c r="Q71" s="72" t="str">
        <f t="shared" si="6"/>
        <v/>
      </c>
      <c r="R71" s="73" t="str">
        <f>IFERROR(SUMIF(Bets[Date],"&lt;="&amp;L71,Bets[Net])/SUMIF(Bets[Date],"&lt;="&amp;L71,Bets[Risk]),"")</f>
        <v/>
      </c>
    </row>
    <row r="72" spans="1:18" x14ac:dyDescent="0.25">
      <c r="A72" s="13">
        <f t="shared" si="4"/>
        <v>6</v>
      </c>
      <c r="B72" s="17">
        <v>43585</v>
      </c>
      <c r="C72" s="17" t="s">
        <v>802</v>
      </c>
      <c r="D72" s="18" t="s">
        <v>1154</v>
      </c>
      <c r="E72" s="11" t="s">
        <v>876</v>
      </c>
      <c r="F72" s="19">
        <f>10</f>
        <v>10</v>
      </c>
      <c r="G72" s="37">
        <v>-105</v>
      </c>
      <c r="H72" s="21" t="s">
        <v>262</v>
      </c>
      <c r="I72" s="45">
        <f>IF(Bets[[#This Row],[Result]]="L",0-Bets[[#This Row],[Risk]],IF(Bets[[#This Row],[Result]]="Push",0,IF(Bets[[#This Row],[Result]]="No Action",0,IF(Bets[[#This Row],[Result]]="W",IF(Bets[[#This Row],[Odds]]&gt;0,Bets[[#This Row],[Odds]]/100*Bets[[#This Row],[Risk]],(Bets[[#This Row],[Risk]]/Bets[[#This Row],[Odds]]*-100)),""))))</f>
        <v>9.5238095238095237</v>
      </c>
      <c r="J72" s="23" t="str">
        <f>IF(ISNUMBER(SEARCH(CHAR(10),Bets[[#This Row],[Bet]])),"P",IF(ISNUMBER(FIND("Under",Bets[[#This Row],[Bet]])),"U",IF(ISNUMBER(SEARCH("Over",Bets[[#This Row],[Bet]])),"O",IF(ISNUMBER(SEARCH("+",Bets[[#This Row],[Bet]])),"D",IF(ISNUMBER(SEARCH("-",Bets[[#This Row],[Bet]])),"F",IF(ISNUMBER(SEARCH("Moneyline",Bets[[#This Row],[Bet]])),IF(Bets[[#This Row],[Odds]]&lt;0,"MF","MD"),""))))))</f>
        <v>MF</v>
      </c>
      <c r="K72"/>
      <c r="L72" s="24">
        <f t="shared" si="5"/>
        <v>0</v>
      </c>
      <c r="M72" s="1" t="str">
        <f>COUNTIFS(Bets[Date],L72,Bets[Result],"W")&amp;"-"&amp;COUNTIFS(Bets[Date],L72,Bets[Result],"L")&amp;IF(COUNTIFS(Bets[Date],L72,Bets[Result],"Push")&gt;0,"-"&amp;COUNTIFS(Bets[Date],L72,Bets[Result],"Push"),"")</f>
        <v>0-0</v>
      </c>
      <c r="N72" s="25" t="str">
        <f>IFERROR(COUNTIFS(Bets[Date],L72,Bets[Result],"W")/(COUNTIFS(Bets[Date],L72,Bets[Result],"W")+COUNTIFS(Bets[Date],L72,Bets[Result],"L")),"")</f>
        <v/>
      </c>
      <c r="O72" s="26">
        <f>SUMIF(Bets[Date],L72,Bets[Net])</f>
        <v>0</v>
      </c>
      <c r="P72" s="27" t="str">
        <f>IFERROR("("&amp;ROUND(SUMIF(Bets[Date],L72,Bets[Net])/SUMIF(Bets[Date],L72,Bets[Risk]),2)*100&amp;"%)","")</f>
        <v/>
      </c>
      <c r="Q72" s="72" t="str">
        <f t="shared" si="6"/>
        <v/>
      </c>
      <c r="R72" s="73" t="str">
        <f>IFERROR(SUMIF(Bets[Date],"&lt;="&amp;L72,Bets[Net])/SUMIF(Bets[Date],"&lt;="&amp;L72,Bets[Risk]),"")</f>
        <v/>
      </c>
    </row>
    <row r="73" spans="1:18" x14ac:dyDescent="0.25">
      <c r="A73" s="13">
        <f t="shared" si="4"/>
        <v>6</v>
      </c>
      <c r="B73" s="17">
        <v>43585</v>
      </c>
      <c r="C73" s="17" t="s">
        <v>802</v>
      </c>
      <c r="D73" s="18" t="s">
        <v>929</v>
      </c>
      <c r="E73" s="11" t="s">
        <v>874</v>
      </c>
      <c r="F73" s="19">
        <f>10</f>
        <v>10</v>
      </c>
      <c r="G73" s="37" t="s">
        <v>825</v>
      </c>
      <c r="H73" s="21" t="s">
        <v>846</v>
      </c>
      <c r="I73" s="45">
        <f>IF(Bets[[#This Row],[Result]]="L",0-Bets[[#This Row],[Risk]],IF(Bets[[#This Row],[Result]]="Push",0,IF(Bets[[#This Row],[Result]]="No Action",0,IF(Bets[[#This Row],[Result]]="W",IF(Bets[[#This Row],[Odds]]&gt;0,Bets[[#This Row],[Odds]]/100*Bets[[#This Row],[Risk]],(Bets[[#This Row],[Risk]]/Bets[[#This Row],[Odds]]*-100)),""))))</f>
        <v>0</v>
      </c>
      <c r="J73" s="39" t="str">
        <f>IF(ISNUMBER(SEARCH(CHAR(10),Bets[[#This Row],[Bet]])),"P",IF(ISNUMBER(FIND("Under",Bets[[#This Row],[Bet]])),"U",IF(ISNUMBER(SEARCH("Over",Bets[[#This Row],[Bet]])),"O",IF(ISNUMBER(SEARCH("+",Bets[[#This Row],[Bet]])),"D",IF(ISNUMBER(SEARCH("-",Bets[[#This Row],[Bet]])),"F",IF(ISNUMBER(SEARCH("Moneyline",Bets[[#This Row],[Bet]])),IF(Bets[[#This Row],[Odds]]&lt;0,"MF","MD"),""))))))</f>
        <v>MD</v>
      </c>
      <c r="K73"/>
      <c r="L73" s="24">
        <f t="shared" si="5"/>
        <v>0</v>
      </c>
      <c r="M73" s="1" t="str">
        <f>COUNTIFS(Bets[Date],L73,Bets[Result],"W")&amp;"-"&amp;COUNTIFS(Bets[Date],L73,Bets[Result],"L")&amp;IF(COUNTIFS(Bets[Date],L73,Bets[Result],"Push")&gt;0,"-"&amp;COUNTIFS(Bets[Date],L73,Bets[Result],"Push"),"")</f>
        <v>0-0</v>
      </c>
      <c r="N73" s="25" t="str">
        <f>IFERROR(COUNTIFS(Bets[Date],L73,Bets[Result],"W")/(COUNTIFS(Bets[Date],L73,Bets[Result],"W")+COUNTIFS(Bets[Date],L73,Bets[Result],"L")),"")</f>
        <v/>
      </c>
      <c r="O73" s="26">
        <f>SUMIF(Bets[Date],L73,Bets[Net])</f>
        <v>0</v>
      </c>
      <c r="P73" s="27" t="str">
        <f>IFERROR("("&amp;ROUND(SUMIF(Bets[Date],L73,Bets[Net])/SUMIF(Bets[Date],L73,Bets[Risk]),2)*100&amp;"%)","")</f>
        <v/>
      </c>
      <c r="Q73" s="72" t="str">
        <f t="shared" si="6"/>
        <v/>
      </c>
      <c r="R73" s="73" t="str">
        <f>IFERROR(SUMIF(Bets[Date],"&lt;="&amp;L73,Bets[Net])/SUMIF(Bets[Date],"&lt;="&amp;L73,Bets[Risk]),"")</f>
        <v/>
      </c>
    </row>
    <row r="74" spans="1:18" x14ac:dyDescent="0.25">
      <c r="A74" s="13">
        <f t="shared" si="4"/>
        <v>6</v>
      </c>
      <c r="B74" s="17">
        <v>43585</v>
      </c>
      <c r="C74" s="17" t="s">
        <v>802</v>
      </c>
      <c r="D74" s="18" t="s">
        <v>930</v>
      </c>
      <c r="E74" s="11" t="s">
        <v>819</v>
      </c>
      <c r="F74" s="19">
        <f>10</f>
        <v>10</v>
      </c>
      <c r="G74" s="37">
        <v>-173</v>
      </c>
      <c r="H74" s="21" t="s">
        <v>846</v>
      </c>
      <c r="I74" s="45">
        <f>IF(Bets[[#This Row],[Result]]="L",0-Bets[[#This Row],[Risk]],IF(Bets[[#This Row],[Result]]="Push",0,IF(Bets[[#This Row],[Result]]="No Action",0,IF(Bets[[#This Row],[Result]]="W",IF(Bets[[#This Row],[Odds]]&gt;0,Bets[[#This Row],[Odds]]/100*Bets[[#This Row],[Risk]],(Bets[[#This Row],[Risk]]/Bets[[#This Row],[Odds]]*-100)),""))))</f>
        <v>0</v>
      </c>
      <c r="J74" s="39" t="str">
        <f>IF(ISNUMBER(SEARCH(CHAR(10),Bets[[#This Row],[Bet]])),"P",IF(ISNUMBER(FIND("Under",Bets[[#This Row],[Bet]])),"U",IF(ISNUMBER(SEARCH("Over",Bets[[#This Row],[Bet]])),"O",IF(ISNUMBER(SEARCH("+",Bets[[#This Row],[Bet]])),"D",IF(ISNUMBER(SEARCH("-",Bets[[#This Row],[Bet]])),"F",IF(ISNUMBER(SEARCH("Moneyline",Bets[[#This Row],[Bet]])),IF(Bets[[#This Row],[Odds]]&lt;0,"MF","MD"),""))))))</f>
        <v>MF</v>
      </c>
      <c r="K74"/>
      <c r="L74" s="24">
        <f t="shared" si="5"/>
        <v>0</v>
      </c>
      <c r="M74" s="1" t="str">
        <f>COUNTIFS(Bets[Date],L74,Bets[Result],"W")&amp;"-"&amp;COUNTIFS(Bets[Date],L74,Bets[Result],"L")&amp;IF(COUNTIFS(Bets[Date],L74,Bets[Result],"Push")&gt;0,"-"&amp;COUNTIFS(Bets[Date],L74,Bets[Result],"Push"),"")</f>
        <v>0-0</v>
      </c>
      <c r="N74" s="25" t="str">
        <f>IFERROR(COUNTIFS(Bets[Date],L74,Bets[Result],"W")/(COUNTIFS(Bets[Date],L74,Bets[Result],"W")+COUNTIFS(Bets[Date],L74,Bets[Result],"L")),"")</f>
        <v/>
      </c>
      <c r="O74" s="26">
        <f>SUMIF(Bets[Date],L74,Bets[Net])</f>
        <v>0</v>
      </c>
      <c r="P74" s="27" t="str">
        <f>IFERROR("("&amp;ROUND(SUMIF(Bets[Date],L74,Bets[Net])/SUMIF(Bets[Date],L74,Bets[Risk]),2)*100&amp;"%)","")</f>
        <v/>
      </c>
      <c r="Q74" s="72" t="str">
        <f t="shared" si="6"/>
        <v/>
      </c>
      <c r="R74" s="73" t="str">
        <f>IFERROR(SUMIF(Bets[Date],"&lt;="&amp;L74,Bets[Net])/SUMIF(Bets[Date],"&lt;="&amp;L74,Bets[Risk]),"")</f>
        <v/>
      </c>
    </row>
    <row r="75" spans="1:18" x14ac:dyDescent="0.25">
      <c r="A75" s="13">
        <f t="shared" si="4"/>
        <v>6</v>
      </c>
      <c r="B75" s="17">
        <v>43585</v>
      </c>
      <c r="C75" s="17" t="s">
        <v>802</v>
      </c>
      <c r="D75" s="18" t="s">
        <v>1155</v>
      </c>
      <c r="E75" s="11" t="s">
        <v>832</v>
      </c>
      <c r="F75" s="19">
        <f>10</f>
        <v>10</v>
      </c>
      <c r="G75" s="37" t="s">
        <v>817</v>
      </c>
      <c r="H75" s="21" t="s">
        <v>263</v>
      </c>
      <c r="I75" s="45">
        <f>IF(Bets[[#This Row],[Result]]="L",0-Bets[[#This Row],[Risk]],IF(Bets[[#This Row],[Result]]="Push",0,IF(Bets[[#This Row],[Result]]="No Action",0,IF(Bets[[#This Row],[Result]]="W",IF(Bets[[#This Row],[Odds]]&gt;0,Bets[[#This Row],[Odds]]/100*Bets[[#This Row],[Risk]],(Bets[[#This Row],[Risk]]/Bets[[#This Row],[Odds]]*-100)),""))))</f>
        <v>-10</v>
      </c>
      <c r="J75" s="39" t="str">
        <f>IF(ISNUMBER(SEARCH(CHAR(10),Bets[[#This Row],[Bet]])),"P",IF(ISNUMBER(FIND("Under",Bets[[#This Row],[Bet]])),"U",IF(ISNUMBER(SEARCH("Over",Bets[[#This Row],[Bet]])),"O",IF(ISNUMBER(SEARCH("+",Bets[[#This Row],[Bet]])),"D",IF(ISNUMBER(SEARCH("-",Bets[[#This Row],[Bet]])),"F",IF(ISNUMBER(SEARCH("Moneyline",Bets[[#This Row],[Bet]])),IF(Bets[[#This Row],[Odds]]&lt;0,"MF","MD"),""))))))</f>
        <v>MD</v>
      </c>
      <c r="K75"/>
      <c r="L75" s="24">
        <f t="shared" si="5"/>
        <v>0</v>
      </c>
      <c r="M75" s="1" t="str">
        <f>COUNTIFS(Bets[Date],L75,Bets[Result],"W")&amp;"-"&amp;COUNTIFS(Bets[Date],L75,Bets[Result],"L")&amp;IF(COUNTIFS(Bets[Date],L75,Bets[Result],"Push")&gt;0,"-"&amp;COUNTIFS(Bets[Date],L75,Bets[Result],"Push"),"")</f>
        <v>0-0</v>
      </c>
      <c r="N75" s="25" t="str">
        <f>IFERROR(COUNTIFS(Bets[Date],L75,Bets[Result],"W")/(COUNTIFS(Bets[Date],L75,Bets[Result],"W")+COUNTIFS(Bets[Date],L75,Bets[Result],"L")),"")</f>
        <v/>
      </c>
      <c r="O75" s="26">
        <f>SUMIF(Bets[Date],L75,Bets[Net])</f>
        <v>0</v>
      </c>
      <c r="P75" s="27" t="str">
        <f>IFERROR("("&amp;ROUND(SUMIF(Bets[Date],L75,Bets[Net])/SUMIF(Bets[Date],L75,Bets[Risk]),2)*100&amp;"%)","")</f>
        <v/>
      </c>
      <c r="Q75" s="72" t="str">
        <f t="shared" si="6"/>
        <v/>
      </c>
      <c r="R75" s="73" t="str">
        <f>IFERROR(SUMIF(Bets[Date],"&lt;="&amp;L75,Bets[Net])/SUMIF(Bets[Date],"&lt;="&amp;L75,Bets[Risk]),"")</f>
        <v/>
      </c>
    </row>
    <row r="76" spans="1:18" x14ac:dyDescent="0.25">
      <c r="A76" s="13">
        <f t="shared" si="4"/>
        <v>6</v>
      </c>
      <c r="B76" s="17">
        <v>43585</v>
      </c>
      <c r="C76" s="17" t="s">
        <v>802</v>
      </c>
      <c r="D76" s="18" t="s">
        <v>935</v>
      </c>
      <c r="E76" s="11" t="s">
        <v>827</v>
      </c>
      <c r="F76" s="19">
        <f>10</f>
        <v>10</v>
      </c>
      <c r="G76" s="37">
        <v>-140</v>
      </c>
      <c r="H76" s="21" t="s">
        <v>262</v>
      </c>
      <c r="I76" s="45">
        <f>IF(Bets[[#This Row],[Result]]="L",0-Bets[[#This Row],[Risk]],IF(Bets[[#This Row],[Result]]="Push",0,IF(Bets[[#This Row],[Result]]="No Action",0,IF(Bets[[#This Row],[Result]]="W",IF(Bets[[#This Row],[Odds]]&gt;0,Bets[[#This Row],[Odds]]/100*Bets[[#This Row],[Risk]],(Bets[[#This Row],[Risk]]/Bets[[#This Row],[Odds]]*-100)),""))))</f>
        <v>7.1428571428571423</v>
      </c>
      <c r="J76" s="39" t="str">
        <f>IF(ISNUMBER(SEARCH(CHAR(10),Bets[[#This Row],[Bet]])),"P",IF(ISNUMBER(FIND("Under",Bets[[#This Row],[Bet]])),"U",IF(ISNUMBER(SEARCH("Over",Bets[[#This Row],[Bet]])),"O",IF(ISNUMBER(SEARCH("+",Bets[[#This Row],[Bet]])),"D",IF(ISNUMBER(SEARCH("-",Bets[[#This Row],[Bet]])),"F",IF(ISNUMBER(SEARCH("Moneyline",Bets[[#This Row],[Bet]])),IF(Bets[[#This Row],[Odds]]&lt;0,"MF","MD"),""))))))</f>
        <v>MF</v>
      </c>
      <c r="K76"/>
      <c r="L76" s="24">
        <f t="shared" si="5"/>
        <v>0</v>
      </c>
      <c r="M76" s="1" t="str">
        <f>COUNTIFS(Bets[Date],L76,Bets[Result],"W")&amp;"-"&amp;COUNTIFS(Bets[Date],L76,Bets[Result],"L")&amp;IF(COUNTIFS(Bets[Date],L76,Bets[Result],"Push")&gt;0,"-"&amp;COUNTIFS(Bets[Date],L76,Bets[Result],"Push"),"")</f>
        <v>0-0</v>
      </c>
      <c r="N76" s="25" t="str">
        <f>IFERROR(COUNTIFS(Bets[Date],L76,Bets[Result],"W")/(COUNTIFS(Bets[Date],L76,Bets[Result],"W")+COUNTIFS(Bets[Date],L76,Bets[Result],"L")),"")</f>
        <v/>
      </c>
      <c r="O76" s="26">
        <f>SUMIF(Bets[Date],L76,Bets[Net])</f>
        <v>0</v>
      </c>
      <c r="P76" s="27" t="str">
        <f>IFERROR("("&amp;ROUND(SUMIF(Bets[Date],L76,Bets[Net])/SUMIF(Bets[Date],L76,Bets[Risk]),2)*100&amp;"%)","")</f>
        <v/>
      </c>
      <c r="Q76" s="72" t="str">
        <f t="shared" si="6"/>
        <v/>
      </c>
      <c r="R76" s="73" t="str">
        <f>IFERROR(SUMIF(Bets[Date],"&lt;="&amp;L76,Bets[Net])/SUMIF(Bets[Date],"&lt;="&amp;L76,Bets[Risk]),"")</f>
        <v/>
      </c>
    </row>
    <row r="77" spans="1:18" x14ac:dyDescent="0.25">
      <c r="A77" s="13">
        <f t="shared" si="4"/>
        <v>6</v>
      </c>
      <c r="B77" s="17">
        <v>43585</v>
      </c>
      <c r="C77" s="17" t="s">
        <v>802</v>
      </c>
      <c r="D77" s="18" t="s">
        <v>926</v>
      </c>
      <c r="E77" s="11" t="s">
        <v>1156</v>
      </c>
      <c r="F77" s="19">
        <f>10</f>
        <v>10</v>
      </c>
      <c r="G77" s="37">
        <v>-120</v>
      </c>
      <c r="H77" s="21" t="s">
        <v>263</v>
      </c>
      <c r="I77" s="45">
        <f>IF(Bets[[#This Row],[Result]]="L",0-Bets[[#This Row],[Risk]],IF(Bets[[#This Row],[Result]]="Push",0,IF(Bets[[#This Row],[Result]]="No Action",0,IF(Bets[[#This Row],[Result]]="W",IF(Bets[[#This Row],[Odds]]&gt;0,Bets[[#This Row],[Odds]]/100*Bets[[#This Row],[Risk]],(Bets[[#This Row],[Risk]]/Bets[[#This Row],[Odds]]*-100)),""))))</f>
        <v>-10</v>
      </c>
      <c r="J77" s="39" t="str">
        <f>IF(ISNUMBER(SEARCH(CHAR(10),Bets[[#This Row],[Bet]])),"P",IF(ISNUMBER(FIND("Under",Bets[[#This Row],[Bet]])),"U",IF(ISNUMBER(SEARCH("Over",Bets[[#This Row],[Bet]])),"O",IF(ISNUMBER(SEARCH("+",Bets[[#This Row],[Bet]])),"D",IF(ISNUMBER(SEARCH("-",Bets[[#This Row],[Bet]])),"F",IF(ISNUMBER(SEARCH("Moneyline",Bets[[#This Row],[Bet]])),IF(Bets[[#This Row],[Odds]]&lt;0,"MF","MD"),""))))))</f>
        <v>O</v>
      </c>
      <c r="K77"/>
      <c r="L77" s="24">
        <f t="shared" si="5"/>
        <v>0</v>
      </c>
      <c r="M77" s="1" t="str">
        <f>COUNTIFS(Bets[Date],L77,Bets[Result],"W")&amp;"-"&amp;COUNTIFS(Bets[Date],L77,Bets[Result],"L")&amp;IF(COUNTIFS(Bets[Date],L77,Bets[Result],"Push")&gt;0,"-"&amp;COUNTIFS(Bets[Date],L77,Bets[Result],"Push"),"")</f>
        <v>0-0</v>
      </c>
      <c r="N77" s="25" t="str">
        <f>IFERROR(COUNTIFS(Bets[Date],L77,Bets[Result],"W")/(COUNTIFS(Bets[Date],L77,Bets[Result],"W")+COUNTIFS(Bets[Date],L77,Bets[Result],"L")),"")</f>
        <v/>
      </c>
      <c r="O77" s="26">
        <f>SUMIF(Bets[Date],L77,Bets[Net])</f>
        <v>0</v>
      </c>
      <c r="P77" s="27" t="str">
        <f>IFERROR("("&amp;ROUND(SUMIF(Bets[Date],L77,Bets[Net])/SUMIF(Bets[Date],L77,Bets[Risk]),2)*100&amp;"%)","")</f>
        <v/>
      </c>
      <c r="Q77" s="72" t="str">
        <f t="shared" si="6"/>
        <v/>
      </c>
      <c r="R77" s="73" t="str">
        <f>IFERROR(SUMIF(Bets[Date],"&lt;="&amp;L77,Bets[Net])/SUMIF(Bets[Date],"&lt;="&amp;L77,Bets[Risk]),"")</f>
        <v/>
      </c>
    </row>
    <row r="78" spans="1:18" x14ac:dyDescent="0.25">
      <c r="A78" s="13">
        <f t="shared" si="4"/>
        <v>6</v>
      </c>
      <c r="B78" s="17">
        <v>43585</v>
      </c>
      <c r="C78" s="17" t="s">
        <v>802</v>
      </c>
      <c r="D78" s="18" t="s">
        <v>925</v>
      </c>
      <c r="E78" s="11" t="s">
        <v>1156</v>
      </c>
      <c r="F78" s="19">
        <f>10</f>
        <v>10</v>
      </c>
      <c r="G78" s="37">
        <v>-110</v>
      </c>
      <c r="H78" s="21" t="s">
        <v>263</v>
      </c>
      <c r="I78" s="45">
        <f>IF(Bets[[#This Row],[Result]]="L",0-Bets[[#This Row],[Risk]],IF(Bets[[#This Row],[Result]]="Push",0,IF(Bets[[#This Row],[Result]]="No Action",0,IF(Bets[[#This Row],[Result]]="W",IF(Bets[[#This Row],[Odds]]&gt;0,Bets[[#This Row],[Odds]]/100*Bets[[#This Row],[Risk]],(Bets[[#This Row],[Risk]]/Bets[[#This Row],[Odds]]*-100)),""))))</f>
        <v>-10</v>
      </c>
      <c r="J78" s="39" t="str">
        <f>IF(ISNUMBER(SEARCH(CHAR(10),Bets[[#This Row],[Bet]])),"P",IF(ISNUMBER(FIND("Under",Bets[[#This Row],[Bet]])),"U",IF(ISNUMBER(SEARCH("Over",Bets[[#This Row],[Bet]])),"O",IF(ISNUMBER(SEARCH("+",Bets[[#This Row],[Bet]])),"D",IF(ISNUMBER(SEARCH("-",Bets[[#This Row],[Bet]])),"F",IF(ISNUMBER(SEARCH("Moneyline",Bets[[#This Row],[Bet]])),IF(Bets[[#This Row],[Odds]]&lt;0,"MF","MD"),""))))))</f>
        <v>O</v>
      </c>
      <c r="K78"/>
      <c r="L78" s="24">
        <f t="shared" si="5"/>
        <v>0</v>
      </c>
      <c r="M78" s="1" t="str">
        <f>COUNTIFS(Bets[Date],L78,Bets[Result],"W")&amp;"-"&amp;COUNTIFS(Bets[Date],L78,Bets[Result],"L")&amp;IF(COUNTIFS(Bets[Date],L78,Bets[Result],"Push")&gt;0,"-"&amp;COUNTIFS(Bets[Date],L78,Bets[Result],"Push"),"")</f>
        <v>0-0</v>
      </c>
      <c r="N78" s="25" t="str">
        <f>IFERROR(COUNTIFS(Bets[Date],L78,Bets[Result],"W")/(COUNTIFS(Bets[Date],L78,Bets[Result],"W")+COUNTIFS(Bets[Date],L78,Bets[Result],"L")),"")</f>
        <v/>
      </c>
      <c r="O78" s="26">
        <f>SUMIF(Bets[Date],L78,Bets[Net])</f>
        <v>0</v>
      </c>
      <c r="P78" s="27" t="str">
        <f>IFERROR("("&amp;ROUND(SUMIF(Bets[Date],L78,Bets[Net])/SUMIF(Bets[Date],L78,Bets[Risk]),2)*100&amp;"%)","")</f>
        <v/>
      </c>
      <c r="Q78" s="72" t="str">
        <f t="shared" si="6"/>
        <v/>
      </c>
      <c r="R78" s="73" t="str">
        <f>IFERROR(SUMIF(Bets[Date],"&lt;="&amp;L78,Bets[Net])/SUMIF(Bets[Date],"&lt;="&amp;L78,Bets[Risk]),"")</f>
        <v/>
      </c>
    </row>
    <row r="79" spans="1:18" x14ac:dyDescent="0.25">
      <c r="A79" s="13">
        <f t="shared" si="4"/>
        <v>6</v>
      </c>
      <c r="B79" s="17">
        <v>43585</v>
      </c>
      <c r="C79" s="17" t="s">
        <v>802</v>
      </c>
      <c r="D79" s="18" t="s">
        <v>1157</v>
      </c>
      <c r="E79" s="11" t="s">
        <v>931</v>
      </c>
      <c r="F79" s="19">
        <f>10</f>
        <v>10</v>
      </c>
      <c r="G79" s="37">
        <v>-110</v>
      </c>
      <c r="H79" s="21" t="s">
        <v>262</v>
      </c>
      <c r="I79" s="45">
        <f>IF(Bets[[#This Row],[Result]]="L",0-Bets[[#This Row],[Risk]],IF(Bets[[#This Row],[Result]]="Push",0,IF(Bets[[#This Row],[Result]]="No Action",0,IF(Bets[[#This Row],[Result]]="W",IF(Bets[[#This Row],[Odds]]&gt;0,Bets[[#This Row],[Odds]]/100*Bets[[#This Row],[Risk]],(Bets[[#This Row],[Risk]]/Bets[[#This Row],[Odds]]*-100)),""))))</f>
        <v>9.0909090909090917</v>
      </c>
      <c r="J79" s="39" t="str">
        <f>IF(ISNUMBER(SEARCH(CHAR(10),Bets[[#This Row],[Bet]])),"P",IF(ISNUMBER(FIND("Under",Bets[[#This Row],[Bet]])),"U",IF(ISNUMBER(SEARCH("Over",Bets[[#This Row],[Bet]])),"O",IF(ISNUMBER(SEARCH("+",Bets[[#This Row],[Bet]])),"D",IF(ISNUMBER(SEARCH("-",Bets[[#This Row],[Bet]])),"F",IF(ISNUMBER(SEARCH("Moneyline",Bets[[#This Row],[Bet]])),IF(Bets[[#This Row],[Odds]]&lt;0,"MF","MD"),""))))))</f>
        <v>O</v>
      </c>
      <c r="K79"/>
      <c r="L79" s="24">
        <f t="shared" si="5"/>
        <v>0</v>
      </c>
      <c r="M79" s="1" t="str">
        <f>COUNTIFS(Bets[Date],L79,Bets[Result],"W")&amp;"-"&amp;COUNTIFS(Bets[Date],L79,Bets[Result],"L")&amp;IF(COUNTIFS(Bets[Date],L79,Bets[Result],"Push")&gt;0,"-"&amp;COUNTIFS(Bets[Date],L79,Bets[Result],"Push"),"")</f>
        <v>0-0</v>
      </c>
      <c r="N79" s="25" t="str">
        <f>IFERROR(COUNTIFS(Bets[Date],L79,Bets[Result],"W")/(COUNTIFS(Bets[Date],L79,Bets[Result],"W")+COUNTIFS(Bets[Date],L79,Bets[Result],"L")),"")</f>
        <v/>
      </c>
      <c r="O79" s="26">
        <f>SUMIF(Bets[Date],L79,Bets[Net])</f>
        <v>0</v>
      </c>
      <c r="P79" s="27" t="str">
        <f>IFERROR("("&amp;ROUND(SUMIF(Bets[Date],L79,Bets[Net])/SUMIF(Bets[Date],L79,Bets[Risk]),2)*100&amp;"%)","")</f>
        <v/>
      </c>
      <c r="Q79" s="72" t="str">
        <f t="shared" si="6"/>
        <v/>
      </c>
      <c r="R79" s="73" t="str">
        <f>IFERROR(SUMIF(Bets[Date],"&lt;="&amp;L79,Bets[Net])/SUMIF(Bets[Date],"&lt;="&amp;L79,Bets[Risk]),"")</f>
        <v/>
      </c>
    </row>
    <row r="80" spans="1:18" x14ac:dyDescent="0.25">
      <c r="A80" s="13">
        <f t="shared" si="4"/>
        <v>6</v>
      </c>
      <c r="B80" s="17">
        <v>43585</v>
      </c>
      <c r="C80" s="17" t="s">
        <v>802</v>
      </c>
      <c r="D80" s="18" t="s">
        <v>1154</v>
      </c>
      <c r="E80" s="11" t="s">
        <v>1158</v>
      </c>
      <c r="F80" s="19">
        <f>10</f>
        <v>10</v>
      </c>
      <c r="G80" s="37">
        <v>-110</v>
      </c>
      <c r="H80" s="21" t="s">
        <v>262</v>
      </c>
      <c r="I80" s="45">
        <f>IF(Bets[[#This Row],[Result]]="L",0-Bets[[#This Row],[Risk]],IF(Bets[[#This Row],[Result]]="Push",0,IF(Bets[[#This Row],[Result]]="No Action",0,IF(Bets[[#This Row],[Result]]="W",IF(Bets[[#This Row],[Odds]]&gt;0,Bets[[#This Row],[Odds]]/100*Bets[[#This Row],[Risk]],(Bets[[#This Row],[Risk]]/Bets[[#This Row],[Odds]]*-100)),""))))</f>
        <v>9.0909090909090917</v>
      </c>
      <c r="J80" s="39" t="str">
        <f>IF(ISNUMBER(SEARCH(CHAR(10),Bets[[#This Row],[Bet]])),"P",IF(ISNUMBER(FIND("Under",Bets[[#This Row],[Bet]])),"U",IF(ISNUMBER(SEARCH("Over",Bets[[#This Row],[Bet]])),"O",IF(ISNUMBER(SEARCH("+",Bets[[#This Row],[Bet]])),"D",IF(ISNUMBER(SEARCH("-",Bets[[#This Row],[Bet]])),"F",IF(ISNUMBER(SEARCH("Moneyline",Bets[[#This Row],[Bet]])),IF(Bets[[#This Row],[Odds]]&lt;0,"MF","MD"),""))))))</f>
        <v>U</v>
      </c>
      <c r="K80"/>
      <c r="L80" s="24">
        <f t="shared" si="5"/>
        <v>0</v>
      </c>
      <c r="M80" s="1" t="str">
        <f>COUNTIFS(Bets[Date],L80,Bets[Result],"W")&amp;"-"&amp;COUNTIFS(Bets[Date],L80,Bets[Result],"L")&amp;IF(COUNTIFS(Bets[Date],L80,Bets[Result],"Push")&gt;0,"-"&amp;COUNTIFS(Bets[Date],L80,Bets[Result],"Push"),"")</f>
        <v>0-0</v>
      </c>
      <c r="N80" s="25" t="str">
        <f>IFERROR(COUNTIFS(Bets[Date],L80,Bets[Result],"W")/(COUNTIFS(Bets[Date],L80,Bets[Result],"W")+COUNTIFS(Bets[Date],L80,Bets[Result],"L")),"")</f>
        <v/>
      </c>
      <c r="O80" s="26">
        <f>SUMIF(Bets[Date],L80,Bets[Net])</f>
        <v>0</v>
      </c>
      <c r="P80" s="27" t="str">
        <f>IFERROR("("&amp;ROUND(SUMIF(Bets[Date],L80,Bets[Net])/SUMIF(Bets[Date],L80,Bets[Risk]),2)*100&amp;"%)","")</f>
        <v/>
      </c>
      <c r="Q80" s="72" t="str">
        <f t="shared" si="6"/>
        <v/>
      </c>
      <c r="R80" s="73" t="str">
        <f>IFERROR(SUMIF(Bets[Date],"&lt;="&amp;L80,Bets[Net])/SUMIF(Bets[Date],"&lt;="&amp;L80,Bets[Risk]),"")</f>
        <v/>
      </c>
    </row>
    <row r="81" spans="1:18" x14ac:dyDescent="0.25">
      <c r="A81" s="13">
        <f t="shared" si="4"/>
        <v>6</v>
      </c>
      <c r="B81" s="17">
        <v>43585</v>
      </c>
      <c r="C81" s="17" t="s">
        <v>802</v>
      </c>
      <c r="D81" s="18" t="s">
        <v>929</v>
      </c>
      <c r="E81" s="11" t="s">
        <v>905</v>
      </c>
      <c r="F81" s="19">
        <f>10</f>
        <v>10</v>
      </c>
      <c r="G81" s="37">
        <v>-105</v>
      </c>
      <c r="H81" s="21" t="s">
        <v>846</v>
      </c>
      <c r="I81" s="45">
        <f>IF(Bets[[#This Row],[Result]]="L",0-Bets[[#This Row],[Risk]],IF(Bets[[#This Row],[Result]]="Push",0,IF(Bets[[#This Row],[Result]]="No Action",0,IF(Bets[[#This Row],[Result]]="W",IF(Bets[[#This Row],[Odds]]&gt;0,Bets[[#This Row],[Odds]]/100*Bets[[#This Row],[Risk]],(Bets[[#This Row],[Risk]]/Bets[[#This Row],[Odds]]*-100)),""))))</f>
        <v>0</v>
      </c>
      <c r="J81" s="39" t="str">
        <f>IF(ISNUMBER(SEARCH(CHAR(10),Bets[[#This Row],[Bet]])),"P",IF(ISNUMBER(FIND("Under",Bets[[#This Row],[Bet]])),"U",IF(ISNUMBER(SEARCH("Over",Bets[[#This Row],[Bet]])),"O",IF(ISNUMBER(SEARCH("+",Bets[[#This Row],[Bet]])),"D",IF(ISNUMBER(SEARCH("-",Bets[[#This Row],[Bet]])),"F",IF(ISNUMBER(SEARCH("Moneyline",Bets[[#This Row],[Bet]])),IF(Bets[[#This Row],[Odds]]&lt;0,"MF","MD"),""))))))</f>
        <v>O</v>
      </c>
      <c r="K81"/>
      <c r="L81" s="24">
        <f t="shared" si="5"/>
        <v>0</v>
      </c>
      <c r="M81" s="1" t="str">
        <f>COUNTIFS(Bets[Date],L81,Bets[Result],"W")&amp;"-"&amp;COUNTIFS(Bets[Date],L81,Bets[Result],"L")&amp;IF(COUNTIFS(Bets[Date],L81,Bets[Result],"Push")&gt;0,"-"&amp;COUNTIFS(Bets[Date],L81,Bets[Result],"Push"),"")</f>
        <v>0-0</v>
      </c>
      <c r="N81" s="25" t="str">
        <f>IFERROR(COUNTIFS(Bets[Date],L81,Bets[Result],"W")/(COUNTIFS(Bets[Date],L81,Bets[Result],"W")+COUNTIFS(Bets[Date],L81,Bets[Result],"L")),"")</f>
        <v/>
      </c>
      <c r="O81" s="26">
        <f>SUMIF(Bets[Date],L81,Bets[Net])</f>
        <v>0</v>
      </c>
      <c r="P81" s="27" t="str">
        <f>IFERROR("("&amp;ROUND(SUMIF(Bets[Date],L81,Bets[Net])/SUMIF(Bets[Date],L81,Bets[Risk]),2)*100&amp;"%)","")</f>
        <v/>
      </c>
      <c r="Q81" s="72" t="str">
        <f t="shared" si="6"/>
        <v/>
      </c>
      <c r="R81" s="73" t="str">
        <f>IFERROR(SUMIF(Bets[Date],"&lt;="&amp;L81,Bets[Net])/SUMIF(Bets[Date],"&lt;="&amp;L81,Bets[Risk]),"")</f>
        <v/>
      </c>
    </row>
    <row r="82" spans="1:18" x14ac:dyDescent="0.25">
      <c r="A82" s="13">
        <f t="shared" si="4"/>
        <v>6</v>
      </c>
      <c r="B82" s="17">
        <v>43585</v>
      </c>
      <c r="C82" s="17" t="s">
        <v>802</v>
      </c>
      <c r="D82" s="18" t="s">
        <v>935</v>
      </c>
      <c r="E82" s="11" t="s">
        <v>902</v>
      </c>
      <c r="F82" s="19">
        <f>10</f>
        <v>10</v>
      </c>
      <c r="G82" s="37">
        <v>-120</v>
      </c>
      <c r="H82" s="21" t="s">
        <v>262</v>
      </c>
      <c r="I82" s="45">
        <f>IF(Bets[[#This Row],[Result]]="L",0-Bets[[#This Row],[Risk]],IF(Bets[[#This Row],[Result]]="Push",0,IF(Bets[[#This Row],[Result]]="No Action",0,IF(Bets[[#This Row],[Result]]="W",IF(Bets[[#This Row],[Odds]]&gt;0,Bets[[#This Row],[Odds]]/100*Bets[[#This Row],[Risk]],(Bets[[#This Row],[Risk]]/Bets[[#This Row],[Odds]]*-100)),""))))</f>
        <v>8.3333333333333321</v>
      </c>
      <c r="J82" s="23" t="str">
        <f>IF(ISNUMBER(SEARCH(CHAR(10),Bets[[#This Row],[Bet]])),"P",IF(ISNUMBER(FIND("Under",Bets[[#This Row],[Bet]])),"U",IF(ISNUMBER(SEARCH("Over",Bets[[#This Row],[Bet]])),"O",IF(ISNUMBER(SEARCH("+",Bets[[#This Row],[Bet]])),"D",IF(ISNUMBER(SEARCH("-",Bets[[#This Row],[Bet]])),"F",IF(ISNUMBER(SEARCH("Moneyline",Bets[[#This Row],[Bet]])),IF(Bets[[#This Row],[Odds]]&lt;0,"MF","MD"),""))))))</f>
        <v>O</v>
      </c>
      <c r="K82"/>
      <c r="L82" s="24">
        <f t="shared" si="5"/>
        <v>0</v>
      </c>
      <c r="M82" s="1" t="str">
        <f>COUNTIFS(Bets[Date],L82,Bets[Result],"W")&amp;"-"&amp;COUNTIFS(Bets[Date],L82,Bets[Result],"L")&amp;IF(COUNTIFS(Bets[Date],L82,Bets[Result],"Push")&gt;0,"-"&amp;COUNTIFS(Bets[Date],L82,Bets[Result],"Push"),"")</f>
        <v>0-0</v>
      </c>
      <c r="N82" s="25" t="str">
        <f>IFERROR(COUNTIFS(Bets[Date],L82,Bets[Result],"W")/(COUNTIFS(Bets[Date],L82,Bets[Result],"W")+COUNTIFS(Bets[Date],L82,Bets[Result],"L")),"")</f>
        <v/>
      </c>
      <c r="O82" s="26">
        <f>SUMIF(Bets[Date],L82,Bets[Net])</f>
        <v>0</v>
      </c>
      <c r="P82" s="27" t="str">
        <f>IFERROR("("&amp;ROUND(SUMIF(Bets[Date],L82,Bets[Net])/SUMIF(Bets[Date],L82,Bets[Risk]),2)*100&amp;"%)","")</f>
        <v/>
      </c>
      <c r="Q82" s="72" t="str">
        <f t="shared" si="6"/>
        <v/>
      </c>
      <c r="R82" s="73" t="str">
        <f>IFERROR(SUMIF(Bets[Date],"&lt;="&amp;L82,Bets[Net])/SUMIF(Bets[Date],"&lt;="&amp;L82,Bets[Risk]),"")</f>
        <v/>
      </c>
    </row>
    <row r="83" spans="1:18" x14ac:dyDescent="0.25">
      <c r="A83" s="13">
        <f t="shared" si="4"/>
        <v>6</v>
      </c>
      <c r="B83" s="17">
        <v>43585</v>
      </c>
      <c r="C83" s="17" t="s">
        <v>802</v>
      </c>
      <c r="D83" s="18" t="s">
        <v>1159</v>
      </c>
      <c r="E83" s="11" t="s">
        <v>845</v>
      </c>
      <c r="F83" s="19">
        <f>10</f>
        <v>10</v>
      </c>
      <c r="G83" s="37">
        <v>-125</v>
      </c>
      <c r="H83" s="21" t="s">
        <v>262</v>
      </c>
      <c r="I83" s="45">
        <f>IF(Bets[[#This Row],[Result]]="L",0-Bets[[#This Row],[Risk]],IF(Bets[[#This Row],[Result]]="Push",0,IF(Bets[[#This Row],[Result]]="No Action",0,IF(Bets[[#This Row],[Result]]="W",IF(Bets[[#This Row],[Odds]]&gt;0,Bets[[#This Row],[Odds]]/100*Bets[[#This Row],[Risk]],(Bets[[#This Row],[Risk]]/Bets[[#This Row],[Odds]]*-100)),""))))</f>
        <v>8</v>
      </c>
      <c r="J83" s="39" t="str">
        <f>IF(ISNUMBER(SEARCH(CHAR(10),Bets[[#This Row],[Bet]])),"P",IF(ISNUMBER(FIND("Under",Bets[[#This Row],[Bet]])),"U",IF(ISNUMBER(SEARCH("Over",Bets[[#This Row],[Bet]])),"O",IF(ISNUMBER(SEARCH("+",Bets[[#This Row],[Bet]])),"D",IF(ISNUMBER(SEARCH("-",Bets[[#This Row],[Bet]])),"F",IF(ISNUMBER(SEARCH("Moneyline",Bets[[#This Row],[Bet]])),IF(Bets[[#This Row],[Odds]]&lt;0,"MF","MD"),""))))))</f>
        <v>O</v>
      </c>
      <c r="K83"/>
      <c r="L83" s="24">
        <f t="shared" si="5"/>
        <v>0</v>
      </c>
      <c r="M83" s="1" t="str">
        <f>COUNTIFS(Bets[Date],L83,Bets[Result],"W")&amp;"-"&amp;COUNTIFS(Bets[Date],L83,Bets[Result],"L")&amp;IF(COUNTIFS(Bets[Date],L83,Bets[Result],"Push")&gt;0,"-"&amp;COUNTIFS(Bets[Date],L83,Bets[Result],"Push"),"")</f>
        <v>0-0</v>
      </c>
      <c r="N83" s="25" t="str">
        <f>IFERROR(COUNTIFS(Bets[Date],L83,Bets[Result],"W")/(COUNTIFS(Bets[Date],L83,Bets[Result],"W")+COUNTIFS(Bets[Date],L83,Bets[Result],"L")),"")</f>
        <v/>
      </c>
      <c r="O83" s="26">
        <f>SUMIF(Bets[Date],L83,Bets[Net])</f>
        <v>0</v>
      </c>
      <c r="P83" s="27" t="str">
        <f>IFERROR("("&amp;ROUND(SUMIF(Bets[Date],L83,Bets[Net])/SUMIF(Bets[Date],L83,Bets[Risk]),2)*100&amp;"%)","")</f>
        <v/>
      </c>
      <c r="Q83" s="72" t="str">
        <f t="shared" si="6"/>
        <v/>
      </c>
      <c r="R83" s="73" t="str">
        <f>IFERROR(SUMIF(Bets[Date],"&lt;="&amp;L83,Bets[Net])/SUMIF(Bets[Date],"&lt;="&amp;L83,Bets[Risk]),"")</f>
        <v/>
      </c>
    </row>
    <row r="84" spans="1:18" x14ac:dyDescent="0.25">
      <c r="A84" s="13">
        <f t="shared" si="4"/>
        <v>7</v>
      </c>
      <c r="B84" s="17">
        <v>43586</v>
      </c>
      <c r="C84" s="17" t="s">
        <v>802</v>
      </c>
      <c r="D84" s="18" t="s">
        <v>927</v>
      </c>
      <c r="E84" s="11" t="s">
        <v>1166</v>
      </c>
      <c r="F84" s="19">
        <f>10</f>
        <v>10</v>
      </c>
      <c r="G84" s="37" t="s">
        <v>871</v>
      </c>
      <c r="H84" s="21" t="s">
        <v>262</v>
      </c>
      <c r="I84" s="45">
        <f>IF(Bets[[#This Row],[Result]]="L",0-Bets[[#This Row],[Risk]],IF(Bets[[#This Row],[Result]]="Push",0,IF(Bets[[#This Row],[Result]]="No Action",0,IF(Bets[[#This Row],[Result]]="W",IF(Bets[[#This Row],[Odds]]&gt;0,Bets[[#This Row],[Odds]]/100*Bets[[#This Row],[Risk]],(Bets[[#This Row],[Risk]]/Bets[[#This Row],[Odds]]*-100)),""))))</f>
        <v>16.5</v>
      </c>
      <c r="J84" s="23" t="str">
        <f>IF(ISNUMBER(SEARCH(CHAR(10),Bets[[#This Row],[Bet]])),"P",IF(ISNUMBER(FIND("Under",Bets[[#This Row],[Bet]])),"U",IF(ISNUMBER(SEARCH("Over",Bets[[#This Row],[Bet]])),"O",IF(ISNUMBER(SEARCH("+",Bets[[#This Row],[Bet]])),"D",IF(ISNUMBER(SEARCH("-",Bets[[#This Row],[Bet]])),"F",IF(ISNUMBER(SEARCH("Moneyline",Bets[[#This Row],[Bet]])),IF(Bets[[#This Row],[Odds]]&lt;0,"MF","MD"),""))))))</f>
        <v>MD</v>
      </c>
      <c r="K84"/>
      <c r="L84" s="24">
        <f t="shared" si="5"/>
        <v>0</v>
      </c>
      <c r="M84" s="1" t="str">
        <f>COUNTIFS(Bets[Date],L84,Bets[Result],"W")&amp;"-"&amp;COUNTIFS(Bets[Date],L84,Bets[Result],"L")&amp;IF(COUNTIFS(Bets[Date],L84,Bets[Result],"Push")&gt;0,"-"&amp;COUNTIFS(Bets[Date],L84,Bets[Result],"Push"),"")</f>
        <v>0-0</v>
      </c>
      <c r="N84" s="25" t="str">
        <f>IFERROR(COUNTIFS(Bets[Date],L84,Bets[Result],"W")/(COUNTIFS(Bets[Date],L84,Bets[Result],"W")+COUNTIFS(Bets[Date],L84,Bets[Result],"L")),"")</f>
        <v/>
      </c>
      <c r="O84" s="26">
        <f>SUMIF(Bets[Date],L84,Bets[Net])</f>
        <v>0</v>
      </c>
      <c r="P84" s="27" t="str">
        <f>IFERROR("("&amp;ROUND(SUMIF(Bets[Date],L84,Bets[Net])/SUMIF(Bets[Date],L84,Bets[Risk]),2)*100&amp;"%)","")</f>
        <v/>
      </c>
      <c r="Q84" s="72" t="str">
        <f t="shared" si="6"/>
        <v/>
      </c>
      <c r="R84" s="73" t="str">
        <f>IFERROR(SUMIF(Bets[Date],"&lt;="&amp;L84,Bets[Net])/SUMIF(Bets[Date],"&lt;="&amp;L84,Bets[Risk]),"")</f>
        <v/>
      </c>
    </row>
    <row r="85" spans="1:18" x14ac:dyDescent="0.25">
      <c r="A85" s="13">
        <f t="shared" si="4"/>
        <v>7</v>
      </c>
      <c r="B85" s="17">
        <v>43586</v>
      </c>
      <c r="C85" s="17" t="s">
        <v>802</v>
      </c>
      <c r="D85" s="18" t="s">
        <v>926</v>
      </c>
      <c r="E85" s="11" t="s">
        <v>899</v>
      </c>
      <c r="F85" s="19">
        <f>10</f>
        <v>10</v>
      </c>
      <c r="G85" s="37" t="s">
        <v>825</v>
      </c>
      <c r="H85" s="21" t="s">
        <v>262</v>
      </c>
      <c r="I85" s="45">
        <f>IF(Bets[[#This Row],[Result]]="L",0-Bets[[#This Row],[Risk]],IF(Bets[[#This Row],[Result]]="Push",0,IF(Bets[[#This Row],[Result]]="No Action",0,IF(Bets[[#This Row],[Result]]="W",IF(Bets[[#This Row],[Odds]]&gt;0,Bets[[#This Row],[Odds]]/100*Bets[[#This Row],[Risk]],(Bets[[#This Row],[Risk]]/Bets[[#This Row],[Odds]]*-100)),""))))</f>
        <v>13</v>
      </c>
      <c r="J85" s="23" t="str">
        <f>IF(ISNUMBER(SEARCH(CHAR(10),Bets[[#This Row],[Bet]])),"P",IF(ISNUMBER(FIND("Under",Bets[[#This Row],[Bet]])),"U",IF(ISNUMBER(SEARCH("Over",Bets[[#This Row],[Bet]])),"O",IF(ISNUMBER(SEARCH("+",Bets[[#This Row],[Bet]])),"D",IF(ISNUMBER(SEARCH("-",Bets[[#This Row],[Bet]])),"F",IF(ISNUMBER(SEARCH("Moneyline",Bets[[#This Row],[Bet]])),IF(Bets[[#This Row],[Odds]]&lt;0,"MF","MD"),""))))))</f>
        <v>MD</v>
      </c>
      <c r="K85"/>
      <c r="L85" s="24">
        <f t="shared" si="5"/>
        <v>0</v>
      </c>
      <c r="M85" s="1" t="str">
        <f>COUNTIFS(Bets[Date],L85,Bets[Result],"W")&amp;"-"&amp;COUNTIFS(Bets[Date],L85,Bets[Result],"L")&amp;IF(COUNTIFS(Bets[Date],L85,Bets[Result],"Push")&gt;0,"-"&amp;COUNTIFS(Bets[Date],L85,Bets[Result],"Push"),"")</f>
        <v>0-0</v>
      </c>
      <c r="N85" s="25" t="str">
        <f>IFERROR(COUNTIFS(Bets[Date],L85,Bets[Result],"W")/(COUNTIFS(Bets[Date],L85,Bets[Result],"W")+COUNTIFS(Bets[Date],L85,Bets[Result],"L")),"")</f>
        <v/>
      </c>
      <c r="O85" s="26">
        <f>SUMIF(Bets[Date],L85,Bets[Net])</f>
        <v>0</v>
      </c>
      <c r="P85" s="27" t="str">
        <f>IFERROR("("&amp;ROUND(SUMIF(Bets[Date],L85,Bets[Net])/SUMIF(Bets[Date],L85,Bets[Risk]),2)*100&amp;"%)","")</f>
        <v/>
      </c>
      <c r="Q85" s="72" t="str">
        <f t="shared" si="6"/>
        <v/>
      </c>
      <c r="R85" s="73" t="str">
        <f>IFERROR(SUMIF(Bets[Date],"&lt;="&amp;L85,Bets[Net])/SUMIF(Bets[Date],"&lt;="&amp;L85,Bets[Risk]),"")</f>
        <v/>
      </c>
    </row>
    <row r="86" spans="1:18" x14ac:dyDescent="0.25">
      <c r="A86" s="13">
        <f t="shared" si="4"/>
        <v>7</v>
      </c>
      <c r="B86" s="17">
        <v>43586</v>
      </c>
      <c r="C86" s="17" t="s">
        <v>802</v>
      </c>
      <c r="D86" s="18" t="s">
        <v>1151</v>
      </c>
      <c r="E86" s="11" t="s">
        <v>888</v>
      </c>
      <c r="F86" s="19">
        <f>10</f>
        <v>10</v>
      </c>
      <c r="G86" s="37" t="s">
        <v>828</v>
      </c>
      <c r="H86" s="21" t="s">
        <v>262</v>
      </c>
      <c r="I86" s="45">
        <f>IF(Bets[[#This Row],[Result]]="L",0-Bets[[#This Row],[Risk]],IF(Bets[[#This Row],[Result]]="Push",0,IF(Bets[[#This Row],[Result]]="No Action",0,IF(Bets[[#This Row],[Result]]="W",IF(Bets[[#This Row],[Odds]]&gt;0,Bets[[#This Row],[Odds]]/100*Bets[[#This Row],[Risk]],(Bets[[#This Row],[Risk]]/Bets[[#This Row],[Odds]]*-100)),""))))</f>
        <v>11.5</v>
      </c>
      <c r="J86" s="39" t="str">
        <f>IF(ISNUMBER(SEARCH(CHAR(10),Bets[[#This Row],[Bet]])),"P",IF(ISNUMBER(FIND("Under",Bets[[#This Row],[Bet]])),"U",IF(ISNUMBER(SEARCH("Over",Bets[[#This Row],[Bet]])),"O",IF(ISNUMBER(SEARCH("+",Bets[[#This Row],[Bet]])),"D",IF(ISNUMBER(SEARCH("-",Bets[[#This Row],[Bet]])),"F",IF(ISNUMBER(SEARCH("Moneyline",Bets[[#This Row],[Bet]])),IF(Bets[[#This Row],[Odds]]&lt;0,"MF","MD"),""))))))</f>
        <v>MD</v>
      </c>
      <c r="K86"/>
      <c r="L86" s="24">
        <f t="shared" si="5"/>
        <v>0</v>
      </c>
      <c r="M86" s="1" t="str">
        <f>COUNTIFS(Bets[Date],L86,Bets[Result],"W")&amp;"-"&amp;COUNTIFS(Bets[Date],L86,Bets[Result],"L")&amp;IF(COUNTIFS(Bets[Date],L86,Bets[Result],"Push")&gt;0,"-"&amp;COUNTIFS(Bets[Date],L86,Bets[Result],"Push"),"")</f>
        <v>0-0</v>
      </c>
      <c r="N86" s="25" t="str">
        <f>IFERROR(COUNTIFS(Bets[Date],L86,Bets[Result],"W")/(COUNTIFS(Bets[Date],L86,Bets[Result],"W")+COUNTIFS(Bets[Date],L86,Bets[Result],"L")),"")</f>
        <v/>
      </c>
      <c r="O86" s="26">
        <f>SUMIF(Bets[Date],L86,Bets[Net])</f>
        <v>0</v>
      </c>
      <c r="P86" s="27" t="str">
        <f>IFERROR("("&amp;ROUND(SUMIF(Bets[Date],L86,Bets[Net])/SUMIF(Bets[Date],L86,Bets[Risk]),2)*100&amp;"%)","")</f>
        <v/>
      </c>
      <c r="Q86" s="72" t="str">
        <f t="shared" si="6"/>
        <v/>
      </c>
      <c r="R86" s="73" t="str">
        <f>IFERROR(SUMIF(Bets[Date],"&lt;="&amp;L86,Bets[Net])/SUMIF(Bets[Date],"&lt;="&amp;L86,Bets[Risk]),"")</f>
        <v/>
      </c>
    </row>
    <row r="87" spans="1:18" x14ac:dyDescent="0.25">
      <c r="A87" s="13">
        <f t="shared" si="4"/>
        <v>7</v>
      </c>
      <c r="B87" s="17">
        <v>43586</v>
      </c>
      <c r="C87" s="17" t="s">
        <v>802</v>
      </c>
      <c r="D87" s="18" t="s">
        <v>932</v>
      </c>
      <c r="E87" s="11" t="s">
        <v>815</v>
      </c>
      <c r="F87" s="19">
        <f>10</f>
        <v>10</v>
      </c>
      <c r="G87" s="37">
        <v>-156</v>
      </c>
      <c r="H87" s="21" t="s">
        <v>262</v>
      </c>
      <c r="I87" s="45">
        <f>IF(Bets[[#This Row],[Result]]="L",0-Bets[[#This Row],[Risk]],IF(Bets[[#This Row],[Result]]="Push",0,IF(Bets[[#This Row],[Result]]="No Action",0,IF(Bets[[#This Row],[Result]]="W",IF(Bets[[#This Row],[Odds]]&gt;0,Bets[[#This Row],[Odds]]/100*Bets[[#This Row],[Risk]],(Bets[[#This Row],[Risk]]/Bets[[#This Row],[Odds]]*-100)),""))))</f>
        <v>6.4102564102564097</v>
      </c>
      <c r="J87" s="39" t="str">
        <f>IF(ISNUMBER(SEARCH(CHAR(10),Bets[[#This Row],[Bet]])),"P",IF(ISNUMBER(FIND("Under",Bets[[#This Row],[Bet]])),"U",IF(ISNUMBER(SEARCH("Over",Bets[[#This Row],[Bet]])),"O",IF(ISNUMBER(SEARCH("+",Bets[[#This Row],[Bet]])),"D",IF(ISNUMBER(SEARCH("-",Bets[[#This Row],[Bet]])),"F",IF(ISNUMBER(SEARCH("Moneyline",Bets[[#This Row],[Bet]])),IF(Bets[[#This Row],[Odds]]&lt;0,"MF","MD"),""))))))</f>
        <v>MF</v>
      </c>
      <c r="K87"/>
      <c r="L87" s="24">
        <f t="shared" si="5"/>
        <v>0</v>
      </c>
      <c r="M87" s="1" t="str">
        <f>COUNTIFS(Bets[Date],L87,Bets[Result],"W")&amp;"-"&amp;COUNTIFS(Bets[Date],L87,Bets[Result],"L")&amp;IF(COUNTIFS(Bets[Date],L87,Bets[Result],"Push")&gt;0,"-"&amp;COUNTIFS(Bets[Date],L87,Bets[Result],"Push"),"")</f>
        <v>0-0</v>
      </c>
      <c r="N87" s="25" t="str">
        <f>IFERROR(COUNTIFS(Bets[Date],L87,Bets[Result],"W")/(COUNTIFS(Bets[Date],L87,Bets[Result],"W")+COUNTIFS(Bets[Date],L87,Bets[Result],"L")),"")</f>
        <v/>
      </c>
      <c r="O87" s="26">
        <f>SUMIF(Bets[Date],L87,Bets[Net])</f>
        <v>0</v>
      </c>
      <c r="P87" s="27" t="str">
        <f>IFERROR("("&amp;ROUND(SUMIF(Bets[Date],L87,Bets[Net])/SUMIF(Bets[Date],L87,Bets[Risk]),2)*100&amp;"%)","")</f>
        <v/>
      </c>
      <c r="Q87" s="72" t="str">
        <f t="shared" si="6"/>
        <v/>
      </c>
      <c r="R87" s="73" t="str">
        <f>IFERROR(SUMIF(Bets[Date],"&lt;="&amp;L87,Bets[Net])/SUMIF(Bets[Date],"&lt;="&amp;L87,Bets[Risk]),"")</f>
        <v/>
      </c>
    </row>
    <row r="88" spans="1:18" x14ac:dyDescent="0.25">
      <c r="A88" s="13">
        <f t="shared" si="4"/>
        <v>7</v>
      </c>
      <c r="B88" s="17">
        <v>43586</v>
      </c>
      <c r="C88" s="17" t="s">
        <v>802</v>
      </c>
      <c r="D88" s="18" t="s">
        <v>1157</v>
      </c>
      <c r="E88" s="11" t="s">
        <v>897</v>
      </c>
      <c r="F88" s="19">
        <f>10</f>
        <v>10</v>
      </c>
      <c r="G88" s="37">
        <v>-142</v>
      </c>
      <c r="H88" s="21" t="s">
        <v>263</v>
      </c>
      <c r="I88" s="45">
        <f>IF(Bets[[#This Row],[Result]]="L",0-Bets[[#This Row],[Risk]],IF(Bets[[#This Row],[Result]]="Push",0,IF(Bets[[#This Row],[Result]]="No Action",0,IF(Bets[[#This Row],[Result]]="W",IF(Bets[[#This Row],[Odds]]&gt;0,Bets[[#This Row],[Odds]]/100*Bets[[#This Row],[Risk]],(Bets[[#This Row],[Risk]]/Bets[[#This Row],[Odds]]*-100)),""))))</f>
        <v>-10</v>
      </c>
      <c r="J88" s="39" t="str">
        <f>IF(ISNUMBER(SEARCH(CHAR(10),Bets[[#This Row],[Bet]])),"P",IF(ISNUMBER(FIND("Under",Bets[[#This Row],[Bet]])),"U",IF(ISNUMBER(SEARCH("Over",Bets[[#This Row],[Bet]])),"O",IF(ISNUMBER(SEARCH("+",Bets[[#This Row],[Bet]])),"D",IF(ISNUMBER(SEARCH("-",Bets[[#This Row],[Bet]])),"F",IF(ISNUMBER(SEARCH("Moneyline",Bets[[#This Row],[Bet]])),IF(Bets[[#This Row],[Odds]]&lt;0,"MF","MD"),""))))))</f>
        <v>MF</v>
      </c>
      <c r="K88"/>
      <c r="L88" s="24">
        <f t="shared" si="5"/>
        <v>0</v>
      </c>
      <c r="M88" s="1" t="str">
        <f>COUNTIFS(Bets[Date],L88,Bets[Result],"W")&amp;"-"&amp;COUNTIFS(Bets[Date],L88,Bets[Result],"L")&amp;IF(COUNTIFS(Bets[Date],L88,Bets[Result],"Push")&gt;0,"-"&amp;COUNTIFS(Bets[Date],L88,Bets[Result],"Push"),"")</f>
        <v>0-0</v>
      </c>
      <c r="N88" s="25" t="str">
        <f>IFERROR(COUNTIFS(Bets[Date],L88,Bets[Result],"W")/(COUNTIFS(Bets[Date],L88,Bets[Result],"W")+COUNTIFS(Bets[Date],L88,Bets[Result],"L")),"")</f>
        <v/>
      </c>
      <c r="O88" s="26">
        <f>SUMIF(Bets[Date],L88,Bets[Net])</f>
        <v>0</v>
      </c>
      <c r="P88" s="27" t="str">
        <f>IFERROR("("&amp;ROUND(SUMIF(Bets[Date],L88,Bets[Net])/SUMIF(Bets[Date],L88,Bets[Risk]),2)*100&amp;"%)","")</f>
        <v/>
      </c>
      <c r="Q88" s="72" t="str">
        <f t="shared" si="6"/>
        <v/>
      </c>
      <c r="R88" s="73" t="str">
        <f>IFERROR(SUMIF(Bets[Date],"&lt;="&amp;L88,Bets[Net])/SUMIF(Bets[Date],"&lt;="&amp;L88,Bets[Risk]),"")</f>
        <v/>
      </c>
    </row>
    <row r="89" spans="1:18" x14ac:dyDescent="0.25">
      <c r="A89" s="13">
        <f t="shared" si="4"/>
        <v>7</v>
      </c>
      <c r="B89" s="17">
        <v>43586</v>
      </c>
      <c r="C89" s="17" t="s">
        <v>802</v>
      </c>
      <c r="D89" s="18" t="s">
        <v>935</v>
      </c>
      <c r="E89" s="11" t="s">
        <v>827</v>
      </c>
      <c r="F89" s="19">
        <f>10</f>
        <v>10</v>
      </c>
      <c r="G89" s="37">
        <v>-149</v>
      </c>
      <c r="H89" s="21" t="s">
        <v>263</v>
      </c>
      <c r="I89" s="45">
        <f>IF(Bets[[#This Row],[Result]]="L",0-Bets[[#This Row],[Risk]],IF(Bets[[#This Row],[Result]]="Push",0,IF(Bets[[#This Row],[Result]]="No Action",0,IF(Bets[[#This Row],[Result]]="W",IF(Bets[[#This Row],[Odds]]&gt;0,Bets[[#This Row],[Odds]]/100*Bets[[#This Row],[Risk]],(Bets[[#This Row],[Risk]]/Bets[[#This Row],[Odds]]*-100)),""))))</f>
        <v>-10</v>
      </c>
      <c r="J89" s="39" t="str">
        <f>IF(ISNUMBER(SEARCH(CHAR(10),Bets[[#This Row],[Bet]])),"P",IF(ISNUMBER(FIND("Under",Bets[[#This Row],[Bet]])),"U",IF(ISNUMBER(SEARCH("Over",Bets[[#This Row],[Bet]])),"O",IF(ISNUMBER(SEARCH("+",Bets[[#This Row],[Bet]])),"D",IF(ISNUMBER(SEARCH("-",Bets[[#This Row],[Bet]])),"F",IF(ISNUMBER(SEARCH("Moneyline",Bets[[#This Row],[Bet]])),IF(Bets[[#This Row],[Odds]]&lt;0,"MF","MD"),""))))))</f>
        <v>MF</v>
      </c>
      <c r="K89"/>
      <c r="L89" s="24">
        <f t="shared" si="5"/>
        <v>0</v>
      </c>
      <c r="M89" s="1" t="str">
        <f>COUNTIFS(Bets[Date],L89,Bets[Result],"W")&amp;"-"&amp;COUNTIFS(Bets[Date],L89,Bets[Result],"L")&amp;IF(COUNTIFS(Bets[Date],L89,Bets[Result],"Push")&gt;0,"-"&amp;COUNTIFS(Bets[Date],L89,Bets[Result],"Push"),"")</f>
        <v>0-0</v>
      </c>
      <c r="N89" s="25" t="str">
        <f>IFERROR(COUNTIFS(Bets[Date],L89,Bets[Result],"W")/(COUNTIFS(Bets[Date],L89,Bets[Result],"W")+COUNTIFS(Bets[Date],L89,Bets[Result],"L")),"")</f>
        <v/>
      </c>
      <c r="O89" s="26">
        <f>SUMIF(Bets[Date],L89,Bets[Net])</f>
        <v>0</v>
      </c>
      <c r="P89" s="27" t="str">
        <f>IFERROR("("&amp;ROUND(SUMIF(Bets[Date],L89,Bets[Net])/SUMIF(Bets[Date],L89,Bets[Risk]),2)*100&amp;"%)","")</f>
        <v/>
      </c>
      <c r="Q89" s="72" t="str">
        <f t="shared" si="6"/>
        <v/>
      </c>
      <c r="R89" s="73" t="str">
        <f>IFERROR(SUMIF(Bets[Date],"&lt;="&amp;L89,Bets[Net])/SUMIF(Bets[Date],"&lt;="&amp;L89,Bets[Risk]),"")</f>
        <v/>
      </c>
    </row>
    <row r="90" spans="1:18" x14ac:dyDescent="0.25">
      <c r="A90" s="13">
        <f t="shared" si="4"/>
        <v>7</v>
      </c>
      <c r="B90" s="17">
        <v>43586</v>
      </c>
      <c r="C90" s="17" t="s">
        <v>802</v>
      </c>
      <c r="D90" s="18" t="s">
        <v>1155</v>
      </c>
      <c r="E90" s="11" t="s">
        <v>931</v>
      </c>
      <c r="F90" s="19">
        <f>10</f>
        <v>10</v>
      </c>
      <c r="G90" s="37">
        <v>-115</v>
      </c>
      <c r="H90" s="37" t="s">
        <v>263</v>
      </c>
      <c r="I90" s="45">
        <f>IF(Bets[[#This Row],[Result]]="L",0-Bets[[#This Row],[Risk]],IF(Bets[[#This Row],[Result]]="Push",0,IF(Bets[[#This Row],[Result]]="No Action",0,IF(Bets[[#This Row],[Result]]="W",IF(Bets[[#This Row],[Odds]]&gt;0,Bets[[#This Row],[Odds]]/100*Bets[[#This Row],[Risk]],(Bets[[#This Row],[Risk]]/Bets[[#This Row],[Odds]]*-100)),""))))</f>
        <v>-10</v>
      </c>
      <c r="J90" s="39" t="str">
        <f>IF(ISNUMBER(SEARCH(CHAR(10),Bets[[#This Row],[Bet]])),"P",IF(ISNUMBER(FIND("Under",Bets[[#This Row],[Bet]])),"U",IF(ISNUMBER(SEARCH("Over",Bets[[#This Row],[Bet]])),"O",IF(ISNUMBER(SEARCH("+",Bets[[#This Row],[Bet]])),"D",IF(ISNUMBER(SEARCH("-",Bets[[#This Row],[Bet]])),"F",IF(ISNUMBER(SEARCH("Moneyline",Bets[[#This Row],[Bet]])),IF(Bets[[#This Row],[Odds]]&lt;0,"MF","MD"),""))))))</f>
        <v>O</v>
      </c>
      <c r="K90"/>
      <c r="L90" s="24">
        <f t="shared" si="5"/>
        <v>0</v>
      </c>
      <c r="M90" s="1" t="str">
        <f>COUNTIFS(Bets[Date],L90,Bets[Result],"W")&amp;"-"&amp;COUNTIFS(Bets[Date],L90,Bets[Result],"L")&amp;IF(COUNTIFS(Bets[Date],L90,Bets[Result],"Push")&gt;0,"-"&amp;COUNTIFS(Bets[Date],L90,Bets[Result],"Push"),"")</f>
        <v>0-0</v>
      </c>
      <c r="N90" s="25" t="str">
        <f>IFERROR(COUNTIFS(Bets[Date],L90,Bets[Result],"W")/(COUNTIFS(Bets[Date],L90,Bets[Result],"W")+COUNTIFS(Bets[Date],L90,Bets[Result],"L")),"")</f>
        <v/>
      </c>
      <c r="O90" s="26">
        <f>SUMIF(Bets[Date],L90,Bets[Net])</f>
        <v>0</v>
      </c>
      <c r="P90" s="27" t="str">
        <f>IFERROR("("&amp;ROUND(SUMIF(Bets[Date],L90,Bets[Net])/SUMIF(Bets[Date],L90,Bets[Risk]),2)*100&amp;"%)","")</f>
        <v/>
      </c>
      <c r="Q90" s="72" t="str">
        <f t="shared" si="6"/>
        <v/>
      </c>
      <c r="R90" s="73" t="str">
        <f>IFERROR(SUMIF(Bets[Date],"&lt;="&amp;L90,Bets[Net])/SUMIF(Bets[Date],"&lt;="&amp;L90,Bets[Risk]),"")</f>
        <v/>
      </c>
    </row>
    <row r="91" spans="1:18" x14ac:dyDescent="0.25">
      <c r="A91" s="13">
        <f t="shared" si="4"/>
        <v>7</v>
      </c>
      <c r="B91" s="17">
        <v>43586</v>
      </c>
      <c r="C91" s="17" t="s">
        <v>802</v>
      </c>
      <c r="D91" s="18" t="s">
        <v>929</v>
      </c>
      <c r="E91" s="11" t="s">
        <v>905</v>
      </c>
      <c r="F91" s="19">
        <f>10</f>
        <v>10</v>
      </c>
      <c r="G91" s="37">
        <v>-105</v>
      </c>
      <c r="H91" s="37" t="s">
        <v>846</v>
      </c>
      <c r="I91" s="45">
        <f>IF(Bets[[#This Row],[Result]]="L",0-Bets[[#This Row],[Risk]],IF(Bets[[#This Row],[Result]]="Push",0,IF(Bets[[#This Row],[Result]]="No Action",0,IF(Bets[[#This Row],[Result]]="W",IF(Bets[[#This Row],[Odds]]&gt;0,Bets[[#This Row],[Odds]]/100*Bets[[#This Row],[Risk]],(Bets[[#This Row],[Risk]]/Bets[[#This Row],[Odds]]*-100)),""))))</f>
        <v>0</v>
      </c>
      <c r="J91" s="39" t="str">
        <f>IF(ISNUMBER(SEARCH(CHAR(10),Bets[[#This Row],[Bet]])),"P",IF(ISNUMBER(FIND("Under",Bets[[#This Row],[Bet]])),"U",IF(ISNUMBER(SEARCH("Over",Bets[[#This Row],[Bet]])),"O",IF(ISNUMBER(SEARCH("+",Bets[[#This Row],[Bet]])),"D",IF(ISNUMBER(SEARCH("-",Bets[[#This Row],[Bet]])),"F",IF(ISNUMBER(SEARCH("Moneyline",Bets[[#This Row],[Bet]])),IF(Bets[[#This Row],[Odds]]&lt;0,"MF","MD"),""))))))</f>
        <v>O</v>
      </c>
      <c r="K91"/>
      <c r="L91" s="24">
        <f t="shared" si="5"/>
        <v>0</v>
      </c>
      <c r="M91" s="1" t="str">
        <f>COUNTIFS(Bets[Date],L91,Bets[Result],"W")&amp;"-"&amp;COUNTIFS(Bets[Date],L91,Bets[Result],"L")&amp;IF(COUNTIFS(Bets[Date],L91,Bets[Result],"Push")&gt;0,"-"&amp;COUNTIFS(Bets[Date],L91,Bets[Result],"Push"),"")</f>
        <v>0-0</v>
      </c>
      <c r="N91" s="25" t="str">
        <f>IFERROR(COUNTIFS(Bets[Date],L91,Bets[Result],"W")/(COUNTIFS(Bets[Date],L91,Bets[Result],"W")+COUNTIFS(Bets[Date],L91,Bets[Result],"L")),"")</f>
        <v/>
      </c>
      <c r="O91" s="26">
        <f>SUMIF(Bets[Date],L91,Bets[Net])</f>
        <v>0</v>
      </c>
      <c r="P91" s="27" t="str">
        <f>IFERROR("("&amp;ROUND(SUMIF(Bets[Date],L91,Bets[Net])/SUMIF(Bets[Date],L91,Bets[Risk]),2)*100&amp;"%)","")</f>
        <v/>
      </c>
      <c r="Q91" s="72" t="str">
        <f t="shared" si="6"/>
        <v/>
      </c>
      <c r="R91" s="73" t="str">
        <f>IFERROR(SUMIF(Bets[Date],"&lt;="&amp;L91,Bets[Net])/SUMIF(Bets[Date],"&lt;="&amp;L91,Bets[Risk]),"")</f>
        <v/>
      </c>
    </row>
    <row r="92" spans="1:18" x14ac:dyDescent="0.25">
      <c r="A92" s="13">
        <f t="shared" si="4"/>
        <v>7</v>
      </c>
      <c r="B92" s="17">
        <v>43586</v>
      </c>
      <c r="C92" s="17" t="s">
        <v>802</v>
      </c>
      <c r="D92" s="18" t="s">
        <v>1159</v>
      </c>
      <c r="E92" s="11" t="s">
        <v>845</v>
      </c>
      <c r="F92" s="19">
        <f>10</f>
        <v>10</v>
      </c>
      <c r="G92" s="37">
        <v>-120</v>
      </c>
      <c r="H92" s="37" t="s">
        <v>262</v>
      </c>
      <c r="I92" s="45">
        <f>IF(Bets[[#This Row],[Result]]="L",0-Bets[[#This Row],[Risk]],IF(Bets[[#This Row],[Result]]="Push",0,IF(Bets[[#This Row],[Result]]="No Action",0,IF(Bets[[#This Row],[Result]]="W",IF(Bets[[#This Row],[Odds]]&gt;0,Bets[[#This Row],[Odds]]/100*Bets[[#This Row],[Risk]],(Bets[[#This Row],[Risk]]/Bets[[#This Row],[Odds]]*-100)),""))))</f>
        <v>8.3333333333333321</v>
      </c>
      <c r="J92" s="39" t="str">
        <f>IF(ISNUMBER(SEARCH(CHAR(10),Bets[[#This Row],[Bet]])),"P",IF(ISNUMBER(FIND("Under",Bets[[#This Row],[Bet]])),"U",IF(ISNUMBER(SEARCH("Over",Bets[[#This Row],[Bet]])),"O",IF(ISNUMBER(SEARCH("+",Bets[[#This Row],[Bet]])),"D",IF(ISNUMBER(SEARCH("-",Bets[[#This Row],[Bet]])),"F",IF(ISNUMBER(SEARCH("Moneyline",Bets[[#This Row],[Bet]])),IF(Bets[[#This Row],[Odds]]&lt;0,"MF","MD"),""))))))</f>
        <v>O</v>
      </c>
      <c r="K92"/>
      <c r="L92" s="24">
        <f t="shared" si="5"/>
        <v>0</v>
      </c>
      <c r="M92" s="1" t="str">
        <f>COUNTIFS(Bets[Date],L92,Bets[Result],"W")&amp;"-"&amp;COUNTIFS(Bets[Date],L92,Bets[Result],"L")&amp;IF(COUNTIFS(Bets[Date],L92,Bets[Result],"Push")&gt;0,"-"&amp;COUNTIFS(Bets[Date],L92,Bets[Result],"Push"),"")</f>
        <v>0-0</v>
      </c>
      <c r="N92" s="25" t="str">
        <f>IFERROR(COUNTIFS(Bets[Date],L92,Bets[Result],"W")/(COUNTIFS(Bets[Date],L92,Bets[Result],"W")+COUNTIFS(Bets[Date],L92,Bets[Result],"L")),"")</f>
        <v/>
      </c>
      <c r="O92" s="26">
        <f>SUMIF(Bets[Date],L92,Bets[Net])</f>
        <v>0</v>
      </c>
      <c r="P92" s="27" t="str">
        <f>IFERROR("("&amp;ROUND(SUMIF(Bets[Date],L92,Bets[Net])/SUMIF(Bets[Date],L92,Bets[Risk]),2)*100&amp;"%)","")</f>
        <v/>
      </c>
      <c r="Q92" s="72" t="str">
        <f t="shared" si="6"/>
        <v/>
      </c>
      <c r="R92" s="73" t="str">
        <f>IFERROR(SUMIF(Bets[Date],"&lt;="&amp;L92,Bets[Net])/SUMIF(Bets[Date],"&lt;="&amp;L92,Bets[Risk]),"")</f>
        <v/>
      </c>
    </row>
    <row r="93" spans="1:18" x14ac:dyDescent="0.25">
      <c r="A93" s="13">
        <f t="shared" si="4"/>
        <v>7</v>
      </c>
      <c r="B93" s="17">
        <v>43586</v>
      </c>
      <c r="C93" s="17" t="s">
        <v>802</v>
      </c>
      <c r="D93" s="18" t="s">
        <v>927</v>
      </c>
      <c r="E93" s="11" t="s">
        <v>1167</v>
      </c>
      <c r="F93" s="19">
        <f>10</f>
        <v>10</v>
      </c>
      <c r="G93" s="37">
        <v>-115</v>
      </c>
      <c r="H93" s="37" t="s">
        <v>263</v>
      </c>
      <c r="I93" s="45">
        <f>IF(Bets[[#This Row],[Result]]="L",0-Bets[[#This Row],[Risk]],IF(Bets[[#This Row],[Result]]="Push",0,IF(Bets[[#This Row],[Result]]="No Action",0,IF(Bets[[#This Row],[Result]]="W",IF(Bets[[#This Row],[Odds]]&gt;0,Bets[[#This Row],[Odds]]/100*Bets[[#This Row],[Risk]],(Bets[[#This Row],[Risk]]/Bets[[#This Row],[Odds]]*-100)),""))))</f>
        <v>-10</v>
      </c>
      <c r="J93" s="39" t="str">
        <f>IF(ISNUMBER(SEARCH(CHAR(10),Bets[[#This Row],[Bet]])),"P",IF(ISNUMBER(FIND("Under",Bets[[#This Row],[Bet]])),"U",IF(ISNUMBER(SEARCH("Over",Bets[[#This Row],[Bet]])),"O",IF(ISNUMBER(SEARCH("+",Bets[[#This Row],[Bet]])),"D",IF(ISNUMBER(SEARCH("-",Bets[[#This Row],[Bet]])),"F",IF(ISNUMBER(SEARCH("Moneyline",Bets[[#This Row],[Bet]])),IF(Bets[[#This Row],[Odds]]&lt;0,"MF","MD"),""))))))</f>
        <v>O</v>
      </c>
      <c r="K93"/>
      <c r="L93" s="24">
        <f t="shared" si="5"/>
        <v>0</v>
      </c>
      <c r="M93" s="1" t="str">
        <f>COUNTIFS(Bets[Date],L93,Bets[Result],"W")&amp;"-"&amp;COUNTIFS(Bets[Date],L93,Bets[Result],"L")&amp;IF(COUNTIFS(Bets[Date],L93,Bets[Result],"Push")&gt;0,"-"&amp;COUNTIFS(Bets[Date],L93,Bets[Result],"Push"),"")</f>
        <v>0-0</v>
      </c>
      <c r="N93" s="25" t="str">
        <f>IFERROR(COUNTIFS(Bets[Date],L93,Bets[Result],"W")/(COUNTIFS(Bets[Date],L93,Bets[Result],"W")+COUNTIFS(Bets[Date],L93,Bets[Result],"L")),"")</f>
        <v/>
      </c>
      <c r="O93" s="26">
        <f>SUMIF(Bets[Date],L93,Bets[Net])</f>
        <v>0</v>
      </c>
      <c r="P93" s="27" t="str">
        <f>IFERROR("("&amp;ROUND(SUMIF(Bets[Date],L93,Bets[Net])/SUMIF(Bets[Date],L93,Bets[Risk]),2)*100&amp;"%)","")</f>
        <v/>
      </c>
      <c r="Q93" s="72" t="str">
        <f t="shared" si="6"/>
        <v/>
      </c>
      <c r="R93" s="73" t="str">
        <f>IFERROR(SUMIF(Bets[Date],"&lt;="&amp;L93,Bets[Net])/SUMIF(Bets[Date],"&lt;="&amp;L93,Bets[Risk]),"")</f>
        <v/>
      </c>
    </row>
    <row r="94" spans="1:18" x14ac:dyDescent="0.25">
      <c r="A94" s="13">
        <f t="shared" si="4"/>
        <v>7</v>
      </c>
      <c r="B94" s="17">
        <v>43586</v>
      </c>
      <c r="C94" s="17" t="s">
        <v>802</v>
      </c>
      <c r="D94" s="18" t="s">
        <v>1150</v>
      </c>
      <c r="E94" s="11" t="s">
        <v>931</v>
      </c>
      <c r="F94" s="19">
        <f>10</f>
        <v>10</v>
      </c>
      <c r="G94" s="37">
        <v>-105</v>
      </c>
      <c r="H94" s="37" t="s">
        <v>262</v>
      </c>
      <c r="I94" s="45">
        <f>IF(Bets[[#This Row],[Result]]="L",0-Bets[[#This Row],[Risk]],IF(Bets[[#This Row],[Result]]="Push",0,IF(Bets[[#This Row],[Result]]="No Action",0,IF(Bets[[#This Row],[Result]]="W",IF(Bets[[#This Row],[Odds]]&gt;0,Bets[[#This Row],[Odds]]/100*Bets[[#This Row],[Risk]],(Bets[[#This Row],[Risk]]/Bets[[#This Row],[Odds]]*-100)),""))))</f>
        <v>9.5238095238095237</v>
      </c>
      <c r="J94" s="39" t="str">
        <f>IF(ISNUMBER(SEARCH(CHAR(10),Bets[[#This Row],[Bet]])),"P",IF(ISNUMBER(FIND("Under",Bets[[#This Row],[Bet]])),"U",IF(ISNUMBER(SEARCH("Over",Bets[[#This Row],[Bet]])),"O",IF(ISNUMBER(SEARCH("+",Bets[[#This Row],[Bet]])),"D",IF(ISNUMBER(SEARCH("-",Bets[[#This Row],[Bet]])),"F",IF(ISNUMBER(SEARCH("Moneyline",Bets[[#This Row],[Bet]])),IF(Bets[[#This Row],[Odds]]&lt;0,"MF","MD"),""))))))</f>
        <v>O</v>
      </c>
      <c r="K94"/>
      <c r="L94" s="24">
        <f t="shared" si="5"/>
        <v>0</v>
      </c>
      <c r="M94" s="1" t="str">
        <f>COUNTIFS(Bets[Date],L94,Bets[Result],"W")&amp;"-"&amp;COUNTIFS(Bets[Date],L94,Bets[Result],"L")&amp;IF(COUNTIFS(Bets[Date],L94,Bets[Result],"Push")&gt;0,"-"&amp;COUNTIFS(Bets[Date],L94,Bets[Result],"Push"),"")</f>
        <v>0-0</v>
      </c>
      <c r="N94" s="25" t="str">
        <f>IFERROR(COUNTIFS(Bets[Date],L94,Bets[Result],"W")/(COUNTIFS(Bets[Date],L94,Bets[Result],"W")+COUNTIFS(Bets[Date],L94,Bets[Result],"L")),"")</f>
        <v/>
      </c>
      <c r="O94" s="26">
        <f>SUMIF(Bets[Date],L94,Bets[Net])</f>
        <v>0</v>
      </c>
      <c r="P94" s="27" t="str">
        <f>IFERROR("("&amp;ROUND(SUMIF(Bets[Date],L94,Bets[Net])/SUMIF(Bets[Date],L94,Bets[Risk]),2)*100&amp;"%)","")</f>
        <v/>
      </c>
      <c r="Q94" s="72" t="str">
        <f t="shared" si="6"/>
        <v/>
      </c>
      <c r="R94" s="73" t="str">
        <f>IFERROR(SUMIF(Bets[Date],"&lt;="&amp;L94,Bets[Net])/SUMIF(Bets[Date],"&lt;="&amp;L94,Bets[Risk]),"")</f>
        <v/>
      </c>
    </row>
    <row r="95" spans="1:18" x14ac:dyDescent="0.25">
      <c r="A95" s="13">
        <f t="shared" si="4"/>
        <v>7</v>
      </c>
      <c r="B95" s="17">
        <v>43586</v>
      </c>
      <c r="C95" s="17" t="s">
        <v>802</v>
      </c>
      <c r="D95" s="18" t="s">
        <v>926</v>
      </c>
      <c r="E95" s="11" t="s">
        <v>931</v>
      </c>
      <c r="F95" s="19">
        <f>10</f>
        <v>10</v>
      </c>
      <c r="G95" s="37">
        <v>-105</v>
      </c>
      <c r="H95" s="37" t="s">
        <v>263</v>
      </c>
      <c r="I95" s="45">
        <f>IF(Bets[[#This Row],[Result]]="L",0-Bets[[#This Row],[Risk]],IF(Bets[[#This Row],[Result]]="Push",0,IF(Bets[[#This Row],[Result]]="No Action",0,IF(Bets[[#This Row],[Result]]="W",IF(Bets[[#This Row],[Odds]]&gt;0,Bets[[#This Row],[Odds]]/100*Bets[[#This Row],[Risk]],(Bets[[#This Row],[Risk]]/Bets[[#This Row],[Odds]]*-100)),""))))</f>
        <v>-10</v>
      </c>
      <c r="J95" s="39" t="str">
        <f>IF(ISNUMBER(SEARCH(CHAR(10),Bets[[#This Row],[Bet]])),"P",IF(ISNUMBER(FIND("Under",Bets[[#This Row],[Bet]])),"U",IF(ISNUMBER(SEARCH("Over",Bets[[#This Row],[Bet]])),"O",IF(ISNUMBER(SEARCH("+",Bets[[#This Row],[Bet]])),"D",IF(ISNUMBER(SEARCH("-",Bets[[#This Row],[Bet]])),"F",IF(ISNUMBER(SEARCH("Moneyline",Bets[[#This Row],[Bet]])),IF(Bets[[#This Row],[Odds]]&lt;0,"MF","MD"),""))))))</f>
        <v>O</v>
      </c>
      <c r="K95"/>
      <c r="L95" s="24">
        <f t="shared" si="5"/>
        <v>0</v>
      </c>
      <c r="M95" s="1" t="str">
        <f>COUNTIFS(Bets[Date],L95,Bets[Result],"W")&amp;"-"&amp;COUNTIFS(Bets[Date],L95,Bets[Result],"L")&amp;IF(COUNTIFS(Bets[Date],L95,Bets[Result],"Push")&gt;0,"-"&amp;COUNTIFS(Bets[Date],L95,Bets[Result],"Push"),"")</f>
        <v>0-0</v>
      </c>
      <c r="N95" s="25" t="str">
        <f>IFERROR(COUNTIFS(Bets[Date],L95,Bets[Result],"W")/(COUNTIFS(Bets[Date],L95,Bets[Result],"W")+COUNTIFS(Bets[Date],L95,Bets[Result],"L")),"")</f>
        <v/>
      </c>
      <c r="O95" s="26">
        <f>SUMIF(Bets[Date],L95,Bets[Net])</f>
        <v>0</v>
      </c>
      <c r="P95" s="27" t="str">
        <f>IFERROR("("&amp;ROUND(SUMIF(Bets[Date],L95,Bets[Net])/SUMIF(Bets[Date],L95,Bets[Risk]),2)*100&amp;"%)","")</f>
        <v/>
      </c>
      <c r="Q95" s="72" t="str">
        <f t="shared" si="6"/>
        <v/>
      </c>
      <c r="R95" s="73" t="str">
        <f>IFERROR(SUMIF(Bets[Date],"&lt;="&amp;L95,Bets[Net])/SUMIF(Bets[Date],"&lt;="&amp;L95,Bets[Risk]),"")</f>
        <v/>
      </c>
    </row>
    <row r="96" spans="1:18" x14ac:dyDescent="0.25">
      <c r="A96" s="13">
        <f t="shared" si="4"/>
        <v>7</v>
      </c>
      <c r="B96" s="17">
        <v>43586</v>
      </c>
      <c r="C96" s="17" t="s">
        <v>802</v>
      </c>
      <c r="D96" s="18" t="s">
        <v>932</v>
      </c>
      <c r="E96" s="11" t="s">
        <v>933</v>
      </c>
      <c r="F96" s="19">
        <f>10</f>
        <v>10</v>
      </c>
      <c r="G96" s="37">
        <v>100</v>
      </c>
      <c r="H96" s="37" t="s">
        <v>262</v>
      </c>
      <c r="I96" s="45">
        <f>IF(Bets[[#This Row],[Result]]="L",0-Bets[[#This Row],[Risk]],IF(Bets[[#This Row],[Result]]="Push",0,IF(Bets[[#This Row],[Result]]="No Action",0,IF(Bets[[#This Row],[Result]]="W",IF(Bets[[#This Row],[Odds]]&gt;0,Bets[[#This Row],[Odds]]/100*Bets[[#This Row],[Risk]],(Bets[[#This Row],[Risk]]/Bets[[#This Row],[Odds]]*-100)),""))))</f>
        <v>10</v>
      </c>
      <c r="J96" s="39" t="str">
        <f>IF(ISNUMBER(SEARCH(CHAR(10),Bets[[#This Row],[Bet]])),"P",IF(ISNUMBER(FIND("Under",Bets[[#This Row],[Bet]])),"U",IF(ISNUMBER(SEARCH("Over",Bets[[#This Row],[Bet]])),"O",IF(ISNUMBER(SEARCH("+",Bets[[#This Row],[Bet]])),"D",IF(ISNUMBER(SEARCH("-",Bets[[#This Row],[Bet]])),"F",IF(ISNUMBER(SEARCH("Moneyline",Bets[[#This Row],[Bet]])),IF(Bets[[#This Row],[Odds]]&lt;0,"MF","MD"),""))))))</f>
        <v>U</v>
      </c>
      <c r="K96"/>
      <c r="L96" s="24">
        <f t="shared" si="5"/>
        <v>0</v>
      </c>
      <c r="M96" s="1" t="str">
        <f>COUNTIFS(Bets[Date],L96,Bets[Result],"W")&amp;"-"&amp;COUNTIFS(Bets[Date],L96,Bets[Result],"L")&amp;IF(COUNTIFS(Bets[Date],L96,Bets[Result],"Push")&gt;0,"-"&amp;COUNTIFS(Bets[Date],L96,Bets[Result],"Push"),"")</f>
        <v>0-0</v>
      </c>
      <c r="N96" s="25" t="str">
        <f>IFERROR(COUNTIFS(Bets[Date],L96,Bets[Result],"W")/(COUNTIFS(Bets[Date],L96,Bets[Result],"W")+COUNTIFS(Bets[Date],L96,Bets[Result],"L")),"")</f>
        <v/>
      </c>
      <c r="O96" s="26">
        <f>SUMIF(Bets[Date],L96,Bets[Net])</f>
        <v>0</v>
      </c>
      <c r="P96" s="27" t="str">
        <f>IFERROR("("&amp;ROUND(SUMIF(Bets[Date],L96,Bets[Net])/SUMIF(Bets[Date],L96,Bets[Risk]),2)*100&amp;"%)","")</f>
        <v/>
      </c>
      <c r="Q96" s="72" t="str">
        <f t="shared" si="6"/>
        <v/>
      </c>
      <c r="R96" s="73" t="str">
        <f>IFERROR(SUMIF(Bets[Date],"&lt;="&amp;L96,Bets[Net])/SUMIF(Bets[Date],"&lt;="&amp;L96,Bets[Risk]),"")</f>
        <v/>
      </c>
    </row>
    <row r="97" spans="1:18" x14ac:dyDescent="0.25">
      <c r="A97" s="13">
        <f t="shared" si="4"/>
        <v>7</v>
      </c>
      <c r="B97" s="17">
        <v>43586</v>
      </c>
      <c r="C97" s="17" t="s">
        <v>802</v>
      </c>
      <c r="D97" s="18" t="s">
        <v>1157</v>
      </c>
      <c r="E97" s="11" t="s">
        <v>905</v>
      </c>
      <c r="F97" s="19">
        <f>10</f>
        <v>10</v>
      </c>
      <c r="G97" s="37">
        <v>-105</v>
      </c>
      <c r="H97" s="37" t="s">
        <v>263</v>
      </c>
      <c r="I97" s="45">
        <f>IF(Bets[[#This Row],[Result]]="L",0-Bets[[#This Row],[Risk]],IF(Bets[[#This Row],[Result]]="Push",0,IF(Bets[[#This Row],[Result]]="No Action",0,IF(Bets[[#This Row],[Result]]="W",IF(Bets[[#This Row],[Odds]]&gt;0,Bets[[#This Row],[Odds]]/100*Bets[[#This Row],[Risk]],(Bets[[#This Row],[Risk]]/Bets[[#This Row],[Odds]]*-100)),""))))</f>
        <v>-10</v>
      </c>
      <c r="J97" s="39" t="str">
        <f>IF(ISNUMBER(SEARCH(CHAR(10),Bets[[#This Row],[Bet]])),"P",IF(ISNUMBER(FIND("Under",Bets[[#This Row],[Bet]])),"U",IF(ISNUMBER(SEARCH("Over",Bets[[#This Row],[Bet]])),"O",IF(ISNUMBER(SEARCH("+",Bets[[#This Row],[Bet]])),"D",IF(ISNUMBER(SEARCH("-",Bets[[#This Row],[Bet]])),"F",IF(ISNUMBER(SEARCH("Moneyline",Bets[[#This Row],[Bet]])),IF(Bets[[#This Row],[Odds]]&lt;0,"MF","MD"),""))))))</f>
        <v>O</v>
      </c>
      <c r="K97"/>
      <c r="L97" s="24">
        <f t="shared" si="5"/>
        <v>0</v>
      </c>
      <c r="M97" s="1" t="str">
        <f>COUNTIFS(Bets[Date],L97,Bets[Result],"W")&amp;"-"&amp;COUNTIFS(Bets[Date],L97,Bets[Result],"L")&amp;IF(COUNTIFS(Bets[Date],L97,Bets[Result],"Push")&gt;0,"-"&amp;COUNTIFS(Bets[Date],L97,Bets[Result],"Push"),"")</f>
        <v>0-0</v>
      </c>
      <c r="N97" s="25" t="str">
        <f>IFERROR(COUNTIFS(Bets[Date],L97,Bets[Result],"W")/(COUNTIFS(Bets[Date],L97,Bets[Result],"W")+COUNTIFS(Bets[Date],L97,Bets[Result],"L")),"")</f>
        <v/>
      </c>
      <c r="O97" s="26">
        <f>SUMIF(Bets[Date],L97,Bets[Net])</f>
        <v>0</v>
      </c>
      <c r="P97" s="27" t="str">
        <f>IFERROR("("&amp;ROUND(SUMIF(Bets[Date],L97,Bets[Net])/SUMIF(Bets[Date],L97,Bets[Risk]),2)*100&amp;"%)","")</f>
        <v/>
      </c>
      <c r="Q97" s="72" t="str">
        <f t="shared" si="6"/>
        <v/>
      </c>
      <c r="R97" s="73" t="str">
        <f>IFERROR(SUMIF(Bets[Date],"&lt;="&amp;L97,Bets[Net])/SUMIF(Bets[Date],"&lt;="&amp;L97,Bets[Risk]),"")</f>
        <v/>
      </c>
    </row>
    <row r="98" spans="1:18" x14ac:dyDescent="0.25">
      <c r="A98" s="13">
        <f t="shared" si="4"/>
        <v>7</v>
      </c>
      <c r="B98" s="17">
        <v>43586</v>
      </c>
      <c r="C98" s="17" t="s">
        <v>802</v>
      </c>
      <c r="D98" s="18" t="s">
        <v>1168</v>
      </c>
      <c r="E98" s="11" t="s">
        <v>877</v>
      </c>
      <c r="F98" s="19">
        <f>10</f>
        <v>10</v>
      </c>
      <c r="G98" s="37">
        <v>-110</v>
      </c>
      <c r="H98" s="37" t="s">
        <v>1174</v>
      </c>
      <c r="I98" s="45">
        <f>IF(Bets[[#This Row],[Result]]="L",0-Bets[[#This Row],[Risk]],IF(Bets[[#This Row],[Result]]="Push",0,IF(Bets[[#This Row],[Result]]="No Action",0,IF(Bets[[#This Row],[Result]]="W",IF(Bets[[#This Row],[Odds]]&gt;0,Bets[[#This Row],[Odds]]/100*Bets[[#This Row],[Risk]],(Bets[[#This Row],[Risk]]/Bets[[#This Row],[Odds]]*-100)),""))))</f>
        <v>0</v>
      </c>
      <c r="J98" s="39" t="str">
        <f>IF(ISNUMBER(SEARCH(CHAR(10),Bets[[#This Row],[Bet]])),"P",IF(ISNUMBER(FIND("Under",Bets[[#This Row],[Bet]])),"U",IF(ISNUMBER(SEARCH("Over",Bets[[#This Row],[Bet]])),"O",IF(ISNUMBER(SEARCH("+",Bets[[#This Row],[Bet]])),"D",IF(ISNUMBER(SEARCH("-",Bets[[#This Row],[Bet]])),"F",IF(ISNUMBER(SEARCH("Moneyline",Bets[[#This Row],[Bet]])),IF(Bets[[#This Row],[Odds]]&lt;0,"MF","MD"),""))))))</f>
        <v>U</v>
      </c>
      <c r="K98"/>
      <c r="L98" s="24">
        <f t="shared" si="5"/>
        <v>0</v>
      </c>
      <c r="M98" s="1" t="str">
        <f>COUNTIFS(Bets[Date],L98,Bets[Result],"W")&amp;"-"&amp;COUNTIFS(Bets[Date],L98,Bets[Result],"L")&amp;IF(COUNTIFS(Bets[Date],L98,Bets[Result],"Push")&gt;0,"-"&amp;COUNTIFS(Bets[Date],L98,Bets[Result],"Push"),"")</f>
        <v>0-0</v>
      </c>
      <c r="N98" s="25" t="str">
        <f>IFERROR(COUNTIFS(Bets[Date],L98,Bets[Result],"W")/(COUNTIFS(Bets[Date],L98,Bets[Result],"W")+COUNTIFS(Bets[Date],L98,Bets[Result],"L")),"")</f>
        <v/>
      </c>
      <c r="O98" s="26">
        <f>SUMIF(Bets[Date],L98,Bets[Net])</f>
        <v>0</v>
      </c>
      <c r="P98" s="27" t="str">
        <f>IFERROR("("&amp;ROUND(SUMIF(Bets[Date],L98,Bets[Net])/SUMIF(Bets[Date],L98,Bets[Risk]),2)*100&amp;"%)","")</f>
        <v/>
      </c>
      <c r="Q98" s="72" t="str">
        <f t="shared" si="6"/>
        <v/>
      </c>
      <c r="R98" s="73" t="str">
        <f>IFERROR(SUMIF(Bets[Date],"&lt;="&amp;L98,Bets[Net])/SUMIF(Bets[Date],"&lt;="&amp;L98,Bets[Risk]),"")</f>
        <v/>
      </c>
    </row>
    <row r="99" spans="1:18" x14ac:dyDescent="0.25">
      <c r="A99" s="13">
        <f t="shared" si="4"/>
        <v>8</v>
      </c>
      <c r="B99" s="17">
        <v>43587</v>
      </c>
      <c r="C99" s="17" t="s">
        <v>802</v>
      </c>
      <c r="D99" s="18" t="s">
        <v>930</v>
      </c>
      <c r="E99" s="11" t="s">
        <v>819</v>
      </c>
      <c r="F99" s="19">
        <f>10</f>
        <v>10</v>
      </c>
      <c r="G99" s="37">
        <v>-172</v>
      </c>
      <c r="H99" s="37" t="s">
        <v>262</v>
      </c>
      <c r="I99" s="45">
        <f>IF(Bets[[#This Row],[Result]]="L",0-Bets[[#This Row],[Risk]],IF(Bets[[#This Row],[Result]]="Push",0,IF(Bets[[#This Row],[Result]]="No Action",0,IF(Bets[[#This Row],[Result]]="W",IF(Bets[[#This Row],[Odds]]&gt;0,Bets[[#This Row],[Odds]]/100*Bets[[#This Row],[Risk]],(Bets[[#This Row],[Risk]]/Bets[[#This Row],[Odds]]*-100)),""))))</f>
        <v>5.8139534883720927</v>
      </c>
      <c r="J99" s="39" t="str">
        <f>IF(ISNUMBER(SEARCH(CHAR(10),Bets[[#This Row],[Bet]])),"P",IF(ISNUMBER(FIND("Under",Bets[[#This Row],[Bet]])),"U",IF(ISNUMBER(SEARCH("Over",Bets[[#This Row],[Bet]])),"O",IF(ISNUMBER(SEARCH("+",Bets[[#This Row],[Bet]])),"D",IF(ISNUMBER(SEARCH("-",Bets[[#This Row],[Bet]])),"F",IF(ISNUMBER(SEARCH("Moneyline",Bets[[#This Row],[Bet]])),IF(Bets[[#This Row],[Odds]]&lt;0,"MF","MD"),""))))))</f>
        <v>MF</v>
      </c>
      <c r="K99"/>
      <c r="L99" s="24">
        <f t="shared" si="5"/>
        <v>0</v>
      </c>
      <c r="M99" s="1" t="str">
        <f>COUNTIFS(Bets[Date],L99,Bets[Result],"W")&amp;"-"&amp;COUNTIFS(Bets[Date],L99,Bets[Result],"L")&amp;IF(COUNTIFS(Bets[Date],L99,Bets[Result],"Push")&gt;0,"-"&amp;COUNTIFS(Bets[Date],L99,Bets[Result],"Push"),"")</f>
        <v>0-0</v>
      </c>
      <c r="N99" s="25" t="str">
        <f>IFERROR(COUNTIFS(Bets[Date],L99,Bets[Result],"W")/(COUNTIFS(Bets[Date],L99,Bets[Result],"W")+COUNTIFS(Bets[Date],L99,Bets[Result],"L")),"")</f>
        <v/>
      </c>
      <c r="O99" s="26">
        <f>SUMIF(Bets[Date],L99,Bets[Net])</f>
        <v>0</v>
      </c>
      <c r="P99" s="27" t="str">
        <f>IFERROR("("&amp;ROUND(SUMIF(Bets[Date],L99,Bets[Net])/SUMIF(Bets[Date],L99,Bets[Risk]),2)*100&amp;"%)","")</f>
        <v/>
      </c>
      <c r="Q99" s="72" t="str">
        <f t="shared" si="6"/>
        <v/>
      </c>
      <c r="R99" s="73" t="str">
        <f>IFERROR(SUMIF(Bets[Date],"&lt;="&amp;L99,Bets[Net])/SUMIF(Bets[Date],"&lt;="&amp;L99,Bets[Risk]),"")</f>
        <v/>
      </c>
    </row>
    <row r="100" spans="1:18" x14ac:dyDescent="0.25">
      <c r="A100" s="13">
        <f t="shared" si="4"/>
        <v>8</v>
      </c>
      <c r="B100" s="17">
        <v>43587</v>
      </c>
      <c r="C100" s="17" t="s">
        <v>802</v>
      </c>
      <c r="D100" s="18" t="s">
        <v>930</v>
      </c>
      <c r="E100" s="11" t="s">
        <v>931</v>
      </c>
      <c r="F100" s="19">
        <f>10</f>
        <v>10</v>
      </c>
      <c r="G100" s="37">
        <v>-115</v>
      </c>
      <c r="H100" s="21" t="s">
        <v>263</v>
      </c>
      <c r="I100" s="45">
        <f>IF(Bets[[#This Row],[Result]]="L",0-Bets[[#This Row],[Risk]],IF(Bets[[#This Row],[Result]]="Push",0,IF(Bets[[#This Row],[Result]]="No Action",0,IF(Bets[[#This Row],[Result]]="W",IF(Bets[[#This Row],[Odds]]&gt;0,Bets[[#This Row],[Odds]]/100*Bets[[#This Row],[Risk]],(Bets[[#This Row],[Risk]]/Bets[[#This Row],[Odds]]*-100)),""))))</f>
        <v>-10</v>
      </c>
      <c r="J100" s="39" t="str">
        <f>IF(ISNUMBER(SEARCH(CHAR(10),Bets[[#This Row],[Bet]])),"P",IF(ISNUMBER(FIND("Under",Bets[[#This Row],[Bet]])),"U",IF(ISNUMBER(SEARCH("Over",Bets[[#This Row],[Bet]])),"O",IF(ISNUMBER(SEARCH("+",Bets[[#This Row],[Bet]])),"D",IF(ISNUMBER(SEARCH("-",Bets[[#This Row],[Bet]])),"F",IF(ISNUMBER(SEARCH("Moneyline",Bets[[#This Row],[Bet]])),IF(Bets[[#This Row],[Odds]]&lt;0,"MF","MD"),""))))))</f>
        <v>O</v>
      </c>
      <c r="K100"/>
      <c r="L100" s="24">
        <f t="shared" ref="L100:L131" si="7">IFERROR(VLOOKUP(ROW()-3,A:B,2,0),0)</f>
        <v>0</v>
      </c>
      <c r="M100" s="1" t="str">
        <f>COUNTIFS(Bets[Date],L100,Bets[Result],"W")&amp;"-"&amp;COUNTIFS(Bets[Date],L100,Bets[Result],"L")&amp;IF(COUNTIFS(Bets[Date],L100,Bets[Result],"Push")&gt;0,"-"&amp;COUNTIFS(Bets[Date],L100,Bets[Result],"Push"),"")</f>
        <v>0-0</v>
      </c>
      <c r="N100" s="25" t="str">
        <f>IFERROR(COUNTIFS(Bets[Date],L100,Bets[Result],"W")/(COUNTIFS(Bets[Date],L100,Bets[Result],"W")+COUNTIFS(Bets[Date],L100,Bets[Result],"L")),"")</f>
        <v/>
      </c>
      <c r="O100" s="26">
        <f>SUMIF(Bets[Date],L100,Bets[Net])</f>
        <v>0</v>
      </c>
      <c r="P100" s="27" t="str">
        <f>IFERROR("("&amp;ROUND(SUMIF(Bets[Date],L100,Bets[Net])/SUMIF(Bets[Date],L100,Bets[Risk]),2)*100&amp;"%)","")</f>
        <v/>
      </c>
      <c r="Q100" s="72" t="str">
        <f t="shared" si="6"/>
        <v/>
      </c>
      <c r="R100" s="73" t="str">
        <f>IFERROR(SUMIF(Bets[Date],"&lt;="&amp;L100,Bets[Net])/SUMIF(Bets[Date],"&lt;="&amp;L100,Bets[Risk]),"")</f>
        <v/>
      </c>
    </row>
    <row r="101" spans="1:18" x14ac:dyDescent="0.25">
      <c r="A101" s="13">
        <f t="shared" si="4"/>
        <v>8</v>
      </c>
      <c r="B101" s="17">
        <v>43587</v>
      </c>
      <c r="C101" s="17" t="s">
        <v>802</v>
      </c>
      <c r="D101" s="18" t="s">
        <v>926</v>
      </c>
      <c r="E101" s="11" t="s">
        <v>905</v>
      </c>
      <c r="F101" s="19">
        <f>10</f>
        <v>10</v>
      </c>
      <c r="G101" s="37">
        <v>-105</v>
      </c>
      <c r="H101" s="21" t="s">
        <v>263</v>
      </c>
      <c r="I101" s="45">
        <f>IF(Bets[[#This Row],[Result]]="L",0-Bets[[#This Row],[Risk]],IF(Bets[[#This Row],[Result]]="Push",0,IF(Bets[[#This Row],[Result]]="No Action",0,IF(Bets[[#This Row],[Result]]="W",IF(Bets[[#This Row],[Odds]]&gt;0,Bets[[#This Row],[Odds]]/100*Bets[[#This Row],[Risk]],(Bets[[#This Row],[Risk]]/Bets[[#This Row],[Odds]]*-100)),""))))</f>
        <v>-10</v>
      </c>
      <c r="J101" s="39" t="str">
        <f>IF(ISNUMBER(SEARCH(CHAR(10),Bets[[#This Row],[Bet]])),"P",IF(ISNUMBER(FIND("Under",Bets[[#This Row],[Bet]])),"U",IF(ISNUMBER(SEARCH("Over",Bets[[#This Row],[Bet]])),"O",IF(ISNUMBER(SEARCH("+",Bets[[#This Row],[Bet]])),"D",IF(ISNUMBER(SEARCH("-",Bets[[#This Row],[Bet]])),"F",IF(ISNUMBER(SEARCH("Moneyline",Bets[[#This Row],[Bet]])),IF(Bets[[#This Row],[Odds]]&lt;0,"MF","MD"),""))))))</f>
        <v>O</v>
      </c>
      <c r="K101"/>
      <c r="L101" s="24">
        <f t="shared" si="7"/>
        <v>0</v>
      </c>
      <c r="M101" s="1" t="str">
        <f>COUNTIFS(Bets[Date],L101,Bets[Result],"W")&amp;"-"&amp;COUNTIFS(Bets[Date],L101,Bets[Result],"L")&amp;IF(COUNTIFS(Bets[Date],L101,Bets[Result],"Push")&gt;0,"-"&amp;COUNTIFS(Bets[Date],L101,Bets[Result],"Push"),"")</f>
        <v>0-0</v>
      </c>
      <c r="N101" s="25" t="str">
        <f>IFERROR(COUNTIFS(Bets[Date],L101,Bets[Result],"W")/(COUNTIFS(Bets[Date],L101,Bets[Result],"W")+COUNTIFS(Bets[Date],L101,Bets[Result],"L")),"")</f>
        <v/>
      </c>
      <c r="O101" s="26">
        <f>SUMIF(Bets[Date],L101,Bets[Net])</f>
        <v>0</v>
      </c>
      <c r="P101" s="27" t="str">
        <f>IFERROR("("&amp;ROUND(SUMIF(Bets[Date],L101,Bets[Net])/SUMIF(Bets[Date],L101,Bets[Risk]),2)*100&amp;"%)","")</f>
        <v/>
      </c>
      <c r="Q101" s="72" t="str">
        <f t="shared" si="6"/>
        <v/>
      </c>
      <c r="R101" s="73" t="str">
        <f>IFERROR(SUMIF(Bets[Date],"&lt;="&amp;L101,Bets[Net])/SUMIF(Bets[Date],"&lt;="&amp;L101,Bets[Risk]),"")</f>
        <v/>
      </c>
    </row>
    <row r="102" spans="1:18" x14ac:dyDescent="0.25">
      <c r="A102" s="13">
        <f t="shared" si="4"/>
        <v>8</v>
      </c>
      <c r="B102" s="17">
        <v>43587</v>
      </c>
      <c r="C102" s="17" t="s">
        <v>802</v>
      </c>
      <c r="D102" s="18" t="s">
        <v>1168</v>
      </c>
      <c r="E102" s="11" t="s">
        <v>933</v>
      </c>
      <c r="F102" s="19">
        <f>10</f>
        <v>10</v>
      </c>
      <c r="G102" s="37">
        <v>-120</v>
      </c>
      <c r="H102" s="37" t="s">
        <v>262</v>
      </c>
      <c r="I102" s="45">
        <f>IF(Bets[[#This Row],[Result]]="L",0-Bets[[#This Row],[Risk]],IF(Bets[[#This Row],[Result]]="Push",0,IF(Bets[[#This Row],[Result]]="No Action",0,IF(Bets[[#This Row],[Result]]="W",IF(Bets[[#This Row],[Odds]]&gt;0,Bets[[#This Row],[Odds]]/100*Bets[[#This Row],[Risk]],(Bets[[#This Row],[Risk]]/Bets[[#This Row],[Odds]]*-100)),""))))</f>
        <v>8.3333333333333321</v>
      </c>
      <c r="J102" s="39" t="str">
        <f>IF(ISNUMBER(SEARCH(CHAR(10),Bets[[#This Row],[Bet]])),"P",IF(ISNUMBER(FIND("Under",Bets[[#This Row],[Bet]])),"U",IF(ISNUMBER(SEARCH("Over",Bets[[#This Row],[Bet]])),"O",IF(ISNUMBER(SEARCH("+",Bets[[#This Row],[Bet]])),"D",IF(ISNUMBER(SEARCH("-",Bets[[#This Row],[Bet]])),"F",IF(ISNUMBER(SEARCH("Moneyline",Bets[[#This Row],[Bet]])),IF(Bets[[#This Row],[Odds]]&lt;0,"MF","MD"),""))))))</f>
        <v>U</v>
      </c>
      <c r="K102"/>
      <c r="L102" s="24">
        <f t="shared" si="7"/>
        <v>0</v>
      </c>
      <c r="M102" s="1" t="str">
        <f>COUNTIFS(Bets[Date],L102,Bets[Result],"W")&amp;"-"&amp;COUNTIFS(Bets[Date],L102,Bets[Result],"L")&amp;IF(COUNTIFS(Bets[Date],L102,Bets[Result],"Push")&gt;0,"-"&amp;COUNTIFS(Bets[Date],L102,Bets[Result],"Push"),"")</f>
        <v>0-0</v>
      </c>
      <c r="N102" s="25" t="str">
        <f>IFERROR(COUNTIFS(Bets[Date],L102,Bets[Result],"W")/(COUNTIFS(Bets[Date],L102,Bets[Result],"W")+COUNTIFS(Bets[Date],L102,Bets[Result],"L")),"")</f>
        <v/>
      </c>
      <c r="O102" s="26">
        <f>SUMIF(Bets[Date],L102,Bets[Net])</f>
        <v>0</v>
      </c>
      <c r="P102" s="27" t="str">
        <f>IFERROR("("&amp;ROUND(SUMIF(Bets[Date],L102,Bets[Net])/SUMIF(Bets[Date],L102,Bets[Risk]),2)*100&amp;"%)","")</f>
        <v/>
      </c>
      <c r="Q102" s="72" t="str">
        <f t="shared" si="6"/>
        <v/>
      </c>
      <c r="R102" s="73" t="str">
        <f>IFERROR(SUMIF(Bets[Date],"&lt;="&amp;L102,Bets[Net])/SUMIF(Bets[Date],"&lt;="&amp;L102,Bets[Risk]),"")</f>
        <v/>
      </c>
    </row>
    <row r="103" spans="1:18" x14ac:dyDescent="0.25">
      <c r="A103" s="13">
        <f t="shared" si="4"/>
        <v>9</v>
      </c>
      <c r="B103" s="17">
        <v>43592</v>
      </c>
      <c r="C103" s="17" t="s">
        <v>802</v>
      </c>
      <c r="D103" s="40" t="s">
        <v>1175</v>
      </c>
      <c r="E103" s="41" t="s">
        <v>869</v>
      </c>
      <c r="F103" s="19">
        <f>10</f>
        <v>10</v>
      </c>
      <c r="G103" s="37">
        <v>-145</v>
      </c>
      <c r="H103" s="37" t="s">
        <v>263</v>
      </c>
      <c r="I103" s="45">
        <f>IF(Bets[[#This Row],[Result]]="L",0-Bets[[#This Row],[Risk]],IF(Bets[[#This Row],[Result]]="Push",0,IF(Bets[[#This Row],[Result]]="No Action",0,IF(Bets[[#This Row],[Result]]="W",IF(Bets[[#This Row],[Odds]]&gt;0,Bets[[#This Row],[Odds]]/100*Bets[[#This Row],[Risk]],(Bets[[#This Row],[Risk]]/Bets[[#This Row],[Odds]]*-100)),""))))</f>
        <v>-10</v>
      </c>
      <c r="J103" s="39" t="str">
        <f>IF(ISNUMBER(SEARCH(CHAR(10),Bets[[#This Row],[Bet]])),"P",IF(ISNUMBER(FIND("Under",Bets[[#This Row],[Bet]])),"U",IF(ISNUMBER(SEARCH("Over",Bets[[#This Row],[Bet]])),"O",IF(ISNUMBER(SEARCH("+",Bets[[#This Row],[Bet]])),"D",IF(ISNUMBER(SEARCH("-",Bets[[#This Row],[Bet]])),"F",IF(ISNUMBER(SEARCH("Moneyline",Bets[[#This Row],[Bet]])),IF(Bets[[#This Row],[Odds]]&lt;0,"MF","MD"),""))))))</f>
        <v>MF</v>
      </c>
      <c r="K103"/>
      <c r="L103" s="24">
        <f t="shared" si="7"/>
        <v>0</v>
      </c>
      <c r="M103" s="1" t="str">
        <f>COUNTIFS(Bets[Date],L103,Bets[Result],"W")&amp;"-"&amp;COUNTIFS(Bets[Date],L103,Bets[Result],"L")&amp;IF(COUNTIFS(Bets[Date],L103,Bets[Result],"Push")&gt;0,"-"&amp;COUNTIFS(Bets[Date],L103,Bets[Result],"Push"),"")</f>
        <v>0-0</v>
      </c>
      <c r="N103" s="25" t="str">
        <f>IFERROR(COUNTIFS(Bets[Date],L103,Bets[Result],"W")/(COUNTIFS(Bets[Date],L103,Bets[Result],"W")+COUNTIFS(Bets[Date],L103,Bets[Result],"L")),"")</f>
        <v/>
      </c>
      <c r="O103" s="26">
        <f>SUMIF(Bets[Date],L103,Bets[Net])</f>
        <v>0</v>
      </c>
      <c r="P103" s="27" t="str">
        <f>IFERROR("("&amp;ROUND(SUMIF(Bets[Date],L103,Bets[Net])/SUMIF(Bets[Date],L103,Bets[Risk]),2)*100&amp;"%)","")</f>
        <v/>
      </c>
      <c r="Q103" s="72" t="str">
        <f t="shared" si="6"/>
        <v/>
      </c>
      <c r="R103" s="73" t="str">
        <f>IFERROR(SUMIF(Bets[Date],"&lt;="&amp;L103,Bets[Net])/SUMIF(Bets[Date],"&lt;="&amp;L103,Bets[Risk]),"")</f>
        <v/>
      </c>
    </row>
    <row r="104" spans="1:18" x14ac:dyDescent="0.25">
      <c r="A104" s="13">
        <f t="shared" si="4"/>
        <v>9</v>
      </c>
      <c r="B104" s="17">
        <v>43592</v>
      </c>
      <c r="C104" s="17" t="s">
        <v>802</v>
      </c>
      <c r="D104" s="18" t="s">
        <v>1176</v>
      </c>
      <c r="E104" s="11" t="s">
        <v>870</v>
      </c>
      <c r="F104" s="19">
        <f>10</f>
        <v>10</v>
      </c>
      <c r="G104" s="37" t="s">
        <v>1187</v>
      </c>
      <c r="H104" s="37" t="s">
        <v>263</v>
      </c>
      <c r="I104" s="45">
        <f>IF(Bets[[#This Row],[Result]]="L",0-Bets[[#This Row],[Risk]],IF(Bets[[#This Row],[Result]]="Push",0,IF(Bets[[#This Row],[Result]]="No Action",0,IF(Bets[[#This Row],[Result]]="W",IF(Bets[[#This Row],[Odds]]&gt;0,Bets[[#This Row],[Odds]]/100*Bets[[#This Row],[Risk]],(Bets[[#This Row],[Risk]]/Bets[[#This Row],[Odds]]*-100)),""))))</f>
        <v>-10</v>
      </c>
      <c r="J104" s="39" t="str">
        <f>IF(ISNUMBER(SEARCH(CHAR(10),Bets[[#This Row],[Bet]])),"P",IF(ISNUMBER(FIND("Under",Bets[[#This Row],[Bet]])),"U",IF(ISNUMBER(SEARCH("Over",Bets[[#This Row],[Bet]])),"O",IF(ISNUMBER(SEARCH("+",Bets[[#This Row],[Bet]])),"D",IF(ISNUMBER(SEARCH("-",Bets[[#This Row],[Bet]])),"F",IF(ISNUMBER(SEARCH("Moneyline",Bets[[#This Row],[Bet]])),IF(Bets[[#This Row],[Odds]]&lt;0,"MF","MD"),""))))))</f>
        <v>MD</v>
      </c>
      <c r="K104"/>
      <c r="L104" s="24">
        <f t="shared" si="7"/>
        <v>0</v>
      </c>
      <c r="M104" s="1" t="str">
        <f>COUNTIFS(Bets[Date],L104,Bets[Result],"W")&amp;"-"&amp;COUNTIFS(Bets[Date],L104,Bets[Result],"L")&amp;IF(COUNTIFS(Bets[Date],L104,Bets[Result],"Push")&gt;0,"-"&amp;COUNTIFS(Bets[Date],L104,Bets[Result],"Push"),"")</f>
        <v>0-0</v>
      </c>
      <c r="N104" s="25" t="str">
        <f>IFERROR(COUNTIFS(Bets[Date],L104,Bets[Result],"W")/(COUNTIFS(Bets[Date],L104,Bets[Result],"W")+COUNTIFS(Bets[Date],L104,Bets[Result],"L")),"")</f>
        <v/>
      </c>
      <c r="O104" s="26">
        <f>SUMIF(Bets[Date],L104,Bets[Net])</f>
        <v>0</v>
      </c>
      <c r="P104" s="27" t="str">
        <f>IFERROR("("&amp;ROUND(SUMIF(Bets[Date],L104,Bets[Net])/SUMIF(Bets[Date],L104,Bets[Risk]),2)*100&amp;"%)","")</f>
        <v/>
      </c>
      <c r="Q104" s="72" t="str">
        <f t="shared" si="6"/>
        <v/>
      </c>
      <c r="R104" s="73" t="str">
        <f>IFERROR(SUMIF(Bets[Date],"&lt;="&amp;L104,Bets[Net])/SUMIF(Bets[Date],"&lt;="&amp;L104,Bets[Risk]),"")</f>
        <v/>
      </c>
    </row>
    <row r="105" spans="1:18" x14ac:dyDescent="0.25">
      <c r="A105" s="13">
        <f t="shared" si="4"/>
        <v>9</v>
      </c>
      <c r="B105" s="17">
        <v>43592</v>
      </c>
      <c r="C105" s="17" t="s">
        <v>802</v>
      </c>
      <c r="D105" s="18" t="s">
        <v>1177</v>
      </c>
      <c r="E105" s="11" t="s">
        <v>1178</v>
      </c>
      <c r="F105" s="19">
        <f>10</f>
        <v>10</v>
      </c>
      <c r="G105" s="37">
        <v>-135</v>
      </c>
      <c r="H105" s="37" t="s">
        <v>262</v>
      </c>
      <c r="I105" s="45">
        <f>IF(Bets[[#This Row],[Result]]="L",0-Bets[[#This Row],[Risk]],IF(Bets[[#This Row],[Result]]="Push",0,IF(Bets[[#This Row],[Result]]="No Action",0,IF(Bets[[#This Row],[Result]]="W",IF(Bets[[#This Row],[Odds]]&gt;0,Bets[[#This Row],[Odds]]/100*Bets[[#This Row],[Risk]],(Bets[[#This Row],[Risk]]/Bets[[#This Row],[Odds]]*-100)),""))))</f>
        <v>7.4074074074074066</v>
      </c>
      <c r="J105" s="39" t="str">
        <f>IF(ISNUMBER(SEARCH(CHAR(10),Bets[[#This Row],[Bet]])),"P",IF(ISNUMBER(FIND("Under",Bets[[#This Row],[Bet]])),"U",IF(ISNUMBER(SEARCH("Over",Bets[[#This Row],[Bet]])),"O",IF(ISNUMBER(SEARCH("+",Bets[[#This Row],[Bet]])),"D",IF(ISNUMBER(SEARCH("-",Bets[[#This Row],[Bet]])),"F",IF(ISNUMBER(SEARCH("Moneyline",Bets[[#This Row],[Bet]])),IF(Bets[[#This Row],[Odds]]&lt;0,"MF","MD"),""))))))</f>
        <v>MF</v>
      </c>
      <c r="K105"/>
      <c r="L105" s="24">
        <f t="shared" si="7"/>
        <v>0</v>
      </c>
      <c r="M105" s="1" t="str">
        <f>COUNTIFS(Bets[Date],L105,Bets[Result],"W")&amp;"-"&amp;COUNTIFS(Bets[Date],L105,Bets[Result],"L")&amp;IF(COUNTIFS(Bets[Date],L105,Bets[Result],"Push")&gt;0,"-"&amp;COUNTIFS(Bets[Date],L105,Bets[Result],"Push"),"")</f>
        <v>0-0</v>
      </c>
      <c r="N105" s="25" t="str">
        <f>IFERROR(COUNTIFS(Bets[Date],L105,Bets[Result],"W")/(COUNTIFS(Bets[Date],L105,Bets[Result],"W")+COUNTIFS(Bets[Date],L105,Bets[Result],"L")),"")</f>
        <v/>
      </c>
      <c r="O105" s="26">
        <f>SUMIF(Bets[Date],L105,Bets[Net])</f>
        <v>0</v>
      </c>
      <c r="P105" s="27" t="str">
        <f>IFERROR("("&amp;ROUND(SUMIF(Bets[Date],L105,Bets[Net])/SUMIF(Bets[Date],L105,Bets[Risk]),2)*100&amp;"%)","")</f>
        <v/>
      </c>
      <c r="Q105" s="72" t="str">
        <f t="shared" si="6"/>
        <v/>
      </c>
      <c r="R105" s="73" t="str">
        <f>IFERROR(SUMIF(Bets[Date],"&lt;="&amp;L105,Bets[Net])/SUMIF(Bets[Date],"&lt;="&amp;L105,Bets[Risk]),"")</f>
        <v/>
      </c>
    </row>
    <row r="106" spans="1:18" x14ac:dyDescent="0.25">
      <c r="A106" s="13">
        <f t="shared" si="4"/>
        <v>9</v>
      </c>
      <c r="B106" s="17">
        <v>43592</v>
      </c>
      <c r="C106" s="17" t="s">
        <v>802</v>
      </c>
      <c r="D106" s="18" t="s">
        <v>1179</v>
      </c>
      <c r="E106" s="11" t="s">
        <v>1180</v>
      </c>
      <c r="F106" s="19">
        <f>10</f>
        <v>10</v>
      </c>
      <c r="G106" s="37" t="s">
        <v>934</v>
      </c>
      <c r="H106" s="37" t="s">
        <v>263</v>
      </c>
      <c r="I106" s="45">
        <f>IF(Bets[[#This Row],[Result]]="L",0-Bets[[#This Row],[Risk]],IF(Bets[[#This Row],[Result]]="Push",0,IF(Bets[[#This Row],[Result]]="No Action",0,IF(Bets[[#This Row],[Result]]="W",IF(Bets[[#This Row],[Odds]]&gt;0,Bets[[#This Row],[Odds]]/100*Bets[[#This Row],[Risk]],(Bets[[#This Row],[Risk]]/Bets[[#This Row],[Odds]]*-100)),""))))</f>
        <v>-10</v>
      </c>
      <c r="J106" s="39" t="str">
        <f>IF(ISNUMBER(SEARCH(CHAR(10),Bets[[#This Row],[Bet]])),"P",IF(ISNUMBER(FIND("Under",Bets[[#This Row],[Bet]])),"U",IF(ISNUMBER(SEARCH("Over",Bets[[#This Row],[Bet]])),"O",IF(ISNUMBER(SEARCH("+",Bets[[#This Row],[Bet]])),"D",IF(ISNUMBER(SEARCH("-",Bets[[#This Row],[Bet]])),"F",IF(ISNUMBER(SEARCH("Moneyline",Bets[[#This Row],[Bet]])),IF(Bets[[#This Row],[Odds]]&lt;0,"MF","MD"),""))))))</f>
        <v>MD</v>
      </c>
      <c r="K106"/>
      <c r="L106" s="24">
        <f t="shared" si="7"/>
        <v>0</v>
      </c>
      <c r="M106" s="1" t="str">
        <f>COUNTIFS(Bets[Date],L106,Bets[Result],"W")&amp;"-"&amp;COUNTIFS(Bets[Date],L106,Bets[Result],"L")&amp;IF(COUNTIFS(Bets[Date],L106,Bets[Result],"Push")&gt;0,"-"&amp;COUNTIFS(Bets[Date],L106,Bets[Result],"Push"),"")</f>
        <v>0-0</v>
      </c>
      <c r="N106" s="25" t="str">
        <f>IFERROR(COUNTIFS(Bets[Date],L106,Bets[Result],"W")/(COUNTIFS(Bets[Date],L106,Bets[Result],"W")+COUNTIFS(Bets[Date],L106,Bets[Result],"L")),"")</f>
        <v/>
      </c>
      <c r="O106" s="26">
        <f>SUMIF(Bets[Date],L106,Bets[Net])</f>
        <v>0</v>
      </c>
      <c r="P106" s="27" t="str">
        <f>IFERROR("("&amp;ROUND(SUMIF(Bets[Date],L106,Bets[Net])/SUMIF(Bets[Date],L106,Bets[Risk]),2)*100&amp;"%)","")</f>
        <v/>
      </c>
      <c r="Q106" s="72" t="str">
        <f t="shared" si="6"/>
        <v/>
      </c>
      <c r="R106" s="73" t="str">
        <f>IFERROR(SUMIF(Bets[Date],"&lt;="&amp;L106,Bets[Net])/SUMIF(Bets[Date],"&lt;="&amp;L106,Bets[Risk]),"")</f>
        <v/>
      </c>
    </row>
    <row r="107" spans="1:18" x14ac:dyDescent="0.25">
      <c r="A107" s="13">
        <f t="shared" si="4"/>
        <v>9</v>
      </c>
      <c r="B107" s="17">
        <v>43592</v>
      </c>
      <c r="C107" s="17" t="s">
        <v>802</v>
      </c>
      <c r="D107" s="18" t="s">
        <v>1181</v>
      </c>
      <c r="E107" s="11" t="s">
        <v>830</v>
      </c>
      <c r="F107" s="19">
        <f>10</f>
        <v>10</v>
      </c>
      <c r="G107" s="37">
        <v>-120</v>
      </c>
      <c r="H107" s="37" t="s">
        <v>263</v>
      </c>
      <c r="I107" s="45">
        <f>IF(Bets[[#This Row],[Result]]="L",0-Bets[[#This Row],[Risk]],IF(Bets[[#This Row],[Result]]="Push",0,IF(Bets[[#This Row],[Result]]="No Action",0,IF(Bets[[#This Row],[Result]]="W",IF(Bets[[#This Row],[Odds]]&gt;0,Bets[[#This Row],[Odds]]/100*Bets[[#This Row],[Risk]],(Bets[[#This Row],[Risk]]/Bets[[#This Row],[Odds]]*-100)),""))))</f>
        <v>-10</v>
      </c>
      <c r="J107" s="39" t="str">
        <f>IF(ISNUMBER(SEARCH(CHAR(10),Bets[[#This Row],[Bet]])),"P",IF(ISNUMBER(FIND("Under",Bets[[#This Row],[Bet]])),"U",IF(ISNUMBER(SEARCH("Over",Bets[[#This Row],[Bet]])),"O",IF(ISNUMBER(SEARCH("+",Bets[[#This Row],[Bet]])),"D",IF(ISNUMBER(SEARCH("-",Bets[[#This Row],[Bet]])),"F",IF(ISNUMBER(SEARCH("Moneyline",Bets[[#This Row],[Bet]])),IF(Bets[[#This Row],[Odds]]&lt;0,"MF","MD"),""))))))</f>
        <v>MF</v>
      </c>
      <c r="K107"/>
      <c r="L107" s="24">
        <f t="shared" si="7"/>
        <v>0</v>
      </c>
      <c r="M107" s="1" t="str">
        <f>COUNTIFS(Bets[Date],L107,Bets[Result],"W")&amp;"-"&amp;COUNTIFS(Bets[Date],L107,Bets[Result],"L")&amp;IF(COUNTIFS(Bets[Date],L107,Bets[Result],"Push")&gt;0,"-"&amp;COUNTIFS(Bets[Date],L107,Bets[Result],"Push"),"")</f>
        <v>0-0</v>
      </c>
      <c r="N107" s="25" t="str">
        <f>IFERROR(COUNTIFS(Bets[Date],L107,Bets[Result],"W")/(COUNTIFS(Bets[Date],L107,Bets[Result],"W")+COUNTIFS(Bets[Date],L107,Bets[Result],"L")),"")</f>
        <v/>
      </c>
      <c r="O107" s="26">
        <f>SUMIF(Bets[Date],L107,Bets[Net])</f>
        <v>0</v>
      </c>
      <c r="P107" s="27"/>
      <c r="Q107" s="72" t="str">
        <f t="shared" si="6"/>
        <v/>
      </c>
      <c r="R107" s="73" t="str">
        <f>IFERROR(SUMIF(Bets[Date],"&lt;="&amp;L107,Bets[Net])/SUMIF(Bets[Date],"&lt;="&amp;L107,Bets[Risk]),"")</f>
        <v/>
      </c>
    </row>
    <row r="108" spans="1:18" x14ac:dyDescent="0.25">
      <c r="A108" s="13">
        <f t="shared" si="4"/>
        <v>9</v>
      </c>
      <c r="B108" s="17">
        <v>43592</v>
      </c>
      <c r="C108" s="17" t="s">
        <v>802</v>
      </c>
      <c r="D108" s="18" t="s">
        <v>1182</v>
      </c>
      <c r="E108" s="11" t="s">
        <v>867</v>
      </c>
      <c r="F108" s="19">
        <f>10</f>
        <v>10</v>
      </c>
      <c r="G108" s="37">
        <v>-166</v>
      </c>
      <c r="H108" s="37" t="s">
        <v>262</v>
      </c>
      <c r="I108" s="45">
        <f>IF(Bets[[#This Row],[Result]]="L",0-Bets[[#This Row],[Risk]],IF(Bets[[#This Row],[Result]]="Push",0,IF(Bets[[#This Row],[Result]]="No Action",0,IF(Bets[[#This Row],[Result]]="W",IF(Bets[[#This Row],[Odds]]&gt;0,Bets[[#This Row],[Odds]]/100*Bets[[#This Row],[Risk]],(Bets[[#This Row],[Risk]]/Bets[[#This Row],[Odds]]*-100)),""))))</f>
        <v>6.024096385542169</v>
      </c>
      <c r="J108" s="39" t="str">
        <f>IF(ISNUMBER(SEARCH(CHAR(10),Bets[[#This Row],[Bet]])),"P",IF(ISNUMBER(FIND("Under",Bets[[#This Row],[Bet]])),"U",IF(ISNUMBER(SEARCH("Over",Bets[[#This Row],[Bet]])),"O",IF(ISNUMBER(SEARCH("+",Bets[[#This Row],[Bet]])),"D",IF(ISNUMBER(SEARCH("-",Bets[[#This Row],[Bet]])),"F",IF(ISNUMBER(SEARCH("Moneyline",Bets[[#This Row],[Bet]])),IF(Bets[[#This Row],[Odds]]&lt;0,"MF","MD"),""))))))</f>
        <v>MF</v>
      </c>
      <c r="K108"/>
      <c r="L108" s="24">
        <f t="shared" si="7"/>
        <v>0</v>
      </c>
      <c r="M108" s="1" t="str">
        <f>COUNTIFS(Bets[Date],L108,Bets[Result],"W")&amp;"-"&amp;COUNTIFS(Bets[Date],L108,Bets[Result],"L")&amp;IF(COUNTIFS(Bets[Date],L108,Bets[Result],"Push")&gt;0,"-"&amp;COUNTIFS(Bets[Date],L108,Bets[Result],"Push"),"")</f>
        <v>0-0</v>
      </c>
      <c r="N108" s="25" t="str">
        <f>IFERROR(COUNTIFS(Bets[Date],L108,Bets[Result],"W")/(COUNTIFS(Bets[Date],L108,Bets[Result],"W")+COUNTIFS(Bets[Date],L108,Bets[Result],"L")),"")</f>
        <v/>
      </c>
      <c r="O108" s="26">
        <f>SUMIF(Bets[Date],L108,Bets[Net])</f>
        <v>0</v>
      </c>
      <c r="P108" s="27" t="str">
        <f>IFERROR("("&amp;ROUND((SUMIF(Bets[Date],L108,Bets[Net])-SUMIF(Bets[Date],L108,Bets[Risk]))/SUMIF(Bets[Date],L108,Bets[Risk]),2)*100&amp;"%)","")</f>
        <v/>
      </c>
      <c r="Q108" s="72" t="str">
        <f t="shared" si="6"/>
        <v/>
      </c>
      <c r="R108" s="73" t="str">
        <f>IFERROR(SUMIF(Bets[Date],"&lt;="&amp;L108,Bets[Net])/SUMIF(Bets[Date],"&lt;="&amp;L108,Bets[Risk]),"")</f>
        <v/>
      </c>
    </row>
    <row r="109" spans="1:18" x14ac:dyDescent="0.25">
      <c r="A109" s="13">
        <f t="shared" si="4"/>
        <v>9</v>
      </c>
      <c r="B109" s="17">
        <v>43592</v>
      </c>
      <c r="C109" s="17" t="s">
        <v>802</v>
      </c>
      <c r="D109" s="18" t="s">
        <v>1183</v>
      </c>
      <c r="E109" s="11" t="s">
        <v>1166</v>
      </c>
      <c r="F109" s="19">
        <f>10</f>
        <v>10</v>
      </c>
      <c r="G109" s="37">
        <v>-102</v>
      </c>
      <c r="H109" s="37" t="s">
        <v>263</v>
      </c>
      <c r="I109" s="45">
        <f>IF(Bets[[#This Row],[Result]]="L",0-Bets[[#This Row],[Risk]],IF(Bets[[#This Row],[Result]]="Push",0,IF(Bets[[#This Row],[Result]]="No Action",0,IF(Bets[[#This Row],[Result]]="W",IF(Bets[[#This Row],[Odds]]&gt;0,Bets[[#This Row],[Odds]]/100*Bets[[#This Row],[Risk]],(Bets[[#This Row],[Risk]]/Bets[[#This Row],[Odds]]*-100)),""))))</f>
        <v>-10</v>
      </c>
      <c r="J109" s="39" t="str">
        <f>IF(ISNUMBER(SEARCH(CHAR(10),Bets[[#This Row],[Bet]])),"P",IF(ISNUMBER(FIND("Under",Bets[[#This Row],[Bet]])),"U",IF(ISNUMBER(SEARCH("Over",Bets[[#This Row],[Bet]])),"O",IF(ISNUMBER(SEARCH("+",Bets[[#This Row],[Bet]])),"D",IF(ISNUMBER(SEARCH("-",Bets[[#This Row],[Bet]])),"F",IF(ISNUMBER(SEARCH("Moneyline",Bets[[#This Row],[Bet]])),IF(Bets[[#This Row],[Odds]]&lt;0,"MF","MD"),""))))))</f>
        <v>MF</v>
      </c>
      <c r="K109"/>
      <c r="L109" s="24">
        <f t="shared" si="7"/>
        <v>0</v>
      </c>
      <c r="M109" s="1" t="str">
        <f>COUNTIFS(Bets[Date],L109,Bets[Result],"W")&amp;"-"&amp;COUNTIFS(Bets[Date],L109,Bets[Result],"L")&amp;IF(COUNTIFS(Bets[Date],L109,Bets[Result],"Push")&gt;0,"-"&amp;COUNTIFS(Bets[Date],L109,Bets[Result],"Push"),"")</f>
        <v>0-0</v>
      </c>
      <c r="N109" s="25" t="str">
        <f>IFERROR(COUNTIFS(Bets[Date],L109,Bets[Result],"W")/(COUNTIFS(Bets[Date],L109,Bets[Result],"W")+COUNTIFS(Bets[Date],L109,Bets[Result],"L")),"")</f>
        <v/>
      </c>
      <c r="O109" s="26">
        <f>SUMIF(Bets[Date],L109,Bets[Net])</f>
        <v>0</v>
      </c>
      <c r="P109" s="27" t="str">
        <f>IFERROR("("&amp;ROUND((SUMIF(Bets[Date],L109,Bets[Net])-SUMIF(Bets[Date],L109,Bets[Risk]))/SUMIF(Bets[Date],L109,Bets[Risk]),2)*100&amp;"%)","")</f>
        <v/>
      </c>
      <c r="Q109" s="72" t="str">
        <f t="shared" si="6"/>
        <v/>
      </c>
      <c r="R109" s="73" t="str">
        <f>IFERROR(SUMIF(Bets[Date],"&lt;="&amp;L109,Bets[Net])/SUMIF(Bets[Date],"&lt;="&amp;L109,Bets[Risk]),"")</f>
        <v/>
      </c>
    </row>
    <row r="110" spans="1:18" x14ac:dyDescent="0.25">
      <c r="A110" s="13">
        <f t="shared" si="4"/>
        <v>9</v>
      </c>
      <c r="B110" s="17">
        <v>43592</v>
      </c>
      <c r="C110" s="17" t="s">
        <v>802</v>
      </c>
      <c r="D110" s="18" t="s">
        <v>1184</v>
      </c>
      <c r="E110" s="11" t="s">
        <v>1152</v>
      </c>
      <c r="F110" s="19">
        <f>10</f>
        <v>10</v>
      </c>
      <c r="G110" s="37" t="s">
        <v>823</v>
      </c>
      <c r="H110" s="37" t="s">
        <v>263</v>
      </c>
      <c r="I110" s="45">
        <f>IF(Bets[[#This Row],[Result]]="L",0-Bets[[#This Row],[Risk]],IF(Bets[[#This Row],[Result]]="Push",0,IF(Bets[[#This Row],[Result]]="No Action",0,IF(Bets[[#This Row],[Result]]="W",IF(Bets[[#This Row],[Odds]]&gt;0,Bets[[#This Row],[Odds]]/100*Bets[[#This Row],[Risk]],(Bets[[#This Row],[Risk]]/Bets[[#This Row],[Odds]]*-100)),""))))</f>
        <v>-10</v>
      </c>
      <c r="J110" s="39" t="str">
        <f>IF(ISNUMBER(SEARCH(CHAR(10),Bets[[#This Row],[Bet]])),"P",IF(ISNUMBER(FIND("Under",Bets[[#This Row],[Bet]])),"U",IF(ISNUMBER(SEARCH("Over",Bets[[#This Row],[Bet]])),"O",IF(ISNUMBER(SEARCH("+",Bets[[#This Row],[Bet]])),"D",IF(ISNUMBER(SEARCH("-",Bets[[#This Row],[Bet]])),"F",IF(ISNUMBER(SEARCH("Moneyline",Bets[[#This Row],[Bet]])),IF(Bets[[#This Row],[Odds]]&lt;0,"MF","MD"),""))))))</f>
        <v>MD</v>
      </c>
      <c r="K110"/>
      <c r="L110" s="24">
        <f t="shared" si="7"/>
        <v>0</v>
      </c>
      <c r="M110" s="1" t="str">
        <f>COUNTIFS(Bets[Date],L110,Bets[Result],"W")&amp;"-"&amp;COUNTIFS(Bets[Date],L110,Bets[Result],"L")&amp;IF(COUNTIFS(Bets[Date],L110,Bets[Result],"Push")&gt;0,"-"&amp;COUNTIFS(Bets[Date],L110,Bets[Result],"Push"),"")</f>
        <v>0-0</v>
      </c>
      <c r="N110" s="25" t="str">
        <f>IFERROR(COUNTIFS(Bets[Date],L110,Bets[Result],"W")/(COUNTIFS(Bets[Date],L110,Bets[Result],"W")+COUNTIFS(Bets[Date],L110,Bets[Result],"L")),"")</f>
        <v/>
      </c>
      <c r="O110" s="26">
        <f>SUMIF(Bets[Date],L110,Bets[Net])</f>
        <v>0</v>
      </c>
      <c r="P110" s="27" t="str">
        <f>IFERROR("("&amp;ROUND((SUMIF(Bets[Date],L110,Bets[Net])-SUMIF(Bets[Date],L110,Bets[Risk]))/SUMIF(Bets[Date],L110,Bets[Risk]),2)*100&amp;"%)","")</f>
        <v/>
      </c>
      <c r="Q110" s="72" t="str">
        <f t="shared" si="6"/>
        <v/>
      </c>
      <c r="R110" s="73" t="str">
        <f>IFERROR(SUMIF(Bets[Date],"&lt;="&amp;L110,Bets[Net])/SUMIF(Bets[Date],"&lt;="&amp;L110,Bets[Risk]),"")</f>
        <v/>
      </c>
    </row>
    <row r="111" spans="1:18" x14ac:dyDescent="0.25">
      <c r="A111" s="13">
        <f t="shared" si="4"/>
        <v>9</v>
      </c>
      <c r="B111" s="17">
        <v>43592</v>
      </c>
      <c r="C111" s="17" t="s">
        <v>802</v>
      </c>
      <c r="D111" s="18" t="s">
        <v>1176</v>
      </c>
      <c r="E111" s="11" t="s">
        <v>845</v>
      </c>
      <c r="F111" s="19">
        <f>10</f>
        <v>10</v>
      </c>
      <c r="G111" s="37">
        <v>-105</v>
      </c>
      <c r="H111" s="37" t="s">
        <v>262</v>
      </c>
      <c r="I111" s="45">
        <f>IF(Bets[[#This Row],[Result]]="L",0-Bets[[#This Row],[Risk]],IF(Bets[[#This Row],[Result]]="Push",0,IF(Bets[[#This Row],[Result]]="No Action",0,IF(Bets[[#This Row],[Result]]="W",IF(Bets[[#This Row],[Odds]]&gt;0,Bets[[#This Row],[Odds]]/100*Bets[[#This Row],[Risk]],(Bets[[#This Row],[Risk]]/Bets[[#This Row],[Odds]]*-100)),""))))</f>
        <v>9.5238095238095237</v>
      </c>
      <c r="J111" s="39" t="str">
        <f>IF(ISNUMBER(SEARCH(CHAR(10),Bets[[#This Row],[Bet]])),"P",IF(ISNUMBER(FIND("Under",Bets[[#This Row],[Bet]])),"U",IF(ISNUMBER(SEARCH("Over",Bets[[#This Row],[Bet]])),"O",IF(ISNUMBER(SEARCH("+",Bets[[#This Row],[Bet]])),"D",IF(ISNUMBER(SEARCH("-",Bets[[#This Row],[Bet]])),"F",IF(ISNUMBER(SEARCH("Moneyline",Bets[[#This Row],[Bet]])),IF(Bets[[#This Row],[Odds]]&lt;0,"MF","MD"),""))))))</f>
        <v>O</v>
      </c>
      <c r="K111"/>
      <c r="L111" s="24">
        <f t="shared" si="7"/>
        <v>0</v>
      </c>
      <c r="M111" s="1" t="str">
        <f>COUNTIFS(Bets[Date],L111,Bets[Result],"W")&amp;"-"&amp;COUNTIFS(Bets[Date],L111,Bets[Result],"L")&amp;IF(COUNTIFS(Bets[Date],L111,Bets[Result],"Push")&gt;0,"-"&amp;COUNTIFS(Bets[Date],L111,Bets[Result],"Push"),"")</f>
        <v>0-0</v>
      </c>
      <c r="N111" s="25" t="str">
        <f>IFERROR(COUNTIFS(Bets[Date],L111,Bets[Result],"W")/(COUNTIFS(Bets[Date],L111,Bets[Result],"W")+COUNTIFS(Bets[Date],L111,Bets[Result],"L")),"")</f>
        <v/>
      </c>
      <c r="O111" s="26">
        <f>SUMIF(Bets[Date],L111,Bets[Net])</f>
        <v>0</v>
      </c>
      <c r="P111" s="27" t="str">
        <f>IFERROR("("&amp;ROUND((SUMIF(Bets[Date],L111,Bets[Net])-SUMIF(Bets[Date],L111,Bets[Risk]))/SUMIF(Bets[Date],L111,Bets[Risk]),2)*100&amp;"%)","")</f>
        <v/>
      </c>
      <c r="Q111" s="72" t="str">
        <f t="shared" si="6"/>
        <v/>
      </c>
      <c r="R111" s="73" t="str">
        <f>IFERROR(SUMIF(Bets[Date],"&lt;="&amp;L111,Bets[Net])/SUMIF(Bets[Date],"&lt;="&amp;L111,Bets[Risk]),"")</f>
        <v/>
      </c>
    </row>
    <row r="112" spans="1:18" x14ac:dyDescent="0.25">
      <c r="A112" s="13">
        <f t="shared" si="4"/>
        <v>9</v>
      </c>
      <c r="B112" s="17">
        <v>43592</v>
      </c>
      <c r="C112" s="17" t="s">
        <v>802</v>
      </c>
      <c r="D112" s="18" t="s">
        <v>1177</v>
      </c>
      <c r="E112" s="11" t="s">
        <v>877</v>
      </c>
      <c r="F112" s="19">
        <f>10</f>
        <v>10</v>
      </c>
      <c r="G112" s="37">
        <v>105</v>
      </c>
      <c r="H112" s="37" t="s">
        <v>262</v>
      </c>
      <c r="I112" s="45">
        <f>IF(Bets[[#This Row],[Result]]="L",0-Bets[[#This Row],[Risk]],IF(Bets[[#This Row],[Result]]="Push",0,IF(Bets[[#This Row],[Result]]="No Action",0,IF(Bets[[#This Row],[Result]]="W",IF(Bets[[#This Row],[Odds]]&gt;0,Bets[[#This Row],[Odds]]/100*Bets[[#This Row],[Risk]],(Bets[[#This Row],[Risk]]/Bets[[#This Row],[Odds]]*-100)),""))))</f>
        <v>10.5</v>
      </c>
      <c r="J112" s="39" t="str">
        <f>IF(ISNUMBER(SEARCH(CHAR(10),Bets[[#This Row],[Bet]])),"P",IF(ISNUMBER(FIND("Under",Bets[[#This Row],[Bet]])),"U",IF(ISNUMBER(SEARCH("Over",Bets[[#This Row],[Bet]])),"O",IF(ISNUMBER(SEARCH("+",Bets[[#This Row],[Bet]])),"D",IF(ISNUMBER(SEARCH("-",Bets[[#This Row],[Bet]])),"F",IF(ISNUMBER(SEARCH("Moneyline",Bets[[#This Row],[Bet]])),IF(Bets[[#This Row],[Odds]]&lt;0,"MF","MD"),""))))))</f>
        <v>U</v>
      </c>
      <c r="K112"/>
      <c r="L112" s="24">
        <f t="shared" si="7"/>
        <v>0</v>
      </c>
      <c r="M112" s="1" t="str">
        <f>COUNTIFS(Bets[Date],L112,Bets[Result],"W")&amp;"-"&amp;COUNTIFS(Bets[Date],L112,Bets[Result],"L")&amp;IF(COUNTIFS(Bets[Date],L112,Bets[Result],"Push")&gt;0,"-"&amp;COUNTIFS(Bets[Date],L112,Bets[Result],"Push"),"")</f>
        <v>0-0</v>
      </c>
      <c r="N112" s="25" t="str">
        <f>IFERROR(COUNTIFS(Bets[Date],L112,Bets[Result],"W")/(COUNTIFS(Bets[Date],L112,Bets[Result],"W")+COUNTIFS(Bets[Date],L112,Bets[Result],"L")),"")</f>
        <v/>
      </c>
      <c r="O112" s="26">
        <f>SUMIF(Bets[Date],L112,Bets[Net])</f>
        <v>0</v>
      </c>
      <c r="P112" s="27" t="str">
        <f>IFERROR("("&amp;ROUND((SUMIF(Bets[Date],L112,Bets[Net])-SUMIF(Bets[Date],L112,Bets[Risk]))/SUMIF(Bets[Date],L112,Bets[Risk]),2)*100&amp;"%)","")</f>
        <v/>
      </c>
      <c r="Q112" s="72" t="str">
        <f t="shared" si="6"/>
        <v/>
      </c>
      <c r="R112" s="73" t="str">
        <f>IFERROR(SUMIF(Bets[Date],"&lt;="&amp;L112,Bets[Net])/SUMIF(Bets[Date],"&lt;="&amp;L112,Bets[Risk]),"")</f>
        <v/>
      </c>
    </row>
    <row r="113" spans="1:18" x14ac:dyDescent="0.25">
      <c r="A113" s="13">
        <f t="shared" si="4"/>
        <v>9</v>
      </c>
      <c r="B113" s="17">
        <v>43592</v>
      </c>
      <c r="C113" s="17" t="s">
        <v>802</v>
      </c>
      <c r="D113" s="18" t="s">
        <v>1179</v>
      </c>
      <c r="E113" s="11" t="s">
        <v>877</v>
      </c>
      <c r="F113" s="19">
        <f>10</f>
        <v>10</v>
      </c>
      <c r="G113" s="37">
        <v>-105</v>
      </c>
      <c r="H113" s="37" t="s">
        <v>263</v>
      </c>
      <c r="I113" s="45">
        <f>IF(Bets[[#This Row],[Result]]="L",0-Bets[[#This Row],[Risk]],IF(Bets[[#This Row],[Result]]="Push",0,IF(Bets[[#This Row],[Result]]="No Action",0,IF(Bets[[#This Row],[Result]]="W",IF(Bets[[#This Row],[Odds]]&gt;0,Bets[[#This Row],[Odds]]/100*Bets[[#This Row],[Risk]],(Bets[[#This Row],[Risk]]/Bets[[#This Row],[Odds]]*-100)),""))))</f>
        <v>-10</v>
      </c>
      <c r="J113" s="39" t="str">
        <f>IF(ISNUMBER(SEARCH(CHAR(10),Bets[[#This Row],[Bet]])),"P",IF(ISNUMBER(FIND("Under",Bets[[#This Row],[Bet]])),"U",IF(ISNUMBER(SEARCH("Over",Bets[[#This Row],[Bet]])),"O",IF(ISNUMBER(SEARCH("+",Bets[[#This Row],[Bet]])),"D",IF(ISNUMBER(SEARCH("-",Bets[[#This Row],[Bet]])),"F",IF(ISNUMBER(SEARCH("Moneyline",Bets[[#This Row],[Bet]])),IF(Bets[[#This Row],[Odds]]&lt;0,"MF","MD"),""))))))</f>
        <v>U</v>
      </c>
      <c r="K113"/>
      <c r="L113" s="24">
        <f t="shared" si="7"/>
        <v>0</v>
      </c>
      <c r="M113" s="1" t="str">
        <f>COUNTIFS(Bets[Date],L113,Bets[Result],"W")&amp;"-"&amp;COUNTIFS(Bets[Date],L113,Bets[Result],"L")&amp;IF(COUNTIFS(Bets[Date],L113,Bets[Result],"Push")&gt;0,"-"&amp;COUNTIFS(Bets[Date],L113,Bets[Result],"Push"),"")</f>
        <v>0-0</v>
      </c>
      <c r="N113" s="25" t="str">
        <f>IFERROR(COUNTIFS(Bets[Date],L113,Bets[Result],"W")/(COUNTIFS(Bets[Date],L113,Bets[Result],"W")+COUNTIFS(Bets[Date],L113,Bets[Result],"L")),"")</f>
        <v/>
      </c>
      <c r="O113" s="26">
        <f>SUMIF(Bets[Date],L113,Bets[Net])</f>
        <v>0</v>
      </c>
      <c r="P113" s="27" t="str">
        <f>IFERROR("("&amp;ROUND((SUMIF(Bets[Date],L113,Bets[Net])-SUMIF(Bets[Date],L113,Bets[Risk]))/SUMIF(Bets[Date],L113,Bets[Risk]),2)*100&amp;"%)","")</f>
        <v/>
      </c>
      <c r="Q113" s="72" t="str">
        <f t="shared" si="6"/>
        <v/>
      </c>
      <c r="R113" s="73" t="str">
        <f>IFERROR(SUMIF(Bets[Date],"&lt;="&amp;L113,Bets[Net])/SUMIF(Bets[Date],"&lt;="&amp;L113,Bets[Risk]),"")</f>
        <v/>
      </c>
    </row>
    <row r="114" spans="1:18" x14ac:dyDescent="0.25">
      <c r="A114" s="13">
        <f t="shared" si="4"/>
        <v>9</v>
      </c>
      <c r="B114" s="17">
        <v>43592</v>
      </c>
      <c r="C114" s="17" t="s">
        <v>802</v>
      </c>
      <c r="D114" s="18" t="s">
        <v>1181</v>
      </c>
      <c r="E114" s="11" t="s">
        <v>931</v>
      </c>
      <c r="F114" s="19">
        <f>10</f>
        <v>10</v>
      </c>
      <c r="G114" s="37">
        <v>-115</v>
      </c>
      <c r="H114" s="37" t="s">
        <v>263</v>
      </c>
      <c r="I114" s="45">
        <f>IF(Bets[[#This Row],[Result]]="L",0-Bets[[#This Row],[Risk]],IF(Bets[[#This Row],[Result]]="Push",0,IF(Bets[[#This Row],[Result]]="No Action",0,IF(Bets[[#This Row],[Result]]="W",IF(Bets[[#This Row],[Odds]]&gt;0,Bets[[#This Row],[Odds]]/100*Bets[[#This Row],[Risk]],(Bets[[#This Row],[Risk]]/Bets[[#This Row],[Odds]]*-100)),""))))</f>
        <v>-10</v>
      </c>
      <c r="J114" s="39" t="str">
        <f>IF(ISNUMBER(SEARCH(CHAR(10),Bets[[#This Row],[Bet]])),"P",IF(ISNUMBER(FIND("Under",Bets[[#This Row],[Bet]])),"U",IF(ISNUMBER(SEARCH("Over",Bets[[#This Row],[Bet]])),"O",IF(ISNUMBER(SEARCH("+",Bets[[#This Row],[Bet]])),"D",IF(ISNUMBER(SEARCH("-",Bets[[#This Row],[Bet]])),"F",IF(ISNUMBER(SEARCH("Moneyline",Bets[[#This Row],[Bet]])),IF(Bets[[#This Row],[Odds]]&lt;0,"MF","MD"),""))))))</f>
        <v>O</v>
      </c>
      <c r="K114"/>
      <c r="L114" s="24">
        <f t="shared" si="7"/>
        <v>0</v>
      </c>
      <c r="M114" s="1" t="str">
        <f>COUNTIFS(Bets[Date],L114,Bets[Result],"W")&amp;"-"&amp;COUNTIFS(Bets[Date],L114,Bets[Result],"L")&amp;IF(COUNTIFS(Bets[Date],L114,Bets[Result],"Push")&gt;0,"-"&amp;COUNTIFS(Bets[Date],L114,Bets[Result],"Push"),"")</f>
        <v>0-0</v>
      </c>
      <c r="N114" s="25" t="str">
        <f>IFERROR(COUNTIFS(Bets[Date],L114,Bets[Result],"W")/(COUNTIFS(Bets[Date],L114,Bets[Result],"W")+COUNTIFS(Bets[Date],L114,Bets[Result],"L")),"")</f>
        <v/>
      </c>
      <c r="O114" s="26">
        <f>SUMIF(Bets[Date],L114,Bets[Net])</f>
        <v>0</v>
      </c>
      <c r="P114" s="27" t="str">
        <f>IFERROR("("&amp;ROUND((SUMIF(Bets[Date],L114,Bets[Net])-SUMIF(Bets[Date],L114,Bets[Risk]))/SUMIF(Bets[Date],L114,Bets[Risk]),2)*100&amp;"%)","")</f>
        <v/>
      </c>
      <c r="Q114" s="72" t="str">
        <f t="shared" si="6"/>
        <v/>
      </c>
      <c r="R114" s="73" t="str">
        <f>IFERROR(SUMIF(Bets[Date],"&lt;="&amp;L114,Bets[Net])/SUMIF(Bets[Date],"&lt;="&amp;L114,Bets[Risk]),"")</f>
        <v/>
      </c>
    </row>
    <row r="115" spans="1:18" x14ac:dyDescent="0.25">
      <c r="A115" s="13">
        <f t="shared" si="4"/>
        <v>9</v>
      </c>
      <c r="B115" s="17">
        <v>43592</v>
      </c>
      <c r="C115" s="17" t="s">
        <v>802</v>
      </c>
      <c r="D115" s="18" t="s">
        <v>1185</v>
      </c>
      <c r="E115" s="11" t="s">
        <v>845</v>
      </c>
      <c r="F115" s="19">
        <f>10</f>
        <v>10</v>
      </c>
      <c r="G115" s="37">
        <v>-120</v>
      </c>
      <c r="H115" s="37" t="s">
        <v>262</v>
      </c>
      <c r="I115" s="45">
        <f>IF(Bets[[#This Row],[Result]]="L",0-Bets[[#This Row],[Risk]],IF(Bets[[#This Row],[Result]]="Push",0,IF(Bets[[#This Row],[Result]]="No Action",0,IF(Bets[[#This Row],[Result]]="W",IF(Bets[[#This Row],[Odds]]&gt;0,Bets[[#This Row],[Odds]]/100*Bets[[#This Row],[Risk]],(Bets[[#This Row],[Risk]]/Bets[[#This Row],[Odds]]*-100)),""))))</f>
        <v>8.3333333333333321</v>
      </c>
      <c r="J115" s="39" t="str">
        <f>IF(ISNUMBER(SEARCH(CHAR(10),Bets[[#This Row],[Bet]])),"P",IF(ISNUMBER(FIND("Under",Bets[[#This Row],[Bet]])),"U",IF(ISNUMBER(SEARCH("Over",Bets[[#This Row],[Bet]])),"O",IF(ISNUMBER(SEARCH("+",Bets[[#This Row],[Bet]])),"D",IF(ISNUMBER(SEARCH("-",Bets[[#This Row],[Bet]])),"F",IF(ISNUMBER(SEARCH("Moneyline",Bets[[#This Row],[Bet]])),IF(Bets[[#This Row],[Odds]]&lt;0,"MF","MD"),""))))))</f>
        <v>O</v>
      </c>
      <c r="K115"/>
      <c r="L115" s="24">
        <f t="shared" si="7"/>
        <v>0</v>
      </c>
      <c r="M115" s="1" t="str">
        <f>COUNTIFS(Bets[Date],L115,Bets[Result],"W")&amp;"-"&amp;COUNTIFS(Bets[Date],L115,Bets[Result],"L")&amp;IF(COUNTIFS(Bets[Date],L115,Bets[Result],"Push")&gt;0,"-"&amp;COUNTIFS(Bets[Date],L115,Bets[Result],"Push"),"")</f>
        <v>0-0</v>
      </c>
      <c r="N115" s="25" t="str">
        <f>IFERROR(COUNTIFS(Bets[Date],L115,Bets[Result],"W")/(COUNTIFS(Bets[Date],L115,Bets[Result],"W")+COUNTIFS(Bets[Date],L115,Bets[Result],"L")),"")</f>
        <v/>
      </c>
      <c r="O115" s="26">
        <f>SUMIF(Bets[Date],L115,Bets[Net])</f>
        <v>0</v>
      </c>
      <c r="P115" s="27" t="str">
        <f>IFERROR("("&amp;ROUND((SUMIF(Bets[Date],L115,Bets[Net])-SUMIF(Bets[Date],L115,Bets[Risk]))/SUMIF(Bets[Date],L115,Bets[Risk]),2)*100&amp;"%)","")</f>
        <v/>
      </c>
      <c r="Q115" s="72" t="str">
        <f t="shared" si="6"/>
        <v/>
      </c>
      <c r="R115" s="73" t="str">
        <f>IFERROR(SUMIF(Bets[Date],"&lt;="&amp;L115,Bets[Net])/SUMIF(Bets[Date],"&lt;="&amp;L115,Bets[Risk]),"")</f>
        <v/>
      </c>
    </row>
    <row r="116" spans="1:18" x14ac:dyDescent="0.25">
      <c r="A116" s="13">
        <f t="shared" si="4"/>
        <v>9</v>
      </c>
      <c r="B116" s="17">
        <v>43592</v>
      </c>
      <c r="C116" s="17" t="s">
        <v>802</v>
      </c>
      <c r="D116" s="18" t="s">
        <v>1202</v>
      </c>
      <c r="E116" s="11" t="s">
        <v>905</v>
      </c>
      <c r="F116" s="19">
        <f>10</f>
        <v>10</v>
      </c>
      <c r="G116" s="37">
        <v>-120</v>
      </c>
      <c r="H116" s="21" t="s">
        <v>262</v>
      </c>
      <c r="I116" s="45">
        <f>IF(Bets[[#This Row],[Result]]="L",0-Bets[[#This Row],[Risk]],IF(Bets[[#This Row],[Result]]="Push",0,IF(Bets[[#This Row],[Result]]="No Action",0,IF(Bets[[#This Row],[Result]]="W",IF(Bets[[#This Row],[Odds]]&gt;0,Bets[[#This Row],[Odds]]/100*Bets[[#This Row],[Risk]],(Bets[[#This Row],[Risk]]/Bets[[#This Row],[Odds]]*-100)),""))))</f>
        <v>8.3333333333333321</v>
      </c>
      <c r="J116" s="39" t="str">
        <f>IF(ISNUMBER(SEARCH(CHAR(10),Bets[[#This Row],[Bet]])),"P",IF(ISNUMBER(FIND("Under",Bets[[#This Row],[Bet]])),"U",IF(ISNUMBER(SEARCH("Over",Bets[[#This Row],[Bet]])),"O",IF(ISNUMBER(SEARCH("+",Bets[[#This Row],[Bet]])),"D",IF(ISNUMBER(SEARCH("-",Bets[[#This Row],[Bet]])),"F",IF(ISNUMBER(SEARCH("Moneyline",Bets[[#This Row],[Bet]])),IF(Bets[[#This Row],[Odds]]&lt;0,"MF","MD"),""))))))</f>
        <v>O</v>
      </c>
      <c r="K116"/>
      <c r="L116" s="24">
        <f t="shared" si="7"/>
        <v>0</v>
      </c>
      <c r="M116" s="1" t="str">
        <f>COUNTIFS(Bets[Date],L116,Bets[Result],"W")&amp;"-"&amp;COUNTIFS(Bets[Date],L116,Bets[Result],"L")&amp;IF(COUNTIFS(Bets[Date],L116,Bets[Result],"Push")&gt;0,"-"&amp;COUNTIFS(Bets[Date],L116,Bets[Result],"Push"),"")</f>
        <v>0-0</v>
      </c>
      <c r="N116" s="25" t="str">
        <f>IFERROR(COUNTIFS(Bets[Date],L116,Bets[Result],"W")/(COUNTIFS(Bets[Date],L116,Bets[Result],"W")+COUNTIFS(Bets[Date],L116,Bets[Result],"L")),"")</f>
        <v/>
      </c>
      <c r="O116" s="26">
        <f>SUMIF(Bets[Date],L116,Bets[Net])</f>
        <v>0</v>
      </c>
      <c r="P116" s="27" t="str">
        <f>IFERROR("("&amp;ROUND((SUMIF(Bets[Date],L116,Bets[Net])-SUMIF(Bets[Date],L116,Bets[Risk]))/SUMIF(Bets[Date],L116,Bets[Risk]),2)*100&amp;"%)","")</f>
        <v/>
      </c>
      <c r="Q116" s="72" t="str">
        <f t="shared" si="6"/>
        <v/>
      </c>
      <c r="R116" s="73" t="str">
        <f>IFERROR(SUMIF(Bets[Date],"&lt;="&amp;L116,Bets[Net])/SUMIF(Bets[Date],"&lt;="&amp;L116,Bets[Risk]),"")</f>
        <v/>
      </c>
    </row>
    <row r="117" spans="1:18" x14ac:dyDescent="0.25">
      <c r="A117" s="13">
        <f t="shared" si="4"/>
        <v>9</v>
      </c>
      <c r="B117" s="17">
        <v>43592</v>
      </c>
      <c r="C117" s="17" t="s">
        <v>802</v>
      </c>
      <c r="D117" s="18" t="s">
        <v>1186</v>
      </c>
      <c r="E117" s="11" t="s">
        <v>879</v>
      </c>
      <c r="F117" s="19">
        <f>10</f>
        <v>10</v>
      </c>
      <c r="G117" s="37">
        <v>-115</v>
      </c>
      <c r="H117" s="21" t="s">
        <v>263</v>
      </c>
      <c r="I117" s="45">
        <f>IF(Bets[[#This Row],[Result]]="L",0-Bets[[#This Row],[Risk]],IF(Bets[[#This Row],[Result]]="Push",0,IF(Bets[[#This Row],[Result]]="No Action",0,IF(Bets[[#This Row],[Result]]="W",IF(Bets[[#This Row],[Odds]]&gt;0,Bets[[#This Row],[Odds]]/100*Bets[[#This Row],[Risk]],(Bets[[#This Row],[Risk]]/Bets[[#This Row],[Odds]]*-100)),""))))</f>
        <v>-10</v>
      </c>
      <c r="J117" s="39" t="str">
        <f>IF(ISNUMBER(SEARCH(CHAR(10),Bets[[#This Row],[Bet]])),"P",IF(ISNUMBER(FIND("Under",Bets[[#This Row],[Bet]])),"U",IF(ISNUMBER(SEARCH("Over",Bets[[#This Row],[Bet]])),"O",IF(ISNUMBER(SEARCH("+",Bets[[#This Row],[Bet]])),"D",IF(ISNUMBER(SEARCH("-",Bets[[#This Row],[Bet]])),"F",IF(ISNUMBER(SEARCH("Moneyline",Bets[[#This Row],[Bet]])),IF(Bets[[#This Row],[Odds]]&lt;0,"MF","MD"),""))))))</f>
        <v>U</v>
      </c>
      <c r="K117"/>
      <c r="L117" s="24">
        <f t="shared" si="7"/>
        <v>0</v>
      </c>
      <c r="M117" s="1" t="str">
        <f>COUNTIFS(Bets[Date],L117,Bets[Result],"W")&amp;"-"&amp;COUNTIFS(Bets[Date],L117,Bets[Result],"L")&amp;IF(COUNTIFS(Bets[Date],L117,Bets[Result],"Push")&gt;0,"-"&amp;COUNTIFS(Bets[Date],L117,Bets[Result],"Push"),"")</f>
        <v>0-0</v>
      </c>
      <c r="N117" s="25" t="str">
        <f>IFERROR(COUNTIFS(Bets[Date],L117,Bets[Result],"W")/(COUNTIFS(Bets[Date],L117,Bets[Result],"W")+COUNTIFS(Bets[Date],L117,Bets[Result],"L")),"")</f>
        <v/>
      </c>
      <c r="O117" s="26">
        <f>SUMIF(Bets[Date],L117,Bets[Net])</f>
        <v>0</v>
      </c>
      <c r="P117" s="27" t="str">
        <f>IFERROR("("&amp;ROUND((SUMIF(Bets[Date],L117,Bets[Net])-SUMIF(Bets[Date],L117,Bets[Risk]))/SUMIF(Bets[Date],L117,Bets[Risk]),2)*100&amp;"%)","")</f>
        <v/>
      </c>
      <c r="Q117" s="72" t="str">
        <f t="shared" si="6"/>
        <v/>
      </c>
      <c r="R117" s="73" t="str">
        <f>IFERROR(SUMIF(Bets[Date],"&lt;="&amp;L117,Bets[Net])/SUMIF(Bets[Date],"&lt;="&amp;L117,Bets[Risk]),"")</f>
        <v/>
      </c>
    </row>
    <row r="118" spans="1:18" x14ac:dyDescent="0.25">
      <c r="A118" s="13">
        <f t="shared" si="4"/>
        <v>9</v>
      </c>
      <c r="B118" s="17">
        <v>43592</v>
      </c>
      <c r="C118" s="17" t="s">
        <v>802</v>
      </c>
      <c r="D118" s="18" t="s">
        <v>1184</v>
      </c>
      <c r="E118" s="11" t="s">
        <v>841</v>
      </c>
      <c r="F118" s="19">
        <f>10</f>
        <v>10</v>
      </c>
      <c r="G118" s="37">
        <v>100</v>
      </c>
      <c r="H118" s="21" t="s">
        <v>262</v>
      </c>
      <c r="I118" s="45">
        <f>IF(Bets[[#This Row],[Result]]="L",0-Bets[[#This Row],[Risk]],IF(Bets[[#This Row],[Result]]="Push",0,IF(Bets[[#This Row],[Result]]="No Action",0,IF(Bets[[#This Row],[Result]]="W",IF(Bets[[#This Row],[Odds]]&gt;0,Bets[[#This Row],[Odds]]/100*Bets[[#This Row],[Risk]],(Bets[[#This Row],[Risk]]/Bets[[#This Row],[Odds]]*-100)),""))))</f>
        <v>10</v>
      </c>
      <c r="J118" s="39" t="str">
        <f>IF(ISNUMBER(SEARCH(CHAR(10),Bets[[#This Row],[Bet]])),"P",IF(ISNUMBER(FIND("Under",Bets[[#This Row],[Bet]])),"U",IF(ISNUMBER(SEARCH("Over",Bets[[#This Row],[Bet]])),"O",IF(ISNUMBER(SEARCH("+",Bets[[#This Row],[Bet]])),"D",IF(ISNUMBER(SEARCH("-",Bets[[#This Row],[Bet]])),"F",IF(ISNUMBER(SEARCH("Moneyline",Bets[[#This Row],[Bet]])),IF(Bets[[#This Row],[Odds]]&lt;0,"MF","MD"),""))))))</f>
        <v>O</v>
      </c>
      <c r="K118"/>
      <c r="L118" s="24">
        <f t="shared" si="7"/>
        <v>0</v>
      </c>
      <c r="M118" s="1" t="str">
        <f>COUNTIFS(Bets[Date],L118,Bets[Result],"W")&amp;"-"&amp;COUNTIFS(Bets[Date],L118,Bets[Result],"L")&amp;IF(COUNTIFS(Bets[Date],L118,Bets[Result],"Push")&gt;0,"-"&amp;COUNTIFS(Bets[Date],L118,Bets[Result],"Push"),"")</f>
        <v>0-0</v>
      </c>
      <c r="N118" s="25" t="str">
        <f>IFERROR(COUNTIFS(Bets[Date],L118,Bets[Result],"W")/(COUNTIFS(Bets[Date],L118,Bets[Result],"W")+COUNTIFS(Bets[Date],L118,Bets[Result],"L")),"")</f>
        <v/>
      </c>
      <c r="O118" s="26">
        <f>SUMIF(Bets[Date],L118,Bets[Net])</f>
        <v>0</v>
      </c>
      <c r="P118" s="27" t="str">
        <f>IFERROR("("&amp;ROUND((SUMIF(Bets[Date],L118,Bets[Net])-SUMIF(Bets[Date],L118,Bets[Risk]))/SUMIF(Bets[Date],L118,Bets[Risk]),2)*100&amp;"%)","")</f>
        <v/>
      </c>
      <c r="Q118" s="72" t="str">
        <f t="shared" si="6"/>
        <v/>
      </c>
      <c r="R118" s="73" t="str">
        <f>IFERROR(SUMIF(Bets[Date],"&lt;="&amp;L118,Bets[Net])/SUMIF(Bets[Date],"&lt;="&amp;L118,Bets[Risk]),"")</f>
        <v/>
      </c>
    </row>
    <row r="119" spans="1:18" x14ac:dyDescent="0.25">
      <c r="A119" s="13">
        <f t="shared" si="4"/>
        <v>10</v>
      </c>
      <c r="B119" s="17">
        <v>43593</v>
      </c>
      <c r="C119" s="17" t="s">
        <v>802</v>
      </c>
      <c r="D119" s="18" t="s">
        <v>1185</v>
      </c>
      <c r="E119" s="11" t="s">
        <v>822</v>
      </c>
      <c r="F119" s="19">
        <f>10</f>
        <v>10</v>
      </c>
      <c r="G119" s="37" t="s">
        <v>1206</v>
      </c>
      <c r="H119" s="37" t="s">
        <v>262</v>
      </c>
      <c r="I119" s="45">
        <f>IF(Bets[[#This Row],[Result]]="L",0-Bets[[#This Row],[Risk]],IF(Bets[[#This Row],[Result]]="Push",0,IF(Bets[[#This Row],[Result]]="No Action",0,IF(Bets[[#This Row],[Result]]="W",IF(Bets[[#This Row],[Odds]]&gt;0,Bets[[#This Row],[Odds]]/100*Bets[[#This Row],[Risk]],(Bets[[#This Row],[Risk]]/Bets[[#This Row],[Odds]]*-100)),""))))</f>
        <v>13.600000000000001</v>
      </c>
      <c r="J119" s="39" t="str">
        <f>IF(ISNUMBER(SEARCH(CHAR(10),Bets[[#This Row],[Bet]])),"P",IF(ISNUMBER(FIND("Under",Bets[[#This Row],[Bet]])),"U",IF(ISNUMBER(SEARCH("Over",Bets[[#This Row],[Bet]])),"O",IF(ISNUMBER(SEARCH("+",Bets[[#This Row],[Bet]])),"D",IF(ISNUMBER(SEARCH("-",Bets[[#This Row],[Bet]])),"F",IF(ISNUMBER(SEARCH("Moneyline",Bets[[#This Row],[Bet]])),IF(Bets[[#This Row],[Odds]]&lt;0,"MF","MD"),""))))))</f>
        <v>MD</v>
      </c>
      <c r="K119"/>
      <c r="L119" s="24">
        <f t="shared" si="7"/>
        <v>0</v>
      </c>
      <c r="M119" s="1" t="str">
        <f>COUNTIFS(Bets[Date],L119,Bets[Result],"W")&amp;"-"&amp;COUNTIFS(Bets[Date],L119,Bets[Result],"L")&amp;IF(COUNTIFS(Bets[Date],L119,Bets[Result],"Push")&gt;0,"-"&amp;COUNTIFS(Bets[Date],L119,Bets[Result],"Push"),"")</f>
        <v>0-0</v>
      </c>
      <c r="N119" s="25" t="str">
        <f>IFERROR(COUNTIFS(Bets[Date],L119,Bets[Result],"W")/(COUNTIFS(Bets[Date],L119,Bets[Result],"W")+COUNTIFS(Bets[Date],L119,Bets[Result],"L")),"")</f>
        <v/>
      </c>
      <c r="O119" s="26">
        <f>SUMIF(Bets[Date],L119,Bets[Net])</f>
        <v>0</v>
      </c>
      <c r="P119" s="27" t="str">
        <f>IFERROR("("&amp;ROUND((SUMIF(Bets[Date],L119,Bets[Net])-SUMIF(Bets[Date],L119,Bets[Risk]))/SUMIF(Bets[Date],L119,Bets[Risk]),2)*100&amp;"%)","")</f>
        <v/>
      </c>
      <c r="Q119" s="72" t="str">
        <f t="shared" si="6"/>
        <v/>
      </c>
      <c r="R119" s="73" t="str">
        <f>IFERROR(SUMIF(Bets[Date],"&lt;="&amp;L119,Bets[Net])/SUMIF(Bets[Date],"&lt;="&amp;L119,Bets[Risk]),"")</f>
        <v/>
      </c>
    </row>
    <row r="120" spans="1:18" x14ac:dyDescent="0.25">
      <c r="A120" s="13">
        <f t="shared" si="4"/>
        <v>10</v>
      </c>
      <c r="B120" s="17">
        <v>43593</v>
      </c>
      <c r="C120" s="17" t="s">
        <v>802</v>
      </c>
      <c r="D120" s="18" t="s">
        <v>1175</v>
      </c>
      <c r="E120" s="11" t="s">
        <v>869</v>
      </c>
      <c r="F120" s="19">
        <f>10</f>
        <v>10</v>
      </c>
      <c r="G120" s="37">
        <v>-200</v>
      </c>
      <c r="H120" s="37" t="s">
        <v>262</v>
      </c>
      <c r="I120" s="45">
        <f>IF(Bets[[#This Row],[Result]]="L",0-Bets[[#This Row],[Risk]],IF(Bets[[#This Row],[Result]]="Push",0,IF(Bets[[#This Row],[Result]]="No Action",0,IF(Bets[[#This Row],[Result]]="W",IF(Bets[[#This Row],[Odds]]&gt;0,Bets[[#This Row],[Odds]]/100*Bets[[#This Row],[Risk]],(Bets[[#This Row],[Risk]]/Bets[[#This Row],[Odds]]*-100)),""))))</f>
        <v>5</v>
      </c>
      <c r="J120" s="39" t="str">
        <f>IF(ISNUMBER(SEARCH(CHAR(10),Bets[[#This Row],[Bet]])),"P",IF(ISNUMBER(FIND("Under",Bets[[#This Row],[Bet]])),"U",IF(ISNUMBER(SEARCH("Over",Bets[[#This Row],[Bet]])),"O",IF(ISNUMBER(SEARCH("+",Bets[[#This Row],[Bet]])),"D",IF(ISNUMBER(SEARCH("-",Bets[[#This Row],[Bet]])),"F",IF(ISNUMBER(SEARCH("Moneyline",Bets[[#This Row],[Bet]])),IF(Bets[[#This Row],[Odds]]&lt;0,"MF","MD"),""))))))</f>
        <v>MF</v>
      </c>
      <c r="K120"/>
      <c r="L120" s="24">
        <f t="shared" si="7"/>
        <v>0</v>
      </c>
      <c r="M120" s="1" t="str">
        <f>COUNTIFS(Bets[Date],L120,Bets[Result],"W")&amp;"-"&amp;COUNTIFS(Bets[Date],L120,Bets[Result],"L")&amp;IF(COUNTIFS(Bets[Date],L120,Bets[Result],"Push")&gt;0,"-"&amp;COUNTIFS(Bets[Date],L120,Bets[Result],"Push"),"")</f>
        <v>0-0</v>
      </c>
      <c r="N120" s="25" t="str">
        <f>IFERROR(COUNTIFS(Bets[Date],L120,Bets[Result],"W")/(COUNTIFS(Bets[Date],L120,Bets[Result],"W")+COUNTIFS(Bets[Date],L120,Bets[Result],"L")),"")</f>
        <v/>
      </c>
      <c r="O120" s="26">
        <f>SUMIF(Bets[Date],L120,Bets[Net])</f>
        <v>0</v>
      </c>
      <c r="P120" s="27" t="str">
        <f>IFERROR("("&amp;ROUND((SUMIF(Bets[Date],L120,Bets[Net])-SUMIF(Bets[Date],L120,Bets[Risk]))/SUMIF(Bets[Date],L120,Bets[Risk]),2)*100&amp;"%)","")</f>
        <v/>
      </c>
      <c r="Q120" s="72" t="str">
        <f t="shared" si="6"/>
        <v/>
      </c>
      <c r="R120" s="73" t="str">
        <f>IFERROR(SUMIF(Bets[Date],"&lt;="&amp;L120,Bets[Net])/SUMIF(Bets[Date],"&lt;="&amp;L120,Bets[Risk]),"")</f>
        <v/>
      </c>
    </row>
    <row r="121" spans="1:18" x14ac:dyDescent="0.25">
      <c r="A121" s="13">
        <f t="shared" si="4"/>
        <v>10</v>
      </c>
      <c r="B121" s="17">
        <v>43593</v>
      </c>
      <c r="C121" s="17" t="s">
        <v>802</v>
      </c>
      <c r="D121" s="18" t="s">
        <v>1208</v>
      </c>
      <c r="E121" s="11" t="s">
        <v>1210</v>
      </c>
      <c r="F121" s="19">
        <f>10</f>
        <v>10</v>
      </c>
      <c r="G121" s="37">
        <v>-300</v>
      </c>
      <c r="H121" s="37" t="s">
        <v>262</v>
      </c>
      <c r="I121" s="45">
        <f>IF(Bets[[#This Row],[Result]]="L",0-Bets[[#This Row],[Risk]],IF(Bets[[#This Row],[Result]]="Push",0,IF(Bets[[#This Row],[Result]]="No Action",0,IF(Bets[[#This Row],[Result]]="W",IF(Bets[[#This Row],[Odds]]&gt;0,Bets[[#This Row],[Odds]]/100*Bets[[#This Row],[Risk]],(Bets[[#This Row],[Risk]]/Bets[[#This Row],[Odds]]*-100)),""))))</f>
        <v>3.3333333333333335</v>
      </c>
      <c r="J121" s="39" t="str">
        <f>IF(ISNUMBER(SEARCH(CHAR(10),Bets[[#This Row],[Bet]])),"P",IF(ISNUMBER(FIND("Under",Bets[[#This Row],[Bet]])),"U",IF(ISNUMBER(SEARCH("Over",Bets[[#This Row],[Bet]])),"O",IF(ISNUMBER(SEARCH("+",Bets[[#This Row],[Bet]])),"D",IF(ISNUMBER(SEARCH("-",Bets[[#This Row],[Bet]])),"F",IF(ISNUMBER(SEARCH("Moneyline",Bets[[#This Row],[Bet]])),IF(Bets[[#This Row],[Odds]]&lt;0,"MF","MD"),""))))))</f>
        <v>MF</v>
      </c>
      <c r="K121"/>
      <c r="L121" s="24">
        <f t="shared" si="7"/>
        <v>0</v>
      </c>
      <c r="M121" s="1" t="str">
        <f>COUNTIFS(Bets[Date],L121,Bets[Result],"W")&amp;"-"&amp;COUNTIFS(Bets[Date],L121,Bets[Result],"L")&amp;IF(COUNTIFS(Bets[Date],L121,Bets[Result],"Push")&gt;0,"-"&amp;COUNTIFS(Bets[Date],L121,Bets[Result],"Push"),"")</f>
        <v>0-0</v>
      </c>
      <c r="N121" s="25" t="str">
        <f>IFERROR(COUNTIFS(Bets[Date],L121,Bets[Result],"W")/(COUNTIFS(Bets[Date],L121,Bets[Result],"W")+COUNTIFS(Bets[Date],L121,Bets[Result],"L")),"")</f>
        <v/>
      </c>
      <c r="O121" s="26">
        <f>SUMIF(Bets[Date],L121,Bets[Net])</f>
        <v>0</v>
      </c>
      <c r="P121" s="27" t="str">
        <f>IFERROR("("&amp;ROUND((SUMIF(Bets[Date],L121,Bets[Net])-SUMIF(Bets[Date],L121,Bets[Risk]))/SUMIF(Bets[Date],L121,Bets[Risk]),2)*100&amp;"%)","")</f>
        <v/>
      </c>
      <c r="Q121" s="72" t="str">
        <f t="shared" si="6"/>
        <v/>
      </c>
      <c r="R121" s="73" t="str">
        <f>IFERROR(SUMIF(Bets[Date],"&lt;="&amp;L121,Bets[Net])/SUMIF(Bets[Date],"&lt;="&amp;L121,Bets[Risk]),"")</f>
        <v/>
      </c>
    </row>
    <row r="122" spans="1:18" x14ac:dyDescent="0.25">
      <c r="A122" s="13">
        <f t="shared" si="4"/>
        <v>10</v>
      </c>
      <c r="B122" s="17">
        <v>43593</v>
      </c>
      <c r="C122" s="17" t="s">
        <v>802</v>
      </c>
      <c r="D122" s="18" t="s">
        <v>1177</v>
      </c>
      <c r="E122" s="11" t="s">
        <v>1178</v>
      </c>
      <c r="F122" s="19">
        <f>10</f>
        <v>10</v>
      </c>
      <c r="G122" s="37">
        <v>-115</v>
      </c>
      <c r="H122" s="37" t="s">
        <v>262</v>
      </c>
      <c r="I122" s="45">
        <f>IF(Bets[[#This Row],[Result]]="L",0-Bets[[#This Row],[Risk]],IF(Bets[[#This Row],[Result]]="Push",0,IF(Bets[[#This Row],[Result]]="No Action",0,IF(Bets[[#This Row],[Result]]="W",IF(Bets[[#This Row],[Odds]]&gt;0,Bets[[#This Row],[Odds]]/100*Bets[[#This Row],[Risk]],(Bets[[#This Row],[Risk]]/Bets[[#This Row],[Odds]]*-100)),""))))</f>
        <v>8.695652173913043</v>
      </c>
      <c r="J122" s="39" t="str">
        <f>IF(ISNUMBER(SEARCH(CHAR(10),Bets[[#This Row],[Bet]])),"P",IF(ISNUMBER(FIND("Under",Bets[[#This Row],[Bet]])),"U",IF(ISNUMBER(SEARCH("Over",Bets[[#This Row],[Bet]])),"O",IF(ISNUMBER(SEARCH("+",Bets[[#This Row],[Bet]])),"D",IF(ISNUMBER(SEARCH("-",Bets[[#This Row],[Bet]])),"F",IF(ISNUMBER(SEARCH("Moneyline",Bets[[#This Row],[Bet]])),IF(Bets[[#This Row],[Odds]]&lt;0,"MF","MD"),""))))))</f>
        <v>MF</v>
      </c>
      <c r="K122"/>
      <c r="L122" s="24">
        <f t="shared" si="7"/>
        <v>0</v>
      </c>
      <c r="M122" s="1" t="str">
        <f>COUNTIFS(Bets[Date],L122,Bets[Result],"W")&amp;"-"&amp;COUNTIFS(Bets[Date],L122,Bets[Result],"L")&amp;IF(COUNTIFS(Bets[Date],L122,Bets[Result],"Push")&gt;0,"-"&amp;COUNTIFS(Bets[Date],L122,Bets[Result],"Push"),"")</f>
        <v>0-0</v>
      </c>
      <c r="N122" s="25" t="str">
        <f>IFERROR(COUNTIFS(Bets[Date],L122,Bets[Result],"W")/(COUNTIFS(Bets[Date],L122,Bets[Result],"W")+COUNTIFS(Bets[Date],L122,Bets[Result],"L")),"")</f>
        <v/>
      </c>
      <c r="O122" s="26">
        <f>SUMIF(Bets[Date],L122,Bets[Net])</f>
        <v>0</v>
      </c>
      <c r="P122" s="27" t="str">
        <f>IFERROR("("&amp;ROUND((SUMIF(Bets[Date],L122,Bets[Net])-SUMIF(Bets[Date],L122,Bets[Risk]))/SUMIF(Bets[Date],L122,Bets[Risk]),2)*100&amp;"%)","")</f>
        <v/>
      </c>
      <c r="Q122" s="72" t="str">
        <f t="shared" si="6"/>
        <v/>
      </c>
      <c r="R122" s="73" t="str">
        <f>IFERROR(SUMIF(Bets[Date],"&lt;="&amp;L122,Bets[Net])/SUMIF(Bets[Date],"&lt;="&amp;L122,Bets[Risk]),"")</f>
        <v/>
      </c>
    </row>
    <row r="123" spans="1:18" x14ac:dyDescent="0.25">
      <c r="A123" s="13">
        <f t="shared" si="4"/>
        <v>10</v>
      </c>
      <c r="B123" s="17">
        <v>43593</v>
      </c>
      <c r="C123" s="17" t="s">
        <v>802</v>
      </c>
      <c r="D123" s="18" t="s">
        <v>1182</v>
      </c>
      <c r="E123" s="11" t="s">
        <v>867</v>
      </c>
      <c r="F123" s="19">
        <f>10</f>
        <v>10</v>
      </c>
      <c r="G123" s="37">
        <v>-260</v>
      </c>
      <c r="H123" s="37" t="s">
        <v>262</v>
      </c>
      <c r="I123" s="45">
        <f>IF(Bets[[#This Row],[Result]]="L",0-Bets[[#This Row],[Risk]],IF(Bets[[#This Row],[Result]]="Push",0,IF(Bets[[#This Row],[Result]]="No Action",0,IF(Bets[[#This Row],[Result]]="W",IF(Bets[[#This Row],[Odds]]&gt;0,Bets[[#This Row],[Odds]]/100*Bets[[#This Row],[Risk]],(Bets[[#This Row],[Risk]]/Bets[[#This Row],[Odds]]*-100)),""))))</f>
        <v>3.8461538461538463</v>
      </c>
      <c r="J123" s="39" t="str">
        <f>IF(ISNUMBER(SEARCH(CHAR(10),Bets[[#This Row],[Bet]])),"P",IF(ISNUMBER(FIND("Under",Bets[[#This Row],[Bet]])),"U",IF(ISNUMBER(SEARCH("Over",Bets[[#This Row],[Bet]])),"O",IF(ISNUMBER(SEARCH("+",Bets[[#This Row],[Bet]])),"D",IF(ISNUMBER(SEARCH("-",Bets[[#This Row],[Bet]])),"F",IF(ISNUMBER(SEARCH("Moneyline",Bets[[#This Row],[Bet]])),IF(Bets[[#This Row],[Odds]]&lt;0,"MF","MD"),""))))))</f>
        <v>MF</v>
      </c>
      <c r="K123"/>
      <c r="L123" s="24">
        <f t="shared" si="7"/>
        <v>0</v>
      </c>
      <c r="M123" s="1" t="str">
        <f>COUNTIFS(Bets[Date],L123,Bets[Result],"W")&amp;"-"&amp;COUNTIFS(Bets[Date],L123,Bets[Result],"L")&amp;IF(COUNTIFS(Bets[Date],L123,Bets[Result],"Push")&gt;0,"-"&amp;COUNTIFS(Bets[Date],L123,Bets[Result],"Push"),"")</f>
        <v>0-0</v>
      </c>
      <c r="N123" s="25" t="str">
        <f>IFERROR(COUNTIFS(Bets[Date],L123,Bets[Result],"W")/(COUNTIFS(Bets[Date],L123,Bets[Result],"W")+COUNTIFS(Bets[Date],L123,Bets[Result],"L")),"")</f>
        <v/>
      </c>
      <c r="O123" s="26">
        <f>SUMIF(Bets[Date],L123,Bets[Net])</f>
        <v>0</v>
      </c>
      <c r="P123" s="27" t="str">
        <f>IFERROR("("&amp;ROUND((SUMIF(Bets[Date],L123,Bets[Net])-SUMIF(Bets[Date],L123,Bets[Risk]))/SUMIF(Bets[Date],L123,Bets[Risk]),2)*100&amp;"%)","")</f>
        <v/>
      </c>
      <c r="Q123" s="72" t="str">
        <f t="shared" si="6"/>
        <v/>
      </c>
      <c r="R123" s="73" t="str">
        <f>IFERROR(SUMIF(Bets[Date],"&lt;="&amp;L123,Bets[Net])/SUMIF(Bets[Date],"&lt;="&amp;L123,Bets[Risk]),"")</f>
        <v/>
      </c>
    </row>
    <row r="124" spans="1:18" x14ac:dyDescent="0.25">
      <c r="A124" s="13">
        <f t="shared" si="4"/>
        <v>10</v>
      </c>
      <c r="B124" s="17">
        <v>43593</v>
      </c>
      <c r="C124" s="17" t="s">
        <v>802</v>
      </c>
      <c r="D124" s="18" t="s">
        <v>1183</v>
      </c>
      <c r="E124" s="11" t="s">
        <v>1166</v>
      </c>
      <c r="F124" s="19">
        <f>10</f>
        <v>10</v>
      </c>
      <c r="G124" s="37">
        <v>-102</v>
      </c>
      <c r="H124" s="37" t="s">
        <v>263</v>
      </c>
      <c r="I124" s="45">
        <f>IF(Bets[[#This Row],[Result]]="L",0-Bets[[#This Row],[Risk]],IF(Bets[[#This Row],[Result]]="Push",0,IF(Bets[[#This Row],[Result]]="No Action",0,IF(Bets[[#This Row],[Result]]="W",IF(Bets[[#This Row],[Odds]]&gt;0,Bets[[#This Row],[Odds]]/100*Bets[[#This Row],[Risk]],(Bets[[#This Row],[Risk]]/Bets[[#This Row],[Odds]]*-100)),""))))</f>
        <v>-10</v>
      </c>
      <c r="J124" s="39" t="str">
        <f>IF(ISNUMBER(SEARCH(CHAR(10),Bets[[#This Row],[Bet]])),"P",IF(ISNUMBER(FIND("Under",Bets[[#This Row],[Bet]])),"U",IF(ISNUMBER(SEARCH("Over",Bets[[#This Row],[Bet]])),"O",IF(ISNUMBER(SEARCH("+",Bets[[#This Row],[Bet]])),"D",IF(ISNUMBER(SEARCH("-",Bets[[#This Row],[Bet]])),"F",IF(ISNUMBER(SEARCH("Moneyline",Bets[[#This Row],[Bet]])),IF(Bets[[#This Row],[Odds]]&lt;0,"MF","MD"),""))))))</f>
        <v>MF</v>
      </c>
      <c r="K124"/>
      <c r="L124" s="24">
        <f t="shared" si="7"/>
        <v>0</v>
      </c>
      <c r="M124" s="1" t="str">
        <f>COUNTIFS(Bets[Date],L124,Bets[Result],"W")&amp;"-"&amp;COUNTIFS(Bets[Date],L124,Bets[Result],"L")&amp;IF(COUNTIFS(Bets[Date],L124,Bets[Result],"Push")&gt;0,"-"&amp;COUNTIFS(Bets[Date],L124,Bets[Result],"Push"),"")</f>
        <v>0-0</v>
      </c>
      <c r="N124" s="25" t="str">
        <f>IFERROR(COUNTIFS(Bets[Date],L124,Bets[Result],"W")/(COUNTIFS(Bets[Date],L124,Bets[Result],"W")+COUNTIFS(Bets[Date],L124,Bets[Result],"L")),"")</f>
        <v/>
      </c>
      <c r="O124" s="26">
        <f>SUMIF(Bets[Date],L124,Bets[Net])</f>
        <v>0</v>
      </c>
      <c r="P124" s="27" t="str">
        <f>IFERROR("("&amp;ROUND((SUMIF(Bets[Date],L124,Bets[Net])-SUMIF(Bets[Date],L124,Bets[Risk]))/SUMIF(Bets[Date],L124,Bets[Risk]),2)*100&amp;"%)","")</f>
        <v/>
      </c>
      <c r="Q124" s="72" t="str">
        <f t="shared" si="6"/>
        <v/>
      </c>
      <c r="R124" s="73" t="str">
        <f>IFERROR(SUMIF(Bets[Date],"&lt;="&amp;L124,Bets[Net])/SUMIF(Bets[Date],"&lt;="&amp;L124,Bets[Risk]),"")</f>
        <v/>
      </c>
    </row>
    <row r="125" spans="1:18" x14ac:dyDescent="0.25">
      <c r="A125" s="13">
        <f t="shared" si="4"/>
        <v>10</v>
      </c>
      <c r="B125" s="17">
        <v>43593</v>
      </c>
      <c r="C125" s="17" t="s">
        <v>802</v>
      </c>
      <c r="D125" s="18" t="s">
        <v>1207</v>
      </c>
      <c r="E125" s="11" t="s">
        <v>827</v>
      </c>
      <c r="F125" s="19">
        <f>10</f>
        <v>10</v>
      </c>
      <c r="G125" s="37">
        <v>-190</v>
      </c>
      <c r="H125" s="37" t="s">
        <v>262</v>
      </c>
      <c r="I125" s="45">
        <f>IF(Bets[[#This Row],[Result]]="L",0-Bets[[#This Row],[Risk]],IF(Bets[[#This Row],[Result]]="Push",0,IF(Bets[[#This Row],[Result]]="No Action",0,IF(Bets[[#This Row],[Result]]="W",IF(Bets[[#This Row],[Odds]]&gt;0,Bets[[#This Row],[Odds]]/100*Bets[[#This Row],[Risk]],(Bets[[#This Row],[Risk]]/Bets[[#This Row],[Odds]]*-100)),""))))</f>
        <v>5.2631578947368416</v>
      </c>
      <c r="J125" s="39" t="str">
        <f>IF(ISNUMBER(SEARCH(CHAR(10),Bets[[#This Row],[Bet]])),"P",IF(ISNUMBER(FIND("Under",Bets[[#This Row],[Bet]])),"U",IF(ISNUMBER(SEARCH("Over",Bets[[#This Row],[Bet]])),"O",IF(ISNUMBER(SEARCH("+",Bets[[#This Row],[Bet]])),"D",IF(ISNUMBER(SEARCH("-",Bets[[#This Row],[Bet]])),"F",IF(ISNUMBER(SEARCH("Moneyline",Bets[[#This Row],[Bet]])),IF(Bets[[#This Row],[Odds]]&lt;0,"MF","MD"),""))))))</f>
        <v>MF</v>
      </c>
      <c r="K125"/>
      <c r="L125" s="24">
        <f t="shared" si="7"/>
        <v>0</v>
      </c>
      <c r="M125" s="1" t="str">
        <f>COUNTIFS(Bets[Date],L125,Bets[Result],"W")&amp;"-"&amp;COUNTIFS(Bets[Date],L125,Bets[Result],"L")&amp;IF(COUNTIFS(Bets[Date],L125,Bets[Result],"Push")&gt;0,"-"&amp;COUNTIFS(Bets[Date],L125,Bets[Result],"Push"),"")</f>
        <v>0-0</v>
      </c>
      <c r="N125" s="25" t="str">
        <f>IFERROR(COUNTIFS(Bets[Date],L125,Bets[Result],"W")/(COUNTIFS(Bets[Date],L125,Bets[Result],"W")+COUNTIFS(Bets[Date],L125,Bets[Result],"L")),"")</f>
        <v/>
      </c>
      <c r="O125" s="26">
        <f>SUMIF(Bets[Date],L125,Bets[Net])</f>
        <v>0</v>
      </c>
      <c r="P125" s="27" t="str">
        <f>IFERROR("("&amp;ROUND((SUMIF(Bets[Date],L125,Bets[Net])-SUMIF(Bets[Date],L125,Bets[Risk]))/SUMIF(Bets[Date],L125,Bets[Risk]),2)*100&amp;"%)","")</f>
        <v/>
      </c>
      <c r="Q125" s="72" t="str">
        <f t="shared" si="6"/>
        <v/>
      </c>
      <c r="R125" s="73" t="str">
        <f>IFERROR(SUMIF(Bets[Date],"&lt;="&amp;L125,Bets[Net])/SUMIF(Bets[Date],"&lt;="&amp;L125,Bets[Risk]),"")</f>
        <v/>
      </c>
    </row>
    <row r="126" spans="1:18" x14ac:dyDescent="0.25">
      <c r="A126" s="13">
        <f t="shared" si="4"/>
        <v>10</v>
      </c>
      <c r="B126" s="17">
        <v>43593</v>
      </c>
      <c r="C126" s="17" t="s">
        <v>802</v>
      </c>
      <c r="D126" s="18" t="s">
        <v>1181</v>
      </c>
      <c r="E126" s="11" t="s">
        <v>905</v>
      </c>
      <c r="F126" s="19">
        <f>10</f>
        <v>10</v>
      </c>
      <c r="G126" s="37">
        <v>100</v>
      </c>
      <c r="H126" s="37" t="s">
        <v>262</v>
      </c>
      <c r="I126" s="45">
        <f>IF(Bets[[#This Row],[Result]]="L",0-Bets[[#This Row],[Risk]],IF(Bets[[#This Row],[Result]]="Push",0,IF(Bets[[#This Row],[Result]]="No Action",0,IF(Bets[[#This Row],[Result]]="W",IF(Bets[[#This Row],[Odds]]&gt;0,Bets[[#This Row],[Odds]]/100*Bets[[#This Row],[Risk]],(Bets[[#This Row],[Risk]]/Bets[[#This Row],[Odds]]*-100)),""))))</f>
        <v>10</v>
      </c>
      <c r="J126" s="39" t="str">
        <f>IF(ISNUMBER(SEARCH(CHAR(10),Bets[[#This Row],[Bet]])),"P",IF(ISNUMBER(FIND("Under",Bets[[#This Row],[Bet]])),"U",IF(ISNUMBER(SEARCH("Over",Bets[[#This Row],[Bet]])),"O",IF(ISNUMBER(SEARCH("+",Bets[[#This Row],[Bet]])),"D",IF(ISNUMBER(SEARCH("-",Bets[[#This Row],[Bet]])),"F",IF(ISNUMBER(SEARCH("Moneyline",Bets[[#This Row],[Bet]])),IF(Bets[[#This Row],[Odds]]&lt;0,"MF","MD"),""))))))</f>
        <v>O</v>
      </c>
      <c r="K126"/>
      <c r="L126" s="24">
        <f t="shared" si="7"/>
        <v>0</v>
      </c>
      <c r="M126" s="1" t="str">
        <f>COUNTIFS(Bets[Date],L126,Bets[Result],"W")&amp;"-"&amp;COUNTIFS(Bets[Date],L126,Bets[Result],"L")&amp;IF(COUNTIFS(Bets[Date],L126,Bets[Result],"Push")&gt;0,"-"&amp;COUNTIFS(Bets[Date],L126,Bets[Result],"Push"),"")</f>
        <v>0-0</v>
      </c>
      <c r="N126" s="25" t="str">
        <f>IFERROR(COUNTIFS(Bets[Date],L126,Bets[Result],"W")/(COUNTIFS(Bets[Date],L126,Bets[Result],"W")+COUNTIFS(Bets[Date],L126,Bets[Result],"L")),"")</f>
        <v/>
      </c>
      <c r="O126" s="26">
        <f>SUMIF(Bets[Date],L126,Bets[Net])</f>
        <v>0</v>
      </c>
      <c r="P126" s="27" t="str">
        <f>IFERROR("("&amp;ROUND((SUMIF(Bets[Date],L126,Bets[Net])-SUMIF(Bets[Date],L126,Bets[Risk]))/SUMIF(Bets[Date],L126,Bets[Risk]),2)*100&amp;"%)","")</f>
        <v/>
      </c>
      <c r="Q126" s="72" t="str">
        <f t="shared" si="6"/>
        <v/>
      </c>
      <c r="R126" s="73" t="str">
        <f>IFERROR(SUMIF(Bets[Date],"&lt;="&amp;L126,Bets[Net])/SUMIF(Bets[Date],"&lt;="&amp;L126,Bets[Risk]),"")</f>
        <v/>
      </c>
    </row>
    <row r="127" spans="1:18" x14ac:dyDescent="0.25">
      <c r="A127" s="13">
        <f t="shared" si="4"/>
        <v>10</v>
      </c>
      <c r="B127" s="17">
        <v>43593</v>
      </c>
      <c r="C127" s="17" t="s">
        <v>802</v>
      </c>
      <c r="D127" s="18" t="s">
        <v>1179</v>
      </c>
      <c r="E127" s="11" t="s">
        <v>902</v>
      </c>
      <c r="F127" s="19">
        <f>10</f>
        <v>10</v>
      </c>
      <c r="G127" s="37">
        <v>-115</v>
      </c>
      <c r="H127" s="37" t="s">
        <v>263</v>
      </c>
      <c r="I127" s="45">
        <f>IF(Bets[[#This Row],[Result]]="L",0-Bets[[#This Row],[Risk]],IF(Bets[[#This Row],[Result]]="Push",0,IF(Bets[[#This Row],[Result]]="No Action",0,IF(Bets[[#This Row],[Result]]="W",IF(Bets[[#This Row],[Odds]]&gt;0,Bets[[#This Row],[Odds]]/100*Bets[[#This Row],[Risk]],(Bets[[#This Row],[Risk]]/Bets[[#This Row],[Odds]]*-100)),""))))</f>
        <v>-10</v>
      </c>
      <c r="J127" s="39" t="str">
        <f>IF(ISNUMBER(SEARCH(CHAR(10),Bets[[#This Row],[Bet]])),"P",IF(ISNUMBER(FIND("Under",Bets[[#This Row],[Bet]])),"U",IF(ISNUMBER(SEARCH("Over",Bets[[#This Row],[Bet]])),"O",IF(ISNUMBER(SEARCH("+",Bets[[#This Row],[Bet]])),"D",IF(ISNUMBER(SEARCH("-",Bets[[#This Row],[Bet]])),"F",IF(ISNUMBER(SEARCH("Moneyline",Bets[[#This Row],[Bet]])),IF(Bets[[#This Row],[Odds]]&lt;0,"MF","MD"),""))))))</f>
        <v>O</v>
      </c>
      <c r="K127"/>
      <c r="L127" s="24">
        <f t="shared" si="7"/>
        <v>0</v>
      </c>
      <c r="M127" s="1" t="str">
        <f>COUNTIFS(Bets[Date],L127,Bets[Result],"W")&amp;"-"&amp;COUNTIFS(Bets[Date],L127,Bets[Result],"L")&amp;IF(COUNTIFS(Bets[Date],L127,Bets[Result],"Push")&gt;0,"-"&amp;COUNTIFS(Bets[Date],L127,Bets[Result],"Push"),"")</f>
        <v>0-0</v>
      </c>
      <c r="N127" s="25" t="str">
        <f>IFERROR(COUNTIFS(Bets[Date],L127,Bets[Result],"W")/(COUNTIFS(Bets[Date],L127,Bets[Result],"W")+COUNTIFS(Bets[Date],L127,Bets[Result],"L")),"")</f>
        <v/>
      </c>
      <c r="O127" s="26">
        <f>SUMIF(Bets[Date],L127,Bets[Net])</f>
        <v>0</v>
      </c>
      <c r="P127" s="27" t="str">
        <f>IFERROR("("&amp;ROUND((SUMIF(Bets[Date],L127,Bets[Net])-SUMIF(Bets[Date],L127,Bets[Risk]))/SUMIF(Bets[Date],L127,Bets[Risk]),2)*100&amp;"%)","")</f>
        <v/>
      </c>
      <c r="Q127" s="72" t="str">
        <f t="shared" si="6"/>
        <v/>
      </c>
      <c r="R127" s="73" t="str">
        <f>IFERROR(SUMIF(Bets[Date],"&lt;="&amp;L127,Bets[Net])/SUMIF(Bets[Date],"&lt;="&amp;L127,Bets[Risk]),"")</f>
        <v/>
      </c>
    </row>
    <row r="128" spans="1:18" x14ac:dyDescent="0.25">
      <c r="A128" s="13">
        <f t="shared" si="4"/>
        <v>10</v>
      </c>
      <c r="B128" s="17">
        <v>43593</v>
      </c>
      <c r="C128" s="17" t="s">
        <v>802</v>
      </c>
      <c r="D128" s="18" t="s">
        <v>1208</v>
      </c>
      <c r="E128" s="11" t="s">
        <v>845</v>
      </c>
      <c r="F128" s="19">
        <f>10</f>
        <v>10</v>
      </c>
      <c r="G128" s="37">
        <v>-105</v>
      </c>
      <c r="H128" s="37" t="s">
        <v>263</v>
      </c>
      <c r="I128" s="45">
        <f>IF(Bets[[#This Row],[Result]]="L",0-Bets[[#This Row],[Risk]],IF(Bets[[#This Row],[Result]]="Push",0,IF(Bets[[#This Row],[Result]]="No Action",0,IF(Bets[[#This Row],[Result]]="W",IF(Bets[[#This Row],[Odds]]&gt;0,Bets[[#This Row],[Odds]]/100*Bets[[#This Row],[Risk]],(Bets[[#This Row],[Risk]]/Bets[[#This Row],[Odds]]*-100)),""))))</f>
        <v>-10</v>
      </c>
      <c r="J128" s="39" t="str">
        <f>IF(ISNUMBER(SEARCH(CHAR(10),Bets[[#This Row],[Bet]])),"P",IF(ISNUMBER(FIND("Under",Bets[[#This Row],[Bet]])),"U",IF(ISNUMBER(SEARCH("Over",Bets[[#This Row],[Bet]])),"O",IF(ISNUMBER(SEARCH("+",Bets[[#This Row],[Bet]])),"D",IF(ISNUMBER(SEARCH("-",Bets[[#This Row],[Bet]])),"F",IF(ISNUMBER(SEARCH("Moneyline",Bets[[#This Row],[Bet]])),IF(Bets[[#This Row],[Odds]]&lt;0,"MF","MD"),""))))))</f>
        <v>O</v>
      </c>
      <c r="K128"/>
      <c r="L128" s="24">
        <f t="shared" si="7"/>
        <v>0</v>
      </c>
      <c r="M128" s="1" t="str">
        <f>COUNTIFS(Bets[Date],L128,Bets[Result],"W")&amp;"-"&amp;COUNTIFS(Bets[Date],L128,Bets[Result],"L")&amp;IF(COUNTIFS(Bets[Date],L128,Bets[Result],"Push")&gt;0,"-"&amp;COUNTIFS(Bets[Date],L128,Bets[Result],"Push"),"")</f>
        <v>0-0</v>
      </c>
      <c r="N128" s="25" t="str">
        <f>IFERROR(COUNTIFS(Bets[Date],L128,Bets[Result],"W")/(COUNTIFS(Bets[Date],L128,Bets[Result],"W")+COUNTIFS(Bets[Date],L128,Bets[Result],"L")),"")</f>
        <v/>
      </c>
      <c r="O128" s="26">
        <f>SUMIF(Bets[Date],L128,Bets[Net])</f>
        <v>0</v>
      </c>
      <c r="P128" s="27" t="str">
        <f>IFERROR("("&amp;ROUND((SUMIF(Bets[Date],L128,Bets[Net])-SUMIF(Bets[Date],L128,Bets[Risk]))/SUMIF(Bets[Date],L128,Bets[Risk]),2)*100&amp;"%)","")</f>
        <v/>
      </c>
      <c r="Q128" s="72" t="str">
        <f t="shared" si="6"/>
        <v/>
      </c>
      <c r="R128" s="73" t="str">
        <f>IFERROR(SUMIF(Bets[Date],"&lt;="&amp;L128,Bets[Net])/SUMIF(Bets[Date],"&lt;="&amp;L128,Bets[Risk]),"")</f>
        <v/>
      </c>
    </row>
    <row r="129" spans="1:18" x14ac:dyDescent="0.25">
      <c r="A129" s="13">
        <f t="shared" si="4"/>
        <v>10</v>
      </c>
      <c r="B129" s="17">
        <v>43593</v>
      </c>
      <c r="C129" s="17" t="s">
        <v>802</v>
      </c>
      <c r="D129" s="18" t="s">
        <v>1177</v>
      </c>
      <c r="E129" s="11" t="s">
        <v>933</v>
      </c>
      <c r="F129" s="19">
        <f>10</f>
        <v>10</v>
      </c>
      <c r="G129" s="37">
        <v>-115</v>
      </c>
      <c r="H129" s="37" t="s">
        <v>263</v>
      </c>
      <c r="I129" s="45">
        <f>IF(Bets[[#This Row],[Result]]="L",0-Bets[[#This Row],[Risk]],IF(Bets[[#This Row],[Result]]="Push",0,IF(Bets[[#This Row],[Result]]="No Action",0,IF(Bets[[#This Row],[Result]]="W",IF(Bets[[#This Row],[Odds]]&gt;0,Bets[[#This Row],[Odds]]/100*Bets[[#This Row],[Risk]],(Bets[[#This Row],[Risk]]/Bets[[#This Row],[Odds]]*-100)),""))))</f>
        <v>-10</v>
      </c>
      <c r="J129" s="39" t="str">
        <f>IF(ISNUMBER(SEARCH(CHAR(10),Bets[[#This Row],[Bet]])),"P",IF(ISNUMBER(FIND("Under",Bets[[#This Row],[Bet]])),"U",IF(ISNUMBER(SEARCH("Over",Bets[[#This Row],[Bet]])),"O",IF(ISNUMBER(SEARCH("+",Bets[[#This Row],[Bet]])),"D",IF(ISNUMBER(SEARCH("-",Bets[[#This Row],[Bet]])),"F",IF(ISNUMBER(SEARCH("Moneyline",Bets[[#This Row],[Bet]])),IF(Bets[[#This Row],[Odds]]&lt;0,"MF","MD"),""))))))</f>
        <v>U</v>
      </c>
      <c r="K129"/>
      <c r="L129" s="24">
        <f t="shared" si="7"/>
        <v>0</v>
      </c>
      <c r="M129" s="1" t="str">
        <f>COUNTIFS(Bets[Date],L129,Bets[Result],"W")&amp;"-"&amp;COUNTIFS(Bets[Date],L129,Bets[Result],"L")&amp;IF(COUNTIFS(Bets[Date],L129,Bets[Result],"Push")&gt;0,"-"&amp;COUNTIFS(Bets[Date],L129,Bets[Result],"Push"),"")</f>
        <v>0-0</v>
      </c>
      <c r="N129" s="25" t="str">
        <f>IFERROR(COUNTIFS(Bets[Date],L129,Bets[Result],"W")/(COUNTIFS(Bets[Date],L129,Bets[Result],"W")+COUNTIFS(Bets[Date],L129,Bets[Result],"L")),"")</f>
        <v/>
      </c>
      <c r="O129" s="26">
        <f>SUMIF(Bets[Date],L129,Bets[Net])</f>
        <v>0</v>
      </c>
      <c r="P129" s="27" t="str">
        <f>IFERROR("("&amp;ROUND((SUMIF(Bets[Date],L129,Bets[Net])-SUMIF(Bets[Date],L129,Bets[Risk]))/SUMIF(Bets[Date],L129,Bets[Risk]),2)*100&amp;"%)","")</f>
        <v/>
      </c>
      <c r="Q129" s="72" t="str">
        <f t="shared" si="6"/>
        <v/>
      </c>
      <c r="R129" s="73" t="str">
        <f>IFERROR(SUMIF(Bets[Date],"&lt;="&amp;L129,Bets[Net])/SUMIF(Bets[Date],"&lt;="&amp;L129,Bets[Risk]),"")</f>
        <v/>
      </c>
    </row>
    <row r="130" spans="1:18" x14ac:dyDescent="0.25">
      <c r="A130" s="13">
        <f t="shared" si="4"/>
        <v>10</v>
      </c>
      <c r="B130" s="17">
        <v>43593</v>
      </c>
      <c r="C130" s="17" t="s">
        <v>802</v>
      </c>
      <c r="D130" s="18" t="s">
        <v>1202</v>
      </c>
      <c r="E130" s="11" t="s">
        <v>905</v>
      </c>
      <c r="F130" s="19">
        <f>10</f>
        <v>10</v>
      </c>
      <c r="G130" s="37">
        <v>-115</v>
      </c>
      <c r="H130" s="37" t="s">
        <v>846</v>
      </c>
      <c r="I130" s="45">
        <f>IF(Bets[[#This Row],[Result]]="L",0-Bets[[#This Row],[Risk]],IF(Bets[[#This Row],[Result]]="Push",0,IF(Bets[[#This Row],[Result]]="No Action",0,IF(Bets[[#This Row],[Result]]="W",IF(Bets[[#This Row],[Odds]]&gt;0,Bets[[#This Row],[Odds]]/100*Bets[[#This Row],[Risk]],(Bets[[#This Row],[Risk]]/Bets[[#This Row],[Odds]]*-100)),""))))</f>
        <v>0</v>
      </c>
      <c r="J130" s="39" t="str">
        <f>IF(ISNUMBER(SEARCH(CHAR(10),Bets[[#This Row],[Bet]])),"P",IF(ISNUMBER(FIND("Under",Bets[[#This Row],[Bet]])),"U",IF(ISNUMBER(SEARCH("Over",Bets[[#This Row],[Bet]])),"O",IF(ISNUMBER(SEARCH("+",Bets[[#This Row],[Bet]])),"D",IF(ISNUMBER(SEARCH("-",Bets[[#This Row],[Bet]])),"F",IF(ISNUMBER(SEARCH("Moneyline",Bets[[#This Row],[Bet]])),IF(Bets[[#This Row],[Odds]]&lt;0,"MF","MD"),""))))))</f>
        <v>O</v>
      </c>
      <c r="K130"/>
      <c r="L130" s="24">
        <f t="shared" si="7"/>
        <v>0</v>
      </c>
      <c r="M130" s="1" t="str">
        <f>COUNTIFS(Bets[Date],L130,Bets[Result],"W")&amp;"-"&amp;COUNTIFS(Bets[Date],L130,Bets[Result],"L")&amp;IF(COUNTIFS(Bets[Date],L130,Bets[Result],"Push")&gt;0,"-"&amp;COUNTIFS(Bets[Date],L130,Bets[Result],"Push"),"")</f>
        <v>0-0</v>
      </c>
      <c r="N130" s="25" t="str">
        <f>IFERROR(COUNTIFS(Bets[Date],L130,Bets[Result],"W")/(COUNTIFS(Bets[Date],L130,Bets[Result],"W")+COUNTIFS(Bets[Date],L130,Bets[Result],"L")),"")</f>
        <v/>
      </c>
      <c r="O130" s="26">
        <f>SUMIF(Bets[Date],L130,Bets[Net])</f>
        <v>0</v>
      </c>
      <c r="P130" s="27" t="str">
        <f>IFERROR("("&amp;ROUND((SUMIF(Bets[Date],L130,Bets[Net])-SUMIF(Bets[Date],L130,Bets[Risk]))/SUMIF(Bets[Date],L130,Bets[Risk]),2)*100&amp;"%)","")</f>
        <v/>
      </c>
      <c r="Q130" s="72" t="str">
        <f t="shared" si="6"/>
        <v/>
      </c>
      <c r="R130" s="73" t="str">
        <f>IFERROR(SUMIF(Bets[Date],"&lt;="&amp;L130,Bets[Net])/SUMIF(Bets[Date],"&lt;="&amp;L130,Bets[Risk]),"")</f>
        <v/>
      </c>
    </row>
    <row r="131" spans="1:18" x14ac:dyDescent="0.25">
      <c r="A131" s="13">
        <f t="shared" si="4"/>
        <v>10</v>
      </c>
      <c r="B131" s="17">
        <v>43593</v>
      </c>
      <c r="C131" s="17" t="s">
        <v>802</v>
      </c>
      <c r="D131" s="18" t="s">
        <v>1186</v>
      </c>
      <c r="E131" s="11" t="s">
        <v>1209</v>
      </c>
      <c r="F131" s="19">
        <f>10</f>
        <v>10</v>
      </c>
      <c r="G131" s="37">
        <v>-115</v>
      </c>
      <c r="H131" s="37" t="s">
        <v>1174</v>
      </c>
      <c r="I131" s="45">
        <f>IF(Bets[[#This Row],[Result]]="L",0-Bets[[#This Row],[Risk]],IF(Bets[[#This Row],[Result]]="Push",0,IF(Bets[[#This Row],[Result]]="No Action",0,IF(Bets[[#This Row],[Result]]="W",IF(Bets[[#This Row],[Odds]]&gt;0,Bets[[#This Row],[Odds]]/100*Bets[[#This Row],[Risk]],(Bets[[#This Row],[Risk]]/Bets[[#This Row],[Odds]]*-100)),""))))</f>
        <v>0</v>
      </c>
      <c r="J131" s="39" t="str">
        <f>IF(ISNUMBER(SEARCH(CHAR(10),Bets[[#This Row],[Bet]])),"P",IF(ISNUMBER(FIND("Under",Bets[[#This Row],[Bet]])),"U",IF(ISNUMBER(SEARCH("Over",Bets[[#This Row],[Bet]])),"O",IF(ISNUMBER(SEARCH("+",Bets[[#This Row],[Bet]])),"D",IF(ISNUMBER(SEARCH("-",Bets[[#This Row],[Bet]])),"F",IF(ISNUMBER(SEARCH("Moneyline",Bets[[#This Row],[Bet]])),IF(Bets[[#This Row],[Odds]]&lt;0,"MF","MD"),""))))))</f>
        <v>U</v>
      </c>
      <c r="K131"/>
      <c r="L131" s="24">
        <f t="shared" si="7"/>
        <v>0</v>
      </c>
      <c r="M131" s="1" t="str">
        <f>COUNTIFS(Bets[Date],L131,Bets[Result],"W")&amp;"-"&amp;COUNTIFS(Bets[Date],L131,Bets[Result],"L")&amp;IF(COUNTIFS(Bets[Date],L131,Bets[Result],"Push")&gt;0,"-"&amp;COUNTIFS(Bets[Date],L131,Bets[Result],"Push"),"")</f>
        <v>0-0</v>
      </c>
      <c r="N131" s="25" t="str">
        <f>IFERROR(COUNTIFS(Bets[Date],L131,Bets[Result],"W")/(COUNTIFS(Bets[Date],L131,Bets[Result],"W")+COUNTIFS(Bets[Date],L131,Bets[Result],"L")),"")</f>
        <v/>
      </c>
      <c r="O131" s="26">
        <f>SUMIF(Bets[Date],L131,Bets[Net])</f>
        <v>0</v>
      </c>
      <c r="P131" s="27" t="str">
        <f>IFERROR("("&amp;ROUND((SUMIF(Bets[Date],L131,Bets[Net])-SUMIF(Bets[Date],L131,Bets[Risk]))/SUMIF(Bets[Date],L131,Bets[Risk]),2)*100&amp;"%)","")</f>
        <v/>
      </c>
      <c r="Q131" s="72" t="str">
        <f t="shared" si="6"/>
        <v/>
      </c>
      <c r="R131" s="73" t="str">
        <f>IFERROR(SUMIF(Bets[Date],"&lt;="&amp;L131,Bets[Net])/SUMIF(Bets[Date],"&lt;="&amp;L131,Bets[Risk]),"")</f>
        <v/>
      </c>
    </row>
    <row r="132" spans="1:18" x14ac:dyDescent="0.25">
      <c r="A132" s="13">
        <f t="shared" ref="A132:A195" si="8">IF(B132=B131,A131,A131+1)</f>
        <v>10</v>
      </c>
      <c r="B132" s="17">
        <v>43593</v>
      </c>
      <c r="C132" s="17" t="s">
        <v>802</v>
      </c>
      <c r="D132" s="18" t="s">
        <v>1207</v>
      </c>
      <c r="E132" s="11" t="s">
        <v>931</v>
      </c>
      <c r="F132" s="19">
        <f>10</f>
        <v>10</v>
      </c>
      <c r="G132" s="37">
        <v>-105</v>
      </c>
      <c r="H132" s="37" t="s">
        <v>262</v>
      </c>
      <c r="I132" s="45">
        <f>IF(Bets[[#This Row],[Result]]="L",0-Bets[[#This Row],[Risk]],IF(Bets[[#This Row],[Result]]="Push",0,IF(Bets[[#This Row],[Result]]="No Action",0,IF(Bets[[#This Row],[Result]]="W",IF(Bets[[#This Row],[Odds]]&gt;0,Bets[[#This Row],[Odds]]/100*Bets[[#This Row],[Risk]],(Bets[[#This Row],[Risk]]/Bets[[#This Row],[Odds]]*-100)),""))))</f>
        <v>9.5238095238095237</v>
      </c>
      <c r="J132" s="39" t="str">
        <f>IF(ISNUMBER(SEARCH(CHAR(10),Bets[[#This Row],[Bet]])),"P",IF(ISNUMBER(FIND("Under",Bets[[#This Row],[Bet]])),"U",IF(ISNUMBER(SEARCH("Over",Bets[[#This Row],[Bet]])),"O",IF(ISNUMBER(SEARCH("+",Bets[[#This Row],[Bet]])),"D",IF(ISNUMBER(SEARCH("-",Bets[[#This Row],[Bet]])),"F",IF(ISNUMBER(SEARCH("Moneyline",Bets[[#This Row],[Bet]])),IF(Bets[[#This Row],[Odds]]&lt;0,"MF","MD"),""))))))</f>
        <v>O</v>
      </c>
      <c r="K132"/>
      <c r="L132" s="24">
        <f t="shared" ref="L132:L157" si="9">IFERROR(VLOOKUP(ROW()-3,A:B,2,0),0)</f>
        <v>0</v>
      </c>
      <c r="M132" s="1" t="str">
        <f>COUNTIFS(Bets[Date],L132,Bets[Result],"W")&amp;"-"&amp;COUNTIFS(Bets[Date],L132,Bets[Result],"L")&amp;IF(COUNTIFS(Bets[Date],L132,Bets[Result],"Push")&gt;0,"-"&amp;COUNTIFS(Bets[Date],L132,Bets[Result],"Push"),"")</f>
        <v>0-0</v>
      </c>
      <c r="N132" s="25" t="str">
        <f>IFERROR(COUNTIFS(Bets[Date],L132,Bets[Result],"W")/(COUNTIFS(Bets[Date],L132,Bets[Result],"W")+COUNTIFS(Bets[Date],L132,Bets[Result],"L")),"")</f>
        <v/>
      </c>
      <c r="O132" s="26">
        <f>SUMIF(Bets[Date],L132,Bets[Net])</f>
        <v>0</v>
      </c>
      <c r="P132" s="27" t="str">
        <f>IFERROR("("&amp;ROUND((SUMIF(Bets[Date],L132,Bets[Net])-SUMIF(Bets[Date],L132,Bets[Risk]))/SUMIF(Bets[Date],L132,Bets[Risk]),2)*100&amp;"%)","")</f>
        <v/>
      </c>
      <c r="Q132" s="72" t="str">
        <f t="shared" si="6"/>
        <v/>
      </c>
      <c r="R132" s="73" t="str">
        <f>IFERROR(SUMIF(Bets[Date],"&lt;="&amp;L132,Bets[Net])/SUMIF(Bets[Date],"&lt;="&amp;L132,Bets[Risk]),"")</f>
        <v/>
      </c>
    </row>
    <row r="133" spans="1:18" x14ac:dyDescent="0.25">
      <c r="A133" s="13">
        <f t="shared" si="8"/>
        <v>11</v>
      </c>
      <c r="B133" s="17">
        <v>43594</v>
      </c>
      <c r="C133" s="17" t="s">
        <v>802</v>
      </c>
      <c r="D133" s="18" t="s">
        <v>1182</v>
      </c>
      <c r="E133" s="11" t="s">
        <v>867</v>
      </c>
      <c r="F133" s="19">
        <f>10</f>
        <v>10</v>
      </c>
      <c r="G133" s="37">
        <v>-210</v>
      </c>
      <c r="H133" s="37" t="s">
        <v>262</v>
      </c>
      <c r="I133" s="45">
        <f>IF(Bets[[#This Row],[Result]]="L",0-Bets[[#This Row],[Risk]],IF(Bets[[#This Row],[Result]]="Push",0,IF(Bets[[#This Row],[Result]]="No Action",0,IF(Bets[[#This Row],[Result]]="W",IF(Bets[[#This Row],[Odds]]&gt;0,Bets[[#This Row],[Odds]]/100*Bets[[#This Row],[Risk]],(Bets[[#This Row],[Risk]]/Bets[[#This Row],[Odds]]*-100)),""))))</f>
        <v>4.7619047619047619</v>
      </c>
      <c r="J133" s="39" t="str">
        <f>IF(ISNUMBER(SEARCH(CHAR(10),Bets[[#This Row],[Bet]])),"P",IF(ISNUMBER(FIND("Under",Bets[[#This Row],[Bet]])),"U",IF(ISNUMBER(SEARCH("Over",Bets[[#This Row],[Bet]])),"O",IF(ISNUMBER(SEARCH("+",Bets[[#This Row],[Bet]])),"D",IF(ISNUMBER(SEARCH("-",Bets[[#This Row],[Bet]])),"F",IF(ISNUMBER(SEARCH("Moneyline",Bets[[#This Row],[Bet]])),IF(Bets[[#This Row],[Odds]]&lt;0,"MF","MD"),""))))))</f>
        <v>MF</v>
      </c>
      <c r="K133"/>
      <c r="L133" s="24">
        <f t="shared" si="9"/>
        <v>0</v>
      </c>
      <c r="M133" s="1" t="str">
        <f>COUNTIFS(Bets[Date],L133,Bets[Result],"W")&amp;"-"&amp;COUNTIFS(Bets[Date],L133,Bets[Result],"L")&amp;IF(COUNTIFS(Bets[Date],L133,Bets[Result],"Push")&gt;0,"-"&amp;COUNTIFS(Bets[Date],L133,Bets[Result],"Push"),"")</f>
        <v>0-0</v>
      </c>
      <c r="N133" s="25" t="str">
        <f>IFERROR(COUNTIFS(Bets[Date],L133,Bets[Result],"W")/(COUNTIFS(Bets[Date],L133,Bets[Result],"W")+COUNTIFS(Bets[Date],L133,Bets[Result],"L")),"")</f>
        <v/>
      </c>
      <c r="O133" s="26">
        <f>SUMIF(Bets[Date],L133,Bets[Net])</f>
        <v>0</v>
      </c>
      <c r="P133" s="27" t="str">
        <f>IFERROR("("&amp;ROUND((SUMIF(Bets[Date],L133,Bets[Net])-SUMIF(Bets[Date],L133,Bets[Risk]))/SUMIF(Bets[Date],L133,Bets[Risk]),2)*100&amp;"%)","")</f>
        <v/>
      </c>
      <c r="Q133" s="72" t="str">
        <f t="shared" si="6"/>
        <v/>
      </c>
      <c r="R133" s="73" t="str">
        <f>IFERROR(SUMIF(Bets[Date],"&lt;="&amp;L133,Bets[Net])/SUMIF(Bets[Date],"&lt;="&amp;L133,Bets[Risk]),"")</f>
        <v/>
      </c>
    </row>
    <row r="134" spans="1:18" x14ac:dyDescent="0.25">
      <c r="A134" s="13">
        <f t="shared" si="8"/>
        <v>11</v>
      </c>
      <c r="B134" s="17">
        <v>43594</v>
      </c>
      <c r="C134" s="17" t="s">
        <v>802</v>
      </c>
      <c r="D134" s="18" t="s">
        <v>1214</v>
      </c>
      <c r="E134" s="11" t="s">
        <v>876</v>
      </c>
      <c r="F134" s="19">
        <f>10</f>
        <v>10</v>
      </c>
      <c r="G134" s="37">
        <v>125</v>
      </c>
      <c r="H134" s="37" t="s">
        <v>263</v>
      </c>
      <c r="I134" s="45">
        <f>IF(Bets[[#This Row],[Result]]="L",0-Bets[[#This Row],[Risk]],IF(Bets[[#This Row],[Result]]="Push",0,IF(Bets[[#This Row],[Result]]="No Action",0,IF(Bets[[#This Row],[Result]]="W",IF(Bets[[#This Row],[Odds]]&gt;0,Bets[[#This Row],[Odds]]/100*Bets[[#This Row],[Risk]],(Bets[[#This Row],[Risk]]/Bets[[#This Row],[Odds]]*-100)),""))))</f>
        <v>-10</v>
      </c>
      <c r="J134" s="39" t="str">
        <f>IF(ISNUMBER(SEARCH(CHAR(10),Bets[[#This Row],[Bet]])),"P",IF(ISNUMBER(FIND("Under",Bets[[#This Row],[Bet]])),"U",IF(ISNUMBER(SEARCH("Over",Bets[[#This Row],[Bet]])),"O",IF(ISNUMBER(SEARCH("+",Bets[[#This Row],[Bet]])),"D",IF(ISNUMBER(SEARCH("-",Bets[[#This Row],[Bet]])),"F",IF(ISNUMBER(SEARCH("Moneyline",Bets[[#This Row],[Bet]])),IF(Bets[[#This Row],[Odds]]&lt;0,"MF","MD"),""))))))</f>
        <v>MD</v>
      </c>
      <c r="K134"/>
      <c r="L134" s="24">
        <f t="shared" si="9"/>
        <v>0</v>
      </c>
      <c r="M134" s="1" t="str">
        <f>COUNTIFS(Bets[Date],L134,Bets[Result],"W")&amp;"-"&amp;COUNTIFS(Bets[Date],L134,Bets[Result],"L")&amp;IF(COUNTIFS(Bets[Date],L134,Bets[Result],"Push")&gt;0,"-"&amp;COUNTIFS(Bets[Date],L134,Bets[Result],"Push"),"")</f>
        <v>0-0</v>
      </c>
      <c r="N134" s="25" t="str">
        <f>IFERROR(COUNTIFS(Bets[Date],L134,Bets[Result],"W")/(COUNTIFS(Bets[Date],L134,Bets[Result],"W")+COUNTIFS(Bets[Date],L134,Bets[Result],"L")),"")</f>
        <v/>
      </c>
      <c r="O134" s="26">
        <f>SUMIF(Bets[Date],L134,Bets[Net])</f>
        <v>0</v>
      </c>
      <c r="P134" s="27" t="str">
        <f>IFERROR("("&amp;ROUND((SUMIF(Bets[Date],L134,Bets[Net])-SUMIF(Bets[Date],L134,Bets[Risk]))/SUMIF(Bets[Date],L134,Bets[Risk]),2)*100&amp;"%)","")</f>
        <v/>
      </c>
      <c r="Q134" s="72" t="str">
        <f t="shared" ref="Q134:Q157" si="10">IF(L134&lt;&gt;0,Q133+O134,"")</f>
        <v/>
      </c>
      <c r="R134" s="73" t="str">
        <f>IFERROR(SUMIF(Bets[Date],"&lt;="&amp;L134,Bets[Net])/SUMIF(Bets[Date],"&lt;="&amp;L134,Bets[Risk]),"")</f>
        <v/>
      </c>
    </row>
    <row r="135" spans="1:18" x14ac:dyDescent="0.25">
      <c r="A135" s="13">
        <f t="shared" si="8"/>
        <v>11</v>
      </c>
      <c r="B135" s="17">
        <v>43594</v>
      </c>
      <c r="C135" s="17" t="s">
        <v>802</v>
      </c>
      <c r="D135" s="18" t="s">
        <v>1215</v>
      </c>
      <c r="E135" s="11" t="s">
        <v>815</v>
      </c>
      <c r="F135" s="19">
        <f>10</f>
        <v>10</v>
      </c>
      <c r="G135" s="37">
        <v>-110</v>
      </c>
      <c r="H135" s="37" t="s">
        <v>263</v>
      </c>
      <c r="I135" s="45">
        <f>IF(Bets[[#This Row],[Result]]="L",0-Bets[[#This Row],[Risk]],IF(Bets[[#This Row],[Result]]="Push",0,IF(Bets[[#This Row],[Result]]="No Action",0,IF(Bets[[#This Row],[Result]]="W",IF(Bets[[#This Row],[Odds]]&gt;0,Bets[[#This Row],[Odds]]/100*Bets[[#This Row],[Risk]],(Bets[[#This Row],[Risk]]/Bets[[#This Row],[Odds]]*-100)),""))))</f>
        <v>-10</v>
      </c>
      <c r="J135" s="39" t="str">
        <f>IF(ISNUMBER(SEARCH(CHAR(10),Bets[[#This Row],[Bet]])),"P",IF(ISNUMBER(FIND("Under",Bets[[#This Row],[Bet]])),"U",IF(ISNUMBER(SEARCH("Over",Bets[[#This Row],[Bet]])),"O",IF(ISNUMBER(SEARCH("+",Bets[[#This Row],[Bet]])),"D",IF(ISNUMBER(SEARCH("-",Bets[[#This Row],[Bet]])),"F",IF(ISNUMBER(SEARCH("Moneyline",Bets[[#This Row],[Bet]])),IF(Bets[[#This Row],[Odds]]&lt;0,"MF","MD"),""))))))</f>
        <v>MF</v>
      </c>
      <c r="K135"/>
      <c r="L135" s="24">
        <f t="shared" si="9"/>
        <v>0</v>
      </c>
      <c r="M135" s="1" t="str">
        <f>COUNTIFS(Bets[Date],L135,Bets[Result],"W")&amp;"-"&amp;COUNTIFS(Bets[Date],L135,Bets[Result],"L")&amp;IF(COUNTIFS(Bets[Date],L135,Bets[Result],"Push")&gt;0,"-"&amp;COUNTIFS(Bets[Date],L135,Bets[Result],"Push"),"")</f>
        <v>0-0</v>
      </c>
      <c r="N135" s="25" t="str">
        <f>IFERROR(COUNTIFS(Bets[Date],L135,Bets[Result],"W")/(COUNTIFS(Bets[Date],L135,Bets[Result],"W")+COUNTIFS(Bets[Date],L135,Bets[Result],"L")),"")</f>
        <v/>
      </c>
      <c r="O135" s="26">
        <f>SUMIF(Bets[Date],L135,Bets[Net])</f>
        <v>0</v>
      </c>
      <c r="P135" s="27" t="str">
        <f>IFERROR("("&amp;ROUND((SUMIF(Bets[Date],L135,Bets[Net])-SUMIF(Bets[Date],L135,Bets[Risk]))/SUMIF(Bets[Date],L135,Bets[Risk]),2)*100&amp;"%)","")</f>
        <v/>
      </c>
      <c r="Q135" s="72" t="str">
        <f t="shared" si="10"/>
        <v/>
      </c>
      <c r="R135" s="73" t="str">
        <f>IFERROR(SUMIF(Bets[Date],"&lt;="&amp;L135,Bets[Net])/SUMIF(Bets[Date],"&lt;="&amp;L135,Bets[Risk]),"")</f>
        <v/>
      </c>
    </row>
    <row r="136" spans="1:18" x14ac:dyDescent="0.25">
      <c r="A136" s="13">
        <f t="shared" si="8"/>
        <v>11</v>
      </c>
      <c r="B136" s="17">
        <v>43594</v>
      </c>
      <c r="C136" s="17" t="s">
        <v>802</v>
      </c>
      <c r="D136" s="18" t="s">
        <v>1217</v>
      </c>
      <c r="E136" s="11" t="s">
        <v>827</v>
      </c>
      <c r="F136" s="19">
        <f>10</f>
        <v>10</v>
      </c>
      <c r="G136" s="37">
        <v>-147</v>
      </c>
      <c r="H136" s="37" t="s">
        <v>263</v>
      </c>
      <c r="I136" s="45">
        <f>IF(Bets[[#This Row],[Result]]="L",0-Bets[[#This Row],[Risk]],IF(Bets[[#This Row],[Result]]="Push",0,IF(Bets[[#This Row],[Result]]="No Action",0,IF(Bets[[#This Row],[Result]]="W",IF(Bets[[#This Row],[Odds]]&gt;0,Bets[[#This Row],[Odds]]/100*Bets[[#This Row],[Risk]],(Bets[[#This Row],[Risk]]/Bets[[#This Row],[Odds]]*-100)),""))))</f>
        <v>-10</v>
      </c>
      <c r="J136" s="39" t="str">
        <f>IF(ISNUMBER(SEARCH(CHAR(10),Bets[[#This Row],[Bet]])),"P",IF(ISNUMBER(FIND("Under",Bets[[#This Row],[Bet]])),"U",IF(ISNUMBER(SEARCH("Over",Bets[[#This Row],[Bet]])),"O",IF(ISNUMBER(SEARCH("+",Bets[[#This Row],[Bet]])),"D",IF(ISNUMBER(SEARCH("-",Bets[[#This Row],[Bet]])),"F",IF(ISNUMBER(SEARCH("Moneyline",Bets[[#This Row],[Bet]])),IF(Bets[[#This Row],[Odds]]&lt;0,"MF","MD"),""))))))</f>
        <v>MF</v>
      </c>
      <c r="K136"/>
      <c r="L136" s="24">
        <f t="shared" si="9"/>
        <v>0</v>
      </c>
      <c r="M136" s="1" t="str">
        <f>COUNTIFS(Bets[Date],L136,Bets[Result],"W")&amp;"-"&amp;COUNTIFS(Bets[Date],L136,Bets[Result],"L")&amp;IF(COUNTIFS(Bets[Date],L136,Bets[Result],"Push")&gt;0,"-"&amp;COUNTIFS(Bets[Date],L136,Bets[Result],"Push"),"")</f>
        <v>0-0</v>
      </c>
      <c r="N136" s="25" t="str">
        <f>IFERROR(COUNTIFS(Bets[Date],L136,Bets[Result],"W")/(COUNTIFS(Bets[Date],L136,Bets[Result],"W")+COUNTIFS(Bets[Date],L136,Bets[Result],"L")),"")</f>
        <v/>
      </c>
      <c r="O136" s="26">
        <f>SUMIF(Bets[Date],L136,Bets[Net])</f>
        <v>0</v>
      </c>
      <c r="P136" s="27" t="str">
        <f>IFERROR("("&amp;ROUND((SUMIF(Bets[Date],L136,Bets[Net])-SUMIF(Bets[Date],L136,Bets[Risk]))/SUMIF(Bets[Date],L136,Bets[Risk]),2)*100&amp;"%)","")</f>
        <v/>
      </c>
      <c r="Q136" s="72" t="str">
        <f t="shared" si="10"/>
        <v/>
      </c>
      <c r="R136" s="73" t="str">
        <f>IFERROR(SUMIF(Bets[Date],"&lt;="&amp;L136,Bets[Net])/SUMIF(Bets[Date],"&lt;="&amp;L136,Bets[Risk]),"")</f>
        <v/>
      </c>
    </row>
    <row r="137" spans="1:18" x14ac:dyDescent="0.25">
      <c r="A137" s="13">
        <f t="shared" si="8"/>
        <v>11</v>
      </c>
      <c r="B137" s="17">
        <v>43594</v>
      </c>
      <c r="C137" s="17" t="s">
        <v>802</v>
      </c>
      <c r="D137" s="18" t="s">
        <v>1182</v>
      </c>
      <c r="E137" s="11" t="s">
        <v>1209</v>
      </c>
      <c r="F137" s="19">
        <f>10</f>
        <v>10</v>
      </c>
      <c r="G137" s="37">
        <v>-120</v>
      </c>
      <c r="H137" s="21" t="s">
        <v>262</v>
      </c>
      <c r="I137" s="45">
        <f>IF(Bets[[#This Row],[Result]]="L",0-Bets[[#This Row],[Risk]],IF(Bets[[#This Row],[Result]]="Push",0,IF(Bets[[#This Row],[Result]]="No Action",0,IF(Bets[[#This Row],[Result]]="W",IF(Bets[[#This Row],[Odds]]&gt;0,Bets[[#This Row],[Odds]]/100*Bets[[#This Row],[Risk]],(Bets[[#This Row],[Risk]]/Bets[[#This Row],[Odds]]*-100)),""))))</f>
        <v>8.3333333333333321</v>
      </c>
      <c r="J137" s="23" t="str">
        <f>IF(ISNUMBER(SEARCH(CHAR(10),Bets[[#This Row],[Bet]])),"P",IF(ISNUMBER(FIND("Under",Bets[[#This Row],[Bet]])),"U",IF(ISNUMBER(SEARCH("Over",Bets[[#This Row],[Bet]])),"O",IF(ISNUMBER(SEARCH("+",Bets[[#This Row],[Bet]])),"D",IF(ISNUMBER(SEARCH("-",Bets[[#This Row],[Bet]])),"F",IF(ISNUMBER(SEARCH("Moneyline",Bets[[#This Row],[Bet]])),IF(Bets[[#This Row],[Odds]]&lt;0,"MF","MD"),""))))))</f>
        <v>U</v>
      </c>
      <c r="K137"/>
      <c r="L137" s="24">
        <f t="shared" si="9"/>
        <v>0</v>
      </c>
      <c r="M137" s="1" t="str">
        <f>COUNTIFS(Bets[Date],L137,Bets[Result],"W")&amp;"-"&amp;COUNTIFS(Bets[Date],L137,Bets[Result],"L")&amp;IF(COUNTIFS(Bets[Date],L137,Bets[Result],"Push")&gt;0,"-"&amp;COUNTIFS(Bets[Date],L137,Bets[Result],"Push"),"")</f>
        <v>0-0</v>
      </c>
      <c r="N137" s="25" t="str">
        <f>IFERROR(COUNTIFS(Bets[Date],L137,Bets[Result],"W")/(COUNTIFS(Bets[Date],L137,Bets[Result],"W")+COUNTIFS(Bets[Date],L137,Bets[Result],"L")),"")</f>
        <v/>
      </c>
      <c r="O137" s="26">
        <f>SUMIF(Bets[Date],L137,Bets[Net])</f>
        <v>0</v>
      </c>
      <c r="P137" s="27" t="str">
        <f>IFERROR("("&amp;ROUND((SUMIF(Bets[Date],L137,Bets[Net])-SUMIF(Bets[Date],L137,Bets[Risk]))/SUMIF(Bets[Date],L137,Bets[Risk]),2)*100&amp;"%)","")</f>
        <v/>
      </c>
      <c r="Q137" s="72" t="str">
        <f t="shared" si="10"/>
        <v/>
      </c>
      <c r="R137" s="73" t="str">
        <f>IFERROR(SUMIF(Bets[Date],"&lt;="&amp;L137,Bets[Net])/SUMIF(Bets[Date],"&lt;="&amp;L137,Bets[Risk]),"")</f>
        <v/>
      </c>
    </row>
    <row r="138" spans="1:18" x14ac:dyDescent="0.25">
      <c r="A138" s="13">
        <f t="shared" si="8"/>
        <v>11</v>
      </c>
      <c r="B138" s="17">
        <v>43594</v>
      </c>
      <c r="C138" s="17" t="s">
        <v>802</v>
      </c>
      <c r="D138" s="18" t="s">
        <v>1183</v>
      </c>
      <c r="E138" s="11" t="s">
        <v>877</v>
      </c>
      <c r="F138" s="19">
        <f>10</f>
        <v>10</v>
      </c>
      <c r="G138" s="37">
        <v>-105</v>
      </c>
      <c r="H138" s="21" t="s">
        <v>262</v>
      </c>
      <c r="I138" s="45">
        <f>IF(Bets[[#This Row],[Result]]="L",0-Bets[[#This Row],[Risk]],IF(Bets[[#This Row],[Result]]="Push",0,IF(Bets[[#This Row],[Result]]="No Action",0,IF(Bets[[#This Row],[Result]]="W",IF(Bets[[#This Row],[Odds]]&gt;0,Bets[[#This Row],[Odds]]/100*Bets[[#This Row],[Risk]],(Bets[[#This Row],[Risk]]/Bets[[#This Row],[Odds]]*-100)),""))))</f>
        <v>9.5238095238095237</v>
      </c>
      <c r="J138" s="23" t="str">
        <f>IF(ISNUMBER(SEARCH(CHAR(10),Bets[[#This Row],[Bet]])),"P",IF(ISNUMBER(FIND("Under",Bets[[#This Row],[Bet]])),"U",IF(ISNUMBER(SEARCH("Over",Bets[[#This Row],[Bet]])),"O",IF(ISNUMBER(SEARCH("+",Bets[[#This Row],[Bet]])),"D",IF(ISNUMBER(SEARCH("-",Bets[[#This Row],[Bet]])),"F",IF(ISNUMBER(SEARCH("Moneyline",Bets[[#This Row],[Bet]])),IF(Bets[[#This Row],[Odds]]&lt;0,"MF","MD"),""))))))</f>
        <v>U</v>
      </c>
      <c r="K138"/>
      <c r="L138" s="24">
        <f t="shared" si="9"/>
        <v>0</v>
      </c>
      <c r="M138" s="1" t="str">
        <f>COUNTIFS(Bets[Date],L138,Bets[Result],"W")&amp;"-"&amp;COUNTIFS(Bets[Date],L138,Bets[Result],"L")&amp;IF(COUNTIFS(Bets[Date],L138,Bets[Result],"Push")&gt;0,"-"&amp;COUNTIFS(Bets[Date],L138,Bets[Result],"Push"),"")</f>
        <v>0-0</v>
      </c>
      <c r="N138" s="25" t="str">
        <f>IFERROR(COUNTIFS(Bets[Date],L138,Bets[Result],"W")/(COUNTIFS(Bets[Date],L138,Bets[Result],"W")+COUNTIFS(Bets[Date],L138,Bets[Result],"L")),"")</f>
        <v/>
      </c>
      <c r="O138" s="26">
        <f>SUMIF(Bets[Date],L138,Bets[Net])</f>
        <v>0</v>
      </c>
      <c r="P138" s="27" t="str">
        <f>IFERROR("("&amp;ROUND((SUMIF(Bets[Date],L138,Bets[Net])-SUMIF(Bets[Date],L138,Bets[Risk]))/SUMIF(Bets[Date],L138,Bets[Risk]),2)*100&amp;"%)","")</f>
        <v/>
      </c>
      <c r="Q138" s="72" t="str">
        <f t="shared" si="10"/>
        <v/>
      </c>
      <c r="R138" s="73" t="str">
        <f>IFERROR(SUMIF(Bets[Date],"&lt;="&amp;L138,Bets[Net])/SUMIF(Bets[Date],"&lt;="&amp;L138,Bets[Risk]),"")</f>
        <v/>
      </c>
    </row>
    <row r="139" spans="1:18" x14ac:dyDescent="0.25">
      <c r="A139" s="13">
        <f t="shared" si="8"/>
        <v>11</v>
      </c>
      <c r="B139" s="17">
        <v>43594</v>
      </c>
      <c r="C139" s="17" t="s">
        <v>802</v>
      </c>
      <c r="D139" s="18" t="s">
        <v>1216</v>
      </c>
      <c r="E139" s="11" t="s">
        <v>1156</v>
      </c>
      <c r="F139" s="19">
        <f>10</f>
        <v>10</v>
      </c>
      <c r="G139" s="37">
        <v>-105</v>
      </c>
      <c r="H139" s="37" t="s">
        <v>263</v>
      </c>
      <c r="I139" s="45">
        <f>IF(Bets[[#This Row],[Result]]="L",0-Bets[[#This Row],[Risk]],IF(Bets[[#This Row],[Result]]="Push",0,IF(Bets[[#This Row],[Result]]="No Action",0,IF(Bets[[#This Row],[Result]]="W",IF(Bets[[#This Row],[Odds]]&gt;0,Bets[[#This Row],[Odds]]/100*Bets[[#This Row],[Risk]],(Bets[[#This Row],[Risk]]/Bets[[#This Row],[Odds]]*-100)),""))))</f>
        <v>-10</v>
      </c>
      <c r="J139" s="39" t="str">
        <f>IF(ISNUMBER(SEARCH(CHAR(10),Bets[[#This Row],[Bet]])),"P",IF(ISNUMBER(FIND("Under",Bets[[#This Row],[Bet]])),"U",IF(ISNUMBER(SEARCH("Over",Bets[[#This Row],[Bet]])),"O",IF(ISNUMBER(SEARCH("+",Bets[[#This Row],[Bet]])),"D",IF(ISNUMBER(SEARCH("-",Bets[[#This Row],[Bet]])),"F",IF(ISNUMBER(SEARCH("Moneyline",Bets[[#This Row],[Bet]])),IF(Bets[[#This Row],[Odds]]&lt;0,"MF","MD"),""))))))</f>
        <v>O</v>
      </c>
      <c r="K139"/>
      <c r="L139" s="24">
        <f t="shared" si="9"/>
        <v>0</v>
      </c>
      <c r="M139" s="1" t="str">
        <f>COUNTIFS(Bets[Date],L139,Bets[Result],"W")&amp;"-"&amp;COUNTIFS(Bets[Date],L139,Bets[Result],"L")&amp;IF(COUNTIFS(Bets[Date],L139,Bets[Result],"Push")&gt;0,"-"&amp;COUNTIFS(Bets[Date],L139,Bets[Result],"Push"),"")</f>
        <v>0-0</v>
      </c>
      <c r="N139" s="25" t="str">
        <f>IFERROR(COUNTIFS(Bets[Date],L139,Bets[Result],"W")/(COUNTIFS(Bets[Date],L139,Bets[Result],"W")+COUNTIFS(Bets[Date],L139,Bets[Result],"L")),"")</f>
        <v/>
      </c>
      <c r="O139" s="26">
        <f>SUMIF(Bets[Date],L139,Bets[Net])</f>
        <v>0</v>
      </c>
      <c r="P139" s="27" t="str">
        <f>IFERROR("("&amp;ROUND((SUMIF(Bets[Date],L139,Bets[Net])-SUMIF(Bets[Date],L139,Bets[Risk]))/SUMIF(Bets[Date],L139,Bets[Risk]),2)*100&amp;"%)","")</f>
        <v/>
      </c>
      <c r="Q139" s="72" t="str">
        <f t="shared" si="10"/>
        <v/>
      </c>
      <c r="R139" s="73" t="str">
        <f>IFERROR(SUMIF(Bets[Date],"&lt;="&amp;L139,Bets[Net])/SUMIF(Bets[Date],"&lt;="&amp;L139,Bets[Risk]),"")</f>
        <v/>
      </c>
    </row>
    <row r="140" spans="1:18" x14ac:dyDescent="0.25">
      <c r="A140" s="13">
        <f t="shared" si="8"/>
        <v>11</v>
      </c>
      <c r="B140" s="17">
        <v>43594</v>
      </c>
      <c r="C140" s="17" t="s">
        <v>802</v>
      </c>
      <c r="D140" s="18" t="s">
        <v>1217</v>
      </c>
      <c r="E140" s="11" t="s">
        <v>902</v>
      </c>
      <c r="F140" s="19">
        <f>10</f>
        <v>10</v>
      </c>
      <c r="G140" s="37">
        <v>-120</v>
      </c>
      <c r="H140" s="37" t="s">
        <v>263</v>
      </c>
      <c r="I140" s="45">
        <f>IF(Bets[[#This Row],[Result]]="L",0-Bets[[#This Row],[Risk]],IF(Bets[[#This Row],[Result]]="Push",0,IF(Bets[[#This Row],[Result]]="No Action",0,IF(Bets[[#This Row],[Result]]="W",IF(Bets[[#This Row],[Odds]]&gt;0,Bets[[#This Row],[Odds]]/100*Bets[[#This Row],[Risk]],(Bets[[#This Row],[Risk]]/Bets[[#This Row],[Odds]]*-100)),""))))</f>
        <v>-10</v>
      </c>
      <c r="J140" s="39" t="str">
        <f>IF(ISNUMBER(SEARCH(CHAR(10),Bets[[#This Row],[Bet]])),"P",IF(ISNUMBER(FIND("Under",Bets[[#This Row],[Bet]])),"U",IF(ISNUMBER(SEARCH("Over",Bets[[#This Row],[Bet]])),"O",IF(ISNUMBER(SEARCH("+",Bets[[#This Row],[Bet]])),"D",IF(ISNUMBER(SEARCH("-",Bets[[#This Row],[Bet]])),"F",IF(ISNUMBER(SEARCH("Moneyline",Bets[[#This Row],[Bet]])),IF(Bets[[#This Row],[Odds]]&lt;0,"MF","MD"),""))))))</f>
        <v>O</v>
      </c>
      <c r="K140"/>
      <c r="L140" s="24">
        <f t="shared" si="9"/>
        <v>0</v>
      </c>
      <c r="M140" s="1" t="str">
        <f>COUNTIFS(Bets[Date],L140,Bets[Result],"W")&amp;"-"&amp;COUNTIFS(Bets[Date],L140,Bets[Result],"L")&amp;IF(COUNTIFS(Bets[Date],L140,Bets[Result],"Push")&gt;0,"-"&amp;COUNTIFS(Bets[Date],L140,Bets[Result],"Push"),"")</f>
        <v>0-0</v>
      </c>
      <c r="N140" s="25" t="str">
        <f>IFERROR(COUNTIFS(Bets[Date],L140,Bets[Result],"W")/(COUNTIFS(Bets[Date],L140,Bets[Result],"W")+COUNTIFS(Bets[Date],L140,Bets[Result],"L")),"")</f>
        <v/>
      </c>
      <c r="O140" s="26">
        <f>SUMIF(Bets[Date],L140,Bets[Net])</f>
        <v>0</v>
      </c>
      <c r="P140" s="27" t="str">
        <f>IFERROR("("&amp;ROUND((SUMIF(Bets[Date],L140,Bets[Net])-SUMIF(Bets[Date],L140,Bets[Risk]))/SUMIF(Bets[Date],L140,Bets[Risk]),2)*100&amp;"%)","")</f>
        <v/>
      </c>
      <c r="Q140" s="72" t="str">
        <f t="shared" si="10"/>
        <v/>
      </c>
      <c r="R140" s="73" t="str">
        <f>IFERROR(SUMIF(Bets[Date],"&lt;="&amp;L140,Bets[Net])/SUMIF(Bets[Date],"&lt;="&amp;L140,Bets[Risk]),"")</f>
        <v/>
      </c>
    </row>
    <row r="141" spans="1:18" x14ac:dyDescent="0.25">
      <c r="A141" s="13">
        <f t="shared" si="8"/>
        <v>12</v>
      </c>
      <c r="B141" s="17">
        <v>43595</v>
      </c>
      <c r="C141" s="17" t="s">
        <v>802</v>
      </c>
      <c r="D141" s="18" t="s">
        <v>1222</v>
      </c>
      <c r="E141" s="11" t="s">
        <v>836</v>
      </c>
      <c r="F141" s="19">
        <f>10</f>
        <v>10</v>
      </c>
      <c r="G141" s="37" t="s">
        <v>871</v>
      </c>
      <c r="H141" s="37" t="s">
        <v>263</v>
      </c>
      <c r="I141" s="45">
        <f>IF(Bets[[#This Row],[Result]]="L",0-Bets[[#This Row],[Risk]],IF(Bets[[#This Row],[Result]]="Push",0,IF(Bets[[#This Row],[Result]]="No Action",0,IF(Bets[[#This Row],[Result]]="W",IF(Bets[[#This Row],[Odds]]&gt;0,Bets[[#This Row],[Odds]]/100*Bets[[#This Row],[Risk]],(Bets[[#This Row],[Risk]]/Bets[[#This Row],[Odds]]*-100)),""))))</f>
        <v>-10</v>
      </c>
      <c r="J141" s="39" t="str">
        <f>IF(ISNUMBER(SEARCH(CHAR(10),Bets[[#This Row],[Bet]])),"P",IF(ISNUMBER(FIND("Under",Bets[[#This Row],[Bet]])),"U",IF(ISNUMBER(SEARCH("Over",Bets[[#This Row],[Bet]])),"O",IF(ISNUMBER(SEARCH("+",Bets[[#This Row],[Bet]])),"D",IF(ISNUMBER(SEARCH("-",Bets[[#This Row],[Bet]])),"F",IF(ISNUMBER(SEARCH("Moneyline",Bets[[#This Row],[Bet]])),IF(Bets[[#This Row],[Odds]]&lt;0,"MF","MD"),""))))))</f>
        <v>MD</v>
      </c>
      <c r="K141"/>
      <c r="L141" s="24">
        <f t="shared" si="9"/>
        <v>0</v>
      </c>
      <c r="M141" s="1" t="str">
        <f>COUNTIFS(Bets[Date],L141,Bets[Result],"W")&amp;"-"&amp;COUNTIFS(Bets[Date],L141,Bets[Result],"L")&amp;IF(COUNTIFS(Bets[Date],L141,Bets[Result],"Push")&gt;0,"-"&amp;COUNTIFS(Bets[Date],L141,Bets[Result],"Push"),"")</f>
        <v>0-0</v>
      </c>
      <c r="N141" s="25" t="str">
        <f>IFERROR(COUNTIFS(Bets[Date],L141,Bets[Result],"W")/(COUNTIFS(Bets[Date],L141,Bets[Result],"W")+COUNTIFS(Bets[Date],L141,Bets[Result],"L")),"")</f>
        <v/>
      </c>
      <c r="O141" s="26">
        <f>SUMIF(Bets[Date],L141,Bets[Net])</f>
        <v>0</v>
      </c>
      <c r="P141" s="27" t="str">
        <f>IFERROR("("&amp;ROUND((SUMIF(Bets[Date],L141,Bets[Net])-SUMIF(Bets[Date],L141,Bets[Risk]))/SUMIF(Bets[Date],L141,Bets[Risk]),2)*100&amp;"%)","")</f>
        <v/>
      </c>
      <c r="Q141" s="72" t="str">
        <f t="shared" si="10"/>
        <v/>
      </c>
      <c r="R141" s="73" t="str">
        <f>IFERROR(SUMIF(Bets[Date],"&lt;="&amp;L141,Bets[Net])/SUMIF(Bets[Date],"&lt;="&amp;L141,Bets[Risk]),"")</f>
        <v/>
      </c>
    </row>
    <row r="142" spans="1:18" x14ac:dyDescent="0.25">
      <c r="A142" s="13">
        <f t="shared" si="8"/>
        <v>12</v>
      </c>
      <c r="B142" s="17">
        <v>43595</v>
      </c>
      <c r="C142" s="17" t="s">
        <v>802</v>
      </c>
      <c r="D142" s="18" t="s">
        <v>1223</v>
      </c>
      <c r="E142" s="11" t="s">
        <v>1178</v>
      </c>
      <c r="F142" s="19">
        <f>10</f>
        <v>10</v>
      </c>
      <c r="G142" s="37">
        <v>-230</v>
      </c>
      <c r="H142" s="37" t="s">
        <v>262</v>
      </c>
      <c r="I142" s="45">
        <f>IF(Bets[[#This Row],[Result]]="L",0-Bets[[#This Row],[Risk]],IF(Bets[[#This Row],[Result]]="Push",0,IF(Bets[[#This Row],[Result]]="No Action",0,IF(Bets[[#This Row],[Result]]="W",IF(Bets[[#This Row],[Odds]]&gt;0,Bets[[#This Row],[Odds]]/100*Bets[[#This Row],[Risk]],(Bets[[#This Row],[Risk]]/Bets[[#This Row],[Odds]]*-100)),""))))</f>
        <v>4.3478260869565215</v>
      </c>
      <c r="J142" s="39" t="str">
        <f>IF(ISNUMBER(SEARCH(CHAR(10),Bets[[#This Row],[Bet]])),"P",IF(ISNUMBER(FIND("Under",Bets[[#This Row],[Bet]])),"U",IF(ISNUMBER(SEARCH("Over",Bets[[#This Row],[Bet]])),"O",IF(ISNUMBER(SEARCH("+",Bets[[#This Row],[Bet]])),"D",IF(ISNUMBER(SEARCH("-",Bets[[#This Row],[Bet]])),"F",IF(ISNUMBER(SEARCH("Moneyline",Bets[[#This Row],[Bet]])),IF(Bets[[#This Row],[Odds]]&lt;0,"MF","MD"),""))))))</f>
        <v>MF</v>
      </c>
      <c r="K142"/>
      <c r="L142" s="24">
        <f t="shared" si="9"/>
        <v>0</v>
      </c>
      <c r="M142" s="1" t="str">
        <f>COUNTIFS(Bets[Date],L142,Bets[Result],"W")&amp;"-"&amp;COUNTIFS(Bets[Date],L142,Bets[Result],"L")&amp;IF(COUNTIFS(Bets[Date],L142,Bets[Result],"Push")&gt;0,"-"&amp;COUNTIFS(Bets[Date],L142,Bets[Result],"Push"),"")</f>
        <v>0-0</v>
      </c>
      <c r="N142" s="25" t="str">
        <f>IFERROR(COUNTIFS(Bets[Date],L142,Bets[Result],"W")/(COUNTIFS(Bets[Date],L142,Bets[Result],"W")+COUNTIFS(Bets[Date],L142,Bets[Result],"L")),"")</f>
        <v/>
      </c>
      <c r="O142" s="26">
        <f>SUMIF(Bets[Date],L142,Bets[Net])</f>
        <v>0</v>
      </c>
      <c r="P142" s="27" t="str">
        <f>IFERROR("("&amp;ROUND((SUMIF(Bets[Date],L142,Bets[Net])-SUMIF(Bets[Date],L142,Bets[Risk]))/SUMIF(Bets[Date],L142,Bets[Risk]),2)*100&amp;"%)","")</f>
        <v/>
      </c>
      <c r="Q142" s="72" t="str">
        <f t="shared" si="10"/>
        <v/>
      </c>
      <c r="R142" s="73" t="str">
        <f>IFERROR(SUMIF(Bets[Date],"&lt;="&amp;L142,Bets[Net])/SUMIF(Bets[Date],"&lt;="&amp;L142,Bets[Risk]),"")</f>
        <v/>
      </c>
    </row>
    <row r="143" spans="1:18" x14ac:dyDescent="0.25">
      <c r="A143" s="13">
        <f t="shared" si="8"/>
        <v>12</v>
      </c>
      <c r="B143" s="17">
        <v>43595</v>
      </c>
      <c r="C143" s="17" t="s">
        <v>802</v>
      </c>
      <c r="D143" s="18" t="s">
        <v>1224</v>
      </c>
      <c r="E143" s="11" t="s">
        <v>822</v>
      </c>
      <c r="F143" s="19">
        <f>10</f>
        <v>10</v>
      </c>
      <c r="G143" s="37">
        <v>-145</v>
      </c>
      <c r="H143" s="37" t="s">
        <v>263</v>
      </c>
      <c r="I143" s="45">
        <f>IF(Bets[[#This Row],[Result]]="L",0-Bets[[#This Row],[Risk]],IF(Bets[[#This Row],[Result]]="Push",0,IF(Bets[[#This Row],[Result]]="No Action",0,IF(Bets[[#This Row],[Result]]="W",IF(Bets[[#This Row],[Odds]]&gt;0,Bets[[#This Row],[Odds]]/100*Bets[[#This Row],[Risk]],(Bets[[#This Row],[Risk]]/Bets[[#This Row],[Odds]]*-100)),""))))</f>
        <v>-10</v>
      </c>
      <c r="J143" s="39" t="str">
        <f>IF(ISNUMBER(SEARCH(CHAR(10),Bets[[#This Row],[Bet]])),"P",IF(ISNUMBER(FIND("Under",Bets[[#This Row],[Bet]])),"U",IF(ISNUMBER(SEARCH("Over",Bets[[#This Row],[Bet]])),"O",IF(ISNUMBER(SEARCH("+",Bets[[#This Row],[Bet]])),"D",IF(ISNUMBER(SEARCH("-",Bets[[#This Row],[Bet]])),"F",IF(ISNUMBER(SEARCH("Moneyline",Bets[[#This Row],[Bet]])),IF(Bets[[#This Row],[Odds]]&lt;0,"MF","MD"),""))))))</f>
        <v>MF</v>
      </c>
      <c r="K143"/>
      <c r="L143" s="24">
        <f t="shared" si="9"/>
        <v>0</v>
      </c>
      <c r="M143" s="1" t="str">
        <f>COUNTIFS(Bets[Date],L143,Bets[Result],"W")&amp;"-"&amp;COUNTIFS(Bets[Date],L143,Bets[Result],"L")&amp;IF(COUNTIFS(Bets[Date],L143,Bets[Result],"Push")&gt;0,"-"&amp;COUNTIFS(Bets[Date],L143,Bets[Result],"Push"),"")</f>
        <v>0-0</v>
      </c>
      <c r="N143" s="25" t="str">
        <f>IFERROR(COUNTIFS(Bets[Date],L143,Bets[Result],"W")/(COUNTIFS(Bets[Date],L143,Bets[Result],"W")+COUNTIFS(Bets[Date],L143,Bets[Result],"L")),"")</f>
        <v/>
      </c>
      <c r="O143" s="26">
        <f>SUMIF(Bets[Date],L143,Bets[Net])</f>
        <v>0</v>
      </c>
      <c r="P143" s="27" t="str">
        <f>IFERROR("("&amp;ROUND((SUMIF(Bets[Date],L143,Bets[Net])-SUMIF(Bets[Date],L143,Bets[Risk]))/SUMIF(Bets[Date],L143,Bets[Risk]),2)*100&amp;"%)","")</f>
        <v/>
      </c>
      <c r="Q143" s="72" t="str">
        <f t="shared" si="10"/>
        <v/>
      </c>
      <c r="R143" s="73" t="str">
        <f>IFERROR(SUMIF(Bets[Date],"&lt;="&amp;L143,Bets[Net])/SUMIF(Bets[Date],"&lt;="&amp;L143,Bets[Risk]),"")</f>
        <v/>
      </c>
    </row>
    <row r="144" spans="1:18" x14ac:dyDescent="0.25">
      <c r="A144" s="13">
        <f t="shared" si="8"/>
        <v>12</v>
      </c>
      <c r="B144" s="17">
        <v>43595</v>
      </c>
      <c r="C144" s="17" t="s">
        <v>802</v>
      </c>
      <c r="D144" s="18" t="s">
        <v>1225</v>
      </c>
      <c r="E144" s="11" t="s">
        <v>834</v>
      </c>
      <c r="F144" s="19">
        <f>10</f>
        <v>10</v>
      </c>
      <c r="G144" s="37">
        <v>-160</v>
      </c>
      <c r="H144" s="21" t="s">
        <v>262</v>
      </c>
      <c r="I144" s="45">
        <f>IF(Bets[[#This Row],[Result]]="L",0-Bets[[#This Row],[Risk]],IF(Bets[[#This Row],[Result]]="Push",0,IF(Bets[[#This Row],[Result]]="No Action",0,IF(Bets[[#This Row],[Result]]="W",IF(Bets[[#This Row],[Odds]]&gt;0,Bets[[#This Row],[Odds]]/100*Bets[[#This Row],[Risk]],(Bets[[#This Row],[Risk]]/Bets[[#This Row],[Odds]]*-100)),""))))</f>
        <v>6.25</v>
      </c>
      <c r="J144" s="39" t="str">
        <f>IF(ISNUMBER(SEARCH(CHAR(10),Bets[[#This Row],[Bet]])),"P",IF(ISNUMBER(FIND("Under",Bets[[#This Row],[Bet]])),"U",IF(ISNUMBER(SEARCH("Over",Bets[[#This Row],[Bet]])),"O",IF(ISNUMBER(SEARCH("+",Bets[[#This Row],[Bet]])),"D",IF(ISNUMBER(SEARCH("-",Bets[[#This Row],[Bet]])),"F",IF(ISNUMBER(SEARCH("Moneyline",Bets[[#This Row],[Bet]])),IF(Bets[[#This Row],[Odds]]&lt;0,"MF","MD"),""))))))</f>
        <v>MF</v>
      </c>
      <c r="K144"/>
      <c r="L144" s="24">
        <f t="shared" si="9"/>
        <v>0</v>
      </c>
      <c r="M144" s="1" t="str">
        <f>COUNTIFS(Bets[Date],L144,Bets[Result],"W")&amp;"-"&amp;COUNTIFS(Bets[Date],L144,Bets[Result],"L")&amp;IF(COUNTIFS(Bets[Date],L144,Bets[Result],"Push")&gt;0,"-"&amp;COUNTIFS(Bets[Date],L144,Bets[Result],"Push"),"")</f>
        <v>0-0</v>
      </c>
      <c r="N144" s="25" t="str">
        <f>IFERROR(COUNTIFS(Bets[Date],L144,Bets[Result],"W")/(COUNTIFS(Bets[Date],L144,Bets[Result],"W")+COUNTIFS(Bets[Date],L144,Bets[Result],"L")),"")</f>
        <v/>
      </c>
      <c r="O144" s="26">
        <f>SUMIF(Bets[Date],L144,Bets[Net])</f>
        <v>0</v>
      </c>
      <c r="P144" s="27" t="str">
        <f>IFERROR("("&amp;ROUND((SUMIF(Bets[Date],L144,Bets[Net])-SUMIF(Bets[Date],L144,Bets[Risk]))/SUMIF(Bets[Date],L144,Bets[Risk]),2)*100&amp;"%)","")</f>
        <v/>
      </c>
      <c r="Q144" s="72" t="str">
        <f t="shared" si="10"/>
        <v/>
      </c>
      <c r="R144" s="73" t="str">
        <f>IFERROR(SUMIF(Bets[Date],"&lt;="&amp;L144,Bets[Net])/SUMIF(Bets[Date],"&lt;="&amp;L144,Bets[Risk]),"")</f>
        <v/>
      </c>
    </row>
    <row r="145" spans="1:18" x14ac:dyDescent="0.25">
      <c r="A145" s="13">
        <f t="shared" si="8"/>
        <v>12</v>
      </c>
      <c r="B145" s="17">
        <v>43595</v>
      </c>
      <c r="C145" s="17" t="s">
        <v>802</v>
      </c>
      <c r="D145" s="18" t="s">
        <v>1226</v>
      </c>
      <c r="E145" s="11" t="s">
        <v>1166</v>
      </c>
      <c r="F145" s="19">
        <f>10</f>
        <v>10</v>
      </c>
      <c r="G145" s="37">
        <v>-140</v>
      </c>
      <c r="H145" s="21" t="s">
        <v>262</v>
      </c>
      <c r="I145" s="45">
        <f>IF(Bets[[#This Row],[Result]]="L",0-Bets[[#This Row],[Risk]],IF(Bets[[#This Row],[Result]]="Push",0,IF(Bets[[#This Row],[Result]]="No Action",0,IF(Bets[[#This Row],[Result]]="W",IF(Bets[[#This Row],[Odds]]&gt;0,Bets[[#This Row],[Odds]]/100*Bets[[#This Row],[Risk]],(Bets[[#This Row],[Risk]]/Bets[[#This Row],[Odds]]*-100)),""))))</f>
        <v>7.1428571428571423</v>
      </c>
      <c r="J145" s="39" t="str">
        <f>IF(ISNUMBER(SEARCH(CHAR(10),Bets[[#This Row],[Bet]])),"P",IF(ISNUMBER(FIND("Under",Bets[[#This Row],[Bet]])),"U",IF(ISNUMBER(SEARCH("Over",Bets[[#This Row],[Bet]])),"O",IF(ISNUMBER(SEARCH("+",Bets[[#This Row],[Bet]])),"D",IF(ISNUMBER(SEARCH("-",Bets[[#This Row],[Bet]])),"F",IF(ISNUMBER(SEARCH("Moneyline",Bets[[#This Row],[Bet]])),IF(Bets[[#This Row],[Odds]]&lt;0,"MF","MD"),""))))))</f>
        <v>MF</v>
      </c>
      <c r="K145"/>
      <c r="L145" s="24">
        <f t="shared" si="9"/>
        <v>0</v>
      </c>
      <c r="M145" s="1" t="str">
        <f>COUNTIFS(Bets[Date],L145,Bets[Result],"W")&amp;"-"&amp;COUNTIFS(Bets[Date],L145,Bets[Result],"L")&amp;IF(COUNTIFS(Bets[Date],L145,Bets[Result],"Push")&gt;0,"-"&amp;COUNTIFS(Bets[Date],L145,Bets[Result],"Push"),"")</f>
        <v>0-0</v>
      </c>
      <c r="N145" s="25" t="str">
        <f>IFERROR(COUNTIFS(Bets[Date],L145,Bets[Result],"W")/(COUNTIFS(Bets[Date],L145,Bets[Result],"W")+COUNTIFS(Bets[Date],L145,Bets[Result],"L")),"")</f>
        <v/>
      </c>
      <c r="O145" s="26">
        <f>SUMIF(Bets[Date],L145,Bets[Net])</f>
        <v>0</v>
      </c>
      <c r="P145" s="27" t="str">
        <f>IFERROR("("&amp;ROUND((SUMIF(Bets[Date],L145,Bets[Net])-SUMIF(Bets[Date],L145,Bets[Risk]))/SUMIF(Bets[Date],L145,Bets[Risk]),2)*100&amp;"%)","")</f>
        <v/>
      </c>
      <c r="Q145" s="72" t="str">
        <f t="shared" si="10"/>
        <v/>
      </c>
      <c r="R145" s="73" t="str">
        <f>IFERROR(SUMIF(Bets[Date],"&lt;="&amp;L145,Bets[Net])/SUMIF(Bets[Date],"&lt;="&amp;L145,Bets[Risk]),"")</f>
        <v/>
      </c>
    </row>
    <row r="146" spans="1:18" x14ac:dyDescent="0.25">
      <c r="A146" s="13">
        <f t="shared" si="8"/>
        <v>12</v>
      </c>
      <c r="B146" s="17">
        <v>43595</v>
      </c>
      <c r="C146" s="17" t="s">
        <v>802</v>
      </c>
      <c r="D146" s="18" t="s">
        <v>1227</v>
      </c>
      <c r="E146" s="11" t="s">
        <v>931</v>
      </c>
      <c r="F146" s="19">
        <f>10</f>
        <v>10</v>
      </c>
      <c r="G146" s="37">
        <v>-105</v>
      </c>
      <c r="H146" s="21" t="s">
        <v>263</v>
      </c>
      <c r="I146" s="45">
        <f>IF(Bets[[#This Row],[Result]]="L",0-Bets[[#This Row],[Risk]],IF(Bets[[#This Row],[Result]]="Push",0,IF(Bets[[#This Row],[Result]]="No Action",0,IF(Bets[[#This Row],[Result]]="W",IF(Bets[[#This Row],[Odds]]&gt;0,Bets[[#This Row],[Odds]]/100*Bets[[#This Row],[Risk]],(Bets[[#This Row],[Risk]]/Bets[[#This Row],[Odds]]*-100)),""))))</f>
        <v>-10</v>
      </c>
      <c r="J146" s="39" t="str">
        <f>IF(ISNUMBER(SEARCH(CHAR(10),Bets[[#This Row],[Bet]])),"P",IF(ISNUMBER(FIND("Under",Bets[[#This Row],[Bet]])),"U",IF(ISNUMBER(SEARCH("Over",Bets[[#This Row],[Bet]])),"O",IF(ISNUMBER(SEARCH("+",Bets[[#This Row],[Bet]])),"D",IF(ISNUMBER(SEARCH("-",Bets[[#This Row],[Bet]])),"F",IF(ISNUMBER(SEARCH("Moneyline",Bets[[#This Row],[Bet]])),IF(Bets[[#This Row],[Odds]]&lt;0,"MF","MD"),""))))))</f>
        <v>O</v>
      </c>
      <c r="K146"/>
      <c r="L146" s="24">
        <f t="shared" si="9"/>
        <v>0</v>
      </c>
      <c r="M146" s="1" t="str">
        <f>COUNTIFS(Bets[Date],L146,Bets[Result],"W")&amp;"-"&amp;COUNTIFS(Bets[Date],L146,Bets[Result],"L")&amp;IF(COUNTIFS(Bets[Date],L146,Bets[Result],"Push")&gt;0,"-"&amp;COUNTIFS(Bets[Date],L146,Bets[Result],"Push"),"")</f>
        <v>0-0</v>
      </c>
      <c r="N146" s="25" t="str">
        <f>IFERROR(COUNTIFS(Bets[Date],L146,Bets[Result],"W")/(COUNTIFS(Bets[Date],L146,Bets[Result],"W")+COUNTIFS(Bets[Date],L146,Bets[Result],"L")),"")</f>
        <v/>
      </c>
      <c r="O146" s="26">
        <f>SUMIF(Bets[Date],L146,Bets[Net])</f>
        <v>0</v>
      </c>
      <c r="P146" s="27" t="str">
        <f>IFERROR("("&amp;ROUND((SUMIF(Bets[Date],L146,Bets[Net])-SUMIF(Bets[Date],L146,Bets[Risk]))/SUMIF(Bets[Date],L146,Bets[Risk]),2)*100&amp;"%)","")</f>
        <v/>
      </c>
      <c r="Q146" s="72" t="str">
        <f t="shared" si="10"/>
        <v/>
      </c>
      <c r="R146" s="73" t="str">
        <f>IFERROR(SUMIF(Bets[Date],"&lt;="&amp;L146,Bets[Net])/SUMIF(Bets[Date],"&lt;="&amp;L146,Bets[Risk]),"")</f>
        <v/>
      </c>
    </row>
    <row r="147" spans="1:18" x14ac:dyDescent="0.25">
      <c r="A147" s="13">
        <f t="shared" si="8"/>
        <v>12</v>
      </c>
      <c r="B147" s="17">
        <v>43595</v>
      </c>
      <c r="C147" s="17" t="s">
        <v>802</v>
      </c>
      <c r="D147" s="18" t="s">
        <v>1228</v>
      </c>
      <c r="E147" s="11" t="s">
        <v>845</v>
      </c>
      <c r="F147" s="19">
        <f>10</f>
        <v>10</v>
      </c>
      <c r="G147" s="37">
        <v>-105</v>
      </c>
      <c r="H147" s="21" t="s">
        <v>263</v>
      </c>
      <c r="I147" s="45">
        <f>IF(Bets[[#This Row],[Result]]="L",0-Bets[[#This Row],[Risk]],IF(Bets[[#This Row],[Result]]="Push",0,IF(Bets[[#This Row],[Result]]="No Action",0,IF(Bets[[#This Row],[Result]]="W",IF(Bets[[#This Row],[Odds]]&gt;0,Bets[[#This Row],[Odds]]/100*Bets[[#This Row],[Risk]],(Bets[[#This Row],[Risk]]/Bets[[#This Row],[Odds]]*-100)),""))))</f>
        <v>-10</v>
      </c>
      <c r="J147" s="39" t="str">
        <f>IF(ISNUMBER(SEARCH(CHAR(10),Bets[[#This Row],[Bet]])),"P",IF(ISNUMBER(FIND("Under",Bets[[#This Row],[Bet]])),"U",IF(ISNUMBER(SEARCH("Over",Bets[[#This Row],[Bet]])),"O",IF(ISNUMBER(SEARCH("+",Bets[[#This Row],[Bet]])),"D",IF(ISNUMBER(SEARCH("-",Bets[[#This Row],[Bet]])),"F",IF(ISNUMBER(SEARCH("Moneyline",Bets[[#This Row],[Bet]])),IF(Bets[[#This Row],[Odds]]&lt;0,"MF","MD"),""))))))</f>
        <v>O</v>
      </c>
      <c r="K147"/>
      <c r="L147" s="24">
        <f t="shared" si="9"/>
        <v>0</v>
      </c>
      <c r="M147" s="1" t="str">
        <f>COUNTIFS(Bets[Date],L147,Bets[Result],"W")&amp;"-"&amp;COUNTIFS(Bets[Date],L147,Bets[Result],"L")&amp;IF(COUNTIFS(Bets[Date],L147,Bets[Result],"Push")&gt;0,"-"&amp;COUNTIFS(Bets[Date],L147,Bets[Result],"Push"),"")</f>
        <v>0-0</v>
      </c>
      <c r="N147" s="25" t="str">
        <f>IFERROR(COUNTIFS(Bets[Date],L147,Bets[Result],"W")/(COUNTIFS(Bets[Date],L147,Bets[Result],"W")+COUNTIFS(Bets[Date],L147,Bets[Result],"L")),"")</f>
        <v/>
      </c>
      <c r="O147" s="26">
        <f>SUMIF(Bets[Date],L147,Bets[Net])</f>
        <v>0</v>
      </c>
      <c r="P147" s="27" t="str">
        <f>IFERROR("("&amp;ROUND((SUMIF(Bets[Date],L147,Bets[Net])-SUMIF(Bets[Date],L147,Bets[Risk]))/SUMIF(Bets[Date],L147,Bets[Risk]),2)*100&amp;"%)","")</f>
        <v/>
      </c>
      <c r="Q147" s="72" t="str">
        <f t="shared" si="10"/>
        <v/>
      </c>
      <c r="R147" s="73" t="str">
        <f>IFERROR(SUMIF(Bets[Date],"&lt;="&amp;L147,Bets[Net])/SUMIF(Bets[Date],"&lt;="&amp;L147,Bets[Risk]),"")</f>
        <v/>
      </c>
    </row>
    <row r="148" spans="1:18" x14ac:dyDescent="0.25">
      <c r="A148" s="13">
        <f t="shared" si="8"/>
        <v>12</v>
      </c>
      <c r="B148" s="17">
        <v>43595</v>
      </c>
      <c r="C148" s="17" t="s">
        <v>802</v>
      </c>
      <c r="D148" s="18" t="s">
        <v>1229</v>
      </c>
      <c r="E148" s="11" t="s">
        <v>1209</v>
      </c>
      <c r="F148" s="19">
        <f>10</f>
        <v>10</v>
      </c>
      <c r="G148" s="37">
        <v>-115</v>
      </c>
      <c r="H148" s="21" t="s">
        <v>263</v>
      </c>
      <c r="I148" s="45">
        <f>IF(Bets[[#This Row],[Result]]="L",0-Bets[[#This Row],[Risk]],IF(Bets[[#This Row],[Result]]="Push",0,IF(Bets[[#This Row],[Result]]="No Action",0,IF(Bets[[#This Row],[Result]]="W",IF(Bets[[#This Row],[Odds]]&gt;0,Bets[[#This Row],[Odds]]/100*Bets[[#This Row],[Risk]],(Bets[[#This Row],[Risk]]/Bets[[#This Row],[Odds]]*-100)),""))))</f>
        <v>-10</v>
      </c>
      <c r="J148" s="39" t="str">
        <f>IF(ISNUMBER(SEARCH(CHAR(10),Bets[[#This Row],[Bet]])),"P",IF(ISNUMBER(FIND("Under",Bets[[#This Row],[Bet]])),"U",IF(ISNUMBER(SEARCH("Over",Bets[[#This Row],[Bet]])),"O",IF(ISNUMBER(SEARCH("+",Bets[[#This Row],[Bet]])),"D",IF(ISNUMBER(SEARCH("-",Bets[[#This Row],[Bet]])),"F",IF(ISNUMBER(SEARCH("Moneyline",Bets[[#This Row],[Bet]])),IF(Bets[[#This Row],[Odds]]&lt;0,"MF","MD"),""))))))</f>
        <v>U</v>
      </c>
      <c r="K148"/>
      <c r="L148" s="24">
        <f t="shared" si="9"/>
        <v>0</v>
      </c>
      <c r="M148" s="1" t="str">
        <f>COUNTIFS(Bets[Date],L148,Bets[Result],"W")&amp;"-"&amp;COUNTIFS(Bets[Date],L148,Bets[Result],"L")&amp;IF(COUNTIFS(Bets[Date],L148,Bets[Result],"Push")&gt;0,"-"&amp;COUNTIFS(Bets[Date],L148,Bets[Result],"Push"),"")</f>
        <v>0-0</v>
      </c>
      <c r="N148" s="25" t="str">
        <f>IFERROR(COUNTIFS(Bets[Date],L148,Bets[Result],"W")/(COUNTIFS(Bets[Date],L148,Bets[Result],"W")+COUNTIFS(Bets[Date],L148,Bets[Result],"L")),"")</f>
        <v/>
      </c>
      <c r="O148" s="26">
        <f>SUMIF(Bets[Date],L148,Bets[Net])</f>
        <v>0</v>
      </c>
      <c r="P148" s="27" t="str">
        <f>IFERROR("("&amp;ROUND((SUMIF(Bets[Date],L148,Bets[Net])-SUMIF(Bets[Date],L148,Bets[Risk]))/SUMIF(Bets[Date],L148,Bets[Risk]),2)*100&amp;"%)","")</f>
        <v/>
      </c>
      <c r="Q148" s="72" t="str">
        <f t="shared" si="10"/>
        <v/>
      </c>
      <c r="R148" s="73" t="str">
        <f>IFERROR(SUMIF(Bets[Date],"&lt;="&amp;L148,Bets[Net])/SUMIF(Bets[Date],"&lt;="&amp;L148,Bets[Risk]),"")</f>
        <v/>
      </c>
    </row>
    <row r="149" spans="1:18" x14ac:dyDescent="0.25">
      <c r="A149" s="13">
        <f t="shared" si="8"/>
        <v>12</v>
      </c>
      <c r="B149" s="17">
        <v>43595</v>
      </c>
      <c r="C149" s="17" t="s">
        <v>802</v>
      </c>
      <c r="D149" s="18" t="s">
        <v>1215</v>
      </c>
      <c r="E149" s="11" t="s">
        <v>845</v>
      </c>
      <c r="F149" s="19">
        <f>10</f>
        <v>10</v>
      </c>
      <c r="G149" s="37">
        <v>100</v>
      </c>
      <c r="H149" s="21" t="s">
        <v>263</v>
      </c>
      <c r="I149" s="45">
        <f>IF(Bets[[#This Row],[Result]]="L",0-Bets[[#This Row],[Risk]],IF(Bets[[#This Row],[Result]]="Push",0,IF(Bets[[#This Row],[Result]]="No Action",0,IF(Bets[[#This Row],[Result]]="W",IF(Bets[[#This Row],[Odds]]&gt;0,Bets[[#This Row],[Odds]]/100*Bets[[#This Row],[Risk]],(Bets[[#This Row],[Risk]]/Bets[[#This Row],[Odds]]*-100)),""))))</f>
        <v>-10</v>
      </c>
      <c r="J149" s="39" t="str">
        <f>IF(ISNUMBER(SEARCH(CHAR(10),Bets[[#This Row],[Bet]])),"P",IF(ISNUMBER(FIND("Under",Bets[[#This Row],[Bet]])),"U",IF(ISNUMBER(SEARCH("Over",Bets[[#This Row],[Bet]])),"O",IF(ISNUMBER(SEARCH("+",Bets[[#This Row],[Bet]])),"D",IF(ISNUMBER(SEARCH("-",Bets[[#This Row],[Bet]])),"F",IF(ISNUMBER(SEARCH("Moneyline",Bets[[#This Row],[Bet]])),IF(Bets[[#This Row],[Odds]]&lt;0,"MF","MD"),""))))))</f>
        <v>O</v>
      </c>
      <c r="K149"/>
      <c r="L149" s="24">
        <f t="shared" si="9"/>
        <v>0</v>
      </c>
      <c r="M149" s="1" t="str">
        <f>COUNTIFS(Bets[Date],L149,Bets[Result],"W")&amp;"-"&amp;COUNTIFS(Bets[Date],L149,Bets[Result],"L")&amp;IF(COUNTIFS(Bets[Date],L149,Bets[Result],"Push")&gt;0,"-"&amp;COUNTIFS(Bets[Date],L149,Bets[Result],"Push"),"")</f>
        <v>0-0</v>
      </c>
      <c r="N149" s="25" t="str">
        <f>IFERROR(COUNTIFS(Bets[Date],L149,Bets[Result],"W")/(COUNTIFS(Bets[Date],L149,Bets[Result],"W")+COUNTIFS(Bets[Date],L149,Bets[Result],"L")),"")</f>
        <v/>
      </c>
      <c r="O149" s="26">
        <f>SUMIF(Bets[Date],L149,Bets[Net])</f>
        <v>0</v>
      </c>
      <c r="P149" s="27" t="str">
        <f>IFERROR("("&amp;ROUND((SUMIF(Bets[Date],L149,Bets[Net])-SUMIF(Bets[Date],L149,Bets[Risk]))/SUMIF(Bets[Date],L149,Bets[Risk]),2)*100&amp;"%)","")</f>
        <v/>
      </c>
      <c r="Q149" s="72" t="str">
        <f t="shared" si="10"/>
        <v/>
      </c>
      <c r="R149" s="73" t="str">
        <f>IFERROR(SUMIF(Bets[Date],"&lt;="&amp;L149,Bets[Net])/SUMIF(Bets[Date],"&lt;="&amp;L149,Bets[Risk]),"")</f>
        <v/>
      </c>
    </row>
    <row r="150" spans="1:18" x14ac:dyDescent="0.25">
      <c r="A150" s="13">
        <f t="shared" si="8"/>
        <v>12</v>
      </c>
      <c r="B150" s="17">
        <v>43595</v>
      </c>
      <c r="C150" s="17" t="s">
        <v>802</v>
      </c>
      <c r="D150" s="18" t="s">
        <v>1217</v>
      </c>
      <c r="E150" s="11" t="s">
        <v>931</v>
      </c>
      <c r="F150" s="19">
        <f>10</f>
        <v>10</v>
      </c>
      <c r="G150" s="37">
        <v>-120</v>
      </c>
      <c r="H150" s="21" t="s">
        <v>263</v>
      </c>
      <c r="I150" s="45">
        <f>IF(Bets[[#This Row],[Result]]="L",0-Bets[[#This Row],[Risk]],IF(Bets[[#This Row],[Result]]="Push",0,IF(Bets[[#This Row],[Result]]="No Action",0,IF(Bets[[#This Row],[Result]]="W",IF(Bets[[#This Row],[Odds]]&gt;0,Bets[[#This Row],[Odds]]/100*Bets[[#This Row],[Risk]],(Bets[[#This Row],[Risk]]/Bets[[#This Row],[Odds]]*-100)),""))))</f>
        <v>-10</v>
      </c>
      <c r="J150" s="39" t="str">
        <f>IF(ISNUMBER(SEARCH(CHAR(10),Bets[[#This Row],[Bet]])),"P",IF(ISNUMBER(FIND("Under",Bets[[#This Row],[Bet]])),"U",IF(ISNUMBER(SEARCH("Over",Bets[[#This Row],[Bet]])),"O",IF(ISNUMBER(SEARCH("+",Bets[[#This Row],[Bet]])),"D",IF(ISNUMBER(SEARCH("-",Bets[[#This Row],[Bet]])),"F",IF(ISNUMBER(SEARCH("Moneyline",Bets[[#This Row],[Bet]])),IF(Bets[[#This Row],[Odds]]&lt;0,"MF","MD"),""))))))</f>
        <v>O</v>
      </c>
      <c r="K150"/>
      <c r="L150" s="24">
        <f t="shared" si="9"/>
        <v>0</v>
      </c>
      <c r="M150" s="1" t="str">
        <f>COUNTIFS(Bets[Date],L150,Bets[Result],"W")&amp;"-"&amp;COUNTIFS(Bets[Date],L150,Bets[Result],"L")&amp;IF(COUNTIFS(Bets[Date],L150,Bets[Result],"Push")&gt;0,"-"&amp;COUNTIFS(Bets[Date],L150,Bets[Result],"Push"),"")</f>
        <v>0-0</v>
      </c>
      <c r="N150" s="25" t="str">
        <f>IFERROR(COUNTIFS(Bets[Date],L150,Bets[Result],"W")/(COUNTIFS(Bets[Date],L150,Bets[Result],"W")+COUNTIFS(Bets[Date],L150,Bets[Result],"L")),"")</f>
        <v/>
      </c>
      <c r="O150" s="26">
        <f>SUMIF(Bets[Date],L150,Bets[Net])</f>
        <v>0</v>
      </c>
      <c r="P150" s="27" t="str">
        <f>IFERROR("("&amp;ROUND((SUMIF(Bets[Date],L150,Bets[Net])-SUMIF(Bets[Date],L150,Bets[Risk]))/SUMIF(Bets[Date],L150,Bets[Risk]),2)*100&amp;"%)","")</f>
        <v/>
      </c>
      <c r="Q150" s="72" t="str">
        <f t="shared" si="10"/>
        <v/>
      </c>
      <c r="R150" s="73" t="str">
        <f>IFERROR(SUMIF(Bets[Date],"&lt;="&amp;L150,Bets[Net])/SUMIF(Bets[Date],"&lt;="&amp;L150,Bets[Risk]),"")</f>
        <v/>
      </c>
    </row>
    <row r="151" spans="1:18" x14ac:dyDescent="0.25">
      <c r="A151" s="13">
        <f t="shared" si="8"/>
        <v>13</v>
      </c>
      <c r="B151" s="17">
        <v>43598</v>
      </c>
      <c r="C151" s="17" t="s">
        <v>802</v>
      </c>
      <c r="D151" s="18" t="s">
        <v>1239</v>
      </c>
      <c r="E151" s="11" t="s">
        <v>845</v>
      </c>
      <c r="F151" s="19">
        <f>10</f>
        <v>10</v>
      </c>
      <c r="G151" s="37">
        <v>100</v>
      </c>
      <c r="H151" s="21" t="s">
        <v>262</v>
      </c>
      <c r="I151" s="45">
        <f>IF(Bets[[#This Row],[Result]]="L",0-Bets[[#This Row],[Risk]],IF(Bets[[#This Row],[Result]]="Push",0,IF(Bets[[#This Row],[Result]]="No Action",0,IF(Bets[[#This Row],[Result]]="W",IF(Bets[[#This Row],[Odds]]&gt;0,Bets[[#This Row],[Odds]]/100*Bets[[#This Row],[Risk]],(Bets[[#This Row],[Risk]]/Bets[[#This Row],[Odds]]*-100)),""))))</f>
        <v>10</v>
      </c>
      <c r="J151" s="39" t="str">
        <f>IF(ISNUMBER(SEARCH(CHAR(10),Bets[[#This Row],[Bet]])),"P",IF(ISNUMBER(FIND("Under",Bets[[#This Row],[Bet]])),"U",IF(ISNUMBER(SEARCH("Over",Bets[[#This Row],[Bet]])),"O",IF(ISNUMBER(SEARCH("+",Bets[[#This Row],[Bet]])),"D",IF(ISNUMBER(SEARCH("-",Bets[[#This Row],[Bet]])),"F",IF(ISNUMBER(SEARCH("Moneyline",Bets[[#This Row],[Bet]])),IF(Bets[[#This Row],[Odds]]&lt;0,"MF","MD"),""))))))</f>
        <v>O</v>
      </c>
      <c r="K151"/>
      <c r="L151" s="24">
        <f t="shared" si="9"/>
        <v>0</v>
      </c>
      <c r="M151" s="1" t="str">
        <f>COUNTIFS(Bets[Date],L151,Bets[Result],"W")&amp;"-"&amp;COUNTIFS(Bets[Date],L151,Bets[Result],"L")&amp;IF(COUNTIFS(Bets[Date],L151,Bets[Result],"Push")&gt;0,"-"&amp;COUNTIFS(Bets[Date],L151,Bets[Result],"Push"),"")</f>
        <v>0-0</v>
      </c>
      <c r="N151" s="25" t="str">
        <f>IFERROR(COUNTIFS(Bets[Date],L151,Bets[Result],"W")/(COUNTIFS(Bets[Date],L151,Bets[Result],"W")+COUNTIFS(Bets[Date],L151,Bets[Result],"L")),"")</f>
        <v/>
      </c>
      <c r="O151" s="26">
        <f>SUMIF(Bets[Date],L151,Bets[Net])</f>
        <v>0</v>
      </c>
      <c r="P151" s="27" t="str">
        <f>IFERROR("("&amp;ROUND((SUMIF(Bets[Date],L151,Bets[Net])-SUMIF(Bets[Date],L151,Bets[Risk]))/SUMIF(Bets[Date],L151,Bets[Risk]),2)*100&amp;"%)","")</f>
        <v/>
      </c>
      <c r="Q151" s="72" t="str">
        <f t="shared" si="10"/>
        <v/>
      </c>
      <c r="R151" s="73" t="str">
        <f>IFERROR(SUMIF(Bets[Date],"&lt;="&amp;L151,Bets[Net])/SUMIF(Bets[Date],"&lt;="&amp;L151,Bets[Risk]),"")</f>
        <v/>
      </c>
    </row>
    <row r="152" spans="1:18" x14ac:dyDescent="0.25">
      <c r="A152" s="13">
        <f t="shared" si="8"/>
        <v>13</v>
      </c>
      <c r="B152" s="17">
        <v>43598</v>
      </c>
      <c r="C152" s="17" t="s">
        <v>802</v>
      </c>
      <c r="D152" s="18" t="s">
        <v>1240</v>
      </c>
      <c r="E152" s="11" t="s">
        <v>897</v>
      </c>
      <c r="F152" s="19">
        <f>10</f>
        <v>10</v>
      </c>
      <c r="G152" s="37">
        <v>-157</v>
      </c>
      <c r="H152" s="21" t="s">
        <v>262</v>
      </c>
      <c r="I152" s="45">
        <f>IF(Bets[[#This Row],[Result]]="L",0-Bets[[#This Row],[Risk]],IF(Bets[[#This Row],[Result]]="Push",0,IF(Bets[[#This Row],[Result]]="No Action",0,IF(Bets[[#This Row],[Result]]="W",IF(Bets[[#This Row],[Odds]]&gt;0,Bets[[#This Row],[Odds]]/100*Bets[[#This Row],[Risk]],(Bets[[#This Row],[Risk]]/Bets[[#This Row],[Odds]]*-100)),""))))</f>
        <v>6.369426751592357</v>
      </c>
      <c r="J152" s="39" t="str">
        <f>IF(ISNUMBER(SEARCH(CHAR(10),Bets[[#This Row],[Bet]])),"P",IF(ISNUMBER(FIND("Under",Bets[[#This Row],[Bet]])),"U",IF(ISNUMBER(SEARCH("Over",Bets[[#This Row],[Bet]])),"O",IF(ISNUMBER(SEARCH("+",Bets[[#This Row],[Bet]])),"D",IF(ISNUMBER(SEARCH("-",Bets[[#This Row],[Bet]])),"F",IF(ISNUMBER(SEARCH("Moneyline",Bets[[#This Row],[Bet]])),IF(Bets[[#This Row],[Odds]]&lt;0,"MF","MD"),""))))))</f>
        <v>MF</v>
      </c>
      <c r="K152"/>
      <c r="L152" s="24">
        <f t="shared" si="9"/>
        <v>0</v>
      </c>
      <c r="M152" s="1" t="str">
        <f>COUNTIFS(Bets[Date],L152,Bets[Result],"W")&amp;"-"&amp;COUNTIFS(Bets[Date],L152,Bets[Result],"L")&amp;IF(COUNTIFS(Bets[Date],L152,Bets[Result],"Push")&gt;0,"-"&amp;COUNTIFS(Bets[Date],L152,Bets[Result],"Push"),"")</f>
        <v>0-0</v>
      </c>
      <c r="N152" s="25" t="str">
        <f>IFERROR(COUNTIFS(Bets[Date],L152,Bets[Result],"W")/(COUNTIFS(Bets[Date],L152,Bets[Result],"W")+COUNTIFS(Bets[Date],L152,Bets[Result],"L")),"")</f>
        <v/>
      </c>
      <c r="O152" s="26">
        <f>SUMIF(Bets[Date],L152,Bets[Net])</f>
        <v>0</v>
      </c>
      <c r="P152" s="27" t="str">
        <f>IFERROR("("&amp;ROUND((SUMIF(Bets[Date],L152,Bets[Net])-SUMIF(Bets[Date],L152,Bets[Risk]))/SUMIF(Bets[Date],L152,Bets[Risk]),2)*100&amp;"%)","")</f>
        <v/>
      </c>
      <c r="Q152" s="72" t="str">
        <f t="shared" si="10"/>
        <v/>
      </c>
      <c r="R152" s="73" t="str">
        <f>IFERROR(SUMIF(Bets[Date],"&lt;="&amp;L152,Bets[Net])/SUMIF(Bets[Date],"&lt;="&amp;L152,Bets[Risk]),"")</f>
        <v/>
      </c>
    </row>
    <row r="153" spans="1:18" x14ac:dyDescent="0.25">
      <c r="A153" s="13">
        <f t="shared" si="8"/>
        <v>13</v>
      </c>
      <c r="B153" s="17">
        <v>43598</v>
      </c>
      <c r="C153" s="17" t="s">
        <v>802</v>
      </c>
      <c r="D153" s="18" t="s">
        <v>1240</v>
      </c>
      <c r="E153" s="11" t="s">
        <v>877</v>
      </c>
      <c r="F153" s="19">
        <f>10</f>
        <v>10</v>
      </c>
      <c r="G153" s="37">
        <v>-105</v>
      </c>
      <c r="H153" s="21" t="s">
        <v>263</v>
      </c>
      <c r="I153" s="45">
        <f>IF(Bets[[#This Row],[Result]]="L",0-Bets[[#This Row],[Risk]],IF(Bets[[#This Row],[Result]]="Push",0,IF(Bets[[#This Row],[Result]]="No Action",0,IF(Bets[[#This Row],[Result]]="W",IF(Bets[[#This Row],[Odds]]&gt;0,Bets[[#This Row],[Odds]]/100*Bets[[#This Row],[Risk]],(Bets[[#This Row],[Risk]]/Bets[[#This Row],[Odds]]*-100)),""))))</f>
        <v>-10</v>
      </c>
      <c r="J153" s="39" t="str">
        <f>IF(ISNUMBER(SEARCH(CHAR(10),Bets[[#This Row],[Bet]])),"P",IF(ISNUMBER(FIND("Under",Bets[[#This Row],[Bet]])),"U",IF(ISNUMBER(SEARCH("Over",Bets[[#This Row],[Bet]])),"O",IF(ISNUMBER(SEARCH("+",Bets[[#This Row],[Bet]])),"D",IF(ISNUMBER(SEARCH("-",Bets[[#This Row],[Bet]])),"F",IF(ISNUMBER(SEARCH("Moneyline",Bets[[#This Row],[Bet]])),IF(Bets[[#This Row],[Odds]]&lt;0,"MF","MD"),""))))))</f>
        <v>U</v>
      </c>
      <c r="K153"/>
      <c r="L153" s="24">
        <f t="shared" si="9"/>
        <v>0</v>
      </c>
      <c r="M153" s="1" t="str">
        <f>COUNTIFS(Bets[Date],L153,Bets[Result],"W")&amp;"-"&amp;COUNTIFS(Bets[Date],L153,Bets[Result],"L")&amp;IF(COUNTIFS(Bets[Date],L153,Bets[Result],"Push")&gt;0,"-"&amp;COUNTIFS(Bets[Date],L153,Bets[Result],"Push"),"")</f>
        <v>0-0</v>
      </c>
      <c r="N153" s="25" t="str">
        <f>IFERROR(COUNTIFS(Bets[Date],L153,Bets[Result],"W")/(COUNTIFS(Bets[Date],L153,Bets[Result],"W")+COUNTIFS(Bets[Date],L153,Bets[Result],"L")),"")</f>
        <v/>
      </c>
      <c r="O153" s="26">
        <f>SUMIF(Bets[Date],L153,Bets[Net])</f>
        <v>0</v>
      </c>
      <c r="P153" s="27" t="str">
        <f>IFERROR("("&amp;ROUND((SUMIF(Bets[Date],L153,Bets[Net])-SUMIF(Bets[Date],L153,Bets[Risk]))/SUMIF(Bets[Date],L153,Bets[Risk]),2)*100&amp;"%)","")</f>
        <v/>
      </c>
      <c r="Q153" s="72" t="str">
        <f t="shared" si="10"/>
        <v/>
      </c>
      <c r="R153" s="73" t="str">
        <f>IFERROR(SUMIF(Bets[Date],"&lt;="&amp;L153,Bets[Net])/SUMIF(Bets[Date],"&lt;="&amp;L153,Bets[Risk]),"")</f>
        <v/>
      </c>
    </row>
    <row r="154" spans="1:18" x14ac:dyDescent="0.25">
      <c r="A154" s="13">
        <f t="shared" si="8"/>
        <v>13</v>
      </c>
      <c r="B154" s="17">
        <v>43598</v>
      </c>
      <c r="C154" s="17" t="s">
        <v>802</v>
      </c>
      <c r="D154" s="18" t="s">
        <v>1241</v>
      </c>
      <c r="E154" s="11" t="s">
        <v>1178</v>
      </c>
      <c r="F154" s="19">
        <f>10</f>
        <v>10</v>
      </c>
      <c r="G154" s="37">
        <v>-139</v>
      </c>
      <c r="H154" s="21" t="s">
        <v>263</v>
      </c>
      <c r="I154" s="45">
        <f>IF(Bets[[#This Row],[Result]]="L",0-Bets[[#This Row],[Risk]],IF(Bets[[#This Row],[Result]]="Push",0,IF(Bets[[#This Row],[Result]]="No Action",0,IF(Bets[[#This Row],[Result]]="W",IF(Bets[[#This Row],[Odds]]&gt;0,Bets[[#This Row],[Odds]]/100*Bets[[#This Row],[Risk]],(Bets[[#This Row],[Risk]]/Bets[[#This Row],[Odds]]*-100)),""))))</f>
        <v>-10</v>
      </c>
      <c r="J154" s="39" t="str">
        <f>IF(ISNUMBER(SEARCH(CHAR(10),Bets[[#This Row],[Bet]])),"P",IF(ISNUMBER(FIND("Under",Bets[[#This Row],[Bet]])),"U",IF(ISNUMBER(SEARCH("Over",Bets[[#This Row],[Bet]])),"O",IF(ISNUMBER(SEARCH("+",Bets[[#This Row],[Bet]])),"D",IF(ISNUMBER(SEARCH("-",Bets[[#This Row],[Bet]])),"F",IF(ISNUMBER(SEARCH("Moneyline",Bets[[#This Row],[Bet]])),IF(Bets[[#This Row],[Odds]]&lt;0,"MF","MD"),""))))))</f>
        <v>MF</v>
      </c>
      <c r="K154"/>
      <c r="L154" s="24">
        <f t="shared" si="9"/>
        <v>0</v>
      </c>
      <c r="M154" s="1" t="str">
        <f>COUNTIFS(Bets[Date],L154,Bets[Result],"W")&amp;"-"&amp;COUNTIFS(Bets[Date],L154,Bets[Result],"L")&amp;IF(COUNTIFS(Bets[Date],L154,Bets[Result],"Push")&gt;0,"-"&amp;COUNTIFS(Bets[Date],L154,Bets[Result],"Push"),"")</f>
        <v>0-0</v>
      </c>
      <c r="N154" s="25" t="str">
        <f>IFERROR(COUNTIFS(Bets[Date],L154,Bets[Result],"W")/(COUNTIFS(Bets[Date],L154,Bets[Result],"W")+COUNTIFS(Bets[Date],L154,Bets[Result],"L")),"")</f>
        <v/>
      </c>
      <c r="O154" s="26">
        <f>SUMIF(Bets[Date],L154,Bets[Net])</f>
        <v>0</v>
      </c>
      <c r="P154" s="27" t="str">
        <f>IFERROR("("&amp;ROUND((SUMIF(Bets[Date],L154,Bets[Net])-SUMIF(Bets[Date],L154,Bets[Risk]))/SUMIF(Bets[Date],L154,Bets[Risk]),2)*100&amp;"%)","")</f>
        <v/>
      </c>
      <c r="Q154" s="72" t="str">
        <f t="shared" si="10"/>
        <v/>
      </c>
      <c r="R154" s="73" t="str">
        <f>IFERROR(SUMIF(Bets[Date],"&lt;="&amp;L154,Bets[Net])/SUMIF(Bets[Date],"&lt;="&amp;L154,Bets[Risk]),"")</f>
        <v/>
      </c>
    </row>
    <row r="155" spans="1:18" x14ac:dyDescent="0.25">
      <c r="A155" s="13">
        <f t="shared" si="8"/>
        <v>13</v>
      </c>
      <c r="B155" s="17">
        <v>43598</v>
      </c>
      <c r="C155" s="17" t="s">
        <v>802</v>
      </c>
      <c r="D155" s="18" t="s">
        <v>1242</v>
      </c>
      <c r="E155" s="11" t="s">
        <v>869</v>
      </c>
      <c r="F155" s="19">
        <f>10</f>
        <v>10</v>
      </c>
      <c r="G155" s="37">
        <v>-155</v>
      </c>
      <c r="H155" s="21" t="s">
        <v>263</v>
      </c>
      <c r="I155" s="45">
        <f>IF(Bets[[#This Row],[Result]]="L",0-Bets[[#This Row],[Risk]],IF(Bets[[#This Row],[Result]]="Push",0,IF(Bets[[#This Row],[Result]]="No Action",0,IF(Bets[[#This Row],[Result]]="W",IF(Bets[[#This Row],[Odds]]&gt;0,Bets[[#This Row],[Odds]]/100*Bets[[#This Row],[Risk]],(Bets[[#This Row],[Risk]]/Bets[[#This Row],[Odds]]*-100)),""))))</f>
        <v>-10</v>
      </c>
      <c r="J155" s="39" t="str">
        <f>IF(ISNUMBER(SEARCH(CHAR(10),Bets[[#This Row],[Bet]])),"P",IF(ISNUMBER(FIND("Under",Bets[[#This Row],[Bet]])),"U",IF(ISNUMBER(SEARCH("Over",Bets[[#This Row],[Bet]])),"O",IF(ISNUMBER(SEARCH("+",Bets[[#This Row],[Bet]])),"D",IF(ISNUMBER(SEARCH("-",Bets[[#This Row],[Bet]])),"F",IF(ISNUMBER(SEARCH("Moneyline",Bets[[#This Row],[Bet]])),IF(Bets[[#This Row],[Odds]]&lt;0,"MF","MD"),""))))))</f>
        <v>MF</v>
      </c>
      <c r="K155"/>
      <c r="L155" s="24">
        <f t="shared" si="9"/>
        <v>0</v>
      </c>
      <c r="M155" s="1" t="str">
        <f>COUNTIFS(Bets[Date],L155,Bets[Result],"W")&amp;"-"&amp;COUNTIFS(Bets[Date],L155,Bets[Result],"L")&amp;IF(COUNTIFS(Bets[Date],L155,Bets[Result],"Push")&gt;0,"-"&amp;COUNTIFS(Bets[Date],L155,Bets[Result],"Push"),"")</f>
        <v>0-0</v>
      </c>
      <c r="N155" s="25" t="str">
        <f>IFERROR(COUNTIFS(Bets[Date],L155,Bets[Result],"W")/(COUNTIFS(Bets[Date],L155,Bets[Result],"W")+COUNTIFS(Bets[Date],L155,Bets[Result],"L")),"")</f>
        <v/>
      </c>
      <c r="O155" s="26">
        <f>SUMIF(Bets[Date],L155,Bets[Net])</f>
        <v>0</v>
      </c>
      <c r="P155" s="27" t="str">
        <f>IFERROR("("&amp;ROUND((SUMIF(Bets[Date],L155,Bets[Net])-SUMIF(Bets[Date],L155,Bets[Risk]))/SUMIF(Bets[Date],L155,Bets[Risk]),2)*100&amp;"%)","")</f>
        <v/>
      </c>
      <c r="Q155" s="72" t="str">
        <f t="shared" si="10"/>
        <v/>
      </c>
      <c r="R155" s="73" t="str">
        <f>IFERROR(SUMIF(Bets[Date],"&lt;="&amp;L155,Bets[Net])/SUMIF(Bets[Date],"&lt;="&amp;L155,Bets[Risk]),"")</f>
        <v/>
      </c>
    </row>
    <row r="156" spans="1:18" x14ac:dyDescent="0.25">
      <c r="A156" s="13">
        <f t="shared" si="8"/>
        <v>13</v>
      </c>
      <c r="B156" s="17">
        <v>43598</v>
      </c>
      <c r="C156" s="17" t="s">
        <v>802</v>
      </c>
      <c r="D156" s="18" t="s">
        <v>1243</v>
      </c>
      <c r="E156" s="11" t="s">
        <v>905</v>
      </c>
      <c r="F156" s="19">
        <f>10</f>
        <v>10</v>
      </c>
      <c r="G156" s="37">
        <v>-105</v>
      </c>
      <c r="H156" s="21" t="s">
        <v>262</v>
      </c>
      <c r="I156" s="45">
        <f>IF(Bets[[#This Row],[Result]]="L",0-Bets[[#This Row],[Risk]],IF(Bets[[#This Row],[Result]]="Push",0,IF(Bets[[#This Row],[Result]]="No Action",0,IF(Bets[[#This Row],[Result]]="W",IF(Bets[[#This Row],[Odds]]&gt;0,Bets[[#This Row],[Odds]]/100*Bets[[#This Row],[Risk]],(Bets[[#This Row],[Risk]]/Bets[[#This Row],[Odds]]*-100)),""))))</f>
        <v>9.5238095238095237</v>
      </c>
      <c r="J156" s="39" t="str">
        <f>IF(ISNUMBER(SEARCH(CHAR(10),Bets[[#This Row],[Bet]])),"P",IF(ISNUMBER(FIND("Under",Bets[[#This Row],[Bet]])),"U",IF(ISNUMBER(SEARCH("Over",Bets[[#This Row],[Bet]])),"O",IF(ISNUMBER(SEARCH("+",Bets[[#This Row],[Bet]])),"D",IF(ISNUMBER(SEARCH("-",Bets[[#This Row],[Bet]])),"F",IF(ISNUMBER(SEARCH("Moneyline",Bets[[#This Row],[Bet]])),IF(Bets[[#This Row],[Odds]]&lt;0,"MF","MD"),""))))))</f>
        <v>O</v>
      </c>
      <c r="K156"/>
      <c r="L156" s="24">
        <f t="shared" si="9"/>
        <v>0</v>
      </c>
      <c r="M156" s="1" t="str">
        <f>COUNTIFS(Bets[Date],L156,Bets[Result],"W")&amp;"-"&amp;COUNTIFS(Bets[Date],L156,Bets[Result],"L")&amp;IF(COUNTIFS(Bets[Date],L156,Bets[Result],"Push")&gt;0,"-"&amp;COUNTIFS(Bets[Date],L156,Bets[Result],"Push"),"")</f>
        <v>0-0</v>
      </c>
      <c r="N156" s="25" t="str">
        <f>IFERROR(COUNTIFS(Bets[Date],L156,Bets[Result],"W")/(COUNTIFS(Bets[Date],L156,Bets[Result],"W")+COUNTIFS(Bets[Date],L156,Bets[Result],"L")),"")</f>
        <v/>
      </c>
      <c r="O156" s="26">
        <f>SUMIF(Bets[Date],L156,Bets[Net])</f>
        <v>0</v>
      </c>
      <c r="P156" s="27" t="str">
        <f>IFERROR("("&amp;ROUND((SUMIF(Bets[Date],L156,Bets[Net])-SUMIF(Bets[Date],L156,Bets[Risk]))/SUMIF(Bets[Date],L156,Bets[Risk]),2)*100&amp;"%)","")</f>
        <v/>
      </c>
      <c r="Q156" s="72" t="str">
        <f t="shared" si="10"/>
        <v/>
      </c>
      <c r="R156" s="73" t="str">
        <f>IFERROR(SUMIF(Bets[Date],"&lt;="&amp;L156,Bets[Net])/SUMIF(Bets[Date],"&lt;="&amp;L156,Bets[Risk]),"")</f>
        <v/>
      </c>
    </row>
    <row r="157" spans="1:18" x14ac:dyDescent="0.25">
      <c r="A157" s="13">
        <f t="shared" si="8"/>
        <v>13</v>
      </c>
      <c r="B157" s="17">
        <v>43598</v>
      </c>
      <c r="C157" s="17" t="s">
        <v>802</v>
      </c>
      <c r="D157" s="18" t="s">
        <v>1243</v>
      </c>
      <c r="E157" s="11" t="s">
        <v>1180</v>
      </c>
      <c r="F157" s="19">
        <f>10</f>
        <v>10</v>
      </c>
      <c r="G157" s="37">
        <v>-170</v>
      </c>
      <c r="H157" s="21" t="s">
        <v>262</v>
      </c>
      <c r="I157" s="45">
        <f>IF(Bets[[#This Row],[Result]]="L",0-Bets[[#This Row],[Risk]],IF(Bets[[#This Row],[Result]]="Push",0,IF(Bets[[#This Row],[Result]]="No Action",0,IF(Bets[[#This Row],[Result]]="W",IF(Bets[[#This Row],[Odds]]&gt;0,Bets[[#This Row],[Odds]]/100*Bets[[#This Row],[Risk]],(Bets[[#This Row],[Risk]]/Bets[[#This Row],[Odds]]*-100)),""))))</f>
        <v>5.8823529411764701</v>
      </c>
      <c r="J157" s="39" t="str">
        <f>IF(ISNUMBER(SEARCH(CHAR(10),Bets[[#This Row],[Bet]])),"P",IF(ISNUMBER(FIND("Under",Bets[[#This Row],[Bet]])),"U",IF(ISNUMBER(SEARCH("Over",Bets[[#This Row],[Bet]])),"O",IF(ISNUMBER(SEARCH("+",Bets[[#This Row],[Bet]])),"D",IF(ISNUMBER(SEARCH("-",Bets[[#This Row],[Bet]])),"F",IF(ISNUMBER(SEARCH("Moneyline",Bets[[#This Row],[Bet]])),IF(Bets[[#This Row],[Odds]]&lt;0,"MF","MD"),""))))))</f>
        <v>MF</v>
      </c>
      <c r="K157"/>
      <c r="L157" s="24">
        <f t="shared" si="9"/>
        <v>0</v>
      </c>
      <c r="M157" s="1" t="str">
        <f>COUNTIFS(Bets[Date],L157,Bets[Result],"W")&amp;"-"&amp;COUNTIFS(Bets[Date],L157,Bets[Result],"L")&amp;IF(COUNTIFS(Bets[Date],L157,Bets[Result],"Push")&gt;0,"-"&amp;COUNTIFS(Bets[Date],L157,Bets[Result],"Push"),"")</f>
        <v>0-0</v>
      </c>
      <c r="N157" s="25" t="str">
        <f>IFERROR(COUNTIFS(Bets[Date],L157,Bets[Result],"W")/(COUNTIFS(Bets[Date],L157,Bets[Result],"W")+COUNTIFS(Bets[Date],L157,Bets[Result],"L")),"")</f>
        <v/>
      </c>
      <c r="O157" s="26">
        <f>SUMIF(Bets[Date],L157,Bets[Net])</f>
        <v>0</v>
      </c>
      <c r="P157" s="27" t="str">
        <f>IFERROR("("&amp;ROUND((SUMIF(Bets[Date],L157,Bets[Net])-SUMIF(Bets[Date],L157,Bets[Risk]))/SUMIF(Bets[Date],L157,Bets[Risk]),2)*100&amp;"%)","")</f>
        <v/>
      </c>
      <c r="Q157" s="72" t="str">
        <f t="shared" si="10"/>
        <v/>
      </c>
      <c r="R157" s="73" t="str">
        <f>IFERROR(SUMIF(Bets[Date],"&lt;="&amp;L157,Bets[Net])/SUMIF(Bets[Date],"&lt;="&amp;L157,Bets[Risk]),"")</f>
        <v/>
      </c>
    </row>
    <row r="158" spans="1:18" x14ac:dyDescent="0.25">
      <c r="A158" s="13">
        <f t="shared" si="8"/>
        <v>13</v>
      </c>
      <c r="B158" s="17">
        <v>43598</v>
      </c>
      <c r="C158" s="17" t="s">
        <v>802</v>
      </c>
      <c r="D158" s="18" t="s">
        <v>1244</v>
      </c>
      <c r="E158" s="11" t="s">
        <v>836</v>
      </c>
      <c r="F158" s="19">
        <f>10</f>
        <v>10</v>
      </c>
      <c r="G158" s="37">
        <v>-122</v>
      </c>
      <c r="H158" s="21" t="s">
        <v>262</v>
      </c>
      <c r="I158" s="45">
        <f>IF(Bets[[#This Row],[Result]]="L",0-Bets[[#This Row],[Risk]],IF(Bets[[#This Row],[Result]]="Push",0,IF(Bets[[#This Row],[Result]]="No Action",0,IF(Bets[[#This Row],[Result]]="W",IF(Bets[[#This Row],[Odds]]&gt;0,Bets[[#This Row],[Odds]]/100*Bets[[#This Row],[Risk]],(Bets[[#This Row],[Risk]]/Bets[[#This Row],[Odds]]*-100)),""))))</f>
        <v>8.1967213114754092</v>
      </c>
      <c r="J158" s="39" t="str">
        <f>IF(ISNUMBER(SEARCH(CHAR(10),Bets[[#This Row],[Bet]])),"P",IF(ISNUMBER(FIND("Under",Bets[[#This Row],[Bet]])),"U",IF(ISNUMBER(SEARCH("Over",Bets[[#This Row],[Bet]])),"O",IF(ISNUMBER(SEARCH("+",Bets[[#This Row],[Bet]])),"D",IF(ISNUMBER(SEARCH("-",Bets[[#This Row],[Bet]])),"F",IF(ISNUMBER(SEARCH("Moneyline",Bets[[#This Row],[Bet]])),IF(Bets[[#This Row],[Odds]]&lt;0,"MF","MD"),""))))))</f>
        <v>MF</v>
      </c>
      <c r="K158"/>
      <c r="L158" s="24"/>
      <c r="N158" s="6"/>
      <c r="O158" s="38"/>
      <c r="P158" s="27"/>
    </row>
    <row r="159" spans="1:18" x14ac:dyDescent="0.25">
      <c r="A159" s="13">
        <f t="shared" si="8"/>
        <v>14</v>
      </c>
      <c r="B159" s="17">
        <v>43599</v>
      </c>
      <c r="C159" s="17" t="s">
        <v>802</v>
      </c>
      <c r="D159" s="18" t="s">
        <v>1242</v>
      </c>
      <c r="E159" s="11" t="s">
        <v>869</v>
      </c>
      <c r="F159" s="19">
        <f>10</f>
        <v>10</v>
      </c>
      <c r="G159" s="37">
        <v>-180</v>
      </c>
      <c r="H159" s="21" t="s">
        <v>262</v>
      </c>
      <c r="I159" s="45">
        <f>IF(Bets[[#This Row],[Result]]="L",0-Bets[[#This Row],[Risk]],IF(Bets[[#This Row],[Result]]="Push",0,IF(Bets[[#This Row],[Result]]="No Action",0,IF(Bets[[#This Row],[Result]]="W",IF(Bets[[#This Row],[Odds]]&gt;0,Bets[[#This Row],[Odds]]/100*Bets[[#This Row],[Risk]],(Bets[[#This Row],[Risk]]/Bets[[#This Row],[Odds]]*-100)),""))))</f>
        <v>5.5555555555555554</v>
      </c>
      <c r="J159" s="39" t="str">
        <f>IF(ISNUMBER(SEARCH(CHAR(10),Bets[[#This Row],[Bet]])),"P",IF(ISNUMBER(FIND("Under",Bets[[#This Row],[Bet]])),"U",IF(ISNUMBER(SEARCH("Over",Bets[[#This Row],[Bet]])),"O",IF(ISNUMBER(SEARCH("+",Bets[[#This Row],[Bet]])),"D",IF(ISNUMBER(SEARCH("-",Bets[[#This Row],[Bet]])),"F",IF(ISNUMBER(SEARCH("Moneyline",Bets[[#This Row],[Bet]])),IF(Bets[[#This Row],[Odds]]&lt;0,"MF","MD"),""))))))</f>
        <v>MF</v>
      </c>
      <c r="K159" s="24"/>
      <c r="N159" s="6"/>
      <c r="O159" s="27"/>
    </row>
    <row r="160" spans="1:18" x14ac:dyDescent="0.25">
      <c r="A160" s="13">
        <f t="shared" si="8"/>
        <v>14</v>
      </c>
      <c r="B160" s="17">
        <v>43599</v>
      </c>
      <c r="C160" s="17" t="s">
        <v>802</v>
      </c>
      <c r="D160" s="18" t="s">
        <v>1246</v>
      </c>
      <c r="E160" s="11" t="s">
        <v>867</v>
      </c>
      <c r="F160" s="19">
        <f>10</f>
        <v>10</v>
      </c>
      <c r="G160" s="37">
        <v>-130</v>
      </c>
      <c r="H160" s="21" t="s">
        <v>262</v>
      </c>
      <c r="I160" s="45">
        <f>IF(Bets[[#This Row],[Result]]="L",0-Bets[[#This Row],[Risk]],IF(Bets[[#This Row],[Result]]="Push",0,IF(Bets[[#This Row],[Result]]="No Action",0,IF(Bets[[#This Row],[Result]]="W",IF(Bets[[#This Row],[Odds]]&gt;0,Bets[[#This Row],[Odds]]/100*Bets[[#This Row],[Risk]],(Bets[[#This Row],[Risk]]/Bets[[#This Row],[Odds]]*-100)),""))))</f>
        <v>7.6923076923076925</v>
      </c>
      <c r="J160" s="39" t="str">
        <f>IF(ISNUMBER(SEARCH(CHAR(10),Bets[[#This Row],[Bet]])),"P",IF(ISNUMBER(FIND("Under",Bets[[#This Row],[Bet]])),"U",IF(ISNUMBER(SEARCH("Over",Bets[[#This Row],[Bet]])),"O",IF(ISNUMBER(SEARCH("+",Bets[[#This Row],[Bet]])),"D",IF(ISNUMBER(SEARCH("-",Bets[[#This Row],[Bet]])),"F",IF(ISNUMBER(SEARCH("Moneyline",Bets[[#This Row],[Bet]])),IF(Bets[[#This Row],[Odds]]&lt;0,"MF","MD"),""))))))</f>
        <v>MF</v>
      </c>
      <c r="K160" s="24"/>
      <c r="N160" s="6"/>
      <c r="O160" s="27"/>
    </row>
    <row r="161" spans="1:15" x14ac:dyDescent="0.25">
      <c r="A161" s="13">
        <f t="shared" si="8"/>
        <v>14</v>
      </c>
      <c r="B161" s="17">
        <v>43599</v>
      </c>
      <c r="C161" s="17" t="s">
        <v>802</v>
      </c>
      <c r="D161" s="18" t="s">
        <v>1239</v>
      </c>
      <c r="E161" s="11" t="s">
        <v>822</v>
      </c>
      <c r="F161" s="19">
        <f>10</f>
        <v>10</v>
      </c>
      <c r="G161" s="37" t="s">
        <v>886</v>
      </c>
      <c r="H161" s="21" t="s">
        <v>263</v>
      </c>
      <c r="I161" s="45">
        <f>IF(Bets[[#This Row],[Result]]="L",0-Bets[[#This Row],[Risk]],IF(Bets[[#This Row],[Result]]="Push",0,IF(Bets[[#This Row],[Result]]="No Action",0,IF(Bets[[#This Row],[Result]]="W",IF(Bets[[#This Row],[Odds]]&gt;0,Bets[[#This Row],[Odds]]/100*Bets[[#This Row],[Risk]],(Bets[[#This Row],[Risk]]/Bets[[#This Row],[Odds]]*-100)),""))))</f>
        <v>-10</v>
      </c>
      <c r="J161" s="39" t="str">
        <f>IF(ISNUMBER(SEARCH(CHAR(10),Bets[[#This Row],[Bet]])),"P",IF(ISNUMBER(FIND("Under",Bets[[#This Row],[Bet]])),"U",IF(ISNUMBER(SEARCH("Over",Bets[[#This Row],[Bet]])),"O",IF(ISNUMBER(SEARCH("+",Bets[[#This Row],[Bet]])),"D",IF(ISNUMBER(SEARCH("-",Bets[[#This Row],[Bet]])),"F",IF(ISNUMBER(SEARCH("Moneyline",Bets[[#This Row],[Bet]])),IF(Bets[[#This Row],[Odds]]&lt;0,"MF","MD"),""))))))</f>
        <v>MD</v>
      </c>
      <c r="K161" s="24"/>
      <c r="N161" s="6"/>
      <c r="O161" s="27"/>
    </row>
    <row r="162" spans="1:15" x14ac:dyDescent="0.25">
      <c r="A162" s="13">
        <f t="shared" si="8"/>
        <v>14</v>
      </c>
      <c r="B162" s="17">
        <v>43599</v>
      </c>
      <c r="C162" s="17" t="s">
        <v>802</v>
      </c>
      <c r="D162" s="18" t="s">
        <v>1247</v>
      </c>
      <c r="E162" s="11" t="s">
        <v>845</v>
      </c>
      <c r="F162" s="19">
        <f>10</f>
        <v>10</v>
      </c>
      <c r="G162" s="37">
        <v>-105</v>
      </c>
      <c r="H162" s="21" t="s">
        <v>263</v>
      </c>
      <c r="I162" s="45">
        <f>IF(Bets[[#This Row],[Result]]="L",0-Bets[[#This Row],[Risk]],IF(Bets[[#This Row],[Result]]="Push",0,IF(Bets[[#This Row],[Result]]="No Action",0,IF(Bets[[#This Row],[Result]]="W",IF(Bets[[#This Row],[Odds]]&gt;0,Bets[[#This Row],[Odds]]/100*Bets[[#This Row],[Risk]],(Bets[[#This Row],[Risk]]/Bets[[#This Row],[Odds]]*-100)),""))))</f>
        <v>-10</v>
      </c>
      <c r="J162" s="39" t="str">
        <f>IF(ISNUMBER(SEARCH(CHAR(10),Bets[[#This Row],[Bet]])),"P",IF(ISNUMBER(FIND("Under",Bets[[#This Row],[Bet]])),"U",IF(ISNUMBER(SEARCH("Over",Bets[[#This Row],[Bet]])),"O",IF(ISNUMBER(SEARCH("+",Bets[[#This Row],[Bet]])),"D",IF(ISNUMBER(SEARCH("-",Bets[[#This Row],[Bet]])),"F",IF(ISNUMBER(SEARCH("Moneyline",Bets[[#This Row],[Bet]])),IF(Bets[[#This Row],[Odds]]&lt;0,"MF","MD"),""))))))</f>
        <v>O</v>
      </c>
      <c r="K162" s="24"/>
      <c r="N162" s="6"/>
      <c r="O162" s="27"/>
    </row>
    <row r="163" spans="1:15" x14ac:dyDescent="0.25">
      <c r="A163" s="13">
        <f t="shared" si="8"/>
        <v>14</v>
      </c>
      <c r="B163" s="17">
        <v>43599</v>
      </c>
      <c r="C163" s="17" t="s">
        <v>802</v>
      </c>
      <c r="D163" s="18" t="s">
        <v>1248</v>
      </c>
      <c r="E163" s="11" t="s">
        <v>931</v>
      </c>
      <c r="F163" s="19">
        <f>10</f>
        <v>10</v>
      </c>
      <c r="G163" s="37">
        <v>-115</v>
      </c>
      <c r="H163" s="21" t="s">
        <v>262</v>
      </c>
      <c r="I163" s="45">
        <f>IF(Bets[[#This Row],[Result]]="L",0-Bets[[#This Row],[Risk]],IF(Bets[[#This Row],[Result]]="Push",0,IF(Bets[[#This Row],[Result]]="No Action",0,IF(Bets[[#This Row],[Result]]="W",IF(Bets[[#This Row],[Odds]]&gt;0,Bets[[#This Row],[Odds]]/100*Bets[[#This Row],[Risk]],(Bets[[#This Row],[Risk]]/Bets[[#This Row],[Odds]]*-100)),""))))</f>
        <v>8.695652173913043</v>
      </c>
      <c r="J163" s="39" t="str">
        <f>IF(ISNUMBER(SEARCH(CHAR(10),Bets[[#This Row],[Bet]])),"P",IF(ISNUMBER(FIND("Under",Bets[[#This Row],[Bet]])),"U",IF(ISNUMBER(SEARCH("Over",Bets[[#This Row],[Bet]])),"O",IF(ISNUMBER(SEARCH("+",Bets[[#This Row],[Bet]])),"D",IF(ISNUMBER(SEARCH("-",Bets[[#This Row],[Bet]])),"F",IF(ISNUMBER(SEARCH("Moneyline",Bets[[#This Row],[Bet]])),IF(Bets[[#This Row],[Odds]]&lt;0,"MF","MD"),""))))))</f>
        <v>O</v>
      </c>
      <c r="K163" s="24"/>
      <c r="N163" s="6"/>
      <c r="O163" s="27"/>
    </row>
    <row r="164" spans="1:15" x14ac:dyDescent="0.25">
      <c r="A164" s="13">
        <f t="shared" si="8"/>
        <v>14</v>
      </c>
      <c r="B164" s="17">
        <v>43599</v>
      </c>
      <c r="C164" s="17" t="s">
        <v>802</v>
      </c>
      <c r="D164" s="18" t="s">
        <v>1240</v>
      </c>
      <c r="E164" s="11" t="s">
        <v>897</v>
      </c>
      <c r="F164" s="19">
        <f>10</f>
        <v>10</v>
      </c>
      <c r="G164" s="37">
        <v>-196</v>
      </c>
      <c r="H164" s="21" t="s">
        <v>262</v>
      </c>
      <c r="I164" s="45">
        <f>IF(Bets[[#This Row],[Result]]="L",0-Bets[[#This Row],[Risk]],IF(Bets[[#This Row],[Result]]="Push",0,IF(Bets[[#This Row],[Result]]="No Action",0,IF(Bets[[#This Row],[Result]]="W",IF(Bets[[#This Row],[Odds]]&gt;0,Bets[[#This Row],[Odds]]/100*Bets[[#This Row],[Risk]],(Bets[[#This Row],[Risk]]/Bets[[#This Row],[Odds]]*-100)),""))))</f>
        <v>5.1020408163265305</v>
      </c>
      <c r="J164" s="39" t="str">
        <f>IF(ISNUMBER(SEARCH(CHAR(10),Bets[[#This Row],[Bet]])),"P",IF(ISNUMBER(FIND("Under",Bets[[#This Row],[Bet]])),"U",IF(ISNUMBER(SEARCH("Over",Bets[[#This Row],[Bet]])),"O",IF(ISNUMBER(SEARCH("+",Bets[[#This Row],[Bet]])),"D",IF(ISNUMBER(SEARCH("-",Bets[[#This Row],[Bet]])),"F",IF(ISNUMBER(SEARCH("Moneyline",Bets[[#This Row],[Bet]])),IF(Bets[[#This Row],[Odds]]&lt;0,"MF","MD"),""))))))</f>
        <v>MF</v>
      </c>
      <c r="K164" s="24"/>
      <c r="N164" s="6"/>
      <c r="O164" s="27"/>
    </row>
    <row r="165" spans="1:15" x14ac:dyDescent="0.25">
      <c r="A165" s="13">
        <f t="shared" si="8"/>
        <v>14</v>
      </c>
      <c r="B165" s="17">
        <v>43599</v>
      </c>
      <c r="C165" s="17" t="s">
        <v>802</v>
      </c>
      <c r="D165" s="18" t="s">
        <v>1249</v>
      </c>
      <c r="E165" s="11" t="s">
        <v>819</v>
      </c>
      <c r="F165" s="19">
        <f>10</f>
        <v>10</v>
      </c>
      <c r="G165" s="37">
        <v>-134</v>
      </c>
      <c r="H165" s="21" t="s">
        <v>262</v>
      </c>
      <c r="I165" s="45">
        <f>IF(Bets[[#This Row],[Result]]="L",0-Bets[[#This Row],[Risk]],IF(Bets[[#This Row],[Result]]="Push",0,IF(Bets[[#This Row],[Result]]="No Action",0,IF(Bets[[#This Row],[Result]]="W",IF(Bets[[#This Row],[Odds]]&gt;0,Bets[[#This Row],[Odds]]/100*Bets[[#This Row],[Risk]],(Bets[[#This Row],[Risk]]/Bets[[#This Row],[Odds]]*-100)),""))))</f>
        <v>7.4626865671641784</v>
      </c>
      <c r="J165" s="39" t="str">
        <f>IF(ISNUMBER(SEARCH(CHAR(10),Bets[[#This Row],[Bet]])),"P",IF(ISNUMBER(FIND("Under",Bets[[#This Row],[Bet]])),"U",IF(ISNUMBER(SEARCH("Over",Bets[[#This Row],[Bet]])),"O",IF(ISNUMBER(SEARCH("+",Bets[[#This Row],[Bet]])),"D",IF(ISNUMBER(SEARCH("-",Bets[[#This Row],[Bet]])),"F",IF(ISNUMBER(SEARCH("Moneyline",Bets[[#This Row],[Bet]])),IF(Bets[[#This Row],[Odds]]&lt;0,"MF","MD"),""))))))</f>
        <v>MF</v>
      </c>
      <c r="K165" s="24"/>
      <c r="N165" s="6"/>
      <c r="O165" s="27"/>
    </row>
    <row r="166" spans="1:15" x14ac:dyDescent="0.25">
      <c r="A166" s="13">
        <f t="shared" si="8"/>
        <v>14</v>
      </c>
      <c r="B166" s="17">
        <v>43599</v>
      </c>
      <c r="C166" s="17" t="s">
        <v>802</v>
      </c>
      <c r="D166" s="18" t="s">
        <v>1250</v>
      </c>
      <c r="E166" s="11" t="s">
        <v>845</v>
      </c>
      <c r="F166" s="19">
        <f>10</f>
        <v>10</v>
      </c>
      <c r="G166" s="37">
        <v>-115</v>
      </c>
      <c r="H166" s="21" t="s">
        <v>262</v>
      </c>
      <c r="I166" s="45">
        <f>IF(Bets[[#This Row],[Result]]="L",0-Bets[[#This Row],[Risk]],IF(Bets[[#This Row],[Result]]="Push",0,IF(Bets[[#This Row],[Result]]="No Action",0,IF(Bets[[#This Row],[Result]]="W",IF(Bets[[#This Row],[Odds]]&gt;0,Bets[[#This Row],[Odds]]/100*Bets[[#This Row],[Risk]],(Bets[[#This Row],[Risk]]/Bets[[#This Row],[Odds]]*-100)),""))))</f>
        <v>8.695652173913043</v>
      </c>
      <c r="J166" s="39" t="str">
        <f>IF(ISNUMBER(SEARCH(CHAR(10),Bets[[#This Row],[Bet]])),"P",IF(ISNUMBER(FIND("Under",Bets[[#This Row],[Bet]])),"U",IF(ISNUMBER(SEARCH("Over",Bets[[#This Row],[Bet]])),"O",IF(ISNUMBER(SEARCH("+",Bets[[#This Row],[Bet]])),"D",IF(ISNUMBER(SEARCH("-",Bets[[#This Row],[Bet]])),"F",IF(ISNUMBER(SEARCH("Moneyline",Bets[[#This Row],[Bet]])),IF(Bets[[#This Row],[Odds]]&lt;0,"MF","MD"),""))))))</f>
        <v>O</v>
      </c>
      <c r="K166" s="24"/>
      <c r="N166" s="6"/>
      <c r="O166" s="27"/>
    </row>
    <row r="167" spans="1:15" x14ac:dyDescent="0.25">
      <c r="A167" s="13">
        <f t="shared" si="8"/>
        <v>14</v>
      </c>
      <c r="B167" s="17">
        <v>43599</v>
      </c>
      <c r="C167" s="17" t="s">
        <v>802</v>
      </c>
      <c r="D167" s="18" t="s">
        <v>1243</v>
      </c>
      <c r="E167" s="11" t="s">
        <v>1180</v>
      </c>
      <c r="F167" s="19">
        <f>10</f>
        <v>10</v>
      </c>
      <c r="G167" s="37">
        <v>-140</v>
      </c>
      <c r="H167" s="21" t="s">
        <v>263</v>
      </c>
      <c r="I167" s="45">
        <f>IF(Bets[[#This Row],[Result]]="L",0-Bets[[#This Row],[Risk]],IF(Bets[[#This Row],[Result]]="Push",0,IF(Bets[[#This Row],[Result]]="No Action",0,IF(Bets[[#This Row],[Result]]="W",IF(Bets[[#This Row],[Odds]]&gt;0,Bets[[#This Row],[Odds]]/100*Bets[[#This Row],[Risk]],(Bets[[#This Row],[Risk]]/Bets[[#This Row],[Odds]]*-100)),""))))</f>
        <v>-10</v>
      </c>
      <c r="J167" s="39" t="str">
        <f>IF(ISNUMBER(SEARCH(CHAR(10),Bets[[#This Row],[Bet]])),"P",IF(ISNUMBER(FIND("Under",Bets[[#This Row],[Bet]])),"U",IF(ISNUMBER(SEARCH("Over",Bets[[#This Row],[Bet]])),"O",IF(ISNUMBER(SEARCH("+",Bets[[#This Row],[Bet]])),"D",IF(ISNUMBER(SEARCH("-",Bets[[#This Row],[Bet]])),"F",IF(ISNUMBER(SEARCH("Moneyline",Bets[[#This Row],[Bet]])),IF(Bets[[#This Row],[Odds]]&lt;0,"MF","MD"),""))))))</f>
        <v>MF</v>
      </c>
      <c r="K167" s="24"/>
      <c r="N167" s="6"/>
      <c r="O167" s="27"/>
    </row>
    <row r="168" spans="1:15" x14ac:dyDescent="0.25">
      <c r="A168" s="13">
        <f t="shared" si="8"/>
        <v>15</v>
      </c>
      <c r="B168" s="17">
        <v>43600</v>
      </c>
      <c r="C168" s="17" t="s">
        <v>802</v>
      </c>
      <c r="D168" s="18" t="s">
        <v>1241</v>
      </c>
      <c r="E168" s="11" t="s">
        <v>1178</v>
      </c>
      <c r="F168" s="19">
        <f>10</f>
        <v>10</v>
      </c>
      <c r="G168" s="37">
        <v>-140</v>
      </c>
      <c r="H168" s="21" t="s">
        <v>262</v>
      </c>
      <c r="I168" s="45">
        <f>IF(Bets[[#This Row],[Result]]="L",0-Bets[[#This Row],[Risk]],IF(Bets[[#This Row],[Result]]="Push",0,IF(Bets[[#This Row],[Result]]="No Action",0,IF(Bets[[#This Row],[Result]]="W",IF(Bets[[#This Row],[Odds]]&gt;0,Bets[[#This Row],[Odds]]/100*Bets[[#This Row],[Risk]],(Bets[[#This Row],[Risk]]/Bets[[#This Row],[Odds]]*-100)),""))))</f>
        <v>7.1428571428571423</v>
      </c>
      <c r="J168" s="39" t="str">
        <f>IF(ISNUMBER(SEARCH(CHAR(10),Bets[[#This Row],[Bet]])),"P",IF(ISNUMBER(FIND("Under",Bets[[#This Row],[Bet]])),"U",IF(ISNUMBER(SEARCH("Over",Bets[[#This Row],[Bet]])),"O",IF(ISNUMBER(SEARCH("+",Bets[[#This Row],[Bet]])),"D",IF(ISNUMBER(SEARCH("-",Bets[[#This Row],[Bet]])),"F",IF(ISNUMBER(SEARCH("Moneyline",Bets[[#This Row],[Bet]])),IF(Bets[[#This Row],[Odds]]&lt;0,"MF","MD"),""))))))</f>
        <v>MF</v>
      </c>
      <c r="K168" s="24"/>
      <c r="N168" s="6"/>
      <c r="O168" s="27"/>
    </row>
    <row r="169" spans="1:15" x14ac:dyDescent="0.25">
      <c r="A169" s="13">
        <f t="shared" si="8"/>
        <v>15</v>
      </c>
      <c r="B169" s="17">
        <v>43600</v>
      </c>
      <c r="C169" s="17" t="s">
        <v>802</v>
      </c>
      <c r="D169" s="18" t="s">
        <v>1239</v>
      </c>
      <c r="E169" s="11" t="s">
        <v>809</v>
      </c>
      <c r="F169" s="19">
        <f>10</f>
        <v>10</v>
      </c>
      <c r="G169" s="37">
        <v>-105</v>
      </c>
      <c r="H169" s="21" t="s">
        <v>262</v>
      </c>
      <c r="I169" s="45">
        <f>IF(Bets[[#This Row],[Result]]="L",0-Bets[[#This Row],[Risk]],IF(Bets[[#This Row],[Result]]="Push",0,IF(Bets[[#This Row],[Result]]="No Action",0,IF(Bets[[#This Row],[Result]]="W",IF(Bets[[#This Row],[Odds]]&gt;0,Bets[[#This Row],[Odds]]/100*Bets[[#This Row],[Risk]],(Bets[[#This Row],[Risk]]/Bets[[#This Row],[Odds]]*-100)),""))))</f>
        <v>9.5238095238095237</v>
      </c>
      <c r="J169" s="39" t="str">
        <f>IF(ISNUMBER(SEARCH(CHAR(10),Bets[[#This Row],[Bet]])),"P",IF(ISNUMBER(FIND("Under",Bets[[#This Row],[Bet]])),"U",IF(ISNUMBER(SEARCH("Over",Bets[[#This Row],[Bet]])),"O",IF(ISNUMBER(SEARCH("+",Bets[[#This Row],[Bet]])),"D",IF(ISNUMBER(SEARCH("-",Bets[[#This Row],[Bet]])),"F",IF(ISNUMBER(SEARCH("Moneyline",Bets[[#This Row],[Bet]])),IF(Bets[[#This Row],[Odds]]&lt;0,"MF","MD"),""))))))</f>
        <v>MF</v>
      </c>
      <c r="K169" s="24"/>
      <c r="N169" s="6"/>
      <c r="O169" s="27"/>
    </row>
    <row r="170" spans="1:15" x14ac:dyDescent="0.25">
      <c r="A170" s="13">
        <f t="shared" si="8"/>
        <v>15</v>
      </c>
      <c r="B170" s="17">
        <v>43600</v>
      </c>
      <c r="C170" s="17" t="s">
        <v>802</v>
      </c>
      <c r="D170" s="18" t="s">
        <v>1248</v>
      </c>
      <c r="E170" s="11" t="s">
        <v>1153</v>
      </c>
      <c r="F170" s="19">
        <f>10</f>
        <v>10</v>
      </c>
      <c r="G170" s="37" t="s">
        <v>1252</v>
      </c>
      <c r="H170" s="21" t="s">
        <v>263</v>
      </c>
      <c r="I170" s="45">
        <f>IF(Bets[[#This Row],[Result]]="L",0-Bets[[#This Row],[Risk]],IF(Bets[[#This Row],[Result]]="Push",0,IF(Bets[[#This Row],[Result]]="No Action",0,IF(Bets[[#This Row],[Result]]="W",IF(Bets[[#This Row],[Odds]]&gt;0,Bets[[#This Row],[Odds]]/100*Bets[[#This Row],[Risk]],(Bets[[#This Row],[Risk]]/Bets[[#This Row],[Odds]]*-100)),""))))</f>
        <v>-10</v>
      </c>
      <c r="J170" s="39" t="str">
        <f>IF(ISNUMBER(SEARCH(CHAR(10),Bets[[#This Row],[Bet]])),"P",IF(ISNUMBER(FIND("Under",Bets[[#This Row],[Bet]])),"U",IF(ISNUMBER(SEARCH("Over",Bets[[#This Row],[Bet]])),"O",IF(ISNUMBER(SEARCH("+",Bets[[#This Row],[Bet]])),"D",IF(ISNUMBER(SEARCH("-",Bets[[#This Row],[Bet]])),"F",IF(ISNUMBER(SEARCH("Moneyline",Bets[[#This Row],[Bet]])),IF(Bets[[#This Row],[Odds]]&lt;0,"MF","MD"),""))))))</f>
        <v>MD</v>
      </c>
      <c r="K170" s="24"/>
      <c r="N170" s="6"/>
      <c r="O170" s="27"/>
    </row>
    <row r="171" spans="1:15" x14ac:dyDescent="0.25">
      <c r="A171" s="13">
        <f t="shared" si="8"/>
        <v>15</v>
      </c>
      <c r="B171" s="17">
        <v>43600</v>
      </c>
      <c r="C171" s="17" t="s">
        <v>802</v>
      </c>
      <c r="D171" s="18" t="s">
        <v>1250</v>
      </c>
      <c r="E171" s="11" t="s">
        <v>815</v>
      </c>
      <c r="F171" s="19">
        <f>10</f>
        <v>10</v>
      </c>
      <c r="G171" s="37">
        <v>-140</v>
      </c>
      <c r="H171" s="21" t="s">
        <v>262</v>
      </c>
      <c r="I171" s="45">
        <f>IF(Bets[[#This Row],[Result]]="L",0-Bets[[#This Row],[Risk]],IF(Bets[[#This Row],[Result]]="Push",0,IF(Bets[[#This Row],[Result]]="No Action",0,IF(Bets[[#This Row],[Result]]="W",IF(Bets[[#This Row],[Odds]]&gt;0,Bets[[#This Row],[Odds]]/100*Bets[[#This Row],[Risk]],(Bets[[#This Row],[Risk]]/Bets[[#This Row],[Odds]]*-100)),""))))</f>
        <v>7.1428571428571423</v>
      </c>
      <c r="J171" s="39" t="str">
        <f>IF(ISNUMBER(SEARCH(CHAR(10),Bets[[#This Row],[Bet]])),"P",IF(ISNUMBER(FIND("Under",Bets[[#This Row],[Bet]])),"U",IF(ISNUMBER(SEARCH("Over",Bets[[#This Row],[Bet]])),"O",IF(ISNUMBER(SEARCH("+",Bets[[#This Row],[Bet]])),"D",IF(ISNUMBER(SEARCH("-",Bets[[#This Row],[Bet]])),"F",IF(ISNUMBER(SEARCH("Moneyline",Bets[[#This Row],[Bet]])),IF(Bets[[#This Row],[Odds]]&lt;0,"MF","MD"),""))))))</f>
        <v>MF</v>
      </c>
      <c r="K171" s="24"/>
      <c r="N171" s="6"/>
      <c r="O171" s="27"/>
    </row>
    <row r="172" spans="1:15" x14ac:dyDescent="0.25">
      <c r="A172" s="13">
        <f t="shared" si="8"/>
        <v>15</v>
      </c>
      <c r="B172" s="17">
        <v>43600</v>
      </c>
      <c r="C172" s="17" t="s">
        <v>802</v>
      </c>
      <c r="D172" s="18" t="s">
        <v>1253</v>
      </c>
      <c r="E172" s="11" t="s">
        <v>870</v>
      </c>
      <c r="F172" s="19">
        <f>10</f>
        <v>10</v>
      </c>
      <c r="G172" s="37">
        <v>-130</v>
      </c>
      <c r="H172" s="21" t="s">
        <v>262</v>
      </c>
      <c r="I172" s="45">
        <f>IF(Bets[[#This Row],[Result]]="L",0-Bets[[#This Row],[Risk]],IF(Bets[[#This Row],[Result]]="Push",0,IF(Bets[[#This Row],[Result]]="No Action",0,IF(Bets[[#This Row],[Result]]="W",IF(Bets[[#This Row],[Odds]]&gt;0,Bets[[#This Row],[Odds]]/100*Bets[[#This Row],[Risk]],(Bets[[#This Row],[Risk]]/Bets[[#This Row],[Odds]]*-100)),""))))</f>
        <v>7.6923076923076925</v>
      </c>
      <c r="J172" s="39" t="str">
        <f>IF(ISNUMBER(SEARCH(CHAR(10),Bets[[#This Row],[Bet]])),"P",IF(ISNUMBER(FIND("Under",Bets[[#This Row],[Bet]])),"U",IF(ISNUMBER(SEARCH("Over",Bets[[#This Row],[Bet]])),"O",IF(ISNUMBER(SEARCH("+",Bets[[#This Row],[Bet]])),"D",IF(ISNUMBER(SEARCH("-",Bets[[#This Row],[Bet]])),"F",IF(ISNUMBER(SEARCH("Moneyline",Bets[[#This Row],[Bet]])),IF(Bets[[#This Row],[Odds]]&lt;0,"MF","MD"),""))))))</f>
        <v>MF</v>
      </c>
      <c r="K172" s="24"/>
      <c r="N172" s="6"/>
      <c r="O172" s="27"/>
    </row>
    <row r="173" spans="1:15" x14ac:dyDescent="0.25">
      <c r="A173" s="13">
        <f t="shared" si="8"/>
        <v>15</v>
      </c>
      <c r="B173" s="17">
        <v>43600</v>
      </c>
      <c r="C173" s="17" t="s">
        <v>802</v>
      </c>
      <c r="D173" s="18" t="s">
        <v>1240</v>
      </c>
      <c r="E173" s="11" t="s">
        <v>897</v>
      </c>
      <c r="F173" s="19">
        <f>10</f>
        <v>10</v>
      </c>
      <c r="G173" s="37">
        <v>-360</v>
      </c>
      <c r="H173" s="21" t="s">
        <v>262</v>
      </c>
      <c r="I173" s="45">
        <f>IF(Bets[[#This Row],[Result]]="L",0-Bets[[#This Row],[Risk]],IF(Bets[[#This Row],[Result]]="Push",0,IF(Bets[[#This Row],[Result]]="No Action",0,IF(Bets[[#This Row],[Result]]="W",IF(Bets[[#This Row],[Odds]]&gt;0,Bets[[#This Row],[Odds]]/100*Bets[[#This Row],[Risk]],(Bets[[#This Row],[Risk]]/Bets[[#This Row],[Odds]]*-100)),""))))</f>
        <v>2.7777777777777777</v>
      </c>
      <c r="J173" s="39" t="str">
        <f>IF(ISNUMBER(SEARCH(CHAR(10),Bets[[#This Row],[Bet]])),"P",IF(ISNUMBER(FIND("Under",Bets[[#This Row],[Bet]])),"U",IF(ISNUMBER(SEARCH("Over",Bets[[#This Row],[Bet]])),"O",IF(ISNUMBER(SEARCH("+",Bets[[#This Row],[Bet]])),"D",IF(ISNUMBER(SEARCH("-",Bets[[#This Row],[Bet]])),"F",IF(ISNUMBER(SEARCH("Moneyline",Bets[[#This Row],[Bet]])),IF(Bets[[#This Row],[Odds]]&lt;0,"MF","MD"),""))))))</f>
        <v>MF</v>
      </c>
      <c r="K173" s="24"/>
      <c r="N173" s="6"/>
      <c r="O173" s="27"/>
    </row>
    <row r="174" spans="1:15" x14ac:dyDescent="0.25">
      <c r="A174" s="13">
        <f t="shared" si="8"/>
        <v>15</v>
      </c>
      <c r="B174" s="17">
        <v>43600</v>
      </c>
      <c r="C174" s="17" t="s">
        <v>802</v>
      </c>
      <c r="D174" s="18" t="s">
        <v>1249</v>
      </c>
      <c r="E174" s="11" t="s">
        <v>819</v>
      </c>
      <c r="F174" s="19">
        <f>10</f>
        <v>10</v>
      </c>
      <c r="G174" s="37">
        <v>-185</v>
      </c>
      <c r="H174" s="21" t="s">
        <v>262</v>
      </c>
      <c r="I174" s="45">
        <f>IF(Bets[[#This Row],[Result]]="L",0-Bets[[#This Row],[Risk]],IF(Bets[[#This Row],[Result]]="Push",0,IF(Bets[[#This Row],[Result]]="No Action",0,IF(Bets[[#This Row],[Result]]="W",IF(Bets[[#This Row],[Odds]]&gt;0,Bets[[#This Row],[Odds]]/100*Bets[[#This Row],[Risk]],(Bets[[#This Row],[Risk]]/Bets[[#This Row],[Odds]]*-100)),""))))</f>
        <v>5.4054054054054053</v>
      </c>
      <c r="J174" s="39" t="str">
        <f>IF(ISNUMBER(SEARCH(CHAR(10),Bets[[#This Row],[Bet]])),"P",IF(ISNUMBER(FIND("Under",Bets[[#This Row],[Bet]])),"U",IF(ISNUMBER(SEARCH("Over",Bets[[#This Row],[Bet]])),"O",IF(ISNUMBER(SEARCH("+",Bets[[#This Row],[Bet]])),"D",IF(ISNUMBER(SEARCH("-",Bets[[#This Row],[Bet]])),"F",IF(ISNUMBER(SEARCH("Moneyline",Bets[[#This Row],[Bet]])),IF(Bets[[#This Row],[Odds]]&lt;0,"MF","MD"),""))))))</f>
        <v>MF</v>
      </c>
      <c r="K174" s="24"/>
      <c r="N174" s="6"/>
      <c r="O174" s="27"/>
    </row>
    <row r="175" spans="1:15" x14ac:dyDescent="0.25">
      <c r="A175" s="13">
        <f t="shared" si="8"/>
        <v>16</v>
      </c>
      <c r="B175" s="17">
        <v>43601</v>
      </c>
      <c r="C175" s="17" t="s">
        <v>802</v>
      </c>
      <c r="D175" s="18" t="s">
        <v>1239</v>
      </c>
      <c r="E175" s="11" t="s">
        <v>933</v>
      </c>
      <c r="F175" s="19">
        <f>10</f>
        <v>10</v>
      </c>
      <c r="G175" s="37">
        <v>-105</v>
      </c>
      <c r="H175" s="21" t="s">
        <v>263</v>
      </c>
      <c r="I175" s="45">
        <f>IF(Bets[[#This Row],[Result]]="L",0-Bets[[#This Row],[Risk]],IF(Bets[[#This Row],[Result]]="Push",0,IF(Bets[[#This Row],[Result]]="No Action",0,IF(Bets[[#This Row],[Result]]="W",IF(Bets[[#This Row],[Odds]]&gt;0,Bets[[#This Row],[Odds]]/100*Bets[[#This Row],[Risk]],(Bets[[#This Row],[Risk]]/Bets[[#This Row],[Odds]]*-100)),""))))</f>
        <v>-10</v>
      </c>
      <c r="J175" s="23" t="str">
        <f>IF(ISNUMBER(SEARCH(CHAR(10),Bets[[#This Row],[Bet]])),"P",IF(ISNUMBER(FIND("Under",Bets[[#This Row],[Bet]])),"U",IF(ISNUMBER(SEARCH("Over",Bets[[#This Row],[Bet]])),"O",IF(ISNUMBER(SEARCH("+",Bets[[#This Row],[Bet]])),"D",IF(ISNUMBER(SEARCH("-",Bets[[#This Row],[Bet]])),"F",IF(ISNUMBER(SEARCH("Moneyline",Bets[[#This Row],[Bet]])),IF(Bets[[#This Row],[Odds]]&lt;0,"MF","MD"),""))))))</f>
        <v>U</v>
      </c>
      <c r="K175" s="24"/>
      <c r="N175" s="6"/>
      <c r="O175" s="27"/>
    </row>
    <row r="176" spans="1:15" x14ac:dyDescent="0.25">
      <c r="A176" s="13">
        <f t="shared" si="8"/>
        <v>16</v>
      </c>
      <c r="B176" s="17">
        <v>43601</v>
      </c>
      <c r="C176" s="17" t="s">
        <v>802</v>
      </c>
      <c r="D176" s="18" t="s">
        <v>1255</v>
      </c>
      <c r="E176" s="11" t="s">
        <v>877</v>
      </c>
      <c r="F176" s="19">
        <f>10</f>
        <v>10</v>
      </c>
      <c r="G176" s="37">
        <v>-105</v>
      </c>
      <c r="H176" s="21" t="s">
        <v>263</v>
      </c>
      <c r="I176" s="45">
        <f>IF(Bets[[#This Row],[Result]]="L",0-Bets[[#This Row],[Risk]],IF(Bets[[#This Row],[Result]]="Push",0,IF(Bets[[#This Row],[Result]]="No Action",0,IF(Bets[[#This Row],[Result]]="W",IF(Bets[[#This Row],[Odds]]&gt;0,Bets[[#This Row],[Odds]]/100*Bets[[#This Row],[Risk]],(Bets[[#This Row],[Risk]]/Bets[[#This Row],[Odds]]*-100)),""))))</f>
        <v>-10</v>
      </c>
      <c r="J176" s="23" t="str">
        <f>IF(ISNUMBER(SEARCH(CHAR(10),Bets[[#This Row],[Bet]])),"P",IF(ISNUMBER(FIND("Under",Bets[[#This Row],[Bet]])),"U",IF(ISNUMBER(SEARCH("Over",Bets[[#This Row],[Bet]])),"O",IF(ISNUMBER(SEARCH("+",Bets[[#This Row],[Bet]])),"D",IF(ISNUMBER(SEARCH("-",Bets[[#This Row],[Bet]])),"F",IF(ISNUMBER(SEARCH("Moneyline",Bets[[#This Row],[Bet]])),IF(Bets[[#This Row],[Odds]]&lt;0,"MF","MD"),""))))))</f>
        <v>U</v>
      </c>
      <c r="K176" s="24"/>
      <c r="N176" s="6"/>
      <c r="O176" s="27"/>
    </row>
    <row r="177" spans="1:15" x14ac:dyDescent="0.25">
      <c r="A177" s="13">
        <f t="shared" si="8"/>
        <v>16</v>
      </c>
      <c r="B177" s="17">
        <v>43601</v>
      </c>
      <c r="C177" s="17" t="s">
        <v>802</v>
      </c>
      <c r="D177" s="18" t="s">
        <v>1246</v>
      </c>
      <c r="E177" s="11" t="s">
        <v>877</v>
      </c>
      <c r="F177" s="19">
        <f>10</f>
        <v>10</v>
      </c>
      <c r="G177" s="37">
        <v>100</v>
      </c>
      <c r="H177" s="21" t="s">
        <v>262</v>
      </c>
      <c r="I177" s="45">
        <f>IF(Bets[[#This Row],[Result]]="L",0-Bets[[#This Row],[Risk]],IF(Bets[[#This Row],[Result]]="Push",0,IF(Bets[[#This Row],[Result]]="No Action",0,IF(Bets[[#This Row],[Result]]="W",IF(Bets[[#This Row],[Odds]]&gt;0,Bets[[#This Row],[Odds]]/100*Bets[[#This Row],[Risk]],(Bets[[#This Row],[Risk]]/Bets[[#This Row],[Odds]]*-100)),""))))</f>
        <v>10</v>
      </c>
      <c r="J177" s="23" t="str">
        <f>IF(ISNUMBER(SEARCH(CHAR(10),Bets[[#This Row],[Bet]])),"P",IF(ISNUMBER(FIND("Under",Bets[[#This Row],[Bet]])),"U",IF(ISNUMBER(SEARCH("Over",Bets[[#This Row],[Bet]])),"O",IF(ISNUMBER(SEARCH("+",Bets[[#This Row],[Bet]])),"D",IF(ISNUMBER(SEARCH("-",Bets[[#This Row],[Bet]])),"F",IF(ISNUMBER(SEARCH("Moneyline",Bets[[#This Row],[Bet]])),IF(Bets[[#This Row],[Odds]]&lt;0,"MF","MD"),""))))))</f>
        <v>U</v>
      </c>
      <c r="K177" s="24"/>
      <c r="N177" s="6"/>
      <c r="O177" s="27"/>
    </row>
    <row r="178" spans="1:15" x14ac:dyDescent="0.25">
      <c r="A178" s="13">
        <f t="shared" si="8"/>
        <v>16</v>
      </c>
      <c r="B178" s="17">
        <v>43601</v>
      </c>
      <c r="C178" s="17" t="s">
        <v>802</v>
      </c>
      <c r="D178" s="18" t="s">
        <v>1250</v>
      </c>
      <c r="E178" s="11" t="s">
        <v>1209</v>
      </c>
      <c r="F178" s="19">
        <f>10</f>
        <v>10</v>
      </c>
      <c r="G178" s="37">
        <v>-115</v>
      </c>
      <c r="H178" s="21" t="s">
        <v>263</v>
      </c>
      <c r="I178" s="45">
        <f>IF(Bets[[#This Row],[Result]]="L",0-Bets[[#This Row],[Risk]],IF(Bets[[#This Row],[Result]]="Push",0,IF(Bets[[#This Row],[Result]]="No Action",0,IF(Bets[[#This Row],[Result]]="W",IF(Bets[[#This Row],[Odds]]&gt;0,Bets[[#This Row],[Odds]]/100*Bets[[#This Row],[Risk]],(Bets[[#This Row],[Risk]]/Bets[[#This Row],[Odds]]*-100)),""))))</f>
        <v>-10</v>
      </c>
      <c r="J178" s="23" t="str">
        <f>IF(ISNUMBER(SEARCH(CHAR(10),Bets[[#This Row],[Bet]])),"P",IF(ISNUMBER(FIND("Under",Bets[[#This Row],[Bet]])),"U",IF(ISNUMBER(SEARCH("Over",Bets[[#This Row],[Bet]])),"O",IF(ISNUMBER(SEARCH("+",Bets[[#This Row],[Bet]])),"D",IF(ISNUMBER(SEARCH("-",Bets[[#This Row],[Bet]])),"F",IF(ISNUMBER(SEARCH("Moneyline",Bets[[#This Row],[Bet]])),IF(Bets[[#This Row],[Odds]]&lt;0,"MF","MD"),""))))))</f>
        <v>U</v>
      </c>
      <c r="K178" s="24"/>
      <c r="N178" s="6"/>
      <c r="O178" s="27"/>
    </row>
    <row r="179" spans="1:15" x14ac:dyDescent="0.25">
      <c r="A179" s="13">
        <f t="shared" si="8"/>
        <v>16</v>
      </c>
      <c r="B179" s="17">
        <v>43601</v>
      </c>
      <c r="C179" s="17" t="s">
        <v>802</v>
      </c>
      <c r="D179" s="18" t="s">
        <v>1256</v>
      </c>
      <c r="E179" s="11" t="s">
        <v>1156</v>
      </c>
      <c r="F179" s="19">
        <f>10</f>
        <v>10</v>
      </c>
      <c r="G179" s="37">
        <v>-115</v>
      </c>
      <c r="H179" s="21" t="s">
        <v>262</v>
      </c>
      <c r="I179" s="45">
        <f>IF(Bets[[#This Row],[Result]]="L",0-Bets[[#This Row],[Risk]],IF(Bets[[#This Row],[Result]]="Push",0,IF(Bets[[#This Row],[Result]]="No Action",0,IF(Bets[[#This Row],[Result]]="W",IF(Bets[[#This Row],[Odds]]&gt;0,Bets[[#This Row],[Odds]]/100*Bets[[#This Row],[Risk]],(Bets[[#This Row],[Risk]]/Bets[[#This Row],[Odds]]*-100)),""))))</f>
        <v>8.695652173913043</v>
      </c>
      <c r="J179" s="23" t="str">
        <f>IF(ISNUMBER(SEARCH(CHAR(10),Bets[[#This Row],[Bet]])),"P",IF(ISNUMBER(FIND("Under",Bets[[#This Row],[Bet]])),"U",IF(ISNUMBER(SEARCH("Over",Bets[[#This Row],[Bet]])),"O",IF(ISNUMBER(SEARCH("+",Bets[[#This Row],[Bet]])),"D",IF(ISNUMBER(SEARCH("-",Bets[[#This Row],[Bet]])),"F",IF(ISNUMBER(SEARCH("Moneyline",Bets[[#This Row],[Bet]])),IF(Bets[[#This Row],[Odds]]&lt;0,"MF","MD"),""))))))</f>
        <v>O</v>
      </c>
      <c r="K179" s="24"/>
      <c r="N179" s="6"/>
      <c r="O179" s="27"/>
    </row>
    <row r="180" spans="1:15" x14ac:dyDescent="0.25">
      <c r="A180" s="13">
        <f t="shared" si="8"/>
        <v>16</v>
      </c>
      <c r="B180" s="17">
        <v>43601</v>
      </c>
      <c r="C180" s="17" t="s">
        <v>802</v>
      </c>
      <c r="D180" s="18" t="s">
        <v>1257</v>
      </c>
      <c r="E180" s="11" t="s">
        <v>876</v>
      </c>
      <c r="F180" s="19">
        <f>10</f>
        <v>10</v>
      </c>
      <c r="G180" s="37" t="s">
        <v>886</v>
      </c>
      <c r="H180" s="21" t="s">
        <v>263</v>
      </c>
      <c r="I180" s="45">
        <f>IF(Bets[[#This Row],[Result]]="L",0-Bets[[#This Row],[Risk]],IF(Bets[[#This Row],[Result]]="Push",0,IF(Bets[[#This Row],[Result]]="No Action",0,IF(Bets[[#This Row],[Result]]="W",IF(Bets[[#This Row],[Odds]]&gt;0,Bets[[#This Row],[Odds]]/100*Bets[[#This Row],[Risk]],(Bets[[#This Row],[Risk]]/Bets[[#This Row],[Odds]]*-100)),""))))</f>
        <v>-10</v>
      </c>
      <c r="J180" s="23" t="str">
        <f>IF(ISNUMBER(SEARCH(CHAR(10),Bets[[#This Row],[Bet]])),"P",IF(ISNUMBER(FIND("Under",Bets[[#This Row],[Bet]])),"U",IF(ISNUMBER(SEARCH("Over",Bets[[#This Row],[Bet]])),"O",IF(ISNUMBER(SEARCH("+",Bets[[#This Row],[Bet]])),"D",IF(ISNUMBER(SEARCH("-",Bets[[#This Row],[Bet]])),"F",IF(ISNUMBER(SEARCH("Moneyline",Bets[[#This Row],[Bet]])),IF(Bets[[#This Row],[Odds]]&lt;0,"MF","MD"),""))))))</f>
        <v>MD</v>
      </c>
      <c r="K180" s="24"/>
      <c r="N180" s="6"/>
      <c r="O180" s="27"/>
    </row>
    <row r="181" spans="1:15" x14ac:dyDescent="0.25">
      <c r="A181" s="13">
        <f t="shared" si="8"/>
        <v>17</v>
      </c>
      <c r="B181" s="17">
        <v>43602</v>
      </c>
      <c r="C181" s="17" t="s">
        <v>802</v>
      </c>
      <c r="D181" s="18" t="s">
        <v>1263</v>
      </c>
      <c r="E181" s="11" t="s">
        <v>822</v>
      </c>
      <c r="F181" s="19">
        <f>10</f>
        <v>10</v>
      </c>
      <c r="G181" s="71">
        <v>-122</v>
      </c>
      <c r="H181" s="21" t="s">
        <v>262</v>
      </c>
      <c r="I181" s="45">
        <f>IF(Bets[[#This Row],[Result]]="L",0-Bets[[#This Row],[Risk]],IF(Bets[[#This Row],[Result]]="Push",0,IF(Bets[[#This Row],[Result]]="No Action",0,IF(Bets[[#This Row],[Result]]="W",IF(Bets[[#This Row],[Odds]]&gt;0,Bets[[#This Row],[Odds]]/100*Bets[[#This Row],[Risk]],(Bets[[#This Row],[Risk]]/Bets[[#This Row],[Odds]]*-100)),""))))</f>
        <v>8.1967213114754092</v>
      </c>
      <c r="J181" s="23" t="str">
        <f>IF(ISNUMBER(SEARCH(CHAR(10),Bets[[#This Row],[Bet]])),"P",IF(ISNUMBER(FIND("Under",Bets[[#This Row],[Bet]])),"U",IF(ISNUMBER(SEARCH("Over",Bets[[#This Row],[Bet]])),"O",IF(ISNUMBER(SEARCH("+",Bets[[#This Row],[Bet]])),"D",IF(ISNUMBER(SEARCH("-",Bets[[#This Row],[Bet]])),"F",IF(ISNUMBER(SEARCH("Moneyline",Bets[[#This Row],[Bet]])),IF(Bets[[#This Row],[Odds]]&lt;0,"MF","MD"),""))))))</f>
        <v>MF</v>
      </c>
      <c r="K181" s="24"/>
      <c r="N181" s="6"/>
      <c r="O181" s="27"/>
    </row>
    <row r="182" spans="1:15" x14ac:dyDescent="0.25">
      <c r="A182" s="13">
        <f t="shared" si="8"/>
        <v>17</v>
      </c>
      <c r="B182" s="17">
        <v>43602</v>
      </c>
      <c r="C182" s="17" t="s">
        <v>802</v>
      </c>
      <c r="D182" s="18" t="s">
        <v>1264</v>
      </c>
      <c r="E182" s="11" t="s">
        <v>867</v>
      </c>
      <c r="F182" s="19">
        <f>10</f>
        <v>10</v>
      </c>
      <c r="G182" s="71" t="s">
        <v>868</v>
      </c>
      <c r="H182" s="21" t="s">
        <v>262</v>
      </c>
      <c r="I182" s="45">
        <f>IF(Bets[[#This Row],[Result]]="L",0-Bets[[#This Row],[Risk]],IF(Bets[[#This Row],[Result]]="Push",0,IF(Bets[[#This Row],[Result]]="No Action",0,IF(Bets[[#This Row],[Result]]="W",IF(Bets[[#This Row],[Odds]]&gt;0,Bets[[#This Row],[Odds]]/100*Bets[[#This Row],[Risk]],(Bets[[#This Row],[Risk]]/Bets[[#This Row],[Odds]]*-100)),""))))</f>
        <v>12.5</v>
      </c>
      <c r="J182" s="23" t="str">
        <f>IF(ISNUMBER(SEARCH(CHAR(10),Bets[[#This Row],[Bet]])),"P",IF(ISNUMBER(FIND("Under",Bets[[#This Row],[Bet]])),"U",IF(ISNUMBER(SEARCH("Over",Bets[[#This Row],[Bet]])),"O",IF(ISNUMBER(SEARCH("+",Bets[[#This Row],[Bet]])),"D",IF(ISNUMBER(SEARCH("-",Bets[[#This Row],[Bet]])),"F",IF(ISNUMBER(SEARCH("Moneyline",Bets[[#This Row],[Bet]])),IF(Bets[[#This Row],[Odds]]&lt;0,"MF","MD"),""))))))</f>
        <v>MD</v>
      </c>
      <c r="K182" s="24"/>
      <c r="N182" s="6"/>
      <c r="O182" s="27"/>
    </row>
    <row r="183" spans="1:15" x14ac:dyDescent="0.25">
      <c r="A183" s="13">
        <f t="shared" si="8"/>
        <v>17</v>
      </c>
      <c r="B183" s="17">
        <v>43602</v>
      </c>
      <c r="C183" s="17" t="s">
        <v>802</v>
      </c>
      <c r="D183" s="18" t="s">
        <v>1265</v>
      </c>
      <c r="E183" s="11" t="s">
        <v>897</v>
      </c>
      <c r="F183" s="19">
        <f>10</f>
        <v>10</v>
      </c>
      <c r="G183" s="71">
        <v>-138</v>
      </c>
      <c r="H183" s="21" t="s">
        <v>262</v>
      </c>
      <c r="I183" s="45">
        <f>IF(Bets[[#This Row],[Result]]="L",0-Bets[[#This Row],[Risk]],IF(Bets[[#This Row],[Result]]="Push",0,IF(Bets[[#This Row],[Result]]="No Action",0,IF(Bets[[#This Row],[Result]]="W",IF(Bets[[#This Row],[Odds]]&gt;0,Bets[[#This Row],[Odds]]/100*Bets[[#This Row],[Risk]],(Bets[[#This Row],[Risk]]/Bets[[#This Row],[Odds]]*-100)),""))))</f>
        <v>7.2463768115942031</v>
      </c>
      <c r="J183" s="23" t="str">
        <f>IF(ISNUMBER(SEARCH(CHAR(10),Bets[[#This Row],[Bet]])),"P",IF(ISNUMBER(FIND("Under",Bets[[#This Row],[Bet]])),"U",IF(ISNUMBER(SEARCH("Over",Bets[[#This Row],[Bet]])),"O",IF(ISNUMBER(SEARCH("+",Bets[[#This Row],[Bet]])),"D",IF(ISNUMBER(SEARCH("-",Bets[[#This Row],[Bet]])),"F",IF(ISNUMBER(SEARCH("Moneyline",Bets[[#This Row],[Bet]])),IF(Bets[[#This Row],[Odds]]&lt;0,"MF","MD"),""))))))</f>
        <v>MF</v>
      </c>
      <c r="K183" s="24"/>
      <c r="N183" s="6"/>
      <c r="O183" s="27"/>
    </row>
    <row r="184" spans="1:15" x14ac:dyDescent="0.25">
      <c r="A184" s="13">
        <f t="shared" si="8"/>
        <v>17</v>
      </c>
      <c r="B184" s="17">
        <v>43602</v>
      </c>
      <c r="C184" s="17" t="s">
        <v>802</v>
      </c>
      <c r="D184" s="18" t="s">
        <v>1266</v>
      </c>
      <c r="E184" s="11" t="s">
        <v>880</v>
      </c>
      <c r="F184" s="19">
        <f>10</f>
        <v>10</v>
      </c>
      <c r="G184" s="71">
        <v>-105</v>
      </c>
      <c r="H184" s="21" t="s">
        <v>262</v>
      </c>
      <c r="I184" s="45">
        <f>IF(Bets[[#This Row],[Result]]="L",0-Bets[[#This Row],[Risk]],IF(Bets[[#This Row],[Result]]="Push",0,IF(Bets[[#This Row],[Result]]="No Action",0,IF(Bets[[#This Row],[Result]]="W",IF(Bets[[#This Row],[Odds]]&gt;0,Bets[[#This Row],[Odds]]/100*Bets[[#This Row],[Risk]],(Bets[[#This Row],[Risk]]/Bets[[#This Row],[Odds]]*-100)),""))))</f>
        <v>9.5238095238095237</v>
      </c>
      <c r="J184" s="39" t="str">
        <f>IF(ISNUMBER(SEARCH(CHAR(10),Bets[[#This Row],[Bet]])),"P",IF(ISNUMBER(FIND("Under",Bets[[#This Row],[Bet]])),"U",IF(ISNUMBER(SEARCH("Over",Bets[[#This Row],[Bet]])),"O",IF(ISNUMBER(SEARCH("+",Bets[[#This Row],[Bet]])),"D",IF(ISNUMBER(SEARCH("-",Bets[[#This Row],[Bet]])),"F",IF(ISNUMBER(SEARCH("Moneyline",Bets[[#This Row],[Bet]])),IF(Bets[[#This Row],[Odds]]&lt;0,"MF","MD"),""))))))</f>
        <v>U</v>
      </c>
      <c r="K184" s="24"/>
      <c r="N184" s="6"/>
      <c r="O184" s="27"/>
    </row>
    <row r="185" spans="1:15" x14ac:dyDescent="0.25">
      <c r="A185" s="13">
        <f t="shared" si="8"/>
        <v>17</v>
      </c>
      <c r="B185" s="17">
        <v>43602</v>
      </c>
      <c r="C185" s="17" t="s">
        <v>802</v>
      </c>
      <c r="D185" s="18" t="s">
        <v>1267</v>
      </c>
      <c r="E185" s="11" t="s">
        <v>869</v>
      </c>
      <c r="F185" s="19">
        <f>10</f>
        <v>10</v>
      </c>
      <c r="G185" s="71">
        <v>-162</v>
      </c>
      <c r="H185" s="21" t="s">
        <v>263</v>
      </c>
      <c r="I185" s="45">
        <f>IF(Bets[[#This Row],[Result]]="L",0-Bets[[#This Row],[Risk]],IF(Bets[[#This Row],[Result]]="Push",0,IF(Bets[[#This Row],[Result]]="No Action",0,IF(Bets[[#This Row],[Result]]="W",IF(Bets[[#This Row],[Odds]]&gt;0,Bets[[#This Row],[Odds]]/100*Bets[[#This Row],[Risk]],(Bets[[#This Row],[Risk]]/Bets[[#This Row],[Odds]]*-100)),""))))</f>
        <v>-10</v>
      </c>
      <c r="J185" s="39" t="str">
        <f>IF(ISNUMBER(SEARCH(CHAR(10),Bets[[#This Row],[Bet]])),"P",IF(ISNUMBER(FIND("Under",Bets[[#This Row],[Bet]])),"U",IF(ISNUMBER(SEARCH("Over",Bets[[#This Row],[Bet]])),"O",IF(ISNUMBER(SEARCH("+",Bets[[#This Row],[Bet]])),"D",IF(ISNUMBER(SEARCH("-",Bets[[#This Row],[Bet]])),"F",IF(ISNUMBER(SEARCH("Moneyline",Bets[[#This Row],[Bet]])),IF(Bets[[#This Row],[Odds]]&lt;0,"MF","MD"),""))))))</f>
        <v>MF</v>
      </c>
      <c r="K185" s="24"/>
      <c r="N185" s="6"/>
      <c r="O185" s="27"/>
    </row>
    <row r="186" spans="1:15" x14ac:dyDescent="0.25">
      <c r="A186" s="13">
        <f t="shared" si="8"/>
        <v>17</v>
      </c>
      <c r="B186" s="17">
        <v>43602</v>
      </c>
      <c r="C186" s="17" t="s">
        <v>802</v>
      </c>
      <c r="D186" s="18" t="s">
        <v>1255</v>
      </c>
      <c r="E186" s="11" t="s">
        <v>933</v>
      </c>
      <c r="F186" s="19">
        <f>10</f>
        <v>10</v>
      </c>
      <c r="G186" s="71">
        <v>-120</v>
      </c>
      <c r="H186" s="21" t="s">
        <v>846</v>
      </c>
      <c r="I186" s="45">
        <f>IF(Bets[[#This Row],[Result]]="L",0-Bets[[#This Row],[Risk]],IF(Bets[[#This Row],[Result]]="Push",0,IF(Bets[[#This Row],[Result]]="No Action",0,IF(Bets[[#This Row],[Result]]="W",IF(Bets[[#This Row],[Odds]]&gt;0,Bets[[#This Row],[Odds]]/100*Bets[[#This Row],[Risk]],(Bets[[#This Row],[Risk]]/Bets[[#This Row],[Odds]]*-100)),""))))</f>
        <v>0</v>
      </c>
      <c r="J186" s="39" t="str">
        <f>IF(ISNUMBER(SEARCH(CHAR(10),Bets[[#This Row],[Bet]])),"P",IF(ISNUMBER(FIND("Under",Bets[[#This Row],[Bet]])),"U",IF(ISNUMBER(SEARCH("Over",Bets[[#This Row],[Bet]])),"O",IF(ISNUMBER(SEARCH("+",Bets[[#This Row],[Bet]])),"D",IF(ISNUMBER(SEARCH("-",Bets[[#This Row],[Bet]])),"F",IF(ISNUMBER(SEARCH("Moneyline",Bets[[#This Row],[Bet]])),IF(Bets[[#This Row],[Odds]]&lt;0,"MF","MD"),""))))))</f>
        <v>U</v>
      </c>
      <c r="K186" s="24"/>
      <c r="N186" s="6"/>
      <c r="O186" s="27"/>
    </row>
    <row r="187" spans="1:15" x14ac:dyDescent="0.25">
      <c r="A187" s="13">
        <f t="shared" si="8"/>
        <v>17</v>
      </c>
      <c r="B187" s="17">
        <v>43602</v>
      </c>
      <c r="C187" s="17" t="s">
        <v>802</v>
      </c>
      <c r="D187" s="18" t="s">
        <v>1257</v>
      </c>
      <c r="E187" s="11" t="s">
        <v>876</v>
      </c>
      <c r="F187" s="19">
        <f>10</f>
        <v>10</v>
      </c>
      <c r="G187" s="71" t="s">
        <v>1268</v>
      </c>
      <c r="H187" s="21" t="s">
        <v>262</v>
      </c>
      <c r="I187" s="45">
        <f>IF(Bets[[#This Row],[Result]]="L",0-Bets[[#This Row],[Risk]],IF(Bets[[#This Row],[Result]]="Push",0,IF(Bets[[#This Row],[Result]]="No Action",0,IF(Bets[[#This Row],[Result]]="W",IF(Bets[[#This Row],[Odds]]&gt;0,Bets[[#This Row],[Odds]]/100*Bets[[#This Row],[Risk]],(Bets[[#This Row],[Risk]]/Bets[[#This Row],[Odds]]*-100)),""))))</f>
        <v>13.799999999999999</v>
      </c>
      <c r="J187" s="39" t="str">
        <f>IF(ISNUMBER(SEARCH(CHAR(10),Bets[[#This Row],[Bet]])),"P",IF(ISNUMBER(FIND("Under",Bets[[#This Row],[Bet]])),"U",IF(ISNUMBER(SEARCH("Over",Bets[[#This Row],[Bet]])),"O",IF(ISNUMBER(SEARCH("+",Bets[[#This Row],[Bet]])),"D",IF(ISNUMBER(SEARCH("-",Bets[[#This Row],[Bet]])),"F",IF(ISNUMBER(SEARCH("Moneyline",Bets[[#This Row],[Bet]])),IF(Bets[[#This Row],[Odds]]&lt;0,"MF","MD"),""))))))</f>
        <v>MD</v>
      </c>
      <c r="K187" s="24"/>
      <c r="N187" s="6"/>
      <c r="O187" s="27"/>
    </row>
    <row r="188" spans="1:15" x14ac:dyDescent="0.25">
      <c r="A188" s="13">
        <f t="shared" si="8"/>
        <v>18</v>
      </c>
      <c r="B188" s="17">
        <v>43606</v>
      </c>
      <c r="C188" s="17" t="s">
        <v>802</v>
      </c>
      <c r="D188" s="18" t="s">
        <v>1282</v>
      </c>
      <c r="E188" s="11" t="s">
        <v>834</v>
      </c>
      <c r="F188" s="19">
        <f>10</f>
        <v>10</v>
      </c>
      <c r="G188" s="37" t="s">
        <v>1283</v>
      </c>
      <c r="H188" s="21" t="s">
        <v>262</v>
      </c>
      <c r="I188" s="45">
        <f>IF(Bets[[#This Row],[Result]]="L",0-Bets[[#This Row],[Risk]],IF(Bets[[#This Row],[Result]]="Push",0,IF(Bets[[#This Row],[Result]]="No Action",0,IF(Bets[[#This Row],[Result]]="W",IF(Bets[[#This Row],[Odds]]&gt;0,Bets[[#This Row],[Odds]]/100*Bets[[#This Row],[Risk]],(Bets[[#This Row],[Risk]]/Bets[[#This Row],[Odds]]*-100)),""))))</f>
        <v>10.8</v>
      </c>
      <c r="J188" s="39" t="str">
        <f>IF(ISNUMBER(SEARCH(CHAR(10),Bets[[#This Row],[Bet]])),"P",IF(ISNUMBER(FIND("Under",Bets[[#This Row],[Bet]])),"U",IF(ISNUMBER(SEARCH("Over",Bets[[#This Row],[Bet]])),"O",IF(ISNUMBER(SEARCH("+",Bets[[#This Row],[Bet]])),"D",IF(ISNUMBER(SEARCH("-",Bets[[#This Row],[Bet]])),"F",IF(ISNUMBER(SEARCH("Moneyline",Bets[[#This Row],[Bet]])),IF(Bets[[#This Row],[Odds]]&lt;0,"MF","MD"),""))))))</f>
        <v>MD</v>
      </c>
      <c r="K188" s="24"/>
      <c r="N188" s="6"/>
      <c r="O188" s="27"/>
    </row>
    <row r="189" spans="1:15" x14ac:dyDescent="0.25">
      <c r="A189" s="13">
        <f t="shared" si="8"/>
        <v>18</v>
      </c>
      <c r="B189" s="17">
        <v>43606</v>
      </c>
      <c r="C189" s="17" t="s">
        <v>802</v>
      </c>
      <c r="D189" s="18" t="s">
        <v>1282</v>
      </c>
      <c r="E189" s="11" t="s">
        <v>877</v>
      </c>
      <c r="F189" s="19">
        <f>10</f>
        <v>10</v>
      </c>
      <c r="G189" s="37">
        <v>-115</v>
      </c>
      <c r="H189" s="21" t="s">
        <v>262</v>
      </c>
      <c r="I189" s="45">
        <f>IF(Bets[[#This Row],[Result]]="L",0-Bets[[#This Row],[Risk]],IF(Bets[[#This Row],[Result]]="Push",0,IF(Bets[[#This Row],[Result]]="No Action",0,IF(Bets[[#This Row],[Result]]="W",IF(Bets[[#This Row],[Odds]]&gt;0,Bets[[#This Row],[Odds]]/100*Bets[[#This Row],[Risk]],(Bets[[#This Row],[Risk]]/Bets[[#This Row],[Odds]]*-100)),""))))</f>
        <v>8.695652173913043</v>
      </c>
      <c r="J189" s="39" t="str">
        <f>IF(ISNUMBER(SEARCH(CHAR(10),Bets[[#This Row],[Bet]])),"P",IF(ISNUMBER(FIND("Under",Bets[[#This Row],[Bet]])),"U",IF(ISNUMBER(SEARCH("Over",Bets[[#This Row],[Bet]])),"O",IF(ISNUMBER(SEARCH("+",Bets[[#This Row],[Bet]])),"D",IF(ISNUMBER(SEARCH("-",Bets[[#This Row],[Bet]])),"F",IF(ISNUMBER(SEARCH("Moneyline",Bets[[#This Row],[Bet]])),IF(Bets[[#This Row],[Odds]]&lt;0,"MF","MD"),""))))))</f>
        <v>U</v>
      </c>
      <c r="K189" s="24"/>
      <c r="N189" s="6"/>
      <c r="O189" s="27"/>
    </row>
    <row r="190" spans="1:15" x14ac:dyDescent="0.25">
      <c r="A190" s="13">
        <f t="shared" si="8"/>
        <v>18</v>
      </c>
      <c r="B190" s="17">
        <v>43606</v>
      </c>
      <c r="C190" s="17" t="s">
        <v>802</v>
      </c>
      <c r="D190" s="18" t="s">
        <v>1284</v>
      </c>
      <c r="E190" s="11" t="s">
        <v>1153</v>
      </c>
      <c r="F190" s="19">
        <f>10</f>
        <v>10</v>
      </c>
      <c r="G190" s="37">
        <v>-125</v>
      </c>
      <c r="H190" s="21" t="s">
        <v>262</v>
      </c>
      <c r="I190" s="45">
        <f>IF(Bets[[#This Row],[Result]]="L",0-Bets[[#This Row],[Risk]],IF(Bets[[#This Row],[Result]]="Push",0,IF(Bets[[#This Row],[Result]]="No Action",0,IF(Bets[[#This Row],[Result]]="W",IF(Bets[[#This Row],[Odds]]&gt;0,Bets[[#This Row],[Odds]]/100*Bets[[#This Row],[Risk]],(Bets[[#This Row],[Risk]]/Bets[[#This Row],[Odds]]*-100)),""))))</f>
        <v>8</v>
      </c>
      <c r="J190" s="39" t="str">
        <f>IF(ISNUMBER(SEARCH(CHAR(10),Bets[[#This Row],[Bet]])),"P",IF(ISNUMBER(FIND("Under",Bets[[#This Row],[Bet]])),"U",IF(ISNUMBER(SEARCH("Over",Bets[[#This Row],[Bet]])),"O",IF(ISNUMBER(SEARCH("+",Bets[[#This Row],[Bet]])),"D",IF(ISNUMBER(SEARCH("-",Bets[[#This Row],[Bet]])),"F",IF(ISNUMBER(SEARCH("Moneyline",Bets[[#This Row],[Bet]])),IF(Bets[[#This Row],[Odds]]&lt;0,"MF","MD"),""))))))</f>
        <v>MF</v>
      </c>
      <c r="K190" s="24"/>
      <c r="N190" s="6"/>
      <c r="O190" s="27"/>
    </row>
    <row r="191" spans="1:15" x14ac:dyDescent="0.25">
      <c r="A191" s="13">
        <f t="shared" si="8"/>
        <v>18</v>
      </c>
      <c r="B191" s="17">
        <v>43606</v>
      </c>
      <c r="C191" s="17" t="s">
        <v>802</v>
      </c>
      <c r="D191" s="18" t="s">
        <v>1285</v>
      </c>
      <c r="E191" s="11" t="s">
        <v>880</v>
      </c>
      <c r="F191" s="19">
        <f>10</f>
        <v>10</v>
      </c>
      <c r="G191" s="37">
        <v>-120</v>
      </c>
      <c r="H191" s="21" t="s">
        <v>263</v>
      </c>
      <c r="I191" s="45">
        <f>IF(Bets[[#This Row],[Result]]="L",0-Bets[[#This Row],[Risk]],IF(Bets[[#This Row],[Result]]="Push",0,IF(Bets[[#This Row],[Result]]="No Action",0,IF(Bets[[#This Row],[Result]]="W",IF(Bets[[#This Row],[Odds]]&gt;0,Bets[[#This Row],[Odds]]/100*Bets[[#This Row],[Risk]],(Bets[[#This Row],[Risk]]/Bets[[#This Row],[Odds]]*-100)),""))))</f>
        <v>-10</v>
      </c>
      <c r="J191" s="39" t="str">
        <f>IF(ISNUMBER(SEARCH(CHAR(10),Bets[[#This Row],[Bet]])),"P",IF(ISNUMBER(FIND("Under",Bets[[#This Row],[Bet]])),"U",IF(ISNUMBER(SEARCH("Over",Bets[[#This Row],[Bet]])),"O",IF(ISNUMBER(SEARCH("+",Bets[[#This Row],[Bet]])),"D",IF(ISNUMBER(SEARCH("-",Bets[[#This Row],[Bet]])),"F",IF(ISNUMBER(SEARCH("Moneyline",Bets[[#This Row],[Bet]])),IF(Bets[[#This Row],[Odds]]&lt;0,"MF","MD"),""))))))</f>
        <v>U</v>
      </c>
      <c r="K191" s="24"/>
      <c r="N191" s="6"/>
      <c r="O191" s="27"/>
    </row>
    <row r="192" spans="1:15" x14ac:dyDescent="0.25">
      <c r="A192" s="13">
        <f t="shared" si="8"/>
        <v>18</v>
      </c>
      <c r="B192" s="17">
        <v>43606</v>
      </c>
      <c r="C192" s="17" t="s">
        <v>802</v>
      </c>
      <c r="D192" s="18" t="s">
        <v>1286</v>
      </c>
      <c r="E192" s="11" t="s">
        <v>1287</v>
      </c>
      <c r="F192" s="19">
        <f>10</f>
        <v>10</v>
      </c>
      <c r="G192" s="37">
        <v>-125</v>
      </c>
      <c r="H192" s="21" t="s">
        <v>263</v>
      </c>
      <c r="I192" s="45">
        <f>IF(Bets[[#This Row],[Result]]="L",0-Bets[[#This Row],[Risk]],IF(Bets[[#This Row],[Result]]="Push",0,IF(Bets[[#This Row],[Result]]="No Action",0,IF(Bets[[#This Row],[Result]]="W",IF(Bets[[#This Row],[Odds]]&gt;0,Bets[[#This Row],[Odds]]/100*Bets[[#This Row],[Risk]],(Bets[[#This Row],[Risk]]/Bets[[#This Row],[Odds]]*-100)),""))))</f>
        <v>-10</v>
      </c>
      <c r="J192" s="39" t="str">
        <f>IF(ISNUMBER(SEARCH(CHAR(10),Bets[[#This Row],[Bet]])),"P",IF(ISNUMBER(FIND("Under",Bets[[#This Row],[Bet]])),"U",IF(ISNUMBER(SEARCH("Over",Bets[[#This Row],[Bet]])),"O",IF(ISNUMBER(SEARCH("+",Bets[[#This Row],[Bet]])),"D",IF(ISNUMBER(SEARCH("-",Bets[[#This Row],[Bet]])),"F",IF(ISNUMBER(SEARCH("Moneyline",Bets[[#This Row],[Bet]])),IF(Bets[[#This Row],[Odds]]&lt;0,"MF","MD"),""))))))</f>
        <v>U</v>
      </c>
      <c r="K192" s="24"/>
      <c r="N192" s="6"/>
      <c r="O192" s="27"/>
    </row>
    <row r="193" spans="1:15" x14ac:dyDescent="0.25">
      <c r="A193" s="13">
        <f t="shared" si="8"/>
        <v>18</v>
      </c>
      <c r="B193" s="17">
        <v>43606</v>
      </c>
      <c r="C193" s="17" t="s">
        <v>802</v>
      </c>
      <c r="D193" s="18" t="s">
        <v>1288</v>
      </c>
      <c r="E193" s="11" t="s">
        <v>830</v>
      </c>
      <c r="F193" s="19">
        <f>10</f>
        <v>10</v>
      </c>
      <c r="G193" s="37" t="s">
        <v>868</v>
      </c>
      <c r="H193" s="21" t="s">
        <v>263</v>
      </c>
      <c r="I193" s="45">
        <f>IF(Bets[[#This Row],[Result]]="L",0-Bets[[#This Row],[Risk]],IF(Bets[[#This Row],[Result]]="Push",0,IF(Bets[[#This Row],[Result]]="No Action",0,IF(Bets[[#This Row],[Result]]="W",IF(Bets[[#This Row],[Odds]]&gt;0,Bets[[#This Row],[Odds]]/100*Bets[[#This Row],[Risk]],(Bets[[#This Row],[Risk]]/Bets[[#This Row],[Odds]]*-100)),""))))</f>
        <v>-10</v>
      </c>
      <c r="J193" s="39" t="str">
        <f>IF(ISNUMBER(SEARCH(CHAR(10),Bets[[#This Row],[Bet]])),"P",IF(ISNUMBER(FIND("Under",Bets[[#This Row],[Bet]])),"U",IF(ISNUMBER(SEARCH("Over",Bets[[#This Row],[Bet]])),"O",IF(ISNUMBER(SEARCH("+",Bets[[#This Row],[Bet]])),"D",IF(ISNUMBER(SEARCH("-",Bets[[#This Row],[Bet]])),"F",IF(ISNUMBER(SEARCH("Moneyline",Bets[[#This Row],[Bet]])),IF(Bets[[#This Row],[Odds]]&lt;0,"MF","MD"),""))))))</f>
        <v>MD</v>
      </c>
      <c r="K193" s="24"/>
      <c r="N193" s="6"/>
      <c r="O193" s="27"/>
    </row>
    <row r="194" spans="1:15" x14ac:dyDescent="0.25">
      <c r="A194" s="13">
        <f t="shared" si="8"/>
        <v>18</v>
      </c>
      <c r="B194" s="17">
        <v>43606</v>
      </c>
      <c r="C194" s="17" t="s">
        <v>802</v>
      </c>
      <c r="D194" s="18" t="s">
        <v>1289</v>
      </c>
      <c r="E194" s="11" t="s">
        <v>819</v>
      </c>
      <c r="F194" s="19">
        <f>10</f>
        <v>10</v>
      </c>
      <c r="G194" s="37" t="s">
        <v>1290</v>
      </c>
      <c r="H194" s="21" t="s">
        <v>263</v>
      </c>
      <c r="I194" s="45">
        <f>IF(Bets[[#This Row],[Result]]="L",0-Bets[[#This Row],[Risk]],IF(Bets[[#This Row],[Result]]="Push",0,IF(Bets[[#This Row],[Result]]="No Action",0,IF(Bets[[#This Row],[Result]]="W",IF(Bets[[#This Row],[Odds]]&gt;0,Bets[[#This Row],[Odds]]/100*Bets[[#This Row],[Risk]],(Bets[[#This Row],[Risk]]/Bets[[#This Row],[Odds]]*-100)),""))))</f>
        <v>-10</v>
      </c>
      <c r="J194" s="39" t="str">
        <f>IF(ISNUMBER(SEARCH(CHAR(10),Bets[[#This Row],[Bet]])),"P",IF(ISNUMBER(FIND("Under",Bets[[#This Row],[Bet]])),"U",IF(ISNUMBER(SEARCH("Over",Bets[[#This Row],[Bet]])),"O",IF(ISNUMBER(SEARCH("+",Bets[[#This Row],[Bet]])),"D",IF(ISNUMBER(SEARCH("-",Bets[[#This Row],[Bet]])),"F",IF(ISNUMBER(SEARCH("Moneyline",Bets[[#This Row],[Bet]])),IF(Bets[[#This Row],[Odds]]&lt;0,"MF","MD"),""))))))</f>
        <v>MD</v>
      </c>
      <c r="K194" s="24"/>
      <c r="N194" s="6"/>
      <c r="O194" s="27"/>
    </row>
    <row r="195" spans="1:15" x14ac:dyDescent="0.25">
      <c r="A195" s="13">
        <f t="shared" si="8"/>
        <v>18</v>
      </c>
      <c r="B195" s="17">
        <v>43606</v>
      </c>
      <c r="C195" s="17" t="s">
        <v>802</v>
      </c>
      <c r="D195" s="18" t="s">
        <v>1291</v>
      </c>
      <c r="E195" s="11" t="s">
        <v>933</v>
      </c>
      <c r="F195" s="19">
        <f>10</f>
        <v>10</v>
      </c>
      <c r="G195" s="37">
        <v>-120</v>
      </c>
      <c r="H195" s="21" t="s">
        <v>262</v>
      </c>
      <c r="I195" s="45">
        <f>IF(Bets[[#This Row],[Result]]="L",0-Bets[[#This Row],[Risk]],IF(Bets[[#This Row],[Result]]="Push",0,IF(Bets[[#This Row],[Result]]="No Action",0,IF(Bets[[#This Row],[Result]]="W",IF(Bets[[#This Row],[Odds]]&gt;0,Bets[[#This Row],[Odds]]/100*Bets[[#This Row],[Risk]],(Bets[[#This Row],[Risk]]/Bets[[#This Row],[Odds]]*-100)),""))))</f>
        <v>8.3333333333333321</v>
      </c>
      <c r="J195" s="39" t="str">
        <f>IF(ISNUMBER(SEARCH(CHAR(10),Bets[[#This Row],[Bet]])),"P",IF(ISNUMBER(FIND("Under",Bets[[#This Row],[Bet]])),"U",IF(ISNUMBER(SEARCH("Over",Bets[[#This Row],[Bet]])),"O",IF(ISNUMBER(SEARCH("+",Bets[[#This Row],[Bet]])),"D",IF(ISNUMBER(SEARCH("-",Bets[[#This Row],[Bet]])),"F",IF(ISNUMBER(SEARCH("Moneyline",Bets[[#This Row],[Bet]])),IF(Bets[[#This Row],[Odds]]&lt;0,"MF","MD"),""))))))</f>
        <v>U</v>
      </c>
      <c r="K195" s="24"/>
      <c r="N195" s="6"/>
      <c r="O195" s="27"/>
    </row>
    <row r="196" spans="1:15" x14ac:dyDescent="0.25">
      <c r="A196" s="13">
        <f t="shared" ref="A196:A259" si="11">IF(B196=B195,A195,A195+1)</f>
        <v>18</v>
      </c>
      <c r="B196" s="17">
        <v>43606</v>
      </c>
      <c r="C196" s="17" t="s">
        <v>802</v>
      </c>
      <c r="D196" s="18" t="s">
        <v>1292</v>
      </c>
      <c r="E196" s="11" t="s">
        <v>815</v>
      </c>
      <c r="F196" s="19">
        <f>10</f>
        <v>10</v>
      </c>
      <c r="G196" s="37">
        <v>-112</v>
      </c>
      <c r="H196" s="21" t="s">
        <v>263</v>
      </c>
      <c r="I196" s="45">
        <f>IF(Bets[[#This Row],[Result]]="L",0-Bets[[#This Row],[Risk]],IF(Bets[[#This Row],[Result]]="Push",0,IF(Bets[[#This Row],[Result]]="No Action",0,IF(Bets[[#This Row],[Result]]="W",IF(Bets[[#This Row],[Odds]]&gt;0,Bets[[#This Row],[Odds]]/100*Bets[[#This Row],[Risk]],(Bets[[#This Row],[Risk]]/Bets[[#This Row],[Odds]]*-100)),""))))</f>
        <v>-10</v>
      </c>
      <c r="J196" s="39" t="str">
        <f>IF(ISNUMBER(SEARCH(CHAR(10),Bets[[#This Row],[Bet]])),"P",IF(ISNUMBER(FIND("Under",Bets[[#This Row],[Bet]])),"U",IF(ISNUMBER(SEARCH("Over",Bets[[#This Row],[Bet]])),"O",IF(ISNUMBER(SEARCH("+",Bets[[#This Row],[Bet]])),"D",IF(ISNUMBER(SEARCH("-",Bets[[#This Row],[Bet]])),"F",IF(ISNUMBER(SEARCH("Moneyline",Bets[[#This Row],[Bet]])),IF(Bets[[#This Row],[Odds]]&lt;0,"MF","MD"),""))))))</f>
        <v>MF</v>
      </c>
      <c r="K196" s="24"/>
      <c r="N196" s="6"/>
      <c r="O196" s="27"/>
    </row>
    <row r="197" spans="1:15" x14ac:dyDescent="0.25">
      <c r="A197" s="13">
        <f t="shared" si="11"/>
        <v>18</v>
      </c>
      <c r="B197" s="17">
        <v>43606</v>
      </c>
      <c r="C197" s="17" t="s">
        <v>802</v>
      </c>
      <c r="D197" s="18" t="s">
        <v>1293</v>
      </c>
      <c r="E197" s="11" t="s">
        <v>1178</v>
      </c>
      <c r="F197" s="19">
        <f>10</f>
        <v>10</v>
      </c>
      <c r="G197" s="37">
        <v>-105</v>
      </c>
      <c r="H197" s="21" t="s">
        <v>262</v>
      </c>
      <c r="I197" s="45">
        <f>IF(Bets[[#This Row],[Result]]="L",0-Bets[[#This Row],[Risk]],IF(Bets[[#This Row],[Result]]="Push",0,IF(Bets[[#This Row],[Result]]="No Action",0,IF(Bets[[#This Row],[Result]]="W",IF(Bets[[#This Row],[Odds]]&gt;0,Bets[[#This Row],[Odds]]/100*Bets[[#This Row],[Risk]],(Bets[[#This Row],[Risk]]/Bets[[#This Row],[Odds]]*-100)),""))))</f>
        <v>9.5238095238095237</v>
      </c>
      <c r="J197" s="39" t="str">
        <f>IF(ISNUMBER(SEARCH(CHAR(10),Bets[[#This Row],[Bet]])),"P",IF(ISNUMBER(FIND("Under",Bets[[#This Row],[Bet]])),"U",IF(ISNUMBER(SEARCH("Over",Bets[[#This Row],[Bet]])),"O",IF(ISNUMBER(SEARCH("+",Bets[[#This Row],[Bet]])),"D",IF(ISNUMBER(SEARCH("-",Bets[[#This Row],[Bet]])),"F",IF(ISNUMBER(SEARCH("Moneyline",Bets[[#This Row],[Bet]])),IF(Bets[[#This Row],[Odds]]&lt;0,"MF","MD"),""))))))</f>
        <v>MF</v>
      </c>
      <c r="K197" s="24"/>
      <c r="N197" s="6"/>
      <c r="O197" s="27"/>
    </row>
    <row r="198" spans="1:15" x14ac:dyDescent="0.25">
      <c r="A198" s="13">
        <f t="shared" si="11"/>
        <v>18</v>
      </c>
      <c r="B198" s="17">
        <v>43606</v>
      </c>
      <c r="C198" s="17" t="s">
        <v>802</v>
      </c>
      <c r="D198" s="18" t="s">
        <v>1294</v>
      </c>
      <c r="E198" s="11" t="s">
        <v>1180</v>
      </c>
      <c r="F198" s="19">
        <f>10</f>
        <v>10</v>
      </c>
      <c r="G198" s="37">
        <v>-110</v>
      </c>
      <c r="H198" s="21" t="s">
        <v>263</v>
      </c>
      <c r="I198" s="45">
        <f>IF(Bets[[#This Row],[Result]]="L",0-Bets[[#This Row],[Risk]],IF(Bets[[#This Row],[Result]]="Push",0,IF(Bets[[#This Row],[Result]]="No Action",0,IF(Bets[[#This Row],[Result]]="W",IF(Bets[[#This Row],[Odds]]&gt;0,Bets[[#This Row],[Odds]]/100*Bets[[#This Row],[Risk]],(Bets[[#This Row],[Risk]]/Bets[[#This Row],[Odds]]*-100)),""))))</f>
        <v>-10</v>
      </c>
      <c r="J198" s="39" t="str">
        <f>IF(ISNUMBER(SEARCH(CHAR(10),Bets[[#This Row],[Bet]])),"P",IF(ISNUMBER(FIND("Under",Bets[[#This Row],[Bet]])),"U",IF(ISNUMBER(SEARCH("Over",Bets[[#This Row],[Bet]])),"O",IF(ISNUMBER(SEARCH("+",Bets[[#This Row],[Bet]])),"D",IF(ISNUMBER(SEARCH("-",Bets[[#This Row],[Bet]])),"F",IF(ISNUMBER(SEARCH("Moneyline",Bets[[#This Row],[Bet]])),IF(Bets[[#This Row],[Odds]]&lt;0,"MF","MD"),""))))))</f>
        <v>MF</v>
      </c>
      <c r="K198" s="24"/>
      <c r="N198" s="6"/>
      <c r="O198" s="27"/>
    </row>
    <row r="199" spans="1:15" x14ac:dyDescent="0.25">
      <c r="A199" s="13">
        <f t="shared" si="11"/>
        <v>19</v>
      </c>
      <c r="B199" s="17">
        <v>43608</v>
      </c>
      <c r="C199" s="17" t="s">
        <v>802</v>
      </c>
      <c r="D199" s="18" t="s">
        <v>1285</v>
      </c>
      <c r="E199" s="11" t="s">
        <v>880</v>
      </c>
      <c r="F199" s="19">
        <f>10</f>
        <v>10</v>
      </c>
      <c r="G199" s="37">
        <v>-115</v>
      </c>
      <c r="H199" s="21" t="s">
        <v>263</v>
      </c>
      <c r="I199" s="45">
        <f>IF(Bets[[#This Row],[Result]]="L",0-Bets[[#This Row],[Risk]],IF(Bets[[#This Row],[Result]]="Push",0,IF(Bets[[#This Row],[Result]]="No Action",0,IF(Bets[[#This Row],[Result]]="W",IF(Bets[[#This Row],[Odds]]&gt;0,Bets[[#This Row],[Odds]]/100*Bets[[#This Row],[Risk]],(Bets[[#This Row],[Risk]]/Bets[[#This Row],[Odds]]*-100)),""))))</f>
        <v>-10</v>
      </c>
      <c r="J199" s="39" t="str">
        <f>IF(ISNUMBER(SEARCH(CHAR(10),Bets[[#This Row],[Bet]])),"P",IF(ISNUMBER(FIND("Under",Bets[[#This Row],[Bet]])),"U",IF(ISNUMBER(SEARCH("Over",Bets[[#This Row],[Bet]])),"O",IF(ISNUMBER(SEARCH("+",Bets[[#This Row],[Bet]])),"D",IF(ISNUMBER(SEARCH("-",Bets[[#This Row],[Bet]])),"F",IF(ISNUMBER(SEARCH("Moneyline",Bets[[#This Row],[Bet]])),IF(Bets[[#This Row],[Odds]]&lt;0,"MF","MD"),""))))))</f>
        <v>U</v>
      </c>
      <c r="K199" s="24"/>
      <c r="N199" s="6"/>
      <c r="O199" s="27"/>
    </row>
    <row r="200" spans="1:15" x14ac:dyDescent="0.25">
      <c r="A200" s="13">
        <f t="shared" si="11"/>
        <v>19</v>
      </c>
      <c r="B200" s="17">
        <v>43608</v>
      </c>
      <c r="C200" s="17" t="s">
        <v>802</v>
      </c>
      <c r="D200" s="18" t="s">
        <v>1284</v>
      </c>
      <c r="E200" s="11" t="s">
        <v>905</v>
      </c>
      <c r="F200" s="19">
        <f>10</f>
        <v>10</v>
      </c>
      <c r="G200" s="37">
        <v>-105</v>
      </c>
      <c r="H200" s="21" t="s">
        <v>262</v>
      </c>
      <c r="I200" s="45">
        <f>IF(Bets[[#This Row],[Result]]="L",0-Bets[[#This Row],[Risk]],IF(Bets[[#This Row],[Result]]="Push",0,IF(Bets[[#This Row],[Result]]="No Action",0,IF(Bets[[#This Row],[Result]]="W",IF(Bets[[#This Row],[Odds]]&gt;0,Bets[[#This Row],[Odds]]/100*Bets[[#This Row],[Risk]],(Bets[[#This Row],[Risk]]/Bets[[#This Row],[Odds]]*-100)),""))))</f>
        <v>9.5238095238095237</v>
      </c>
      <c r="J200" s="39" t="str">
        <f>IF(ISNUMBER(SEARCH(CHAR(10),Bets[[#This Row],[Bet]])),"P",IF(ISNUMBER(FIND("Under",Bets[[#This Row],[Bet]])),"U",IF(ISNUMBER(SEARCH("Over",Bets[[#This Row],[Bet]])),"O",IF(ISNUMBER(SEARCH("+",Bets[[#This Row],[Bet]])),"D",IF(ISNUMBER(SEARCH("-",Bets[[#This Row],[Bet]])),"F",IF(ISNUMBER(SEARCH("Moneyline",Bets[[#This Row],[Bet]])),IF(Bets[[#This Row],[Odds]]&lt;0,"MF","MD"),""))))))</f>
        <v>O</v>
      </c>
      <c r="K200" s="24"/>
      <c r="N200" s="6"/>
      <c r="O200" s="27"/>
    </row>
    <row r="201" spans="1:15" x14ac:dyDescent="0.25">
      <c r="A201" s="13">
        <f t="shared" si="11"/>
        <v>19</v>
      </c>
      <c r="B201" s="17">
        <v>43608</v>
      </c>
      <c r="C201" s="17" t="s">
        <v>802</v>
      </c>
      <c r="D201" s="18" t="s">
        <v>1303</v>
      </c>
      <c r="E201" s="11" t="s">
        <v>1210</v>
      </c>
      <c r="F201" s="19">
        <f>10</f>
        <v>10</v>
      </c>
      <c r="G201" s="37">
        <v>-130</v>
      </c>
      <c r="H201" s="21" t="s">
        <v>262</v>
      </c>
      <c r="I201" s="45">
        <f>IF(Bets[[#This Row],[Result]]="L",0-Bets[[#This Row],[Risk]],IF(Bets[[#This Row],[Result]]="Push",0,IF(Bets[[#This Row],[Result]]="No Action",0,IF(Bets[[#This Row],[Result]]="W",IF(Bets[[#This Row],[Odds]]&gt;0,Bets[[#This Row],[Odds]]/100*Bets[[#This Row],[Risk]],(Bets[[#This Row],[Risk]]/Bets[[#This Row],[Odds]]*-100)),""))))</f>
        <v>7.6923076923076925</v>
      </c>
      <c r="J201" s="39" t="str">
        <f>IF(ISNUMBER(SEARCH(CHAR(10),Bets[[#This Row],[Bet]])),"P",IF(ISNUMBER(FIND("Under",Bets[[#This Row],[Bet]])),"U",IF(ISNUMBER(SEARCH("Over",Bets[[#This Row],[Bet]])),"O",IF(ISNUMBER(SEARCH("+",Bets[[#This Row],[Bet]])),"D",IF(ISNUMBER(SEARCH("-",Bets[[#This Row],[Bet]])),"F",IF(ISNUMBER(SEARCH("Moneyline",Bets[[#This Row],[Bet]])),IF(Bets[[#This Row],[Odds]]&lt;0,"MF","MD"),""))))))</f>
        <v>MF</v>
      </c>
      <c r="K201" s="24"/>
      <c r="N201" s="6"/>
      <c r="O201" s="27"/>
    </row>
    <row r="202" spans="1:15" x14ac:dyDescent="0.25">
      <c r="A202" s="13">
        <f t="shared" si="11"/>
        <v>19</v>
      </c>
      <c r="B202" s="17">
        <v>43608</v>
      </c>
      <c r="C202" s="17" t="s">
        <v>802</v>
      </c>
      <c r="D202" s="18" t="s">
        <v>1303</v>
      </c>
      <c r="E202" s="11" t="s">
        <v>1209</v>
      </c>
      <c r="F202" s="19">
        <f>10</f>
        <v>10</v>
      </c>
      <c r="G202" s="37">
        <v>-105</v>
      </c>
      <c r="H202" s="21" t="s">
        <v>846</v>
      </c>
      <c r="I202" s="45">
        <f>IF(Bets[[#This Row],[Result]]="L",0-Bets[[#This Row],[Risk]],IF(Bets[[#This Row],[Result]]="Push",0,IF(Bets[[#This Row],[Result]]="No Action",0,IF(Bets[[#This Row],[Result]]="W",IF(Bets[[#This Row],[Odds]]&gt;0,Bets[[#This Row],[Odds]]/100*Bets[[#This Row],[Risk]],(Bets[[#This Row],[Risk]]/Bets[[#This Row],[Odds]]*-100)),""))))</f>
        <v>0</v>
      </c>
      <c r="J202" s="39" t="str">
        <f>IF(ISNUMBER(SEARCH(CHAR(10),Bets[[#This Row],[Bet]])),"P",IF(ISNUMBER(FIND("Under",Bets[[#This Row],[Bet]])),"U",IF(ISNUMBER(SEARCH("Over",Bets[[#This Row],[Bet]])),"O",IF(ISNUMBER(SEARCH("+",Bets[[#This Row],[Bet]])),"D",IF(ISNUMBER(SEARCH("-",Bets[[#This Row],[Bet]])),"F",IF(ISNUMBER(SEARCH("Moneyline",Bets[[#This Row],[Bet]])),IF(Bets[[#This Row],[Odds]]&lt;0,"MF","MD"),""))))))</f>
        <v>U</v>
      </c>
      <c r="K202" s="24"/>
      <c r="N202" s="6"/>
      <c r="O202" s="27"/>
    </row>
    <row r="203" spans="1:15" x14ac:dyDescent="0.25">
      <c r="A203" s="13">
        <f t="shared" si="11"/>
        <v>19</v>
      </c>
      <c r="B203" s="17">
        <v>43608</v>
      </c>
      <c r="C203" s="17" t="s">
        <v>802</v>
      </c>
      <c r="D203" s="18" t="s">
        <v>1286</v>
      </c>
      <c r="E203" s="11" t="s">
        <v>933</v>
      </c>
      <c r="F203" s="19">
        <f>10</f>
        <v>10</v>
      </c>
      <c r="G203" s="37">
        <v>-115</v>
      </c>
      <c r="H203" s="21" t="s">
        <v>262</v>
      </c>
      <c r="I203" s="45">
        <f>IF(Bets[[#This Row],[Result]]="L",0-Bets[[#This Row],[Risk]],IF(Bets[[#This Row],[Result]]="Push",0,IF(Bets[[#This Row],[Result]]="No Action",0,IF(Bets[[#This Row],[Result]]="W",IF(Bets[[#This Row],[Odds]]&gt;0,Bets[[#This Row],[Odds]]/100*Bets[[#This Row],[Risk]],(Bets[[#This Row],[Risk]]/Bets[[#This Row],[Odds]]*-100)),""))))</f>
        <v>8.695652173913043</v>
      </c>
      <c r="J203" s="39" t="str">
        <f>IF(ISNUMBER(SEARCH(CHAR(10),Bets[[#This Row],[Bet]])),"P",IF(ISNUMBER(FIND("Under",Bets[[#This Row],[Bet]])),"U",IF(ISNUMBER(SEARCH("Over",Bets[[#This Row],[Bet]])),"O",IF(ISNUMBER(SEARCH("+",Bets[[#This Row],[Bet]])),"D",IF(ISNUMBER(SEARCH("-",Bets[[#This Row],[Bet]])),"F",IF(ISNUMBER(SEARCH("Moneyline",Bets[[#This Row],[Bet]])),IF(Bets[[#This Row],[Odds]]&lt;0,"MF","MD"),""))))))</f>
        <v>U</v>
      </c>
      <c r="K203" s="24"/>
      <c r="N203" s="6"/>
      <c r="O203" s="27"/>
    </row>
    <row r="204" spans="1:15" x14ac:dyDescent="0.25">
      <c r="A204" s="13">
        <f t="shared" si="11"/>
        <v>19</v>
      </c>
      <c r="B204" s="17">
        <v>43608</v>
      </c>
      <c r="C204" s="17" t="s">
        <v>802</v>
      </c>
      <c r="D204" s="18" t="s">
        <v>1304</v>
      </c>
      <c r="E204" s="11" t="s">
        <v>867</v>
      </c>
      <c r="F204" s="19">
        <f>10</f>
        <v>10</v>
      </c>
      <c r="G204" s="37">
        <v>-125</v>
      </c>
      <c r="H204" s="21" t="s">
        <v>263</v>
      </c>
      <c r="I204" s="45">
        <f>IF(Bets[[#This Row],[Result]]="L",0-Bets[[#This Row],[Risk]],IF(Bets[[#This Row],[Result]]="Push",0,IF(Bets[[#This Row],[Result]]="No Action",0,IF(Bets[[#This Row],[Result]]="W",IF(Bets[[#This Row],[Odds]]&gt;0,Bets[[#This Row],[Odds]]/100*Bets[[#This Row],[Risk]],(Bets[[#This Row],[Risk]]/Bets[[#This Row],[Odds]]*-100)),""))))</f>
        <v>-10</v>
      </c>
      <c r="J204" s="39" t="str">
        <f>IF(ISNUMBER(SEARCH(CHAR(10),Bets[[#This Row],[Bet]])),"P",IF(ISNUMBER(FIND("Under",Bets[[#This Row],[Bet]])),"U",IF(ISNUMBER(SEARCH("Over",Bets[[#This Row],[Bet]])),"O",IF(ISNUMBER(SEARCH("+",Bets[[#This Row],[Bet]])),"D",IF(ISNUMBER(SEARCH("-",Bets[[#This Row],[Bet]])),"F",IF(ISNUMBER(SEARCH("Moneyline",Bets[[#This Row],[Bet]])),IF(Bets[[#This Row],[Odds]]&lt;0,"MF","MD"),""))))))</f>
        <v>MF</v>
      </c>
      <c r="K204" s="24"/>
      <c r="N204" s="6"/>
      <c r="O204" s="27"/>
    </row>
    <row r="205" spans="1:15" x14ac:dyDescent="0.25">
      <c r="A205" s="13">
        <f t="shared" si="11"/>
        <v>19</v>
      </c>
      <c r="B205" s="17">
        <v>43608</v>
      </c>
      <c r="C205" s="17" t="s">
        <v>802</v>
      </c>
      <c r="D205" s="18" t="s">
        <v>1292</v>
      </c>
      <c r="E205" s="11" t="s">
        <v>815</v>
      </c>
      <c r="F205" s="19">
        <f>10</f>
        <v>10</v>
      </c>
      <c r="G205" s="37">
        <v>-130</v>
      </c>
      <c r="H205" s="21" t="s">
        <v>262</v>
      </c>
      <c r="I205" s="45">
        <f>IF(Bets[[#This Row],[Result]]="L",0-Bets[[#This Row],[Risk]],IF(Bets[[#This Row],[Result]]="Push",0,IF(Bets[[#This Row],[Result]]="No Action",0,IF(Bets[[#This Row],[Result]]="W",IF(Bets[[#This Row],[Odds]]&gt;0,Bets[[#This Row],[Odds]]/100*Bets[[#This Row],[Risk]],(Bets[[#This Row],[Risk]]/Bets[[#This Row],[Odds]]*-100)),""))))</f>
        <v>7.6923076923076925</v>
      </c>
      <c r="J205" s="39" t="str">
        <f>IF(ISNUMBER(SEARCH(CHAR(10),Bets[[#This Row],[Bet]])),"P",IF(ISNUMBER(FIND("Under",Bets[[#This Row],[Bet]])),"U",IF(ISNUMBER(SEARCH("Over",Bets[[#This Row],[Bet]])),"O",IF(ISNUMBER(SEARCH("+",Bets[[#This Row],[Bet]])),"D",IF(ISNUMBER(SEARCH("-",Bets[[#This Row],[Bet]])),"F",IF(ISNUMBER(SEARCH("Moneyline",Bets[[#This Row],[Bet]])),IF(Bets[[#This Row],[Odds]]&lt;0,"MF","MD"),""))))))</f>
        <v>MF</v>
      </c>
      <c r="K205" s="24"/>
      <c r="N205" s="6"/>
      <c r="O205" s="27"/>
    </row>
    <row r="206" spans="1:15" x14ac:dyDescent="0.25">
      <c r="A206" s="13">
        <f t="shared" si="11"/>
        <v>19</v>
      </c>
      <c r="B206" s="17">
        <v>43608</v>
      </c>
      <c r="C206" s="17" t="s">
        <v>802</v>
      </c>
      <c r="D206" s="18" t="s">
        <v>1305</v>
      </c>
      <c r="E206" s="11" t="s">
        <v>869</v>
      </c>
      <c r="F206" s="19">
        <f>10</f>
        <v>10</v>
      </c>
      <c r="G206" s="37" t="s">
        <v>1306</v>
      </c>
      <c r="H206" s="21" t="s">
        <v>263</v>
      </c>
      <c r="I206" s="45">
        <f>IF(Bets[[#This Row],[Result]]="L",0-Bets[[#This Row],[Risk]],IF(Bets[[#This Row],[Result]]="Push",0,IF(Bets[[#This Row],[Result]]="No Action",0,IF(Bets[[#This Row],[Result]]="W",IF(Bets[[#This Row],[Odds]]&gt;0,Bets[[#This Row],[Odds]]/100*Bets[[#This Row],[Risk]],(Bets[[#This Row],[Risk]]/Bets[[#This Row],[Odds]]*-100)),""))))</f>
        <v>-10</v>
      </c>
      <c r="J206" s="39" t="str">
        <f>IF(ISNUMBER(SEARCH(CHAR(10),Bets[[#This Row],[Bet]])),"P",IF(ISNUMBER(FIND("Under",Bets[[#This Row],[Bet]])),"U",IF(ISNUMBER(SEARCH("Over",Bets[[#This Row],[Bet]])),"O",IF(ISNUMBER(SEARCH("+",Bets[[#This Row],[Bet]])),"D",IF(ISNUMBER(SEARCH("-",Bets[[#This Row],[Bet]])),"F",IF(ISNUMBER(SEARCH("Moneyline",Bets[[#This Row],[Bet]])),IF(Bets[[#This Row],[Odds]]&lt;0,"MF","MD"),""))))))</f>
        <v>MD</v>
      </c>
      <c r="K206" s="24"/>
      <c r="N206" s="6"/>
      <c r="O206" s="27"/>
    </row>
    <row r="207" spans="1:15" x14ac:dyDescent="0.25">
      <c r="A207" s="13">
        <f t="shared" si="11"/>
        <v>20</v>
      </c>
      <c r="B207" s="17">
        <v>43613</v>
      </c>
      <c r="C207" s="17" t="s">
        <v>802</v>
      </c>
      <c r="D207" s="18" t="s">
        <v>1335</v>
      </c>
      <c r="E207" s="11" t="s">
        <v>880</v>
      </c>
      <c r="F207" s="19">
        <f>10</f>
        <v>10</v>
      </c>
      <c r="G207" s="37">
        <v>-115</v>
      </c>
      <c r="H207" s="21" t="s">
        <v>262</v>
      </c>
      <c r="I207" s="45">
        <f>IF(Bets[[#This Row],[Result]]="L",0-Bets[[#This Row],[Risk]],IF(Bets[[#This Row],[Result]]="Push",0,IF(Bets[[#This Row],[Result]]="No Action",0,IF(Bets[[#This Row],[Result]]="W",IF(Bets[[#This Row],[Odds]]&gt;0,Bets[[#This Row],[Odds]]/100*Bets[[#This Row],[Risk]],(Bets[[#This Row],[Risk]]/Bets[[#This Row],[Odds]]*-100)),""))))</f>
        <v>8.695652173913043</v>
      </c>
      <c r="J207" s="39" t="str">
        <f>IF(ISNUMBER(SEARCH(CHAR(10),Bets[[#This Row],[Bet]])),"P",IF(ISNUMBER(FIND("Under",Bets[[#This Row],[Bet]])),"U",IF(ISNUMBER(SEARCH("Over",Bets[[#This Row],[Bet]])),"O",IF(ISNUMBER(SEARCH("+",Bets[[#This Row],[Bet]])),"D",IF(ISNUMBER(SEARCH("-",Bets[[#This Row],[Bet]])),"F",IF(ISNUMBER(SEARCH("Moneyline",Bets[[#This Row],[Bet]])),IF(Bets[[#This Row],[Odds]]&lt;0,"MF","MD"),""))))))</f>
        <v>U</v>
      </c>
      <c r="K207" s="24"/>
      <c r="N207" s="6"/>
      <c r="O207" s="27"/>
    </row>
    <row r="208" spans="1:15" x14ac:dyDescent="0.25">
      <c r="A208" s="13">
        <f t="shared" si="11"/>
        <v>20</v>
      </c>
      <c r="B208" s="17">
        <v>43613</v>
      </c>
      <c r="C208" s="17" t="s">
        <v>802</v>
      </c>
      <c r="D208" s="18" t="s">
        <v>1336</v>
      </c>
      <c r="E208" s="11" t="s">
        <v>1209</v>
      </c>
      <c r="F208" s="19">
        <f>10</f>
        <v>10</v>
      </c>
      <c r="G208" s="37">
        <v>-110</v>
      </c>
      <c r="H208" s="21" t="s">
        <v>263</v>
      </c>
      <c r="I208" s="45">
        <f>IF(Bets[[#This Row],[Result]]="L",0-Bets[[#This Row],[Risk]],IF(Bets[[#This Row],[Result]]="Push",0,IF(Bets[[#This Row],[Result]]="No Action",0,IF(Bets[[#This Row],[Result]]="W",IF(Bets[[#This Row],[Odds]]&gt;0,Bets[[#This Row],[Odds]]/100*Bets[[#This Row],[Risk]],(Bets[[#This Row],[Risk]]/Bets[[#This Row],[Odds]]*-100)),""))))</f>
        <v>-10</v>
      </c>
      <c r="J208" s="39" t="str">
        <f>IF(ISNUMBER(SEARCH(CHAR(10),Bets[[#This Row],[Bet]])),"P",IF(ISNUMBER(FIND("Under",Bets[[#This Row],[Bet]])),"U",IF(ISNUMBER(SEARCH("Over",Bets[[#This Row],[Bet]])),"O",IF(ISNUMBER(SEARCH("+",Bets[[#This Row],[Bet]])),"D",IF(ISNUMBER(SEARCH("-",Bets[[#This Row],[Bet]])),"F",IF(ISNUMBER(SEARCH("Moneyline",Bets[[#This Row],[Bet]])),IF(Bets[[#This Row],[Odds]]&lt;0,"MF","MD"),""))))))</f>
        <v>U</v>
      </c>
      <c r="K208" s="24"/>
      <c r="N208" s="6"/>
      <c r="O208" s="27"/>
    </row>
    <row r="209" spans="1:15" x14ac:dyDescent="0.25">
      <c r="A209" s="13">
        <f t="shared" si="11"/>
        <v>20</v>
      </c>
      <c r="B209" s="17">
        <v>43613</v>
      </c>
      <c r="C209" s="17" t="s">
        <v>802</v>
      </c>
      <c r="D209" s="18" t="s">
        <v>1337</v>
      </c>
      <c r="E209" s="11" t="s">
        <v>933</v>
      </c>
      <c r="F209" s="19">
        <f>10</f>
        <v>10</v>
      </c>
      <c r="G209" s="37">
        <v>-120</v>
      </c>
      <c r="H209" s="21" t="s">
        <v>262</v>
      </c>
      <c r="I209" s="45">
        <f>IF(Bets[[#This Row],[Result]]="L",0-Bets[[#This Row],[Risk]],IF(Bets[[#This Row],[Result]]="Push",0,IF(Bets[[#This Row],[Result]]="No Action",0,IF(Bets[[#This Row],[Result]]="W",IF(Bets[[#This Row],[Odds]]&gt;0,Bets[[#This Row],[Odds]]/100*Bets[[#This Row],[Risk]],(Bets[[#This Row],[Risk]]/Bets[[#This Row],[Odds]]*-100)),""))))</f>
        <v>8.3333333333333321</v>
      </c>
      <c r="J209" s="39" t="str">
        <f>IF(ISNUMBER(SEARCH(CHAR(10),Bets[[#This Row],[Bet]])),"P",IF(ISNUMBER(FIND("Under",Bets[[#This Row],[Bet]])),"U",IF(ISNUMBER(SEARCH("Over",Bets[[#This Row],[Bet]])),"O",IF(ISNUMBER(SEARCH("+",Bets[[#This Row],[Bet]])),"D",IF(ISNUMBER(SEARCH("-",Bets[[#This Row],[Bet]])),"F",IF(ISNUMBER(SEARCH("Moneyline",Bets[[#This Row],[Bet]])),IF(Bets[[#This Row],[Odds]]&lt;0,"MF","MD"),""))))))</f>
        <v>U</v>
      </c>
      <c r="K209" s="24"/>
      <c r="N209" s="6"/>
      <c r="O209" s="27"/>
    </row>
    <row r="210" spans="1:15" x14ac:dyDescent="0.25">
      <c r="A210" s="13">
        <f t="shared" si="11"/>
        <v>20</v>
      </c>
      <c r="B210" s="17">
        <v>43613</v>
      </c>
      <c r="C210" s="17" t="s">
        <v>802</v>
      </c>
      <c r="D210" s="18" t="s">
        <v>1338</v>
      </c>
      <c r="E210" s="11" t="s">
        <v>899</v>
      </c>
      <c r="F210" s="19">
        <f>10</f>
        <v>10</v>
      </c>
      <c r="G210" s="37" t="s">
        <v>1306</v>
      </c>
      <c r="H210" s="21" t="s">
        <v>263</v>
      </c>
      <c r="I210" s="45">
        <f>IF(Bets[[#This Row],[Result]]="L",0-Bets[[#This Row],[Risk]],IF(Bets[[#This Row],[Result]]="Push",0,IF(Bets[[#This Row],[Result]]="No Action",0,IF(Bets[[#This Row],[Result]]="W",IF(Bets[[#This Row],[Odds]]&gt;0,Bets[[#This Row],[Odds]]/100*Bets[[#This Row],[Risk]],(Bets[[#This Row],[Risk]]/Bets[[#This Row],[Odds]]*-100)),""))))</f>
        <v>-10</v>
      </c>
      <c r="J210" s="39" t="str">
        <f>IF(ISNUMBER(SEARCH(CHAR(10),Bets[[#This Row],[Bet]])),"P",IF(ISNUMBER(FIND("Under",Bets[[#This Row],[Bet]])),"U",IF(ISNUMBER(SEARCH("Over",Bets[[#This Row],[Bet]])),"O",IF(ISNUMBER(SEARCH("+",Bets[[#This Row],[Bet]])),"D",IF(ISNUMBER(SEARCH("-",Bets[[#This Row],[Bet]])),"F",IF(ISNUMBER(SEARCH("Moneyline",Bets[[#This Row],[Bet]])),IF(Bets[[#This Row],[Odds]]&lt;0,"MF","MD"),""))))))</f>
        <v>MD</v>
      </c>
      <c r="K210" s="24"/>
      <c r="N210" s="6"/>
      <c r="O210" s="27"/>
    </row>
    <row r="211" spans="1:15" x14ac:dyDescent="0.25">
      <c r="A211" s="13">
        <f t="shared" si="11"/>
        <v>20</v>
      </c>
      <c r="B211" s="17">
        <v>43613</v>
      </c>
      <c r="C211" s="17" t="s">
        <v>802</v>
      </c>
      <c r="D211" s="18" t="s">
        <v>1339</v>
      </c>
      <c r="E211" s="11" t="s">
        <v>810</v>
      </c>
      <c r="F211" s="19">
        <f>10</f>
        <v>10</v>
      </c>
      <c r="G211" s="37">
        <v>-110</v>
      </c>
      <c r="H211" s="21" t="s">
        <v>263</v>
      </c>
      <c r="I211" s="45">
        <f>IF(Bets[[#This Row],[Result]]="L",0-Bets[[#This Row],[Risk]],IF(Bets[[#This Row],[Result]]="Push",0,IF(Bets[[#This Row],[Result]]="No Action",0,IF(Bets[[#This Row],[Result]]="W",IF(Bets[[#This Row],[Odds]]&gt;0,Bets[[#This Row],[Odds]]/100*Bets[[#This Row],[Risk]],(Bets[[#This Row],[Risk]]/Bets[[#This Row],[Odds]]*-100)),""))))</f>
        <v>-10</v>
      </c>
      <c r="J211" s="39" t="str">
        <f>IF(ISNUMBER(SEARCH(CHAR(10),Bets[[#This Row],[Bet]])),"P",IF(ISNUMBER(FIND("Under",Bets[[#This Row],[Bet]])),"U",IF(ISNUMBER(SEARCH("Over",Bets[[#This Row],[Bet]])),"O",IF(ISNUMBER(SEARCH("+",Bets[[#This Row],[Bet]])),"D",IF(ISNUMBER(SEARCH("-",Bets[[#This Row],[Bet]])),"F",IF(ISNUMBER(SEARCH("Moneyline",Bets[[#This Row],[Bet]])),IF(Bets[[#This Row],[Odds]]&lt;0,"MF","MD"),""))))))</f>
        <v>MF</v>
      </c>
      <c r="K211" s="24"/>
      <c r="N211" s="6"/>
      <c r="O211" s="27"/>
    </row>
    <row r="212" spans="1:15" x14ac:dyDescent="0.25">
      <c r="A212" s="13">
        <f t="shared" si="11"/>
        <v>20</v>
      </c>
      <c r="B212" s="17">
        <v>43613</v>
      </c>
      <c r="C212" s="17" t="s">
        <v>802</v>
      </c>
      <c r="D212" s="18" t="s">
        <v>1340</v>
      </c>
      <c r="E212" s="11" t="s">
        <v>877</v>
      </c>
      <c r="F212" s="19">
        <f>10</f>
        <v>10</v>
      </c>
      <c r="G212" s="37">
        <v>-120</v>
      </c>
      <c r="H212" s="21" t="s">
        <v>262</v>
      </c>
      <c r="I212" s="45">
        <f>IF(Bets[[#This Row],[Result]]="L",0-Bets[[#This Row],[Risk]],IF(Bets[[#This Row],[Result]]="Push",0,IF(Bets[[#This Row],[Result]]="No Action",0,IF(Bets[[#This Row],[Result]]="W",IF(Bets[[#This Row],[Odds]]&gt;0,Bets[[#This Row],[Odds]]/100*Bets[[#This Row],[Risk]],(Bets[[#This Row],[Risk]]/Bets[[#This Row],[Odds]]*-100)),""))))</f>
        <v>8.3333333333333321</v>
      </c>
      <c r="J212" s="39" t="str">
        <f>IF(ISNUMBER(SEARCH(CHAR(10),Bets[[#This Row],[Bet]])),"P",IF(ISNUMBER(FIND("Under",Bets[[#This Row],[Bet]])),"U",IF(ISNUMBER(SEARCH("Over",Bets[[#This Row],[Bet]])),"O",IF(ISNUMBER(SEARCH("+",Bets[[#This Row],[Bet]])),"D",IF(ISNUMBER(SEARCH("-",Bets[[#This Row],[Bet]])),"F",IF(ISNUMBER(SEARCH("Moneyline",Bets[[#This Row],[Bet]])),IF(Bets[[#This Row],[Odds]]&lt;0,"MF","MD"),""))))))</f>
        <v>U</v>
      </c>
      <c r="K212" s="24"/>
      <c r="N212" s="6"/>
      <c r="O212" s="27"/>
    </row>
    <row r="213" spans="1:15" x14ac:dyDescent="0.25">
      <c r="A213" s="13">
        <f t="shared" si="11"/>
        <v>20</v>
      </c>
      <c r="B213" s="17">
        <v>43613</v>
      </c>
      <c r="C213" s="17" t="s">
        <v>802</v>
      </c>
      <c r="D213" s="18" t="s">
        <v>1341</v>
      </c>
      <c r="E213" s="11" t="s">
        <v>1180</v>
      </c>
      <c r="F213" s="19">
        <f>10</f>
        <v>10</v>
      </c>
      <c r="G213" s="37" t="s">
        <v>1342</v>
      </c>
      <c r="H213" s="21" t="s">
        <v>263</v>
      </c>
      <c r="I213" s="45">
        <f>IF(Bets[[#This Row],[Result]]="L",0-Bets[[#This Row],[Risk]],IF(Bets[[#This Row],[Result]]="Push",0,IF(Bets[[#This Row],[Result]]="No Action",0,IF(Bets[[#This Row],[Result]]="W",IF(Bets[[#This Row],[Odds]]&gt;0,Bets[[#This Row],[Odds]]/100*Bets[[#This Row],[Risk]],(Bets[[#This Row],[Risk]]/Bets[[#This Row],[Odds]]*-100)),""))))</f>
        <v>-10</v>
      </c>
      <c r="J213" s="39" t="str">
        <f>IF(ISNUMBER(SEARCH(CHAR(10),Bets[[#This Row],[Bet]])),"P",IF(ISNUMBER(FIND("Under",Bets[[#This Row],[Bet]])),"U",IF(ISNUMBER(SEARCH("Over",Bets[[#This Row],[Bet]])),"O",IF(ISNUMBER(SEARCH("+",Bets[[#This Row],[Bet]])),"D",IF(ISNUMBER(SEARCH("-",Bets[[#This Row],[Bet]])),"F",IF(ISNUMBER(SEARCH("Moneyline",Bets[[#This Row],[Bet]])),IF(Bets[[#This Row],[Odds]]&lt;0,"MF","MD"),""))))))</f>
        <v>MD</v>
      </c>
      <c r="K213" s="24"/>
      <c r="N213" s="6"/>
      <c r="O213" s="27"/>
    </row>
    <row r="214" spans="1:15" x14ac:dyDescent="0.25">
      <c r="A214" s="13">
        <f t="shared" si="11"/>
        <v>20</v>
      </c>
      <c r="B214" s="17">
        <v>43613</v>
      </c>
      <c r="C214" s="17" t="s">
        <v>802</v>
      </c>
      <c r="D214" s="18" t="s">
        <v>1341</v>
      </c>
      <c r="E214" s="11" t="s">
        <v>1343</v>
      </c>
      <c r="F214" s="19">
        <f>10</f>
        <v>10</v>
      </c>
      <c r="G214" s="37">
        <v>100</v>
      </c>
      <c r="H214" s="21" t="s">
        <v>262</v>
      </c>
      <c r="I214" s="45">
        <f>IF(Bets[[#This Row],[Result]]="L",0-Bets[[#This Row],[Risk]],IF(Bets[[#This Row],[Result]]="Push",0,IF(Bets[[#This Row],[Result]]="No Action",0,IF(Bets[[#This Row],[Result]]="W",IF(Bets[[#This Row],[Odds]]&gt;0,Bets[[#This Row],[Odds]]/100*Bets[[#This Row],[Risk]],(Bets[[#This Row],[Risk]]/Bets[[#This Row],[Odds]]*-100)),""))))</f>
        <v>10</v>
      </c>
      <c r="J214" s="39" t="str">
        <f>IF(ISNUMBER(SEARCH(CHAR(10),Bets[[#This Row],[Bet]])),"P",IF(ISNUMBER(FIND("Under",Bets[[#This Row],[Bet]])),"U",IF(ISNUMBER(SEARCH("Over",Bets[[#This Row],[Bet]])),"O",IF(ISNUMBER(SEARCH("+",Bets[[#This Row],[Bet]])),"D",IF(ISNUMBER(SEARCH("-",Bets[[#This Row],[Bet]])),"F",IF(ISNUMBER(SEARCH("Moneyline",Bets[[#This Row],[Bet]])),IF(Bets[[#This Row],[Odds]]&lt;0,"MF","MD"),""))))))</f>
        <v>U</v>
      </c>
      <c r="K214" s="24"/>
      <c r="N214" s="6"/>
      <c r="O214" s="27"/>
    </row>
    <row r="215" spans="1:15" x14ac:dyDescent="0.25">
      <c r="A215" s="13">
        <f t="shared" si="11"/>
        <v>21</v>
      </c>
      <c r="B215" s="17">
        <v>43614</v>
      </c>
      <c r="C215" s="17" t="s">
        <v>802</v>
      </c>
      <c r="D215" s="18" t="s">
        <v>1352</v>
      </c>
      <c r="E215" s="18" t="s">
        <v>834</v>
      </c>
      <c r="F215" s="19">
        <f>10</f>
        <v>10</v>
      </c>
      <c r="G215" s="37">
        <v>-136</v>
      </c>
      <c r="H215" s="21" t="s">
        <v>263</v>
      </c>
      <c r="I215" s="45">
        <f>IF(Bets[[#This Row],[Result]]="L",0-Bets[[#This Row],[Risk]],IF(Bets[[#This Row],[Result]]="Push",0,IF(Bets[[#This Row],[Result]]="No Action",0,IF(Bets[[#This Row],[Result]]="W",IF(Bets[[#This Row],[Odds]]&gt;0,Bets[[#This Row],[Odds]]/100*Bets[[#This Row],[Risk]],(Bets[[#This Row],[Risk]]/Bets[[#This Row],[Odds]]*-100)),""))))</f>
        <v>-10</v>
      </c>
      <c r="J215" s="39" t="str">
        <f>IF(ISNUMBER(SEARCH(CHAR(10),Bets[[#This Row],[Bet]])),"P",IF(ISNUMBER(FIND("Under",Bets[[#This Row],[Bet]])),"U",IF(ISNUMBER(SEARCH("Over",Bets[[#This Row],[Bet]])),"O",IF(ISNUMBER(SEARCH("+",Bets[[#This Row],[Bet]])),"D",IF(ISNUMBER(SEARCH("-",Bets[[#This Row],[Bet]])),"F",IF(ISNUMBER(SEARCH("Moneyline",Bets[[#This Row],[Bet]])),IF(Bets[[#This Row],[Odds]]&lt;0,"MF","MD"),""))))))</f>
        <v>MF</v>
      </c>
      <c r="K215" s="24"/>
      <c r="N215" s="6"/>
      <c r="O215" s="27"/>
    </row>
    <row r="216" spans="1:15" x14ac:dyDescent="0.25">
      <c r="A216" s="13">
        <f t="shared" si="11"/>
        <v>21</v>
      </c>
      <c r="B216" s="17">
        <v>43614</v>
      </c>
      <c r="C216" s="17" t="s">
        <v>802</v>
      </c>
      <c r="D216" s="18" t="s">
        <v>891</v>
      </c>
      <c r="E216" s="18" t="s">
        <v>1156</v>
      </c>
      <c r="F216" s="19">
        <f>10</f>
        <v>10</v>
      </c>
      <c r="G216" s="37">
        <v>-105</v>
      </c>
      <c r="H216" s="21" t="s">
        <v>262</v>
      </c>
      <c r="I216" s="45">
        <f>IF(Bets[[#This Row],[Result]]="L",0-Bets[[#This Row],[Risk]],IF(Bets[[#This Row],[Result]]="Push",0,IF(Bets[[#This Row],[Result]]="No Action",0,IF(Bets[[#This Row],[Result]]="W",IF(Bets[[#This Row],[Odds]]&gt;0,Bets[[#This Row],[Odds]]/100*Bets[[#This Row],[Risk]],(Bets[[#This Row],[Risk]]/Bets[[#This Row],[Odds]]*-100)),""))))</f>
        <v>9.5238095238095237</v>
      </c>
      <c r="J216" s="39" t="str">
        <f>IF(ISNUMBER(SEARCH(CHAR(10),Bets[[#This Row],[Bet]])),"P",IF(ISNUMBER(FIND("Under",Bets[[#This Row],[Bet]])),"U",IF(ISNUMBER(SEARCH("Over",Bets[[#This Row],[Bet]])),"O",IF(ISNUMBER(SEARCH("+",Bets[[#This Row],[Bet]])),"D",IF(ISNUMBER(SEARCH("-",Bets[[#This Row],[Bet]])),"F",IF(ISNUMBER(SEARCH("Moneyline",Bets[[#This Row],[Bet]])),IF(Bets[[#This Row],[Odds]]&lt;0,"MF","MD"),""))))))</f>
        <v>O</v>
      </c>
      <c r="K216" s="24"/>
      <c r="N216" s="6"/>
      <c r="O216" s="27"/>
    </row>
    <row r="217" spans="1:15" x14ac:dyDescent="0.25">
      <c r="A217" s="13">
        <f t="shared" si="11"/>
        <v>21</v>
      </c>
      <c r="B217" s="17">
        <v>43614</v>
      </c>
      <c r="C217" s="17" t="s">
        <v>802</v>
      </c>
      <c r="D217" s="18" t="s">
        <v>891</v>
      </c>
      <c r="E217" s="18" t="s">
        <v>836</v>
      </c>
      <c r="F217" s="19">
        <f>10</f>
        <v>10</v>
      </c>
      <c r="G217" s="37">
        <v>-135</v>
      </c>
      <c r="H217" s="21" t="s">
        <v>263</v>
      </c>
      <c r="I217" s="45">
        <f>IF(Bets[[#This Row],[Result]]="L",0-Bets[[#This Row],[Risk]],IF(Bets[[#This Row],[Result]]="Push",0,IF(Bets[[#This Row],[Result]]="No Action",0,IF(Bets[[#This Row],[Result]]="W",IF(Bets[[#This Row],[Odds]]&gt;0,Bets[[#This Row],[Odds]]/100*Bets[[#This Row],[Risk]],(Bets[[#This Row],[Risk]]/Bets[[#This Row],[Odds]]*-100)),""))))</f>
        <v>-10</v>
      </c>
      <c r="J217" s="39" t="str">
        <f>IF(ISNUMBER(SEARCH(CHAR(10),Bets[[#This Row],[Bet]])),"P",IF(ISNUMBER(FIND("Under",Bets[[#This Row],[Bet]])),"U",IF(ISNUMBER(SEARCH("Over",Bets[[#This Row],[Bet]])),"O",IF(ISNUMBER(SEARCH("+",Bets[[#This Row],[Bet]])),"D",IF(ISNUMBER(SEARCH("-",Bets[[#This Row],[Bet]])),"F",IF(ISNUMBER(SEARCH("Moneyline",Bets[[#This Row],[Bet]])),IF(Bets[[#This Row],[Odds]]&lt;0,"MF","MD"),""))))))</f>
        <v>MF</v>
      </c>
      <c r="K217" s="24"/>
      <c r="N217" s="6"/>
      <c r="O217" s="27"/>
    </row>
    <row r="218" spans="1:15" x14ac:dyDescent="0.25">
      <c r="A218" s="13">
        <f t="shared" si="11"/>
        <v>21</v>
      </c>
      <c r="B218" s="17">
        <v>43614</v>
      </c>
      <c r="C218" s="17" t="s">
        <v>802</v>
      </c>
      <c r="D218" s="18" t="s">
        <v>1353</v>
      </c>
      <c r="E218" s="18" t="s">
        <v>1210</v>
      </c>
      <c r="F218" s="19">
        <f>10</f>
        <v>10</v>
      </c>
      <c r="G218" s="37">
        <v>-112</v>
      </c>
      <c r="H218" s="21" t="s">
        <v>263</v>
      </c>
      <c r="I218" s="45">
        <f>IF(Bets[[#This Row],[Result]]="L",0-Bets[[#This Row],[Risk]],IF(Bets[[#This Row],[Result]]="Push",0,IF(Bets[[#This Row],[Result]]="No Action",0,IF(Bets[[#This Row],[Result]]="W",IF(Bets[[#This Row],[Odds]]&gt;0,Bets[[#This Row],[Odds]]/100*Bets[[#This Row],[Risk]],(Bets[[#This Row],[Risk]]/Bets[[#This Row],[Odds]]*-100)),""))))</f>
        <v>-10</v>
      </c>
      <c r="J218" s="39" t="str">
        <f>IF(ISNUMBER(SEARCH(CHAR(10),Bets[[#This Row],[Bet]])),"P",IF(ISNUMBER(FIND("Under",Bets[[#This Row],[Bet]])),"U",IF(ISNUMBER(SEARCH("Over",Bets[[#This Row],[Bet]])),"O",IF(ISNUMBER(SEARCH("+",Bets[[#This Row],[Bet]])),"D",IF(ISNUMBER(SEARCH("-",Bets[[#This Row],[Bet]])),"F",IF(ISNUMBER(SEARCH("Moneyline",Bets[[#This Row],[Bet]])),IF(Bets[[#This Row],[Odds]]&lt;0,"MF","MD"),""))))))</f>
        <v>MF</v>
      </c>
      <c r="K218" s="24"/>
      <c r="N218" s="6"/>
      <c r="O218" s="27"/>
    </row>
    <row r="219" spans="1:15" x14ac:dyDescent="0.25">
      <c r="A219" s="13">
        <f t="shared" si="11"/>
        <v>21</v>
      </c>
      <c r="B219" s="17">
        <v>43614</v>
      </c>
      <c r="C219" s="17" t="s">
        <v>802</v>
      </c>
      <c r="D219" s="18" t="s">
        <v>1337</v>
      </c>
      <c r="E219" s="18" t="s">
        <v>874</v>
      </c>
      <c r="F219" s="19">
        <f>10</f>
        <v>10</v>
      </c>
      <c r="G219" s="37">
        <v>-120</v>
      </c>
      <c r="H219" s="21" t="s">
        <v>263</v>
      </c>
      <c r="I219" s="45">
        <f>IF(Bets[[#This Row],[Result]]="L",0-Bets[[#This Row],[Risk]],IF(Bets[[#This Row],[Result]]="Push",0,IF(Bets[[#This Row],[Result]]="No Action",0,IF(Bets[[#This Row],[Result]]="W",IF(Bets[[#This Row],[Odds]]&gt;0,Bets[[#This Row],[Odds]]/100*Bets[[#This Row],[Risk]],(Bets[[#This Row],[Risk]]/Bets[[#This Row],[Odds]]*-100)),""))))</f>
        <v>-10</v>
      </c>
      <c r="J219" s="39" t="str">
        <f>IF(ISNUMBER(SEARCH(CHAR(10),Bets[[#This Row],[Bet]])),"P",IF(ISNUMBER(FIND("Under",Bets[[#This Row],[Bet]])),"U",IF(ISNUMBER(SEARCH("Over",Bets[[#This Row],[Bet]])),"O",IF(ISNUMBER(SEARCH("+",Bets[[#This Row],[Bet]])),"D",IF(ISNUMBER(SEARCH("-",Bets[[#This Row],[Bet]])),"F",IF(ISNUMBER(SEARCH("Moneyline",Bets[[#This Row],[Bet]])),IF(Bets[[#This Row],[Odds]]&lt;0,"MF","MD"),""))))))</f>
        <v>MF</v>
      </c>
      <c r="K219" s="24"/>
      <c r="N219" s="6"/>
      <c r="O219" s="27"/>
    </row>
    <row r="220" spans="1:15" x14ac:dyDescent="0.25">
      <c r="A220" s="13">
        <f t="shared" si="11"/>
        <v>21</v>
      </c>
      <c r="B220" s="17">
        <v>43614</v>
      </c>
      <c r="C220" s="17" t="s">
        <v>802</v>
      </c>
      <c r="D220" s="18" t="s">
        <v>1341</v>
      </c>
      <c r="E220" s="18" t="s">
        <v>1180</v>
      </c>
      <c r="F220" s="19">
        <f>10</f>
        <v>10</v>
      </c>
      <c r="G220" s="37">
        <v>-112</v>
      </c>
      <c r="H220" s="21" t="s">
        <v>263</v>
      </c>
      <c r="I220" s="45">
        <f>IF(Bets[[#This Row],[Result]]="L",0-Bets[[#This Row],[Risk]],IF(Bets[[#This Row],[Result]]="Push",0,IF(Bets[[#This Row],[Result]]="No Action",0,IF(Bets[[#This Row],[Result]]="W",IF(Bets[[#This Row],[Odds]]&gt;0,Bets[[#This Row],[Odds]]/100*Bets[[#This Row],[Risk]],(Bets[[#This Row],[Risk]]/Bets[[#This Row],[Odds]]*-100)),""))))</f>
        <v>-10</v>
      </c>
      <c r="J220" s="39" t="str">
        <f>IF(ISNUMBER(SEARCH(CHAR(10),Bets[[#This Row],[Bet]])),"P",IF(ISNUMBER(FIND("Under",Bets[[#This Row],[Bet]])),"U",IF(ISNUMBER(SEARCH("Over",Bets[[#This Row],[Bet]])),"O",IF(ISNUMBER(SEARCH("+",Bets[[#This Row],[Bet]])),"D",IF(ISNUMBER(SEARCH("-",Bets[[#This Row],[Bet]])),"F",IF(ISNUMBER(SEARCH("Moneyline",Bets[[#This Row],[Bet]])),IF(Bets[[#This Row],[Odds]]&lt;0,"MF","MD"),""))))))</f>
        <v>MF</v>
      </c>
      <c r="K220" s="24"/>
      <c r="N220" s="6"/>
      <c r="O220" s="27"/>
    </row>
    <row r="221" spans="1:15" x14ac:dyDescent="0.25">
      <c r="A221" s="13">
        <f t="shared" si="11"/>
        <v>21</v>
      </c>
      <c r="B221" s="17">
        <v>43614</v>
      </c>
      <c r="C221" s="17" t="s">
        <v>802</v>
      </c>
      <c r="D221" s="18" t="s">
        <v>1354</v>
      </c>
      <c r="E221" s="18" t="s">
        <v>841</v>
      </c>
      <c r="F221" s="19">
        <f>10</f>
        <v>10</v>
      </c>
      <c r="G221" s="37">
        <v>-115</v>
      </c>
      <c r="H221" s="21" t="s">
        <v>262</v>
      </c>
      <c r="I221" s="45">
        <f>IF(Bets[[#This Row],[Result]]="L",0-Bets[[#This Row],[Risk]],IF(Bets[[#This Row],[Result]]="Push",0,IF(Bets[[#This Row],[Result]]="No Action",0,IF(Bets[[#This Row],[Result]]="W",IF(Bets[[#This Row],[Odds]]&gt;0,Bets[[#This Row],[Odds]]/100*Bets[[#This Row],[Risk]],(Bets[[#This Row],[Risk]]/Bets[[#This Row],[Odds]]*-100)),""))))</f>
        <v>8.695652173913043</v>
      </c>
      <c r="J221" s="39" t="str">
        <f>IF(ISNUMBER(SEARCH(CHAR(10),Bets[[#This Row],[Bet]])),"P",IF(ISNUMBER(FIND("Under",Bets[[#This Row],[Bet]])),"U",IF(ISNUMBER(SEARCH("Over",Bets[[#This Row],[Bet]])),"O",IF(ISNUMBER(SEARCH("+",Bets[[#This Row],[Bet]])),"D",IF(ISNUMBER(SEARCH("-",Bets[[#This Row],[Bet]])),"F",IF(ISNUMBER(SEARCH("Moneyline",Bets[[#This Row],[Bet]])),IF(Bets[[#This Row],[Odds]]&lt;0,"MF","MD"),""))))))</f>
        <v>O</v>
      </c>
      <c r="K221" s="24"/>
      <c r="N221" s="6"/>
      <c r="O221" s="27"/>
    </row>
    <row r="222" spans="1:15" x14ac:dyDescent="0.25">
      <c r="A222" s="13">
        <f t="shared" si="11"/>
        <v>22</v>
      </c>
      <c r="B222" s="17">
        <v>43616</v>
      </c>
      <c r="C222" s="17" t="s">
        <v>802</v>
      </c>
      <c r="D222" s="18" t="s">
        <v>1363</v>
      </c>
      <c r="E222" s="11" t="s">
        <v>832</v>
      </c>
      <c r="F222" s="19">
        <f>10</f>
        <v>10</v>
      </c>
      <c r="G222" s="37">
        <v>120</v>
      </c>
      <c r="H222" s="21" t="s">
        <v>262</v>
      </c>
      <c r="I222" s="45">
        <f>IF(Bets[[#This Row],[Result]]="L",0-Bets[[#This Row],[Risk]],IF(Bets[[#This Row],[Result]]="Push",0,IF(Bets[[#This Row],[Result]]="No Action",0,IF(Bets[[#This Row],[Result]]="W",IF(Bets[[#This Row],[Odds]]&gt;0,Bets[[#This Row],[Odds]]/100*Bets[[#This Row],[Risk]],(Bets[[#This Row],[Risk]]/Bets[[#This Row],[Odds]]*-100)),""))))</f>
        <v>12</v>
      </c>
      <c r="J222" s="39" t="str">
        <f>IF(ISNUMBER(SEARCH(CHAR(10),Bets[[#This Row],[Bet]])),"P",IF(ISNUMBER(FIND("Under",Bets[[#This Row],[Bet]])),"U",IF(ISNUMBER(SEARCH("Over",Bets[[#This Row],[Bet]])),"O",IF(ISNUMBER(SEARCH("+",Bets[[#This Row],[Bet]])),"D",IF(ISNUMBER(SEARCH("-",Bets[[#This Row],[Bet]])),"F",IF(ISNUMBER(SEARCH("Moneyline",Bets[[#This Row],[Bet]])),IF(Bets[[#This Row],[Odds]]&lt;0,"MF","MD"),""))))))</f>
        <v>MD</v>
      </c>
      <c r="K222" s="24"/>
      <c r="N222" s="6"/>
      <c r="O222" s="27"/>
    </row>
    <row r="223" spans="1:15" x14ac:dyDescent="0.25">
      <c r="A223" s="13">
        <f t="shared" si="11"/>
        <v>22</v>
      </c>
      <c r="B223" s="17">
        <v>43616</v>
      </c>
      <c r="C223" s="17" t="s">
        <v>802</v>
      </c>
      <c r="D223" s="18" t="s">
        <v>1364</v>
      </c>
      <c r="E223" s="11" t="s">
        <v>809</v>
      </c>
      <c r="F223" s="19">
        <f>10</f>
        <v>10</v>
      </c>
      <c r="G223" s="37">
        <v>-120</v>
      </c>
      <c r="H223" s="21" t="s">
        <v>263</v>
      </c>
      <c r="I223" s="45">
        <f>IF(Bets[[#This Row],[Result]]="L",0-Bets[[#This Row],[Risk]],IF(Bets[[#This Row],[Result]]="Push",0,IF(Bets[[#This Row],[Result]]="No Action",0,IF(Bets[[#This Row],[Result]]="W",IF(Bets[[#This Row],[Odds]]&gt;0,Bets[[#This Row],[Odds]]/100*Bets[[#This Row],[Risk]],(Bets[[#This Row],[Risk]]/Bets[[#This Row],[Odds]]*-100)),""))))</f>
        <v>-10</v>
      </c>
      <c r="J223" s="39" t="str">
        <f>IF(ISNUMBER(SEARCH(CHAR(10),Bets[[#This Row],[Bet]])),"P",IF(ISNUMBER(FIND("Under",Bets[[#This Row],[Bet]])),"U",IF(ISNUMBER(SEARCH("Over",Bets[[#This Row],[Bet]])),"O",IF(ISNUMBER(SEARCH("+",Bets[[#This Row],[Bet]])),"D",IF(ISNUMBER(SEARCH("-",Bets[[#This Row],[Bet]])),"F",IF(ISNUMBER(SEARCH("Moneyline",Bets[[#This Row],[Bet]])),IF(Bets[[#This Row],[Odds]]&lt;0,"MF","MD"),""))))))</f>
        <v>MF</v>
      </c>
      <c r="K223" s="24"/>
      <c r="N223" s="6"/>
      <c r="O223" s="27"/>
    </row>
    <row r="224" spans="1:15" x14ac:dyDescent="0.25">
      <c r="A224" s="13">
        <f t="shared" si="11"/>
        <v>22</v>
      </c>
      <c r="B224" s="17">
        <v>43616</v>
      </c>
      <c r="C224" s="17" t="s">
        <v>802</v>
      </c>
      <c r="D224" s="18" t="s">
        <v>1365</v>
      </c>
      <c r="E224" s="11" t="s">
        <v>815</v>
      </c>
      <c r="F224" s="19">
        <f>10</f>
        <v>10</v>
      </c>
      <c r="G224" s="37">
        <v>-164</v>
      </c>
      <c r="H224" s="21" t="s">
        <v>263</v>
      </c>
      <c r="I224" s="45">
        <f>IF(Bets[[#This Row],[Result]]="L",0-Bets[[#This Row],[Risk]],IF(Bets[[#This Row],[Result]]="Push",0,IF(Bets[[#This Row],[Result]]="No Action",0,IF(Bets[[#This Row],[Result]]="W",IF(Bets[[#This Row],[Odds]]&gt;0,Bets[[#This Row],[Odds]]/100*Bets[[#This Row],[Risk]],(Bets[[#This Row],[Risk]]/Bets[[#This Row],[Odds]]*-100)),""))))</f>
        <v>-10</v>
      </c>
      <c r="J224" s="39" t="str">
        <f>IF(ISNUMBER(SEARCH(CHAR(10),Bets[[#This Row],[Bet]])),"P",IF(ISNUMBER(FIND("Under",Bets[[#This Row],[Bet]])),"U",IF(ISNUMBER(SEARCH("Over",Bets[[#This Row],[Bet]])),"O",IF(ISNUMBER(SEARCH("+",Bets[[#This Row],[Bet]])),"D",IF(ISNUMBER(SEARCH("-",Bets[[#This Row],[Bet]])),"F",IF(ISNUMBER(SEARCH("Moneyline",Bets[[#This Row],[Bet]])),IF(Bets[[#This Row],[Odds]]&lt;0,"MF","MD"),""))))))</f>
        <v>MF</v>
      </c>
      <c r="K224" s="24"/>
      <c r="N224" s="6"/>
      <c r="O224" s="27"/>
    </row>
    <row r="225" spans="1:15" x14ac:dyDescent="0.25">
      <c r="A225" s="13">
        <f t="shared" si="11"/>
        <v>22</v>
      </c>
      <c r="B225" s="17">
        <v>43616</v>
      </c>
      <c r="C225" s="17" t="s">
        <v>802</v>
      </c>
      <c r="D225" s="18" t="s">
        <v>1242</v>
      </c>
      <c r="E225" s="11" t="s">
        <v>869</v>
      </c>
      <c r="F225" s="19">
        <f>10</f>
        <v>10</v>
      </c>
      <c r="G225" s="37">
        <v>-172</v>
      </c>
      <c r="H225" s="21" t="s">
        <v>263</v>
      </c>
      <c r="I225" s="45">
        <f>IF(Bets[[#This Row],[Result]]="L",0-Bets[[#This Row],[Risk]],IF(Bets[[#This Row],[Result]]="Push",0,IF(Bets[[#This Row],[Result]]="No Action",0,IF(Bets[[#This Row],[Result]]="W",IF(Bets[[#This Row],[Odds]]&gt;0,Bets[[#This Row],[Odds]]/100*Bets[[#This Row],[Risk]],(Bets[[#This Row],[Risk]]/Bets[[#This Row],[Odds]]*-100)),""))))</f>
        <v>-10</v>
      </c>
      <c r="J225" s="39" t="str">
        <f>IF(ISNUMBER(SEARCH(CHAR(10),Bets[[#This Row],[Bet]])),"P",IF(ISNUMBER(FIND("Under",Bets[[#This Row],[Bet]])),"U",IF(ISNUMBER(SEARCH("Over",Bets[[#This Row],[Bet]])),"O",IF(ISNUMBER(SEARCH("+",Bets[[#This Row],[Bet]])),"D",IF(ISNUMBER(SEARCH("-",Bets[[#This Row],[Bet]])),"F",IF(ISNUMBER(SEARCH("Moneyline",Bets[[#This Row],[Bet]])),IF(Bets[[#This Row],[Odds]]&lt;0,"MF","MD"),""))))))</f>
        <v>MF</v>
      </c>
      <c r="K225" s="24"/>
      <c r="N225" s="6"/>
      <c r="O225" s="27"/>
    </row>
    <row r="226" spans="1:15" x14ac:dyDescent="0.25">
      <c r="A226" s="13">
        <f t="shared" si="11"/>
        <v>22</v>
      </c>
      <c r="B226" s="17">
        <v>43616</v>
      </c>
      <c r="C226" s="17" t="s">
        <v>802</v>
      </c>
      <c r="D226" s="18" t="s">
        <v>1366</v>
      </c>
      <c r="E226" s="11" t="s">
        <v>897</v>
      </c>
      <c r="F226" s="19">
        <f>10</f>
        <v>10</v>
      </c>
      <c r="G226" s="37">
        <v>-124</v>
      </c>
      <c r="H226" s="21" t="s">
        <v>262</v>
      </c>
      <c r="I226" s="45">
        <f>IF(Bets[[#This Row],[Result]]="L",0-Bets[[#This Row],[Risk]],IF(Bets[[#This Row],[Result]]="Push",0,IF(Bets[[#This Row],[Result]]="No Action",0,IF(Bets[[#This Row],[Result]]="W",IF(Bets[[#This Row],[Odds]]&gt;0,Bets[[#This Row],[Odds]]/100*Bets[[#This Row],[Risk]],(Bets[[#This Row],[Risk]]/Bets[[#This Row],[Odds]]*-100)),""))))</f>
        <v>8.064516129032258</v>
      </c>
      <c r="J226" s="39" t="str">
        <f>IF(ISNUMBER(SEARCH(CHAR(10),Bets[[#This Row],[Bet]])),"P",IF(ISNUMBER(FIND("Under",Bets[[#This Row],[Bet]])),"U",IF(ISNUMBER(SEARCH("Over",Bets[[#This Row],[Bet]])),"O",IF(ISNUMBER(SEARCH("+",Bets[[#This Row],[Bet]])),"D",IF(ISNUMBER(SEARCH("-",Bets[[#This Row],[Bet]])),"F",IF(ISNUMBER(SEARCH("Moneyline",Bets[[#This Row],[Bet]])),IF(Bets[[#This Row],[Odds]]&lt;0,"MF","MD"),""))))))</f>
        <v>MF</v>
      </c>
      <c r="K226" s="24"/>
      <c r="N226" s="6"/>
      <c r="O226" s="27"/>
    </row>
    <row r="227" spans="1:15" x14ac:dyDescent="0.25">
      <c r="A227" s="13">
        <f t="shared" si="11"/>
        <v>22</v>
      </c>
      <c r="B227" s="17">
        <v>43616</v>
      </c>
      <c r="C227" s="17" t="s">
        <v>802</v>
      </c>
      <c r="D227" s="18" t="s">
        <v>1367</v>
      </c>
      <c r="E227" s="11" t="s">
        <v>827</v>
      </c>
      <c r="F227" s="19">
        <f>10</f>
        <v>10</v>
      </c>
      <c r="G227" s="37">
        <v>-160</v>
      </c>
      <c r="H227" s="21" t="s">
        <v>262</v>
      </c>
      <c r="I227" s="45">
        <f>IF(Bets[[#This Row],[Result]]="L",0-Bets[[#This Row],[Risk]],IF(Bets[[#This Row],[Result]]="Push",0,IF(Bets[[#This Row],[Result]]="No Action",0,IF(Bets[[#This Row],[Result]]="W",IF(Bets[[#This Row],[Odds]]&gt;0,Bets[[#This Row],[Odds]]/100*Bets[[#This Row],[Risk]],(Bets[[#This Row],[Risk]]/Bets[[#This Row],[Odds]]*-100)),""))))</f>
        <v>6.25</v>
      </c>
      <c r="J227" s="39" t="str">
        <f>IF(ISNUMBER(SEARCH(CHAR(10),Bets[[#This Row],[Bet]])),"P",IF(ISNUMBER(FIND("Under",Bets[[#This Row],[Bet]])),"U",IF(ISNUMBER(SEARCH("Over",Bets[[#This Row],[Bet]])),"O",IF(ISNUMBER(SEARCH("+",Bets[[#This Row],[Bet]])),"D",IF(ISNUMBER(SEARCH("-",Bets[[#This Row],[Bet]])),"F",IF(ISNUMBER(SEARCH("Moneyline",Bets[[#This Row],[Bet]])),IF(Bets[[#This Row],[Odds]]&lt;0,"MF","MD"),""))))))</f>
        <v>MF</v>
      </c>
      <c r="K227" s="24"/>
      <c r="N227" s="6"/>
      <c r="O227" s="27"/>
    </row>
    <row r="228" spans="1:15" x14ac:dyDescent="0.25">
      <c r="A228" s="13">
        <f t="shared" si="11"/>
        <v>22</v>
      </c>
      <c r="B228" s="17">
        <v>43616</v>
      </c>
      <c r="C228" s="17" t="s">
        <v>802</v>
      </c>
      <c r="D228" s="18" t="s">
        <v>1368</v>
      </c>
      <c r="E228" s="11" t="s">
        <v>888</v>
      </c>
      <c r="F228" s="19">
        <f>10</f>
        <v>10</v>
      </c>
      <c r="G228" s="37">
        <v>143</v>
      </c>
      <c r="H228" s="21" t="s">
        <v>263</v>
      </c>
      <c r="I228" s="45">
        <f>IF(Bets[[#This Row],[Result]]="L",0-Bets[[#This Row],[Risk]],IF(Bets[[#This Row],[Result]]="Push",0,IF(Bets[[#This Row],[Result]]="No Action",0,IF(Bets[[#This Row],[Result]]="W",IF(Bets[[#This Row],[Odds]]&gt;0,Bets[[#This Row],[Odds]]/100*Bets[[#This Row],[Risk]],(Bets[[#This Row],[Risk]]/Bets[[#This Row],[Odds]]*-100)),""))))</f>
        <v>-10</v>
      </c>
      <c r="J228" s="39" t="str">
        <f>IF(ISNUMBER(SEARCH(CHAR(10),Bets[[#This Row],[Bet]])),"P",IF(ISNUMBER(FIND("Under",Bets[[#This Row],[Bet]])),"U",IF(ISNUMBER(SEARCH("Over",Bets[[#This Row],[Bet]])),"O",IF(ISNUMBER(SEARCH("+",Bets[[#This Row],[Bet]])),"D",IF(ISNUMBER(SEARCH("-",Bets[[#This Row],[Bet]])),"F",IF(ISNUMBER(SEARCH("Moneyline",Bets[[#This Row],[Bet]])),IF(Bets[[#This Row],[Odds]]&lt;0,"MF","MD"),""))))))</f>
        <v>MD</v>
      </c>
      <c r="K228" s="24"/>
      <c r="N228" s="6"/>
      <c r="O228" s="27"/>
    </row>
    <row r="229" spans="1:15" x14ac:dyDescent="0.25">
      <c r="A229" s="13">
        <f t="shared" si="11"/>
        <v>23</v>
      </c>
      <c r="B229" s="17"/>
      <c r="C229" s="17"/>
      <c r="D229" s="18"/>
      <c r="E229" s="11"/>
      <c r="F229" s="19"/>
      <c r="G229" s="36"/>
      <c r="H229" s="21"/>
      <c r="I229" s="22"/>
      <c r="J229" s="35"/>
      <c r="K229" s="24"/>
      <c r="N229" s="6"/>
      <c r="O229" s="27"/>
    </row>
    <row r="230" spans="1:15" x14ac:dyDescent="0.25">
      <c r="A230" s="13">
        <f t="shared" si="11"/>
        <v>23</v>
      </c>
      <c r="B230" s="17"/>
      <c r="C230" s="17"/>
      <c r="D230" s="18"/>
      <c r="E230" s="11"/>
      <c r="F230" s="19"/>
      <c r="G230" s="36"/>
      <c r="H230" s="21"/>
      <c r="I230" s="22"/>
      <c r="J230" s="35"/>
      <c r="K230" s="24"/>
      <c r="N230" s="6"/>
      <c r="O230" s="27"/>
    </row>
    <row r="231" spans="1:15" x14ac:dyDescent="0.25">
      <c r="A231" s="13">
        <f t="shared" si="11"/>
        <v>23</v>
      </c>
      <c r="B231" s="17"/>
      <c r="C231" s="17"/>
      <c r="D231" s="18"/>
      <c r="E231" s="11"/>
      <c r="F231" s="19"/>
      <c r="G231" s="36"/>
      <c r="H231" s="21"/>
      <c r="I231" s="22"/>
      <c r="J231" s="35"/>
      <c r="K231" s="24"/>
      <c r="N231" s="6"/>
      <c r="O231" s="27"/>
    </row>
    <row r="232" spans="1:15" x14ac:dyDescent="0.25">
      <c r="A232" s="13">
        <f t="shared" si="11"/>
        <v>23</v>
      </c>
      <c r="B232" s="17"/>
      <c r="C232" s="17"/>
      <c r="D232" s="18"/>
      <c r="E232" s="11"/>
      <c r="F232" s="19"/>
      <c r="G232" s="36"/>
      <c r="H232" s="21"/>
      <c r="I232" s="22"/>
      <c r="J232" s="35"/>
      <c r="K232" s="24"/>
      <c r="N232" s="6"/>
      <c r="O232" s="27"/>
    </row>
    <row r="233" spans="1:15" x14ac:dyDescent="0.25">
      <c r="A233" s="13">
        <f t="shared" si="11"/>
        <v>23</v>
      </c>
      <c r="B233" s="17"/>
      <c r="C233" s="17"/>
      <c r="D233" s="18"/>
      <c r="E233" s="11"/>
      <c r="F233" s="19"/>
      <c r="G233" s="36"/>
      <c r="H233" s="21"/>
      <c r="I233" s="22"/>
      <c r="J233" s="35"/>
      <c r="K233" s="24"/>
      <c r="N233" s="6"/>
      <c r="O233" s="27"/>
    </row>
    <row r="234" spans="1:15" x14ac:dyDescent="0.25">
      <c r="A234" s="13">
        <f t="shared" si="11"/>
        <v>23</v>
      </c>
      <c r="B234" s="17"/>
      <c r="C234" s="17"/>
      <c r="D234" s="18"/>
      <c r="E234" s="11"/>
      <c r="F234" s="19"/>
      <c r="G234" s="36"/>
      <c r="H234" s="21"/>
      <c r="I234" s="22"/>
      <c r="J234" s="35"/>
      <c r="K234" s="24"/>
      <c r="N234" s="6"/>
      <c r="O234" s="27"/>
    </row>
    <row r="235" spans="1:15" x14ac:dyDescent="0.25">
      <c r="A235" s="13">
        <f t="shared" si="11"/>
        <v>23</v>
      </c>
      <c r="B235" s="17"/>
      <c r="C235" s="17"/>
      <c r="D235" s="18"/>
      <c r="E235" s="11"/>
      <c r="F235" s="19"/>
      <c r="G235" s="36"/>
      <c r="H235" s="21"/>
      <c r="I235" s="22"/>
      <c r="J235" s="35"/>
      <c r="K235" s="24"/>
      <c r="N235" s="6"/>
      <c r="O235" s="27"/>
    </row>
    <row r="236" spans="1:15" x14ac:dyDescent="0.25">
      <c r="A236" s="13">
        <f t="shared" si="11"/>
        <v>23</v>
      </c>
      <c r="B236" s="17"/>
      <c r="C236" s="17"/>
      <c r="D236" s="18"/>
      <c r="E236" s="11"/>
      <c r="F236" s="19"/>
      <c r="G236" s="36"/>
      <c r="H236" s="21"/>
      <c r="I236" s="22"/>
      <c r="J236" s="35"/>
      <c r="K236" s="24"/>
      <c r="N236" s="6"/>
      <c r="O236" s="27"/>
    </row>
    <row r="237" spans="1:15" x14ac:dyDescent="0.25">
      <c r="A237" s="13">
        <f t="shared" si="11"/>
        <v>23</v>
      </c>
      <c r="B237" s="17"/>
      <c r="C237" s="17"/>
      <c r="D237" s="18"/>
      <c r="E237" s="11"/>
      <c r="F237" s="19"/>
      <c r="G237" s="36"/>
      <c r="H237" s="21"/>
      <c r="I237" s="22"/>
      <c r="J237" s="35"/>
      <c r="K237" s="24"/>
      <c r="N237" s="6"/>
      <c r="O237" s="27"/>
    </row>
    <row r="238" spans="1:15" x14ac:dyDescent="0.25">
      <c r="A238" s="13">
        <f t="shared" si="11"/>
        <v>23</v>
      </c>
      <c r="B238" s="17"/>
      <c r="C238" s="17"/>
      <c r="D238" s="18"/>
      <c r="E238" s="11"/>
      <c r="F238" s="19"/>
      <c r="G238" s="36"/>
      <c r="H238" s="21"/>
      <c r="I238" s="22"/>
      <c r="J238" s="35"/>
      <c r="K238" s="24"/>
      <c r="N238" s="6"/>
      <c r="O238" s="27"/>
    </row>
    <row r="239" spans="1:15" x14ac:dyDescent="0.25">
      <c r="A239" s="13">
        <f t="shared" si="11"/>
        <v>23</v>
      </c>
      <c r="B239" s="17"/>
      <c r="C239" s="17"/>
      <c r="D239" s="18"/>
      <c r="E239" s="11"/>
      <c r="F239" s="19"/>
      <c r="G239" s="36"/>
      <c r="H239" s="21"/>
      <c r="I239" s="22"/>
      <c r="J239" s="35"/>
      <c r="K239" s="24"/>
      <c r="N239" s="6"/>
      <c r="O239" s="27"/>
    </row>
    <row r="240" spans="1:15" x14ac:dyDescent="0.25">
      <c r="A240" s="13">
        <f t="shared" si="11"/>
        <v>23</v>
      </c>
      <c r="B240" s="17"/>
      <c r="C240" s="17"/>
      <c r="D240" s="18"/>
      <c r="E240" s="11"/>
      <c r="F240" s="19"/>
      <c r="G240" s="36"/>
      <c r="H240" s="21"/>
      <c r="I240" s="22"/>
      <c r="J240" s="35"/>
      <c r="K240" s="24"/>
      <c r="N240" s="6"/>
      <c r="O240" s="27"/>
    </row>
    <row r="241" spans="1:15" x14ac:dyDescent="0.25">
      <c r="A241" s="13">
        <f t="shared" si="11"/>
        <v>23</v>
      </c>
      <c r="B241" s="17"/>
      <c r="C241" s="17"/>
      <c r="D241" s="18"/>
      <c r="E241" s="11"/>
      <c r="F241" s="19"/>
      <c r="G241" s="36"/>
      <c r="H241" s="21"/>
      <c r="I241" s="22"/>
      <c r="J241" s="35"/>
      <c r="K241" s="24"/>
      <c r="N241" s="6"/>
      <c r="O241" s="27"/>
    </row>
    <row r="242" spans="1:15" x14ac:dyDescent="0.25">
      <c r="A242" s="13">
        <f t="shared" si="11"/>
        <v>23</v>
      </c>
      <c r="B242" s="17"/>
      <c r="C242" s="17"/>
      <c r="D242" s="18"/>
      <c r="E242" s="11"/>
      <c r="F242" s="19"/>
      <c r="G242" s="36"/>
      <c r="H242" s="21"/>
      <c r="I242" s="22"/>
      <c r="J242" s="35"/>
      <c r="K242" s="24"/>
      <c r="N242" s="6"/>
      <c r="O242" s="27"/>
    </row>
    <row r="243" spans="1:15" x14ac:dyDescent="0.25">
      <c r="A243" s="13">
        <f t="shared" si="11"/>
        <v>23</v>
      </c>
      <c r="B243" s="17"/>
      <c r="C243" s="17"/>
      <c r="D243" s="18"/>
      <c r="E243" s="11"/>
      <c r="F243" s="19"/>
      <c r="G243" s="36"/>
      <c r="H243" s="21"/>
      <c r="I243" s="22"/>
      <c r="J243" s="35"/>
      <c r="K243" s="24"/>
      <c r="N243" s="6"/>
      <c r="O243" s="27"/>
    </row>
    <row r="244" spans="1:15" x14ac:dyDescent="0.25">
      <c r="A244" s="13">
        <f t="shared" si="11"/>
        <v>23</v>
      </c>
      <c r="B244" s="17"/>
      <c r="C244" s="17"/>
      <c r="D244" s="18"/>
      <c r="E244" s="11"/>
      <c r="F244" s="19"/>
      <c r="G244" s="36"/>
      <c r="H244" s="21"/>
      <c r="I244" s="22"/>
      <c r="J244" s="35"/>
      <c r="K244" s="24"/>
      <c r="N244" s="6"/>
      <c r="O244" s="27"/>
    </row>
    <row r="245" spans="1:15" x14ac:dyDescent="0.25">
      <c r="A245" s="13">
        <f t="shared" si="11"/>
        <v>23</v>
      </c>
      <c r="B245" s="17"/>
      <c r="C245" s="17"/>
      <c r="D245" s="18"/>
      <c r="E245" s="11"/>
      <c r="F245" s="19"/>
      <c r="G245" s="36"/>
      <c r="H245" s="21"/>
      <c r="I245" s="22"/>
      <c r="J245" s="35"/>
      <c r="K245" s="24"/>
      <c r="N245" s="6"/>
      <c r="O245" s="27"/>
    </row>
    <row r="246" spans="1:15" x14ac:dyDescent="0.25">
      <c r="A246" s="13">
        <f t="shared" si="11"/>
        <v>23</v>
      </c>
      <c r="B246" s="17"/>
      <c r="C246" s="17"/>
      <c r="D246" s="18"/>
      <c r="E246" s="11"/>
      <c r="F246" s="19"/>
      <c r="G246" s="20"/>
      <c r="H246" s="21"/>
      <c r="I246" s="22"/>
      <c r="J246" s="35"/>
      <c r="K246" s="24"/>
      <c r="N246" s="6"/>
      <c r="O246" s="27"/>
    </row>
    <row r="247" spans="1:15" x14ac:dyDescent="0.25">
      <c r="A247" s="13">
        <f t="shared" si="11"/>
        <v>23</v>
      </c>
      <c r="B247" s="17"/>
      <c r="C247" s="17"/>
      <c r="D247" s="18"/>
      <c r="E247" s="11"/>
      <c r="F247" s="19"/>
      <c r="G247" s="20"/>
      <c r="H247" s="21"/>
      <c r="I247" s="22"/>
      <c r="J247" s="35"/>
      <c r="K247" s="24"/>
      <c r="N247" s="6"/>
      <c r="O247" s="27"/>
    </row>
    <row r="248" spans="1:15" x14ac:dyDescent="0.25">
      <c r="A248" s="13">
        <f t="shared" si="11"/>
        <v>23</v>
      </c>
      <c r="B248" s="17"/>
      <c r="C248" s="17"/>
      <c r="D248" s="18"/>
      <c r="E248" s="11"/>
      <c r="F248" s="19"/>
      <c r="G248" s="20"/>
      <c r="H248" s="21"/>
      <c r="I248" s="22"/>
      <c r="J248" s="35"/>
      <c r="K248" s="24"/>
      <c r="N248" s="6"/>
      <c r="O248" s="27"/>
    </row>
    <row r="249" spans="1:15" x14ac:dyDescent="0.25">
      <c r="A249" s="13">
        <f t="shared" si="11"/>
        <v>23</v>
      </c>
      <c r="B249" s="17"/>
      <c r="C249" s="17"/>
      <c r="D249" s="18"/>
      <c r="E249" s="11"/>
      <c r="F249" s="19"/>
      <c r="G249" s="20"/>
      <c r="H249" s="21"/>
      <c r="I249" s="22"/>
      <c r="J249" s="35"/>
      <c r="K249" s="24"/>
      <c r="N249" s="6"/>
      <c r="O249" s="27"/>
    </row>
    <row r="250" spans="1:15" x14ac:dyDescent="0.25">
      <c r="A250" s="13">
        <f t="shared" si="11"/>
        <v>23</v>
      </c>
      <c r="B250" s="17"/>
      <c r="C250" s="17"/>
      <c r="D250" s="18"/>
      <c r="E250" s="11"/>
      <c r="F250" s="19"/>
      <c r="G250" s="20"/>
      <c r="H250" s="21"/>
      <c r="I250" s="22"/>
      <c r="J250" s="35"/>
      <c r="K250" s="24"/>
      <c r="N250" s="6"/>
      <c r="O250" s="27"/>
    </row>
    <row r="251" spans="1:15" x14ac:dyDescent="0.25">
      <c r="A251" s="13">
        <f t="shared" si="11"/>
        <v>23</v>
      </c>
      <c r="B251" s="17"/>
      <c r="C251" s="17"/>
      <c r="D251" s="18"/>
      <c r="E251" s="11"/>
      <c r="F251" s="19"/>
      <c r="G251" s="20"/>
      <c r="H251" s="21"/>
      <c r="I251" s="22"/>
      <c r="J251" s="35"/>
      <c r="K251" s="24"/>
      <c r="N251" s="6"/>
      <c r="O251" s="27"/>
    </row>
    <row r="252" spans="1:15" x14ac:dyDescent="0.25">
      <c r="A252" s="13">
        <f t="shared" si="11"/>
        <v>23</v>
      </c>
      <c r="B252" s="17"/>
      <c r="C252" s="17"/>
      <c r="D252" s="18"/>
      <c r="E252" s="11"/>
      <c r="F252" s="19"/>
      <c r="G252" s="20"/>
      <c r="H252" s="21"/>
      <c r="I252" s="22"/>
      <c r="J252" s="35"/>
      <c r="K252" s="24"/>
      <c r="N252" s="6"/>
      <c r="O252" s="27"/>
    </row>
    <row r="253" spans="1:15" x14ac:dyDescent="0.25">
      <c r="A253" s="13">
        <f t="shared" si="11"/>
        <v>23</v>
      </c>
      <c r="B253" s="17"/>
      <c r="C253" s="17"/>
      <c r="D253" s="18"/>
      <c r="E253" s="11"/>
      <c r="F253" s="19"/>
      <c r="G253" s="20"/>
      <c r="H253" s="21"/>
      <c r="I253" s="22"/>
      <c r="J253" s="35"/>
      <c r="K253" s="24"/>
      <c r="N253" s="6"/>
      <c r="O253" s="27"/>
    </row>
    <row r="254" spans="1:15" x14ac:dyDescent="0.25">
      <c r="A254" s="13">
        <f t="shared" si="11"/>
        <v>23</v>
      </c>
      <c r="B254" s="17"/>
      <c r="C254" s="17"/>
      <c r="D254" s="18"/>
      <c r="E254" s="11"/>
      <c r="F254" s="19"/>
      <c r="G254" s="20"/>
      <c r="H254" s="21"/>
      <c r="I254" s="22"/>
      <c r="J254" s="35"/>
      <c r="K254" s="24"/>
      <c r="N254" s="6"/>
      <c r="O254" s="27"/>
    </row>
    <row r="255" spans="1:15" x14ac:dyDescent="0.25">
      <c r="A255" s="13">
        <f t="shared" si="11"/>
        <v>23</v>
      </c>
      <c r="B255" s="17"/>
      <c r="C255" s="17"/>
      <c r="D255" s="18"/>
      <c r="E255" s="11"/>
      <c r="F255" s="19"/>
      <c r="G255" s="20"/>
      <c r="H255" s="21"/>
      <c r="I255" s="22"/>
      <c r="J255" s="35"/>
      <c r="K255" s="24"/>
      <c r="N255" s="6"/>
      <c r="O255" s="27"/>
    </row>
    <row r="256" spans="1:15" x14ac:dyDescent="0.25">
      <c r="A256" s="13">
        <f t="shared" si="11"/>
        <v>23</v>
      </c>
      <c r="B256" s="17"/>
      <c r="C256" s="17"/>
      <c r="D256" s="18"/>
      <c r="E256" s="11"/>
      <c r="F256" s="19"/>
      <c r="G256" s="20"/>
      <c r="H256" s="21"/>
      <c r="I256" s="22"/>
      <c r="J256" s="35"/>
      <c r="K256" s="24"/>
      <c r="N256" s="6"/>
      <c r="O256" s="27"/>
    </row>
    <row r="257" spans="1:15" x14ac:dyDescent="0.25">
      <c r="A257" s="13">
        <f t="shared" si="11"/>
        <v>23</v>
      </c>
      <c r="B257" s="17"/>
      <c r="C257" s="17"/>
      <c r="D257" s="18"/>
      <c r="E257" s="11"/>
      <c r="F257" s="19"/>
      <c r="G257" s="20"/>
      <c r="H257" s="21"/>
      <c r="I257" s="22"/>
      <c r="J257" s="35"/>
      <c r="K257" s="24"/>
      <c r="N257" s="6"/>
      <c r="O257" s="27"/>
    </row>
    <row r="258" spans="1:15" x14ac:dyDescent="0.25">
      <c r="A258" s="13">
        <f t="shared" si="11"/>
        <v>23</v>
      </c>
      <c r="B258" s="17"/>
      <c r="C258" s="17"/>
      <c r="D258" s="18"/>
      <c r="E258" s="11"/>
      <c r="F258" s="19"/>
      <c r="G258" s="36"/>
      <c r="H258" s="21"/>
      <c r="I258" s="22"/>
      <c r="J258" s="35"/>
      <c r="K258" s="24"/>
      <c r="N258" s="6"/>
      <c r="O258" s="27"/>
    </row>
    <row r="259" spans="1:15" x14ac:dyDescent="0.25">
      <c r="A259" s="13">
        <f t="shared" si="11"/>
        <v>23</v>
      </c>
      <c r="B259" s="17"/>
      <c r="C259" s="17"/>
      <c r="D259" s="18"/>
      <c r="E259" s="11"/>
      <c r="F259" s="19"/>
      <c r="G259" s="36"/>
      <c r="H259" s="21"/>
      <c r="I259" s="22"/>
      <c r="J259" s="35"/>
      <c r="K259" s="24"/>
      <c r="N259" s="6"/>
      <c r="O259" s="27"/>
    </row>
    <row r="260" spans="1:15" x14ac:dyDescent="0.25">
      <c r="A260" s="13">
        <f t="shared" ref="A260:A323" si="12">IF(B260=B259,A259,A259+1)</f>
        <v>23</v>
      </c>
      <c r="B260" s="17"/>
      <c r="C260" s="17"/>
      <c r="D260" s="18"/>
      <c r="E260" s="11"/>
      <c r="F260" s="19"/>
      <c r="G260" s="36"/>
      <c r="H260" s="21"/>
      <c r="I260" s="22"/>
      <c r="J260" s="35"/>
      <c r="K260" s="24"/>
      <c r="N260" s="6"/>
      <c r="O260" s="27"/>
    </row>
    <row r="261" spans="1:15" x14ac:dyDescent="0.25">
      <c r="A261" s="13">
        <f t="shared" si="12"/>
        <v>23</v>
      </c>
      <c r="B261" s="17"/>
      <c r="C261" s="17"/>
      <c r="D261" s="18"/>
      <c r="E261" s="11"/>
      <c r="F261" s="19"/>
      <c r="G261" s="36"/>
      <c r="H261" s="21"/>
      <c r="I261" s="22"/>
      <c r="J261" s="35"/>
      <c r="K261" s="24"/>
      <c r="N261" s="6"/>
      <c r="O261" s="27"/>
    </row>
    <row r="262" spans="1:15" x14ac:dyDescent="0.25">
      <c r="A262" s="13">
        <f t="shared" si="12"/>
        <v>23</v>
      </c>
      <c r="B262" s="17"/>
      <c r="C262" s="17"/>
      <c r="D262" s="18"/>
      <c r="E262" s="11"/>
      <c r="F262" s="19"/>
      <c r="G262" s="36"/>
      <c r="H262" s="21"/>
      <c r="I262" s="22"/>
      <c r="J262" s="35"/>
      <c r="K262" s="24"/>
      <c r="N262" s="6"/>
      <c r="O262" s="27"/>
    </row>
    <row r="263" spans="1:15" x14ac:dyDescent="0.25">
      <c r="A263" s="13">
        <f t="shared" si="12"/>
        <v>23</v>
      </c>
      <c r="B263" s="17"/>
      <c r="C263" s="17"/>
      <c r="D263" s="18"/>
      <c r="E263" s="11"/>
      <c r="F263" s="19"/>
      <c r="G263" s="36"/>
      <c r="H263" s="21"/>
      <c r="I263" s="22"/>
      <c r="J263" s="35"/>
      <c r="K263" s="24"/>
      <c r="N263" s="6"/>
      <c r="O263" s="27"/>
    </row>
    <row r="264" spans="1:15" x14ac:dyDescent="0.25">
      <c r="A264" s="13">
        <f t="shared" si="12"/>
        <v>23</v>
      </c>
      <c r="B264" s="17"/>
      <c r="C264" s="17"/>
      <c r="D264" s="18"/>
      <c r="E264" s="11"/>
      <c r="F264" s="19"/>
      <c r="G264" s="36"/>
      <c r="H264" s="21"/>
      <c r="I264" s="22"/>
      <c r="J264" s="35"/>
      <c r="K264" s="24"/>
      <c r="N264" s="6"/>
      <c r="O264" s="27"/>
    </row>
    <row r="265" spans="1:15" x14ac:dyDescent="0.25">
      <c r="A265" s="13">
        <f t="shared" si="12"/>
        <v>23</v>
      </c>
      <c r="B265" s="17"/>
      <c r="C265" s="17"/>
      <c r="D265" s="18"/>
      <c r="E265" s="11"/>
      <c r="F265" s="19"/>
      <c r="G265" s="36"/>
      <c r="H265" s="21"/>
      <c r="I265" s="22"/>
      <c r="J265" s="35"/>
      <c r="K265" s="24"/>
      <c r="N265" s="6"/>
      <c r="O265" s="27"/>
    </row>
    <row r="266" spans="1:15" x14ac:dyDescent="0.25">
      <c r="A266" s="13">
        <f t="shared" si="12"/>
        <v>23</v>
      </c>
      <c r="B266" s="17"/>
      <c r="C266" s="17"/>
      <c r="D266" s="18"/>
      <c r="E266" s="11"/>
      <c r="F266" s="19"/>
      <c r="G266" s="36"/>
      <c r="H266" s="21"/>
      <c r="I266" s="22"/>
      <c r="J266" s="35"/>
      <c r="K266" s="24"/>
      <c r="N266" s="6"/>
      <c r="O266" s="27"/>
    </row>
    <row r="267" spans="1:15" x14ac:dyDescent="0.25">
      <c r="A267" s="13">
        <f t="shared" si="12"/>
        <v>23</v>
      </c>
      <c r="B267" s="17"/>
      <c r="C267" s="17"/>
      <c r="D267" s="18"/>
      <c r="E267" s="11"/>
      <c r="F267" s="19"/>
      <c r="G267" s="36"/>
      <c r="H267" s="21"/>
      <c r="I267" s="22"/>
      <c r="J267" s="35"/>
      <c r="K267" s="24"/>
      <c r="N267" s="6"/>
      <c r="O267" s="27"/>
    </row>
    <row r="268" spans="1:15" x14ac:dyDescent="0.25">
      <c r="A268" s="13">
        <f t="shared" si="12"/>
        <v>23</v>
      </c>
      <c r="B268" s="17"/>
      <c r="C268" s="17"/>
      <c r="D268" s="18"/>
      <c r="E268" s="11"/>
      <c r="F268" s="19"/>
      <c r="G268" s="36"/>
      <c r="H268" s="21"/>
      <c r="I268" s="22"/>
      <c r="J268" s="35"/>
      <c r="K268" s="24"/>
      <c r="N268" s="6"/>
      <c r="O268" s="27"/>
    </row>
    <row r="269" spans="1:15" x14ac:dyDescent="0.25">
      <c r="A269" s="13">
        <f t="shared" si="12"/>
        <v>23</v>
      </c>
      <c r="B269" s="17"/>
      <c r="C269" s="17"/>
      <c r="D269" s="18"/>
      <c r="E269" s="11"/>
      <c r="F269" s="19"/>
      <c r="G269" s="36"/>
      <c r="H269" s="21"/>
      <c r="I269" s="22"/>
      <c r="J269" s="35"/>
      <c r="K269" s="24"/>
      <c r="N269" s="6"/>
      <c r="O269" s="27"/>
    </row>
    <row r="270" spans="1:15" x14ac:dyDescent="0.25">
      <c r="A270" s="13">
        <f t="shared" si="12"/>
        <v>23</v>
      </c>
      <c r="B270" s="17"/>
      <c r="C270" s="17"/>
      <c r="D270" s="18"/>
      <c r="E270" s="11"/>
      <c r="F270" s="19"/>
      <c r="G270" s="36"/>
      <c r="H270" s="21"/>
      <c r="I270" s="22"/>
      <c r="J270" s="35"/>
      <c r="K270" s="24"/>
      <c r="N270" s="6"/>
      <c r="O270" s="27"/>
    </row>
    <row r="271" spans="1:15" x14ac:dyDescent="0.25">
      <c r="A271" s="13">
        <f t="shared" si="12"/>
        <v>23</v>
      </c>
      <c r="B271" s="17"/>
      <c r="C271" s="17"/>
      <c r="D271" s="18"/>
      <c r="E271" s="11"/>
      <c r="F271" s="19"/>
      <c r="G271" s="36"/>
      <c r="H271" s="21"/>
      <c r="I271" s="22"/>
      <c r="J271" s="35"/>
      <c r="K271" s="24"/>
      <c r="N271" s="6"/>
      <c r="O271" s="27"/>
    </row>
    <row r="272" spans="1:15" x14ac:dyDescent="0.25">
      <c r="A272" s="13">
        <f t="shared" si="12"/>
        <v>23</v>
      </c>
      <c r="B272" s="17"/>
      <c r="C272" s="17"/>
      <c r="D272" s="18"/>
      <c r="E272" s="11"/>
      <c r="F272" s="19"/>
      <c r="G272" s="36"/>
      <c r="H272" s="21"/>
      <c r="I272" s="22"/>
      <c r="J272" s="35"/>
      <c r="K272" s="24"/>
      <c r="N272" s="6"/>
      <c r="O272" s="27"/>
    </row>
    <row r="273" spans="1:15" x14ac:dyDescent="0.25">
      <c r="A273" s="13">
        <f t="shared" si="12"/>
        <v>23</v>
      </c>
      <c r="B273" s="17"/>
      <c r="C273" s="17"/>
      <c r="D273" s="18"/>
      <c r="E273" s="11"/>
      <c r="F273" s="19"/>
      <c r="G273" s="36"/>
      <c r="H273" s="21"/>
      <c r="I273" s="22"/>
      <c r="J273" s="35"/>
      <c r="K273" s="24"/>
      <c r="N273" s="6"/>
      <c r="O273" s="27"/>
    </row>
    <row r="274" spans="1:15" x14ac:dyDescent="0.25">
      <c r="A274" s="13">
        <f t="shared" si="12"/>
        <v>23</v>
      </c>
      <c r="B274" s="17"/>
      <c r="C274" s="17"/>
      <c r="D274" s="18"/>
      <c r="E274" s="11"/>
      <c r="F274" s="19"/>
      <c r="G274" s="36"/>
      <c r="H274" s="21"/>
      <c r="I274" s="22"/>
      <c r="J274" s="35"/>
      <c r="K274" s="24"/>
      <c r="N274" s="6"/>
      <c r="O274" s="27"/>
    </row>
    <row r="275" spans="1:15" x14ac:dyDescent="0.25">
      <c r="A275" s="13">
        <f t="shared" si="12"/>
        <v>23</v>
      </c>
      <c r="B275" s="17"/>
      <c r="C275" s="17"/>
      <c r="D275" s="18"/>
      <c r="E275" s="11"/>
      <c r="F275" s="19"/>
      <c r="G275" s="36"/>
      <c r="H275" s="21"/>
      <c r="I275" s="22"/>
      <c r="J275" s="35"/>
      <c r="K275" s="24"/>
      <c r="N275" s="6"/>
      <c r="O275" s="27"/>
    </row>
    <row r="276" spans="1:15" x14ac:dyDescent="0.25">
      <c r="A276" s="13">
        <f t="shared" si="12"/>
        <v>23</v>
      </c>
      <c r="B276" s="17"/>
      <c r="C276" s="17"/>
      <c r="D276" s="18"/>
      <c r="E276" s="11"/>
      <c r="F276" s="19"/>
      <c r="G276" s="36"/>
      <c r="H276" s="21"/>
      <c r="I276" s="22"/>
      <c r="J276" s="35"/>
      <c r="K276" s="24"/>
      <c r="N276" s="6"/>
      <c r="O276" s="27"/>
    </row>
    <row r="277" spans="1:15" x14ac:dyDescent="0.25">
      <c r="A277" s="13">
        <f t="shared" si="12"/>
        <v>23</v>
      </c>
      <c r="B277" s="17"/>
      <c r="C277" s="17"/>
      <c r="D277" s="18"/>
      <c r="E277" s="11"/>
      <c r="F277" s="19"/>
      <c r="G277" s="36"/>
      <c r="H277" s="21"/>
      <c r="I277" s="22"/>
      <c r="J277" s="35"/>
      <c r="K277" s="24"/>
      <c r="N277" s="6"/>
      <c r="O277" s="27"/>
    </row>
    <row r="278" spans="1:15" x14ac:dyDescent="0.25">
      <c r="A278" s="13">
        <f t="shared" si="12"/>
        <v>23</v>
      </c>
      <c r="B278" s="17"/>
      <c r="C278" s="17"/>
      <c r="D278" s="18"/>
      <c r="E278" s="11"/>
      <c r="F278" s="19"/>
      <c r="G278" s="36"/>
      <c r="H278" s="21"/>
      <c r="I278" s="22"/>
      <c r="J278" s="35"/>
      <c r="K278" s="24"/>
      <c r="N278" s="6"/>
      <c r="O278" s="27"/>
    </row>
    <row r="279" spans="1:15" x14ac:dyDescent="0.25">
      <c r="A279" s="13">
        <f t="shared" si="12"/>
        <v>23</v>
      </c>
      <c r="B279" s="17"/>
      <c r="C279" s="17"/>
      <c r="D279" s="18"/>
      <c r="E279" s="11"/>
      <c r="F279" s="19"/>
      <c r="G279" s="36"/>
      <c r="H279" s="21"/>
      <c r="I279" s="22"/>
      <c r="J279" s="35"/>
      <c r="K279" s="24"/>
      <c r="N279" s="6"/>
      <c r="O279" s="27"/>
    </row>
    <row r="280" spans="1:15" x14ac:dyDescent="0.25">
      <c r="A280" s="13">
        <f t="shared" si="12"/>
        <v>23</v>
      </c>
      <c r="B280" s="17"/>
      <c r="C280" s="17"/>
      <c r="D280" s="18"/>
      <c r="E280" s="11"/>
      <c r="F280" s="19"/>
      <c r="G280" s="36"/>
      <c r="H280" s="21"/>
      <c r="I280" s="22"/>
      <c r="J280" s="35"/>
      <c r="K280" s="24"/>
      <c r="N280" s="6"/>
      <c r="O280" s="27"/>
    </row>
    <row r="281" spans="1:15" x14ac:dyDescent="0.25">
      <c r="A281" s="13">
        <f t="shared" si="12"/>
        <v>23</v>
      </c>
      <c r="B281" s="17"/>
      <c r="C281" s="17"/>
      <c r="D281" s="18"/>
      <c r="E281" s="11"/>
      <c r="F281" s="19"/>
      <c r="G281" s="36"/>
      <c r="H281" s="21"/>
      <c r="I281" s="22"/>
      <c r="J281" s="35"/>
      <c r="K281" s="24"/>
      <c r="N281" s="6"/>
      <c r="O281" s="27"/>
    </row>
    <row r="282" spans="1:15" x14ac:dyDescent="0.25">
      <c r="A282" s="13">
        <f t="shared" si="12"/>
        <v>23</v>
      </c>
      <c r="B282" s="17"/>
      <c r="C282" s="17"/>
      <c r="D282" s="18"/>
      <c r="E282" s="11"/>
      <c r="F282" s="19"/>
      <c r="G282" s="36"/>
      <c r="H282" s="21"/>
      <c r="I282" s="22"/>
      <c r="J282" s="35"/>
      <c r="K282" s="24"/>
      <c r="N282" s="6"/>
      <c r="O282" s="27"/>
    </row>
    <row r="283" spans="1:15" x14ac:dyDescent="0.25">
      <c r="A283" s="13">
        <f t="shared" si="12"/>
        <v>23</v>
      </c>
      <c r="B283" s="17"/>
      <c r="C283" s="17"/>
      <c r="D283" s="18"/>
      <c r="E283" s="11"/>
      <c r="F283" s="19"/>
      <c r="G283" s="36"/>
      <c r="H283" s="21"/>
      <c r="I283" s="22"/>
      <c r="J283" s="35"/>
      <c r="K283" s="24"/>
      <c r="N283" s="6"/>
      <c r="O283" s="27"/>
    </row>
    <row r="284" spans="1:15" x14ac:dyDescent="0.25">
      <c r="A284" s="13">
        <f t="shared" si="12"/>
        <v>23</v>
      </c>
      <c r="B284" s="17"/>
      <c r="C284" s="17"/>
      <c r="D284" s="18"/>
      <c r="E284" s="11"/>
      <c r="F284" s="19"/>
      <c r="G284" s="36"/>
      <c r="H284" s="21"/>
      <c r="I284" s="22"/>
      <c r="J284" s="35"/>
      <c r="K284" s="24"/>
      <c r="N284" s="6"/>
      <c r="O284" s="27"/>
    </row>
    <row r="285" spans="1:15" x14ac:dyDescent="0.25">
      <c r="A285" s="13">
        <f t="shared" si="12"/>
        <v>23</v>
      </c>
      <c r="B285" s="17"/>
      <c r="C285" s="17"/>
      <c r="D285" s="18"/>
      <c r="E285" s="11"/>
      <c r="F285" s="19"/>
      <c r="G285" s="36"/>
      <c r="H285" s="21"/>
      <c r="I285" s="22"/>
      <c r="J285" s="35"/>
      <c r="K285" s="24"/>
      <c r="N285" s="6"/>
      <c r="O285" s="27"/>
    </row>
    <row r="286" spans="1:15" x14ac:dyDescent="0.25">
      <c r="A286" s="13">
        <f t="shared" si="12"/>
        <v>23</v>
      </c>
      <c r="B286" s="17"/>
      <c r="C286" s="17"/>
      <c r="D286" s="18"/>
      <c r="E286" s="11"/>
      <c r="F286" s="19"/>
      <c r="G286" s="36"/>
      <c r="H286" s="21"/>
      <c r="I286" s="22"/>
      <c r="J286" s="35"/>
      <c r="K286" s="24"/>
      <c r="N286" s="6"/>
      <c r="O286" s="27"/>
    </row>
    <row r="287" spans="1:15" x14ac:dyDescent="0.25">
      <c r="A287" s="13">
        <f t="shared" si="12"/>
        <v>23</v>
      </c>
      <c r="B287" s="17"/>
      <c r="C287" s="17"/>
      <c r="D287" s="18"/>
      <c r="E287" s="11"/>
      <c r="F287" s="19"/>
      <c r="G287" s="36"/>
      <c r="H287" s="21"/>
      <c r="I287" s="22"/>
      <c r="J287" s="35"/>
      <c r="K287" s="24"/>
      <c r="N287" s="6"/>
      <c r="O287" s="27"/>
    </row>
    <row r="288" spans="1:15" x14ac:dyDescent="0.25">
      <c r="A288" s="13">
        <f t="shared" si="12"/>
        <v>23</v>
      </c>
      <c r="B288" s="17"/>
      <c r="C288" s="17"/>
      <c r="D288" s="18"/>
      <c r="E288" s="11"/>
      <c r="F288" s="19"/>
      <c r="G288" s="36"/>
      <c r="H288" s="21"/>
      <c r="I288" s="22"/>
      <c r="J288" s="35"/>
      <c r="K288" s="24"/>
      <c r="N288" s="6"/>
      <c r="O288" s="27"/>
    </row>
    <row r="289" spans="1:15" x14ac:dyDescent="0.25">
      <c r="A289" s="13">
        <f t="shared" si="12"/>
        <v>23</v>
      </c>
      <c r="B289" s="17"/>
      <c r="C289" s="17"/>
      <c r="D289" s="18"/>
      <c r="E289" s="11"/>
      <c r="F289" s="19"/>
      <c r="G289" s="36"/>
      <c r="H289" s="21"/>
      <c r="I289" s="22"/>
      <c r="J289" s="35"/>
      <c r="K289" s="24"/>
      <c r="N289" s="6"/>
      <c r="O289" s="27"/>
    </row>
    <row r="290" spans="1:15" x14ac:dyDescent="0.25">
      <c r="A290" s="13">
        <f t="shared" si="12"/>
        <v>23</v>
      </c>
      <c r="B290" s="17"/>
      <c r="C290" s="17"/>
      <c r="D290" s="18"/>
      <c r="E290" s="11"/>
      <c r="F290" s="19"/>
      <c r="G290" s="36"/>
      <c r="H290" s="21"/>
      <c r="I290" s="22"/>
      <c r="J290" s="35"/>
      <c r="K290" s="24"/>
      <c r="N290" s="6"/>
      <c r="O290" s="27"/>
    </row>
    <row r="291" spans="1:15" x14ac:dyDescent="0.25">
      <c r="A291" s="13">
        <f t="shared" si="12"/>
        <v>23</v>
      </c>
      <c r="B291" s="17"/>
      <c r="C291" s="17"/>
      <c r="D291" s="18"/>
      <c r="E291" s="11"/>
      <c r="F291" s="19"/>
      <c r="G291" s="36"/>
      <c r="H291" s="21"/>
      <c r="I291" s="22"/>
      <c r="J291" s="35"/>
      <c r="K291" s="24"/>
      <c r="N291" s="6"/>
      <c r="O291" s="27"/>
    </row>
    <row r="292" spans="1:15" x14ac:dyDescent="0.25">
      <c r="A292" s="13">
        <f t="shared" si="12"/>
        <v>23</v>
      </c>
      <c r="B292" s="17"/>
      <c r="C292" s="17"/>
      <c r="D292" s="18"/>
      <c r="E292" s="11"/>
      <c r="F292" s="19"/>
      <c r="G292" s="36"/>
      <c r="H292" s="21"/>
      <c r="I292" s="22"/>
      <c r="J292" s="35"/>
      <c r="K292" s="24"/>
      <c r="N292" s="6"/>
      <c r="O292" s="27"/>
    </row>
    <row r="293" spans="1:15" x14ac:dyDescent="0.25">
      <c r="A293" s="13">
        <f t="shared" si="12"/>
        <v>23</v>
      </c>
      <c r="B293" s="17"/>
      <c r="C293" s="17"/>
      <c r="D293" s="18"/>
      <c r="E293" s="11"/>
      <c r="F293" s="19"/>
      <c r="G293" s="36"/>
      <c r="H293" s="21"/>
      <c r="I293" s="22"/>
      <c r="J293" s="35"/>
      <c r="K293" s="24"/>
      <c r="N293" s="6"/>
      <c r="O293" s="27"/>
    </row>
    <row r="294" spans="1:15" x14ac:dyDescent="0.25">
      <c r="A294" s="13">
        <f t="shared" si="12"/>
        <v>23</v>
      </c>
      <c r="B294" s="17"/>
      <c r="C294" s="17"/>
      <c r="D294" s="18"/>
      <c r="E294" s="11"/>
      <c r="F294" s="19"/>
      <c r="G294" s="36"/>
      <c r="H294" s="21"/>
      <c r="I294" s="22"/>
      <c r="J294" s="35"/>
      <c r="K294" s="24"/>
      <c r="N294" s="6"/>
      <c r="O294" s="27"/>
    </row>
    <row r="295" spans="1:15" x14ac:dyDescent="0.25">
      <c r="A295" s="13">
        <f t="shared" si="12"/>
        <v>23</v>
      </c>
      <c r="B295" s="17"/>
      <c r="C295" s="17"/>
      <c r="D295" s="18"/>
      <c r="E295" s="11"/>
      <c r="F295" s="19"/>
      <c r="G295" s="36"/>
      <c r="H295" s="21"/>
      <c r="I295" s="22"/>
      <c r="J295" s="35"/>
      <c r="K295" s="24"/>
      <c r="N295" s="6"/>
      <c r="O295" s="27"/>
    </row>
    <row r="296" spans="1:15" x14ac:dyDescent="0.25">
      <c r="A296" s="13">
        <f t="shared" si="12"/>
        <v>23</v>
      </c>
      <c r="B296" s="17"/>
      <c r="C296" s="17"/>
      <c r="D296" s="18"/>
      <c r="E296" s="11"/>
      <c r="F296" s="19"/>
      <c r="G296" s="36"/>
      <c r="H296" s="21"/>
      <c r="I296" s="22"/>
      <c r="J296" s="35"/>
      <c r="K296" s="24"/>
      <c r="N296" s="6"/>
      <c r="O296" s="27"/>
    </row>
    <row r="297" spans="1:15" x14ac:dyDescent="0.25">
      <c r="A297" s="13">
        <f t="shared" si="12"/>
        <v>23</v>
      </c>
      <c r="B297" s="17"/>
      <c r="C297" s="17"/>
      <c r="D297" s="18"/>
      <c r="E297" s="11"/>
      <c r="F297" s="19"/>
      <c r="G297" s="36"/>
      <c r="H297" s="21"/>
      <c r="I297" s="22"/>
      <c r="J297" s="35"/>
      <c r="K297" s="24"/>
      <c r="N297" s="6"/>
      <c r="O297" s="27"/>
    </row>
    <row r="298" spans="1:15" x14ac:dyDescent="0.25">
      <c r="A298" s="13">
        <f t="shared" si="12"/>
        <v>23</v>
      </c>
      <c r="B298" s="17"/>
      <c r="C298" s="17"/>
      <c r="D298" s="18"/>
      <c r="E298" s="11"/>
      <c r="F298" s="19"/>
      <c r="G298" s="36"/>
      <c r="H298" s="21"/>
      <c r="I298" s="22"/>
      <c r="J298" s="35"/>
      <c r="K298" s="24"/>
      <c r="N298" s="6"/>
      <c r="O298" s="27"/>
    </row>
    <row r="299" spans="1:15" x14ac:dyDescent="0.25">
      <c r="A299" s="13">
        <f t="shared" si="12"/>
        <v>23</v>
      </c>
      <c r="B299" s="17"/>
      <c r="C299" s="17"/>
      <c r="D299" s="18"/>
      <c r="E299" s="11"/>
      <c r="F299" s="19"/>
      <c r="G299" s="36"/>
      <c r="H299" s="21"/>
      <c r="I299" s="22"/>
      <c r="J299" s="35"/>
      <c r="K299" s="24"/>
      <c r="N299" s="6"/>
      <c r="O299" s="27"/>
    </row>
    <row r="300" spans="1:15" x14ac:dyDescent="0.25">
      <c r="A300" s="13">
        <f t="shared" si="12"/>
        <v>23</v>
      </c>
      <c r="B300" s="17"/>
      <c r="C300" s="17"/>
      <c r="D300" s="18"/>
      <c r="E300" s="11"/>
      <c r="F300" s="19"/>
      <c r="G300" s="36"/>
      <c r="H300" s="21"/>
      <c r="I300" s="22"/>
      <c r="J300" s="35"/>
      <c r="K300" s="24"/>
      <c r="N300" s="6"/>
      <c r="O300" s="27"/>
    </row>
    <row r="301" spans="1:15" x14ac:dyDescent="0.25">
      <c r="A301" s="13">
        <f t="shared" si="12"/>
        <v>23</v>
      </c>
      <c r="B301" s="17"/>
      <c r="C301" s="17"/>
      <c r="D301" s="18"/>
      <c r="E301" s="11"/>
      <c r="F301" s="19"/>
      <c r="G301" s="36"/>
      <c r="H301" s="21"/>
      <c r="I301" s="22"/>
      <c r="J301" s="35"/>
      <c r="K301" s="24"/>
      <c r="N301" s="6"/>
      <c r="O301" s="27"/>
    </row>
    <row r="302" spans="1:15" x14ac:dyDescent="0.25">
      <c r="A302" s="13">
        <f t="shared" si="12"/>
        <v>23</v>
      </c>
      <c r="B302" s="17"/>
      <c r="C302" s="17"/>
      <c r="D302" s="18"/>
      <c r="E302" s="11"/>
      <c r="F302" s="19"/>
      <c r="G302" s="36"/>
      <c r="H302" s="21"/>
      <c r="I302" s="22"/>
      <c r="J302" s="35"/>
      <c r="K302" s="24"/>
      <c r="N302" s="6"/>
      <c r="O302" s="27"/>
    </row>
    <row r="303" spans="1:15" x14ac:dyDescent="0.25">
      <c r="A303" s="13">
        <f t="shared" si="12"/>
        <v>23</v>
      </c>
      <c r="B303" s="17"/>
      <c r="C303" s="17"/>
      <c r="D303" s="18"/>
      <c r="E303" s="11"/>
      <c r="F303" s="19"/>
      <c r="G303" s="36"/>
      <c r="H303" s="21"/>
      <c r="I303" s="22"/>
      <c r="J303" s="35"/>
      <c r="K303" s="24"/>
      <c r="N303" s="6"/>
      <c r="O303" s="27"/>
    </row>
    <row r="304" spans="1:15" x14ac:dyDescent="0.25">
      <c r="A304" s="13">
        <f t="shared" si="12"/>
        <v>23</v>
      </c>
      <c r="B304" s="17"/>
      <c r="C304" s="17"/>
      <c r="D304" s="18"/>
      <c r="E304" s="11"/>
      <c r="F304" s="19"/>
      <c r="G304" s="36"/>
      <c r="H304" s="21"/>
      <c r="I304" s="22"/>
      <c r="J304" s="35"/>
      <c r="K304" s="24"/>
      <c r="N304" s="6"/>
      <c r="O304" s="27"/>
    </row>
    <row r="305" spans="1:15" x14ac:dyDescent="0.25">
      <c r="A305" s="13">
        <f t="shared" si="12"/>
        <v>23</v>
      </c>
      <c r="B305" s="17"/>
      <c r="C305" s="17"/>
      <c r="D305" s="18"/>
      <c r="E305" s="11"/>
      <c r="F305" s="19"/>
      <c r="G305" s="36"/>
      <c r="H305" s="21"/>
      <c r="I305" s="22"/>
      <c r="J305" s="35"/>
      <c r="K305" s="24"/>
      <c r="N305" s="6"/>
      <c r="O305" s="27"/>
    </row>
    <row r="306" spans="1:15" x14ac:dyDescent="0.25">
      <c r="A306" s="13">
        <f t="shared" si="12"/>
        <v>23</v>
      </c>
      <c r="B306" s="17"/>
      <c r="C306" s="17"/>
      <c r="D306" s="18"/>
      <c r="E306" s="11"/>
      <c r="F306" s="19"/>
      <c r="G306" s="36"/>
      <c r="H306" s="21"/>
      <c r="I306" s="22"/>
      <c r="J306" s="35"/>
      <c r="K306" s="24"/>
      <c r="N306" s="6"/>
      <c r="O306" s="27"/>
    </row>
    <row r="307" spans="1:15" x14ac:dyDescent="0.25">
      <c r="A307" s="13">
        <f t="shared" si="12"/>
        <v>23</v>
      </c>
      <c r="B307" s="17"/>
      <c r="C307" s="17"/>
      <c r="D307" s="18"/>
      <c r="E307" s="11"/>
      <c r="F307" s="19"/>
      <c r="G307" s="36"/>
      <c r="H307" s="21"/>
      <c r="I307" s="22"/>
      <c r="J307" s="35"/>
      <c r="K307" s="24"/>
      <c r="N307" s="6"/>
      <c r="O307" s="27"/>
    </row>
    <row r="308" spans="1:15" x14ac:dyDescent="0.25">
      <c r="A308" s="13">
        <f t="shared" si="12"/>
        <v>23</v>
      </c>
      <c r="B308" s="17"/>
      <c r="C308" s="17"/>
      <c r="D308" s="18"/>
      <c r="E308" s="11"/>
      <c r="F308" s="19"/>
      <c r="G308" s="20"/>
      <c r="H308" s="21"/>
      <c r="I308" s="22"/>
      <c r="J308" s="39"/>
      <c r="K308" s="24"/>
      <c r="N308" s="6"/>
      <c r="O308" s="27"/>
    </row>
    <row r="309" spans="1:15" x14ac:dyDescent="0.25">
      <c r="A309" s="13">
        <f t="shared" si="12"/>
        <v>23</v>
      </c>
      <c r="B309" s="17"/>
      <c r="C309" s="17"/>
      <c r="D309" s="18"/>
      <c r="E309" s="11"/>
      <c r="F309" s="19"/>
      <c r="G309" s="20"/>
      <c r="H309" s="21"/>
      <c r="I309" s="22"/>
      <c r="J309" s="39"/>
      <c r="K309" s="24"/>
      <c r="N309" s="6"/>
      <c r="O309" s="27"/>
    </row>
    <row r="310" spans="1:15" x14ac:dyDescent="0.25">
      <c r="A310" s="13">
        <f t="shared" si="12"/>
        <v>23</v>
      </c>
      <c r="B310" s="17"/>
      <c r="C310" s="17"/>
      <c r="D310" s="18"/>
      <c r="E310" s="11"/>
      <c r="F310" s="19"/>
      <c r="G310" s="20"/>
      <c r="H310" s="21"/>
      <c r="I310" s="22"/>
      <c r="J310" s="39"/>
      <c r="K310" s="24"/>
      <c r="N310" s="6"/>
      <c r="O310" s="27"/>
    </row>
    <row r="311" spans="1:15" x14ac:dyDescent="0.25">
      <c r="A311" s="13">
        <f t="shared" si="12"/>
        <v>23</v>
      </c>
      <c r="B311" s="17"/>
      <c r="C311" s="17"/>
      <c r="D311" s="18"/>
      <c r="E311" s="11"/>
      <c r="F311" s="19"/>
      <c r="G311" s="20"/>
      <c r="H311" s="21"/>
      <c r="I311" s="22"/>
      <c r="J311" s="39"/>
      <c r="K311" s="24"/>
      <c r="N311" s="6"/>
      <c r="O311" s="27"/>
    </row>
    <row r="312" spans="1:15" x14ac:dyDescent="0.25">
      <c r="A312" s="13">
        <f t="shared" si="12"/>
        <v>23</v>
      </c>
      <c r="B312" s="17"/>
      <c r="C312" s="17"/>
      <c r="D312" s="18"/>
      <c r="E312" s="11"/>
      <c r="F312" s="19"/>
      <c r="G312" s="20"/>
      <c r="H312" s="21"/>
      <c r="I312" s="22"/>
      <c r="J312" s="39"/>
      <c r="K312" s="24"/>
      <c r="N312" s="6"/>
      <c r="O312" s="27"/>
    </row>
    <row r="313" spans="1:15" x14ac:dyDescent="0.25">
      <c r="A313" s="13">
        <f t="shared" si="12"/>
        <v>23</v>
      </c>
      <c r="B313" s="17"/>
      <c r="C313" s="17"/>
      <c r="D313" s="18"/>
      <c r="E313" s="11"/>
      <c r="F313" s="19"/>
      <c r="G313" s="20"/>
      <c r="H313" s="21"/>
      <c r="I313" s="22"/>
      <c r="J313" s="39"/>
      <c r="K313" s="24"/>
      <c r="N313" s="6"/>
      <c r="O313" s="27"/>
    </row>
    <row r="314" spans="1:15" x14ac:dyDescent="0.25">
      <c r="A314" s="13">
        <f t="shared" si="12"/>
        <v>23</v>
      </c>
      <c r="B314" s="17"/>
      <c r="C314" s="17"/>
      <c r="D314" s="18"/>
      <c r="E314" s="11"/>
      <c r="F314" s="19"/>
      <c r="G314" s="20"/>
      <c r="H314" s="21"/>
      <c r="I314" s="22"/>
      <c r="J314" s="23"/>
      <c r="K314" s="24"/>
      <c r="N314" s="6"/>
      <c r="O314" s="27"/>
    </row>
    <row r="315" spans="1:15" x14ac:dyDescent="0.25">
      <c r="A315" s="13">
        <f t="shared" si="12"/>
        <v>23</v>
      </c>
      <c r="B315" s="17"/>
      <c r="C315" s="17"/>
      <c r="D315" s="18"/>
      <c r="E315" s="11"/>
      <c r="F315" s="19"/>
      <c r="G315" s="20"/>
      <c r="H315" s="21"/>
      <c r="I315" s="22"/>
      <c r="J315" s="39"/>
      <c r="K315" s="24"/>
      <c r="N315" s="6"/>
      <c r="O315" s="27"/>
    </row>
    <row r="316" spans="1:15" x14ac:dyDescent="0.25">
      <c r="A316" s="13">
        <f t="shared" si="12"/>
        <v>23</v>
      </c>
      <c r="B316" s="17"/>
      <c r="C316" s="17"/>
      <c r="D316" s="18"/>
      <c r="E316" s="11"/>
      <c r="F316" s="19"/>
      <c r="G316" s="20"/>
      <c r="H316" s="21"/>
      <c r="I316" s="22"/>
      <c r="J316" s="39"/>
      <c r="K316" s="24"/>
      <c r="N316" s="6"/>
      <c r="O316" s="27"/>
    </row>
    <row r="317" spans="1:15" x14ac:dyDescent="0.25">
      <c r="A317" s="13">
        <f t="shared" si="12"/>
        <v>23</v>
      </c>
      <c r="B317" s="17"/>
      <c r="C317" s="17"/>
      <c r="D317" s="18"/>
      <c r="E317" s="11"/>
      <c r="F317" s="19"/>
      <c r="G317" s="20"/>
      <c r="H317" s="21"/>
      <c r="I317" s="22"/>
      <c r="J317" s="39"/>
      <c r="K317" s="24"/>
      <c r="N317" s="6"/>
      <c r="O317" s="27"/>
    </row>
    <row r="318" spans="1:15" x14ac:dyDescent="0.25">
      <c r="A318" s="13">
        <f t="shared" si="12"/>
        <v>23</v>
      </c>
      <c r="B318" s="17"/>
      <c r="C318" s="17"/>
      <c r="D318" s="18"/>
      <c r="E318" s="11"/>
      <c r="F318" s="19"/>
      <c r="G318" s="20"/>
      <c r="H318" s="21"/>
      <c r="I318" s="22"/>
      <c r="J318" s="39"/>
      <c r="K318" s="24"/>
      <c r="N318" s="6"/>
      <c r="O318" s="27"/>
    </row>
    <row r="319" spans="1:15" x14ac:dyDescent="0.25">
      <c r="A319" s="13">
        <f t="shared" si="12"/>
        <v>23</v>
      </c>
      <c r="B319" s="17"/>
      <c r="C319" s="17"/>
      <c r="D319" s="18"/>
      <c r="E319" s="11"/>
      <c r="F319" s="19"/>
      <c r="G319" s="20"/>
      <c r="H319" s="21"/>
      <c r="I319" s="22"/>
      <c r="J319" s="39"/>
      <c r="K319" s="24"/>
      <c r="N319" s="6"/>
      <c r="O319" s="27"/>
    </row>
    <row r="320" spans="1:15" x14ac:dyDescent="0.25">
      <c r="A320" s="13">
        <f t="shared" si="12"/>
        <v>23</v>
      </c>
      <c r="B320" s="17"/>
      <c r="C320" s="17"/>
      <c r="D320" s="18"/>
      <c r="E320" s="11"/>
      <c r="F320" s="19"/>
      <c r="G320" s="20"/>
      <c r="H320" s="21"/>
      <c r="I320" s="22"/>
      <c r="J320" s="39"/>
      <c r="K320" s="24"/>
      <c r="N320" s="6"/>
      <c r="O320" s="27"/>
    </row>
    <row r="321" spans="1:15" x14ac:dyDescent="0.25">
      <c r="A321" s="13">
        <f t="shared" si="12"/>
        <v>23</v>
      </c>
      <c r="B321" s="17"/>
      <c r="C321" s="17"/>
      <c r="D321" s="18"/>
      <c r="E321" s="11"/>
      <c r="F321" s="19"/>
      <c r="G321" s="20"/>
      <c r="H321" s="21"/>
      <c r="I321" s="22"/>
      <c r="J321" s="39"/>
      <c r="K321" s="24"/>
      <c r="N321" s="6"/>
      <c r="O321" s="27"/>
    </row>
    <row r="322" spans="1:15" x14ac:dyDescent="0.25">
      <c r="A322" s="13">
        <f t="shared" si="12"/>
        <v>23</v>
      </c>
      <c r="B322" s="17"/>
      <c r="C322" s="17"/>
      <c r="D322" s="18"/>
      <c r="E322" s="11"/>
      <c r="F322" s="19"/>
      <c r="G322" s="20"/>
      <c r="H322" s="21"/>
      <c r="I322" s="22"/>
      <c r="J322" s="39"/>
      <c r="K322" s="24"/>
      <c r="N322" s="6"/>
      <c r="O322" s="27"/>
    </row>
    <row r="323" spans="1:15" x14ac:dyDescent="0.25">
      <c r="A323" s="13">
        <f t="shared" si="12"/>
        <v>23</v>
      </c>
      <c r="B323" s="17"/>
      <c r="C323" s="17"/>
      <c r="D323" s="18"/>
      <c r="E323" s="11"/>
      <c r="F323" s="19"/>
      <c r="G323" s="20"/>
      <c r="H323" s="21"/>
      <c r="I323" s="22"/>
      <c r="J323" s="39"/>
      <c r="K323" s="24"/>
      <c r="N323" s="6"/>
      <c r="O323" s="27"/>
    </row>
    <row r="324" spans="1:15" x14ac:dyDescent="0.25">
      <c r="A324" s="13">
        <f t="shared" ref="A324:A387" si="13">IF(B324=B323,A323,A323+1)</f>
        <v>23</v>
      </c>
      <c r="B324" s="17"/>
      <c r="C324" s="17"/>
      <c r="D324" s="18"/>
      <c r="E324" s="11"/>
      <c r="F324" s="19"/>
      <c r="G324" s="20"/>
      <c r="H324" s="21"/>
      <c r="I324" s="22"/>
      <c r="J324" s="39"/>
      <c r="K324" s="24"/>
      <c r="N324" s="6"/>
      <c r="O324" s="27"/>
    </row>
    <row r="325" spans="1:15" x14ac:dyDescent="0.25">
      <c r="A325" s="13">
        <f t="shared" si="13"/>
        <v>23</v>
      </c>
      <c r="B325" s="17"/>
      <c r="C325" s="17"/>
      <c r="D325" s="18"/>
      <c r="E325" s="11"/>
      <c r="F325" s="19"/>
      <c r="G325" s="20"/>
      <c r="H325" s="21"/>
      <c r="I325" s="22"/>
      <c r="J325" s="39"/>
      <c r="K325" s="24"/>
      <c r="N325" s="6"/>
      <c r="O325" s="27"/>
    </row>
    <row r="326" spans="1:15" x14ac:dyDescent="0.25">
      <c r="A326" s="13">
        <f t="shared" si="13"/>
        <v>23</v>
      </c>
      <c r="B326" s="17"/>
      <c r="C326" s="17"/>
      <c r="D326" s="18"/>
      <c r="E326" s="11"/>
      <c r="F326" s="19"/>
      <c r="G326" s="20"/>
      <c r="H326" s="21"/>
      <c r="I326" s="22"/>
      <c r="J326" s="39"/>
      <c r="K326" s="24"/>
      <c r="N326" s="6"/>
      <c r="O326" s="27"/>
    </row>
    <row r="327" spans="1:15" x14ac:dyDescent="0.25">
      <c r="A327" s="13">
        <f t="shared" si="13"/>
        <v>23</v>
      </c>
      <c r="B327" s="17"/>
      <c r="C327" s="17"/>
      <c r="D327" s="18"/>
      <c r="E327" s="11"/>
      <c r="F327" s="19"/>
      <c r="G327" s="20"/>
      <c r="H327" s="21"/>
      <c r="I327" s="22"/>
      <c r="J327" s="39"/>
      <c r="K327" s="24"/>
      <c r="N327" s="6"/>
      <c r="O327" s="27"/>
    </row>
    <row r="328" spans="1:15" x14ac:dyDescent="0.25">
      <c r="A328" s="13">
        <f t="shared" si="13"/>
        <v>23</v>
      </c>
      <c r="B328" s="17"/>
      <c r="C328" s="17"/>
      <c r="D328" s="18"/>
      <c r="E328" s="11"/>
      <c r="F328" s="19"/>
      <c r="G328" s="20"/>
      <c r="H328" s="21"/>
      <c r="I328" s="22"/>
      <c r="J328" s="39"/>
      <c r="K328" s="24"/>
      <c r="N328" s="6"/>
      <c r="O328" s="27"/>
    </row>
    <row r="329" spans="1:15" x14ac:dyDescent="0.25">
      <c r="A329" s="13">
        <f t="shared" si="13"/>
        <v>23</v>
      </c>
      <c r="B329" s="17"/>
      <c r="C329" s="17"/>
      <c r="D329" s="18"/>
      <c r="E329" s="11"/>
      <c r="F329" s="19"/>
      <c r="G329" s="20"/>
      <c r="H329" s="37"/>
      <c r="I329" s="22"/>
      <c r="J329" s="39"/>
      <c r="K329" s="24"/>
      <c r="N329" s="6"/>
      <c r="O329" s="27"/>
    </row>
    <row r="330" spans="1:15" x14ac:dyDescent="0.25">
      <c r="A330" s="13">
        <f t="shared" si="13"/>
        <v>23</v>
      </c>
      <c r="B330" s="17"/>
      <c r="C330" s="17"/>
      <c r="D330" s="18"/>
      <c r="E330" s="11"/>
      <c r="F330" s="19"/>
      <c r="G330" s="20"/>
      <c r="H330" s="37"/>
      <c r="I330" s="22"/>
      <c r="J330" s="39"/>
      <c r="K330" s="24"/>
      <c r="N330" s="6"/>
      <c r="O330" s="27"/>
    </row>
    <row r="331" spans="1:15" x14ac:dyDescent="0.25">
      <c r="A331" s="13">
        <f t="shared" si="13"/>
        <v>23</v>
      </c>
      <c r="B331" s="17"/>
      <c r="C331" s="17"/>
      <c r="D331" s="18"/>
      <c r="E331" s="11"/>
      <c r="F331" s="19"/>
      <c r="G331" s="20"/>
      <c r="H331" s="37"/>
      <c r="I331" s="22"/>
      <c r="J331" s="39"/>
      <c r="K331" s="24"/>
      <c r="N331" s="6"/>
      <c r="O331" s="27"/>
    </row>
    <row r="332" spans="1:15" x14ac:dyDescent="0.25">
      <c r="A332" s="13">
        <f t="shared" si="13"/>
        <v>23</v>
      </c>
      <c r="B332" s="17"/>
      <c r="C332" s="17"/>
      <c r="D332" s="18"/>
      <c r="E332" s="11"/>
      <c r="F332" s="19"/>
      <c r="G332" s="20"/>
      <c r="H332" s="37"/>
      <c r="I332" s="22"/>
      <c r="J332" s="39"/>
      <c r="K332" s="24"/>
      <c r="N332" s="6"/>
      <c r="O332" s="27"/>
    </row>
    <row r="333" spans="1:15" x14ac:dyDescent="0.25">
      <c r="A333" s="13">
        <f t="shared" si="13"/>
        <v>23</v>
      </c>
      <c r="B333" s="17"/>
      <c r="C333" s="17"/>
      <c r="D333" s="18"/>
      <c r="E333" s="11"/>
      <c r="F333" s="19"/>
      <c r="G333" s="20"/>
      <c r="H333" s="37"/>
      <c r="I333" s="22"/>
      <c r="J333" s="39"/>
      <c r="K333" s="24"/>
      <c r="N333" s="6"/>
      <c r="O333" s="27"/>
    </row>
    <row r="334" spans="1:15" x14ac:dyDescent="0.25">
      <c r="A334" s="13">
        <f t="shared" si="13"/>
        <v>23</v>
      </c>
      <c r="B334" s="17"/>
      <c r="C334" s="17"/>
      <c r="D334" s="18"/>
      <c r="E334" s="11"/>
      <c r="F334" s="19"/>
      <c r="G334" s="20"/>
      <c r="H334" s="37"/>
      <c r="I334" s="22"/>
      <c r="J334" s="39"/>
      <c r="K334" s="24"/>
      <c r="N334" s="6"/>
      <c r="O334" s="27"/>
    </row>
    <row r="335" spans="1:15" x14ac:dyDescent="0.25">
      <c r="A335" s="13">
        <f t="shared" si="13"/>
        <v>23</v>
      </c>
      <c r="B335" s="17"/>
      <c r="C335" s="17"/>
      <c r="D335" s="18"/>
      <c r="E335" s="11"/>
      <c r="F335" s="19"/>
      <c r="G335" s="20"/>
      <c r="H335" s="37"/>
      <c r="I335" s="22"/>
      <c r="J335" s="39"/>
      <c r="K335" s="24"/>
      <c r="N335" s="6"/>
      <c r="O335" s="27"/>
    </row>
    <row r="336" spans="1:15" x14ac:dyDescent="0.25">
      <c r="A336" s="13">
        <f t="shared" si="13"/>
        <v>23</v>
      </c>
      <c r="B336" s="17"/>
      <c r="C336" s="17"/>
      <c r="D336" s="18"/>
      <c r="E336" s="11"/>
      <c r="F336" s="19"/>
      <c r="G336" s="20"/>
      <c r="H336" s="37"/>
      <c r="I336" s="22"/>
      <c r="J336" s="39"/>
      <c r="K336" s="24"/>
      <c r="N336" s="6"/>
      <c r="O336" s="27"/>
    </row>
    <row r="337" spans="1:15" x14ac:dyDescent="0.25">
      <c r="A337" s="13">
        <f t="shared" si="13"/>
        <v>23</v>
      </c>
      <c r="B337" s="17"/>
      <c r="C337" s="17"/>
      <c r="D337" s="18"/>
      <c r="E337" s="11"/>
      <c r="F337" s="19"/>
      <c r="G337" s="20"/>
      <c r="H337" s="37"/>
      <c r="I337" s="22"/>
      <c r="J337" s="39"/>
      <c r="K337" s="24"/>
      <c r="N337" s="6"/>
      <c r="O337" s="27"/>
    </row>
    <row r="338" spans="1:15" x14ac:dyDescent="0.25">
      <c r="A338" s="13">
        <f t="shared" si="13"/>
        <v>23</v>
      </c>
      <c r="B338" s="17"/>
      <c r="C338" s="17"/>
      <c r="D338" s="18"/>
      <c r="E338" s="11"/>
      <c r="F338" s="19"/>
      <c r="G338" s="20"/>
      <c r="H338" s="37"/>
      <c r="I338" s="22"/>
      <c r="J338" s="39"/>
      <c r="K338" s="24"/>
      <c r="N338" s="6"/>
      <c r="O338" s="27"/>
    </row>
    <row r="339" spans="1:15" x14ac:dyDescent="0.25">
      <c r="A339" s="13">
        <f t="shared" si="13"/>
        <v>23</v>
      </c>
      <c r="B339" s="17"/>
      <c r="C339" s="17"/>
      <c r="D339" s="18"/>
      <c r="E339" s="11"/>
      <c r="F339" s="19"/>
      <c r="G339" s="20"/>
      <c r="H339" s="37"/>
      <c r="I339" s="22"/>
      <c r="J339" s="39"/>
      <c r="K339" s="24"/>
      <c r="N339" s="6"/>
      <c r="O339" s="27"/>
    </row>
    <row r="340" spans="1:15" x14ac:dyDescent="0.25">
      <c r="A340" s="13">
        <f t="shared" si="13"/>
        <v>23</v>
      </c>
      <c r="B340" s="17"/>
      <c r="C340" s="17"/>
      <c r="D340" s="18"/>
      <c r="E340" s="11"/>
      <c r="F340" s="19"/>
      <c r="G340" s="20"/>
      <c r="H340" s="21"/>
      <c r="I340" s="22"/>
      <c r="J340" s="39"/>
      <c r="K340" s="24"/>
      <c r="N340" s="6"/>
      <c r="O340" s="27"/>
    </row>
    <row r="341" spans="1:15" x14ac:dyDescent="0.25">
      <c r="A341" s="13">
        <f t="shared" si="13"/>
        <v>23</v>
      </c>
      <c r="B341" s="17"/>
      <c r="C341" s="17"/>
      <c r="D341" s="18"/>
      <c r="E341" s="11"/>
      <c r="F341" s="19"/>
      <c r="G341" s="20"/>
      <c r="H341" s="21"/>
      <c r="I341" s="22"/>
      <c r="J341" s="39"/>
      <c r="K341" s="24"/>
      <c r="N341" s="6"/>
      <c r="O341" s="27"/>
    </row>
    <row r="342" spans="1:15" x14ac:dyDescent="0.25">
      <c r="A342" s="13">
        <f t="shared" si="13"/>
        <v>23</v>
      </c>
      <c r="B342" s="17"/>
      <c r="C342" s="17"/>
      <c r="D342" s="18"/>
      <c r="E342" s="11"/>
      <c r="F342" s="19"/>
      <c r="G342" s="20"/>
      <c r="H342" s="37"/>
      <c r="I342" s="22"/>
      <c r="J342" s="39"/>
      <c r="K342" s="24"/>
      <c r="N342" s="6"/>
      <c r="O342" s="27"/>
    </row>
    <row r="343" spans="1:15" x14ac:dyDescent="0.25">
      <c r="A343" s="13">
        <f t="shared" si="13"/>
        <v>23</v>
      </c>
      <c r="B343" s="17"/>
      <c r="C343" s="17"/>
      <c r="D343" s="18"/>
      <c r="E343" s="11"/>
      <c r="F343" s="19"/>
      <c r="G343" s="36"/>
      <c r="H343" s="21"/>
      <c r="I343" s="22"/>
      <c r="J343" s="35"/>
      <c r="K343" s="24"/>
      <c r="N343" s="6"/>
      <c r="O343" s="27"/>
    </row>
    <row r="344" spans="1:15" x14ac:dyDescent="0.25">
      <c r="A344" s="13">
        <f t="shared" si="13"/>
        <v>23</v>
      </c>
      <c r="B344" s="17"/>
      <c r="C344" s="17"/>
      <c r="D344" s="18"/>
      <c r="E344" s="11"/>
      <c r="F344" s="19"/>
      <c r="G344" s="36"/>
      <c r="H344" s="21"/>
      <c r="I344" s="22"/>
      <c r="J344" s="35"/>
      <c r="K344" s="24"/>
      <c r="N344" s="6"/>
      <c r="O344" s="27"/>
    </row>
    <row r="345" spans="1:15" x14ac:dyDescent="0.25">
      <c r="A345" s="13">
        <f t="shared" si="13"/>
        <v>23</v>
      </c>
      <c r="B345" s="17"/>
      <c r="C345" s="17"/>
      <c r="D345" s="18"/>
      <c r="E345" s="11"/>
      <c r="F345" s="19"/>
      <c r="G345" s="36"/>
      <c r="H345" s="21"/>
      <c r="I345" s="22"/>
      <c r="J345" s="35"/>
      <c r="K345" s="24"/>
      <c r="N345" s="6"/>
      <c r="O345" s="27"/>
    </row>
    <row r="346" spans="1:15" x14ac:dyDescent="0.25">
      <c r="A346" s="13">
        <f t="shared" si="13"/>
        <v>23</v>
      </c>
      <c r="B346" s="17"/>
      <c r="C346" s="17"/>
      <c r="D346" s="18"/>
      <c r="E346" s="11"/>
      <c r="F346" s="19"/>
      <c r="G346" s="36"/>
      <c r="H346" s="21"/>
      <c r="I346" s="22"/>
      <c r="J346" s="35"/>
      <c r="K346" s="24"/>
      <c r="N346" s="6"/>
      <c r="O346" s="27"/>
    </row>
    <row r="347" spans="1:15" x14ac:dyDescent="0.25">
      <c r="A347" s="13">
        <f t="shared" si="13"/>
        <v>23</v>
      </c>
      <c r="B347" s="17"/>
      <c r="C347" s="17"/>
      <c r="D347" s="18"/>
      <c r="E347" s="11"/>
      <c r="F347" s="19"/>
      <c r="G347" s="36"/>
      <c r="H347" s="21"/>
      <c r="I347" s="22"/>
      <c r="J347" s="35"/>
      <c r="K347" s="24"/>
      <c r="N347" s="6"/>
      <c r="O347" s="27"/>
    </row>
    <row r="348" spans="1:15" x14ac:dyDescent="0.25">
      <c r="A348" s="13">
        <f t="shared" si="13"/>
        <v>23</v>
      </c>
      <c r="B348" s="17"/>
      <c r="C348" s="17"/>
      <c r="D348" s="18"/>
      <c r="E348" s="11"/>
      <c r="F348" s="19"/>
      <c r="G348" s="36"/>
      <c r="H348" s="21"/>
      <c r="I348" s="22"/>
      <c r="J348" s="35"/>
      <c r="K348" s="24"/>
      <c r="N348" s="6"/>
      <c r="O348" s="27"/>
    </row>
    <row r="349" spans="1:15" x14ac:dyDescent="0.25">
      <c r="A349" s="13">
        <f t="shared" si="13"/>
        <v>23</v>
      </c>
      <c r="B349" s="17"/>
      <c r="C349" s="17"/>
      <c r="D349" s="18"/>
      <c r="E349" s="11"/>
      <c r="F349" s="19"/>
      <c r="G349" s="36"/>
      <c r="H349" s="21"/>
      <c r="I349" s="22"/>
      <c r="J349" s="35"/>
      <c r="K349" s="24"/>
      <c r="N349" s="6"/>
      <c r="O349" s="27"/>
    </row>
    <row r="350" spans="1:15" x14ac:dyDescent="0.25">
      <c r="A350" s="13">
        <f t="shared" si="13"/>
        <v>23</v>
      </c>
      <c r="B350" s="17"/>
      <c r="C350" s="17"/>
      <c r="D350" s="18"/>
      <c r="E350" s="11"/>
      <c r="F350" s="19"/>
      <c r="G350" s="36"/>
      <c r="H350" s="21"/>
      <c r="I350" s="22"/>
      <c r="J350" s="35"/>
      <c r="K350" s="24"/>
      <c r="N350" s="6"/>
      <c r="O350" s="27"/>
    </row>
    <row r="351" spans="1:15" x14ac:dyDescent="0.25">
      <c r="A351" s="13">
        <f t="shared" si="13"/>
        <v>23</v>
      </c>
      <c r="B351" s="17"/>
      <c r="C351" s="17"/>
      <c r="D351" s="18"/>
      <c r="E351" s="11"/>
      <c r="F351" s="19"/>
      <c r="G351" s="36"/>
      <c r="H351" s="21"/>
      <c r="I351" s="22"/>
      <c r="J351" s="35"/>
      <c r="K351" s="24"/>
      <c r="N351" s="6"/>
      <c r="O351" s="27"/>
    </row>
    <row r="352" spans="1:15" x14ac:dyDescent="0.25">
      <c r="A352" s="13">
        <f t="shared" si="13"/>
        <v>23</v>
      </c>
      <c r="B352" s="17"/>
      <c r="C352" s="17"/>
      <c r="D352" s="18"/>
      <c r="E352" s="11"/>
      <c r="F352" s="19"/>
      <c r="G352" s="20"/>
      <c r="H352" s="37"/>
      <c r="I352" s="22"/>
      <c r="J352" s="39"/>
      <c r="K352" s="24"/>
      <c r="N352" s="6"/>
      <c r="O352" s="27"/>
    </row>
    <row r="353" spans="1:15" x14ac:dyDescent="0.25">
      <c r="A353" s="13">
        <f t="shared" si="13"/>
        <v>23</v>
      </c>
      <c r="B353" s="17"/>
      <c r="C353" s="17"/>
      <c r="D353" s="18"/>
      <c r="E353" s="11"/>
      <c r="F353" s="19"/>
      <c r="G353" s="20"/>
      <c r="H353" s="37"/>
      <c r="I353" s="22"/>
      <c r="J353" s="39"/>
      <c r="K353" s="24"/>
      <c r="N353" s="6"/>
      <c r="O353" s="27"/>
    </row>
    <row r="354" spans="1:15" x14ac:dyDescent="0.25">
      <c r="A354" s="13">
        <f t="shared" si="13"/>
        <v>23</v>
      </c>
      <c r="B354" s="17"/>
      <c r="C354" s="17"/>
      <c r="D354" s="18"/>
      <c r="E354" s="11"/>
      <c r="F354" s="19"/>
      <c r="G354" s="20"/>
      <c r="H354" s="37"/>
      <c r="I354" s="22"/>
      <c r="J354" s="39"/>
      <c r="K354" s="24"/>
      <c r="N354" s="6"/>
      <c r="O354" s="27"/>
    </row>
    <row r="355" spans="1:15" x14ac:dyDescent="0.25">
      <c r="A355" s="13">
        <f t="shared" si="13"/>
        <v>23</v>
      </c>
      <c r="B355" s="17"/>
      <c r="C355" s="17"/>
      <c r="D355" s="18"/>
      <c r="E355" s="11"/>
      <c r="F355" s="19"/>
      <c r="G355" s="20"/>
      <c r="H355" s="37"/>
      <c r="I355" s="22"/>
      <c r="J355" s="39"/>
      <c r="K355" s="24"/>
      <c r="N355" s="6"/>
      <c r="O355" s="27"/>
    </row>
    <row r="356" spans="1:15" x14ac:dyDescent="0.25">
      <c r="A356" s="13">
        <f t="shared" si="13"/>
        <v>23</v>
      </c>
      <c r="B356" s="17"/>
      <c r="C356" s="17"/>
      <c r="D356" s="18"/>
      <c r="E356" s="11"/>
      <c r="F356" s="19"/>
      <c r="G356" s="20"/>
      <c r="H356" s="37"/>
      <c r="I356" s="22"/>
      <c r="J356" s="39"/>
      <c r="K356" s="24"/>
      <c r="N356" s="6"/>
      <c r="O356" s="27"/>
    </row>
    <row r="357" spans="1:15" x14ac:dyDescent="0.25">
      <c r="A357" s="13">
        <f t="shared" si="13"/>
        <v>23</v>
      </c>
      <c r="B357" s="17"/>
      <c r="C357" s="17"/>
      <c r="D357" s="18"/>
      <c r="E357" s="11"/>
      <c r="F357" s="19"/>
      <c r="G357" s="20"/>
      <c r="H357" s="37"/>
      <c r="I357" s="22"/>
      <c r="J357" s="39"/>
      <c r="K357" s="24"/>
      <c r="N357" s="6"/>
      <c r="O357" s="27"/>
    </row>
    <row r="358" spans="1:15" x14ac:dyDescent="0.25">
      <c r="A358" s="13">
        <f t="shared" si="13"/>
        <v>23</v>
      </c>
      <c r="B358" s="17"/>
      <c r="C358" s="17"/>
      <c r="D358" s="18"/>
      <c r="E358" s="11"/>
      <c r="F358" s="19"/>
      <c r="G358" s="20"/>
      <c r="H358" s="37"/>
      <c r="I358" s="22"/>
      <c r="J358" s="39"/>
      <c r="K358" s="24"/>
      <c r="N358" s="6"/>
      <c r="O358" s="27"/>
    </row>
    <row r="359" spans="1:15" x14ac:dyDescent="0.25">
      <c r="A359" s="13">
        <f t="shared" si="13"/>
        <v>23</v>
      </c>
      <c r="B359" s="17"/>
      <c r="C359" s="17"/>
      <c r="D359" s="18"/>
      <c r="E359" s="11"/>
      <c r="F359" s="19"/>
      <c r="G359" s="20"/>
      <c r="H359" s="37"/>
      <c r="I359" s="22"/>
      <c r="J359" s="39"/>
      <c r="K359" s="24"/>
      <c r="N359" s="6"/>
      <c r="O359" s="27"/>
    </row>
    <row r="360" spans="1:15" x14ac:dyDescent="0.25">
      <c r="A360" s="13">
        <f t="shared" si="13"/>
        <v>23</v>
      </c>
      <c r="B360" s="17"/>
      <c r="C360" s="17"/>
      <c r="D360" s="18"/>
      <c r="E360" s="11"/>
      <c r="F360" s="19"/>
      <c r="G360" s="20"/>
      <c r="H360" s="37"/>
      <c r="I360" s="22"/>
      <c r="J360" s="39"/>
      <c r="K360" s="24"/>
      <c r="N360" s="6"/>
      <c r="O360" s="27"/>
    </row>
    <row r="361" spans="1:15" x14ac:dyDescent="0.25">
      <c r="A361" s="13">
        <f t="shared" si="13"/>
        <v>23</v>
      </c>
      <c r="B361" s="17"/>
      <c r="C361" s="17"/>
      <c r="D361" s="18"/>
      <c r="E361" s="11"/>
      <c r="F361" s="19"/>
      <c r="G361" s="20"/>
      <c r="H361" s="37"/>
      <c r="I361" s="22"/>
      <c r="J361" s="39"/>
      <c r="K361" s="24"/>
      <c r="N361" s="6"/>
      <c r="O361" s="27"/>
    </row>
    <row r="362" spans="1:15" x14ac:dyDescent="0.25">
      <c r="A362" s="13">
        <f t="shared" si="13"/>
        <v>23</v>
      </c>
      <c r="B362" s="17"/>
      <c r="C362" s="17"/>
      <c r="D362" s="18"/>
      <c r="E362" s="11"/>
      <c r="F362" s="19"/>
      <c r="G362" s="20"/>
      <c r="H362" s="37"/>
      <c r="I362" s="22"/>
      <c r="J362" s="39"/>
      <c r="K362" s="24"/>
      <c r="N362" s="6"/>
      <c r="O362" s="27"/>
    </row>
    <row r="363" spans="1:15" x14ac:dyDescent="0.25">
      <c r="A363" s="13">
        <f t="shared" si="13"/>
        <v>23</v>
      </c>
      <c r="B363" s="17"/>
      <c r="C363" s="17"/>
      <c r="D363" s="18"/>
      <c r="E363" s="11"/>
      <c r="F363" s="19"/>
      <c r="G363" s="20"/>
      <c r="H363" s="37"/>
      <c r="I363" s="22"/>
      <c r="J363" s="39"/>
      <c r="K363" s="24"/>
      <c r="N363" s="6"/>
      <c r="O363" s="27"/>
    </row>
    <row r="364" spans="1:15" x14ac:dyDescent="0.25">
      <c r="A364" s="13">
        <f t="shared" si="13"/>
        <v>23</v>
      </c>
      <c r="B364" s="17"/>
      <c r="C364" s="17"/>
      <c r="D364" s="18"/>
      <c r="E364" s="11"/>
      <c r="F364" s="19"/>
      <c r="G364" s="20"/>
      <c r="H364" s="37"/>
      <c r="I364" s="22"/>
      <c r="J364" s="39"/>
      <c r="K364" s="24"/>
      <c r="N364" s="6"/>
      <c r="O364" s="27"/>
    </row>
    <row r="365" spans="1:15" x14ac:dyDescent="0.25">
      <c r="A365" s="13">
        <f t="shared" si="13"/>
        <v>23</v>
      </c>
      <c r="B365" s="17"/>
      <c r="C365" s="17"/>
      <c r="D365" s="18"/>
      <c r="E365" s="11"/>
      <c r="F365" s="19"/>
      <c r="G365" s="20"/>
      <c r="H365" s="37"/>
      <c r="I365" s="22"/>
      <c r="J365" s="39"/>
      <c r="K365" s="24"/>
      <c r="N365" s="6"/>
      <c r="O365" s="27"/>
    </row>
    <row r="366" spans="1:15" x14ac:dyDescent="0.25">
      <c r="A366" s="13">
        <f t="shared" si="13"/>
        <v>23</v>
      </c>
      <c r="B366" s="17"/>
      <c r="C366" s="17"/>
      <c r="D366" s="18"/>
      <c r="E366" s="11"/>
      <c r="F366" s="19"/>
      <c r="G366" s="20"/>
      <c r="H366" s="37"/>
      <c r="I366" s="22"/>
      <c r="J366" s="39"/>
      <c r="K366" s="24"/>
      <c r="N366" s="6"/>
      <c r="O366" s="27"/>
    </row>
    <row r="367" spans="1:15" x14ac:dyDescent="0.25">
      <c r="A367" s="13">
        <f t="shared" si="13"/>
        <v>23</v>
      </c>
      <c r="B367" s="17"/>
      <c r="C367" s="17"/>
      <c r="D367" s="18"/>
      <c r="E367" s="11"/>
      <c r="F367" s="19"/>
      <c r="G367" s="20"/>
      <c r="H367" s="37"/>
      <c r="I367" s="22"/>
      <c r="J367" s="39"/>
      <c r="K367" s="24"/>
      <c r="N367" s="6"/>
      <c r="O367" s="27"/>
    </row>
    <row r="368" spans="1:15" x14ac:dyDescent="0.25">
      <c r="A368" s="13">
        <f t="shared" si="13"/>
        <v>23</v>
      </c>
      <c r="B368" s="17"/>
      <c r="C368" s="17"/>
      <c r="D368" s="18"/>
      <c r="E368" s="11"/>
      <c r="F368" s="19"/>
      <c r="G368" s="20"/>
      <c r="H368" s="37"/>
      <c r="I368" s="22"/>
      <c r="J368" s="39"/>
      <c r="K368" s="24"/>
      <c r="N368" s="6"/>
      <c r="O368" s="27"/>
    </row>
    <row r="369" spans="1:15" x14ac:dyDescent="0.25">
      <c r="A369" s="13">
        <f t="shared" si="13"/>
        <v>23</v>
      </c>
      <c r="B369" s="17"/>
      <c r="C369" s="17"/>
      <c r="D369" s="18"/>
      <c r="E369" s="11"/>
      <c r="F369" s="19"/>
      <c r="G369" s="20"/>
      <c r="H369" s="37"/>
      <c r="I369" s="22"/>
      <c r="J369" s="39"/>
      <c r="K369" s="24"/>
      <c r="N369" s="6"/>
      <c r="O369" s="27"/>
    </row>
    <row r="370" spans="1:15" x14ac:dyDescent="0.25">
      <c r="A370" s="13">
        <f t="shared" si="13"/>
        <v>23</v>
      </c>
      <c r="B370" s="17"/>
      <c r="C370" s="17"/>
      <c r="D370" s="18"/>
      <c r="E370" s="11"/>
      <c r="F370" s="19"/>
      <c r="G370" s="20"/>
      <c r="H370" s="37"/>
      <c r="I370" s="22"/>
      <c r="J370" s="39"/>
      <c r="K370" s="24"/>
      <c r="N370" s="6"/>
      <c r="O370" s="27"/>
    </row>
    <row r="371" spans="1:15" x14ac:dyDescent="0.25">
      <c r="A371" s="13">
        <f t="shared" si="13"/>
        <v>23</v>
      </c>
      <c r="B371" s="17"/>
      <c r="C371" s="17"/>
      <c r="D371" s="18"/>
      <c r="E371" s="11"/>
      <c r="F371" s="19"/>
      <c r="G371" s="20"/>
      <c r="H371" s="37"/>
      <c r="I371" s="22"/>
      <c r="J371" s="39"/>
      <c r="K371" s="24"/>
      <c r="N371" s="6"/>
      <c r="O371" s="27"/>
    </row>
    <row r="372" spans="1:15" x14ac:dyDescent="0.25">
      <c r="A372" s="13">
        <f t="shared" si="13"/>
        <v>23</v>
      </c>
      <c r="B372" s="17"/>
      <c r="C372" s="17"/>
      <c r="D372" s="18"/>
      <c r="E372" s="11"/>
      <c r="F372" s="19"/>
      <c r="G372" s="20"/>
      <c r="H372" s="37"/>
      <c r="I372" s="22"/>
      <c r="J372" s="39"/>
      <c r="K372" s="24"/>
      <c r="N372" s="6"/>
      <c r="O372" s="27"/>
    </row>
    <row r="373" spans="1:15" x14ac:dyDescent="0.25">
      <c r="A373" s="13">
        <f t="shared" si="13"/>
        <v>23</v>
      </c>
      <c r="B373" s="17"/>
      <c r="C373" s="17"/>
      <c r="D373" s="18"/>
      <c r="E373" s="11"/>
      <c r="F373" s="19"/>
      <c r="G373" s="20"/>
      <c r="H373" s="37"/>
      <c r="I373" s="22"/>
      <c r="J373" s="39"/>
      <c r="K373" s="24"/>
      <c r="N373" s="6"/>
      <c r="O373" s="27"/>
    </row>
    <row r="374" spans="1:15" x14ac:dyDescent="0.25">
      <c r="A374" s="13">
        <f t="shared" si="13"/>
        <v>23</v>
      </c>
      <c r="B374" s="17"/>
      <c r="C374" s="17"/>
      <c r="D374" s="18"/>
      <c r="E374" s="11"/>
      <c r="F374" s="19"/>
      <c r="G374" s="20"/>
      <c r="H374" s="37"/>
      <c r="I374" s="22"/>
      <c r="J374" s="39"/>
      <c r="K374" s="24"/>
      <c r="N374" s="6"/>
      <c r="O374" s="27"/>
    </row>
    <row r="375" spans="1:15" x14ac:dyDescent="0.25">
      <c r="A375" s="13">
        <f t="shared" si="13"/>
        <v>23</v>
      </c>
      <c r="B375" s="17"/>
      <c r="C375" s="17"/>
      <c r="D375" s="18"/>
      <c r="E375" s="11"/>
      <c r="F375" s="19"/>
      <c r="G375" s="20"/>
      <c r="H375" s="37"/>
      <c r="I375" s="22"/>
      <c r="J375" s="39"/>
      <c r="K375" s="24"/>
      <c r="N375" s="6"/>
      <c r="O375" s="27"/>
    </row>
    <row r="376" spans="1:15" x14ac:dyDescent="0.25">
      <c r="A376" s="13">
        <f t="shared" si="13"/>
        <v>23</v>
      </c>
      <c r="B376" s="17"/>
      <c r="C376" s="17"/>
      <c r="D376" s="18"/>
      <c r="E376" s="11"/>
      <c r="F376" s="19"/>
      <c r="G376" s="20"/>
      <c r="H376" s="37"/>
      <c r="I376" s="22"/>
      <c r="J376" s="39"/>
      <c r="K376" s="24"/>
      <c r="N376" s="6"/>
      <c r="O376" s="27"/>
    </row>
    <row r="377" spans="1:15" x14ac:dyDescent="0.25">
      <c r="A377" s="13">
        <f t="shared" si="13"/>
        <v>23</v>
      </c>
      <c r="B377" s="17"/>
      <c r="C377" s="17"/>
      <c r="D377" s="18"/>
      <c r="E377" s="11"/>
      <c r="F377" s="19"/>
      <c r="G377" s="20"/>
      <c r="H377" s="37"/>
      <c r="I377" s="22"/>
      <c r="J377" s="39"/>
      <c r="K377" s="24"/>
      <c r="N377" s="6"/>
      <c r="O377" s="27"/>
    </row>
    <row r="378" spans="1:15" x14ac:dyDescent="0.25">
      <c r="A378" s="13">
        <f t="shared" si="13"/>
        <v>23</v>
      </c>
      <c r="B378" s="17"/>
      <c r="C378" s="17"/>
      <c r="D378" s="18"/>
      <c r="E378" s="11"/>
      <c r="F378" s="19"/>
      <c r="G378" s="20"/>
      <c r="H378" s="37"/>
      <c r="I378" s="22"/>
      <c r="J378" s="39"/>
      <c r="K378" s="24"/>
      <c r="N378" s="6"/>
      <c r="O378" s="27"/>
    </row>
    <row r="379" spans="1:15" x14ac:dyDescent="0.25">
      <c r="A379" s="13">
        <f t="shared" si="13"/>
        <v>23</v>
      </c>
      <c r="B379" s="17"/>
      <c r="C379" s="17"/>
      <c r="D379" s="18"/>
      <c r="E379" s="11"/>
      <c r="F379" s="19"/>
      <c r="G379" s="20"/>
      <c r="H379" s="37"/>
      <c r="I379" s="22"/>
      <c r="J379" s="39"/>
      <c r="K379" s="24"/>
      <c r="N379" s="6"/>
      <c r="O379" s="27"/>
    </row>
    <row r="380" spans="1:15" x14ac:dyDescent="0.25">
      <c r="A380" s="13">
        <f t="shared" si="13"/>
        <v>23</v>
      </c>
      <c r="B380" s="17"/>
      <c r="C380" s="17"/>
      <c r="D380" s="18"/>
      <c r="E380" s="11"/>
      <c r="F380" s="19"/>
      <c r="G380" s="20"/>
      <c r="H380" s="37"/>
      <c r="I380" s="22"/>
      <c r="J380" s="39"/>
      <c r="K380" s="24"/>
      <c r="N380" s="6"/>
      <c r="O380" s="27"/>
    </row>
    <row r="381" spans="1:15" x14ac:dyDescent="0.25">
      <c r="A381" s="13">
        <f t="shared" si="13"/>
        <v>23</v>
      </c>
      <c r="B381" s="17"/>
      <c r="C381" s="17"/>
      <c r="D381" s="18"/>
      <c r="E381" s="11"/>
      <c r="F381" s="19"/>
      <c r="G381" s="20"/>
      <c r="H381" s="37"/>
      <c r="I381" s="22"/>
      <c r="J381" s="39"/>
      <c r="K381" s="24"/>
      <c r="N381" s="6"/>
      <c r="O381" s="27"/>
    </row>
    <row r="382" spans="1:15" x14ac:dyDescent="0.25">
      <c r="A382" s="13">
        <f t="shared" si="13"/>
        <v>23</v>
      </c>
      <c r="B382" s="17"/>
      <c r="C382" s="17"/>
      <c r="D382" s="18"/>
      <c r="E382" s="11"/>
      <c r="F382" s="19"/>
      <c r="G382" s="20"/>
      <c r="H382" s="37"/>
      <c r="I382" s="22"/>
      <c r="J382" s="39"/>
      <c r="K382" s="24"/>
      <c r="N382" s="6"/>
      <c r="O382" s="27"/>
    </row>
    <row r="383" spans="1:15" x14ac:dyDescent="0.25">
      <c r="A383" s="13">
        <f t="shared" si="13"/>
        <v>23</v>
      </c>
      <c r="B383" s="17"/>
      <c r="C383" s="17"/>
      <c r="D383" s="18"/>
      <c r="E383" s="11"/>
      <c r="F383" s="19"/>
      <c r="G383" s="20"/>
      <c r="H383" s="21"/>
      <c r="I383" s="22"/>
      <c r="J383" s="23"/>
      <c r="K383" s="24"/>
      <c r="N383" s="6"/>
      <c r="O383" s="27"/>
    </row>
    <row r="384" spans="1:15" x14ac:dyDescent="0.25">
      <c r="A384" s="13">
        <f t="shared" si="13"/>
        <v>23</v>
      </c>
      <c r="B384" s="17"/>
      <c r="C384" s="17"/>
      <c r="D384" s="18"/>
      <c r="E384" s="11"/>
      <c r="F384" s="19"/>
      <c r="G384" s="36"/>
      <c r="H384" s="21"/>
      <c r="I384" s="22"/>
      <c r="J384" s="35"/>
      <c r="K384" s="24"/>
      <c r="N384" s="6"/>
      <c r="O384" s="27"/>
    </row>
    <row r="385" spans="1:15" x14ac:dyDescent="0.25">
      <c r="A385" s="13">
        <f t="shared" si="13"/>
        <v>23</v>
      </c>
      <c r="B385" s="17"/>
      <c r="C385" s="17"/>
      <c r="D385" s="18"/>
      <c r="E385" s="11"/>
      <c r="F385" s="19"/>
      <c r="G385" s="36"/>
      <c r="H385" s="21"/>
      <c r="I385" s="22"/>
      <c r="J385" s="35"/>
      <c r="K385" s="24"/>
      <c r="N385" s="6"/>
      <c r="O385" s="27"/>
    </row>
    <row r="386" spans="1:15" x14ac:dyDescent="0.25">
      <c r="A386" s="13">
        <f t="shared" si="13"/>
        <v>23</v>
      </c>
      <c r="B386" s="17"/>
      <c r="C386" s="17"/>
      <c r="D386" s="18"/>
      <c r="E386" s="11"/>
      <c r="F386" s="19"/>
      <c r="G386" s="36"/>
      <c r="H386" s="21"/>
      <c r="I386" s="22"/>
      <c r="J386" s="35"/>
      <c r="K386" s="24"/>
      <c r="N386" s="6"/>
      <c r="O386" s="27"/>
    </row>
    <row r="387" spans="1:15" x14ac:dyDescent="0.25">
      <c r="A387" s="13">
        <f t="shared" si="13"/>
        <v>23</v>
      </c>
      <c r="B387" s="17"/>
      <c r="C387" s="17"/>
      <c r="D387" s="18"/>
      <c r="E387" s="11"/>
      <c r="F387" s="19"/>
      <c r="G387" s="36"/>
      <c r="H387" s="21"/>
      <c r="I387" s="22"/>
      <c r="J387" s="35"/>
      <c r="K387" s="24"/>
      <c r="N387" s="6"/>
      <c r="O387" s="27"/>
    </row>
    <row r="388" spans="1:15" x14ac:dyDescent="0.25">
      <c r="A388" s="13">
        <f t="shared" ref="A388:A451" si="14">IF(B388=B387,A387,A387+1)</f>
        <v>23</v>
      </c>
      <c r="B388" s="17"/>
      <c r="C388" s="17"/>
      <c r="D388" s="18"/>
      <c r="E388" s="11"/>
      <c r="F388" s="19"/>
      <c r="G388" s="36"/>
      <c r="H388" s="21"/>
      <c r="I388" s="22"/>
      <c r="J388" s="35"/>
      <c r="K388" s="24"/>
      <c r="N388" s="6"/>
      <c r="O388" s="27"/>
    </row>
    <row r="389" spans="1:15" x14ac:dyDescent="0.25">
      <c r="A389" s="13">
        <f t="shared" si="14"/>
        <v>23</v>
      </c>
      <c r="B389" s="17"/>
      <c r="C389" s="17"/>
      <c r="D389" s="18"/>
      <c r="E389" s="11"/>
      <c r="F389" s="19"/>
      <c r="G389" s="36"/>
      <c r="H389" s="21"/>
      <c r="I389" s="22"/>
      <c r="J389" s="35"/>
      <c r="K389" s="24"/>
      <c r="N389" s="6"/>
      <c r="O389" s="27"/>
    </row>
    <row r="390" spans="1:15" x14ac:dyDescent="0.25">
      <c r="A390" s="13">
        <f t="shared" si="14"/>
        <v>23</v>
      </c>
      <c r="B390" s="17"/>
      <c r="C390" s="17"/>
      <c r="D390" s="18"/>
      <c r="E390" s="11"/>
      <c r="F390" s="19"/>
      <c r="G390" s="36"/>
      <c r="H390" s="21"/>
      <c r="I390" s="22"/>
      <c r="J390" s="35"/>
      <c r="K390" s="24"/>
      <c r="N390" s="6"/>
      <c r="O390" s="27"/>
    </row>
    <row r="391" spans="1:15" x14ac:dyDescent="0.25">
      <c r="A391" s="13">
        <f t="shared" si="14"/>
        <v>23</v>
      </c>
      <c r="B391" s="17"/>
      <c r="C391" s="17"/>
      <c r="D391" s="18"/>
      <c r="E391" s="11"/>
      <c r="F391" s="19"/>
      <c r="G391" s="36"/>
      <c r="H391" s="21"/>
      <c r="I391" s="22"/>
      <c r="J391" s="35"/>
      <c r="K391" s="24"/>
      <c r="N391" s="6"/>
      <c r="O391" s="27"/>
    </row>
    <row r="392" spans="1:15" x14ac:dyDescent="0.25">
      <c r="A392" s="13">
        <f t="shared" si="14"/>
        <v>23</v>
      </c>
      <c r="B392" s="17"/>
      <c r="C392" s="17"/>
      <c r="D392" s="18"/>
      <c r="E392" s="11"/>
      <c r="F392" s="19"/>
      <c r="G392" s="36"/>
      <c r="H392" s="21"/>
      <c r="I392" s="22"/>
      <c r="J392" s="35"/>
      <c r="K392" s="24"/>
      <c r="N392" s="6"/>
      <c r="O392" s="27"/>
    </row>
    <row r="393" spans="1:15" x14ac:dyDescent="0.25">
      <c r="A393" s="13">
        <f t="shared" si="14"/>
        <v>23</v>
      </c>
      <c r="B393" s="17"/>
      <c r="C393" s="17"/>
      <c r="D393" s="18"/>
      <c r="E393" s="11"/>
      <c r="F393" s="19"/>
      <c r="G393" s="20"/>
      <c r="H393" s="37"/>
      <c r="I393" s="22"/>
      <c r="J393" s="39"/>
      <c r="K393" s="24"/>
      <c r="N393" s="6"/>
      <c r="O393" s="27"/>
    </row>
    <row r="394" spans="1:15" x14ac:dyDescent="0.25">
      <c r="A394" s="13">
        <f t="shared" si="14"/>
        <v>23</v>
      </c>
      <c r="B394" s="17"/>
      <c r="C394" s="17"/>
      <c r="D394" s="18"/>
      <c r="E394" s="11"/>
      <c r="F394" s="19"/>
      <c r="G394" s="20"/>
      <c r="H394" s="37"/>
      <c r="I394" s="22"/>
      <c r="J394" s="39"/>
      <c r="K394" s="24"/>
      <c r="N394" s="6"/>
      <c r="O394" s="27"/>
    </row>
    <row r="395" spans="1:15" x14ac:dyDescent="0.25">
      <c r="A395" s="13">
        <f t="shared" si="14"/>
        <v>23</v>
      </c>
      <c r="B395" s="17"/>
      <c r="C395" s="17"/>
      <c r="D395" s="18"/>
      <c r="E395" s="11"/>
      <c r="F395" s="19"/>
      <c r="G395" s="20"/>
      <c r="H395" s="37"/>
      <c r="I395" s="22"/>
      <c r="J395" s="39"/>
      <c r="K395" s="24"/>
      <c r="N395" s="6"/>
      <c r="O395" s="27"/>
    </row>
    <row r="396" spans="1:15" x14ac:dyDescent="0.25">
      <c r="A396" s="13">
        <f t="shared" si="14"/>
        <v>23</v>
      </c>
      <c r="B396" s="17"/>
      <c r="C396" s="17"/>
      <c r="D396" s="18"/>
      <c r="E396" s="11"/>
      <c r="F396" s="19"/>
      <c r="G396" s="20"/>
      <c r="H396" s="37"/>
      <c r="I396" s="22"/>
      <c r="J396" s="39"/>
      <c r="K396" s="24"/>
      <c r="N396" s="6"/>
      <c r="O396" s="27"/>
    </row>
    <row r="397" spans="1:15" x14ac:dyDescent="0.25">
      <c r="A397" s="13">
        <f t="shared" si="14"/>
        <v>23</v>
      </c>
      <c r="B397" s="17"/>
      <c r="C397" s="17"/>
      <c r="D397" s="18"/>
      <c r="E397" s="11"/>
      <c r="F397" s="19"/>
      <c r="G397" s="20"/>
      <c r="H397" s="37"/>
      <c r="I397" s="22"/>
      <c r="J397" s="39"/>
      <c r="K397" s="24"/>
      <c r="N397" s="6"/>
      <c r="O397" s="27"/>
    </row>
    <row r="398" spans="1:15" x14ac:dyDescent="0.25">
      <c r="A398" s="13">
        <f t="shared" si="14"/>
        <v>23</v>
      </c>
      <c r="B398" s="17"/>
      <c r="C398" s="17"/>
      <c r="D398" s="18"/>
      <c r="E398" s="11"/>
      <c r="F398" s="19"/>
      <c r="G398" s="20"/>
      <c r="H398" s="37"/>
      <c r="I398" s="22"/>
      <c r="J398" s="39"/>
      <c r="K398" s="24"/>
      <c r="N398" s="6"/>
      <c r="O398" s="27"/>
    </row>
    <row r="399" spans="1:15" x14ac:dyDescent="0.25">
      <c r="A399" s="13">
        <f t="shared" si="14"/>
        <v>23</v>
      </c>
      <c r="B399" s="17"/>
      <c r="C399" s="17"/>
      <c r="D399" s="18"/>
      <c r="E399" s="11"/>
      <c r="F399" s="19"/>
      <c r="G399" s="20"/>
      <c r="H399" s="37"/>
      <c r="I399" s="22"/>
      <c r="J399" s="39"/>
      <c r="K399" s="24"/>
      <c r="N399" s="6"/>
      <c r="O399" s="27"/>
    </row>
    <row r="400" spans="1:15" x14ac:dyDescent="0.25">
      <c r="A400" s="13">
        <f t="shared" si="14"/>
        <v>23</v>
      </c>
      <c r="B400" s="17"/>
      <c r="C400" s="17"/>
      <c r="D400" s="18"/>
      <c r="E400" s="11"/>
      <c r="F400" s="19"/>
      <c r="G400" s="20"/>
      <c r="H400" s="37"/>
      <c r="I400" s="22"/>
      <c r="J400" s="39"/>
      <c r="K400" s="24"/>
      <c r="N400" s="6"/>
      <c r="O400" s="27"/>
    </row>
    <row r="401" spans="1:15" x14ac:dyDescent="0.25">
      <c r="A401" s="13">
        <f t="shared" si="14"/>
        <v>23</v>
      </c>
      <c r="B401" s="17"/>
      <c r="C401" s="17"/>
      <c r="D401" s="18"/>
      <c r="E401" s="11"/>
      <c r="F401" s="19"/>
      <c r="G401" s="20"/>
      <c r="H401" s="37"/>
      <c r="I401" s="22"/>
      <c r="J401" s="39"/>
      <c r="K401" s="24"/>
      <c r="N401" s="6"/>
      <c r="O401" s="27"/>
    </row>
    <row r="402" spans="1:15" x14ac:dyDescent="0.25">
      <c r="A402" s="13">
        <f t="shared" si="14"/>
        <v>23</v>
      </c>
      <c r="B402" s="17"/>
      <c r="C402" s="17"/>
      <c r="D402" s="18"/>
      <c r="E402" s="11"/>
      <c r="F402" s="19"/>
      <c r="G402" s="20"/>
      <c r="H402" s="37"/>
      <c r="I402" s="22"/>
      <c r="J402" s="39"/>
      <c r="K402" s="24"/>
      <c r="N402" s="6"/>
      <c r="O402" s="27"/>
    </row>
    <row r="403" spans="1:15" x14ac:dyDescent="0.25">
      <c r="A403" s="13">
        <f t="shared" si="14"/>
        <v>23</v>
      </c>
      <c r="B403" s="17"/>
      <c r="C403" s="17"/>
      <c r="D403" s="18"/>
      <c r="E403" s="11"/>
      <c r="F403" s="19"/>
      <c r="G403" s="20"/>
      <c r="H403" s="37"/>
      <c r="I403" s="22"/>
      <c r="J403" s="39"/>
      <c r="K403" s="24"/>
      <c r="N403" s="6"/>
      <c r="O403" s="27"/>
    </row>
    <row r="404" spans="1:15" x14ac:dyDescent="0.25">
      <c r="A404" s="13">
        <f t="shared" si="14"/>
        <v>23</v>
      </c>
      <c r="B404" s="17"/>
      <c r="C404" s="17"/>
      <c r="D404" s="18"/>
      <c r="E404" s="11"/>
      <c r="F404" s="19"/>
      <c r="G404" s="20"/>
      <c r="H404" s="37"/>
      <c r="I404" s="22"/>
      <c r="J404" s="39"/>
      <c r="K404" s="24"/>
      <c r="N404" s="6"/>
      <c r="O404" s="27"/>
    </row>
    <row r="405" spans="1:15" x14ac:dyDescent="0.25">
      <c r="A405" s="13">
        <f t="shared" si="14"/>
        <v>23</v>
      </c>
      <c r="B405" s="17"/>
      <c r="C405" s="17"/>
      <c r="D405" s="18"/>
      <c r="E405" s="11"/>
      <c r="F405" s="19"/>
      <c r="G405" s="20"/>
      <c r="H405" s="37"/>
      <c r="I405" s="22"/>
      <c r="J405" s="39"/>
      <c r="K405" s="24"/>
      <c r="N405" s="6"/>
      <c r="O405" s="27"/>
    </row>
    <row r="406" spans="1:15" x14ac:dyDescent="0.25">
      <c r="A406" s="13">
        <f t="shared" si="14"/>
        <v>23</v>
      </c>
      <c r="B406" s="17"/>
      <c r="C406" s="17"/>
      <c r="D406" s="18"/>
      <c r="E406" s="11"/>
      <c r="F406" s="19"/>
      <c r="G406" s="20"/>
      <c r="H406" s="37"/>
      <c r="I406" s="22"/>
      <c r="J406" s="39"/>
      <c r="K406" s="24"/>
      <c r="N406" s="6"/>
      <c r="O406" s="27"/>
    </row>
    <row r="407" spans="1:15" x14ac:dyDescent="0.25">
      <c r="A407" s="13">
        <f t="shared" si="14"/>
        <v>23</v>
      </c>
      <c r="B407" s="17"/>
      <c r="C407" s="17"/>
      <c r="D407" s="18"/>
      <c r="E407" s="11"/>
      <c r="F407" s="19"/>
      <c r="G407" s="20"/>
      <c r="H407" s="37"/>
      <c r="I407" s="22"/>
      <c r="J407" s="39"/>
      <c r="K407" s="24"/>
      <c r="N407" s="6"/>
      <c r="O407" s="27"/>
    </row>
    <row r="408" spans="1:15" x14ac:dyDescent="0.25">
      <c r="A408" s="13">
        <f t="shared" si="14"/>
        <v>23</v>
      </c>
      <c r="B408" s="17"/>
      <c r="C408" s="17"/>
      <c r="D408" s="18"/>
      <c r="E408" s="11"/>
      <c r="F408" s="19"/>
      <c r="G408" s="20"/>
      <c r="H408" s="37"/>
      <c r="I408" s="22"/>
      <c r="J408" s="39"/>
      <c r="K408" s="24"/>
      <c r="N408" s="6"/>
      <c r="O408" s="27"/>
    </row>
    <row r="409" spans="1:15" x14ac:dyDescent="0.25">
      <c r="A409" s="13">
        <f t="shared" si="14"/>
        <v>23</v>
      </c>
      <c r="B409" s="17"/>
      <c r="C409" s="17"/>
      <c r="D409" s="18"/>
      <c r="E409" s="11"/>
      <c r="F409" s="19"/>
      <c r="G409" s="20"/>
      <c r="H409" s="21"/>
      <c r="I409" s="22"/>
      <c r="J409" s="39"/>
      <c r="K409" s="24"/>
      <c r="N409" s="6"/>
      <c r="O409" s="27"/>
    </row>
    <row r="410" spans="1:15" x14ac:dyDescent="0.25">
      <c r="A410" s="13">
        <f t="shared" si="14"/>
        <v>23</v>
      </c>
      <c r="B410" s="17"/>
      <c r="C410" s="17"/>
      <c r="D410" s="18"/>
      <c r="E410" s="11"/>
      <c r="F410" s="19"/>
      <c r="G410" s="20"/>
      <c r="H410" s="21"/>
      <c r="I410" s="22"/>
      <c r="J410" s="39"/>
      <c r="K410" s="24"/>
      <c r="N410" s="6"/>
      <c r="O410" s="27"/>
    </row>
    <row r="411" spans="1:15" x14ac:dyDescent="0.25">
      <c r="A411" s="13">
        <f t="shared" si="14"/>
        <v>23</v>
      </c>
      <c r="B411" s="17"/>
      <c r="C411" s="17"/>
      <c r="D411" s="18"/>
      <c r="E411" s="11"/>
      <c r="F411" s="19"/>
      <c r="G411" s="20"/>
      <c r="H411" s="21"/>
      <c r="I411" s="22"/>
      <c r="J411" s="39"/>
      <c r="K411" s="24"/>
      <c r="N411" s="6"/>
      <c r="O411" s="27"/>
    </row>
    <row r="412" spans="1:15" x14ac:dyDescent="0.25">
      <c r="A412" s="13">
        <f t="shared" si="14"/>
        <v>23</v>
      </c>
      <c r="B412" s="17"/>
      <c r="C412" s="17"/>
      <c r="D412" s="18"/>
      <c r="E412" s="11"/>
      <c r="F412" s="19"/>
      <c r="G412" s="20"/>
      <c r="H412" s="21"/>
      <c r="I412" s="22"/>
      <c r="J412" s="39"/>
      <c r="K412" s="24"/>
      <c r="N412" s="6"/>
      <c r="O412" s="27"/>
    </row>
    <row r="413" spans="1:15" x14ac:dyDescent="0.25">
      <c r="A413" s="13">
        <f t="shared" si="14"/>
        <v>23</v>
      </c>
      <c r="B413" s="17"/>
      <c r="C413" s="17"/>
      <c r="D413" s="18"/>
      <c r="E413" s="11"/>
      <c r="F413" s="19"/>
      <c r="G413" s="20"/>
      <c r="H413" s="21"/>
      <c r="I413" s="22"/>
      <c r="J413" s="39"/>
      <c r="K413" s="24"/>
      <c r="N413" s="6"/>
      <c r="O413" s="27"/>
    </row>
    <row r="414" spans="1:15" x14ac:dyDescent="0.25">
      <c r="A414" s="13">
        <f t="shared" si="14"/>
        <v>23</v>
      </c>
      <c r="B414" s="17"/>
      <c r="C414" s="17"/>
      <c r="D414" s="18"/>
      <c r="E414" s="11"/>
      <c r="F414" s="19"/>
      <c r="G414" s="20"/>
      <c r="H414" s="21"/>
      <c r="I414" s="22"/>
      <c r="J414" s="39"/>
      <c r="K414" s="24"/>
      <c r="N414" s="6"/>
      <c r="O414" s="27"/>
    </row>
    <row r="415" spans="1:15" x14ac:dyDescent="0.25">
      <c r="A415" s="13">
        <f t="shared" si="14"/>
        <v>23</v>
      </c>
      <c r="B415" s="17"/>
      <c r="C415" s="17"/>
      <c r="D415" s="18"/>
      <c r="E415" s="11"/>
      <c r="F415" s="19"/>
      <c r="G415" s="20"/>
      <c r="H415" s="21"/>
      <c r="I415" s="22"/>
      <c r="J415" s="39"/>
      <c r="K415" s="24"/>
      <c r="N415" s="6"/>
      <c r="O415" s="27"/>
    </row>
    <row r="416" spans="1:15" x14ac:dyDescent="0.25">
      <c r="A416" s="13">
        <f t="shared" si="14"/>
        <v>23</v>
      </c>
      <c r="B416" s="17"/>
      <c r="C416" s="17"/>
      <c r="D416" s="18"/>
      <c r="E416" s="11"/>
      <c r="F416" s="19"/>
      <c r="G416" s="36"/>
      <c r="H416" s="21"/>
      <c r="I416" s="22"/>
      <c r="J416" s="35"/>
      <c r="K416" s="24"/>
      <c r="N416" s="6"/>
      <c r="O416" s="27"/>
    </row>
    <row r="417" spans="1:15" x14ac:dyDescent="0.25">
      <c r="A417" s="13">
        <f t="shared" si="14"/>
        <v>23</v>
      </c>
      <c r="B417" s="17"/>
      <c r="C417" s="17"/>
      <c r="D417" s="18"/>
      <c r="E417" s="11"/>
      <c r="F417" s="19"/>
      <c r="G417" s="36"/>
      <c r="H417" s="21"/>
      <c r="I417" s="22"/>
      <c r="J417" s="35"/>
      <c r="K417" s="24"/>
      <c r="N417" s="6"/>
      <c r="O417" s="27"/>
    </row>
    <row r="418" spans="1:15" x14ac:dyDescent="0.25">
      <c r="A418" s="13">
        <f t="shared" si="14"/>
        <v>23</v>
      </c>
      <c r="B418" s="17"/>
      <c r="C418" s="17"/>
      <c r="D418" s="18"/>
      <c r="E418" s="11"/>
      <c r="F418" s="19"/>
      <c r="G418" s="36"/>
      <c r="H418" s="21"/>
      <c r="I418" s="22"/>
      <c r="J418" s="35"/>
      <c r="K418" s="24"/>
      <c r="N418" s="6"/>
      <c r="O418" s="27"/>
    </row>
    <row r="419" spans="1:15" x14ac:dyDescent="0.25">
      <c r="A419" s="13">
        <f t="shared" si="14"/>
        <v>23</v>
      </c>
      <c r="B419" s="17"/>
      <c r="C419" s="17"/>
      <c r="D419" s="18"/>
      <c r="E419" s="11"/>
      <c r="F419" s="19"/>
      <c r="G419" s="36"/>
      <c r="H419" s="21"/>
      <c r="I419" s="22"/>
      <c r="J419" s="35"/>
      <c r="K419" s="24"/>
      <c r="N419" s="6"/>
      <c r="O419" s="27"/>
    </row>
    <row r="420" spans="1:15" x14ac:dyDescent="0.25">
      <c r="A420" s="13">
        <f t="shared" si="14"/>
        <v>23</v>
      </c>
      <c r="B420" s="17"/>
      <c r="C420" s="17"/>
      <c r="D420" s="18"/>
      <c r="E420" s="11"/>
      <c r="F420" s="19"/>
      <c r="G420" s="36"/>
      <c r="H420" s="21"/>
      <c r="I420" s="22"/>
      <c r="J420" s="35"/>
      <c r="K420" s="24"/>
      <c r="N420" s="6"/>
      <c r="O420" s="27"/>
    </row>
    <row r="421" spans="1:15" x14ac:dyDescent="0.25">
      <c r="A421" s="13">
        <f t="shared" si="14"/>
        <v>23</v>
      </c>
      <c r="B421" s="17"/>
      <c r="C421" s="17"/>
      <c r="D421" s="18"/>
      <c r="E421" s="11"/>
      <c r="F421" s="19"/>
      <c r="G421" s="36"/>
      <c r="H421" s="21"/>
      <c r="I421" s="22"/>
      <c r="J421" s="35"/>
      <c r="K421" s="24"/>
      <c r="N421" s="6"/>
      <c r="O421" s="27"/>
    </row>
    <row r="422" spans="1:15" x14ac:dyDescent="0.25">
      <c r="A422" s="13">
        <f t="shared" si="14"/>
        <v>23</v>
      </c>
      <c r="B422" s="17"/>
      <c r="C422" s="17"/>
      <c r="D422" s="18"/>
      <c r="E422" s="11"/>
      <c r="F422" s="19"/>
      <c r="G422" s="36"/>
      <c r="H422" s="21"/>
      <c r="I422" s="22"/>
      <c r="J422" s="35"/>
      <c r="K422" s="24"/>
      <c r="N422" s="6"/>
      <c r="O422" s="27"/>
    </row>
    <row r="423" spans="1:15" x14ac:dyDescent="0.25">
      <c r="A423" s="13">
        <f t="shared" si="14"/>
        <v>23</v>
      </c>
      <c r="B423" s="17"/>
      <c r="C423" s="17"/>
      <c r="D423" s="18"/>
      <c r="E423" s="11"/>
      <c r="F423" s="19"/>
      <c r="G423" s="36"/>
      <c r="H423" s="21"/>
      <c r="I423" s="22"/>
      <c r="J423" s="35"/>
      <c r="K423" s="24"/>
      <c r="N423" s="6"/>
      <c r="O423" s="27"/>
    </row>
    <row r="424" spans="1:15" x14ac:dyDescent="0.25">
      <c r="A424" s="13">
        <f t="shared" si="14"/>
        <v>23</v>
      </c>
      <c r="B424" s="17"/>
      <c r="C424" s="17"/>
      <c r="D424" s="18"/>
      <c r="E424" s="11"/>
      <c r="F424" s="19"/>
      <c r="G424" s="36"/>
      <c r="H424" s="21"/>
      <c r="I424" s="22"/>
      <c r="J424" s="35"/>
      <c r="K424" s="24"/>
      <c r="N424" s="6"/>
      <c r="O424" s="27"/>
    </row>
    <row r="425" spans="1:15" x14ac:dyDescent="0.25">
      <c r="A425" s="13">
        <f t="shared" si="14"/>
        <v>23</v>
      </c>
      <c r="B425" s="17"/>
      <c r="C425" s="17"/>
      <c r="D425" s="18"/>
      <c r="E425" s="11"/>
      <c r="F425" s="19"/>
      <c r="G425" s="36"/>
      <c r="H425" s="21"/>
      <c r="I425" s="22"/>
      <c r="J425" s="35"/>
      <c r="K425" s="24"/>
      <c r="N425" s="6"/>
      <c r="O425" s="27"/>
    </row>
    <row r="426" spans="1:15" x14ac:dyDescent="0.25">
      <c r="A426" s="13">
        <f t="shared" si="14"/>
        <v>23</v>
      </c>
      <c r="B426" s="17"/>
      <c r="C426" s="17"/>
      <c r="D426" s="18"/>
      <c r="E426" s="11"/>
      <c r="F426" s="19"/>
      <c r="G426" s="36"/>
      <c r="H426" s="21"/>
      <c r="I426" s="22"/>
      <c r="J426" s="35"/>
      <c r="K426" s="24"/>
      <c r="N426" s="6"/>
      <c r="O426" s="27"/>
    </row>
    <row r="427" spans="1:15" x14ac:dyDescent="0.25">
      <c r="A427" s="13">
        <f t="shared" si="14"/>
        <v>23</v>
      </c>
      <c r="B427" s="17"/>
      <c r="C427" s="17"/>
      <c r="D427" s="18"/>
      <c r="E427" s="11"/>
      <c r="F427" s="19"/>
      <c r="G427" s="36"/>
      <c r="H427" s="21"/>
      <c r="I427" s="22"/>
      <c r="J427" s="35"/>
      <c r="K427" s="24"/>
      <c r="N427" s="6"/>
      <c r="O427" s="27"/>
    </row>
    <row r="428" spans="1:15" x14ac:dyDescent="0.25">
      <c r="A428" s="13">
        <f t="shared" si="14"/>
        <v>23</v>
      </c>
      <c r="B428" s="17"/>
      <c r="C428" s="17"/>
      <c r="D428" s="18"/>
      <c r="E428" s="11"/>
      <c r="F428" s="19"/>
      <c r="G428" s="36"/>
      <c r="H428" s="21"/>
      <c r="I428" s="22"/>
      <c r="J428" s="35"/>
      <c r="K428" s="24"/>
      <c r="N428" s="6"/>
      <c r="O428" s="27"/>
    </row>
    <row r="429" spans="1:15" x14ac:dyDescent="0.25">
      <c r="A429" s="13">
        <f t="shared" si="14"/>
        <v>23</v>
      </c>
      <c r="B429" s="17"/>
      <c r="C429" s="17"/>
      <c r="D429" s="18"/>
      <c r="E429" s="11"/>
      <c r="F429" s="19"/>
      <c r="G429" s="36"/>
      <c r="H429" s="21"/>
      <c r="I429" s="22"/>
      <c r="J429" s="35"/>
      <c r="K429" s="24"/>
      <c r="N429" s="6"/>
      <c r="O429" s="27"/>
    </row>
    <row r="430" spans="1:15" x14ac:dyDescent="0.25">
      <c r="A430" s="13">
        <f t="shared" si="14"/>
        <v>23</v>
      </c>
      <c r="B430" s="17"/>
      <c r="C430" s="17"/>
      <c r="D430" s="18"/>
      <c r="E430" s="11"/>
      <c r="F430" s="19"/>
      <c r="G430" s="36"/>
      <c r="H430" s="21"/>
      <c r="I430" s="22"/>
      <c r="J430" s="35"/>
      <c r="K430" s="24"/>
      <c r="N430" s="6"/>
      <c r="O430" s="27"/>
    </row>
    <row r="431" spans="1:15" x14ac:dyDescent="0.25">
      <c r="A431" s="13">
        <f t="shared" si="14"/>
        <v>23</v>
      </c>
      <c r="B431" s="17"/>
      <c r="C431" s="17"/>
      <c r="D431" s="18"/>
      <c r="E431" s="11"/>
      <c r="F431" s="19"/>
      <c r="G431" s="20"/>
      <c r="H431" s="21"/>
      <c r="I431" s="22"/>
      <c r="J431" s="39"/>
      <c r="K431" s="24"/>
      <c r="N431" s="6"/>
      <c r="O431" s="27"/>
    </row>
    <row r="432" spans="1:15" x14ac:dyDescent="0.25">
      <c r="A432" s="13">
        <f t="shared" si="14"/>
        <v>23</v>
      </c>
      <c r="B432" s="17"/>
      <c r="C432" s="17"/>
      <c r="D432" s="18"/>
      <c r="E432" s="11"/>
      <c r="F432" s="19"/>
      <c r="G432" s="20"/>
      <c r="H432" s="21"/>
      <c r="I432" s="22"/>
      <c r="J432" s="39"/>
      <c r="K432" s="24"/>
      <c r="N432" s="6"/>
      <c r="O432" s="27"/>
    </row>
    <row r="433" spans="1:15" x14ac:dyDescent="0.25">
      <c r="A433" s="13">
        <f t="shared" si="14"/>
        <v>23</v>
      </c>
      <c r="B433" s="17"/>
      <c r="C433" s="17"/>
      <c r="D433" s="18"/>
      <c r="E433" s="11"/>
      <c r="F433" s="19"/>
      <c r="G433" s="20"/>
      <c r="H433" s="21"/>
      <c r="I433" s="22"/>
      <c r="J433" s="39"/>
      <c r="K433" s="24"/>
      <c r="N433" s="6"/>
      <c r="O433" s="27"/>
    </row>
    <row r="434" spans="1:15" x14ac:dyDescent="0.25">
      <c r="A434" s="13">
        <f t="shared" si="14"/>
        <v>23</v>
      </c>
      <c r="B434" s="17"/>
      <c r="C434" s="17"/>
      <c r="D434" s="18"/>
      <c r="E434" s="11"/>
      <c r="F434" s="19"/>
      <c r="G434" s="20"/>
      <c r="H434" s="21"/>
      <c r="I434" s="22"/>
      <c r="J434" s="39"/>
      <c r="K434" s="24"/>
      <c r="N434" s="6"/>
      <c r="O434" s="27"/>
    </row>
    <row r="435" spans="1:15" x14ac:dyDescent="0.25">
      <c r="A435" s="13">
        <f t="shared" si="14"/>
        <v>23</v>
      </c>
      <c r="B435" s="17"/>
      <c r="C435" s="17"/>
      <c r="D435" s="18"/>
      <c r="E435" s="11"/>
      <c r="F435" s="19"/>
      <c r="G435" s="20"/>
      <c r="H435" s="21"/>
      <c r="I435" s="22"/>
      <c r="J435" s="39"/>
      <c r="K435" s="24"/>
      <c r="N435" s="6"/>
      <c r="O435" s="27"/>
    </row>
    <row r="436" spans="1:15" x14ac:dyDescent="0.25">
      <c r="A436" s="13">
        <f t="shared" si="14"/>
        <v>23</v>
      </c>
      <c r="B436" s="17"/>
      <c r="C436" s="17"/>
      <c r="D436" s="18"/>
      <c r="E436" s="11"/>
      <c r="F436" s="19"/>
      <c r="G436" s="20"/>
      <c r="H436" s="21"/>
      <c r="I436" s="22"/>
      <c r="J436" s="39"/>
      <c r="K436" s="24"/>
      <c r="N436" s="6"/>
      <c r="O436" s="27"/>
    </row>
    <row r="437" spans="1:15" x14ac:dyDescent="0.25">
      <c r="A437" s="13">
        <f t="shared" si="14"/>
        <v>23</v>
      </c>
      <c r="B437" s="17"/>
      <c r="C437" s="17"/>
      <c r="D437" s="18"/>
      <c r="E437" s="11"/>
      <c r="F437" s="19"/>
      <c r="G437" s="20"/>
      <c r="H437" s="21"/>
      <c r="I437" s="22"/>
      <c r="J437" s="39"/>
      <c r="K437" s="24"/>
      <c r="N437" s="6"/>
      <c r="O437" s="27"/>
    </row>
    <row r="438" spans="1:15" x14ac:dyDescent="0.25">
      <c r="A438" s="13">
        <f t="shared" si="14"/>
        <v>23</v>
      </c>
      <c r="B438" s="17"/>
      <c r="C438" s="17"/>
      <c r="D438" s="18"/>
      <c r="E438" s="11"/>
      <c r="F438" s="19"/>
      <c r="G438" s="20"/>
      <c r="H438" s="21"/>
      <c r="I438" s="22"/>
      <c r="J438" s="39"/>
      <c r="K438" s="24"/>
      <c r="N438" s="6"/>
      <c r="O438" s="27"/>
    </row>
    <row r="439" spans="1:15" x14ac:dyDescent="0.25">
      <c r="A439" s="13">
        <f t="shared" si="14"/>
        <v>23</v>
      </c>
      <c r="B439" s="17"/>
      <c r="C439" s="17"/>
      <c r="D439" s="18"/>
      <c r="E439" s="11"/>
      <c r="F439" s="19"/>
      <c r="G439" s="20"/>
      <c r="H439" s="21"/>
      <c r="I439" s="22"/>
      <c r="J439" s="39"/>
      <c r="K439" s="24"/>
      <c r="N439" s="6"/>
      <c r="O439" s="27"/>
    </row>
    <row r="440" spans="1:15" x14ac:dyDescent="0.25">
      <c r="A440" s="13">
        <f t="shared" si="14"/>
        <v>23</v>
      </c>
      <c r="B440" s="17"/>
      <c r="C440" s="17"/>
      <c r="D440" s="18"/>
      <c r="E440" s="11"/>
      <c r="F440" s="19"/>
      <c r="G440" s="20"/>
      <c r="H440" s="21"/>
      <c r="I440" s="22"/>
      <c r="J440" s="39"/>
      <c r="K440" s="24"/>
      <c r="N440" s="6"/>
      <c r="O440" s="27"/>
    </row>
    <row r="441" spans="1:15" x14ac:dyDescent="0.25">
      <c r="A441" s="13">
        <f t="shared" si="14"/>
        <v>23</v>
      </c>
      <c r="B441" s="17"/>
      <c r="C441" s="17"/>
      <c r="D441" s="18"/>
      <c r="E441" s="11"/>
      <c r="F441" s="19"/>
      <c r="G441" s="20"/>
      <c r="H441" s="21"/>
      <c r="I441" s="22"/>
      <c r="J441" s="39"/>
      <c r="K441" s="24"/>
      <c r="N441" s="6"/>
      <c r="O441" s="27"/>
    </row>
    <row r="442" spans="1:15" x14ac:dyDescent="0.25">
      <c r="A442" s="13">
        <f t="shared" si="14"/>
        <v>23</v>
      </c>
      <c r="B442" s="17"/>
      <c r="C442" s="17"/>
      <c r="D442" s="18"/>
      <c r="E442" s="11"/>
      <c r="F442" s="19"/>
      <c r="G442" s="20"/>
      <c r="H442" s="21"/>
      <c r="I442" s="22"/>
      <c r="J442" s="39"/>
      <c r="K442" s="24"/>
      <c r="N442" s="6"/>
      <c r="O442" s="27"/>
    </row>
    <row r="443" spans="1:15" x14ac:dyDescent="0.25">
      <c r="A443" s="13">
        <f t="shared" si="14"/>
        <v>23</v>
      </c>
      <c r="B443" s="17"/>
      <c r="C443" s="17"/>
      <c r="D443" s="18"/>
      <c r="E443" s="11"/>
      <c r="F443" s="19"/>
      <c r="G443" s="20"/>
      <c r="H443" s="21"/>
      <c r="I443" s="22"/>
      <c r="J443" s="39"/>
      <c r="K443" s="24"/>
      <c r="N443" s="6"/>
      <c r="O443" s="27"/>
    </row>
    <row r="444" spans="1:15" x14ac:dyDescent="0.25">
      <c r="A444" s="13">
        <f t="shared" si="14"/>
        <v>23</v>
      </c>
      <c r="B444" s="17"/>
      <c r="C444" s="17"/>
      <c r="D444" s="18"/>
      <c r="E444" s="11"/>
      <c r="F444" s="19"/>
      <c r="G444" s="20"/>
      <c r="H444" s="21"/>
      <c r="I444" s="22"/>
      <c r="J444" s="39"/>
      <c r="K444" s="24"/>
      <c r="N444" s="6"/>
      <c r="O444" s="27"/>
    </row>
    <row r="445" spans="1:15" x14ac:dyDescent="0.25">
      <c r="A445" s="13">
        <f t="shared" si="14"/>
        <v>23</v>
      </c>
      <c r="B445" s="17"/>
      <c r="C445" s="17"/>
      <c r="D445" s="18"/>
      <c r="E445" s="11"/>
      <c r="F445" s="19"/>
      <c r="G445" s="20"/>
      <c r="H445" s="21"/>
      <c r="I445" s="22"/>
      <c r="J445" s="39"/>
      <c r="K445" s="24"/>
      <c r="N445" s="6"/>
      <c r="O445" s="27"/>
    </row>
    <row r="446" spans="1:15" x14ac:dyDescent="0.25">
      <c r="A446" s="13">
        <f t="shared" si="14"/>
        <v>23</v>
      </c>
      <c r="B446" s="17"/>
      <c r="C446" s="17"/>
      <c r="D446" s="18"/>
      <c r="E446" s="11"/>
      <c r="F446" s="19"/>
      <c r="G446" s="20"/>
      <c r="H446" s="21"/>
      <c r="I446" s="22"/>
      <c r="J446" s="39"/>
      <c r="K446" s="24"/>
      <c r="N446" s="6"/>
      <c r="O446" s="27"/>
    </row>
    <row r="447" spans="1:15" x14ac:dyDescent="0.25">
      <c r="A447" s="13">
        <f t="shared" si="14"/>
        <v>23</v>
      </c>
      <c r="B447" s="17"/>
      <c r="C447" s="17"/>
      <c r="D447" s="18"/>
      <c r="E447" s="11"/>
      <c r="F447" s="19"/>
      <c r="G447" s="20"/>
      <c r="H447" s="21"/>
      <c r="I447" s="22"/>
      <c r="J447" s="39"/>
      <c r="K447" s="24"/>
      <c r="N447" s="6"/>
      <c r="O447" s="27"/>
    </row>
    <row r="448" spans="1:15" x14ac:dyDescent="0.25">
      <c r="A448" s="13">
        <f t="shared" si="14"/>
        <v>23</v>
      </c>
      <c r="B448" s="17"/>
      <c r="C448" s="17"/>
      <c r="D448" s="18"/>
      <c r="E448" s="11"/>
      <c r="F448" s="19"/>
      <c r="G448" s="20"/>
      <c r="H448" s="21"/>
      <c r="I448" s="22"/>
      <c r="J448" s="39"/>
      <c r="K448" s="24"/>
      <c r="N448" s="6"/>
      <c r="O448" s="27"/>
    </row>
    <row r="449" spans="1:15" x14ac:dyDescent="0.25">
      <c r="A449" s="13">
        <f t="shared" si="14"/>
        <v>23</v>
      </c>
      <c r="B449" s="17"/>
      <c r="C449" s="17"/>
      <c r="D449" s="18"/>
      <c r="E449" s="11"/>
      <c r="F449" s="19"/>
      <c r="G449" s="20"/>
      <c r="H449" s="21"/>
      <c r="I449" s="22"/>
      <c r="J449" s="39"/>
      <c r="K449" s="24"/>
      <c r="N449" s="6"/>
      <c r="O449" s="27"/>
    </row>
    <row r="450" spans="1:15" x14ac:dyDescent="0.25">
      <c r="A450" s="13">
        <f t="shared" si="14"/>
        <v>23</v>
      </c>
      <c r="B450" s="17"/>
      <c r="C450" s="17"/>
      <c r="D450" s="18"/>
      <c r="E450" s="11"/>
      <c r="F450" s="19"/>
      <c r="G450" s="20"/>
      <c r="H450" s="21"/>
      <c r="I450" s="22"/>
      <c r="J450" s="39"/>
      <c r="K450" s="24"/>
      <c r="N450" s="6"/>
      <c r="O450" s="27"/>
    </row>
    <row r="451" spans="1:15" x14ac:dyDescent="0.25">
      <c r="A451" s="13">
        <f t="shared" si="14"/>
        <v>23</v>
      </c>
      <c r="B451" s="17"/>
      <c r="C451" s="17"/>
      <c r="D451" s="18"/>
      <c r="E451" s="11"/>
      <c r="F451" s="19"/>
      <c r="G451" s="20"/>
      <c r="H451" s="21"/>
      <c r="I451" s="22"/>
      <c r="J451" s="39"/>
      <c r="K451" s="24"/>
      <c r="N451" s="6"/>
      <c r="O451" s="27"/>
    </row>
    <row r="452" spans="1:15" x14ac:dyDescent="0.25">
      <c r="A452" s="13">
        <f t="shared" ref="A452:A515" si="15">IF(B452=B451,A451,A451+1)</f>
        <v>23</v>
      </c>
      <c r="B452" s="17"/>
      <c r="C452" s="17"/>
      <c r="D452" s="18"/>
      <c r="E452" s="11"/>
      <c r="F452" s="19"/>
      <c r="G452" s="20"/>
      <c r="H452" s="21"/>
      <c r="I452" s="22"/>
      <c r="J452" s="39"/>
      <c r="K452" s="24"/>
      <c r="N452" s="6"/>
      <c r="O452" s="27"/>
    </row>
    <row r="453" spans="1:15" x14ac:dyDescent="0.25">
      <c r="A453" s="13">
        <f t="shared" si="15"/>
        <v>23</v>
      </c>
      <c r="B453" s="17"/>
      <c r="C453" s="17"/>
      <c r="D453" s="18"/>
      <c r="E453" s="11"/>
      <c r="F453" s="19"/>
      <c r="G453" s="20"/>
      <c r="H453" s="21"/>
      <c r="I453" s="22"/>
      <c r="J453" s="39"/>
      <c r="K453" s="24"/>
      <c r="N453" s="6"/>
      <c r="O453" s="27"/>
    </row>
    <row r="454" spans="1:15" x14ac:dyDescent="0.25">
      <c r="A454" s="13">
        <f t="shared" si="15"/>
        <v>23</v>
      </c>
      <c r="B454" s="17"/>
      <c r="C454" s="17"/>
      <c r="D454" s="18"/>
      <c r="E454" s="11"/>
      <c r="F454" s="19"/>
      <c r="G454" s="20"/>
      <c r="H454" s="21"/>
      <c r="I454" s="22"/>
      <c r="J454" s="39"/>
      <c r="K454" s="24"/>
      <c r="N454" s="6"/>
      <c r="O454" s="27"/>
    </row>
    <row r="455" spans="1:15" x14ac:dyDescent="0.25">
      <c r="A455" s="13">
        <f t="shared" si="15"/>
        <v>23</v>
      </c>
      <c r="B455" s="17"/>
      <c r="C455" s="17"/>
      <c r="D455" s="18"/>
      <c r="E455" s="11"/>
      <c r="F455" s="19"/>
      <c r="G455" s="20"/>
      <c r="H455" s="21"/>
      <c r="I455" s="22"/>
      <c r="J455" s="39"/>
      <c r="K455" s="24"/>
      <c r="N455" s="6"/>
      <c r="O455" s="27"/>
    </row>
    <row r="456" spans="1:15" x14ac:dyDescent="0.25">
      <c r="A456" s="13">
        <f t="shared" si="15"/>
        <v>23</v>
      </c>
      <c r="B456" s="17"/>
      <c r="C456" s="17"/>
      <c r="D456" s="18"/>
      <c r="E456" s="11"/>
      <c r="F456" s="19"/>
      <c r="G456" s="20"/>
      <c r="H456" s="21"/>
      <c r="I456" s="22"/>
      <c r="J456" s="39"/>
      <c r="K456" s="24"/>
      <c r="N456" s="6"/>
      <c r="O456" s="27"/>
    </row>
    <row r="457" spans="1:15" x14ac:dyDescent="0.25">
      <c r="A457" s="13">
        <f t="shared" si="15"/>
        <v>23</v>
      </c>
      <c r="B457" s="17"/>
      <c r="C457" s="17"/>
      <c r="D457" s="18"/>
      <c r="E457" s="11"/>
      <c r="F457" s="19"/>
      <c r="G457" s="20"/>
      <c r="H457" s="21"/>
      <c r="I457" s="22"/>
      <c r="J457" s="39"/>
      <c r="K457" s="24"/>
      <c r="N457" s="6"/>
      <c r="O457" s="27"/>
    </row>
    <row r="458" spans="1:15" x14ac:dyDescent="0.25">
      <c r="A458" s="13">
        <f t="shared" si="15"/>
        <v>23</v>
      </c>
      <c r="B458" s="17"/>
      <c r="C458" s="17"/>
      <c r="D458" s="18"/>
      <c r="E458" s="11"/>
      <c r="F458" s="19"/>
      <c r="G458" s="20"/>
      <c r="H458" s="21"/>
      <c r="I458" s="22"/>
      <c r="J458" s="39"/>
      <c r="K458" s="24"/>
      <c r="N458" s="6"/>
      <c r="O458" s="27"/>
    </row>
    <row r="459" spans="1:15" x14ac:dyDescent="0.25">
      <c r="A459" s="13">
        <f t="shared" si="15"/>
        <v>23</v>
      </c>
      <c r="B459" s="17"/>
      <c r="C459" s="17"/>
      <c r="D459" s="18"/>
      <c r="E459" s="11"/>
      <c r="F459" s="19"/>
      <c r="G459" s="20"/>
      <c r="H459" s="21"/>
      <c r="I459" s="22"/>
      <c r="J459" s="39"/>
      <c r="K459" s="24"/>
      <c r="N459" s="6"/>
      <c r="O459" s="27"/>
    </row>
    <row r="460" spans="1:15" x14ac:dyDescent="0.25">
      <c r="A460" s="13">
        <f t="shared" si="15"/>
        <v>23</v>
      </c>
      <c r="B460" s="17"/>
      <c r="C460" s="17"/>
      <c r="D460" s="18"/>
      <c r="E460" s="11"/>
      <c r="F460" s="19"/>
      <c r="G460" s="20"/>
      <c r="H460" s="21"/>
      <c r="I460" s="22"/>
      <c r="J460" s="39"/>
      <c r="K460" s="24"/>
      <c r="N460" s="6"/>
      <c r="O460" s="27"/>
    </row>
    <row r="461" spans="1:15" x14ac:dyDescent="0.25">
      <c r="A461" s="13">
        <f t="shared" si="15"/>
        <v>23</v>
      </c>
      <c r="B461" s="17"/>
      <c r="C461" s="17"/>
      <c r="D461" s="18"/>
      <c r="E461" s="11"/>
      <c r="F461" s="19"/>
      <c r="G461" s="20"/>
      <c r="H461" s="21"/>
      <c r="I461" s="22"/>
      <c r="J461" s="39"/>
      <c r="K461" s="24"/>
      <c r="N461" s="6"/>
      <c r="O461" s="27"/>
    </row>
    <row r="462" spans="1:15" x14ac:dyDescent="0.25">
      <c r="A462" s="13">
        <f t="shared" si="15"/>
        <v>23</v>
      </c>
      <c r="B462" s="17"/>
      <c r="C462" s="17"/>
      <c r="D462" s="18"/>
      <c r="E462" s="11"/>
      <c r="F462" s="19"/>
      <c r="G462" s="20"/>
      <c r="H462" s="21"/>
      <c r="I462" s="22"/>
      <c r="J462" s="39"/>
      <c r="K462" s="24"/>
      <c r="N462" s="6"/>
      <c r="O462" s="27"/>
    </row>
    <row r="463" spans="1:15" x14ac:dyDescent="0.25">
      <c r="A463" s="13">
        <f t="shared" si="15"/>
        <v>23</v>
      </c>
      <c r="B463" s="17"/>
      <c r="C463" s="17"/>
      <c r="D463" s="18"/>
      <c r="E463" s="11"/>
      <c r="F463" s="19"/>
      <c r="G463" s="20"/>
      <c r="H463" s="21"/>
      <c r="I463" s="22"/>
      <c r="J463" s="39"/>
      <c r="K463" s="24"/>
      <c r="N463" s="6"/>
      <c r="O463" s="27"/>
    </row>
    <row r="464" spans="1:15" x14ac:dyDescent="0.25">
      <c r="A464" s="13">
        <f t="shared" si="15"/>
        <v>23</v>
      </c>
      <c r="B464" s="17"/>
      <c r="C464" s="17"/>
      <c r="D464" s="18"/>
      <c r="E464" s="11"/>
      <c r="F464" s="19"/>
      <c r="G464" s="20"/>
      <c r="H464" s="21"/>
      <c r="I464" s="22"/>
      <c r="J464" s="39"/>
      <c r="K464" s="24"/>
      <c r="N464" s="6"/>
      <c r="O464" s="27"/>
    </row>
    <row r="465" spans="1:15" x14ac:dyDescent="0.25">
      <c r="A465" s="13">
        <f t="shared" si="15"/>
        <v>23</v>
      </c>
      <c r="B465" s="17"/>
      <c r="C465" s="17"/>
      <c r="D465" s="18"/>
      <c r="E465" s="11"/>
      <c r="F465" s="19"/>
      <c r="G465" s="20"/>
      <c r="H465" s="21"/>
      <c r="I465" s="22"/>
      <c r="J465" s="39"/>
      <c r="K465" s="24"/>
      <c r="N465" s="6"/>
      <c r="O465" s="27"/>
    </row>
    <row r="466" spans="1:15" x14ac:dyDescent="0.25">
      <c r="A466" s="13">
        <f t="shared" si="15"/>
        <v>23</v>
      </c>
      <c r="B466" s="17"/>
      <c r="C466" s="17"/>
      <c r="D466" s="18"/>
      <c r="E466" s="11"/>
      <c r="F466" s="19"/>
      <c r="G466" s="20"/>
      <c r="H466" s="21"/>
      <c r="I466" s="22"/>
      <c r="J466" s="39"/>
      <c r="K466" s="24"/>
      <c r="N466" s="6"/>
      <c r="O466" s="27"/>
    </row>
    <row r="467" spans="1:15" x14ac:dyDescent="0.25">
      <c r="A467" s="13">
        <f t="shared" si="15"/>
        <v>23</v>
      </c>
      <c r="B467" s="17"/>
      <c r="C467" s="17"/>
      <c r="D467" s="18"/>
      <c r="E467" s="11"/>
      <c r="F467" s="19"/>
      <c r="G467" s="20"/>
      <c r="H467" s="21"/>
      <c r="I467" s="22"/>
      <c r="J467" s="39"/>
      <c r="K467" s="24"/>
      <c r="N467" s="6"/>
      <c r="O467" s="27"/>
    </row>
    <row r="468" spans="1:15" x14ac:dyDescent="0.25">
      <c r="A468" s="13">
        <f t="shared" si="15"/>
        <v>23</v>
      </c>
      <c r="B468" s="17"/>
      <c r="C468" s="17"/>
      <c r="D468" s="18"/>
      <c r="E468" s="11"/>
      <c r="F468" s="19"/>
      <c r="G468" s="20"/>
      <c r="H468" s="21"/>
      <c r="I468" s="22"/>
      <c r="J468" s="39"/>
      <c r="K468" s="24"/>
      <c r="N468" s="6"/>
      <c r="O468" s="27"/>
    </row>
    <row r="469" spans="1:15" x14ac:dyDescent="0.25">
      <c r="A469" s="13">
        <f t="shared" si="15"/>
        <v>23</v>
      </c>
      <c r="B469" s="17"/>
      <c r="C469" s="17"/>
      <c r="D469" s="18"/>
      <c r="E469" s="11"/>
      <c r="F469" s="19"/>
      <c r="G469" s="20"/>
      <c r="H469" s="21"/>
      <c r="I469" s="22"/>
      <c r="J469" s="39"/>
      <c r="K469" s="24"/>
      <c r="N469" s="6"/>
      <c r="O469" s="27"/>
    </row>
    <row r="470" spans="1:15" x14ac:dyDescent="0.25">
      <c r="A470" s="13">
        <f t="shared" si="15"/>
        <v>23</v>
      </c>
      <c r="B470" s="17"/>
      <c r="C470" s="17"/>
      <c r="D470" s="18"/>
      <c r="E470" s="11"/>
      <c r="F470" s="19"/>
      <c r="G470" s="20"/>
      <c r="H470" s="21"/>
      <c r="I470" s="22"/>
      <c r="J470" s="39"/>
      <c r="K470" s="24"/>
      <c r="N470" s="6"/>
      <c r="O470" s="27"/>
    </row>
    <row r="471" spans="1:15" x14ac:dyDescent="0.25">
      <c r="A471" s="13">
        <f t="shared" si="15"/>
        <v>23</v>
      </c>
      <c r="B471" s="17"/>
      <c r="C471" s="17"/>
      <c r="D471" s="18"/>
      <c r="E471" s="11"/>
      <c r="F471" s="19"/>
      <c r="G471" s="20"/>
      <c r="H471" s="21"/>
      <c r="I471" s="22"/>
      <c r="J471" s="39"/>
      <c r="K471" s="24"/>
      <c r="N471" s="6"/>
      <c r="O471" s="27"/>
    </row>
    <row r="472" spans="1:15" x14ac:dyDescent="0.25">
      <c r="A472" s="13">
        <f t="shared" si="15"/>
        <v>23</v>
      </c>
      <c r="B472" s="17"/>
      <c r="C472" s="17"/>
      <c r="D472" s="18"/>
      <c r="E472" s="11"/>
      <c r="F472" s="19"/>
      <c r="G472" s="20"/>
      <c r="H472" s="21"/>
      <c r="I472" s="22"/>
      <c r="J472" s="39"/>
      <c r="K472" s="24"/>
      <c r="N472" s="6"/>
      <c r="O472" s="27"/>
    </row>
    <row r="473" spans="1:15" x14ac:dyDescent="0.25">
      <c r="A473" s="13">
        <f t="shared" si="15"/>
        <v>23</v>
      </c>
      <c r="B473" s="17"/>
      <c r="C473" s="17"/>
      <c r="D473" s="18"/>
      <c r="E473" s="11"/>
      <c r="F473" s="19"/>
      <c r="G473" s="20"/>
      <c r="H473" s="21"/>
      <c r="I473" s="22"/>
      <c r="J473" s="39"/>
      <c r="K473" s="24"/>
      <c r="N473" s="6"/>
      <c r="O473" s="27"/>
    </row>
    <row r="474" spans="1:15" x14ac:dyDescent="0.25">
      <c r="A474" s="13">
        <f t="shared" si="15"/>
        <v>23</v>
      </c>
      <c r="B474" s="17"/>
      <c r="C474" s="17"/>
      <c r="D474" s="18"/>
      <c r="E474" s="11"/>
      <c r="F474" s="19"/>
      <c r="G474" s="20"/>
      <c r="H474" s="21"/>
      <c r="I474" s="22"/>
      <c r="J474" s="39"/>
      <c r="K474" s="24"/>
      <c r="N474" s="6"/>
      <c r="O474" s="27"/>
    </row>
    <row r="475" spans="1:15" x14ac:dyDescent="0.25">
      <c r="A475" s="13">
        <f t="shared" si="15"/>
        <v>23</v>
      </c>
      <c r="B475" s="17"/>
      <c r="C475" s="17"/>
      <c r="D475" s="18"/>
      <c r="E475" s="11"/>
      <c r="F475" s="19"/>
      <c r="G475" s="20"/>
      <c r="H475" s="21"/>
      <c r="I475" s="22"/>
      <c r="J475" s="39"/>
      <c r="K475" s="24"/>
      <c r="N475" s="6"/>
      <c r="O475" s="27"/>
    </row>
    <row r="476" spans="1:15" x14ac:dyDescent="0.25">
      <c r="A476" s="13">
        <f t="shared" si="15"/>
        <v>23</v>
      </c>
      <c r="B476" s="17"/>
      <c r="C476" s="17"/>
      <c r="D476" s="18"/>
      <c r="E476" s="11"/>
      <c r="F476" s="19"/>
      <c r="G476" s="20"/>
      <c r="H476" s="21"/>
      <c r="I476" s="22"/>
      <c r="J476" s="39"/>
      <c r="K476" s="24"/>
      <c r="N476" s="6"/>
      <c r="O476" s="27"/>
    </row>
    <row r="477" spans="1:15" x14ac:dyDescent="0.25">
      <c r="A477" s="13">
        <f t="shared" si="15"/>
        <v>23</v>
      </c>
      <c r="B477" s="17"/>
      <c r="C477" s="17"/>
      <c r="D477" s="18"/>
      <c r="E477" s="11"/>
      <c r="F477" s="19"/>
      <c r="G477" s="20"/>
      <c r="H477" s="21"/>
      <c r="I477" s="22"/>
      <c r="J477" s="39"/>
      <c r="K477" s="24"/>
      <c r="N477" s="6"/>
      <c r="O477" s="27"/>
    </row>
    <row r="478" spans="1:15" x14ac:dyDescent="0.25">
      <c r="A478" s="13">
        <f t="shared" si="15"/>
        <v>23</v>
      </c>
      <c r="B478" s="17"/>
      <c r="C478" s="17"/>
      <c r="D478" s="18"/>
      <c r="E478" s="11"/>
      <c r="F478" s="19"/>
      <c r="G478" s="20"/>
      <c r="H478" s="21"/>
      <c r="I478" s="22"/>
      <c r="J478" s="39"/>
      <c r="K478" s="24"/>
      <c r="N478" s="6"/>
      <c r="O478" s="27"/>
    </row>
    <row r="479" spans="1:15" x14ac:dyDescent="0.25">
      <c r="A479" s="13">
        <f t="shared" si="15"/>
        <v>23</v>
      </c>
      <c r="B479" s="17"/>
      <c r="C479" s="17"/>
      <c r="D479" s="18"/>
      <c r="E479" s="11"/>
      <c r="F479" s="19"/>
      <c r="G479" s="20"/>
      <c r="H479" s="21"/>
      <c r="I479" s="22"/>
      <c r="J479" s="39"/>
      <c r="K479" s="24"/>
      <c r="N479" s="6"/>
      <c r="O479" s="27"/>
    </row>
    <row r="480" spans="1:15" x14ac:dyDescent="0.25">
      <c r="A480" s="13">
        <f t="shared" si="15"/>
        <v>23</v>
      </c>
      <c r="B480" s="17"/>
      <c r="C480" s="17"/>
      <c r="D480" s="18"/>
      <c r="E480" s="11"/>
      <c r="F480" s="19"/>
      <c r="G480" s="20"/>
      <c r="H480" s="21"/>
      <c r="I480" s="22"/>
      <c r="J480" s="39"/>
      <c r="K480" s="24"/>
      <c r="N480" s="6"/>
      <c r="O480" s="27"/>
    </row>
    <row r="481" spans="1:15" x14ac:dyDescent="0.25">
      <c r="A481" s="13">
        <f t="shared" si="15"/>
        <v>23</v>
      </c>
      <c r="B481" s="17"/>
      <c r="C481" s="17"/>
      <c r="D481" s="18"/>
      <c r="E481" s="11"/>
      <c r="F481" s="19"/>
      <c r="G481" s="20"/>
      <c r="H481" s="21"/>
      <c r="I481" s="22"/>
      <c r="J481" s="39"/>
      <c r="K481" s="24"/>
      <c r="N481" s="6"/>
      <c r="O481" s="27"/>
    </row>
    <row r="482" spans="1:15" x14ac:dyDescent="0.25">
      <c r="A482" s="13">
        <f t="shared" si="15"/>
        <v>23</v>
      </c>
      <c r="B482" s="17"/>
      <c r="C482" s="17"/>
      <c r="D482" s="18"/>
      <c r="E482" s="11"/>
      <c r="F482" s="19"/>
      <c r="G482" s="20"/>
      <c r="H482" s="21"/>
      <c r="I482" s="22"/>
      <c r="J482" s="39"/>
      <c r="K482" s="24"/>
      <c r="N482" s="6"/>
      <c r="O482" s="27"/>
    </row>
    <row r="483" spans="1:15" x14ac:dyDescent="0.25">
      <c r="A483" s="13">
        <f t="shared" si="15"/>
        <v>23</v>
      </c>
      <c r="B483" s="17"/>
      <c r="C483" s="17"/>
      <c r="D483" s="18"/>
      <c r="E483" s="11"/>
      <c r="F483" s="19"/>
      <c r="G483" s="20"/>
      <c r="H483" s="21"/>
      <c r="I483" s="22"/>
      <c r="J483" s="23"/>
      <c r="K483" s="24"/>
      <c r="N483" s="6"/>
      <c r="O483" s="27"/>
    </row>
    <row r="484" spans="1:15" x14ac:dyDescent="0.25">
      <c r="A484" s="13">
        <f t="shared" si="15"/>
        <v>23</v>
      </c>
      <c r="B484" s="17"/>
      <c r="C484" s="17"/>
      <c r="D484" s="40"/>
      <c r="E484" s="41"/>
      <c r="F484" s="19"/>
      <c r="G484" s="20"/>
      <c r="H484" s="21"/>
      <c r="I484" s="22"/>
      <c r="J484" s="23"/>
      <c r="K484" s="24"/>
      <c r="N484" s="6"/>
      <c r="O484" s="27"/>
    </row>
    <row r="485" spans="1:15" x14ac:dyDescent="0.25">
      <c r="A485" s="13">
        <f t="shared" si="15"/>
        <v>23</v>
      </c>
      <c r="B485" s="17"/>
      <c r="C485" s="17"/>
      <c r="D485" s="18"/>
      <c r="E485" s="11"/>
      <c r="F485" s="19"/>
      <c r="G485" s="20"/>
      <c r="H485" s="21"/>
      <c r="I485" s="22"/>
      <c r="J485" s="23"/>
      <c r="K485" s="24"/>
      <c r="N485" s="6"/>
      <c r="O485" s="27"/>
    </row>
    <row r="486" spans="1:15" x14ac:dyDescent="0.25">
      <c r="A486" s="13">
        <f t="shared" si="15"/>
        <v>23</v>
      </c>
      <c r="B486" s="17"/>
      <c r="C486" s="17"/>
      <c r="D486" s="18"/>
      <c r="E486" s="11"/>
      <c r="F486" s="19"/>
      <c r="G486" s="20"/>
      <c r="H486" s="21"/>
      <c r="I486" s="22"/>
      <c r="J486" s="23"/>
      <c r="K486" s="24"/>
      <c r="N486" s="6"/>
      <c r="O486" s="27"/>
    </row>
    <row r="487" spans="1:15" x14ac:dyDescent="0.25">
      <c r="A487" s="13">
        <f t="shared" si="15"/>
        <v>23</v>
      </c>
      <c r="B487" s="17"/>
      <c r="C487" s="17"/>
      <c r="D487" s="18"/>
      <c r="E487" s="11"/>
      <c r="F487" s="19"/>
      <c r="G487" s="20"/>
      <c r="H487" s="21"/>
      <c r="I487" s="22"/>
      <c r="J487" s="23"/>
      <c r="K487" s="24"/>
      <c r="N487" s="6"/>
      <c r="O487" s="27"/>
    </row>
    <row r="488" spans="1:15" x14ac:dyDescent="0.25">
      <c r="A488" s="13">
        <f t="shared" si="15"/>
        <v>23</v>
      </c>
      <c r="B488" s="17"/>
      <c r="C488" s="17"/>
      <c r="D488" s="18"/>
      <c r="E488" s="11"/>
      <c r="F488" s="19"/>
      <c r="G488" s="20"/>
      <c r="H488" s="21"/>
      <c r="I488" s="22"/>
      <c r="J488" s="39"/>
      <c r="K488" s="24"/>
      <c r="N488" s="6"/>
      <c r="O488" s="27"/>
    </row>
    <row r="489" spans="1:15" x14ac:dyDescent="0.25">
      <c r="A489" s="13">
        <f t="shared" si="15"/>
        <v>23</v>
      </c>
      <c r="B489" s="17"/>
      <c r="C489" s="17"/>
      <c r="D489" s="18"/>
      <c r="E489" s="11"/>
      <c r="F489" s="19"/>
      <c r="G489" s="20"/>
      <c r="H489" s="21"/>
      <c r="I489" s="22"/>
      <c r="J489" s="39"/>
      <c r="K489" s="24"/>
      <c r="N489" s="6"/>
      <c r="O489" s="27"/>
    </row>
    <row r="490" spans="1:15" x14ac:dyDescent="0.25">
      <c r="A490" s="13">
        <f t="shared" si="15"/>
        <v>23</v>
      </c>
      <c r="B490" s="17"/>
      <c r="C490" s="17"/>
      <c r="D490" s="18"/>
      <c r="E490" s="11"/>
      <c r="F490" s="19"/>
      <c r="G490" s="20"/>
      <c r="H490" s="21"/>
      <c r="I490" s="22"/>
      <c r="J490" s="39"/>
      <c r="K490" s="24"/>
      <c r="N490" s="6"/>
      <c r="O490" s="27"/>
    </row>
    <row r="491" spans="1:15" x14ac:dyDescent="0.25">
      <c r="A491" s="13">
        <f t="shared" si="15"/>
        <v>23</v>
      </c>
      <c r="B491" s="17"/>
      <c r="C491" s="17"/>
      <c r="D491" s="18"/>
      <c r="E491" s="11"/>
      <c r="F491" s="19"/>
      <c r="G491" s="20"/>
      <c r="H491" s="21"/>
      <c r="I491" s="22"/>
      <c r="J491" s="39"/>
      <c r="K491" s="24"/>
      <c r="N491" s="6"/>
      <c r="O491" s="27"/>
    </row>
    <row r="492" spans="1:15" x14ac:dyDescent="0.25">
      <c r="A492" s="13">
        <f t="shared" si="15"/>
        <v>23</v>
      </c>
      <c r="B492" s="17"/>
      <c r="C492" s="17"/>
      <c r="D492" s="18"/>
      <c r="E492" s="11"/>
      <c r="F492" s="19"/>
      <c r="G492" s="20"/>
      <c r="H492" s="21"/>
      <c r="I492" s="22"/>
      <c r="J492" s="39"/>
      <c r="K492" s="24"/>
      <c r="N492" s="6"/>
      <c r="O492" s="27"/>
    </row>
    <row r="493" spans="1:15" x14ac:dyDescent="0.25">
      <c r="A493" s="13">
        <f t="shared" si="15"/>
        <v>23</v>
      </c>
      <c r="B493" s="17"/>
      <c r="C493" s="17"/>
      <c r="D493" s="18"/>
      <c r="E493" s="11"/>
      <c r="F493" s="19"/>
      <c r="G493" s="20"/>
      <c r="H493" s="21"/>
      <c r="I493" s="22"/>
      <c r="J493" s="39"/>
      <c r="K493" s="24"/>
      <c r="N493" s="6"/>
      <c r="O493" s="27"/>
    </row>
    <row r="494" spans="1:15" x14ac:dyDescent="0.25">
      <c r="A494" s="13">
        <f t="shared" si="15"/>
        <v>23</v>
      </c>
      <c r="B494" s="17"/>
      <c r="C494" s="17"/>
      <c r="D494" s="18"/>
      <c r="E494" s="11"/>
      <c r="F494" s="19"/>
      <c r="G494" s="20"/>
      <c r="H494" s="21"/>
      <c r="I494" s="22"/>
      <c r="J494" s="39"/>
      <c r="K494" s="24"/>
      <c r="N494" s="6"/>
      <c r="O494" s="27"/>
    </row>
    <row r="495" spans="1:15" x14ac:dyDescent="0.25">
      <c r="A495" s="13">
        <f t="shared" si="15"/>
        <v>23</v>
      </c>
      <c r="B495" s="17"/>
      <c r="C495" s="17"/>
      <c r="D495" s="18"/>
      <c r="E495" s="11"/>
      <c r="F495" s="19"/>
      <c r="G495" s="20"/>
      <c r="H495" s="21"/>
      <c r="I495" s="22"/>
      <c r="J495" s="39"/>
      <c r="K495" s="24"/>
      <c r="N495" s="6"/>
      <c r="O495" s="27"/>
    </row>
    <row r="496" spans="1:15" x14ac:dyDescent="0.25">
      <c r="A496" s="13">
        <f t="shared" si="15"/>
        <v>23</v>
      </c>
      <c r="B496" s="17"/>
      <c r="C496" s="17"/>
      <c r="D496" s="18"/>
      <c r="E496" s="11"/>
      <c r="F496" s="19"/>
      <c r="G496" s="20"/>
      <c r="H496" s="21"/>
      <c r="I496" s="22"/>
      <c r="J496" s="39"/>
      <c r="K496" s="24"/>
      <c r="N496" s="6"/>
      <c r="O496" s="27"/>
    </row>
    <row r="497" spans="1:15" x14ac:dyDescent="0.25">
      <c r="A497" s="13">
        <f t="shared" si="15"/>
        <v>23</v>
      </c>
      <c r="B497" s="17"/>
      <c r="C497" s="17"/>
      <c r="D497" s="18"/>
      <c r="E497" s="11"/>
      <c r="F497" s="19"/>
      <c r="G497" s="20"/>
      <c r="H497" s="21"/>
      <c r="I497" s="22"/>
      <c r="J497" s="39"/>
      <c r="K497" s="24"/>
      <c r="N497" s="6"/>
      <c r="O497" s="27"/>
    </row>
    <row r="498" spans="1:15" x14ac:dyDescent="0.25">
      <c r="A498" s="13">
        <f t="shared" si="15"/>
        <v>23</v>
      </c>
      <c r="B498" s="17"/>
      <c r="C498" s="17"/>
      <c r="D498" s="18"/>
      <c r="E498" s="11"/>
      <c r="F498" s="19"/>
      <c r="G498" s="20"/>
      <c r="H498" s="21"/>
      <c r="I498" s="22"/>
      <c r="J498" s="39"/>
      <c r="K498" s="24"/>
      <c r="N498" s="6"/>
      <c r="O498" s="27"/>
    </row>
    <row r="499" spans="1:15" x14ac:dyDescent="0.25">
      <c r="A499" s="13">
        <f t="shared" si="15"/>
        <v>23</v>
      </c>
      <c r="B499" s="17"/>
      <c r="C499" s="17"/>
      <c r="D499" s="18"/>
      <c r="E499" s="11"/>
      <c r="F499" s="19"/>
      <c r="G499" s="20"/>
      <c r="H499" s="21"/>
      <c r="I499" s="22"/>
      <c r="J499" s="39"/>
      <c r="K499" s="24"/>
      <c r="N499" s="6"/>
      <c r="O499" s="27"/>
    </row>
    <row r="500" spans="1:15" x14ac:dyDescent="0.25">
      <c r="A500" s="13">
        <f t="shared" si="15"/>
        <v>23</v>
      </c>
      <c r="B500" s="17"/>
      <c r="C500" s="17"/>
      <c r="D500" s="18"/>
      <c r="E500" s="11"/>
      <c r="F500" s="19"/>
      <c r="G500" s="20"/>
      <c r="H500" s="21"/>
      <c r="I500" s="22"/>
      <c r="J500" s="39"/>
      <c r="K500" s="24"/>
      <c r="N500" s="6"/>
      <c r="O500" s="27"/>
    </row>
    <row r="501" spans="1:15" x14ac:dyDescent="0.25">
      <c r="A501" s="13">
        <f t="shared" si="15"/>
        <v>23</v>
      </c>
      <c r="B501" s="17"/>
      <c r="C501" s="17"/>
      <c r="D501" s="18"/>
      <c r="E501" s="11"/>
      <c r="F501" s="19"/>
      <c r="G501" s="20"/>
      <c r="H501" s="21"/>
      <c r="I501" s="22"/>
      <c r="J501" s="39"/>
      <c r="K501" s="24"/>
      <c r="N501" s="6"/>
      <c r="O501" s="27"/>
    </row>
    <row r="502" spans="1:15" x14ac:dyDescent="0.25">
      <c r="A502" s="13">
        <f t="shared" si="15"/>
        <v>23</v>
      </c>
      <c r="B502" s="17"/>
      <c r="C502" s="17"/>
      <c r="D502" s="18"/>
      <c r="E502" s="11"/>
      <c r="F502" s="19"/>
      <c r="G502" s="20"/>
      <c r="H502" s="21"/>
      <c r="I502" s="22"/>
      <c r="J502" s="39"/>
      <c r="K502" s="24"/>
      <c r="N502" s="6"/>
      <c r="O502" s="27"/>
    </row>
    <row r="503" spans="1:15" x14ac:dyDescent="0.25">
      <c r="A503" s="13">
        <f t="shared" si="15"/>
        <v>23</v>
      </c>
      <c r="B503" s="17"/>
      <c r="C503" s="17"/>
      <c r="D503" s="18"/>
      <c r="E503" s="11"/>
      <c r="F503" s="19"/>
      <c r="G503" s="36"/>
      <c r="H503" s="21"/>
      <c r="I503" s="22"/>
      <c r="J503" s="35"/>
      <c r="K503" s="24"/>
      <c r="N503" s="6"/>
      <c r="O503" s="27"/>
    </row>
    <row r="504" spans="1:15" x14ac:dyDescent="0.25">
      <c r="A504" s="13">
        <f t="shared" si="15"/>
        <v>23</v>
      </c>
      <c r="B504" s="17"/>
      <c r="C504" s="17"/>
      <c r="D504" s="18"/>
      <c r="E504" s="11"/>
      <c r="F504" s="19"/>
      <c r="G504" s="36"/>
      <c r="H504" s="21"/>
      <c r="I504" s="22"/>
      <c r="J504" s="35"/>
      <c r="K504" s="24"/>
      <c r="N504" s="6"/>
      <c r="O504" s="27"/>
    </row>
    <row r="505" spans="1:15" x14ac:dyDescent="0.25">
      <c r="A505" s="13">
        <f t="shared" si="15"/>
        <v>23</v>
      </c>
      <c r="B505" s="17"/>
      <c r="C505" s="17"/>
      <c r="D505" s="18"/>
      <c r="E505" s="11"/>
      <c r="F505" s="19"/>
      <c r="G505" s="36"/>
      <c r="H505" s="21"/>
      <c r="I505" s="22"/>
      <c r="J505" s="35"/>
      <c r="K505" s="24"/>
      <c r="N505" s="6"/>
      <c r="O505" s="27"/>
    </row>
    <row r="506" spans="1:15" x14ac:dyDescent="0.25">
      <c r="A506" s="13">
        <f t="shared" si="15"/>
        <v>23</v>
      </c>
      <c r="B506" s="17"/>
      <c r="C506" s="17"/>
      <c r="D506" s="18"/>
      <c r="E506" s="11"/>
      <c r="F506" s="19"/>
      <c r="G506" s="36"/>
      <c r="H506" s="21"/>
      <c r="I506" s="22"/>
      <c r="J506" s="35"/>
      <c r="K506" s="24"/>
      <c r="N506" s="6"/>
      <c r="O506" s="27"/>
    </row>
    <row r="507" spans="1:15" x14ac:dyDescent="0.25">
      <c r="A507" s="13">
        <f t="shared" si="15"/>
        <v>23</v>
      </c>
      <c r="B507" s="17"/>
      <c r="C507" s="17"/>
      <c r="D507" s="18"/>
      <c r="E507" s="11"/>
      <c r="F507" s="19"/>
      <c r="G507" s="36"/>
      <c r="H507" s="21"/>
      <c r="I507" s="22"/>
      <c r="J507" s="35"/>
      <c r="K507" s="24"/>
      <c r="N507" s="6"/>
      <c r="O507" s="27"/>
    </row>
    <row r="508" spans="1:15" x14ac:dyDescent="0.25">
      <c r="A508" s="13">
        <f t="shared" si="15"/>
        <v>23</v>
      </c>
      <c r="B508" s="17"/>
      <c r="C508" s="17"/>
      <c r="D508" s="18"/>
      <c r="E508" s="11"/>
      <c r="F508" s="19"/>
      <c r="G508" s="36"/>
      <c r="H508" s="21"/>
      <c r="I508" s="22"/>
      <c r="J508" s="35"/>
      <c r="K508" s="24"/>
      <c r="N508" s="6"/>
      <c r="O508" s="27"/>
    </row>
    <row r="509" spans="1:15" x14ac:dyDescent="0.25">
      <c r="A509" s="13">
        <f t="shared" si="15"/>
        <v>23</v>
      </c>
      <c r="B509" s="17"/>
      <c r="C509" s="17"/>
      <c r="D509" s="18"/>
      <c r="E509" s="11"/>
      <c r="F509" s="19"/>
      <c r="G509" s="36"/>
      <c r="H509" s="21"/>
      <c r="I509" s="22"/>
      <c r="J509" s="35"/>
      <c r="K509" s="24"/>
      <c r="N509" s="6"/>
      <c r="O509" s="27"/>
    </row>
    <row r="510" spans="1:15" x14ac:dyDescent="0.25">
      <c r="A510" s="13">
        <f t="shared" si="15"/>
        <v>23</v>
      </c>
      <c r="B510" s="17"/>
      <c r="C510" s="17"/>
      <c r="D510" s="18"/>
      <c r="E510" s="11"/>
      <c r="F510" s="19"/>
      <c r="G510" s="36"/>
      <c r="H510" s="21"/>
      <c r="I510" s="22"/>
      <c r="J510" s="35"/>
      <c r="K510" s="24"/>
      <c r="N510" s="6"/>
      <c r="O510" s="27"/>
    </row>
    <row r="511" spans="1:15" x14ac:dyDescent="0.25">
      <c r="A511" s="13">
        <f t="shared" si="15"/>
        <v>23</v>
      </c>
      <c r="B511" s="17"/>
      <c r="C511" s="17"/>
      <c r="D511" s="18"/>
      <c r="E511" s="11"/>
      <c r="F511" s="19"/>
      <c r="G511" s="36"/>
      <c r="H511" s="21"/>
      <c r="I511" s="22"/>
      <c r="J511" s="35"/>
      <c r="K511" s="24"/>
      <c r="N511" s="6"/>
      <c r="O511" s="27"/>
    </row>
    <row r="512" spans="1:15" x14ac:dyDescent="0.25">
      <c r="A512" s="13">
        <f t="shared" si="15"/>
        <v>23</v>
      </c>
      <c r="B512" s="17"/>
      <c r="C512" s="17"/>
      <c r="D512" s="18"/>
      <c r="E512" s="11"/>
      <c r="F512" s="19"/>
      <c r="G512" s="36"/>
      <c r="H512" s="21"/>
      <c r="I512" s="22"/>
      <c r="J512" s="35"/>
      <c r="K512" s="24"/>
      <c r="N512" s="6"/>
      <c r="O512" s="27"/>
    </row>
    <row r="513" spans="1:15" x14ac:dyDescent="0.25">
      <c r="A513" s="13">
        <f t="shared" si="15"/>
        <v>23</v>
      </c>
      <c r="B513" s="17"/>
      <c r="C513" s="17"/>
      <c r="D513" s="18"/>
      <c r="E513" s="11"/>
      <c r="F513" s="19"/>
      <c r="G513" s="36"/>
      <c r="H513" s="21"/>
      <c r="I513" s="22"/>
      <c r="J513" s="35"/>
      <c r="K513" s="24"/>
      <c r="N513" s="6"/>
      <c r="O513" s="27"/>
    </row>
    <row r="514" spans="1:15" x14ac:dyDescent="0.25">
      <c r="A514" s="13">
        <f t="shared" si="15"/>
        <v>23</v>
      </c>
      <c r="B514" s="17"/>
      <c r="C514" s="17"/>
      <c r="D514" s="18"/>
      <c r="E514" s="11"/>
      <c r="F514" s="19"/>
      <c r="G514" s="36"/>
      <c r="H514" s="21"/>
      <c r="I514" s="22"/>
      <c r="J514" s="35"/>
      <c r="K514" s="24"/>
      <c r="N514" s="6"/>
      <c r="O514" s="27"/>
    </row>
    <row r="515" spans="1:15" x14ac:dyDescent="0.25">
      <c r="A515" s="13">
        <f t="shared" si="15"/>
        <v>23</v>
      </c>
      <c r="B515" s="17"/>
      <c r="C515" s="17"/>
      <c r="D515" s="18"/>
      <c r="E515" s="11"/>
      <c r="F515" s="19"/>
      <c r="G515" s="36"/>
      <c r="H515" s="21"/>
      <c r="I515" s="22"/>
      <c r="J515" s="35"/>
      <c r="K515" s="24"/>
      <c r="N515" s="6"/>
      <c r="O515" s="27"/>
    </row>
    <row r="516" spans="1:15" x14ac:dyDescent="0.25">
      <c r="A516" s="13">
        <f t="shared" ref="A516:A579" si="16">IF(B516=B515,A515,A515+1)</f>
        <v>23</v>
      </c>
      <c r="B516" s="17"/>
      <c r="C516" s="17"/>
      <c r="D516" s="18"/>
      <c r="E516" s="11"/>
      <c r="F516" s="19"/>
      <c r="G516" s="36"/>
      <c r="H516" s="21"/>
      <c r="I516" s="22"/>
      <c r="J516" s="35"/>
      <c r="K516" s="24"/>
      <c r="N516" s="6"/>
      <c r="O516" s="27"/>
    </row>
    <row r="517" spans="1:15" x14ac:dyDescent="0.25">
      <c r="A517" s="13">
        <f t="shared" si="16"/>
        <v>23</v>
      </c>
      <c r="B517" s="17"/>
      <c r="C517" s="17"/>
      <c r="D517" s="18"/>
      <c r="E517" s="11"/>
      <c r="F517" s="19"/>
      <c r="G517" s="20"/>
      <c r="H517" s="21"/>
      <c r="I517" s="22"/>
      <c r="J517" s="39"/>
      <c r="K517" s="24"/>
      <c r="N517" s="6"/>
      <c r="O517" s="27"/>
    </row>
    <row r="518" spans="1:15" x14ac:dyDescent="0.25">
      <c r="A518" s="13">
        <f t="shared" si="16"/>
        <v>23</v>
      </c>
      <c r="B518" s="17"/>
      <c r="C518" s="17"/>
      <c r="D518" s="18"/>
      <c r="E518" s="11"/>
      <c r="F518" s="19"/>
      <c r="G518" s="20"/>
      <c r="H518" s="21"/>
      <c r="I518" s="22"/>
      <c r="J518" s="39"/>
      <c r="K518" s="24"/>
      <c r="N518" s="6"/>
      <c r="O518" s="27"/>
    </row>
    <row r="519" spans="1:15" x14ac:dyDescent="0.25">
      <c r="A519" s="13">
        <f t="shared" si="16"/>
        <v>23</v>
      </c>
      <c r="B519" s="17"/>
      <c r="C519" s="17"/>
      <c r="D519" s="18"/>
      <c r="E519" s="11"/>
      <c r="F519" s="19"/>
      <c r="G519" s="20"/>
      <c r="H519" s="21"/>
      <c r="I519" s="22"/>
      <c r="J519" s="39"/>
      <c r="K519" s="24"/>
      <c r="N519" s="6"/>
      <c r="O519" s="27"/>
    </row>
    <row r="520" spans="1:15" x14ac:dyDescent="0.25">
      <c r="A520" s="13">
        <f t="shared" si="16"/>
        <v>23</v>
      </c>
      <c r="B520" s="17"/>
      <c r="C520" s="17"/>
      <c r="D520" s="18"/>
      <c r="E520" s="11"/>
      <c r="F520" s="19"/>
      <c r="G520" s="20"/>
      <c r="H520" s="21"/>
      <c r="I520" s="22"/>
      <c r="J520" s="39"/>
      <c r="K520" s="24"/>
      <c r="N520" s="6"/>
      <c r="O520" s="27"/>
    </row>
    <row r="521" spans="1:15" x14ac:dyDescent="0.25">
      <c r="A521" s="13">
        <f t="shared" si="16"/>
        <v>23</v>
      </c>
      <c r="B521" s="17"/>
      <c r="C521" s="17"/>
      <c r="D521" s="18"/>
      <c r="E521" s="11"/>
      <c r="F521" s="19"/>
      <c r="G521" s="20"/>
      <c r="H521" s="21"/>
      <c r="I521" s="22"/>
      <c r="J521" s="39"/>
      <c r="K521" s="24"/>
      <c r="N521" s="6"/>
      <c r="O521" s="27"/>
    </row>
    <row r="522" spans="1:15" x14ac:dyDescent="0.25">
      <c r="A522" s="13">
        <f t="shared" si="16"/>
        <v>23</v>
      </c>
      <c r="B522" s="17"/>
      <c r="C522" s="17"/>
      <c r="D522" s="18"/>
      <c r="E522" s="11"/>
      <c r="F522" s="19"/>
      <c r="G522" s="20"/>
      <c r="H522" s="21"/>
      <c r="I522" s="22"/>
      <c r="J522" s="39"/>
      <c r="K522" s="24"/>
      <c r="N522" s="6"/>
      <c r="O522" s="27"/>
    </row>
    <row r="523" spans="1:15" x14ac:dyDescent="0.25">
      <c r="A523" s="13">
        <f t="shared" si="16"/>
        <v>23</v>
      </c>
      <c r="B523" s="17"/>
      <c r="C523" s="17"/>
      <c r="D523" s="18"/>
      <c r="E523" s="11"/>
      <c r="F523" s="19"/>
      <c r="G523" s="20"/>
      <c r="H523" s="21"/>
      <c r="I523" s="22"/>
      <c r="J523" s="39"/>
      <c r="K523" s="24"/>
      <c r="N523" s="6"/>
      <c r="O523" s="27"/>
    </row>
    <row r="524" spans="1:15" x14ac:dyDescent="0.25">
      <c r="A524" s="13">
        <f t="shared" si="16"/>
        <v>23</v>
      </c>
      <c r="B524" s="17"/>
      <c r="C524" s="17"/>
      <c r="D524" s="18"/>
      <c r="E524" s="11"/>
      <c r="F524" s="19"/>
      <c r="G524" s="20"/>
      <c r="H524" s="21"/>
      <c r="I524" s="22"/>
      <c r="J524" s="39"/>
      <c r="K524" s="24"/>
      <c r="N524" s="6"/>
      <c r="O524" s="27"/>
    </row>
    <row r="525" spans="1:15" x14ac:dyDescent="0.25">
      <c r="A525" s="13">
        <f t="shared" si="16"/>
        <v>23</v>
      </c>
      <c r="B525" s="17"/>
      <c r="C525" s="17"/>
      <c r="D525" s="18"/>
      <c r="E525" s="11"/>
      <c r="F525" s="19"/>
      <c r="G525" s="20"/>
      <c r="H525" s="21"/>
      <c r="I525" s="22"/>
      <c r="J525" s="39"/>
      <c r="K525" s="24"/>
      <c r="N525" s="6"/>
      <c r="O525" s="27"/>
    </row>
    <row r="526" spans="1:15" x14ac:dyDescent="0.25">
      <c r="A526" s="13">
        <f t="shared" si="16"/>
        <v>23</v>
      </c>
      <c r="B526" s="17"/>
      <c r="C526" s="17"/>
      <c r="D526" s="18"/>
      <c r="E526" s="11"/>
      <c r="F526" s="19"/>
      <c r="G526" s="20"/>
      <c r="H526" s="21"/>
      <c r="I526" s="22"/>
      <c r="J526" s="39"/>
      <c r="K526" s="24"/>
      <c r="N526" s="6"/>
      <c r="O526" s="27"/>
    </row>
    <row r="527" spans="1:15" x14ac:dyDescent="0.25">
      <c r="A527" s="13">
        <f t="shared" si="16"/>
        <v>23</v>
      </c>
      <c r="B527" s="17"/>
      <c r="C527" s="17"/>
      <c r="D527" s="18"/>
      <c r="E527" s="11"/>
      <c r="F527" s="19"/>
      <c r="G527" s="20"/>
      <c r="H527" s="21"/>
      <c r="I527" s="22"/>
      <c r="J527" s="39"/>
      <c r="K527" s="24"/>
      <c r="N527" s="6"/>
      <c r="O527" s="27"/>
    </row>
    <row r="528" spans="1:15" x14ac:dyDescent="0.25">
      <c r="A528" s="13">
        <f t="shared" si="16"/>
        <v>23</v>
      </c>
      <c r="B528" s="17"/>
      <c r="C528" s="17"/>
      <c r="D528" s="18"/>
      <c r="E528" s="11"/>
      <c r="F528" s="19"/>
      <c r="G528" s="20"/>
      <c r="H528" s="21"/>
      <c r="I528" s="22"/>
      <c r="J528" s="39"/>
      <c r="K528" s="24"/>
      <c r="N528" s="6"/>
      <c r="O528" s="27"/>
    </row>
    <row r="529" spans="1:15" x14ac:dyDescent="0.25">
      <c r="A529" s="13">
        <f t="shared" si="16"/>
        <v>23</v>
      </c>
      <c r="B529" s="17"/>
      <c r="C529" s="17"/>
      <c r="D529" s="18"/>
      <c r="E529" s="11"/>
      <c r="F529" s="19"/>
      <c r="G529" s="20"/>
      <c r="H529" s="21"/>
      <c r="I529" s="22"/>
      <c r="J529" s="39"/>
      <c r="K529" s="24"/>
      <c r="N529" s="6"/>
      <c r="O529" s="27"/>
    </row>
    <row r="530" spans="1:15" x14ac:dyDescent="0.25">
      <c r="A530" s="13">
        <f t="shared" si="16"/>
        <v>23</v>
      </c>
      <c r="B530" s="17"/>
      <c r="C530" s="17"/>
      <c r="D530" s="18"/>
      <c r="E530" s="11"/>
      <c r="F530" s="19"/>
      <c r="G530" s="20"/>
      <c r="H530" s="21"/>
      <c r="I530" s="22"/>
      <c r="J530" s="39"/>
      <c r="K530" s="24"/>
      <c r="N530" s="6"/>
      <c r="O530" s="27"/>
    </row>
    <row r="531" spans="1:15" x14ac:dyDescent="0.25">
      <c r="A531" s="13">
        <f t="shared" si="16"/>
        <v>23</v>
      </c>
      <c r="B531" s="17"/>
      <c r="C531" s="17"/>
      <c r="D531" s="18"/>
      <c r="E531" s="11"/>
      <c r="F531" s="19"/>
      <c r="G531" s="20"/>
      <c r="H531" s="21"/>
      <c r="I531" s="22"/>
      <c r="J531" s="39"/>
      <c r="K531" s="24"/>
      <c r="N531" s="6"/>
      <c r="O531" s="27"/>
    </row>
    <row r="532" spans="1:15" x14ac:dyDescent="0.25">
      <c r="A532" s="13">
        <f t="shared" si="16"/>
        <v>23</v>
      </c>
      <c r="B532" s="17"/>
      <c r="C532" s="17"/>
      <c r="D532" s="18"/>
      <c r="E532" s="11"/>
      <c r="F532" s="19"/>
      <c r="G532" s="20"/>
      <c r="H532" s="21"/>
      <c r="I532" s="22"/>
      <c r="J532" s="39"/>
      <c r="K532" s="24"/>
      <c r="N532" s="6"/>
      <c r="O532" s="27"/>
    </row>
    <row r="533" spans="1:15" x14ac:dyDescent="0.25">
      <c r="A533" s="13">
        <f t="shared" si="16"/>
        <v>23</v>
      </c>
      <c r="B533" s="17"/>
      <c r="C533" s="17"/>
      <c r="D533" s="18"/>
      <c r="E533" s="11"/>
      <c r="F533" s="19"/>
      <c r="G533" s="36"/>
      <c r="H533" s="21"/>
      <c r="I533" s="22"/>
      <c r="J533" s="35"/>
      <c r="K533" s="24"/>
      <c r="N533" s="6"/>
      <c r="O533" s="27"/>
    </row>
    <row r="534" spans="1:15" x14ac:dyDescent="0.25">
      <c r="A534" s="13">
        <f t="shared" si="16"/>
        <v>23</v>
      </c>
      <c r="B534" s="17"/>
      <c r="C534" s="17"/>
      <c r="D534" s="18"/>
      <c r="E534" s="11"/>
      <c r="F534" s="19"/>
      <c r="G534" s="36"/>
      <c r="H534" s="21"/>
      <c r="I534" s="22"/>
      <c r="J534" s="35"/>
      <c r="K534" s="24"/>
      <c r="N534" s="6"/>
      <c r="O534" s="27"/>
    </row>
    <row r="535" spans="1:15" x14ac:dyDescent="0.25">
      <c r="A535" s="13">
        <f t="shared" si="16"/>
        <v>23</v>
      </c>
      <c r="B535" s="17"/>
      <c r="C535" s="17"/>
      <c r="D535" s="18"/>
      <c r="E535" s="11"/>
      <c r="F535" s="19"/>
      <c r="G535" s="36"/>
      <c r="H535" s="21"/>
      <c r="I535" s="22"/>
      <c r="J535" s="35"/>
      <c r="K535" s="24"/>
      <c r="N535" s="6"/>
      <c r="O535" s="27"/>
    </row>
    <row r="536" spans="1:15" x14ac:dyDescent="0.25">
      <c r="A536" s="13">
        <f t="shared" si="16"/>
        <v>23</v>
      </c>
      <c r="B536" s="17"/>
      <c r="C536" s="17"/>
      <c r="D536" s="18"/>
      <c r="E536" s="11"/>
      <c r="F536" s="19"/>
      <c r="G536" s="36"/>
      <c r="H536" s="21"/>
      <c r="I536" s="22"/>
      <c r="J536" s="35"/>
      <c r="K536" s="24"/>
      <c r="N536" s="6"/>
      <c r="O536" s="27"/>
    </row>
    <row r="537" spans="1:15" x14ac:dyDescent="0.25">
      <c r="A537" s="13">
        <f t="shared" si="16"/>
        <v>23</v>
      </c>
      <c r="B537" s="17"/>
      <c r="C537" s="17"/>
      <c r="D537" s="18"/>
      <c r="E537" s="11"/>
      <c r="F537" s="19"/>
      <c r="G537" s="36"/>
      <c r="H537" s="21"/>
      <c r="I537" s="22"/>
      <c r="J537" s="35"/>
      <c r="K537" s="24"/>
      <c r="N537" s="6"/>
      <c r="O537" s="27"/>
    </row>
    <row r="538" spans="1:15" x14ac:dyDescent="0.25">
      <c r="A538" s="13">
        <f t="shared" si="16"/>
        <v>23</v>
      </c>
      <c r="B538" s="17"/>
      <c r="C538" s="17"/>
      <c r="D538" s="18"/>
      <c r="E538" s="11"/>
      <c r="F538" s="19"/>
      <c r="G538" s="36"/>
      <c r="H538" s="21"/>
      <c r="I538" s="22"/>
      <c r="J538" s="35"/>
      <c r="K538" s="24"/>
      <c r="N538" s="6"/>
      <c r="O538" s="27"/>
    </row>
    <row r="539" spans="1:15" x14ac:dyDescent="0.25">
      <c r="A539" s="13">
        <f t="shared" si="16"/>
        <v>23</v>
      </c>
      <c r="B539" s="17"/>
      <c r="C539" s="17"/>
      <c r="D539" s="18"/>
      <c r="E539" s="11"/>
      <c r="F539" s="19"/>
      <c r="G539" s="36"/>
      <c r="H539" s="21"/>
      <c r="I539" s="22"/>
      <c r="J539" s="35"/>
      <c r="K539" s="24"/>
      <c r="N539" s="6"/>
      <c r="O539" s="27"/>
    </row>
    <row r="540" spans="1:15" x14ac:dyDescent="0.25">
      <c r="A540" s="13">
        <f t="shared" si="16"/>
        <v>23</v>
      </c>
      <c r="B540" s="17"/>
      <c r="C540" s="17"/>
      <c r="D540" s="18"/>
      <c r="E540" s="11"/>
      <c r="F540" s="19"/>
      <c r="G540" s="36"/>
      <c r="H540" s="21"/>
      <c r="I540" s="22"/>
      <c r="J540" s="35"/>
      <c r="K540" s="24"/>
      <c r="N540" s="6"/>
      <c r="O540" s="27"/>
    </row>
    <row r="541" spans="1:15" x14ac:dyDescent="0.25">
      <c r="A541" s="13">
        <f t="shared" si="16"/>
        <v>23</v>
      </c>
      <c r="B541" s="17"/>
      <c r="C541" s="17"/>
      <c r="D541" s="18"/>
      <c r="E541" s="11"/>
      <c r="F541" s="19"/>
      <c r="G541" s="36"/>
      <c r="H541" s="21"/>
      <c r="I541" s="22"/>
      <c r="J541" s="35"/>
      <c r="K541" s="24"/>
      <c r="N541" s="6"/>
      <c r="O541" s="27"/>
    </row>
    <row r="542" spans="1:15" x14ac:dyDescent="0.25">
      <c r="A542" s="13">
        <f t="shared" si="16"/>
        <v>23</v>
      </c>
      <c r="B542" s="17"/>
      <c r="C542" s="17"/>
      <c r="D542" s="18"/>
      <c r="E542" s="11"/>
      <c r="F542" s="19"/>
      <c r="G542" s="36"/>
      <c r="H542" s="21"/>
      <c r="I542" s="22"/>
      <c r="J542" s="35"/>
      <c r="K542" s="24"/>
      <c r="N542" s="6"/>
      <c r="O542" s="27"/>
    </row>
    <row r="543" spans="1:15" x14ac:dyDescent="0.25">
      <c r="A543" s="13">
        <f t="shared" si="16"/>
        <v>23</v>
      </c>
      <c r="B543" s="17"/>
      <c r="C543" s="17"/>
      <c r="D543" s="18"/>
      <c r="E543" s="11"/>
      <c r="F543" s="19"/>
      <c r="G543" s="36"/>
      <c r="H543" s="21"/>
      <c r="I543" s="22"/>
      <c r="J543" s="35"/>
      <c r="K543" s="24"/>
      <c r="N543" s="6"/>
      <c r="O543" s="27"/>
    </row>
    <row r="544" spans="1:15" x14ac:dyDescent="0.25">
      <c r="A544" s="13">
        <f t="shared" si="16"/>
        <v>23</v>
      </c>
      <c r="B544" s="17"/>
      <c r="C544" s="17"/>
      <c r="D544" s="18"/>
      <c r="E544" s="11"/>
      <c r="F544" s="19"/>
      <c r="G544" s="36"/>
      <c r="H544" s="21"/>
      <c r="I544" s="22"/>
      <c r="J544" s="35"/>
      <c r="K544" s="24"/>
      <c r="N544" s="6"/>
      <c r="O544" s="27"/>
    </row>
    <row r="545" spans="1:15" x14ac:dyDescent="0.25">
      <c r="A545" s="13">
        <f t="shared" si="16"/>
        <v>23</v>
      </c>
      <c r="B545" s="17"/>
      <c r="C545" s="17"/>
      <c r="D545" s="18"/>
      <c r="E545" s="11"/>
      <c r="F545" s="19"/>
      <c r="G545" s="36"/>
      <c r="H545" s="21"/>
      <c r="I545" s="22"/>
      <c r="J545" s="35"/>
      <c r="K545" s="24"/>
      <c r="N545" s="6"/>
      <c r="O545" s="27"/>
    </row>
    <row r="546" spans="1:15" x14ac:dyDescent="0.25">
      <c r="A546" s="13">
        <f t="shared" si="16"/>
        <v>23</v>
      </c>
      <c r="B546" s="17"/>
      <c r="C546" s="17"/>
      <c r="D546" s="18"/>
      <c r="E546" s="11"/>
      <c r="F546" s="19"/>
      <c r="G546" s="36"/>
      <c r="H546" s="21"/>
      <c r="I546" s="22"/>
      <c r="J546" s="35"/>
      <c r="K546" s="24"/>
      <c r="N546" s="6"/>
      <c r="O546" s="27"/>
    </row>
    <row r="547" spans="1:15" x14ac:dyDescent="0.25">
      <c r="A547" s="13">
        <f t="shared" si="16"/>
        <v>23</v>
      </c>
      <c r="B547" s="17"/>
      <c r="C547" s="17"/>
      <c r="D547" s="18"/>
      <c r="E547" s="11"/>
      <c r="F547" s="19"/>
      <c r="G547" s="36"/>
      <c r="H547" s="21"/>
      <c r="I547" s="22"/>
      <c r="J547" s="35"/>
      <c r="K547" s="24"/>
      <c r="N547" s="6"/>
      <c r="O547" s="27"/>
    </row>
    <row r="548" spans="1:15" x14ac:dyDescent="0.25">
      <c r="A548" s="13">
        <f t="shared" si="16"/>
        <v>23</v>
      </c>
      <c r="B548" s="17"/>
      <c r="C548" s="17"/>
      <c r="D548" s="18"/>
      <c r="E548" s="11"/>
      <c r="F548" s="19"/>
      <c r="G548" s="36"/>
      <c r="H548" s="21"/>
      <c r="I548" s="22"/>
      <c r="J548" s="35"/>
      <c r="K548" s="24"/>
      <c r="N548" s="6"/>
      <c r="O548" s="27"/>
    </row>
    <row r="549" spans="1:15" x14ac:dyDescent="0.25">
      <c r="A549" s="13">
        <f t="shared" si="16"/>
        <v>23</v>
      </c>
      <c r="B549" s="17"/>
      <c r="C549" s="17"/>
      <c r="D549" s="18"/>
      <c r="E549" s="11"/>
      <c r="F549" s="19"/>
      <c r="G549" s="36"/>
      <c r="H549" s="21"/>
      <c r="I549" s="22"/>
      <c r="J549" s="35"/>
      <c r="K549" s="24"/>
      <c r="N549" s="6"/>
      <c r="O549" s="27"/>
    </row>
    <row r="550" spans="1:15" x14ac:dyDescent="0.25">
      <c r="A550" s="13">
        <f t="shared" si="16"/>
        <v>23</v>
      </c>
      <c r="B550" s="17"/>
      <c r="C550" s="17"/>
      <c r="D550" s="18"/>
      <c r="E550" s="11"/>
      <c r="F550" s="19"/>
      <c r="G550" s="36"/>
      <c r="H550" s="21"/>
      <c r="I550" s="22"/>
      <c r="J550" s="35"/>
      <c r="K550" s="24"/>
      <c r="N550" s="6"/>
      <c r="O550" s="27"/>
    </row>
    <row r="551" spans="1:15" x14ac:dyDescent="0.25">
      <c r="A551" s="13">
        <f t="shared" si="16"/>
        <v>23</v>
      </c>
      <c r="B551" s="17"/>
      <c r="C551" s="17"/>
      <c r="D551" s="18"/>
      <c r="E551" s="11"/>
      <c r="F551" s="19"/>
      <c r="G551" s="36"/>
      <c r="H551" s="21"/>
      <c r="I551" s="22"/>
      <c r="J551" s="35"/>
      <c r="K551" s="24"/>
      <c r="N551" s="6"/>
      <c r="O551" s="27"/>
    </row>
    <row r="552" spans="1:15" x14ac:dyDescent="0.25">
      <c r="A552" s="13">
        <f t="shared" si="16"/>
        <v>23</v>
      </c>
      <c r="B552" s="17"/>
      <c r="C552" s="17"/>
      <c r="D552" s="18"/>
      <c r="E552" s="11"/>
      <c r="F552" s="19"/>
      <c r="G552" s="36"/>
      <c r="H552" s="21"/>
      <c r="I552" s="22"/>
      <c r="J552" s="35"/>
      <c r="K552" s="24"/>
      <c r="N552" s="6"/>
      <c r="O552" s="27"/>
    </row>
    <row r="553" spans="1:15" x14ac:dyDescent="0.25">
      <c r="A553" s="13">
        <f t="shared" si="16"/>
        <v>23</v>
      </c>
      <c r="B553" s="17"/>
      <c r="C553" s="17"/>
      <c r="D553" s="18"/>
      <c r="E553" s="11"/>
      <c r="F553" s="19"/>
      <c r="G553" s="36"/>
      <c r="H553" s="21"/>
      <c r="I553" s="22"/>
      <c r="J553" s="35"/>
      <c r="K553" s="24"/>
      <c r="N553" s="6"/>
      <c r="O553" s="27"/>
    </row>
    <row r="554" spans="1:15" x14ac:dyDescent="0.25">
      <c r="A554" s="13">
        <f t="shared" si="16"/>
        <v>23</v>
      </c>
      <c r="B554" s="17"/>
      <c r="C554" s="17"/>
      <c r="D554" s="18"/>
      <c r="E554" s="11"/>
      <c r="F554" s="19"/>
      <c r="G554" s="36"/>
      <c r="H554" s="21"/>
      <c r="I554" s="22"/>
      <c r="J554" s="35"/>
      <c r="K554" s="24"/>
      <c r="N554" s="6"/>
      <c r="O554" s="27"/>
    </row>
    <row r="555" spans="1:15" x14ac:dyDescent="0.25">
      <c r="A555" s="13">
        <f t="shared" si="16"/>
        <v>23</v>
      </c>
      <c r="B555" s="17"/>
      <c r="C555" s="17"/>
      <c r="D555" s="18"/>
      <c r="E555" s="11"/>
      <c r="F555" s="19"/>
      <c r="G555" s="36"/>
      <c r="H555" s="21"/>
      <c r="I555" s="22"/>
      <c r="J555" s="35"/>
      <c r="K555" s="24"/>
      <c r="N555" s="6"/>
      <c r="O555" s="27"/>
    </row>
    <row r="556" spans="1:15" x14ac:dyDescent="0.25">
      <c r="A556" s="13">
        <f t="shared" si="16"/>
        <v>23</v>
      </c>
      <c r="B556" s="17"/>
      <c r="C556" s="17"/>
      <c r="D556" s="18"/>
      <c r="E556" s="11"/>
      <c r="F556" s="19"/>
      <c r="G556" s="36"/>
      <c r="H556" s="21"/>
      <c r="I556" s="22"/>
      <c r="J556" s="35"/>
      <c r="K556" s="24"/>
      <c r="N556" s="6"/>
      <c r="O556" s="27"/>
    </row>
    <row r="557" spans="1:15" x14ac:dyDescent="0.25">
      <c r="A557" s="13">
        <f t="shared" si="16"/>
        <v>23</v>
      </c>
      <c r="B557" s="17"/>
      <c r="C557" s="17"/>
      <c r="D557" s="18"/>
      <c r="E557" s="11"/>
      <c r="F557" s="19"/>
      <c r="G557" s="20"/>
      <c r="H557" s="21"/>
      <c r="I557" s="22"/>
      <c r="J557" s="39"/>
      <c r="K557" s="24"/>
      <c r="N557" s="6"/>
      <c r="O557" s="27"/>
    </row>
    <row r="558" spans="1:15" x14ac:dyDescent="0.25">
      <c r="A558" s="13">
        <f t="shared" si="16"/>
        <v>23</v>
      </c>
      <c r="B558" s="17"/>
      <c r="C558" s="17"/>
      <c r="D558" s="18"/>
      <c r="E558" s="11"/>
      <c r="F558" s="19"/>
      <c r="G558" s="20"/>
      <c r="H558" s="21"/>
      <c r="I558" s="22"/>
      <c r="J558" s="39"/>
      <c r="K558" s="24"/>
      <c r="N558" s="6"/>
      <c r="O558" s="27"/>
    </row>
    <row r="559" spans="1:15" x14ac:dyDescent="0.25">
      <c r="A559" s="13">
        <f t="shared" si="16"/>
        <v>23</v>
      </c>
      <c r="B559" s="17"/>
      <c r="C559" s="17"/>
      <c r="D559" s="18"/>
      <c r="E559" s="11"/>
      <c r="F559" s="19"/>
      <c r="G559" s="20"/>
      <c r="H559" s="21"/>
      <c r="I559" s="22"/>
      <c r="J559" s="39"/>
      <c r="K559" s="24"/>
      <c r="N559" s="6"/>
      <c r="O559" s="27"/>
    </row>
    <row r="560" spans="1:15" x14ac:dyDescent="0.25">
      <c r="A560" s="13">
        <f t="shared" si="16"/>
        <v>23</v>
      </c>
      <c r="B560" s="17"/>
      <c r="C560" s="17"/>
      <c r="D560" s="18"/>
      <c r="E560" s="11"/>
      <c r="F560" s="19"/>
      <c r="G560" s="20"/>
      <c r="H560" s="21"/>
      <c r="I560" s="22"/>
      <c r="J560" s="39"/>
      <c r="K560" s="24"/>
      <c r="N560" s="6"/>
      <c r="O560" s="27"/>
    </row>
    <row r="561" spans="1:15" x14ac:dyDescent="0.25">
      <c r="A561" s="13">
        <f t="shared" si="16"/>
        <v>23</v>
      </c>
      <c r="B561" s="17"/>
      <c r="C561" s="17"/>
      <c r="D561" s="18"/>
      <c r="E561" s="11"/>
      <c r="F561" s="19"/>
      <c r="G561" s="20"/>
      <c r="H561" s="21"/>
      <c r="I561" s="22"/>
      <c r="J561" s="39"/>
      <c r="K561" s="24"/>
      <c r="N561" s="6"/>
      <c r="O561" s="27"/>
    </row>
    <row r="562" spans="1:15" x14ac:dyDescent="0.25">
      <c r="A562" s="13">
        <f t="shared" si="16"/>
        <v>23</v>
      </c>
      <c r="B562" s="17"/>
      <c r="C562" s="17"/>
      <c r="D562" s="18"/>
      <c r="E562" s="11"/>
      <c r="F562" s="19"/>
      <c r="G562" s="20"/>
      <c r="H562" s="21"/>
      <c r="I562" s="22"/>
      <c r="J562" s="39"/>
      <c r="K562" s="24"/>
      <c r="N562" s="6"/>
      <c r="O562" s="27"/>
    </row>
    <row r="563" spans="1:15" x14ac:dyDescent="0.25">
      <c r="A563" s="13">
        <f t="shared" si="16"/>
        <v>23</v>
      </c>
      <c r="B563" s="17"/>
      <c r="C563" s="17"/>
      <c r="D563" s="18"/>
      <c r="E563" s="11"/>
      <c r="F563" s="19"/>
      <c r="G563" s="20"/>
      <c r="H563" s="21"/>
      <c r="I563" s="22"/>
      <c r="J563" s="39"/>
      <c r="K563" s="24"/>
      <c r="N563" s="6"/>
      <c r="O563" s="27"/>
    </row>
    <row r="564" spans="1:15" x14ac:dyDescent="0.25">
      <c r="A564" s="13">
        <f t="shared" si="16"/>
        <v>23</v>
      </c>
      <c r="B564" s="17"/>
      <c r="C564" s="17"/>
      <c r="D564" s="18"/>
      <c r="E564" s="11"/>
      <c r="F564" s="19"/>
      <c r="G564" s="20"/>
      <c r="H564" s="21"/>
      <c r="I564" s="22"/>
      <c r="J564" s="39"/>
      <c r="K564" s="24"/>
      <c r="N564" s="6"/>
      <c r="O564" s="27"/>
    </row>
    <row r="565" spans="1:15" x14ac:dyDescent="0.25">
      <c r="A565" s="13">
        <f t="shared" si="16"/>
        <v>23</v>
      </c>
      <c r="B565" s="17"/>
      <c r="C565" s="17"/>
      <c r="D565" s="18"/>
      <c r="E565" s="11"/>
      <c r="F565" s="19"/>
      <c r="G565" s="20"/>
      <c r="H565" s="21"/>
      <c r="I565" s="22"/>
      <c r="J565" s="39"/>
      <c r="K565" s="24"/>
      <c r="N565" s="6"/>
      <c r="O565" s="27"/>
    </row>
    <row r="566" spans="1:15" x14ac:dyDescent="0.25">
      <c r="A566" s="13">
        <f t="shared" si="16"/>
        <v>23</v>
      </c>
      <c r="B566" s="17"/>
      <c r="C566" s="17"/>
      <c r="D566" s="18"/>
      <c r="E566" s="11"/>
      <c r="F566" s="19"/>
      <c r="G566" s="20"/>
      <c r="H566" s="21"/>
      <c r="I566" s="22"/>
      <c r="J566" s="39"/>
      <c r="K566" s="24"/>
      <c r="N566" s="6"/>
      <c r="O566" s="27"/>
    </row>
    <row r="567" spans="1:15" x14ac:dyDescent="0.25">
      <c r="A567" s="13">
        <f t="shared" si="16"/>
        <v>23</v>
      </c>
      <c r="B567" s="17"/>
      <c r="C567" s="17"/>
      <c r="D567" s="18"/>
      <c r="E567" s="11"/>
      <c r="F567" s="19"/>
      <c r="G567" s="20"/>
      <c r="H567" s="21"/>
      <c r="I567" s="22"/>
      <c r="J567" s="39"/>
      <c r="K567" s="24"/>
      <c r="N567" s="6"/>
      <c r="O567" s="27"/>
    </row>
    <row r="568" spans="1:15" x14ac:dyDescent="0.25">
      <c r="A568" s="13">
        <f t="shared" si="16"/>
        <v>23</v>
      </c>
      <c r="B568" s="17"/>
      <c r="C568" s="17"/>
      <c r="D568" s="18"/>
      <c r="E568" s="11"/>
      <c r="F568" s="19"/>
      <c r="G568" s="20"/>
      <c r="H568" s="21"/>
      <c r="I568" s="22"/>
      <c r="J568" s="39"/>
      <c r="K568" s="24"/>
      <c r="N568" s="6"/>
      <c r="O568" s="27"/>
    </row>
    <row r="569" spans="1:15" x14ac:dyDescent="0.25">
      <c r="A569" s="13">
        <f t="shared" si="16"/>
        <v>23</v>
      </c>
      <c r="B569" s="17"/>
      <c r="C569" s="17"/>
      <c r="D569" s="18"/>
      <c r="E569" s="11"/>
      <c r="F569" s="19"/>
      <c r="G569" s="20"/>
      <c r="H569" s="21"/>
      <c r="I569" s="22"/>
      <c r="J569" s="39"/>
      <c r="K569" s="24"/>
      <c r="N569" s="6"/>
      <c r="O569" s="27"/>
    </row>
    <row r="570" spans="1:15" x14ac:dyDescent="0.25">
      <c r="A570" s="13">
        <f t="shared" si="16"/>
        <v>23</v>
      </c>
      <c r="B570" s="17"/>
      <c r="C570" s="17"/>
      <c r="D570" s="18"/>
      <c r="E570" s="11"/>
      <c r="F570" s="19"/>
      <c r="G570" s="20"/>
      <c r="H570" s="21"/>
      <c r="I570" s="22"/>
      <c r="J570" s="39"/>
      <c r="K570" s="24"/>
      <c r="N570" s="6"/>
      <c r="O570" s="27"/>
    </row>
    <row r="571" spans="1:15" x14ac:dyDescent="0.25">
      <c r="A571" s="13">
        <f t="shared" si="16"/>
        <v>23</v>
      </c>
      <c r="B571" s="17"/>
      <c r="C571" s="17"/>
      <c r="D571" s="18"/>
      <c r="E571" s="11"/>
      <c r="F571" s="19"/>
      <c r="G571" s="20"/>
      <c r="H571" s="21"/>
      <c r="I571" s="22"/>
      <c r="J571" s="39"/>
      <c r="K571" s="24"/>
      <c r="N571" s="6"/>
      <c r="O571" s="27"/>
    </row>
    <row r="572" spans="1:15" x14ac:dyDescent="0.25">
      <c r="A572" s="13">
        <f t="shared" si="16"/>
        <v>23</v>
      </c>
      <c r="B572" s="17"/>
      <c r="C572" s="17"/>
      <c r="D572" s="18"/>
      <c r="E572" s="11"/>
      <c r="F572" s="19"/>
      <c r="G572" s="20"/>
      <c r="H572" s="21"/>
      <c r="I572" s="22"/>
      <c r="J572" s="39"/>
      <c r="K572" s="24"/>
      <c r="N572" s="6"/>
      <c r="O572" s="27"/>
    </row>
    <row r="573" spans="1:15" x14ac:dyDescent="0.25">
      <c r="A573" s="13">
        <f t="shared" si="16"/>
        <v>23</v>
      </c>
      <c r="B573" s="17"/>
      <c r="C573" s="17"/>
      <c r="D573" s="18"/>
      <c r="E573" s="11"/>
      <c r="F573" s="19"/>
      <c r="G573" s="20"/>
      <c r="H573" s="21"/>
      <c r="I573" s="22"/>
      <c r="J573" s="39"/>
      <c r="K573" s="24"/>
      <c r="N573" s="6"/>
      <c r="O573" s="27"/>
    </row>
    <row r="574" spans="1:15" x14ac:dyDescent="0.25">
      <c r="A574" s="13">
        <f t="shared" si="16"/>
        <v>23</v>
      </c>
      <c r="B574" s="17"/>
      <c r="C574" s="17"/>
      <c r="D574" s="18"/>
      <c r="E574" s="11"/>
      <c r="F574" s="19"/>
      <c r="G574" s="20"/>
      <c r="H574" s="21"/>
      <c r="I574" s="22"/>
      <c r="J574" s="39"/>
      <c r="K574" s="24"/>
      <c r="N574" s="6"/>
      <c r="O574" s="27"/>
    </row>
    <row r="575" spans="1:15" x14ac:dyDescent="0.25">
      <c r="A575" s="13">
        <f t="shared" si="16"/>
        <v>23</v>
      </c>
      <c r="B575" s="17"/>
      <c r="C575" s="17"/>
      <c r="D575" s="18"/>
      <c r="E575" s="11"/>
      <c r="F575" s="19"/>
      <c r="G575" s="20"/>
      <c r="H575" s="21"/>
      <c r="I575" s="22"/>
      <c r="J575" s="39"/>
      <c r="K575" s="24"/>
      <c r="N575" s="6"/>
      <c r="O575" s="27"/>
    </row>
    <row r="576" spans="1:15" x14ac:dyDescent="0.25">
      <c r="A576" s="13">
        <f t="shared" si="16"/>
        <v>23</v>
      </c>
      <c r="B576" s="17"/>
      <c r="C576" s="17"/>
      <c r="D576" s="18"/>
      <c r="E576" s="11"/>
      <c r="F576" s="19"/>
      <c r="G576" s="20"/>
      <c r="H576" s="21"/>
      <c r="I576" s="22"/>
      <c r="J576" s="39"/>
      <c r="K576" s="24"/>
      <c r="N576" s="6"/>
      <c r="O576" s="27"/>
    </row>
    <row r="577" spans="1:15" x14ac:dyDescent="0.25">
      <c r="A577" s="13">
        <f t="shared" si="16"/>
        <v>23</v>
      </c>
      <c r="B577" s="17"/>
      <c r="C577" s="17"/>
      <c r="D577" s="18"/>
      <c r="E577" s="11"/>
      <c r="F577" s="19"/>
      <c r="G577" s="20"/>
      <c r="H577" s="21"/>
      <c r="I577" s="22"/>
      <c r="J577" s="23"/>
      <c r="K577" s="24"/>
      <c r="N577" s="6"/>
      <c r="O577" s="27"/>
    </row>
    <row r="578" spans="1:15" x14ac:dyDescent="0.25">
      <c r="A578" s="13">
        <f t="shared" si="16"/>
        <v>23</v>
      </c>
      <c r="B578" s="17"/>
      <c r="C578" s="17"/>
      <c r="D578" s="18"/>
      <c r="E578" s="11"/>
      <c r="F578" s="19"/>
      <c r="G578" s="20"/>
      <c r="H578" s="21"/>
      <c r="I578" s="22"/>
      <c r="J578" s="23"/>
      <c r="K578" s="24"/>
      <c r="N578" s="6"/>
      <c r="O578" s="27"/>
    </row>
    <row r="579" spans="1:15" x14ac:dyDescent="0.25">
      <c r="A579" s="13">
        <f t="shared" si="16"/>
        <v>23</v>
      </c>
      <c r="B579" s="17"/>
      <c r="C579" s="17"/>
      <c r="D579" s="18"/>
      <c r="E579" s="11"/>
      <c r="F579" s="19"/>
      <c r="G579" s="20"/>
      <c r="H579" s="21"/>
      <c r="I579" s="22"/>
      <c r="J579" s="23"/>
      <c r="K579" s="24"/>
      <c r="N579" s="6"/>
      <c r="O579" s="27"/>
    </row>
    <row r="580" spans="1:15" x14ac:dyDescent="0.25">
      <c r="A580" s="13">
        <f t="shared" ref="A580:A643" si="17">IF(B580=B579,A579,A579+1)</f>
        <v>23</v>
      </c>
      <c r="B580" s="17"/>
      <c r="C580" s="17"/>
      <c r="D580" s="18"/>
      <c r="E580" s="11"/>
      <c r="F580" s="19"/>
      <c r="G580" s="20"/>
      <c r="H580" s="21"/>
      <c r="I580" s="22"/>
      <c r="J580" s="23"/>
      <c r="K580" s="24"/>
      <c r="N580" s="6"/>
      <c r="O580" s="27"/>
    </row>
    <row r="581" spans="1:15" x14ac:dyDescent="0.25">
      <c r="A581" s="13">
        <f t="shared" si="17"/>
        <v>23</v>
      </c>
      <c r="B581" s="17"/>
      <c r="C581" s="17"/>
      <c r="D581" s="18"/>
      <c r="E581" s="11"/>
      <c r="F581" s="19"/>
      <c r="G581" s="36"/>
      <c r="H581" s="21"/>
      <c r="I581" s="22"/>
      <c r="J581" s="35"/>
      <c r="K581" s="24"/>
      <c r="N581" s="6"/>
      <c r="O581" s="27"/>
    </row>
    <row r="582" spans="1:15" x14ac:dyDescent="0.25">
      <c r="A582" s="13">
        <f t="shared" si="17"/>
        <v>23</v>
      </c>
      <c r="B582" s="17"/>
      <c r="C582" s="17"/>
      <c r="D582" s="18"/>
      <c r="E582" s="11"/>
      <c r="F582" s="19"/>
      <c r="G582" s="36"/>
      <c r="H582" s="21"/>
      <c r="I582" s="22"/>
      <c r="J582" s="35"/>
      <c r="K582" s="24"/>
      <c r="N582" s="6"/>
      <c r="O582" s="27"/>
    </row>
    <row r="583" spans="1:15" x14ac:dyDescent="0.25">
      <c r="A583" s="13">
        <f t="shared" si="17"/>
        <v>23</v>
      </c>
      <c r="B583" s="17"/>
      <c r="C583" s="17"/>
      <c r="D583" s="18"/>
      <c r="E583" s="11"/>
      <c r="F583" s="19"/>
      <c r="G583" s="36"/>
      <c r="H583" s="21"/>
      <c r="I583" s="22"/>
      <c r="J583" s="35"/>
      <c r="K583" s="24"/>
      <c r="N583" s="6"/>
      <c r="O583" s="27"/>
    </row>
    <row r="584" spans="1:15" x14ac:dyDescent="0.25">
      <c r="A584" s="13">
        <f t="shared" si="17"/>
        <v>23</v>
      </c>
      <c r="B584" s="17"/>
      <c r="C584" s="17"/>
      <c r="D584" s="18"/>
      <c r="E584" s="11"/>
      <c r="F584" s="19"/>
      <c r="G584" s="36"/>
      <c r="H584" s="21"/>
      <c r="I584" s="22"/>
      <c r="J584" s="35"/>
      <c r="K584" s="24"/>
      <c r="N584" s="6"/>
      <c r="O584" s="27"/>
    </row>
    <row r="585" spans="1:15" x14ac:dyDescent="0.25">
      <c r="A585" s="13">
        <f t="shared" si="17"/>
        <v>23</v>
      </c>
      <c r="B585" s="17"/>
      <c r="C585" s="17"/>
      <c r="D585" s="18"/>
      <c r="E585" s="11"/>
      <c r="F585" s="19"/>
      <c r="G585" s="36"/>
      <c r="H585" s="21"/>
      <c r="I585" s="22"/>
      <c r="J585" s="35"/>
      <c r="K585" s="24"/>
      <c r="N585" s="6"/>
      <c r="O585" s="27"/>
    </row>
    <row r="586" spans="1:15" x14ac:dyDescent="0.25">
      <c r="A586" s="13">
        <f t="shared" si="17"/>
        <v>23</v>
      </c>
      <c r="B586" s="17"/>
      <c r="C586" s="17"/>
      <c r="D586" s="18"/>
      <c r="E586" s="11"/>
      <c r="F586" s="19"/>
      <c r="G586" s="36"/>
      <c r="H586" s="21"/>
      <c r="I586" s="22"/>
      <c r="J586" s="35"/>
      <c r="K586" s="24"/>
      <c r="N586" s="6"/>
      <c r="O586" s="27"/>
    </row>
    <row r="587" spans="1:15" x14ac:dyDescent="0.25">
      <c r="A587" s="13">
        <f t="shared" si="17"/>
        <v>23</v>
      </c>
      <c r="B587" s="17"/>
      <c r="C587" s="17"/>
      <c r="D587" s="40"/>
      <c r="E587" s="41"/>
      <c r="F587" s="19"/>
      <c r="G587" s="36"/>
      <c r="H587" s="21"/>
      <c r="I587" s="22"/>
      <c r="J587" s="35"/>
      <c r="K587" s="24"/>
      <c r="N587" s="6"/>
      <c r="O587" s="27"/>
    </row>
    <row r="588" spans="1:15" x14ac:dyDescent="0.25">
      <c r="A588" s="13">
        <f t="shared" si="17"/>
        <v>23</v>
      </c>
      <c r="B588" s="17"/>
      <c r="C588" s="17"/>
      <c r="D588" s="18"/>
      <c r="E588" s="11"/>
      <c r="F588" s="19"/>
      <c r="G588" s="20"/>
      <c r="H588" s="21"/>
      <c r="I588" s="22"/>
      <c r="J588" s="39"/>
      <c r="K588" s="24"/>
      <c r="N588" s="6"/>
      <c r="O588" s="27"/>
    </row>
    <row r="589" spans="1:15" x14ac:dyDescent="0.25">
      <c r="A589" s="13">
        <f t="shared" si="17"/>
        <v>23</v>
      </c>
      <c r="B589" s="17"/>
      <c r="C589" s="17"/>
      <c r="D589" s="18"/>
      <c r="E589" s="11"/>
      <c r="F589" s="19"/>
      <c r="G589" s="20"/>
      <c r="H589" s="21"/>
      <c r="I589" s="22"/>
      <c r="J589" s="39"/>
      <c r="K589" s="24"/>
      <c r="N589" s="6"/>
      <c r="O589" s="27"/>
    </row>
    <row r="590" spans="1:15" x14ac:dyDescent="0.25">
      <c r="A590" s="13">
        <f t="shared" si="17"/>
        <v>23</v>
      </c>
      <c r="B590" s="17"/>
      <c r="C590" s="17"/>
      <c r="D590" s="18"/>
      <c r="E590" s="11"/>
      <c r="F590" s="19"/>
      <c r="G590" s="20"/>
      <c r="H590" s="21"/>
      <c r="I590" s="22"/>
      <c r="J590" s="39"/>
      <c r="K590" s="24"/>
      <c r="N590" s="6"/>
      <c r="O590" s="27"/>
    </row>
    <row r="591" spans="1:15" x14ac:dyDescent="0.25">
      <c r="A591" s="13">
        <f t="shared" si="17"/>
        <v>23</v>
      </c>
      <c r="B591" s="17"/>
      <c r="C591" s="17"/>
      <c r="D591" s="18"/>
      <c r="E591" s="11"/>
      <c r="F591" s="19"/>
      <c r="G591" s="20"/>
      <c r="H591" s="21"/>
      <c r="I591" s="22"/>
      <c r="J591" s="39"/>
      <c r="K591" s="24"/>
      <c r="N591" s="6"/>
      <c r="O591" s="27"/>
    </row>
    <row r="592" spans="1:15" x14ac:dyDescent="0.25">
      <c r="A592" s="13">
        <f t="shared" si="17"/>
        <v>23</v>
      </c>
      <c r="B592" s="17"/>
      <c r="C592" s="17"/>
      <c r="D592" s="18"/>
      <c r="E592" s="11"/>
      <c r="F592" s="19"/>
      <c r="G592" s="20"/>
      <c r="H592" s="21"/>
      <c r="I592" s="22"/>
      <c r="J592" s="39"/>
      <c r="K592" s="24"/>
      <c r="N592" s="6"/>
      <c r="O592" s="27"/>
    </row>
    <row r="593" spans="1:15" x14ac:dyDescent="0.25">
      <c r="A593" s="13">
        <f t="shared" si="17"/>
        <v>23</v>
      </c>
      <c r="B593" s="17"/>
      <c r="C593" s="17"/>
      <c r="D593" s="18"/>
      <c r="E593" s="11"/>
      <c r="F593" s="19"/>
      <c r="G593" s="20"/>
      <c r="H593" s="21"/>
      <c r="I593" s="22"/>
      <c r="J593" s="39"/>
      <c r="K593" s="24"/>
      <c r="N593" s="6"/>
      <c r="O593" s="27"/>
    </row>
    <row r="594" spans="1:15" x14ac:dyDescent="0.25">
      <c r="A594" s="13">
        <f t="shared" si="17"/>
        <v>23</v>
      </c>
      <c r="B594" s="17"/>
      <c r="C594" s="17"/>
      <c r="D594" s="18"/>
      <c r="E594" s="11"/>
      <c r="F594" s="19"/>
      <c r="G594" s="20"/>
      <c r="H594" s="21"/>
      <c r="I594" s="22"/>
      <c r="J594" s="39"/>
      <c r="K594" s="24"/>
      <c r="N594" s="6"/>
      <c r="O594" s="27"/>
    </row>
    <row r="595" spans="1:15" x14ac:dyDescent="0.25">
      <c r="A595" s="13">
        <f t="shared" si="17"/>
        <v>23</v>
      </c>
      <c r="B595" s="17"/>
      <c r="C595" s="17"/>
      <c r="D595" s="18"/>
      <c r="E595" s="11"/>
      <c r="F595" s="19"/>
      <c r="G595" s="20"/>
      <c r="H595" s="21"/>
      <c r="I595" s="22"/>
      <c r="J595" s="39"/>
      <c r="K595" s="24"/>
      <c r="N595" s="6"/>
      <c r="O595" s="27"/>
    </row>
    <row r="596" spans="1:15" x14ac:dyDescent="0.25">
      <c r="A596" s="13">
        <f t="shared" si="17"/>
        <v>23</v>
      </c>
      <c r="B596" s="17"/>
      <c r="C596" s="17"/>
      <c r="D596" s="18"/>
      <c r="E596" s="11"/>
      <c r="F596" s="19"/>
      <c r="G596" s="20"/>
      <c r="H596" s="21"/>
      <c r="I596" s="22"/>
      <c r="J596" s="39"/>
      <c r="K596" s="24"/>
      <c r="N596" s="6"/>
      <c r="O596" s="27"/>
    </row>
    <row r="597" spans="1:15" x14ac:dyDescent="0.25">
      <c r="A597" s="13">
        <f t="shared" si="17"/>
        <v>23</v>
      </c>
      <c r="B597" s="17"/>
      <c r="C597" s="17"/>
      <c r="D597" s="18"/>
      <c r="E597" s="11"/>
      <c r="F597" s="19"/>
      <c r="G597" s="20"/>
      <c r="H597" s="21"/>
      <c r="I597" s="22"/>
      <c r="J597" s="39"/>
      <c r="K597" s="24"/>
      <c r="N597" s="6"/>
      <c r="O597" s="27"/>
    </row>
    <row r="598" spans="1:15" x14ac:dyDescent="0.25">
      <c r="A598" s="13">
        <f t="shared" si="17"/>
        <v>23</v>
      </c>
      <c r="B598" s="17"/>
      <c r="C598" s="17"/>
      <c r="D598" s="18"/>
      <c r="E598" s="11"/>
      <c r="F598" s="19"/>
      <c r="G598" s="20"/>
      <c r="H598" s="21"/>
      <c r="I598" s="22"/>
      <c r="J598" s="39"/>
      <c r="K598" s="24"/>
      <c r="N598" s="6"/>
      <c r="O598" s="27"/>
    </row>
    <row r="599" spans="1:15" x14ac:dyDescent="0.25">
      <c r="A599" s="13">
        <f t="shared" si="17"/>
        <v>23</v>
      </c>
      <c r="B599" s="17"/>
      <c r="C599" s="17"/>
      <c r="D599" s="18"/>
      <c r="E599" s="11"/>
      <c r="F599" s="19"/>
      <c r="G599" s="36"/>
      <c r="H599" s="21"/>
      <c r="I599" s="22"/>
      <c r="J599" s="35"/>
      <c r="K599" s="24"/>
      <c r="N599" s="6"/>
      <c r="O599" s="27"/>
    </row>
    <row r="600" spans="1:15" x14ac:dyDescent="0.25">
      <c r="A600" s="13">
        <f t="shared" si="17"/>
        <v>23</v>
      </c>
      <c r="B600" s="17"/>
      <c r="C600" s="17"/>
      <c r="D600" s="18"/>
      <c r="E600" s="11"/>
      <c r="F600" s="19"/>
      <c r="G600" s="36"/>
      <c r="H600" s="21"/>
      <c r="I600" s="22"/>
      <c r="J600" s="35"/>
      <c r="K600" s="24"/>
      <c r="N600" s="6"/>
      <c r="O600" s="27"/>
    </row>
    <row r="601" spans="1:15" x14ac:dyDescent="0.25">
      <c r="A601" s="13">
        <f t="shared" si="17"/>
        <v>23</v>
      </c>
      <c r="B601" s="17"/>
      <c r="C601" s="17"/>
      <c r="D601" s="18"/>
      <c r="E601" s="11"/>
      <c r="F601" s="19"/>
      <c r="G601" s="36"/>
      <c r="H601" s="21"/>
      <c r="I601" s="22"/>
      <c r="J601" s="35"/>
      <c r="K601" s="24"/>
      <c r="N601" s="6"/>
      <c r="O601" s="27"/>
    </row>
    <row r="602" spans="1:15" x14ac:dyDescent="0.25">
      <c r="A602" s="13">
        <f t="shared" si="17"/>
        <v>23</v>
      </c>
      <c r="B602" s="17"/>
      <c r="C602" s="17"/>
      <c r="D602" s="18"/>
      <c r="E602" s="11"/>
      <c r="F602" s="19"/>
      <c r="G602" s="36"/>
      <c r="H602" s="21"/>
      <c r="I602" s="22"/>
      <c r="J602" s="35"/>
      <c r="K602" s="24"/>
      <c r="N602" s="6"/>
      <c r="O602" s="27"/>
    </row>
    <row r="603" spans="1:15" x14ac:dyDescent="0.25">
      <c r="A603" s="13">
        <f t="shared" si="17"/>
        <v>23</v>
      </c>
      <c r="B603" s="17"/>
      <c r="C603" s="17"/>
      <c r="D603" s="18"/>
      <c r="E603" s="11"/>
      <c r="F603" s="19"/>
      <c r="G603" s="36"/>
      <c r="H603" s="21"/>
      <c r="I603" s="22"/>
      <c r="J603" s="35"/>
      <c r="K603" s="24"/>
      <c r="N603" s="6"/>
      <c r="O603" s="27"/>
    </row>
    <row r="604" spans="1:15" x14ac:dyDescent="0.25">
      <c r="A604" s="13">
        <f t="shared" si="17"/>
        <v>23</v>
      </c>
      <c r="B604" s="17"/>
      <c r="C604" s="17"/>
      <c r="D604" s="18"/>
      <c r="E604" s="11"/>
      <c r="F604" s="19"/>
      <c r="G604" s="36"/>
      <c r="H604" s="21"/>
      <c r="I604" s="22"/>
      <c r="J604" s="35"/>
      <c r="K604" s="24"/>
      <c r="N604" s="6"/>
      <c r="O604" s="27"/>
    </row>
    <row r="605" spans="1:15" x14ac:dyDescent="0.25">
      <c r="A605" s="13">
        <f t="shared" si="17"/>
        <v>23</v>
      </c>
      <c r="B605" s="17"/>
      <c r="C605" s="17"/>
      <c r="D605" s="18"/>
      <c r="E605" s="11"/>
      <c r="F605" s="19"/>
      <c r="G605" s="36"/>
      <c r="H605" s="21"/>
      <c r="I605" s="22"/>
      <c r="J605" s="35"/>
      <c r="K605" s="24"/>
      <c r="N605" s="6"/>
      <c r="O605" s="27"/>
    </row>
    <row r="606" spans="1:15" x14ac:dyDescent="0.25">
      <c r="A606" s="13">
        <f t="shared" si="17"/>
        <v>23</v>
      </c>
      <c r="B606" s="17"/>
      <c r="C606" s="17"/>
      <c r="D606" s="18"/>
      <c r="E606" s="11"/>
      <c r="F606" s="19"/>
      <c r="G606" s="36"/>
      <c r="H606" s="21"/>
      <c r="I606" s="22"/>
      <c r="J606" s="35"/>
      <c r="K606" s="24"/>
      <c r="N606" s="6"/>
      <c r="O606" s="27"/>
    </row>
    <row r="607" spans="1:15" x14ac:dyDescent="0.25">
      <c r="A607" s="13">
        <f t="shared" si="17"/>
        <v>23</v>
      </c>
      <c r="B607" s="17"/>
      <c r="C607" s="17"/>
      <c r="D607" s="18"/>
      <c r="E607" s="11"/>
      <c r="F607" s="19"/>
      <c r="G607" s="36"/>
      <c r="H607" s="21"/>
      <c r="I607" s="22"/>
      <c r="J607" s="35"/>
      <c r="K607" s="24"/>
      <c r="N607" s="6"/>
      <c r="O607" s="27"/>
    </row>
    <row r="608" spans="1:15" x14ac:dyDescent="0.25">
      <c r="A608" s="13">
        <f t="shared" si="17"/>
        <v>23</v>
      </c>
      <c r="B608" s="17"/>
      <c r="C608" s="17"/>
      <c r="D608" s="18"/>
      <c r="E608" s="11"/>
      <c r="F608" s="19"/>
      <c r="G608" s="36"/>
      <c r="H608" s="21"/>
      <c r="I608" s="22"/>
      <c r="J608" s="35"/>
      <c r="K608" s="24"/>
      <c r="N608" s="6"/>
      <c r="O608" s="27"/>
    </row>
    <row r="609" spans="1:15" x14ac:dyDescent="0.25">
      <c r="A609" s="13">
        <f t="shared" si="17"/>
        <v>23</v>
      </c>
      <c r="B609" s="17"/>
      <c r="C609" s="17"/>
      <c r="D609" s="18"/>
      <c r="E609" s="11"/>
      <c r="F609" s="19"/>
      <c r="G609" s="36"/>
      <c r="H609" s="21"/>
      <c r="I609" s="22"/>
      <c r="J609" s="35"/>
      <c r="K609" s="24"/>
      <c r="N609" s="6"/>
      <c r="O609" s="27"/>
    </row>
    <row r="610" spans="1:15" x14ac:dyDescent="0.25">
      <c r="A610" s="13">
        <f t="shared" si="17"/>
        <v>23</v>
      </c>
      <c r="B610" s="17"/>
      <c r="C610" s="17"/>
      <c r="D610" s="18"/>
      <c r="E610" s="11"/>
      <c r="F610" s="19"/>
      <c r="G610" s="36"/>
      <c r="H610" s="21"/>
      <c r="I610" s="22"/>
      <c r="J610" s="35"/>
      <c r="K610" s="24"/>
      <c r="N610" s="6"/>
      <c r="O610" s="27"/>
    </row>
    <row r="611" spans="1:15" x14ac:dyDescent="0.25">
      <c r="A611" s="13">
        <f t="shared" si="17"/>
        <v>23</v>
      </c>
      <c r="B611" s="17"/>
      <c r="C611" s="17"/>
      <c r="D611" s="18"/>
      <c r="E611" s="11"/>
      <c r="F611" s="19"/>
      <c r="G611" s="36"/>
      <c r="H611" s="21"/>
      <c r="I611" s="22"/>
      <c r="J611" s="35"/>
      <c r="K611" s="24"/>
      <c r="N611" s="6"/>
      <c r="O611" s="27"/>
    </row>
    <row r="612" spans="1:15" x14ac:dyDescent="0.25">
      <c r="A612" s="13">
        <f t="shared" si="17"/>
        <v>23</v>
      </c>
      <c r="B612" s="17"/>
      <c r="C612" s="17"/>
      <c r="D612" s="18"/>
      <c r="E612" s="11"/>
      <c r="F612" s="19"/>
      <c r="G612" s="36"/>
      <c r="H612" s="21"/>
      <c r="I612" s="22"/>
      <c r="J612" s="35"/>
      <c r="K612" s="24"/>
      <c r="N612" s="6"/>
      <c r="O612" s="27"/>
    </row>
    <row r="613" spans="1:15" x14ac:dyDescent="0.25">
      <c r="A613" s="13">
        <f t="shared" si="17"/>
        <v>23</v>
      </c>
      <c r="B613" s="17"/>
      <c r="C613" s="17"/>
      <c r="D613" s="18"/>
      <c r="E613" s="11"/>
      <c r="F613" s="19"/>
      <c r="G613" s="36"/>
      <c r="H613" s="21"/>
      <c r="I613" s="22"/>
      <c r="J613" s="35"/>
      <c r="K613" s="24"/>
      <c r="N613" s="6"/>
      <c r="O613" s="27"/>
    </row>
    <row r="614" spans="1:15" x14ac:dyDescent="0.25">
      <c r="A614" s="13">
        <f t="shared" si="17"/>
        <v>23</v>
      </c>
      <c r="B614" s="17"/>
      <c r="C614" s="17"/>
      <c r="D614" s="18"/>
      <c r="E614" s="11"/>
      <c r="F614" s="19"/>
      <c r="G614" s="36"/>
      <c r="H614" s="21"/>
      <c r="I614" s="22"/>
      <c r="J614" s="35"/>
      <c r="K614" s="24"/>
      <c r="N614" s="6"/>
      <c r="O614" s="27"/>
    </row>
    <row r="615" spans="1:15" x14ac:dyDescent="0.25">
      <c r="A615" s="13">
        <f t="shared" si="17"/>
        <v>23</v>
      </c>
      <c r="B615" s="17"/>
      <c r="C615" s="17"/>
      <c r="D615" s="40"/>
      <c r="E615" s="41"/>
      <c r="F615" s="19"/>
      <c r="G615" s="36"/>
      <c r="H615" s="21"/>
      <c r="I615" s="22"/>
      <c r="J615" s="35"/>
      <c r="K615" s="24"/>
      <c r="N615" s="6"/>
      <c r="O615" s="27"/>
    </row>
    <row r="616" spans="1:15" x14ac:dyDescent="0.25">
      <c r="A616" s="13">
        <f t="shared" si="17"/>
        <v>23</v>
      </c>
      <c r="B616" s="17"/>
      <c r="C616" s="17"/>
      <c r="D616" s="18"/>
      <c r="E616" s="11"/>
      <c r="F616" s="19"/>
      <c r="G616" s="20"/>
      <c r="H616" s="21"/>
      <c r="I616" s="22"/>
      <c r="J616" s="39"/>
      <c r="K616" s="24"/>
      <c r="N616" s="6"/>
      <c r="O616" s="27"/>
    </row>
    <row r="617" spans="1:15" x14ac:dyDescent="0.25">
      <c r="A617" s="13">
        <f t="shared" si="17"/>
        <v>23</v>
      </c>
      <c r="B617" s="17"/>
      <c r="C617" s="17"/>
      <c r="D617" s="18"/>
      <c r="E617" s="11"/>
      <c r="F617" s="19"/>
      <c r="G617" s="20"/>
      <c r="H617" s="21"/>
      <c r="I617" s="22"/>
      <c r="J617" s="39"/>
      <c r="K617" s="24"/>
      <c r="N617" s="6"/>
      <c r="O617" s="27"/>
    </row>
    <row r="618" spans="1:15" x14ac:dyDescent="0.25">
      <c r="A618" s="13">
        <f t="shared" si="17"/>
        <v>23</v>
      </c>
      <c r="B618" s="17"/>
      <c r="C618" s="17"/>
      <c r="D618" s="18"/>
      <c r="E618" s="11"/>
      <c r="F618" s="19"/>
      <c r="G618" s="20"/>
      <c r="H618" s="21"/>
      <c r="I618" s="22"/>
      <c r="J618" s="39"/>
      <c r="K618" s="24"/>
      <c r="N618" s="6"/>
      <c r="O618" s="27"/>
    </row>
    <row r="619" spans="1:15" x14ac:dyDescent="0.25">
      <c r="A619" s="13">
        <f t="shared" si="17"/>
        <v>23</v>
      </c>
      <c r="B619" s="17"/>
      <c r="C619" s="17"/>
      <c r="D619" s="18"/>
      <c r="E619" s="11"/>
      <c r="F619" s="19"/>
      <c r="G619" s="20"/>
      <c r="H619" s="21"/>
      <c r="I619" s="22"/>
      <c r="J619" s="39"/>
      <c r="K619" s="24"/>
      <c r="N619" s="6"/>
      <c r="O619" s="27"/>
    </row>
    <row r="620" spans="1:15" x14ac:dyDescent="0.25">
      <c r="A620" s="13">
        <f t="shared" si="17"/>
        <v>23</v>
      </c>
      <c r="B620" s="17"/>
      <c r="C620" s="17"/>
      <c r="D620" s="18"/>
      <c r="E620" s="11"/>
      <c r="F620" s="19"/>
      <c r="G620" s="20"/>
      <c r="H620" s="21"/>
      <c r="I620" s="22"/>
      <c r="J620" s="39"/>
      <c r="K620" s="24"/>
      <c r="N620" s="6"/>
      <c r="O620" s="27"/>
    </row>
    <row r="621" spans="1:15" x14ac:dyDescent="0.25">
      <c r="A621" s="13">
        <f t="shared" si="17"/>
        <v>23</v>
      </c>
      <c r="B621" s="17"/>
      <c r="C621" s="17"/>
      <c r="D621" s="18"/>
      <c r="E621" s="11"/>
      <c r="F621" s="19"/>
      <c r="G621" s="20"/>
      <c r="H621" s="21"/>
      <c r="I621" s="22"/>
      <c r="J621" s="39"/>
      <c r="K621" s="24"/>
      <c r="N621" s="6"/>
      <c r="O621" s="27"/>
    </row>
    <row r="622" spans="1:15" x14ac:dyDescent="0.25">
      <c r="A622" s="13">
        <f t="shared" si="17"/>
        <v>23</v>
      </c>
      <c r="B622" s="17"/>
      <c r="C622" s="17"/>
      <c r="D622" s="18"/>
      <c r="E622" s="11"/>
      <c r="F622" s="19"/>
      <c r="G622" s="20"/>
      <c r="H622" s="21"/>
      <c r="I622" s="22"/>
      <c r="J622" s="39"/>
      <c r="K622" s="24"/>
      <c r="N622" s="6"/>
      <c r="O622" s="27"/>
    </row>
    <row r="623" spans="1:15" x14ac:dyDescent="0.25">
      <c r="A623" s="13">
        <f t="shared" si="17"/>
        <v>23</v>
      </c>
      <c r="B623" s="17"/>
      <c r="C623" s="17"/>
      <c r="D623" s="18"/>
      <c r="E623" s="11"/>
      <c r="F623" s="19"/>
      <c r="G623" s="20"/>
      <c r="H623" s="21"/>
      <c r="I623" s="22"/>
      <c r="J623" s="39"/>
      <c r="K623" s="24"/>
      <c r="N623" s="6"/>
      <c r="O623" s="27"/>
    </row>
    <row r="624" spans="1:15" x14ac:dyDescent="0.25">
      <c r="A624" s="13">
        <f t="shared" si="17"/>
        <v>23</v>
      </c>
      <c r="B624" s="17"/>
      <c r="C624" s="17"/>
      <c r="D624" s="18"/>
      <c r="E624" s="11"/>
      <c r="F624" s="19"/>
      <c r="G624" s="20"/>
      <c r="H624" s="21"/>
      <c r="I624" s="22"/>
      <c r="J624" s="39"/>
      <c r="K624" s="24"/>
      <c r="N624" s="6"/>
      <c r="O624" s="27"/>
    </row>
    <row r="625" spans="1:15" x14ac:dyDescent="0.25">
      <c r="A625" s="13">
        <f t="shared" si="17"/>
        <v>23</v>
      </c>
      <c r="B625" s="17"/>
      <c r="C625" s="17"/>
      <c r="D625" s="18"/>
      <c r="E625" s="11"/>
      <c r="F625" s="19"/>
      <c r="G625" s="20"/>
      <c r="H625" s="21"/>
      <c r="I625" s="22"/>
      <c r="J625" s="39"/>
      <c r="K625" s="24"/>
      <c r="N625" s="6"/>
      <c r="O625" s="27"/>
    </row>
    <row r="626" spans="1:15" x14ac:dyDescent="0.25">
      <c r="A626" s="13">
        <f t="shared" si="17"/>
        <v>23</v>
      </c>
      <c r="B626" s="17"/>
      <c r="C626" s="17"/>
      <c r="D626" s="18"/>
      <c r="E626" s="11"/>
      <c r="F626" s="19"/>
      <c r="G626" s="20"/>
      <c r="H626" s="21"/>
      <c r="I626" s="22"/>
      <c r="J626" s="39"/>
      <c r="K626" s="24"/>
      <c r="N626" s="6"/>
      <c r="O626" s="27"/>
    </row>
    <row r="627" spans="1:15" x14ac:dyDescent="0.25">
      <c r="A627" s="13">
        <f t="shared" si="17"/>
        <v>23</v>
      </c>
      <c r="B627" s="17"/>
      <c r="C627" s="17"/>
      <c r="D627" s="18"/>
      <c r="E627" s="11"/>
      <c r="F627" s="19"/>
      <c r="G627" s="20"/>
      <c r="H627" s="21"/>
      <c r="I627" s="22"/>
      <c r="J627" s="39"/>
      <c r="K627" s="24"/>
      <c r="N627" s="6"/>
      <c r="O627" s="27"/>
    </row>
    <row r="628" spans="1:15" x14ac:dyDescent="0.25">
      <c r="A628" s="13">
        <f t="shared" si="17"/>
        <v>23</v>
      </c>
      <c r="B628" s="17"/>
      <c r="C628" s="17"/>
      <c r="D628" s="18"/>
      <c r="E628" s="11"/>
      <c r="F628" s="19"/>
      <c r="G628" s="20"/>
      <c r="H628" s="21"/>
      <c r="I628" s="22"/>
      <c r="J628" s="39"/>
      <c r="K628" s="24"/>
      <c r="N628" s="6"/>
      <c r="O628" s="27"/>
    </row>
    <row r="629" spans="1:15" x14ac:dyDescent="0.25">
      <c r="A629" s="13">
        <f t="shared" si="17"/>
        <v>23</v>
      </c>
      <c r="B629" s="17"/>
      <c r="C629" s="17"/>
      <c r="D629" s="18"/>
      <c r="E629" s="11"/>
      <c r="F629" s="19"/>
      <c r="G629" s="20"/>
      <c r="H629" s="21"/>
      <c r="I629" s="22"/>
      <c r="J629" s="39"/>
      <c r="K629" s="24"/>
      <c r="N629" s="6"/>
      <c r="O629" s="27"/>
    </row>
    <row r="630" spans="1:15" x14ac:dyDescent="0.25">
      <c r="A630" s="13">
        <f t="shared" si="17"/>
        <v>23</v>
      </c>
      <c r="B630" s="17"/>
      <c r="C630" s="17"/>
      <c r="D630" s="18"/>
      <c r="E630" s="11"/>
      <c r="F630" s="19"/>
      <c r="G630" s="20"/>
      <c r="H630" s="21"/>
      <c r="I630" s="22"/>
      <c r="J630" s="39"/>
      <c r="K630" s="24"/>
      <c r="N630" s="6"/>
      <c r="O630" s="27"/>
    </row>
    <row r="631" spans="1:15" x14ac:dyDescent="0.25">
      <c r="A631" s="13">
        <f t="shared" si="17"/>
        <v>23</v>
      </c>
      <c r="B631" s="17"/>
      <c r="C631" s="17"/>
      <c r="D631" s="18"/>
      <c r="E631" s="11"/>
      <c r="F631" s="19"/>
      <c r="G631" s="20"/>
      <c r="H631" s="21"/>
      <c r="I631" s="22"/>
      <c r="J631" s="39"/>
      <c r="K631" s="24"/>
      <c r="N631" s="6"/>
      <c r="O631" s="27"/>
    </row>
    <row r="632" spans="1:15" x14ac:dyDescent="0.25">
      <c r="A632" s="13">
        <f t="shared" si="17"/>
        <v>23</v>
      </c>
      <c r="B632" s="17"/>
      <c r="C632" s="17"/>
      <c r="D632" s="18"/>
      <c r="E632" s="11"/>
      <c r="F632" s="19"/>
      <c r="G632" s="20"/>
      <c r="H632" s="21"/>
      <c r="I632" s="22"/>
      <c r="J632" s="39"/>
      <c r="K632" s="24"/>
      <c r="N632" s="6"/>
      <c r="O632" s="27"/>
    </row>
    <row r="633" spans="1:15" x14ac:dyDescent="0.25">
      <c r="A633" s="13">
        <f t="shared" si="17"/>
        <v>23</v>
      </c>
      <c r="B633" s="17"/>
      <c r="C633" s="17"/>
      <c r="D633" s="18"/>
      <c r="E633" s="11"/>
      <c r="F633" s="19"/>
      <c r="G633" s="20"/>
      <c r="H633" s="21"/>
      <c r="I633" s="22"/>
      <c r="J633" s="39"/>
      <c r="K633" s="24"/>
      <c r="N633" s="6"/>
      <c r="O633" s="27"/>
    </row>
    <row r="634" spans="1:15" x14ac:dyDescent="0.25">
      <c r="A634" s="13">
        <f t="shared" si="17"/>
        <v>23</v>
      </c>
      <c r="B634" s="17"/>
      <c r="C634" s="17"/>
      <c r="D634" s="18"/>
      <c r="E634" s="11"/>
      <c r="F634" s="19"/>
      <c r="G634" s="20"/>
      <c r="H634" s="21"/>
      <c r="I634" s="22"/>
      <c r="J634" s="39"/>
      <c r="K634" s="24"/>
      <c r="N634" s="6"/>
      <c r="O634" s="27"/>
    </row>
    <row r="635" spans="1:15" x14ac:dyDescent="0.25">
      <c r="A635" s="13">
        <f t="shared" si="17"/>
        <v>23</v>
      </c>
      <c r="B635" s="17"/>
      <c r="C635" s="17"/>
      <c r="D635" s="18"/>
      <c r="E635" s="11"/>
      <c r="F635" s="19"/>
      <c r="G635" s="20"/>
      <c r="H635" s="21"/>
      <c r="I635" s="22"/>
      <c r="J635" s="39"/>
      <c r="K635" s="24"/>
      <c r="N635" s="6"/>
      <c r="O635" s="27"/>
    </row>
    <row r="636" spans="1:15" x14ac:dyDescent="0.25">
      <c r="A636" s="13">
        <f t="shared" si="17"/>
        <v>23</v>
      </c>
      <c r="B636" s="17"/>
      <c r="C636" s="17"/>
      <c r="D636" s="18"/>
      <c r="E636" s="11"/>
      <c r="F636" s="19"/>
      <c r="G636" s="20"/>
      <c r="H636" s="21"/>
      <c r="I636" s="22"/>
      <c r="J636" s="39"/>
      <c r="K636" s="24"/>
      <c r="N636" s="6"/>
      <c r="O636" s="27"/>
    </row>
    <row r="637" spans="1:15" x14ac:dyDescent="0.25">
      <c r="A637" s="13">
        <f t="shared" si="17"/>
        <v>23</v>
      </c>
      <c r="B637" s="17"/>
      <c r="C637" s="17"/>
      <c r="D637" s="18"/>
      <c r="E637" s="11"/>
      <c r="F637" s="19"/>
      <c r="G637" s="20"/>
      <c r="H637" s="21"/>
      <c r="I637" s="22"/>
      <c r="J637" s="39"/>
      <c r="K637" s="24"/>
      <c r="N637" s="6"/>
      <c r="O637" s="27"/>
    </row>
    <row r="638" spans="1:15" x14ac:dyDescent="0.25">
      <c r="A638" s="13">
        <f t="shared" si="17"/>
        <v>23</v>
      </c>
      <c r="B638" s="17"/>
      <c r="C638" s="17"/>
      <c r="D638" s="18"/>
      <c r="E638" s="11"/>
      <c r="F638" s="19"/>
      <c r="G638" s="20"/>
      <c r="H638" s="21"/>
      <c r="I638" s="22"/>
      <c r="J638" s="39"/>
      <c r="K638" s="24"/>
      <c r="N638" s="6"/>
      <c r="O638" s="27"/>
    </row>
    <row r="639" spans="1:15" x14ac:dyDescent="0.25">
      <c r="A639" s="13">
        <f t="shared" si="17"/>
        <v>23</v>
      </c>
      <c r="B639" s="17"/>
      <c r="C639" s="17"/>
      <c r="D639" s="18"/>
      <c r="E639" s="11"/>
      <c r="F639" s="19"/>
      <c r="G639" s="20"/>
      <c r="H639" s="21"/>
      <c r="I639" s="22"/>
      <c r="J639" s="39"/>
      <c r="K639" s="24"/>
      <c r="N639" s="6"/>
      <c r="O639" s="27"/>
    </row>
    <row r="640" spans="1:15" x14ac:dyDescent="0.25">
      <c r="A640" s="13">
        <f t="shared" si="17"/>
        <v>23</v>
      </c>
      <c r="B640" s="17"/>
      <c r="C640" s="17"/>
      <c r="D640" s="18"/>
      <c r="E640" s="11"/>
      <c r="F640" s="19"/>
      <c r="G640" s="20"/>
      <c r="H640" s="21"/>
      <c r="I640" s="22"/>
      <c r="J640" s="39"/>
      <c r="K640" s="24"/>
      <c r="N640" s="6"/>
      <c r="O640" s="27"/>
    </row>
    <row r="641" spans="1:15" x14ac:dyDescent="0.25">
      <c r="A641" s="13">
        <f t="shared" si="17"/>
        <v>23</v>
      </c>
      <c r="B641" s="17"/>
      <c r="C641" s="17"/>
      <c r="D641" s="18"/>
      <c r="E641" s="11"/>
      <c r="F641" s="19"/>
      <c r="G641" s="20"/>
      <c r="H641" s="21"/>
      <c r="I641" s="22"/>
      <c r="J641" s="39"/>
      <c r="K641" s="24"/>
      <c r="N641" s="6"/>
      <c r="O641" s="27"/>
    </row>
    <row r="642" spans="1:15" x14ac:dyDescent="0.25">
      <c r="A642" s="13">
        <f t="shared" si="17"/>
        <v>23</v>
      </c>
      <c r="B642" s="17"/>
      <c r="C642" s="17"/>
      <c r="D642" s="18"/>
      <c r="E642" s="11"/>
      <c r="F642" s="19"/>
      <c r="G642" s="20"/>
      <c r="H642" s="21"/>
      <c r="I642" s="22"/>
      <c r="J642" s="39"/>
      <c r="K642" s="24"/>
      <c r="N642" s="6"/>
      <c r="O642" s="27"/>
    </row>
    <row r="643" spans="1:15" x14ac:dyDescent="0.25">
      <c r="A643" s="13">
        <f t="shared" si="17"/>
        <v>23</v>
      </c>
      <c r="B643" s="17"/>
      <c r="C643" s="17"/>
      <c r="D643" s="40"/>
      <c r="E643" s="41"/>
      <c r="F643" s="19"/>
      <c r="G643" s="20"/>
      <c r="H643" s="21"/>
      <c r="I643" s="22"/>
      <c r="J643" s="39"/>
      <c r="K643" s="24"/>
      <c r="N643" s="6"/>
      <c r="O643" s="27"/>
    </row>
    <row r="644" spans="1:15" x14ac:dyDescent="0.25">
      <c r="A644" s="13">
        <f t="shared" ref="A644:A707" si="18">IF(B644=B643,A643,A643+1)</f>
        <v>23</v>
      </c>
      <c r="B644" s="17"/>
      <c r="C644" s="17"/>
      <c r="D644" s="18"/>
      <c r="E644" s="11"/>
      <c r="F644" s="19"/>
      <c r="G644" s="20"/>
      <c r="H644" s="21"/>
      <c r="I644" s="22"/>
      <c r="J644" s="39"/>
      <c r="K644" s="24"/>
      <c r="N644" s="6"/>
      <c r="O644" s="27"/>
    </row>
    <row r="645" spans="1:15" x14ac:dyDescent="0.25">
      <c r="A645" s="13">
        <f t="shared" si="18"/>
        <v>23</v>
      </c>
      <c r="B645" s="17"/>
      <c r="C645" s="17"/>
      <c r="D645" s="18"/>
      <c r="E645" s="11"/>
      <c r="F645" s="19"/>
      <c r="G645" s="20"/>
      <c r="H645" s="21"/>
      <c r="I645" s="22"/>
      <c r="J645" s="39"/>
      <c r="K645" s="24"/>
      <c r="N645" s="6"/>
      <c r="O645" s="27"/>
    </row>
    <row r="646" spans="1:15" x14ac:dyDescent="0.25">
      <c r="A646" s="13">
        <f t="shared" si="18"/>
        <v>23</v>
      </c>
      <c r="B646" s="17"/>
      <c r="C646" s="17"/>
      <c r="D646" s="18"/>
      <c r="E646" s="11"/>
      <c r="F646" s="19"/>
      <c r="G646" s="20"/>
      <c r="H646" s="21"/>
      <c r="I646" s="22"/>
      <c r="J646" s="39"/>
      <c r="K646" s="24"/>
      <c r="N646" s="6"/>
      <c r="O646" s="27"/>
    </row>
    <row r="647" spans="1:15" x14ac:dyDescent="0.25">
      <c r="A647" s="13">
        <f t="shared" si="18"/>
        <v>23</v>
      </c>
      <c r="B647" s="17"/>
      <c r="C647" s="17"/>
      <c r="D647" s="18"/>
      <c r="E647" s="11"/>
      <c r="F647" s="19"/>
      <c r="G647" s="20"/>
      <c r="H647" s="21"/>
      <c r="I647" s="22"/>
      <c r="J647" s="39"/>
      <c r="K647" s="24"/>
      <c r="N647" s="6"/>
      <c r="O647" s="27"/>
    </row>
    <row r="648" spans="1:15" x14ac:dyDescent="0.25">
      <c r="A648" s="13">
        <f t="shared" si="18"/>
        <v>23</v>
      </c>
      <c r="B648" s="17"/>
      <c r="C648" s="17"/>
      <c r="D648" s="18"/>
      <c r="E648" s="11"/>
      <c r="F648" s="19"/>
      <c r="G648" s="20"/>
      <c r="H648" s="21"/>
      <c r="I648" s="22"/>
      <c r="J648" s="39"/>
      <c r="K648" s="24"/>
      <c r="N648" s="6"/>
      <c r="O648" s="27"/>
    </row>
    <row r="649" spans="1:15" x14ac:dyDescent="0.25">
      <c r="A649" s="13">
        <f t="shared" si="18"/>
        <v>23</v>
      </c>
      <c r="B649" s="17"/>
      <c r="C649" s="17"/>
      <c r="D649" s="18"/>
      <c r="E649" s="11"/>
      <c r="F649" s="19"/>
      <c r="G649" s="20"/>
      <c r="H649" s="21"/>
      <c r="I649" s="22"/>
      <c r="J649" s="39"/>
      <c r="K649" s="24"/>
      <c r="N649" s="6"/>
      <c r="O649" s="27"/>
    </row>
    <row r="650" spans="1:15" x14ac:dyDescent="0.25">
      <c r="A650" s="13">
        <f t="shared" si="18"/>
        <v>23</v>
      </c>
      <c r="B650" s="17"/>
      <c r="C650" s="17"/>
      <c r="D650" s="18"/>
      <c r="E650" s="11"/>
      <c r="F650" s="19"/>
      <c r="G650" s="20"/>
      <c r="H650" s="21"/>
      <c r="I650" s="22"/>
      <c r="J650" s="39"/>
      <c r="K650" s="24"/>
      <c r="N650" s="6"/>
      <c r="O650" s="27"/>
    </row>
    <row r="651" spans="1:15" x14ac:dyDescent="0.25">
      <c r="A651" s="13">
        <f t="shared" si="18"/>
        <v>23</v>
      </c>
      <c r="B651" s="17"/>
      <c r="C651" s="17"/>
      <c r="D651" s="18"/>
      <c r="E651" s="11"/>
      <c r="F651" s="19"/>
      <c r="G651" s="20"/>
      <c r="H651" s="21"/>
      <c r="I651" s="22"/>
      <c r="J651" s="39"/>
      <c r="K651" s="24"/>
      <c r="N651" s="6"/>
      <c r="O651" s="27"/>
    </row>
    <row r="652" spans="1:15" x14ac:dyDescent="0.25">
      <c r="A652" s="13">
        <f t="shared" si="18"/>
        <v>23</v>
      </c>
      <c r="B652" s="17"/>
      <c r="C652" s="17"/>
      <c r="D652" s="18"/>
      <c r="E652" s="11"/>
      <c r="F652" s="19"/>
      <c r="G652" s="20"/>
      <c r="H652" s="21"/>
      <c r="I652" s="22"/>
      <c r="J652" s="39"/>
      <c r="K652" s="24"/>
      <c r="N652" s="6"/>
      <c r="O652" s="27"/>
    </row>
    <row r="653" spans="1:15" x14ac:dyDescent="0.25">
      <c r="A653" s="13">
        <f t="shared" si="18"/>
        <v>23</v>
      </c>
      <c r="B653" s="17"/>
      <c r="C653" s="17"/>
      <c r="D653" s="18"/>
      <c r="E653" s="11"/>
      <c r="F653" s="19"/>
      <c r="G653" s="20"/>
      <c r="H653" s="21"/>
      <c r="I653" s="22"/>
      <c r="J653" s="39"/>
      <c r="K653" s="24"/>
      <c r="N653" s="6"/>
      <c r="O653" s="27"/>
    </row>
    <row r="654" spans="1:15" x14ac:dyDescent="0.25">
      <c r="A654" s="13">
        <f t="shared" si="18"/>
        <v>23</v>
      </c>
      <c r="B654" s="17"/>
      <c r="C654" s="17"/>
      <c r="D654" s="40"/>
      <c r="E654" s="41"/>
      <c r="F654" s="19"/>
      <c r="G654" s="20"/>
      <c r="H654" s="21"/>
      <c r="I654" s="22"/>
      <c r="J654" s="39"/>
      <c r="K654" s="24"/>
      <c r="N654" s="6"/>
      <c r="O654" s="27"/>
    </row>
    <row r="655" spans="1:15" x14ac:dyDescent="0.25">
      <c r="A655" s="13">
        <f t="shared" si="18"/>
        <v>23</v>
      </c>
      <c r="B655" s="17"/>
      <c r="C655" s="17"/>
      <c r="D655" s="18"/>
      <c r="E655" s="11"/>
      <c r="F655" s="19"/>
      <c r="G655" s="36"/>
      <c r="H655" s="21"/>
      <c r="I655" s="22"/>
      <c r="J655" s="35"/>
      <c r="K655" s="24"/>
      <c r="N655" s="6"/>
      <c r="O655" s="27"/>
    </row>
    <row r="656" spans="1:15" x14ac:dyDescent="0.25">
      <c r="A656" s="13">
        <f t="shared" si="18"/>
        <v>23</v>
      </c>
      <c r="B656" s="17"/>
      <c r="C656" s="17"/>
      <c r="D656" s="18"/>
      <c r="E656" s="11"/>
      <c r="F656" s="19"/>
      <c r="G656" s="36"/>
      <c r="H656" s="21"/>
      <c r="I656" s="22"/>
      <c r="J656" s="35"/>
      <c r="K656" s="24"/>
      <c r="N656" s="6"/>
      <c r="O656" s="27"/>
    </row>
    <row r="657" spans="1:15" x14ac:dyDescent="0.25">
      <c r="A657" s="13">
        <f t="shared" si="18"/>
        <v>23</v>
      </c>
      <c r="B657" s="17"/>
      <c r="C657" s="17"/>
      <c r="D657" s="18"/>
      <c r="E657" s="11"/>
      <c r="F657" s="19"/>
      <c r="G657" s="36"/>
      <c r="H657" s="21"/>
      <c r="I657" s="22"/>
      <c r="J657" s="35"/>
      <c r="K657" s="24"/>
      <c r="N657" s="6"/>
      <c r="O657" s="27"/>
    </row>
    <row r="658" spans="1:15" x14ac:dyDescent="0.25">
      <c r="A658" s="13">
        <f t="shared" si="18"/>
        <v>23</v>
      </c>
      <c r="B658" s="17"/>
      <c r="C658" s="17"/>
      <c r="D658" s="18"/>
      <c r="E658" s="11"/>
      <c r="F658" s="19"/>
      <c r="G658" s="36"/>
      <c r="H658" s="21"/>
      <c r="I658" s="22"/>
      <c r="J658" s="35"/>
      <c r="K658" s="24"/>
      <c r="N658" s="6"/>
      <c r="O658" s="27"/>
    </row>
    <row r="659" spans="1:15" x14ac:dyDescent="0.25">
      <c r="A659" s="13">
        <f t="shared" si="18"/>
        <v>23</v>
      </c>
      <c r="B659" s="17"/>
      <c r="C659" s="17"/>
      <c r="D659" s="18"/>
      <c r="E659" s="11"/>
      <c r="F659" s="19"/>
      <c r="G659" s="36"/>
      <c r="H659" s="21"/>
      <c r="I659" s="22"/>
      <c r="J659" s="35"/>
      <c r="K659" s="24"/>
      <c r="N659" s="6"/>
      <c r="O659" s="27"/>
    </row>
    <row r="660" spans="1:15" x14ac:dyDescent="0.25">
      <c r="A660" s="13">
        <f t="shared" si="18"/>
        <v>23</v>
      </c>
      <c r="B660" s="17"/>
      <c r="C660" s="17"/>
      <c r="D660" s="18"/>
      <c r="E660" s="11"/>
      <c r="F660" s="19"/>
      <c r="G660" s="36"/>
      <c r="H660" s="21"/>
      <c r="I660" s="22"/>
      <c r="J660" s="35"/>
      <c r="K660" s="24"/>
      <c r="N660" s="6"/>
      <c r="O660" s="27"/>
    </row>
    <row r="661" spans="1:15" x14ac:dyDescent="0.25">
      <c r="A661" s="13">
        <f t="shared" si="18"/>
        <v>23</v>
      </c>
      <c r="B661" s="17"/>
      <c r="C661" s="17"/>
      <c r="D661" s="18"/>
      <c r="E661" s="11"/>
      <c r="F661" s="19"/>
      <c r="G661" s="36"/>
      <c r="H661" s="21"/>
      <c r="I661" s="22"/>
      <c r="J661" s="35"/>
      <c r="K661" s="24"/>
      <c r="N661" s="6"/>
      <c r="O661" s="27"/>
    </row>
    <row r="662" spans="1:15" x14ac:dyDescent="0.25">
      <c r="A662" s="13">
        <f t="shared" si="18"/>
        <v>23</v>
      </c>
      <c r="B662" s="17"/>
      <c r="C662" s="17"/>
      <c r="D662" s="18"/>
      <c r="E662" s="11"/>
      <c r="F662" s="19"/>
      <c r="G662" s="20"/>
      <c r="H662" s="21"/>
      <c r="I662" s="22"/>
      <c r="J662" s="23"/>
      <c r="K662" s="24"/>
      <c r="N662" s="6"/>
      <c r="O662" s="27"/>
    </row>
    <row r="663" spans="1:15" x14ac:dyDescent="0.25">
      <c r="A663" s="13">
        <f t="shared" si="18"/>
        <v>23</v>
      </c>
      <c r="B663" s="17"/>
      <c r="C663" s="17"/>
      <c r="D663" s="18"/>
      <c r="E663" s="11"/>
      <c r="F663" s="19"/>
      <c r="G663" s="20"/>
      <c r="H663" s="21"/>
      <c r="I663" s="22"/>
      <c r="J663" s="23"/>
      <c r="K663" s="24"/>
      <c r="N663" s="6"/>
      <c r="O663" s="27"/>
    </row>
    <row r="664" spans="1:15" x14ac:dyDescent="0.25">
      <c r="A664" s="13">
        <f t="shared" si="18"/>
        <v>23</v>
      </c>
      <c r="B664" s="17"/>
      <c r="C664" s="17"/>
      <c r="D664" s="18"/>
      <c r="E664" s="11"/>
      <c r="F664" s="19"/>
      <c r="G664" s="20"/>
      <c r="H664" s="21"/>
      <c r="I664" s="22"/>
      <c r="J664" s="23"/>
      <c r="K664" s="24"/>
      <c r="N664" s="6"/>
      <c r="O664" s="27"/>
    </row>
    <row r="665" spans="1:15" x14ac:dyDescent="0.25">
      <c r="A665" s="13">
        <f t="shared" si="18"/>
        <v>23</v>
      </c>
      <c r="B665" s="17"/>
      <c r="C665" s="17"/>
      <c r="D665" s="18"/>
      <c r="E665" s="11"/>
      <c r="F665" s="19"/>
      <c r="G665" s="20"/>
      <c r="H665" s="21"/>
      <c r="I665" s="22"/>
      <c r="J665" s="23"/>
      <c r="K665" s="24"/>
      <c r="N665" s="6"/>
      <c r="O665" s="27"/>
    </row>
    <row r="666" spans="1:15" x14ac:dyDescent="0.25">
      <c r="A666" s="13">
        <f t="shared" si="18"/>
        <v>23</v>
      </c>
      <c r="B666" s="17"/>
      <c r="C666" s="17"/>
      <c r="D666" s="18"/>
      <c r="E666" s="11"/>
      <c r="F666" s="19"/>
      <c r="G666" s="20"/>
      <c r="H666" s="21"/>
      <c r="I666" s="22"/>
      <c r="J666" s="23"/>
      <c r="K666" s="24"/>
      <c r="N666" s="6"/>
      <c r="O666" s="27"/>
    </row>
    <row r="667" spans="1:15" x14ac:dyDescent="0.25">
      <c r="A667" s="13">
        <f t="shared" si="18"/>
        <v>23</v>
      </c>
      <c r="B667" s="17"/>
      <c r="C667" s="17"/>
      <c r="D667" s="18"/>
      <c r="E667" s="11"/>
      <c r="F667" s="19"/>
      <c r="G667" s="20"/>
      <c r="H667" s="21"/>
      <c r="I667" s="22"/>
      <c r="J667" s="23"/>
      <c r="K667" s="24"/>
      <c r="N667" s="6"/>
      <c r="O667" s="27"/>
    </row>
    <row r="668" spans="1:15" x14ac:dyDescent="0.25">
      <c r="A668" s="13">
        <f t="shared" si="18"/>
        <v>23</v>
      </c>
      <c r="B668" s="17"/>
      <c r="C668" s="17"/>
      <c r="D668" s="18"/>
      <c r="E668" s="11"/>
      <c r="F668" s="19"/>
      <c r="G668" s="20"/>
      <c r="H668" s="21"/>
      <c r="I668" s="22"/>
      <c r="J668" s="23"/>
      <c r="K668" s="24"/>
      <c r="N668" s="6"/>
      <c r="O668" s="27"/>
    </row>
    <row r="669" spans="1:15" x14ac:dyDescent="0.25">
      <c r="A669" s="13">
        <f t="shared" si="18"/>
        <v>23</v>
      </c>
      <c r="B669" s="17"/>
      <c r="C669" s="17"/>
      <c r="D669" s="18"/>
      <c r="E669" s="11"/>
      <c r="F669" s="19"/>
      <c r="G669" s="20"/>
      <c r="H669" s="21"/>
      <c r="I669" s="22"/>
      <c r="J669" s="23"/>
      <c r="K669" s="24"/>
      <c r="N669" s="6"/>
      <c r="O669" s="27"/>
    </row>
    <row r="670" spans="1:15" x14ac:dyDescent="0.25">
      <c r="A670" s="13">
        <f t="shared" si="18"/>
        <v>23</v>
      </c>
      <c r="B670" s="17"/>
      <c r="C670" s="17"/>
      <c r="D670" s="18"/>
      <c r="E670" s="11"/>
      <c r="F670" s="19"/>
      <c r="G670" s="20"/>
      <c r="H670" s="21"/>
      <c r="I670" s="22"/>
      <c r="J670" s="23"/>
      <c r="K670" s="24"/>
      <c r="N670" s="6"/>
      <c r="O670" s="27"/>
    </row>
    <row r="671" spans="1:15" x14ac:dyDescent="0.25">
      <c r="A671" s="13">
        <f t="shared" si="18"/>
        <v>23</v>
      </c>
      <c r="B671" s="17"/>
      <c r="C671" s="17"/>
      <c r="D671" s="18"/>
      <c r="E671" s="11"/>
      <c r="F671" s="19"/>
      <c r="G671" s="20"/>
      <c r="H671" s="21"/>
      <c r="I671" s="22"/>
      <c r="J671" s="23"/>
      <c r="K671" s="24"/>
      <c r="N671" s="6"/>
      <c r="O671" s="27"/>
    </row>
    <row r="672" spans="1:15" x14ac:dyDescent="0.25">
      <c r="A672" s="13">
        <f t="shared" si="18"/>
        <v>23</v>
      </c>
      <c r="B672" s="17"/>
      <c r="C672" s="17"/>
      <c r="D672" s="18"/>
      <c r="E672" s="11"/>
      <c r="F672" s="19"/>
      <c r="G672" s="20"/>
      <c r="H672" s="21"/>
      <c r="I672" s="22"/>
      <c r="J672" s="23"/>
      <c r="K672" s="24"/>
      <c r="N672" s="6"/>
      <c r="O672" s="27"/>
    </row>
    <row r="673" spans="1:15" x14ac:dyDescent="0.25">
      <c r="A673" s="13">
        <f t="shared" si="18"/>
        <v>23</v>
      </c>
      <c r="B673" s="17"/>
      <c r="C673" s="17"/>
      <c r="D673" s="18"/>
      <c r="E673" s="11"/>
      <c r="F673" s="19"/>
      <c r="G673" s="20"/>
      <c r="H673" s="21"/>
      <c r="I673" s="22"/>
      <c r="J673" s="23"/>
      <c r="K673" s="24"/>
      <c r="N673" s="6"/>
      <c r="O673" s="27"/>
    </row>
    <row r="674" spans="1:15" x14ac:dyDescent="0.25">
      <c r="A674" s="13">
        <f t="shared" si="18"/>
        <v>23</v>
      </c>
      <c r="B674" s="17"/>
      <c r="C674" s="17"/>
      <c r="D674" s="18"/>
      <c r="E674" s="11"/>
      <c r="F674" s="19"/>
      <c r="G674" s="20"/>
      <c r="H674" s="21"/>
      <c r="I674" s="22"/>
      <c r="J674" s="23"/>
      <c r="K674" s="24"/>
      <c r="N674" s="6"/>
      <c r="O674" s="27"/>
    </row>
    <row r="675" spans="1:15" x14ac:dyDescent="0.25">
      <c r="A675" s="13">
        <f t="shared" si="18"/>
        <v>23</v>
      </c>
      <c r="B675" s="17"/>
      <c r="C675" s="17"/>
      <c r="D675" s="18"/>
      <c r="E675" s="11"/>
      <c r="F675" s="19"/>
      <c r="G675" s="20"/>
      <c r="H675" s="21"/>
      <c r="I675" s="22"/>
      <c r="J675" s="23"/>
      <c r="K675" s="24"/>
      <c r="N675" s="6"/>
      <c r="O675" s="27"/>
    </row>
    <row r="676" spans="1:15" x14ac:dyDescent="0.25">
      <c r="A676" s="13">
        <f t="shared" si="18"/>
        <v>23</v>
      </c>
      <c r="B676" s="17"/>
      <c r="C676" s="17"/>
      <c r="D676" s="40"/>
      <c r="E676" s="41"/>
      <c r="F676" s="19"/>
      <c r="G676" s="20"/>
      <c r="H676" s="21"/>
      <c r="I676" s="22"/>
      <c r="J676" s="23"/>
      <c r="K676" s="24"/>
      <c r="N676" s="6"/>
      <c r="O676" s="27"/>
    </row>
    <row r="677" spans="1:15" x14ac:dyDescent="0.25">
      <c r="A677" s="13">
        <f t="shared" si="18"/>
        <v>23</v>
      </c>
      <c r="B677" s="17"/>
      <c r="C677" s="17"/>
      <c r="D677" s="18"/>
      <c r="E677" s="11"/>
      <c r="F677" s="19"/>
      <c r="G677" s="36"/>
      <c r="H677" s="21"/>
      <c r="I677" s="22"/>
      <c r="J677" s="35"/>
      <c r="K677" s="24"/>
      <c r="N677" s="6"/>
      <c r="O677" s="27"/>
    </row>
    <row r="678" spans="1:15" x14ac:dyDescent="0.25">
      <c r="A678" s="13">
        <f t="shared" si="18"/>
        <v>23</v>
      </c>
      <c r="B678" s="17"/>
      <c r="C678" s="17"/>
      <c r="D678" s="18"/>
      <c r="E678" s="11"/>
      <c r="F678" s="19"/>
      <c r="G678" s="36"/>
      <c r="H678" s="21"/>
      <c r="I678" s="22"/>
      <c r="J678" s="35"/>
      <c r="K678" s="24"/>
      <c r="N678" s="6"/>
      <c r="O678" s="27"/>
    </row>
    <row r="679" spans="1:15" x14ac:dyDescent="0.25">
      <c r="A679" s="13">
        <f t="shared" si="18"/>
        <v>23</v>
      </c>
      <c r="B679" s="17"/>
      <c r="C679" s="17"/>
      <c r="D679" s="18"/>
      <c r="E679" s="11"/>
      <c r="F679" s="19"/>
      <c r="G679" s="36"/>
      <c r="H679" s="21"/>
      <c r="I679" s="22"/>
      <c r="J679" s="35"/>
      <c r="K679" s="24"/>
      <c r="N679" s="6"/>
      <c r="O679" s="27"/>
    </row>
    <row r="680" spans="1:15" x14ac:dyDescent="0.25">
      <c r="A680" s="13">
        <f t="shared" si="18"/>
        <v>23</v>
      </c>
      <c r="B680" s="17"/>
      <c r="C680" s="17"/>
      <c r="D680" s="18"/>
      <c r="E680" s="11"/>
      <c r="F680" s="19"/>
      <c r="G680" s="36"/>
      <c r="H680" s="21"/>
      <c r="I680" s="22"/>
      <c r="J680" s="35"/>
      <c r="K680" s="24"/>
      <c r="N680" s="6"/>
      <c r="O680" s="27"/>
    </row>
    <row r="681" spans="1:15" x14ac:dyDescent="0.25">
      <c r="A681" s="13">
        <f t="shared" si="18"/>
        <v>23</v>
      </c>
      <c r="B681" s="17"/>
      <c r="C681" s="17"/>
      <c r="D681" s="18"/>
      <c r="E681" s="11"/>
      <c r="F681" s="19"/>
      <c r="G681" s="36"/>
      <c r="H681" s="21"/>
      <c r="I681" s="22"/>
      <c r="J681" s="35"/>
      <c r="K681" s="24"/>
      <c r="N681" s="6"/>
      <c r="O681" s="27"/>
    </row>
    <row r="682" spans="1:15" x14ac:dyDescent="0.25">
      <c r="A682" s="13">
        <f t="shared" si="18"/>
        <v>23</v>
      </c>
      <c r="B682" s="17"/>
      <c r="C682" s="17"/>
      <c r="D682" s="18"/>
      <c r="E682" s="11"/>
      <c r="F682" s="19"/>
      <c r="G682" s="36"/>
      <c r="H682" s="21"/>
      <c r="I682" s="22"/>
      <c r="J682" s="35"/>
      <c r="K682" s="24"/>
      <c r="N682" s="6"/>
      <c r="O682" s="27"/>
    </row>
    <row r="683" spans="1:15" x14ac:dyDescent="0.25">
      <c r="A683" s="13">
        <f t="shared" si="18"/>
        <v>23</v>
      </c>
      <c r="B683" s="17"/>
      <c r="C683" s="17"/>
      <c r="D683" s="18"/>
      <c r="E683" s="11"/>
      <c r="F683" s="19"/>
      <c r="G683" s="36"/>
      <c r="H683" s="21"/>
      <c r="I683" s="22"/>
      <c r="J683" s="35"/>
      <c r="K683" s="24"/>
      <c r="N683" s="6"/>
      <c r="O683" s="27"/>
    </row>
    <row r="684" spans="1:15" x14ac:dyDescent="0.25">
      <c r="A684" s="13">
        <f t="shared" si="18"/>
        <v>23</v>
      </c>
      <c r="B684" s="17"/>
      <c r="C684" s="17"/>
      <c r="D684" s="18"/>
      <c r="E684" s="11"/>
      <c r="F684" s="19"/>
      <c r="G684" s="36"/>
      <c r="H684" s="21"/>
      <c r="I684" s="22"/>
      <c r="J684" s="35"/>
      <c r="K684" s="24"/>
      <c r="N684" s="6"/>
      <c r="O684" s="27"/>
    </row>
    <row r="685" spans="1:15" x14ac:dyDescent="0.25">
      <c r="A685" s="13">
        <f t="shared" si="18"/>
        <v>23</v>
      </c>
      <c r="B685" s="17"/>
      <c r="C685" s="17"/>
      <c r="D685" s="18"/>
      <c r="E685" s="11"/>
      <c r="F685" s="19"/>
      <c r="G685" s="36"/>
      <c r="H685" s="21"/>
      <c r="I685" s="22"/>
      <c r="J685" s="35"/>
      <c r="K685" s="24"/>
      <c r="N685" s="6"/>
      <c r="O685" s="27"/>
    </row>
    <row r="686" spans="1:15" x14ac:dyDescent="0.25">
      <c r="A686" s="13">
        <f t="shared" si="18"/>
        <v>23</v>
      </c>
      <c r="B686" s="17"/>
      <c r="C686" s="17"/>
      <c r="D686" s="40"/>
      <c r="E686" s="41"/>
      <c r="F686" s="19"/>
      <c r="G686" s="36"/>
      <c r="H686" s="21"/>
      <c r="I686" s="22"/>
      <c r="J686" s="35"/>
      <c r="K686" s="24"/>
      <c r="N686" s="6"/>
      <c r="O686" s="27"/>
    </row>
    <row r="687" spans="1:15" x14ac:dyDescent="0.25">
      <c r="A687" s="13">
        <f t="shared" si="18"/>
        <v>23</v>
      </c>
      <c r="B687" s="17"/>
      <c r="C687" s="17"/>
      <c r="D687" s="18"/>
      <c r="E687" s="11"/>
      <c r="F687" s="19"/>
      <c r="G687" s="20"/>
      <c r="H687" s="21"/>
      <c r="I687" s="22"/>
      <c r="J687" s="23"/>
      <c r="K687" s="24"/>
      <c r="N687" s="6"/>
      <c r="O687" s="27"/>
    </row>
    <row r="688" spans="1:15" x14ac:dyDescent="0.25">
      <c r="A688" s="13">
        <f t="shared" si="18"/>
        <v>23</v>
      </c>
      <c r="B688" s="17"/>
      <c r="C688" s="17"/>
      <c r="D688" s="18"/>
      <c r="E688" s="11"/>
      <c r="F688" s="19"/>
      <c r="G688" s="20"/>
      <c r="H688" s="21"/>
      <c r="I688" s="22"/>
      <c r="J688" s="23"/>
      <c r="K688" s="24"/>
      <c r="N688" s="6"/>
      <c r="O688" s="27"/>
    </row>
    <row r="689" spans="1:15" x14ac:dyDescent="0.25">
      <c r="A689" s="13">
        <f t="shared" si="18"/>
        <v>23</v>
      </c>
      <c r="B689" s="17"/>
      <c r="C689" s="17"/>
      <c r="D689" s="18"/>
      <c r="E689" s="11"/>
      <c r="F689" s="19"/>
      <c r="G689" s="20"/>
      <c r="H689" s="21"/>
      <c r="I689" s="22"/>
      <c r="J689" s="23"/>
      <c r="K689" s="24"/>
      <c r="N689" s="6"/>
      <c r="O689" s="27"/>
    </row>
    <row r="690" spans="1:15" x14ac:dyDescent="0.25">
      <c r="A690" s="13">
        <f t="shared" si="18"/>
        <v>23</v>
      </c>
      <c r="B690" s="17"/>
      <c r="C690" s="17"/>
      <c r="D690" s="18"/>
      <c r="E690" s="11"/>
      <c r="F690" s="19"/>
      <c r="G690" s="20"/>
      <c r="H690" s="21"/>
      <c r="I690" s="22"/>
      <c r="J690" s="23"/>
      <c r="K690" s="24"/>
      <c r="N690" s="6"/>
      <c r="O690" s="27"/>
    </row>
    <row r="691" spans="1:15" x14ac:dyDescent="0.25">
      <c r="A691" s="13">
        <f t="shared" si="18"/>
        <v>23</v>
      </c>
      <c r="B691" s="17"/>
      <c r="C691" s="17"/>
      <c r="D691" s="18"/>
      <c r="E691" s="11"/>
      <c r="F691" s="19"/>
      <c r="G691" s="20"/>
      <c r="H691" s="21"/>
      <c r="I691" s="22"/>
      <c r="J691" s="23"/>
      <c r="K691" s="24"/>
      <c r="N691" s="6"/>
      <c r="O691" s="27"/>
    </row>
    <row r="692" spans="1:15" x14ac:dyDescent="0.25">
      <c r="A692" s="13">
        <f t="shared" si="18"/>
        <v>23</v>
      </c>
      <c r="B692" s="17"/>
      <c r="C692" s="17"/>
      <c r="D692" s="18"/>
      <c r="E692" s="11"/>
      <c r="F692" s="19"/>
      <c r="G692" s="20"/>
      <c r="H692" s="21"/>
      <c r="I692" s="22"/>
      <c r="J692" s="23"/>
      <c r="K692" s="24"/>
      <c r="N692" s="6"/>
      <c r="O692" s="27"/>
    </row>
    <row r="693" spans="1:15" x14ac:dyDescent="0.25">
      <c r="A693" s="13">
        <f t="shared" si="18"/>
        <v>23</v>
      </c>
      <c r="B693" s="17"/>
      <c r="C693" s="17"/>
      <c r="D693" s="18"/>
      <c r="E693" s="11"/>
      <c r="F693" s="19"/>
      <c r="G693" s="20"/>
      <c r="H693" s="21"/>
      <c r="I693" s="22"/>
      <c r="J693" s="23"/>
      <c r="K693" s="24"/>
      <c r="N693" s="6"/>
      <c r="O693" s="27"/>
    </row>
    <row r="694" spans="1:15" x14ac:dyDescent="0.25">
      <c r="A694" s="13">
        <f t="shared" si="18"/>
        <v>23</v>
      </c>
      <c r="B694" s="17"/>
      <c r="C694" s="17"/>
      <c r="D694" s="18"/>
      <c r="E694" s="11"/>
      <c r="F694" s="19"/>
      <c r="G694" s="20"/>
      <c r="H694" s="21"/>
      <c r="I694" s="22"/>
      <c r="J694" s="23"/>
      <c r="K694" s="24"/>
      <c r="N694" s="6"/>
      <c r="O694" s="27"/>
    </row>
    <row r="695" spans="1:15" x14ac:dyDescent="0.25">
      <c r="A695" s="13">
        <f t="shared" si="18"/>
        <v>23</v>
      </c>
      <c r="B695" s="17"/>
      <c r="C695" s="17"/>
      <c r="D695" s="18"/>
      <c r="E695" s="11"/>
      <c r="F695" s="19"/>
      <c r="G695" s="20"/>
      <c r="H695" s="21"/>
      <c r="I695" s="22"/>
      <c r="J695" s="23"/>
      <c r="K695" s="24"/>
      <c r="N695" s="6"/>
      <c r="O695" s="27"/>
    </row>
    <row r="696" spans="1:15" x14ac:dyDescent="0.25">
      <c r="A696" s="13">
        <f t="shared" si="18"/>
        <v>23</v>
      </c>
      <c r="B696" s="17"/>
      <c r="C696" s="17"/>
      <c r="D696" s="18"/>
      <c r="E696" s="11"/>
      <c r="F696" s="19"/>
      <c r="G696" s="20"/>
      <c r="H696" s="21"/>
      <c r="I696" s="22"/>
      <c r="J696" s="23"/>
      <c r="K696" s="24"/>
      <c r="N696" s="6"/>
      <c r="O696" s="27"/>
    </row>
    <row r="697" spans="1:15" x14ac:dyDescent="0.25">
      <c r="A697" s="13">
        <f t="shared" si="18"/>
        <v>23</v>
      </c>
      <c r="B697" s="17"/>
      <c r="C697" s="17"/>
      <c r="D697" s="18"/>
      <c r="E697" s="11"/>
      <c r="F697" s="19"/>
      <c r="G697" s="36"/>
      <c r="H697" s="21"/>
      <c r="I697" s="22"/>
      <c r="J697" s="23"/>
      <c r="K697" s="24"/>
      <c r="N697" s="6"/>
      <c r="O697" s="27"/>
    </row>
    <row r="698" spans="1:15" x14ac:dyDescent="0.25">
      <c r="A698" s="13">
        <f t="shared" si="18"/>
        <v>23</v>
      </c>
      <c r="B698" s="17"/>
      <c r="C698" s="17"/>
      <c r="D698" s="18"/>
      <c r="E698" s="11"/>
      <c r="F698" s="19"/>
      <c r="G698" s="36"/>
      <c r="H698" s="21"/>
      <c r="I698" s="22"/>
      <c r="J698" s="23"/>
      <c r="K698" s="24"/>
      <c r="N698" s="6"/>
      <c r="O698" s="27"/>
    </row>
    <row r="699" spans="1:15" x14ac:dyDescent="0.25">
      <c r="A699" s="13">
        <f t="shared" si="18"/>
        <v>23</v>
      </c>
      <c r="B699" s="17"/>
      <c r="C699" s="17"/>
      <c r="D699" s="18"/>
      <c r="E699" s="11"/>
      <c r="F699" s="19"/>
      <c r="G699" s="36"/>
      <c r="H699" s="21"/>
      <c r="I699" s="22"/>
      <c r="J699" s="23"/>
      <c r="K699" s="24"/>
      <c r="N699" s="6"/>
      <c r="O699" s="27"/>
    </row>
    <row r="700" spans="1:15" x14ac:dyDescent="0.25">
      <c r="A700" s="13">
        <f t="shared" si="18"/>
        <v>23</v>
      </c>
      <c r="B700" s="17"/>
      <c r="C700" s="17"/>
      <c r="D700" s="18"/>
      <c r="E700" s="11"/>
      <c r="F700" s="19"/>
      <c r="G700" s="36"/>
      <c r="H700" s="21"/>
      <c r="I700" s="22"/>
      <c r="J700" s="23"/>
      <c r="K700" s="24"/>
      <c r="N700" s="6"/>
      <c r="O700" s="27"/>
    </row>
    <row r="701" spans="1:15" x14ac:dyDescent="0.25">
      <c r="A701" s="13">
        <f t="shared" si="18"/>
        <v>23</v>
      </c>
      <c r="B701" s="17"/>
      <c r="C701" s="17"/>
      <c r="D701" s="18"/>
      <c r="E701" s="11"/>
      <c r="F701" s="19"/>
      <c r="G701" s="36"/>
      <c r="H701" s="21"/>
      <c r="I701" s="22"/>
      <c r="J701" s="23"/>
      <c r="K701" s="24"/>
      <c r="N701" s="6"/>
      <c r="O701" s="27"/>
    </row>
    <row r="702" spans="1:15" x14ac:dyDescent="0.25">
      <c r="A702" s="13">
        <f t="shared" si="18"/>
        <v>23</v>
      </c>
      <c r="B702" s="17"/>
      <c r="C702" s="17"/>
      <c r="D702" s="18"/>
      <c r="E702" s="11"/>
      <c r="F702" s="19"/>
      <c r="G702" s="20"/>
      <c r="H702" s="21"/>
      <c r="I702" s="22"/>
      <c r="J702" s="23"/>
      <c r="K702" s="24"/>
      <c r="N702" s="6"/>
      <c r="O702" s="27"/>
    </row>
    <row r="703" spans="1:15" x14ac:dyDescent="0.25">
      <c r="A703" s="13">
        <f t="shared" si="18"/>
        <v>23</v>
      </c>
      <c r="B703" s="17"/>
      <c r="C703" s="17"/>
      <c r="D703" s="18"/>
      <c r="E703" s="11"/>
      <c r="F703" s="19"/>
      <c r="G703" s="20"/>
      <c r="H703" s="21"/>
      <c r="I703" s="22"/>
      <c r="J703" s="23"/>
      <c r="K703" s="24"/>
      <c r="N703" s="6"/>
      <c r="O703" s="27"/>
    </row>
    <row r="704" spans="1:15" x14ac:dyDescent="0.25">
      <c r="A704" s="13">
        <f t="shared" si="18"/>
        <v>23</v>
      </c>
      <c r="B704" s="17"/>
      <c r="C704" s="17"/>
      <c r="D704" s="18"/>
      <c r="E704" s="11"/>
      <c r="F704" s="19"/>
      <c r="G704" s="20"/>
      <c r="H704" s="21"/>
      <c r="I704" s="22"/>
      <c r="J704" s="23"/>
      <c r="K704" s="24"/>
      <c r="N704" s="6"/>
      <c r="O704" s="27"/>
    </row>
    <row r="705" spans="1:15" x14ac:dyDescent="0.25">
      <c r="A705" s="13">
        <f t="shared" si="18"/>
        <v>23</v>
      </c>
      <c r="B705" s="17"/>
      <c r="C705" s="17"/>
      <c r="D705" s="18"/>
      <c r="E705" s="11"/>
      <c r="F705" s="19"/>
      <c r="G705" s="20"/>
      <c r="H705" s="21"/>
      <c r="I705" s="22"/>
      <c r="J705" s="23"/>
      <c r="K705" s="24"/>
      <c r="N705" s="6"/>
      <c r="O705" s="27"/>
    </row>
    <row r="706" spans="1:15" x14ac:dyDescent="0.25">
      <c r="A706" s="13">
        <f t="shared" si="18"/>
        <v>23</v>
      </c>
      <c r="B706" s="17"/>
      <c r="C706" s="17"/>
      <c r="D706" s="18"/>
      <c r="E706" s="11"/>
      <c r="F706" s="19"/>
      <c r="G706" s="20"/>
      <c r="H706" s="21"/>
      <c r="I706" s="22"/>
      <c r="J706" s="23"/>
      <c r="K706" s="24"/>
      <c r="N706" s="6"/>
      <c r="O706" s="27"/>
    </row>
    <row r="707" spans="1:15" x14ac:dyDescent="0.25">
      <c r="A707" s="13">
        <f t="shared" si="18"/>
        <v>23</v>
      </c>
      <c r="B707" s="17"/>
      <c r="C707" s="17"/>
      <c r="D707" s="18"/>
      <c r="E707" s="11"/>
      <c r="F707" s="19"/>
      <c r="G707" s="20"/>
      <c r="H707" s="21"/>
      <c r="I707" s="22"/>
      <c r="J707" s="23"/>
      <c r="K707" s="24"/>
      <c r="N707" s="6"/>
      <c r="O707" s="27"/>
    </row>
    <row r="708" spans="1:15" x14ac:dyDescent="0.25">
      <c r="A708" s="13">
        <f t="shared" ref="A708:A771" si="19">IF(B708=B707,A707,A707+1)</f>
        <v>23</v>
      </c>
      <c r="B708" s="17"/>
      <c r="C708" s="17"/>
      <c r="D708" s="18"/>
      <c r="E708" s="11"/>
      <c r="F708" s="19"/>
      <c r="G708" s="20"/>
      <c r="H708" s="21"/>
      <c r="I708" s="22"/>
      <c r="J708" s="23"/>
      <c r="K708" s="24"/>
      <c r="N708" s="6"/>
      <c r="O708" s="27"/>
    </row>
    <row r="709" spans="1:15" x14ac:dyDescent="0.25">
      <c r="A709" s="13">
        <f t="shared" si="19"/>
        <v>23</v>
      </c>
      <c r="B709" s="17"/>
      <c r="C709" s="17"/>
      <c r="D709" s="18"/>
      <c r="E709" s="11"/>
      <c r="F709" s="19"/>
      <c r="G709" s="36"/>
      <c r="H709" s="21"/>
      <c r="I709" s="22"/>
      <c r="J709" s="23"/>
      <c r="K709" s="24"/>
      <c r="N709" s="6"/>
      <c r="O709" s="27"/>
    </row>
    <row r="710" spans="1:15" x14ac:dyDescent="0.25">
      <c r="A710" s="13">
        <f t="shared" si="19"/>
        <v>23</v>
      </c>
      <c r="B710" s="17"/>
      <c r="C710" s="17"/>
      <c r="D710" s="18"/>
      <c r="E710" s="11"/>
      <c r="F710" s="19"/>
      <c r="G710" s="36"/>
      <c r="H710" s="21"/>
      <c r="I710" s="22"/>
      <c r="J710" s="23"/>
      <c r="K710" s="24"/>
      <c r="N710" s="6"/>
      <c r="O710" s="27"/>
    </row>
    <row r="711" spans="1:15" x14ac:dyDescent="0.25">
      <c r="A711" s="13">
        <f t="shared" si="19"/>
        <v>23</v>
      </c>
      <c r="B711" s="17"/>
      <c r="C711" s="17"/>
      <c r="D711" s="18"/>
      <c r="E711" s="11"/>
      <c r="F711" s="19"/>
      <c r="G711" s="36"/>
      <c r="H711" s="21"/>
      <c r="I711" s="22"/>
      <c r="J711" s="23"/>
      <c r="K711" s="24"/>
      <c r="N711" s="6"/>
      <c r="O711" s="27"/>
    </row>
    <row r="712" spans="1:15" x14ac:dyDescent="0.25">
      <c r="A712" s="13">
        <f t="shared" si="19"/>
        <v>23</v>
      </c>
      <c r="B712" s="17"/>
      <c r="C712" s="17"/>
      <c r="D712" s="18"/>
      <c r="E712" s="11"/>
      <c r="F712" s="19"/>
      <c r="G712" s="36"/>
      <c r="H712" s="21"/>
      <c r="I712" s="22"/>
      <c r="J712" s="23"/>
      <c r="K712" s="24"/>
      <c r="N712" s="6"/>
      <c r="O712" s="27"/>
    </row>
    <row r="713" spans="1:15" x14ac:dyDescent="0.25">
      <c r="A713" s="13">
        <f t="shared" si="19"/>
        <v>23</v>
      </c>
      <c r="B713" s="17"/>
      <c r="C713" s="17"/>
      <c r="D713" s="18"/>
      <c r="E713" s="11"/>
      <c r="F713" s="19"/>
      <c r="G713" s="36"/>
      <c r="H713" s="21"/>
      <c r="I713" s="22"/>
      <c r="J713" s="23"/>
      <c r="K713" s="24"/>
      <c r="N713" s="6"/>
      <c r="O713" s="27"/>
    </row>
    <row r="714" spans="1:15" x14ac:dyDescent="0.25">
      <c r="A714" s="13">
        <f t="shared" si="19"/>
        <v>23</v>
      </c>
      <c r="B714" s="17"/>
      <c r="C714" s="17"/>
      <c r="D714" s="18"/>
      <c r="E714" s="11"/>
      <c r="F714" s="19"/>
      <c r="G714" s="36"/>
      <c r="H714" s="21"/>
      <c r="I714" s="22"/>
      <c r="J714" s="23"/>
      <c r="K714" s="24"/>
      <c r="N714" s="6"/>
      <c r="O714" s="27"/>
    </row>
    <row r="715" spans="1:15" x14ac:dyDescent="0.25">
      <c r="A715" s="13">
        <f t="shared" si="19"/>
        <v>23</v>
      </c>
      <c r="B715" s="17"/>
      <c r="C715" s="17"/>
      <c r="D715" s="18"/>
      <c r="E715" s="11"/>
      <c r="F715" s="19"/>
      <c r="G715" s="36"/>
      <c r="H715" s="21"/>
      <c r="I715" s="22"/>
      <c r="J715" s="23"/>
      <c r="K715" s="24"/>
      <c r="N715" s="6"/>
      <c r="O715" s="27"/>
    </row>
    <row r="716" spans="1:15" x14ac:dyDescent="0.25">
      <c r="A716" s="13">
        <f t="shared" si="19"/>
        <v>23</v>
      </c>
      <c r="B716" s="17"/>
      <c r="C716" s="17"/>
      <c r="D716" s="18"/>
      <c r="E716" s="11"/>
      <c r="F716" s="19"/>
      <c r="G716" s="36"/>
      <c r="H716" s="21"/>
      <c r="I716" s="22"/>
      <c r="J716" s="23"/>
      <c r="K716" s="24"/>
      <c r="N716" s="6"/>
      <c r="O716" s="27"/>
    </row>
    <row r="717" spans="1:15" x14ac:dyDescent="0.25">
      <c r="A717" s="13">
        <f t="shared" si="19"/>
        <v>23</v>
      </c>
      <c r="B717" s="17"/>
      <c r="C717" s="17"/>
      <c r="D717" s="18"/>
      <c r="E717" s="11"/>
      <c r="F717" s="19"/>
      <c r="G717" s="36"/>
      <c r="H717" s="21"/>
      <c r="I717" s="22"/>
      <c r="J717" s="23"/>
      <c r="K717" s="24"/>
      <c r="N717" s="6"/>
      <c r="O717" s="27"/>
    </row>
    <row r="718" spans="1:15" x14ac:dyDescent="0.25">
      <c r="A718" s="13">
        <f t="shared" si="19"/>
        <v>23</v>
      </c>
      <c r="B718" s="17"/>
      <c r="C718" s="17"/>
      <c r="D718" s="18"/>
      <c r="E718" s="11"/>
      <c r="F718" s="19"/>
      <c r="G718" s="36"/>
      <c r="H718" s="21"/>
      <c r="I718" s="22"/>
      <c r="J718" s="23"/>
      <c r="K718" s="24"/>
      <c r="N718" s="6"/>
      <c r="O718" s="27"/>
    </row>
    <row r="719" spans="1:15" x14ac:dyDescent="0.25">
      <c r="A719" s="13">
        <f t="shared" si="19"/>
        <v>23</v>
      </c>
      <c r="B719" s="17"/>
      <c r="C719" s="17"/>
      <c r="D719" s="18"/>
      <c r="E719" s="11"/>
      <c r="F719" s="19"/>
      <c r="G719" s="36"/>
      <c r="H719" s="21"/>
      <c r="I719" s="22"/>
      <c r="J719" s="23"/>
      <c r="K719" s="24"/>
      <c r="N719" s="6"/>
      <c r="O719" s="27"/>
    </row>
    <row r="720" spans="1:15" x14ac:dyDescent="0.25">
      <c r="A720" s="13">
        <f t="shared" si="19"/>
        <v>23</v>
      </c>
      <c r="B720" s="17"/>
      <c r="C720" s="17"/>
      <c r="D720" s="18"/>
      <c r="E720" s="11"/>
      <c r="F720" s="19"/>
      <c r="G720" s="36"/>
      <c r="H720" s="21"/>
      <c r="I720" s="22"/>
      <c r="J720" s="23"/>
      <c r="K720" s="24"/>
      <c r="N720" s="6"/>
      <c r="O720" s="27"/>
    </row>
    <row r="721" spans="1:15" x14ac:dyDescent="0.25">
      <c r="A721" s="13">
        <f t="shared" si="19"/>
        <v>23</v>
      </c>
      <c r="B721" s="17"/>
      <c r="C721" s="17"/>
      <c r="D721" s="18"/>
      <c r="E721" s="11"/>
      <c r="F721" s="19"/>
      <c r="G721" s="36"/>
      <c r="H721" s="21"/>
      <c r="I721" s="22"/>
      <c r="J721" s="23"/>
      <c r="K721" s="24"/>
      <c r="N721" s="6"/>
      <c r="O721" s="27"/>
    </row>
    <row r="722" spans="1:15" x14ac:dyDescent="0.25">
      <c r="A722" s="13">
        <f t="shared" si="19"/>
        <v>23</v>
      </c>
      <c r="B722" s="17"/>
      <c r="C722" s="17"/>
      <c r="D722" s="18"/>
      <c r="E722" s="11"/>
      <c r="F722" s="19"/>
      <c r="G722" s="36"/>
      <c r="H722" s="21"/>
      <c r="I722" s="22"/>
      <c r="J722" s="23"/>
      <c r="K722" s="24"/>
      <c r="N722" s="6"/>
      <c r="O722" s="27"/>
    </row>
    <row r="723" spans="1:15" x14ac:dyDescent="0.25">
      <c r="A723" s="13">
        <f t="shared" si="19"/>
        <v>23</v>
      </c>
      <c r="B723" s="17"/>
      <c r="C723" s="17"/>
      <c r="D723" s="18"/>
      <c r="E723" s="11"/>
      <c r="F723" s="19"/>
      <c r="G723" s="36"/>
      <c r="H723" s="21"/>
      <c r="I723" s="22"/>
      <c r="J723" s="23"/>
      <c r="K723" s="24"/>
      <c r="N723" s="6"/>
      <c r="O723" s="27"/>
    </row>
    <row r="724" spans="1:15" x14ac:dyDescent="0.25">
      <c r="A724" s="13">
        <f t="shared" si="19"/>
        <v>23</v>
      </c>
      <c r="B724" s="17"/>
      <c r="C724" s="17"/>
      <c r="D724" s="18"/>
      <c r="E724" s="11"/>
      <c r="F724" s="19"/>
      <c r="G724" s="36"/>
      <c r="H724" s="21"/>
      <c r="I724" s="22"/>
      <c r="J724" s="23"/>
      <c r="K724" s="24"/>
      <c r="N724" s="6"/>
      <c r="O724" s="27"/>
    </row>
    <row r="725" spans="1:15" x14ac:dyDescent="0.25">
      <c r="A725" s="13">
        <f t="shared" si="19"/>
        <v>23</v>
      </c>
      <c r="B725" s="17"/>
      <c r="C725" s="17"/>
      <c r="D725" s="18"/>
      <c r="E725" s="11"/>
      <c r="F725" s="19"/>
      <c r="G725" s="20"/>
      <c r="H725" s="21"/>
      <c r="I725" s="22"/>
      <c r="J725" s="23"/>
      <c r="K725" s="24"/>
      <c r="N725" s="6"/>
      <c r="O725" s="27"/>
    </row>
    <row r="726" spans="1:15" x14ac:dyDescent="0.25">
      <c r="A726" s="13">
        <f t="shared" si="19"/>
        <v>23</v>
      </c>
      <c r="B726" s="17"/>
      <c r="C726" s="17"/>
      <c r="D726" s="18"/>
      <c r="E726" s="11"/>
      <c r="F726" s="19"/>
      <c r="G726" s="20"/>
      <c r="H726" s="21"/>
      <c r="I726" s="22"/>
      <c r="J726" s="23"/>
      <c r="K726" s="24"/>
      <c r="N726" s="6"/>
      <c r="O726" s="27"/>
    </row>
    <row r="727" spans="1:15" x14ac:dyDescent="0.25">
      <c r="A727" s="13">
        <f t="shared" si="19"/>
        <v>23</v>
      </c>
      <c r="B727" s="17"/>
      <c r="C727" s="17"/>
      <c r="D727" s="18"/>
      <c r="E727" s="11"/>
      <c r="F727" s="19"/>
      <c r="G727" s="20"/>
      <c r="H727" s="21"/>
      <c r="I727" s="22"/>
      <c r="J727" s="23"/>
      <c r="K727" s="24"/>
      <c r="N727" s="6"/>
      <c r="O727" s="27"/>
    </row>
    <row r="728" spans="1:15" x14ac:dyDescent="0.25">
      <c r="A728" s="13">
        <f t="shared" si="19"/>
        <v>23</v>
      </c>
      <c r="B728" s="17"/>
      <c r="C728" s="17"/>
      <c r="D728" s="18"/>
      <c r="E728" s="11"/>
      <c r="F728" s="19"/>
      <c r="G728" s="20"/>
      <c r="H728" s="21"/>
      <c r="I728" s="22"/>
      <c r="J728" s="23"/>
      <c r="K728" s="24"/>
      <c r="N728" s="6"/>
      <c r="O728" s="27"/>
    </row>
    <row r="729" spans="1:15" x14ac:dyDescent="0.25">
      <c r="A729" s="13">
        <f t="shared" si="19"/>
        <v>23</v>
      </c>
      <c r="B729" s="17"/>
      <c r="C729" s="17"/>
      <c r="D729" s="18"/>
      <c r="E729" s="11"/>
      <c r="F729" s="19"/>
      <c r="G729" s="20"/>
      <c r="H729" s="21"/>
      <c r="I729" s="22"/>
      <c r="J729" s="23"/>
      <c r="K729" s="24"/>
      <c r="N729" s="6"/>
      <c r="O729" s="27"/>
    </row>
    <row r="730" spans="1:15" x14ac:dyDescent="0.25">
      <c r="A730" s="13">
        <f t="shared" si="19"/>
        <v>23</v>
      </c>
      <c r="B730" s="17"/>
      <c r="C730" s="17"/>
      <c r="D730" s="18"/>
      <c r="E730" s="11"/>
      <c r="F730" s="19"/>
      <c r="G730" s="20"/>
      <c r="H730" s="21"/>
      <c r="I730" s="22"/>
      <c r="J730" s="23"/>
      <c r="K730" s="24"/>
      <c r="N730" s="6"/>
      <c r="O730" s="27"/>
    </row>
    <row r="731" spans="1:15" x14ac:dyDescent="0.25">
      <c r="A731" s="13">
        <f t="shared" si="19"/>
        <v>23</v>
      </c>
      <c r="B731" s="17"/>
      <c r="C731" s="17"/>
      <c r="D731" s="18"/>
      <c r="E731" s="11"/>
      <c r="F731" s="19"/>
      <c r="G731" s="20"/>
      <c r="H731" s="21"/>
      <c r="I731" s="22"/>
      <c r="J731" s="23"/>
      <c r="K731" s="24"/>
      <c r="N731" s="6"/>
      <c r="O731" s="27"/>
    </row>
    <row r="732" spans="1:15" x14ac:dyDescent="0.25">
      <c r="A732" s="13">
        <f t="shared" si="19"/>
        <v>23</v>
      </c>
      <c r="B732" s="17"/>
      <c r="C732" s="17"/>
      <c r="D732" s="18"/>
      <c r="E732" s="11"/>
      <c r="F732" s="19"/>
      <c r="G732" s="20"/>
      <c r="H732" s="21"/>
      <c r="I732" s="22"/>
      <c r="J732" s="23"/>
      <c r="K732" s="24"/>
      <c r="N732" s="6"/>
      <c r="O732" s="27"/>
    </row>
    <row r="733" spans="1:15" x14ac:dyDescent="0.25">
      <c r="A733" s="13">
        <f t="shared" si="19"/>
        <v>23</v>
      </c>
      <c r="B733" s="17"/>
      <c r="C733" s="17"/>
      <c r="D733" s="18"/>
      <c r="E733" s="11"/>
      <c r="F733" s="19"/>
      <c r="G733" s="20"/>
      <c r="H733" s="21"/>
      <c r="I733" s="22"/>
      <c r="J733" s="23"/>
      <c r="K733" s="24"/>
      <c r="N733" s="6"/>
      <c r="O733" s="27"/>
    </row>
    <row r="734" spans="1:15" x14ac:dyDescent="0.25">
      <c r="A734" s="13">
        <f t="shared" si="19"/>
        <v>23</v>
      </c>
      <c r="B734" s="17"/>
      <c r="C734" s="17"/>
      <c r="D734" s="18"/>
      <c r="E734" s="11"/>
      <c r="F734" s="19"/>
      <c r="G734" s="20"/>
      <c r="H734" s="21"/>
      <c r="I734" s="22"/>
      <c r="J734" s="23"/>
      <c r="K734" s="24"/>
      <c r="N734" s="6"/>
      <c r="O734" s="27"/>
    </row>
    <row r="735" spans="1:15" x14ac:dyDescent="0.25">
      <c r="A735" s="13">
        <f t="shared" si="19"/>
        <v>23</v>
      </c>
      <c r="B735" s="17"/>
      <c r="C735" s="17"/>
      <c r="D735" s="18"/>
      <c r="E735" s="11"/>
      <c r="F735" s="19"/>
      <c r="G735" s="20"/>
      <c r="H735" s="21"/>
      <c r="I735" s="22"/>
      <c r="J735" s="23"/>
      <c r="K735" s="24"/>
      <c r="N735" s="6"/>
      <c r="O735" s="27"/>
    </row>
    <row r="736" spans="1:15" x14ac:dyDescent="0.25">
      <c r="A736" s="13">
        <f t="shared" si="19"/>
        <v>23</v>
      </c>
      <c r="B736" s="17"/>
      <c r="C736" s="17"/>
      <c r="D736" s="18"/>
      <c r="E736" s="11"/>
      <c r="F736" s="19"/>
      <c r="G736" s="20"/>
      <c r="H736" s="21"/>
      <c r="I736" s="22"/>
      <c r="J736" s="23"/>
      <c r="K736" s="24"/>
      <c r="N736" s="6"/>
      <c r="O736" s="27"/>
    </row>
    <row r="737" spans="1:15" x14ac:dyDescent="0.25">
      <c r="A737" s="13">
        <f t="shared" si="19"/>
        <v>23</v>
      </c>
      <c r="B737" s="17"/>
      <c r="C737" s="17"/>
      <c r="D737" s="18"/>
      <c r="E737" s="11"/>
      <c r="F737" s="19"/>
      <c r="G737" s="20"/>
      <c r="H737" s="21"/>
      <c r="I737" s="22"/>
      <c r="J737" s="23"/>
      <c r="K737" s="24"/>
      <c r="N737" s="6"/>
      <c r="O737" s="27"/>
    </row>
    <row r="738" spans="1:15" x14ac:dyDescent="0.25">
      <c r="A738" s="13">
        <f t="shared" si="19"/>
        <v>23</v>
      </c>
      <c r="B738" s="17"/>
      <c r="C738" s="17"/>
      <c r="D738" s="18"/>
      <c r="E738" s="11"/>
      <c r="F738" s="19"/>
      <c r="G738" s="20"/>
      <c r="H738" s="21"/>
      <c r="I738" s="22"/>
      <c r="J738" s="23"/>
      <c r="K738" s="24"/>
      <c r="N738" s="6"/>
      <c r="O738" s="27"/>
    </row>
    <row r="739" spans="1:15" x14ac:dyDescent="0.25">
      <c r="A739" s="13">
        <f t="shared" si="19"/>
        <v>23</v>
      </c>
      <c r="B739" s="17"/>
      <c r="C739" s="17"/>
      <c r="D739" s="18"/>
      <c r="E739" s="11"/>
      <c r="F739" s="19"/>
      <c r="G739" s="20"/>
      <c r="H739" s="21"/>
      <c r="I739" s="22"/>
      <c r="J739" s="23"/>
      <c r="K739" s="24"/>
      <c r="N739" s="6"/>
      <c r="O739" s="27"/>
    </row>
    <row r="740" spans="1:15" x14ac:dyDescent="0.25">
      <c r="A740" s="13">
        <f t="shared" si="19"/>
        <v>23</v>
      </c>
      <c r="B740" s="17"/>
      <c r="C740" s="17"/>
      <c r="D740" s="18"/>
      <c r="E740" s="11"/>
      <c r="F740" s="19"/>
      <c r="G740" s="20"/>
      <c r="H740" s="21"/>
      <c r="I740" s="22"/>
      <c r="J740" s="23"/>
      <c r="K740" s="24"/>
      <c r="N740" s="6"/>
      <c r="O740" s="27"/>
    </row>
    <row r="741" spans="1:15" x14ac:dyDescent="0.25">
      <c r="A741" s="13">
        <f t="shared" si="19"/>
        <v>23</v>
      </c>
      <c r="B741" s="17"/>
      <c r="C741" s="17"/>
      <c r="D741" s="18"/>
      <c r="E741" s="11"/>
      <c r="F741" s="19"/>
      <c r="G741" s="20"/>
      <c r="H741" s="21"/>
      <c r="I741" s="22"/>
      <c r="J741" s="23"/>
      <c r="K741" s="24"/>
      <c r="N741" s="6"/>
      <c r="O741" s="27"/>
    </row>
    <row r="742" spans="1:15" x14ac:dyDescent="0.25">
      <c r="A742" s="13">
        <f t="shared" si="19"/>
        <v>23</v>
      </c>
      <c r="B742" s="17"/>
      <c r="C742" s="17"/>
      <c r="D742" s="18"/>
      <c r="E742" s="11"/>
      <c r="F742" s="19"/>
      <c r="G742" s="20"/>
      <c r="H742" s="21"/>
      <c r="I742" s="22"/>
      <c r="J742" s="23"/>
      <c r="K742" s="24"/>
      <c r="N742" s="6"/>
      <c r="O742" s="27"/>
    </row>
    <row r="743" spans="1:15" x14ac:dyDescent="0.25">
      <c r="A743" s="13">
        <f t="shared" si="19"/>
        <v>23</v>
      </c>
      <c r="B743" s="17"/>
      <c r="C743" s="17"/>
      <c r="D743" s="18"/>
      <c r="E743" s="11"/>
      <c r="F743" s="19"/>
      <c r="G743" s="20"/>
      <c r="H743" s="21"/>
      <c r="I743" s="22"/>
      <c r="J743" s="23"/>
      <c r="K743" s="24"/>
      <c r="N743" s="6"/>
      <c r="O743" s="27"/>
    </row>
    <row r="744" spans="1:15" x14ac:dyDescent="0.25">
      <c r="A744" s="13">
        <f t="shared" si="19"/>
        <v>23</v>
      </c>
      <c r="B744" s="17"/>
      <c r="C744" s="17"/>
      <c r="D744" s="18"/>
      <c r="E744" s="11"/>
      <c r="F744" s="19"/>
      <c r="G744" s="36"/>
      <c r="H744" s="21"/>
      <c r="I744" s="22"/>
      <c r="J744" s="23"/>
      <c r="K744" s="24"/>
      <c r="N744" s="6"/>
      <c r="O744" s="27"/>
    </row>
    <row r="745" spans="1:15" x14ac:dyDescent="0.25">
      <c r="A745" s="13">
        <f t="shared" si="19"/>
        <v>23</v>
      </c>
      <c r="B745" s="17"/>
      <c r="C745" s="17"/>
      <c r="D745" s="18"/>
      <c r="E745" s="11"/>
      <c r="F745" s="19"/>
      <c r="G745" s="36"/>
      <c r="H745" s="21"/>
      <c r="I745" s="22"/>
      <c r="J745" s="23"/>
      <c r="K745" s="24"/>
      <c r="N745" s="6"/>
      <c r="O745" s="27"/>
    </row>
    <row r="746" spans="1:15" x14ac:dyDescent="0.25">
      <c r="A746" s="13">
        <f t="shared" si="19"/>
        <v>23</v>
      </c>
      <c r="B746" s="17"/>
      <c r="C746" s="17"/>
      <c r="D746" s="18"/>
      <c r="E746" s="11"/>
      <c r="F746" s="19"/>
      <c r="G746" s="36"/>
      <c r="H746" s="21"/>
      <c r="I746" s="22"/>
      <c r="J746" s="23"/>
      <c r="K746" s="24"/>
      <c r="N746" s="6"/>
      <c r="O746" s="27"/>
    </row>
    <row r="747" spans="1:15" x14ac:dyDescent="0.25">
      <c r="A747" s="13">
        <f t="shared" si="19"/>
        <v>23</v>
      </c>
      <c r="B747" s="17"/>
      <c r="C747" s="17"/>
      <c r="D747" s="18"/>
      <c r="E747" s="11"/>
      <c r="F747" s="19"/>
      <c r="G747" s="36"/>
      <c r="H747" s="21"/>
      <c r="I747" s="22"/>
      <c r="J747" s="23"/>
      <c r="K747" s="24"/>
      <c r="N747" s="6"/>
      <c r="O747" s="27"/>
    </row>
    <row r="748" spans="1:15" x14ac:dyDescent="0.25">
      <c r="A748" s="13">
        <f t="shared" si="19"/>
        <v>23</v>
      </c>
      <c r="B748" s="17"/>
      <c r="C748" s="17"/>
      <c r="D748" s="18"/>
      <c r="E748" s="11"/>
      <c r="F748" s="19"/>
      <c r="G748" s="36"/>
      <c r="H748" s="21"/>
      <c r="I748" s="22"/>
      <c r="J748" s="23"/>
      <c r="K748" s="24"/>
      <c r="N748" s="6"/>
      <c r="O748" s="27"/>
    </row>
    <row r="749" spans="1:15" x14ac:dyDescent="0.25">
      <c r="A749" s="13">
        <f t="shared" si="19"/>
        <v>23</v>
      </c>
      <c r="B749" s="17"/>
      <c r="C749" s="17"/>
      <c r="D749" s="18"/>
      <c r="E749" s="11"/>
      <c r="F749" s="19"/>
      <c r="G749" s="36"/>
      <c r="H749" s="21"/>
      <c r="I749" s="22"/>
      <c r="J749" s="23"/>
      <c r="K749" s="24"/>
      <c r="N749" s="6"/>
      <c r="O749" s="27"/>
    </row>
    <row r="750" spans="1:15" x14ac:dyDescent="0.25">
      <c r="A750" s="13">
        <f t="shared" si="19"/>
        <v>23</v>
      </c>
      <c r="B750" s="17"/>
      <c r="C750" s="17"/>
      <c r="D750" s="18"/>
      <c r="E750" s="11"/>
      <c r="F750" s="19"/>
      <c r="G750" s="36"/>
      <c r="H750" s="21"/>
      <c r="I750" s="22"/>
      <c r="J750" s="23"/>
      <c r="K750" s="24"/>
      <c r="N750" s="6"/>
      <c r="O750" s="27"/>
    </row>
    <row r="751" spans="1:15" x14ac:dyDescent="0.25">
      <c r="A751" s="13">
        <f t="shared" si="19"/>
        <v>23</v>
      </c>
      <c r="B751" s="17"/>
      <c r="C751" s="17"/>
      <c r="D751" s="18"/>
      <c r="E751" s="11"/>
      <c r="F751" s="19"/>
      <c r="G751" s="36"/>
      <c r="H751" s="21"/>
      <c r="I751" s="22"/>
      <c r="J751" s="23"/>
      <c r="K751" s="24"/>
      <c r="N751" s="6"/>
      <c r="O751" s="27"/>
    </row>
    <row r="752" spans="1:15" x14ac:dyDescent="0.25">
      <c r="A752" s="13">
        <f t="shared" si="19"/>
        <v>23</v>
      </c>
      <c r="B752" s="17"/>
      <c r="C752" s="17"/>
      <c r="D752" s="18"/>
      <c r="E752" s="11"/>
      <c r="F752" s="19"/>
      <c r="G752" s="36"/>
      <c r="H752" s="21"/>
      <c r="I752" s="22"/>
      <c r="J752" s="23"/>
      <c r="K752" s="24"/>
      <c r="N752" s="6"/>
      <c r="O752" s="27"/>
    </row>
    <row r="753" spans="1:15" x14ac:dyDescent="0.25">
      <c r="A753" s="13">
        <f t="shared" si="19"/>
        <v>23</v>
      </c>
      <c r="B753" s="17"/>
      <c r="C753" s="17"/>
      <c r="D753" s="18"/>
      <c r="E753" s="11"/>
      <c r="F753" s="19"/>
      <c r="G753" s="36"/>
      <c r="H753" s="21"/>
      <c r="I753" s="22"/>
      <c r="J753" s="23"/>
      <c r="K753" s="24"/>
      <c r="N753" s="6"/>
      <c r="O753" s="27"/>
    </row>
    <row r="754" spans="1:15" x14ac:dyDescent="0.25">
      <c r="A754" s="13">
        <f t="shared" si="19"/>
        <v>23</v>
      </c>
      <c r="B754" s="17"/>
      <c r="C754" s="17"/>
      <c r="D754" s="18"/>
      <c r="E754" s="11"/>
      <c r="F754" s="19"/>
      <c r="G754" s="36"/>
      <c r="H754" s="21"/>
      <c r="I754" s="22"/>
      <c r="J754" s="23"/>
      <c r="K754" s="24"/>
      <c r="N754" s="6"/>
      <c r="O754" s="27"/>
    </row>
    <row r="755" spans="1:15" x14ac:dyDescent="0.25">
      <c r="A755" s="13">
        <f t="shared" si="19"/>
        <v>23</v>
      </c>
      <c r="B755" s="17"/>
      <c r="C755" s="17"/>
      <c r="D755" s="18"/>
      <c r="E755" s="11"/>
      <c r="F755" s="19"/>
      <c r="G755" s="36"/>
      <c r="H755" s="21"/>
      <c r="I755" s="22"/>
      <c r="J755" s="23"/>
      <c r="K755" s="24"/>
      <c r="N755" s="6"/>
      <c r="O755" s="27"/>
    </row>
    <row r="756" spans="1:15" x14ac:dyDescent="0.25">
      <c r="A756" s="13">
        <f t="shared" si="19"/>
        <v>23</v>
      </c>
      <c r="B756" s="17"/>
      <c r="C756" s="17"/>
      <c r="D756" s="18"/>
      <c r="E756" s="11"/>
      <c r="F756" s="19"/>
      <c r="G756" s="36"/>
      <c r="H756" s="21"/>
      <c r="I756" s="22"/>
      <c r="J756" s="23"/>
      <c r="K756" s="24"/>
      <c r="N756" s="6"/>
      <c r="O756" s="27"/>
    </row>
    <row r="757" spans="1:15" x14ac:dyDescent="0.25">
      <c r="A757" s="13">
        <f t="shared" si="19"/>
        <v>23</v>
      </c>
      <c r="B757" s="17"/>
      <c r="C757" s="17"/>
      <c r="D757" s="18"/>
      <c r="E757" s="11"/>
      <c r="F757" s="19"/>
      <c r="G757" s="36"/>
      <c r="H757" s="21"/>
      <c r="I757" s="22"/>
      <c r="J757" s="23"/>
      <c r="K757" s="24"/>
      <c r="N757" s="6"/>
      <c r="O757" s="27"/>
    </row>
    <row r="758" spans="1:15" x14ac:dyDescent="0.25">
      <c r="A758" s="13">
        <f t="shared" si="19"/>
        <v>23</v>
      </c>
      <c r="B758" s="17"/>
      <c r="C758" s="17"/>
      <c r="D758" s="18"/>
      <c r="E758" s="11"/>
      <c r="F758" s="19"/>
      <c r="G758" s="36"/>
      <c r="H758" s="21"/>
      <c r="I758" s="22"/>
      <c r="J758" s="23"/>
      <c r="K758" s="24"/>
      <c r="N758" s="6"/>
      <c r="O758" s="27"/>
    </row>
    <row r="759" spans="1:15" x14ac:dyDescent="0.25">
      <c r="A759" s="13">
        <f t="shared" si="19"/>
        <v>23</v>
      </c>
      <c r="B759" s="17"/>
      <c r="C759" s="17"/>
      <c r="D759" s="18"/>
      <c r="E759" s="11"/>
      <c r="F759" s="19"/>
      <c r="G759" s="36"/>
      <c r="H759" s="21"/>
      <c r="I759" s="22"/>
      <c r="J759" s="23"/>
      <c r="K759" s="24"/>
      <c r="N759" s="6"/>
      <c r="O759" s="27"/>
    </row>
    <row r="760" spans="1:15" x14ac:dyDescent="0.25">
      <c r="A760" s="13">
        <f t="shared" si="19"/>
        <v>23</v>
      </c>
      <c r="B760" s="17"/>
      <c r="C760" s="17"/>
      <c r="D760" s="18"/>
      <c r="E760" s="11"/>
      <c r="F760" s="19"/>
      <c r="G760" s="36"/>
      <c r="H760" s="21"/>
      <c r="I760" s="22"/>
      <c r="J760" s="23"/>
      <c r="K760" s="24"/>
      <c r="N760" s="6"/>
      <c r="O760" s="27"/>
    </row>
    <row r="761" spans="1:15" x14ac:dyDescent="0.25">
      <c r="A761" s="13">
        <f t="shared" si="19"/>
        <v>23</v>
      </c>
      <c r="B761" s="17"/>
      <c r="C761" s="17"/>
      <c r="D761" s="18"/>
      <c r="E761" s="11"/>
      <c r="F761" s="19"/>
      <c r="G761" s="20"/>
      <c r="H761" s="21"/>
      <c r="I761" s="22"/>
      <c r="J761" s="23"/>
      <c r="K761" s="24"/>
      <c r="N761" s="6"/>
      <c r="O761" s="27"/>
    </row>
    <row r="762" spans="1:15" x14ac:dyDescent="0.25">
      <c r="A762" s="13">
        <f t="shared" si="19"/>
        <v>23</v>
      </c>
      <c r="B762" s="17"/>
      <c r="C762" s="17"/>
      <c r="D762" s="18"/>
      <c r="E762" s="11"/>
      <c r="F762" s="19"/>
      <c r="G762" s="20"/>
      <c r="H762" s="21"/>
      <c r="I762" s="22"/>
      <c r="J762" s="23"/>
      <c r="K762" s="24"/>
      <c r="N762" s="6"/>
      <c r="O762" s="27"/>
    </row>
    <row r="763" spans="1:15" x14ac:dyDescent="0.25">
      <c r="A763" s="13">
        <f t="shared" si="19"/>
        <v>23</v>
      </c>
      <c r="B763" s="17"/>
      <c r="C763" s="17"/>
      <c r="D763" s="18"/>
      <c r="E763" s="11"/>
      <c r="F763" s="19"/>
      <c r="G763" s="20"/>
      <c r="H763" s="21"/>
      <c r="I763" s="22"/>
      <c r="J763" s="23"/>
      <c r="K763" s="24"/>
      <c r="N763" s="6"/>
      <c r="O763" s="27"/>
    </row>
    <row r="764" spans="1:15" x14ac:dyDescent="0.25">
      <c r="A764" s="13">
        <f t="shared" si="19"/>
        <v>23</v>
      </c>
      <c r="B764" s="17"/>
      <c r="C764" s="17"/>
      <c r="D764" s="18"/>
      <c r="E764" s="11"/>
      <c r="F764" s="19"/>
      <c r="G764" s="20"/>
      <c r="H764" s="21"/>
      <c r="I764" s="22"/>
      <c r="J764" s="23"/>
      <c r="K764" s="24"/>
      <c r="N764" s="6"/>
      <c r="O764" s="27"/>
    </row>
    <row r="765" spans="1:15" x14ac:dyDescent="0.25">
      <c r="A765" s="13">
        <f t="shared" si="19"/>
        <v>23</v>
      </c>
      <c r="B765" s="17"/>
      <c r="C765" s="17"/>
      <c r="D765" s="18"/>
      <c r="E765" s="11"/>
      <c r="F765" s="19"/>
      <c r="G765" s="20"/>
      <c r="H765" s="21"/>
      <c r="I765" s="22"/>
      <c r="J765" s="23"/>
      <c r="K765" s="24"/>
      <c r="N765" s="6"/>
      <c r="O765" s="27"/>
    </row>
    <row r="766" spans="1:15" x14ac:dyDescent="0.25">
      <c r="A766" s="13">
        <f t="shared" si="19"/>
        <v>23</v>
      </c>
      <c r="B766" s="17"/>
      <c r="C766" s="17"/>
      <c r="D766" s="18"/>
      <c r="E766" s="11"/>
      <c r="F766" s="19"/>
      <c r="G766" s="20"/>
      <c r="H766" s="21"/>
      <c r="I766" s="22"/>
      <c r="J766" s="23"/>
      <c r="K766" s="24"/>
      <c r="N766" s="6"/>
      <c r="O766" s="27"/>
    </row>
    <row r="767" spans="1:15" x14ac:dyDescent="0.25">
      <c r="A767" s="13">
        <f t="shared" si="19"/>
        <v>23</v>
      </c>
      <c r="B767" s="17"/>
      <c r="C767" s="17"/>
      <c r="D767" s="18"/>
      <c r="E767" s="11"/>
      <c r="F767" s="19"/>
      <c r="G767" s="20"/>
      <c r="H767" s="21"/>
      <c r="I767" s="22"/>
      <c r="J767" s="23"/>
      <c r="K767" s="24"/>
      <c r="N767" s="6"/>
      <c r="O767" s="27"/>
    </row>
    <row r="768" spans="1:15" x14ac:dyDescent="0.25">
      <c r="A768" s="13">
        <f t="shared" si="19"/>
        <v>23</v>
      </c>
      <c r="B768" s="17"/>
      <c r="C768" s="17"/>
      <c r="D768" s="18"/>
      <c r="E768" s="11"/>
      <c r="F768" s="19"/>
      <c r="G768" s="20"/>
      <c r="H768" s="21"/>
      <c r="I768" s="22"/>
      <c r="J768" s="23"/>
      <c r="K768" s="24"/>
      <c r="N768" s="6"/>
      <c r="O768" s="27"/>
    </row>
    <row r="769" spans="1:15" x14ac:dyDescent="0.25">
      <c r="A769" s="13">
        <f t="shared" si="19"/>
        <v>23</v>
      </c>
      <c r="B769" s="17"/>
      <c r="C769" s="17"/>
      <c r="D769" s="18"/>
      <c r="E769" s="11"/>
      <c r="F769" s="19"/>
      <c r="G769" s="36"/>
      <c r="H769" s="21"/>
      <c r="I769" s="22"/>
      <c r="J769" s="23"/>
      <c r="K769" s="24"/>
      <c r="N769" s="6"/>
      <c r="O769" s="27"/>
    </row>
    <row r="770" spans="1:15" x14ac:dyDescent="0.25">
      <c r="A770" s="13">
        <f t="shared" si="19"/>
        <v>23</v>
      </c>
      <c r="B770" s="17"/>
      <c r="C770" s="17"/>
      <c r="D770" s="18"/>
      <c r="E770" s="11"/>
      <c r="F770" s="19"/>
      <c r="G770" s="36"/>
      <c r="H770" s="21"/>
      <c r="I770" s="22"/>
      <c r="J770" s="23"/>
      <c r="K770" s="24"/>
      <c r="N770" s="6"/>
      <c r="O770" s="27"/>
    </row>
    <row r="771" spans="1:15" x14ac:dyDescent="0.25">
      <c r="A771" s="13">
        <f t="shared" si="19"/>
        <v>23</v>
      </c>
      <c r="B771" s="17"/>
      <c r="C771" s="17"/>
      <c r="D771" s="18"/>
      <c r="E771" s="11"/>
      <c r="F771" s="19"/>
      <c r="G771" s="36"/>
      <c r="H771" s="21"/>
      <c r="I771" s="22"/>
      <c r="J771" s="23"/>
      <c r="K771" s="24"/>
      <c r="N771" s="6"/>
      <c r="O771" s="27"/>
    </row>
    <row r="772" spans="1:15" x14ac:dyDescent="0.25">
      <c r="A772" s="13">
        <f t="shared" ref="A772:A835" si="20">IF(B772=B771,A771,A771+1)</f>
        <v>23</v>
      </c>
      <c r="B772" s="17"/>
      <c r="C772" s="17"/>
      <c r="D772" s="18"/>
      <c r="E772" s="11"/>
      <c r="F772" s="19"/>
      <c r="G772" s="36"/>
      <c r="H772" s="21"/>
      <c r="I772" s="22"/>
      <c r="J772" s="23"/>
      <c r="K772" s="24"/>
      <c r="N772" s="6"/>
      <c r="O772" s="27"/>
    </row>
    <row r="773" spans="1:15" x14ac:dyDescent="0.25">
      <c r="A773" s="13">
        <f t="shared" si="20"/>
        <v>23</v>
      </c>
      <c r="B773" s="17"/>
      <c r="C773" s="17"/>
      <c r="D773" s="18"/>
      <c r="E773" s="11"/>
      <c r="F773" s="19"/>
      <c r="G773" s="36"/>
      <c r="H773" s="21"/>
      <c r="I773" s="22"/>
      <c r="J773" s="23"/>
      <c r="K773" s="24"/>
      <c r="N773" s="6"/>
      <c r="O773" s="27"/>
    </row>
    <row r="774" spans="1:15" x14ac:dyDescent="0.25">
      <c r="A774" s="13">
        <f t="shared" si="20"/>
        <v>23</v>
      </c>
      <c r="B774" s="17"/>
      <c r="C774" s="17"/>
      <c r="D774" s="18"/>
      <c r="E774" s="11"/>
      <c r="F774" s="19"/>
      <c r="G774" s="36"/>
      <c r="H774" s="21"/>
      <c r="I774" s="22"/>
      <c r="J774" s="23"/>
      <c r="K774" s="24"/>
      <c r="N774" s="6"/>
      <c r="O774" s="27"/>
    </row>
    <row r="775" spans="1:15" x14ac:dyDescent="0.25">
      <c r="A775" s="13">
        <f t="shared" si="20"/>
        <v>23</v>
      </c>
      <c r="B775" s="17"/>
      <c r="C775" s="17"/>
      <c r="D775" s="18"/>
      <c r="E775" s="11"/>
      <c r="F775" s="19"/>
      <c r="G775" s="36"/>
      <c r="H775" s="21"/>
      <c r="I775" s="22"/>
      <c r="J775" s="23"/>
      <c r="K775" s="24"/>
      <c r="N775" s="6"/>
      <c r="O775" s="27"/>
    </row>
    <row r="776" spans="1:15" x14ac:dyDescent="0.25">
      <c r="A776" s="13">
        <f t="shared" si="20"/>
        <v>23</v>
      </c>
      <c r="B776" s="17"/>
      <c r="C776" s="17"/>
      <c r="D776" s="18"/>
      <c r="E776" s="11"/>
      <c r="F776" s="19"/>
      <c r="G776" s="36"/>
      <c r="H776" s="21"/>
      <c r="I776" s="22"/>
      <c r="J776" s="23"/>
      <c r="K776" s="24"/>
      <c r="N776" s="6"/>
      <c r="O776" s="27"/>
    </row>
    <row r="777" spans="1:15" x14ac:dyDescent="0.25">
      <c r="A777" s="13">
        <f t="shared" si="20"/>
        <v>23</v>
      </c>
      <c r="B777" s="17"/>
      <c r="C777" s="17"/>
      <c r="D777" s="18"/>
      <c r="E777" s="11"/>
      <c r="F777" s="19"/>
      <c r="G777" s="36"/>
      <c r="H777" s="21"/>
      <c r="I777" s="22"/>
      <c r="J777" s="23"/>
      <c r="K777" s="24"/>
      <c r="N777" s="6"/>
      <c r="O777" s="27"/>
    </row>
    <row r="778" spans="1:15" x14ac:dyDescent="0.25">
      <c r="A778" s="13">
        <f t="shared" si="20"/>
        <v>23</v>
      </c>
      <c r="B778" s="17"/>
      <c r="C778" s="17"/>
      <c r="D778" s="18"/>
      <c r="E778" s="11"/>
      <c r="F778" s="19"/>
      <c r="G778" s="36"/>
      <c r="H778" s="21"/>
      <c r="I778" s="22"/>
      <c r="J778" s="23"/>
      <c r="K778" s="24"/>
      <c r="N778" s="6"/>
      <c r="O778" s="27"/>
    </row>
    <row r="779" spans="1:15" x14ac:dyDescent="0.25">
      <c r="A779" s="13">
        <f t="shared" si="20"/>
        <v>23</v>
      </c>
      <c r="B779" s="17"/>
      <c r="C779" s="17"/>
      <c r="D779" s="18"/>
      <c r="E779" s="11"/>
      <c r="F779" s="19"/>
      <c r="G779" s="36"/>
      <c r="H779" s="21"/>
      <c r="I779" s="22"/>
      <c r="J779" s="23"/>
      <c r="K779" s="24"/>
      <c r="N779" s="6"/>
      <c r="O779" s="27"/>
    </row>
    <row r="780" spans="1:15" x14ac:dyDescent="0.25">
      <c r="A780" s="13">
        <f t="shared" si="20"/>
        <v>23</v>
      </c>
      <c r="B780" s="17"/>
      <c r="C780" s="17"/>
      <c r="D780" s="18"/>
      <c r="E780" s="11"/>
      <c r="F780" s="19"/>
      <c r="G780" s="36"/>
      <c r="H780" s="21"/>
      <c r="I780" s="22"/>
      <c r="J780" s="23"/>
      <c r="K780" s="24"/>
      <c r="N780" s="6"/>
      <c r="O780" s="27"/>
    </row>
    <row r="781" spans="1:15" x14ac:dyDescent="0.25">
      <c r="A781" s="13">
        <f t="shared" si="20"/>
        <v>23</v>
      </c>
      <c r="B781" s="17"/>
      <c r="C781" s="17"/>
      <c r="D781" s="18"/>
      <c r="E781" s="11"/>
      <c r="F781" s="19"/>
      <c r="G781" s="36"/>
      <c r="H781" s="21"/>
      <c r="I781" s="22"/>
      <c r="J781" s="23"/>
      <c r="K781" s="24"/>
      <c r="N781" s="6"/>
      <c r="O781" s="27"/>
    </row>
    <row r="782" spans="1:15" x14ac:dyDescent="0.25">
      <c r="A782" s="13">
        <f t="shared" si="20"/>
        <v>23</v>
      </c>
      <c r="B782" s="17"/>
      <c r="C782" s="17"/>
      <c r="D782" s="40"/>
      <c r="E782" s="41"/>
      <c r="F782" s="19"/>
      <c r="G782" s="36"/>
      <c r="H782" s="21"/>
      <c r="I782" s="22"/>
      <c r="J782" s="23"/>
      <c r="K782" s="24"/>
      <c r="N782" s="6"/>
      <c r="O782" s="27"/>
    </row>
    <row r="783" spans="1:15" x14ac:dyDescent="0.25">
      <c r="A783" s="13">
        <f t="shared" si="20"/>
        <v>23</v>
      </c>
      <c r="B783" s="17"/>
      <c r="C783" s="17"/>
      <c r="D783" s="18"/>
      <c r="E783" s="11"/>
      <c r="F783" s="19"/>
      <c r="G783" s="20"/>
      <c r="H783" s="21"/>
      <c r="I783" s="22"/>
      <c r="J783" s="23"/>
      <c r="K783" s="24"/>
      <c r="N783" s="6"/>
      <c r="O783" s="27"/>
    </row>
    <row r="784" spans="1:15" x14ac:dyDescent="0.25">
      <c r="A784" s="13">
        <f t="shared" si="20"/>
        <v>23</v>
      </c>
      <c r="B784" s="17"/>
      <c r="C784" s="17"/>
      <c r="D784" s="18"/>
      <c r="E784" s="11"/>
      <c r="F784" s="19"/>
      <c r="G784" s="20"/>
      <c r="H784" s="21"/>
      <c r="I784" s="22"/>
      <c r="J784" s="23"/>
      <c r="K784" s="24"/>
      <c r="N784" s="6"/>
      <c r="O784" s="27"/>
    </row>
    <row r="785" spans="1:15" x14ac:dyDescent="0.25">
      <c r="A785" s="13">
        <f t="shared" si="20"/>
        <v>23</v>
      </c>
      <c r="B785" s="17"/>
      <c r="C785" s="17"/>
      <c r="D785" s="18"/>
      <c r="E785" s="11"/>
      <c r="F785" s="19"/>
      <c r="G785" s="20"/>
      <c r="H785" s="21"/>
      <c r="I785" s="22"/>
      <c r="J785" s="23"/>
      <c r="K785" s="24"/>
      <c r="N785" s="6"/>
      <c r="O785" s="27"/>
    </row>
    <row r="786" spans="1:15" x14ac:dyDescent="0.25">
      <c r="A786" s="13">
        <f t="shared" si="20"/>
        <v>23</v>
      </c>
      <c r="B786" s="17"/>
      <c r="C786" s="17"/>
      <c r="D786" s="18"/>
      <c r="E786" s="11"/>
      <c r="F786" s="19"/>
      <c r="G786" s="20"/>
      <c r="H786" s="21"/>
      <c r="I786" s="22"/>
      <c r="J786" s="23"/>
      <c r="K786" s="24"/>
      <c r="N786" s="6"/>
      <c r="O786" s="27"/>
    </row>
    <row r="787" spans="1:15" x14ac:dyDescent="0.25">
      <c r="A787" s="13">
        <f t="shared" si="20"/>
        <v>23</v>
      </c>
      <c r="B787" s="17"/>
      <c r="C787" s="17"/>
      <c r="D787" s="18"/>
      <c r="E787" s="11"/>
      <c r="F787" s="19"/>
      <c r="G787" s="20"/>
      <c r="H787" s="21"/>
      <c r="I787" s="22"/>
      <c r="J787" s="23"/>
      <c r="K787" s="24"/>
      <c r="N787" s="6"/>
      <c r="O787" s="27"/>
    </row>
    <row r="788" spans="1:15" x14ac:dyDescent="0.25">
      <c r="A788" s="13">
        <f t="shared" si="20"/>
        <v>23</v>
      </c>
      <c r="B788" s="17"/>
      <c r="C788" s="17"/>
      <c r="D788" s="18"/>
      <c r="E788" s="11"/>
      <c r="F788" s="19"/>
      <c r="G788" s="20"/>
      <c r="H788" s="21"/>
      <c r="I788" s="22"/>
      <c r="J788" s="23"/>
      <c r="K788" s="24"/>
      <c r="N788" s="6"/>
      <c r="O788" s="27"/>
    </row>
    <row r="789" spans="1:15" x14ac:dyDescent="0.25">
      <c r="A789" s="13">
        <f t="shared" si="20"/>
        <v>23</v>
      </c>
      <c r="B789" s="17"/>
      <c r="C789" s="17"/>
      <c r="D789" s="18"/>
      <c r="E789" s="11"/>
      <c r="F789" s="19"/>
      <c r="G789" s="20"/>
      <c r="H789" s="21"/>
      <c r="I789" s="22"/>
      <c r="J789" s="23"/>
      <c r="K789" s="24"/>
      <c r="N789" s="6"/>
      <c r="O789" s="27"/>
    </row>
    <row r="790" spans="1:15" x14ac:dyDescent="0.25">
      <c r="A790" s="13">
        <f t="shared" si="20"/>
        <v>23</v>
      </c>
      <c r="B790" s="17"/>
      <c r="C790" s="17"/>
      <c r="D790" s="18"/>
      <c r="E790" s="11"/>
      <c r="F790" s="19"/>
      <c r="G790" s="20"/>
      <c r="H790" s="21"/>
      <c r="I790" s="22"/>
      <c r="J790" s="23"/>
      <c r="K790" s="24"/>
      <c r="N790" s="6"/>
      <c r="O790" s="27"/>
    </row>
    <row r="791" spans="1:15" x14ac:dyDescent="0.25">
      <c r="A791" s="13">
        <f t="shared" si="20"/>
        <v>23</v>
      </c>
      <c r="B791" s="17"/>
      <c r="C791" s="17"/>
      <c r="D791" s="18"/>
      <c r="E791" s="11"/>
      <c r="F791" s="19"/>
      <c r="G791" s="20"/>
      <c r="H791" s="21"/>
      <c r="I791" s="22"/>
      <c r="J791" s="23"/>
      <c r="K791" s="24"/>
      <c r="N791" s="6"/>
      <c r="O791" s="27"/>
    </row>
    <row r="792" spans="1:15" x14ac:dyDescent="0.25">
      <c r="A792" s="13">
        <f t="shared" si="20"/>
        <v>23</v>
      </c>
      <c r="B792" s="17"/>
      <c r="C792" s="17"/>
      <c r="D792" s="18"/>
      <c r="E792" s="11"/>
      <c r="F792" s="19"/>
      <c r="G792" s="20"/>
      <c r="H792" s="21"/>
      <c r="I792" s="22"/>
      <c r="J792" s="23"/>
      <c r="K792" s="24"/>
      <c r="N792" s="6"/>
      <c r="O792" s="27"/>
    </row>
    <row r="793" spans="1:15" x14ac:dyDescent="0.25">
      <c r="A793" s="13">
        <f t="shared" si="20"/>
        <v>23</v>
      </c>
      <c r="B793" s="17"/>
      <c r="C793" s="17"/>
      <c r="D793" s="18"/>
      <c r="E793" s="11"/>
      <c r="F793" s="19"/>
      <c r="G793" s="20"/>
      <c r="H793" s="21"/>
      <c r="I793" s="22"/>
      <c r="J793" s="23"/>
      <c r="K793" s="24"/>
      <c r="N793" s="6"/>
      <c r="O793" s="27"/>
    </row>
    <row r="794" spans="1:15" x14ac:dyDescent="0.25">
      <c r="A794" s="13">
        <f t="shared" si="20"/>
        <v>23</v>
      </c>
      <c r="B794" s="17"/>
      <c r="C794" s="17"/>
      <c r="D794" s="18"/>
      <c r="E794" s="11"/>
      <c r="F794" s="19"/>
      <c r="G794" s="20"/>
      <c r="H794" s="21"/>
      <c r="I794" s="22"/>
      <c r="J794" s="23"/>
      <c r="K794" s="24"/>
      <c r="N794" s="6"/>
      <c r="O794" s="27"/>
    </row>
    <row r="795" spans="1:15" x14ac:dyDescent="0.25">
      <c r="A795" s="13">
        <f t="shared" si="20"/>
        <v>23</v>
      </c>
      <c r="B795" s="17"/>
      <c r="C795" s="17"/>
      <c r="D795" s="18"/>
      <c r="E795" s="11"/>
      <c r="F795" s="19"/>
      <c r="G795" s="20"/>
      <c r="H795" s="21"/>
      <c r="I795" s="22"/>
      <c r="J795" s="23"/>
      <c r="K795" s="24"/>
      <c r="N795" s="6"/>
      <c r="O795" s="27"/>
    </row>
    <row r="796" spans="1:15" x14ac:dyDescent="0.25">
      <c r="A796" s="13">
        <f t="shared" si="20"/>
        <v>23</v>
      </c>
      <c r="B796" s="17"/>
      <c r="C796" s="17"/>
      <c r="D796" s="18"/>
      <c r="E796" s="11"/>
      <c r="F796" s="19"/>
      <c r="G796" s="20"/>
      <c r="H796" s="21"/>
      <c r="I796" s="22"/>
      <c r="J796" s="23"/>
      <c r="K796" s="24"/>
      <c r="N796" s="6"/>
      <c r="O796" s="27"/>
    </row>
    <row r="797" spans="1:15" x14ac:dyDescent="0.25">
      <c r="A797" s="13">
        <f t="shared" si="20"/>
        <v>23</v>
      </c>
      <c r="B797" s="17"/>
      <c r="C797" s="17"/>
      <c r="D797" s="18"/>
      <c r="E797" s="11"/>
      <c r="F797" s="19"/>
      <c r="G797" s="20"/>
      <c r="H797" s="21"/>
      <c r="I797" s="22"/>
      <c r="J797" s="23"/>
      <c r="K797" s="24"/>
      <c r="N797" s="6"/>
      <c r="O797" s="27"/>
    </row>
    <row r="798" spans="1:15" x14ac:dyDescent="0.25">
      <c r="A798" s="13">
        <f t="shared" si="20"/>
        <v>23</v>
      </c>
      <c r="B798" s="17"/>
      <c r="C798" s="17"/>
      <c r="D798" s="18"/>
      <c r="E798" s="11"/>
      <c r="F798" s="19"/>
      <c r="G798" s="20"/>
      <c r="H798" s="21"/>
      <c r="I798" s="22"/>
      <c r="J798" s="23"/>
      <c r="K798" s="24"/>
      <c r="N798" s="6"/>
      <c r="O798" s="27"/>
    </row>
    <row r="799" spans="1:15" x14ac:dyDescent="0.25">
      <c r="A799" s="13">
        <f t="shared" si="20"/>
        <v>23</v>
      </c>
      <c r="B799" s="17"/>
      <c r="C799" s="17"/>
      <c r="D799" s="18"/>
      <c r="E799" s="11"/>
      <c r="F799" s="19"/>
      <c r="G799" s="20"/>
      <c r="H799" s="21"/>
      <c r="I799" s="22"/>
      <c r="J799" s="23"/>
      <c r="K799" s="24"/>
      <c r="N799" s="6"/>
      <c r="O799" s="27"/>
    </row>
    <row r="800" spans="1:15" x14ac:dyDescent="0.25">
      <c r="A800" s="13">
        <f t="shared" si="20"/>
        <v>23</v>
      </c>
      <c r="B800" s="17"/>
      <c r="C800" s="17"/>
      <c r="D800" s="40"/>
      <c r="E800" s="41"/>
      <c r="F800" s="19"/>
      <c r="G800" s="20"/>
      <c r="H800" s="21"/>
      <c r="I800" s="22"/>
      <c r="J800" s="23"/>
      <c r="K800" s="24"/>
      <c r="N800" s="6"/>
      <c r="O800" s="27"/>
    </row>
    <row r="801" spans="1:15" x14ac:dyDescent="0.25">
      <c r="A801" s="13">
        <f t="shared" si="20"/>
        <v>23</v>
      </c>
      <c r="B801" s="17"/>
      <c r="C801" s="17"/>
      <c r="D801" s="18"/>
      <c r="E801" s="11"/>
      <c r="F801" s="19"/>
      <c r="G801" s="36"/>
      <c r="H801" s="21"/>
      <c r="I801" s="22"/>
      <c r="J801" s="23"/>
      <c r="K801" s="24"/>
      <c r="N801" s="6"/>
      <c r="O801" s="27"/>
    </row>
    <row r="802" spans="1:15" x14ac:dyDescent="0.25">
      <c r="A802" s="13">
        <f t="shared" si="20"/>
        <v>23</v>
      </c>
      <c r="B802" s="17"/>
      <c r="C802" s="17"/>
      <c r="D802" s="18"/>
      <c r="E802" s="11"/>
      <c r="F802" s="19"/>
      <c r="G802" s="36"/>
      <c r="H802" s="21"/>
      <c r="I802" s="22"/>
      <c r="J802" s="23"/>
      <c r="K802" s="24"/>
      <c r="N802" s="6"/>
      <c r="O802" s="27"/>
    </row>
    <row r="803" spans="1:15" x14ac:dyDescent="0.25">
      <c r="A803" s="13">
        <f t="shared" si="20"/>
        <v>23</v>
      </c>
      <c r="B803" s="17"/>
      <c r="C803" s="17"/>
      <c r="D803" s="18"/>
      <c r="E803" s="11"/>
      <c r="F803" s="19"/>
      <c r="G803" s="36"/>
      <c r="H803" s="21"/>
      <c r="I803" s="22"/>
      <c r="J803" s="23"/>
      <c r="K803" s="24"/>
      <c r="N803" s="6"/>
      <c r="O803" s="27"/>
    </row>
    <row r="804" spans="1:15" x14ac:dyDescent="0.25">
      <c r="A804" s="13">
        <f t="shared" si="20"/>
        <v>23</v>
      </c>
      <c r="B804" s="17"/>
      <c r="C804" s="17"/>
      <c r="D804" s="18"/>
      <c r="E804" s="11"/>
      <c r="F804" s="19"/>
      <c r="G804" s="36"/>
      <c r="H804" s="21"/>
      <c r="I804" s="22"/>
      <c r="J804" s="23"/>
      <c r="K804" s="24"/>
      <c r="N804" s="6"/>
      <c r="O804" s="27"/>
    </row>
    <row r="805" spans="1:15" x14ac:dyDescent="0.25">
      <c r="A805" s="13">
        <f t="shared" si="20"/>
        <v>23</v>
      </c>
      <c r="B805" s="17"/>
      <c r="C805" s="17"/>
      <c r="D805" s="18"/>
      <c r="E805" s="11"/>
      <c r="F805" s="19"/>
      <c r="G805" s="36"/>
      <c r="H805" s="21"/>
      <c r="I805" s="22"/>
      <c r="J805" s="23"/>
      <c r="K805" s="24"/>
      <c r="N805" s="6"/>
      <c r="O805" s="27"/>
    </row>
    <row r="806" spans="1:15" x14ac:dyDescent="0.25">
      <c r="A806" s="13">
        <f t="shared" si="20"/>
        <v>23</v>
      </c>
      <c r="B806" s="17"/>
      <c r="C806" s="17"/>
      <c r="D806" s="18"/>
      <c r="E806" s="11"/>
      <c r="F806" s="19"/>
      <c r="G806" s="36"/>
      <c r="H806" s="21"/>
      <c r="I806" s="22"/>
      <c r="J806" s="23"/>
      <c r="K806" s="24"/>
      <c r="N806" s="6"/>
      <c r="O806" s="27"/>
    </row>
    <row r="807" spans="1:15" x14ac:dyDescent="0.25">
      <c r="A807" s="13">
        <f t="shared" si="20"/>
        <v>23</v>
      </c>
      <c r="B807" s="17"/>
      <c r="C807" s="17"/>
      <c r="D807" s="18"/>
      <c r="E807" s="11"/>
      <c r="F807" s="19"/>
      <c r="G807" s="36"/>
      <c r="H807" s="21"/>
      <c r="I807" s="22"/>
      <c r="J807" s="23"/>
      <c r="K807" s="24"/>
      <c r="N807" s="6"/>
      <c r="O807" s="27"/>
    </row>
    <row r="808" spans="1:15" x14ac:dyDescent="0.25">
      <c r="A808" s="13">
        <f t="shared" si="20"/>
        <v>23</v>
      </c>
      <c r="B808" s="17"/>
      <c r="C808" s="17"/>
      <c r="D808" s="18"/>
      <c r="E808" s="11"/>
      <c r="F808" s="19"/>
      <c r="G808" s="36"/>
      <c r="H808" s="21"/>
      <c r="I808" s="22"/>
      <c r="J808" s="23"/>
      <c r="K808" s="24"/>
      <c r="N808" s="6"/>
      <c r="O808" s="27"/>
    </row>
    <row r="809" spans="1:15" x14ac:dyDescent="0.25">
      <c r="A809" s="13">
        <f t="shared" si="20"/>
        <v>23</v>
      </c>
      <c r="B809" s="17"/>
      <c r="C809" s="17"/>
      <c r="D809" s="40"/>
      <c r="E809" s="41"/>
      <c r="F809" s="19"/>
      <c r="G809" s="36"/>
      <c r="H809" s="21"/>
      <c r="I809" s="22"/>
      <c r="J809" s="23"/>
      <c r="K809" s="24"/>
      <c r="N809" s="6"/>
      <c r="O809" s="27"/>
    </row>
    <row r="810" spans="1:15" x14ac:dyDescent="0.25">
      <c r="A810" s="13">
        <f t="shared" si="20"/>
        <v>23</v>
      </c>
      <c r="B810" s="17"/>
      <c r="C810" s="17"/>
      <c r="D810" s="18"/>
      <c r="E810" s="11"/>
      <c r="F810" s="19"/>
      <c r="G810" s="36"/>
      <c r="H810" s="21"/>
      <c r="I810" s="22"/>
      <c r="J810" s="23"/>
      <c r="K810" s="24"/>
      <c r="N810" s="6"/>
      <c r="O810" s="27"/>
    </row>
    <row r="811" spans="1:15" x14ac:dyDescent="0.25">
      <c r="A811" s="13">
        <f t="shared" si="20"/>
        <v>23</v>
      </c>
      <c r="B811" s="17"/>
      <c r="C811" s="17"/>
      <c r="D811" s="18"/>
      <c r="E811" s="11"/>
      <c r="F811" s="19"/>
      <c r="G811" s="36"/>
      <c r="H811" s="21"/>
      <c r="I811" s="22"/>
      <c r="J811" s="23"/>
      <c r="K811" s="24"/>
      <c r="N811" s="6"/>
      <c r="O811" s="27"/>
    </row>
    <row r="812" spans="1:15" x14ac:dyDescent="0.25">
      <c r="A812" s="13">
        <f t="shared" si="20"/>
        <v>23</v>
      </c>
      <c r="B812" s="17"/>
      <c r="C812" s="17"/>
      <c r="D812" s="18"/>
      <c r="E812" s="11"/>
      <c r="F812" s="19"/>
      <c r="G812" s="36"/>
      <c r="H812" s="21"/>
      <c r="I812" s="22"/>
      <c r="J812" s="23"/>
      <c r="K812" s="24"/>
      <c r="N812" s="6"/>
      <c r="O812" s="27"/>
    </row>
    <row r="813" spans="1:15" x14ac:dyDescent="0.25">
      <c r="A813" s="13">
        <f t="shared" si="20"/>
        <v>23</v>
      </c>
      <c r="B813" s="17"/>
      <c r="C813" s="17"/>
      <c r="D813" s="18"/>
      <c r="E813" s="11"/>
      <c r="F813" s="19"/>
      <c r="G813" s="36"/>
      <c r="H813" s="21"/>
      <c r="I813" s="22"/>
      <c r="J813" s="23"/>
      <c r="K813" s="24"/>
      <c r="N813" s="6"/>
      <c r="O813" s="27"/>
    </row>
    <row r="814" spans="1:15" x14ac:dyDescent="0.25">
      <c r="A814" s="13">
        <f t="shared" si="20"/>
        <v>23</v>
      </c>
      <c r="B814" s="17"/>
      <c r="C814" s="17"/>
      <c r="D814" s="18"/>
      <c r="E814" s="11"/>
      <c r="F814" s="19"/>
      <c r="G814" s="36"/>
      <c r="H814" s="21"/>
      <c r="I814" s="22"/>
      <c r="J814" s="23"/>
      <c r="K814" s="24"/>
      <c r="N814" s="6"/>
      <c r="O814" s="27"/>
    </row>
    <row r="815" spans="1:15" x14ac:dyDescent="0.25">
      <c r="A815" s="13">
        <f t="shared" si="20"/>
        <v>23</v>
      </c>
      <c r="B815" s="17"/>
      <c r="C815" s="17"/>
      <c r="D815" s="18"/>
      <c r="E815" s="11"/>
      <c r="F815" s="19"/>
      <c r="G815" s="36"/>
      <c r="H815" s="21"/>
      <c r="I815" s="22"/>
      <c r="J815" s="23"/>
      <c r="K815" s="24"/>
      <c r="N815" s="6"/>
      <c r="O815" s="27"/>
    </row>
    <row r="816" spans="1:15" x14ac:dyDescent="0.25">
      <c r="A816" s="13">
        <f t="shared" si="20"/>
        <v>23</v>
      </c>
      <c r="B816" s="17"/>
      <c r="C816" s="17"/>
      <c r="D816" s="18"/>
      <c r="E816" s="11"/>
      <c r="F816" s="19"/>
      <c r="G816" s="36"/>
      <c r="H816" s="21"/>
      <c r="I816" s="22"/>
      <c r="J816" s="23"/>
      <c r="K816" s="24"/>
      <c r="N816" s="6"/>
      <c r="O816" s="27"/>
    </row>
    <row r="817" spans="1:15" x14ac:dyDescent="0.25">
      <c r="A817" s="13">
        <f t="shared" si="20"/>
        <v>23</v>
      </c>
      <c r="B817" s="17"/>
      <c r="C817" s="17"/>
      <c r="D817" s="18"/>
      <c r="E817" s="11"/>
      <c r="F817" s="19"/>
      <c r="G817" s="36"/>
      <c r="H817" s="21"/>
      <c r="I817" s="22"/>
      <c r="J817" s="23"/>
      <c r="K817" s="24"/>
      <c r="N817" s="6"/>
      <c r="O817" s="27"/>
    </row>
    <row r="818" spans="1:15" x14ac:dyDescent="0.25">
      <c r="A818" s="13">
        <f t="shared" si="20"/>
        <v>23</v>
      </c>
      <c r="B818" s="17"/>
      <c r="C818" s="17"/>
      <c r="D818" s="18"/>
      <c r="E818" s="11"/>
      <c r="F818" s="19"/>
      <c r="G818" s="36"/>
      <c r="H818" s="21"/>
      <c r="I818" s="22"/>
      <c r="J818" s="23"/>
      <c r="K818" s="24"/>
      <c r="N818" s="6"/>
      <c r="O818" s="27"/>
    </row>
    <row r="819" spans="1:15" x14ac:dyDescent="0.25">
      <c r="A819" s="13">
        <f t="shared" si="20"/>
        <v>23</v>
      </c>
      <c r="B819" s="17"/>
      <c r="C819" s="17"/>
      <c r="D819" s="40"/>
      <c r="E819" s="41"/>
      <c r="F819" s="19"/>
      <c r="G819" s="36"/>
      <c r="H819" s="21"/>
      <c r="I819" s="22"/>
      <c r="J819" s="23"/>
      <c r="K819" s="24"/>
      <c r="N819" s="6"/>
      <c r="O819" s="27"/>
    </row>
    <row r="820" spans="1:15" x14ac:dyDescent="0.25">
      <c r="A820" s="13">
        <f t="shared" si="20"/>
        <v>23</v>
      </c>
      <c r="B820" s="17"/>
      <c r="C820" s="17"/>
      <c r="D820" s="18"/>
      <c r="E820" s="11"/>
      <c r="F820" s="19"/>
      <c r="G820" s="36"/>
      <c r="H820" s="21"/>
      <c r="I820" s="22"/>
      <c r="J820" s="23"/>
      <c r="K820" s="24"/>
      <c r="N820" s="6"/>
      <c r="O820" s="27"/>
    </row>
    <row r="821" spans="1:15" x14ac:dyDescent="0.25">
      <c r="A821" s="13">
        <f t="shared" si="20"/>
        <v>23</v>
      </c>
      <c r="B821" s="17"/>
      <c r="C821" s="17"/>
      <c r="D821" s="18"/>
      <c r="E821" s="11"/>
      <c r="F821" s="19"/>
      <c r="G821" s="36"/>
      <c r="H821" s="21"/>
      <c r="I821" s="22"/>
      <c r="J821" s="23"/>
      <c r="K821" s="24"/>
      <c r="N821" s="6"/>
      <c r="O821" s="27"/>
    </row>
    <row r="822" spans="1:15" x14ac:dyDescent="0.25">
      <c r="A822" s="13">
        <f t="shared" si="20"/>
        <v>23</v>
      </c>
      <c r="B822" s="17"/>
      <c r="C822" s="17"/>
      <c r="D822" s="18"/>
      <c r="E822" s="11"/>
      <c r="F822" s="19"/>
      <c r="G822" s="36"/>
      <c r="H822" s="21"/>
      <c r="I822" s="22"/>
      <c r="J822" s="23"/>
      <c r="K822" s="24"/>
      <c r="N822" s="6"/>
      <c r="O822" s="27"/>
    </row>
    <row r="823" spans="1:15" x14ac:dyDescent="0.25">
      <c r="A823" s="13">
        <f t="shared" si="20"/>
        <v>23</v>
      </c>
      <c r="B823" s="17"/>
      <c r="C823" s="17"/>
      <c r="D823" s="18"/>
      <c r="E823" s="11"/>
      <c r="F823" s="19"/>
      <c r="G823" s="36"/>
      <c r="H823" s="21"/>
      <c r="I823" s="22"/>
      <c r="J823" s="23"/>
      <c r="K823" s="24"/>
      <c r="N823" s="6"/>
      <c r="O823" s="27"/>
    </row>
    <row r="824" spans="1:15" x14ac:dyDescent="0.25">
      <c r="A824" s="13">
        <f t="shared" si="20"/>
        <v>23</v>
      </c>
      <c r="B824" s="17"/>
      <c r="C824" s="17"/>
      <c r="D824" s="18"/>
      <c r="E824" s="11"/>
      <c r="F824" s="19"/>
      <c r="G824" s="36"/>
      <c r="H824" s="21"/>
      <c r="I824" s="22"/>
      <c r="J824" s="23"/>
      <c r="K824" s="24"/>
      <c r="N824" s="6"/>
      <c r="O824" s="27"/>
    </row>
    <row r="825" spans="1:15" x14ac:dyDescent="0.25">
      <c r="A825" s="13">
        <f t="shared" si="20"/>
        <v>23</v>
      </c>
      <c r="B825" s="17"/>
      <c r="C825" s="17"/>
      <c r="D825" s="18"/>
      <c r="E825" s="11"/>
      <c r="F825" s="19"/>
      <c r="G825" s="36"/>
      <c r="H825" s="21"/>
      <c r="I825" s="22"/>
      <c r="J825" s="23"/>
      <c r="K825" s="24"/>
      <c r="N825" s="6"/>
      <c r="O825" s="27"/>
    </row>
    <row r="826" spans="1:15" x14ac:dyDescent="0.25">
      <c r="A826" s="13">
        <f t="shared" si="20"/>
        <v>23</v>
      </c>
      <c r="B826" s="17"/>
      <c r="C826" s="17"/>
      <c r="D826" s="18"/>
      <c r="E826" s="11"/>
      <c r="F826" s="19"/>
      <c r="G826" s="36"/>
      <c r="H826" s="21"/>
      <c r="I826" s="22"/>
      <c r="J826" s="23"/>
      <c r="K826" s="24"/>
      <c r="N826" s="6"/>
      <c r="O826" s="27"/>
    </row>
    <row r="827" spans="1:15" x14ac:dyDescent="0.25">
      <c r="A827" s="13">
        <f t="shared" si="20"/>
        <v>23</v>
      </c>
      <c r="B827" s="17"/>
      <c r="C827" s="17"/>
      <c r="D827" s="18"/>
      <c r="E827" s="11"/>
      <c r="F827" s="19"/>
      <c r="G827" s="36"/>
      <c r="H827" s="21"/>
      <c r="I827" s="22"/>
      <c r="J827" s="23"/>
      <c r="K827" s="24"/>
      <c r="N827" s="6"/>
      <c r="O827" s="27"/>
    </row>
    <row r="828" spans="1:15" x14ac:dyDescent="0.25">
      <c r="A828" s="13">
        <f t="shared" si="20"/>
        <v>23</v>
      </c>
      <c r="B828" s="17"/>
      <c r="C828" s="17"/>
      <c r="D828" s="18"/>
      <c r="E828" s="11"/>
      <c r="F828" s="19"/>
      <c r="G828" s="36"/>
      <c r="H828" s="21"/>
      <c r="I828" s="22"/>
      <c r="J828" s="23"/>
      <c r="K828" s="24"/>
      <c r="N828" s="6"/>
      <c r="O828" s="27"/>
    </row>
    <row r="829" spans="1:15" x14ac:dyDescent="0.25">
      <c r="A829" s="13">
        <f t="shared" si="20"/>
        <v>23</v>
      </c>
      <c r="B829" s="17"/>
      <c r="C829" s="17"/>
      <c r="D829" s="18"/>
      <c r="E829" s="11"/>
      <c r="F829" s="19"/>
      <c r="G829" s="36"/>
      <c r="H829" s="21"/>
      <c r="I829" s="22"/>
      <c r="J829" s="23"/>
      <c r="K829" s="24"/>
      <c r="N829" s="6"/>
      <c r="O829" s="27"/>
    </row>
    <row r="830" spans="1:15" x14ac:dyDescent="0.25">
      <c r="A830" s="13">
        <f t="shared" si="20"/>
        <v>23</v>
      </c>
      <c r="B830" s="17"/>
      <c r="C830" s="17"/>
      <c r="D830" s="18"/>
      <c r="E830" s="11"/>
      <c r="F830" s="19"/>
      <c r="G830" s="36"/>
      <c r="H830" s="21"/>
      <c r="I830" s="22"/>
      <c r="J830" s="23"/>
      <c r="K830" s="24"/>
      <c r="N830" s="6"/>
      <c r="O830" s="27"/>
    </row>
    <row r="831" spans="1:15" x14ac:dyDescent="0.25">
      <c r="A831" s="13">
        <f t="shared" si="20"/>
        <v>23</v>
      </c>
      <c r="B831" s="17"/>
      <c r="C831" s="17"/>
      <c r="D831" s="18"/>
      <c r="E831" s="11"/>
      <c r="F831" s="19"/>
      <c r="G831" s="36"/>
      <c r="H831" s="21"/>
      <c r="I831" s="22"/>
      <c r="J831" s="23"/>
      <c r="K831" s="24"/>
      <c r="N831" s="6"/>
      <c r="O831" s="27"/>
    </row>
    <row r="832" spans="1:15" x14ac:dyDescent="0.25">
      <c r="A832" s="13">
        <f t="shared" si="20"/>
        <v>23</v>
      </c>
      <c r="B832" s="17"/>
      <c r="C832" s="17"/>
      <c r="D832" s="18"/>
      <c r="E832" s="11"/>
      <c r="F832" s="19"/>
      <c r="G832" s="36"/>
      <c r="H832" s="21"/>
      <c r="I832" s="22"/>
      <c r="J832" s="23"/>
      <c r="K832" s="24"/>
      <c r="N832" s="6"/>
      <c r="O832" s="27"/>
    </row>
    <row r="833" spans="1:15" x14ac:dyDescent="0.25">
      <c r="A833" s="13">
        <f t="shared" si="20"/>
        <v>23</v>
      </c>
      <c r="B833" s="17"/>
      <c r="C833" s="17"/>
      <c r="D833" s="18"/>
      <c r="E833" s="11"/>
      <c r="F833" s="19"/>
      <c r="G833" s="36"/>
      <c r="H833" s="21"/>
      <c r="I833" s="22"/>
      <c r="J833" s="23"/>
      <c r="K833" s="24"/>
      <c r="N833" s="6"/>
      <c r="O833" s="27"/>
    </row>
    <row r="834" spans="1:15" x14ac:dyDescent="0.25">
      <c r="A834" s="13">
        <f t="shared" si="20"/>
        <v>23</v>
      </c>
      <c r="B834" s="17"/>
      <c r="C834" s="17"/>
      <c r="D834" s="18"/>
      <c r="E834" s="11"/>
      <c r="F834" s="19"/>
      <c r="G834" s="36"/>
      <c r="H834" s="21"/>
      <c r="I834" s="22"/>
      <c r="J834" s="23"/>
      <c r="K834" s="24"/>
      <c r="N834" s="6"/>
      <c r="O834" s="27"/>
    </row>
    <row r="835" spans="1:15" x14ac:dyDescent="0.25">
      <c r="A835" s="13">
        <f t="shared" si="20"/>
        <v>23</v>
      </c>
      <c r="B835" s="17"/>
      <c r="C835" s="17"/>
      <c r="D835" s="18"/>
      <c r="E835" s="11"/>
      <c r="F835" s="19"/>
      <c r="G835" s="36"/>
      <c r="H835" s="21"/>
      <c r="I835" s="22"/>
      <c r="J835" s="23"/>
      <c r="K835" s="24"/>
      <c r="N835" s="6"/>
      <c r="O835" s="27"/>
    </row>
    <row r="836" spans="1:15" x14ac:dyDescent="0.25">
      <c r="A836" s="13">
        <f t="shared" ref="A836:A899" si="21">IF(B836=B835,A835,A835+1)</f>
        <v>23</v>
      </c>
      <c r="B836" s="17"/>
      <c r="C836" s="17"/>
      <c r="D836" s="18"/>
      <c r="E836" s="11"/>
      <c r="F836" s="19"/>
      <c r="G836" s="36"/>
      <c r="H836" s="21"/>
      <c r="I836" s="22"/>
      <c r="J836" s="23"/>
      <c r="K836" s="24"/>
      <c r="N836" s="6"/>
      <c r="O836" s="27"/>
    </row>
    <row r="837" spans="1:15" x14ac:dyDescent="0.25">
      <c r="A837" s="13">
        <f t="shared" si="21"/>
        <v>23</v>
      </c>
      <c r="B837" s="17"/>
      <c r="C837" s="17"/>
      <c r="D837" s="18"/>
      <c r="E837" s="11"/>
      <c r="F837" s="19"/>
      <c r="G837" s="36"/>
      <c r="H837" s="21"/>
      <c r="I837" s="22"/>
      <c r="J837" s="23"/>
      <c r="K837" s="24"/>
      <c r="N837" s="6"/>
      <c r="O837" s="27"/>
    </row>
    <row r="838" spans="1:15" x14ac:dyDescent="0.25">
      <c r="A838" s="13">
        <f t="shared" si="21"/>
        <v>23</v>
      </c>
      <c r="B838" s="17"/>
      <c r="C838" s="17"/>
      <c r="D838" s="18"/>
      <c r="E838" s="11"/>
      <c r="F838" s="19"/>
      <c r="G838" s="36"/>
      <c r="H838" s="21"/>
      <c r="I838" s="22"/>
      <c r="J838" s="23"/>
      <c r="K838" s="24"/>
      <c r="N838" s="6"/>
      <c r="O838" s="27"/>
    </row>
    <row r="839" spans="1:15" x14ac:dyDescent="0.25">
      <c r="A839" s="13">
        <f t="shared" si="21"/>
        <v>23</v>
      </c>
      <c r="B839" s="17"/>
      <c r="C839" s="17"/>
      <c r="D839" s="18"/>
      <c r="E839" s="11"/>
      <c r="F839" s="19"/>
      <c r="G839" s="36"/>
      <c r="H839" s="21"/>
      <c r="I839" s="22"/>
      <c r="J839" s="23"/>
      <c r="K839" s="24"/>
      <c r="N839" s="6"/>
      <c r="O839" s="27"/>
    </row>
    <row r="840" spans="1:15" x14ac:dyDescent="0.25">
      <c r="A840" s="13">
        <f t="shared" si="21"/>
        <v>23</v>
      </c>
      <c r="B840" s="17"/>
      <c r="C840" s="17"/>
      <c r="D840" s="18"/>
      <c r="E840" s="11"/>
      <c r="F840" s="19"/>
      <c r="G840" s="36"/>
      <c r="H840" s="21"/>
      <c r="I840" s="22"/>
      <c r="J840" s="23"/>
      <c r="K840" s="24"/>
      <c r="N840" s="6"/>
      <c r="O840" s="27"/>
    </row>
    <row r="841" spans="1:15" x14ac:dyDescent="0.25">
      <c r="A841" s="13">
        <f t="shared" si="21"/>
        <v>23</v>
      </c>
      <c r="B841" s="17"/>
      <c r="C841" s="17"/>
      <c r="D841" s="18"/>
      <c r="E841" s="11"/>
      <c r="F841" s="19"/>
      <c r="G841" s="36"/>
      <c r="H841" s="21"/>
      <c r="I841" s="22"/>
      <c r="J841" s="23"/>
      <c r="K841" s="24"/>
      <c r="N841" s="6"/>
      <c r="O841" s="27"/>
    </row>
    <row r="842" spans="1:15" x14ac:dyDescent="0.25">
      <c r="A842" s="13">
        <f t="shared" si="21"/>
        <v>23</v>
      </c>
      <c r="B842" s="17"/>
      <c r="C842" s="17"/>
      <c r="D842" s="18"/>
      <c r="E842" s="11"/>
      <c r="F842" s="19"/>
      <c r="G842" s="36"/>
      <c r="H842" s="21"/>
      <c r="I842" s="22"/>
      <c r="J842" s="23"/>
      <c r="K842" s="24"/>
      <c r="N842" s="6"/>
      <c r="O842" s="27"/>
    </row>
    <row r="843" spans="1:15" x14ac:dyDescent="0.25">
      <c r="A843" s="13">
        <f t="shared" si="21"/>
        <v>23</v>
      </c>
      <c r="B843" s="17"/>
      <c r="C843" s="17"/>
      <c r="D843" s="18"/>
      <c r="E843" s="11"/>
      <c r="F843" s="19"/>
      <c r="G843" s="20"/>
      <c r="H843" s="21"/>
      <c r="I843" s="22"/>
      <c r="J843" s="23"/>
      <c r="K843" s="24"/>
      <c r="N843" s="6"/>
      <c r="O843" s="27"/>
    </row>
    <row r="844" spans="1:15" x14ac:dyDescent="0.25">
      <c r="A844" s="13">
        <f t="shared" si="21"/>
        <v>23</v>
      </c>
      <c r="B844" s="17"/>
      <c r="C844" s="17"/>
      <c r="D844" s="18"/>
      <c r="E844" s="11"/>
      <c r="F844" s="19"/>
      <c r="G844" s="20"/>
      <c r="H844" s="21"/>
      <c r="I844" s="22"/>
      <c r="J844" s="23"/>
      <c r="K844" s="24"/>
      <c r="N844" s="6"/>
      <c r="O844" s="27"/>
    </row>
    <row r="845" spans="1:15" x14ac:dyDescent="0.25">
      <c r="A845" s="13">
        <f t="shared" si="21"/>
        <v>23</v>
      </c>
      <c r="B845" s="17"/>
      <c r="C845" s="17"/>
      <c r="D845" s="18"/>
      <c r="E845" s="11"/>
      <c r="F845" s="19"/>
      <c r="G845" s="20"/>
      <c r="H845" s="21"/>
      <c r="I845" s="22"/>
      <c r="J845" s="23"/>
      <c r="K845" s="24"/>
      <c r="N845" s="6"/>
      <c r="O845" s="27"/>
    </row>
    <row r="846" spans="1:15" x14ac:dyDescent="0.25">
      <c r="A846" s="13">
        <f t="shared" si="21"/>
        <v>23</v>
      </c>
      <c r="B846" s="17"/>
      <c r="C846" s="17"/>
      <c r="D846" s="18"/>
      <c r="E846" s="11"/>
      <c r="F846" s="19"/>
      <c r="G846" s="20"/>
      <c r="H846" s="21"/>
      <c r="I846" s="22"/>
      <c r="J846" s="23"/>
      <c r="K846" s="24"/>
      <c r="N846" s="6"/>
      <c r="O846" s="27"/>
    </row>
    <row r="847" spans="1:15" x14ac:dyDescent="0.25">
      <c r="A847" s="13">
        <f t="shared" si="21"/>
        <v>23</v>
      </c>
      <c r="B847" s="17"/>
      <c r="C847" s="17"/>
      <c r="D847" s="18"/>
      <c r="E847" s="11"/>
      <c r="F847" s="19"/>
      <c r="G847" s="20"/>
      <c r="H847" s="21"/>
      <c r="I847" s="22"/>
      <c r="J847" s="23"/>
      <c r="K847" s="24"/>
      <c r="N847" s="6"/>
      <c r="O847" s="27"/>
    </row>
    <row r="848" spans="1:15" x14ac:dyDescent="0.25">
      <c r="A848" s="13">
        <f t="shared" si="21"/>
        <v>23</v>
      </c>
      <c r="B848" s="17"/>
      <c r="C848" s="17"/>
      <c r="D848" s="18"/>
      <c r="E848" s="11"/>
      <c r="F848" s="19"/>
      <c r="G848" s="20"/>
      <c r="H848" s="21"/>
      <c r="I848" s="22"/>
      <c r="J848" s="23"/>
      <c r="K848" s="24"/>
      <c r="N848" s="6"/>
      <c r="O848" s="27"/>
    </row>
    <row r="849" spans="1:15" x14ac:dyDescent="0.25">
      <c r="A849" s="13">
        <f t="shared" si="21"/>
        <v>23</v>
      </c>
      <c r="B849" s="17"/>
      <c r="C849" s="17"/>
      <c r="D849" s="18"/>
      <c r="E849" s="11"/>
      <c r="F849" s="19"/>
      <c r="G849" s="20"/>
      <c r="H849" s="21"/>
      <c r="I849" s="22"/>
      <c r="J849" s="23"/>
      <c r="K849" s="24"/>
      <c r="N849" s="6"/>
      <c r="O849" s="27"/>
    </row>
    <row r="850" spans="1:15" x14ac:dyDescent="0.25">
      <c r="A850" s="13">
        <f t="shared" si="21"/>
        <v>23</v>
      </c>
      <c r="B850" s="17"/>
      <c r="C850" s="17"/>
      <c r="D850" s="18"/>
      <c r="E850" s="11"/>
      <c r="F850" s="19"/>
      <c r="G850" s="20"/>
      <c r="H850" s="21"/>
      <c r="I850" s="22"/>
      <c r="J850" s="23"/>
      <c r="K850" s="24"/>
      <c r="N850" s="6"/>
      <c r="O850" s="27"/>
    </row>
    <row r="851" spans="1:15" x14ac:dyDescent="0.25">
      <c r="A851" s="13">
        <f t="shared" si="21"/>
        <v>23</v>
      </c>
      <c r="B851" s="17"/>
      <c r="C851" s="17"/>
      <c r="D851" s="18"/>
      <c r="E851" s="11"/>
      <c r="F851" s="19"/>
      <c r="G851" s="20"/>
      <c r="H851" s="21"/>
      <c r="I851" s="22"/>
      <c r="J851" s="23"/>
      <c r="K851" s="24"/>
      <c r="N851" s="6"/>
      <c r="O851" s="27"/>
    </row>
    <row r="852" spans="1:15" x14ac:dyDescent="0.25">
      <c r="A852" s="13">
        <f t="shared" si="21"/>
        <v>23</v>
      </c>
      <c r="B852" s="17"/>
      <c r="C852" s="17"/>
      <c r="D852" s="18"/>
      <c r="E852" s="11"/>
      <c r="F852" s="19"/>
      <c r="G852" s="20"/>
      <c r="H852" s="21"/>
      <c r="I852" s="22"/>
      <c r="J852" s="23"/>
      <c r="K852" s="24"/>
      <c r="N852" s="6"/>
      <c r="O852" s="27"/>
    </row>
    <row r="853" spans="1:15" x14ac:dyDescent="0.25">
      <c r="A853" s="13">
        <f t="shared" si="21"/>
        <v>23</v>
      </c>
      <c r="B853" s="17"/>
      <c r="C853" s="17"/>
      <c r="D853" s="18"/>
      <c r="E853" s="11"/>
      <c r="F853" s="19"/>
      <c r="G853" s="20"/>
      <c r="H853" s="21"/>
      <c r="I853" s="22"/>
      <c r="J853" s="23"/>
      <c r="K853" s="24"/>
      <c r="N853" s="6"/>
      <c r="O853" s="27"/>
    </row>
    <row r="854" spans="1:15" x14ac:dyDescent="0.25">
      <c r="A854" s="13">
        <f t="shared" si="21"/>
        <v>23</v>
      </c>
      <c r="B854" s="17"/>
      <c r="C854" s="17"/>
      <c r="D854" s="18"/>
      <c r="E854" s="11"/>
      <c r="F854" s="19"/>
      <c r="G854" s="20"/>
      <c r="H854" s="21"/>
      <c r="I854" s="22"/>
      <c r="J854" s="23"/>
      <c r="K854" s="24"/>
      <c r="N854" s="6"/>
      <c r="O854" s="27"/>
    </row>
    <row r="855" spans="1:15" x14ac:dyDescent="0.25">
      <c r="A855" s="13">
        <f t="shared" si="21"/>
        <v>23</v>
      </c>
      <c r="B855" s="17"/>
      <c r="C855" s="17"/>
      <c r="D855" s="18"/>
      <c r="E855" s="11"/>
      <c r="F855" s="19"/>
      <c r="G855" s="20"/>
      <c r="H855" s="21"/>
      <c r="I855" s="22"/>
      <c r="J855" s="23"/>
      <c r="K855" s="24"/>
      <c r="N855" s="6"/>
      <c r="O855" s="27"/>
    </row>
    <row r="856" spans="1:15" x14ac:dyDescent="0.25">
      <c r="A856" s="13">
        <f t="shared" si="21"/>
        <v>23</v>
      </c>
      <c r="B856" s="17"/>
      <c r="C856" s="17"/>
      <c r="D856" s="18"/>
      <c r="E856" s="11"/>
      <c r="F856" s="19"/>
      <c r="G856" s="20"/>
      <c r="H856" s="21"/>
      <c r="I856" s="22"/>
      <c r="J856" s="23"/>
      <c r="K856" s="24"/>
      <c r="N856" s="6"/>
      <c r="O856" s="27"/>
    </row>
    <row r="857" spans="1:15" x14ac:dyDescent="0.25">
      <c r="A857" s="13">
        <f t="shared" si="21"/>
        <v>23</v>
      </c>
      <c r="B857" s="17"/>
      <c r="C857" s="17"/>
      <c r="D857" s="18"/>
      <c r="E857" s="11"/>
      <c r="F857" s="19"/>
      <c r="G857" s="36"/>
      <c r="H857" s="21"/>
      <c r="I857" s="22"/>
      <c r="J857" s="23"/>
      <c r="K857" s="24"/>
      <c r="N857" s="6"/>
      <c r="O857" s="27"/>
    </row>
    <row r="858" spans="1:15" x14ac:dyDescent="0.25">
      <c r="A858" s="13">
        <f t="shared" si="21"/>
        <v>23</v>
      </c>
      <c r="B858" s="17"/>
      <c r="C858" s="17"/>
      <c r="D858" s="18"/>
      <c r="E858" s="11"/>
      <c r="F858" s="19"/>
      <c r="G858" s="36"/>
      <c r="H858" s="21"/>
      <c r="I858" s="22"/>
      <c r="J858" s="23"/>
      <c r="K858" s="24"/>
      <c r="N858" s="6"/>
      <c r="O858" s="27"/>
    </row>
    <row r="859" spans="1:15" x14ac:dyDescent="0.25">
      <c r="A859" s="13">
        <f t="shared" si="21"/>
        <v>23</v>
      </c>
      <c r="B859" s="17"/>
      <c r="C859" s="17"/>
      <c r="D859" s="18"/>
      <c r="E859" s="11"/>
      <c r="F859" s="19"/>
      <c r="G859" s="36"/>
      <c r="H859" s="21"/>
      <c r="I859" s="22"/>
      <c r="J859" s="23"/>
      <c r="K859" s="24"/>
      <c r="N859" s="6"/>
      <c r="O859" s="27"/>
    </row>
    <row r="860" spans="1:15" x14ac:dyDescent="0.25">
      <c r="A860" s="13">
        <f t="shared" si="21"/>
        <v>23</v>
      </c>
      <c r="B860" s="17"/>
      <c r="C860" s="17"/>
      <c r="D860" s="18"/>
      <c r="E860" s="11"/>
      <c r="F860" s="19"/>
      <c r="G860" s="36"/>
      <c r="H860" s="21"/>
      <c r="I860" s="22"/>
      <c r="J860" s="23"/>
      <c r="K860" s="24"/>
      <c r="N860" s="6"/>
      <c r="O860" s="27"/>
    </row>
    <row r="861" spans="1:15" x14ac:dyDescent="0.25">
      <c r="A861" s="13">
        <f t="shared" si="21"/>
        <v>23</v>
      </c>
      <c r="B861" s="17"/>
      <c r="C861" s="17"/>
      <c r="D861" s="18"/>
      <c r="E861" s="11"/>
      <c r="F861" s="19"/>
      <c r="G861" s="36"/>
      <c r="H861" s="21"/>
      <c r="I861" s="22"/>
      <c r="J861" s="23"/>
      <c r="K861" s="24"/>
      <c r="N861" s="6"/>
      <c r="O861" s="27"/>
    </row>
    <row r="862" spans="1:15" x14ac:dyDescent="0.25">
      <c r="A862" s="13">
        <f t="shared" si="21"/>
        <v>23</v>
      </c>
      <c r="B862" s="17"/>
      <c r="C862" s="17"/>
      <c r="D862" s="18"/>
      <c r="E862" s="11"/>
      <c r="F862" s="19"/>
      <c r="G862" s="36"/>
      <c r="H862" s="21"/>
      <c r="I862" s="22"/>
      <c r="J862" s="23"/>
      <c r="K862" s="24"/>
      <c r="N862" s="6"/>
      <c r="O862" s="27"/>
    </row>
    <row r="863" spans="1:15" x14ac:dyDescent="0.25">
      <c r="A863" s="13">
        <f t="shared" si="21"/>
        <v>23</v>
      </c>
      <c r="B863" s="17"/>
      <c r="C863" s="17"/>
      <c r="D863" s="18"/>
      <c r="E863" s="11"/>
      <c r="F863" s="19"/>
      <c r="G863" s="36"/>
      <c r="H863" s="21"/>
      <c r="I863" s="22"/>
      <c r="J863" s="23"/>
      <c r="K863" s="24"/>
      <c r="N863" s="6"/>
      <c r="O863" s="27"/>
    </row>
    <row r="864" spans="1:15" x14ac:dyDescent="0.25">
      <c r="A864" s="13">
        <f t="shared" si="21"/>
        <v>23</v>
      </c>
      <c r="B864" s="17"/>
      <c r="C864" s="17"/>
      <c r="D864" s="18"/>
      <c r="E864" s="11"/>
      <c r="F864" s="19"/>
      <c r="G864" s="36"/>
      <c r="H864" s="21"/>
      <c r="I864" s="22"/>
      <c r="J864" s="23"/>
      <c r="K864" s="24"/>
      <c r="N864" s="6"/>
      <c r="O864" s="27"/>
    </row>
    <row r="865" spans="1:15" x14ac:dyDescent="0.25">
      <c r="A865" s="13">
        <f t="shared" si="21"/>
        <v>23</v>
      </c>
      <c r="B865" s="17"/>
      <c r="C865" s="17"/>
      <c r="D865" s="18"/>
      <c r="E865" s="11"/>
      <c r="F865" s="19"/>
      <c r="G865" s="36"/>
      <c r="H865" s="21"/>
      <c r="I865" s="22"/>
      <c r="J865" s="23"/>
      <c r="K865" s="24"/>
      <c r="N865" s="6"/>
      <c r="O865" s="27"/>
    </row>
    <row r="866" spans="1:15" x14ac:dyDescent="0.25">
      <c r="A866" s="13">
        <f t="shared" si="21"/>
        <v>23</v>
      </c>
      <c r="B866" s="17"/>
      <c r="C866" s="17"/>
      <c r="D866" s="18"/>
      <c r="E866" s="11"/>
      <c r="F866" s="19"/>
      <c r="G866" s="36"/>
      <c r="H866" s="21"/>
      <c r="I866" s="22"/>
      <c r="J866" s="23"/>
      <c r="K866" s="24"/>
      <c r="N866" s="6"/>
      <c r="O866" s="27"/>
    </row>
    <row r="867" spans="1:15" x14ac:dyDescent="0.25">
      <c r="A867" s="13">
        <f t="shared" si="21"/>
        <v>23</v>
      </c>
      <c r="B867" s="17"/>
      <c r="C867" s="17"/>
      <c r="D867" s="18"/>
      <c r="E867" s="11"/>
      <c r="F867" s="19"/>
      <c r="G867" s="36"/>
      <c r="H867" s="21"/>
      <c r="I867" s="22"/>
      <c r="J867" s="23"/>
      <c r="K867" s="24"/>
      <c r="N867" s="6"/>
      <c r="O867" s="27"/>
    </row>
    <row r="868" spans="1:15" x14ac:dyDescent="0.25">
      <c r="A868" s="13">
        <f t="shared" si="21"/>
        <v>23</v>
      </c>
      <c r="B868" s="17"/>
      <c r="C868" s="17"/>
      <c r="D868" s="18"/>
      <c r="E868" s="11"/>
      <c r="F868" s="19"/>
      <c r="G868" s="36"/>
      <c r="H868" s="21"/>
      <c r="I868" s="22"/>
      <c r="J868" s="23"/>
      <c r="K868" s="24"/>
      <c r="N868" s="6"/>
      <c r="O868" s="27"/>
    </row>
    <row r="869" spans="1:15" x14ac:dyDescent="0.25">
      <c r="A869" s="13">
        <f t="shared" si="21"/>
        <v>23</v>
      </c>
      <c r="B869" s="17"/>
      <c r="C869" s="17"/>
      <c r="D869" s="18"/>
      <c r="E869" s="11"/>
      <c r="F869" s="19"/>
      <c r="G869" s="36"/>
      <c r="H869" s="21"/>
      <c r="I869" s="22"/>
      <c r="J869" s="23"/>
      <c r="K869" s="24"/>
      <c r="N869" s="6"/>
      <c r="O869" s="27"/>
    </row>
    <row r="870" spans="1:15" x14ac:dyDescent="0.25">
      <c r="A870" s="13">
        <f t="shared" si="21"/>
        <v>23</v>
      </c>
      <c r="B870" s="17"/>
      <c r="C870" s="17"/>
      <c r="D870" s="18"/>
      <c r="E870" s="11"/>
      <c r="F870" s="19"/>
      <c r="G870" s="36"/>
      <c r="H870" s="21"/>
      <c r="I870" s="22"/>
      <c r="J870" s="23"/>
      <c r="K870" s="24"/>
      <c r="N870" s="6"/>
      <c r="O870" s="27"/>
    </row>
    <row r="871" spans="1:15" x14ac:dyDescent="0.25">
      <c r="A871" s="13">
        <f t="shared" si="21"/>
        <v>23</v>
      </c>
      <c r="B871" s="17"/>
      <c r="C871" s="17"/>
      <c r="D871" s="18"/>
      <c r="E871" s="11"/>
      <c r="F871" s="19"/>
      <c r="G871" s="36"/>
      <c r="H871" s="21"/>
      <c r="I871" s="22"/>
      <c r="J871" s="23"/>
      <c r="K871" s="24"/>
      <c r="N871" s="6"/>
      <c r="O871" s="27"/>
    </row>
    <row r="872" spans="1:15" x14ac:dyDescent="0.25">
      <c r="A872" s="13">
        <f t="shared" si="21"/>
        <v>23</v>
      </c>
      <c r="B872" s="17"/>
      <c r="C872" s="17"/>
      <c r="D872" s="18"/>
      <c r="E872" s="11"/>
      <c r="F872" s="19"/>
      <c r="G872" s="36"/>
      <c r="H872" s="21"/>
      <c r="I872" s="22"/>
      <c r="J872" s="23"/>
      <c r="K872" s="24"/>
      <c r="N872" s="6"/>
      <c r="O872" s="27"/>
    </row>
    <row r="873" spans="1:15" x14ac:dyDescent="0.25">
      <c r="A873" s="13">
        <f t="shared" si="21"/>
        <v>23</v>
      </c>
      <c r="B873" s="17"/>
      <c r="C873" s="17"/>
      <c r="D873" s="18"/>
      <c r="E873" s="11"/>
      <c r="F873" s="19"/>
      <c r="G873" s="36"/>
      <c r="H873" s="21"/>
      <c r="I873" s="22"/>
      <c r="J873" s="23"/>
      <c r="K873"/>
      <c r="N873" s="6"/>
      <c r="O873" s="27"/>
    </row>
    <row r="874" spans="1:15" x14ac:dyDescent="0.25">
      <c r="A874" s="13">
        <f t="shared" si="21"/>
        <v>23</v>
      </c>
      <c r="B874" s="17"/>
      <c r="C874" s="17"/>
      <c r="D874" s="18"/>
      <c r="E874" s="11"/>
      <c r="F874" s="19"/>
      <c r="G874" s="36"/>
      <c r="H874" s="21"/>
      <c r="I874" s="22"/>
      <c r="J874" s="23"/>
      <c r="K874"/>
      <c r="N874" s="6"/>
      <c r="O874" s="27"/>
    </row>
    <row r="875" spans="1:15" x14ac:dyDescent="0.25">
      <c r="A875" s="13">
        <f t="shared" si="21"/>
        <v>23</v>
      </c>
      <c r="B875" s="17"/>
      <c r="C875" s="17"/>
      <c r="D875" s="18"/>
      <c r="E875" s="11"/>
      <c r="F875" s="19"/>
      <c r="G875" s="36"/>
      <c r="H875" s="21"/>
      <c r="I875" s="22"/>
      <c r="J875" s="23"/>
      <c r="K875"/>
      <c r="N875" s="6"/>
      <c r="O875" s="27"/>
    </row>
    <row r="876" spans="1:15" x14ac:dyDescent="0.25">
      <c r="A876" s="13">
        <f t="shared" si="21"/>
        <v>23</v>
      </c>
      <c r="B876" s="17"/>
      <c r="C876" s="17"/>
      <c r="D876" s="18"/>
      <c r="E876" s="11"/>
      <c r="F876" s="19"/>
      <c r="G876" s="36"/>
      <c r="H876" s="21"/>
      <c r="I876" s="22"/>
      <c r="J876" s="23"/>
      <c r="K876"/>
      <c r="N876" s="6"/>
      <c r="O876" s="27"/>
    </row>
    <row r="877" spans="1:15" x14ac:dyDescent="0.25">
      <c r="A877" s="13">
        <f t="shared" si="21"/>
        <v>23</v>
      </c>
      <c r="B877" s="17"/>
      <c r="C877" s="17"/>
      <c r="D877" s="18"/>
      <c r="E877" s="11"/>
      <c r="F877" s="19"/>
      <c r="G877" s="36"/>
      <c r="H877" s="21"/>
      <c r="I877" s="22"/>
      <c r="J877" s="23"/>
      <c r="K877"/>
      <c r="N877" s="6"/>
      <c r="O877" s="27"/>
    </row>
    <row r="878" spans="1:15" x14ac:dyDescent="0.25">
      <c r="A878" s="13">
        <f t="shared" si="21"/>
        <v>23</v>
      </c>
      <c r="B878" s="17"/>
      <c r="C878" s="17"/>
      <c r="D878" s="18"/>
      <c r="E878" s="11"/>
      <c r="F878" s="19"/>
      <c r="G878" s="36"/>
      <c r="H878" s="21"/>
      <c r="I878" s="22"/>
      <c r="J878" s="23"/>
      <c r="K878"/>
      <c r="N878" s="6"/>
      <c r="O878" s="27"/>
    </row>
    <row r="879" spans="1:15" x14ac:dyDescent="0.25">
      <c r="A879" s="13">
        <f t="shared" si="21"/>
        <v>23</v>
      </c>
      <c r="B879" s="17"/>
      <c r="C879" s="17"/>
      <c r="D879" s="18"/>
      <c r="E879" s="11"/>
      <c r="F879" s="19"/>
      <c r="G879" s="36"/>
      <c r="H879" s="21"/>
      <c r="I879" s="22"/>
      <c r="J879" s="23"/>
      <c r="K879"/>
      <c r="N879" s="6"/>
      <c r="O879" s="27"/>
    </row>
    <row r="880" spans="1:15" x14ac:dyDescent="0.25">
      <c r="A880" s="13">
        <f t="shared" si="21"/>
        <v>23</v>
      </c>
      <c r="B880" s="17"/>
      <c r="C880" s="17"/>
      <c r="D880" s="18"/>
      <c r="E880" s="11"/>
      <c r="F880" s="19"/>
      <c r="G880" s="36"/>
      <c r="H880" s="21"/>
      <c r="I880" s="22"/>
      <c r="J880" s="23"/>
      <c r="K880"/>
      <c r="N880" s="6"/>
      <c r="O880" s="27"/>
    </row>
    <row r="881" spans="1:15" x14ac:dyDescent="0.25">
      <c r="A881" s="13">
        <f t="shared" si="21"/>
        <v>23</v>
      </c>
      <c r="B881" s="17"/>
      <c r="C881" s="17"/>
      <c r="D881" s="18"/>
      <c r="E881" s="11"/>
      <c r="F881" s="19"/>
      <c r="G881" s="36"/>
      <c r="H881" s="21"/>
      <c r="I881" s="22"/>
      <c r="J881" s="23"/>
      <c r="K881"/>
      <c r="N881" s="6"/>
      <c r="O881" s="27"/>
    </row>
    <row r="882" spans="1:15" x14ac:dyDescent="0.25">
      <c r="A882" s="13">
        <f t="shared" si="21"/>
        <v>23</v>
      </c>
      <c r="B882" s="17"/>
      <c r="C882" s="17"/>
      <c r="D882" s="18"/>
      <c r="E882" s="11"/>
      <c r="F882" s="19"/>
      <c r="G882" s="36"/>
      <c r="H882" s="21"/>
      <c r="I882" s="22"/>
      <c r="J882" s="23"/>
      <c r="K882"/>
      <c r="N882" s="6"/>
      <c r="O882" s="27"/>
    </row>
    <row r="883" spans="1:15" x14ac:dyDescent="0.25">
      <c r="A883" s="13">
        <f t="shared" si="21"/>
        <v>23</v>
      </c>
      <c r="B883" s="17"/>
      <c r="C883" s="17"/>
      <c r="D883" s="18"/>
      <c r="E883" s="11"/>
      <c r="F883" s="19"/>
      <c r="G883" s="36"/>
      <c r="H883" s="21"/>
      <c r="I883" s="22"/>
      <c r="J883" s="23"/>
      <c r="K883"/>
      <c r="N883" s="6"/>
      <c r="O883" s="27"/>
    </row>
    <row r="884" spans="1:15" x14ac:dyDescent="0.25">
      <c r="A884" s="13">
        <f t="shared" si="21"/>
        <v>23</v>
      </c>
      <c r="B884" s="17"/>
      <c r="C884" s="17"/>
      <c r="D884" s="42"/>
      <c r="E884" s="43"/>
      <c r="F884" s="19"/>
      <c r="G884" s="20"/>
      <c r="H884" s="21"/>
      <c r="I884" s="22"/>
      <c r="J884" s="23"/>
      <c r="K884"/>
      <c r="N884" s="6"/>
      <c r="O884" s="27"/>
    </row>
    <row r="885" spans="1:15" x14ac:dyDescent="0.25">
      <c r="A885" s="13">
        <f t="shared" si="21"/>
        <v>23</v>
      </c>
      <c r="B885" s="17"/>
      <c r="C885" s="17"/>
      <c r="D885" s="18"/>
      <c r="E885" s="11"/>
      <c r="F885" s="19"/>
      <c r="G885" s="20"/>
      <c r="H885" s="21"/>
      <c r="I885" s="22"/>
      <c r="J885" s="23"/>
      <c r="K885"/>
      <c r="N885" s="6"/>
      <c r="O885" s="27"/>
    </row>
    <row r="886" spans="1:15" x14ac:dyDescent="0.25">
      <c r="A886" s="13">
        <f t="shared" si="21"/>
        <v>23</v>
      </c>
      <c r="B886" s="17"/>
      <c r="C886" s="17"/>
      <c r="D886" s="18"/>
      <c r="E886" s="11"/>
      <c r="F886" s="19"/>
      <c r="G886" s="20"/>
      <c r="H886" s="21"/>
      <c r="I886" s="22"/>
      <c r="J886" s="23"/>
      <c r="K886"/>
      <c r="N886" s="6"/>
      <c r="O886" s="27"/>
    </row>
    <row r="887" spans="1:15" x14ac:dyDescent="0.25">
      <c r="A887" s="13">
        <f t="shared" si="21"/>
        <v>23</v>
      </c>
      <c r="B887" s="17"/>
      <c r="C887" s="17"/>
      <c r="D887" s="18"/>
      <c r="E887" s="11"/>
      <c r="F887" s="19"/>
      <c r="G887" s="20"/>
      <c r="H887" s="21"/>
      <c r="I887" s="22"/>
      <c r="J887" s="23"/>
      <c r="K887"/>
      <c r="N887" s="6"/>
      <c r="O887" s="27"/>
    </row>
    <row r="888" spans="1:15" x14ac:dyDescent="0.25">
      <c r="A888" s="13">
        <f t="shared" si="21"/>
        <v>23</v>
      </c>
      <c r="B888" s="17"/>
      <c r="C888" s="17"/>
      <c r="D888" s="18"/>
      <c r="E888" s="11"/>
      <c r="F888" s="19"/>
      <c r="G888" s="20"/>
      <c r="H888" s="21"/>
      <c r="I888" s="22"/>
      <c r="J888" s="23"/>
      <c r="K888" s="24"/>
      <c r="N888" s="6"/>
      <c r="O888" s="27"/>
    </row>
    <row r="889" spans="1:15" x14ac:dyDescent="0.25">
      <c r="A889" s="13">
        <f t="shared" si="21"/>
        <v>23</v>
      </c>
      <c r="B889" s="17"/>
      <c r="C889" s="17"/>
      <c r="D889" s="18"/>
      <c r="E889" s="11"/>
      <c r="F889" s="19"/>
      <c r="G889" s="20"/>
      <c r="H889" s="21"/>
      <c r="I889" s="22"/>
      <c r="J889" s="23"/>
      <c r="K889" s="24"/>
      <c r="N889" s="6"/>
      <c r="O889" s="27"/>
    </row>
    <row r="890" spans="1:15" x14ac:dyDescent="0.25">
      <c r="A890" s="13">
        <f t="shared" si="21"/>
        <v>23</v>
      </c>
      <c r="B890" s="17"/>
      <c r="C890" s="17"/>
      <c r="D890" s="18"/>
      <c r="E890" s="11"/>
      <c r="F890" s="19"/>
      <c r="G890" s="20"/>
      <c r="H890" s="21"/>
      <c r="I890" s="22"/>
      <c r="J890" s="23"/>
      <c r="K890" s="24"/>
      <c r="N890" s="6"/>
      <c r="O890" s="27"/>
    </row>
    <row r="891" spans="1:15" x14ac:dyDescent="0.25">
      <c r="A891" s="13">
        <f t="shared" si="21"/>
        <v>23</v>
      </c>
      <c r="B891" s="17"/>
      <c r="C891" s="17"/>
      <c r="D891" s="18"/>
      <c r="E891" s="11"/>
      <c r="F891" s="19"/>
      <c r="G891" s="20"/>
      <c r="H891" s="21"/>
      <c r="I891" s="22"/>
      <c r="J891" s="23"/>
      <c r="K891" s="24"/>
      <c r="N891" s="6"/>
      <c r="O891" s="27"/>
    </row>
    <row r="892" spans="1:15" x14ac:dyDescent="0.25">
      <c r="A892" s="13">
        <f t="shared" si="21"/>
        <v>23</v>
      </c>
      <c r="B892" s="17"/>
      <c r="C892" s="17"/>
      <c r="D892" s="40"/>
      <c r="E892" s="41"/>
      <c r="F892" s="19"/>
      <c r="G892" s="20"/>
      <c r="H892" s="21"/>
      <c r="I892" s="22"/>
      <c r="J892" s="23"/>
      <c r="K892" s="24"/>
      <c r="N892" s="6"/>
      <c r="O892" s="27"/>
    </row>
    <row r="893" spans="1:15" x14ac:dyDescent="0.25">
      <c r="A893" s="13">
        <f t="shared" si="21"/>
        <v>23</v>
      </c>
      <c r="B893" s="17"/>
      <c r="C893" s="17"/>
      <c r="D893" s="18"/>
      <c r="E893" s="11"/>
      <c r="F893" s="19"/>
      <c r="G893" s="20"/>
      <c r="H893" s="21"/>
      <c r="I893" s="22"/>
      <c r="J893" s="23"/>
      <c r="K893" s="24"/>
      <c r="N893" s="6"/>
      <c r="O893" s="27"/>
    </row>
    <row r="894" spans="1:15" x14ac:dyDescent="0.25">
      <c r="A894" s="13">
        <f t="shared" si="21"/>
        <v>23</v>
      </c>
      <c r="B894" s="17"/>
      <c r="C894" s="17"/>
      <c r="D894" s="18"/>
      <c r="E894" s="11"/>
      <c r="F894" s="19"/>
      <c r="G894" s="20"/>
      <c r="H894" s="21"/>
      <c r="I894" s="22"/>
      <c r="J894" s="23"/>
      <c r="K894" s="24"/>
      <c r="N894" s="6"/>
      <c r="O894" s="27"/>
    </row>
    <row r="895" spans="1:15" x14ac:dyDescent="0.25">
      <c r="A895" s="13">
        <f t="shared" si="21"/>
        <v>23</v>
      </c>
      <c r="B895" s="17"/>
      <c r="C895" s="17"/>
      <c r="D895" s="18"/>
      <c r="E895" s="11"/>
      <c r="F895" s="19"/>
      <c r="G895" s="36"/>
      <c r="H895" s="21"/>
      <c r="I895" s="22"/>
      <c r="J895" s="23"/>
      <c r="K895" s="24"/>
      <c r="N895" s="6"/>
      <c r="O895" s="27"/>
    </row>
    <row r="896" spans="1:15" x14ac:dyDescent="0.25">
      <c r="A896" s="13">
        <f t="shared" si="21"/>
        <v>23</v>
      </c>
      <c r="B896" s="17"/>
      <c r="C896" s="17"/>
      <c r="D896" s="18"/>
      <c r="E896" s="11"/>
      <c r="F896" s="19"/>
      <c r="G896" s="36"/>
      <c r="H896" s="21"/>
      <c r="I896" s="22"/>
      <c r="J896" s="23"/>
      <c r="K896" s="24"/>
      <c r="N896" s="6"/>
      <c r="O896" s="27"/>
    </row>
    <row r="897" spans="1:15" x14ac:dyDescent="0.25">
      <c r="A897" s="13">
        <f t="shared" si="21"/>
        <v>23</v>
      </c>
      <c r="B897" s="17"/>
      <c r="C897" s="17"/>
      <c r="D897" s="18"/>
      <c r="E897" s="11"/>
      <c r="F897" s="19"/>
      <c r="G897" s="36"/>
      <c r="H897" s="21"/>
      <c r="I897" s="22"/>
      <c r="J897" s="23"/>
      <c r="K897" s="24"/>
      <c r="N897" s="6"/>
      <c r="O897" s="27"/>
    </row>
    <row r="898" spans="1:15" x14ac:dyDescent="0.25">
      <c r="A898" s="13">
        <f t="shared" si="21"/>
        <v>23</v>
      </c>
      <c r="B898" s="17"/>
      <c r="C898" s="17"/>
      <c r="D898" s="18"/>
      <c r="E898" s="11"/>
      <c r="F898" s="19"/>
      <c r="G898" s="36"/>
      <c r="H898" s="21"/>
      <c r="I898" s="22"/>
      <c r="J898" s="23"/>
      <c r="K898" s="24"/>
      <c r="N898" s="6"/>
      <c r="O898" s="27"/>
    </row>
    <row r="899" spans="1:15" x14ac:dyDescent="0.25">
      <c r="A899" s="13">
        <f t="shared" si="21"/>
        <v>23</v>
      </c>
      <c r="B899" s="17"/>
      <c r="C899" s="17"/>
      <c r="D899" s="18"/>
      <c r="E899" s="11"/>
      <c r="F899" s="19"/>
      <c r="G899" s="36"/>
      <c r="H899" s="21"/>
      <c r="I899" s="22"/>
      <c r="J899" s="23"/>
      <c r="K899" s="24"/>
      <c r="N899" s="6"/>
      <c r="O899" s="27"/>
    </row>
    <row r="900" spans="1:15" x14ac:dyDescent="0.25">
      <c r="A900" s="13">
        <f t="shared" ref="A900:A963" si="22">IF(B900=B899,A899,A899+1)</f>
        <v>23</v>
      </c>
      <c r="B900" s="17"/>
      <c r="C900" s="17"/>
      <c r="D900" s="18"/>
      <c r="E900" s="11"/>
      <c r="F900" s="19"/>
      <c r="G900" s="36"/>
      <c r="H900" s="21"/>
      <c r="I900" s="22"/>
      <c r="J900" s="23"/>
      <c r="K900" s="24"/>
      <c r="N900" s="6"/>
      <c r="O900" s="27"/>
    </row>
    <row r="901" spans="1:15" x14ac:dyDescent="0.25">
      <c r="A901" s="13">
        <f t="shared" si="22"/>
        <v>23</v>
      </c>
      <c r="B901" s="17"/>
      <c r="C901" s="17"/>
      <c r="D901" s="18"/>
      <c r="E901" s="11"/>
      <c r="F901" s="19"/>
      <c r="G901" s="36"/>
      <c r="H901" s="21"/>
      <c r="I901" s="22"/>
      <c r="J901" s="23"/>
      <c r="N901" s="27"/>
    </row>
    <row r="902" spans="1:15" x14ac:dyDescent="0.25">
      <c r="A902" s="13">
        <f t="shared" si="22"/>
        <v>23</v>
      </c>
      <c r="B902" s="17"/>
      <c r="C902" s="17"/>
      <c r="D902" s="18"/>
      <c r="E902" s="11"/>
      <c r="F902" s="19"/>
      <c r="G902" s="36"/>
      <c r="H902" s="21"/>
      <c r="I902" s="22"/>
      <c r="J902" s="23"/>
      <c r="N902" s="27"/>
    </row>
    <row r="903" spans="1:15" x14ac:dyDescent="0.25">
      <c r="A903" s="13">
        <f t="shared" si="22"/>
        <v>23</v>
      </c>
      <c r="B903" s="17"/>
      <c r="C903" s="17"/>
      <c r="D903" s="18"/>
      <c r="E903" s="11"/>
      <c r="F903" s="19"/>
      <c r="G903" s="36"/>
      <c r="H903" s="21"/>
      <c r="I903" s="22"/>
      <c r="J903" s="23"/>
      <c r="N903" s="27"/>
    </row>
    <row r="904" spans="1:15" x14ac:dyDescent="0.25">
      <c r="A904" s="13">
        <f t="shared" si="22"/>
        <v>23</v>
      </c>
      <c r="B904" s="17"/>
      <c r="C904" s="17"/>
      <c r="D904" s="18"/>
      <c r="E904" s="11"/>
      <c r="F904" s="19"/>
      <c r="G904" s="36"/>
      <c r="H904" s="21"/>
      <c r="I904" s="22"/>
      <c r="J904" s="23"/>
      <c r="N904" s="27"/>
    </row>
    <row r="905" spans="1:15" x14ac:dyDescent="0.25">
      <c r="A905" s="13">
        <f t="shared" si="22"/>
        <v>23</v>
      </c>
      <c r="B905" s="17"/>
      <c r="C905" s="17"/>
      <c r="D905" s="18"/>
      <c r="E905" s="11"/>
      <c r="F905" s="19"/>
      <c r="G905" s="36"/>
      <c r="H905" s="21"/>
      <c r="I905" s="22"/>
      <c r="J905" s="23"/>
      <c r="N905" s="27"/>
    </row>
    <row r="906" spans="1:15" x14ac:dyDescent="0.25">
      <c r="A906" s="13">
        <f t="shared" si="22"/>
        <v>23</v>
      </c>
      <c r="B906" s="17"/>
      <c r="C906" s="17"/>
      <c r="D906" s="18"/>
      <c r="E906" s="11"/>
      <c r="F906" s="19"/>
      <c r="G906" s="36"/>
      <c r="H906" s="21"/>
      <c r="I906" s="22"/>
      <c r="J906" s="23"/>
      <c r="N906" s="27"/>
    </row>
    <row r="907" spans="1:15" x14ac:dyDescent="0.25">
      <c r="A907" s="13">
        <f t="shared" si="22"/>
        <v>23</v>
      </c>
      <c r="B907" s="17"/>
      <c r="C907" s="17"/>
      <c r="D907" s="18"/>
      <c r="E907" s="11"/>
      <c r="F907" s="19"/>
      <c r="G907" s="36"/>
      <c r="H907" s="21"/>
      <c r="I907" s="22"/>
      <c r="J907" s="23"/>
      <c r="N907" s="27"/>
    </row>
    <row r="908" spans="1:15" x14ac:dyDescent="0.25">
      <c r="A908" s="13">
        <f t="shared" si="22"/>
        <v>23</v>
      </c>
      <c r="B908" s="17"/>
      <c r="C908" s="17"/>
      <c r="D908" s="18"/>
      <c r="E908" s="11"/>
      <c r="F908" s="19"/>
      <c r="G908" s="36"/>
      <c r="H908" s="21"/>
      <c r="I908" s="22"/>
      <c r="J908" s="23"/>
      <c r="N908" s="27"/>
    </row>
    <row r="909" spans="1:15" x14ac:dyDescent="0.25">
      <c r="A909" s="13">
        <f t="shared" si="22"/>
        <v>23</v>
      </c>
      <c r="B909" s="17"/>
      <c r="C909" s="17"/>
      <c r="D909" s="18"/>
      <c r="E909" s="11"/>
      <c r="F909" s="19"/>
      <c r="G909" s="36"/>
      <c r="H909" s="21"/>
      <c r="I909" s="22"/>
      <c r="J909" s="23"/>
      <c r="N909" s="27"/>
    </row>
    <row r="910" spans="1:15" x14ac:dyDescent="0.25">
      <c r="A910" s="13">
        <f t="shared" si="22"/>
        <v>23</v>
      </c>
      <c r="B910" s="17"/>
      <c r="C910" s="17"/>
      <c r="D910" s="18"/>
      <c r="E910" s="44"/>
      <c r="F910" s="19"/>
      <c r="G910" s="36"/>
      <c r="H910" s="21"/>
      <c r="I910" s="22"/>
      <c r="J910" s="23"/>
      <c r="N910" s="27"/>
    </row>
    <row r="911" spans="1:15" x14ac:dyDescent="0.25">
      <c r="A911" s="13">
        <f t="shared" si="22"/>
        <v>23</v>
      </c>
      <c r="B911" s="17"/>
      <c r="C911" s="17"/>
      <c r="D911" s="18"/>
      <c r="E911" s="11"/>
      <c r="F911" s="19"/>
      <c r="G911" s="36"/>
      <c r="H911" s="21"/>
      <c r="I911" s="22"/>
      <c r="J911" s="23"/>
      <c r="N911" s="27"/>
    </row>
    <row r="912" spans="1:15" x14ac:dyDescent="0.25">
      <c r="A912" s="13">
        <f t="shared" si="22"/>
        <v>23</v>
      </c>
      <c r="B912" s="17"/>
      <c r="C912" s="17"/>
      <c r="D912" s="18"/>
      <c r="E912" s="11"/>
      <c r="F912" s="19"/>
      <c r="G912" s="36"/>
      <c r="H912" s="21"/>
      <c r="I912" s="22"/>
      <c r="J912" s="23"/>
      <c r="N912" s="27"/>
    </row>
    <row r="913" spans="1:14" x14ac:dyDescent="0.25">
      <c r="A913" s="13">
        <f t="shared" si="22"/>
        <v>23</v>
      </c>
      <c r="B913" s="17"/>
      <c r="C913" s="17"/>
      <c r="D913" s="18"/>
      <c r="E913" s="11"/>
      <c r="F913" s="19"/>
      <c r="G913" s="36"/>
      <c r="H913" s="21"/>
      <c r="I913" s="22"/>
      <c r="J913" s="23"/>
      <c r="N913" s="27"/>
    </row>
    <row r="914" spans="1:14" x14ac:dyDescent="0.25">
      <c r="A914" s="13">
        <f t="shared" si="22"/>
        <v>23</v>
      </c>
      <c r="B914" s="17"/>
      <c r="C914" s="17"/>
      <c r="D914" s="18"/>
      <c r="E914" s="11"/>
      <c r="F914" s="19"/>
      <c r="G914" s="36"/>
      <c r="H914" s="21"/>
      <c r="I914" s="22"/>
      <c r="J914" s="23"/>
      <c r="N914" s="27"/>
    </row>
    <row r="915" spans="1:14" x14ac:dyDescent="0.25">
      <c r="A915" s="13">
        <f t="shared" si="22"/>
        <v>23</v>
      </c>
      <c r="B915" s="17"/>
      <c r="C915" s="17"/>
      <c r="D915" s="18"/>
      <c r="E915" s="11"/>
      <c r="F915" s="19"/>
      <c r="G915" s="36"/>
      <c r="H915" s="21"/>
      <c r="I915" s="22"/>
      <c r="J915" s="23"/>
      <c r="N915" s="27"/>
    </row>
    <row r="916" spans="1:14" x14ac:dyDescent="0.25">
      <c r="A916" s="13">
        <f t="shared" si="22"/>
        <v>23</v>
      </c>
      <c r="B916" s="17"/>
      <c r="C916" s="17"/>
      <c r="D916" s="18"/>
      <c r="E916" s="11"/>
      <c r="F916" s="19"/>
      <c r="G916" s="36"/>
      <c r="H916" s="21"/>
      <c r="I916" s="22"/>
      <c r="J916" s="23"/>
      <c r="N916" s="27"/>
    </row>
    <row r="917" spans="1:14" x14ac:dyDescent="0.25">
      <c r="A917" s="13">
        <f t="shared" si="22"/>
        <v>23</v>
      </c>
      <c r="B917" s="17"/>
      <c r="C917" s="17"/>
      <c r="D917" s="18"/>
      <c r="E917" s="11"/>
      <c r="F917" s="19"/>
      <c r="G917" s="36"/>
      <c r="H917" s="21"/>
      <c r="I917" s="22"/>
      <c r="J917" s="23"/>
      <c r="N917" s="27"/>
    </row>
    <row r="918" spans="1:14" x14ac:dyDescent="0.25">
      <c r="A918" s="13">
        <f t="shared" si="22"/>
        <v>23</v>
      </c>
      <c r="B918" s="17"/>
      <c r="C918" s="17"/>
      <c r="D918" s="18"/>
      <c r="E918" s="11"/>
      <c r="F918" s="19"/>
      <c r="G918" s="36"/>
      <c r="H918" s="21"/>
      <c r="I918" s="22"/>
      <c r="J918" s="23"/>
      <c r="N918" s="27"/>
    </row>
    <row r="919" spans="1:14" x14ac:dyDescent="0.25">
      <c r="A919" s="13">
        <f t="shared" si="22"/>
        <v>23</v>
      </c>
      <c r="B919" s="17"/>
      <c r="C919" s="17"/>
      <c r="D919" s="18"/>
      <c r="E919" s="11"/>
      <c r="F919" s="19"/>
      <c r="G919" s="36"/>
      <c r="H919" s="21"/>
      <c r="I919" s="22"/>
      <c r="J919" s="23"/>
      <c r="N919" s="27"/>
    </row>
    <row r="920" spans="1:14" x14ac:dyDescent="0.25">
      <c r="A920" s="13">
        <f t="shared" si="22"/>
        <v>23</v>
      </c>
      <c r="B920" s="17"/>
      <c r="C920" s="17"/>
      <c r="D920" s="18"/>
      <c r="E920" s="11"/>
      <c r="F920" s="19"/>
      <c r="G920" s="36"/>
      <c r="H920" s="21"/>
      <c r="I920" s="22"/>
      <c r="J920" s="23"/>
      <c r="N920" s="27"/>
    </row>
    <row r="921" spans="1:14" x14ac:dyDescent="0.25">
      <c r="A921" s="13">
        <f t="shared" si="22"/>
        <v>23</v>
      </c>
      <c r="B921" s="17"/>
      <c r="C921" s="17"/>
      <c r="D921" s="18"/>
      <c r="E921" s="11"/>
      <c r="F921" s="19"/>
      <c r="G921" s="36"/>
      <c r="H921" s="21"/>
      <c r="I921" s="22"/>
      <c r="J921" s="23"/>
      <c r="N921" s="27"/>
    </row>
    <row r="922" spans="1:14" x14ac:dyDescent="0.25">
      <c r="A922" s="13">
        <f t="shared" si="22"/>
        <v>23</v>
      </c>
      <c r="B922" s="17"/>
      <c r="C922" s="17"/>
      <c r="D922" s="18"/>
      <c r="E922" s="11"/>
      <c r="F922" s="19"/>
      <c r="G922" s="36"/>
      <c r="H922" s="21"/>
      <c r="I922" s="22"/>
      <c r="J922" s="23"/>
      <c r="N922" s="27"/>
    </row>
    <row r="923" spans="1:14" x14ac:dyDescent="0.25">
      <c r="A923" s="13">
        <f t="shared" si="22"/>
        <v>23</v>
      </c>
      <c r="B923" s="17"/>
      <c r="C923" s="17"/>
      <c r="D923" s="18"/>
      <c r="E923" s="11"/>
      <c r="F923" s="19"/>
      <c r="G923" s="36"/>
      <c r="H923" s="21"/>
      <c r="I923" s="22"/>
      <c r="J923" s="23"/>
      <c r="N923" s="27"/>
    </row>
    <row r="924" spans="1:14" x14ac:dyDescent="0.25">
      <c r="A924" s="13">
        <f t="shared" si="22"/>
        <v>23</v>
      </c>
      <c r="B924" s="17"/>
      <c r="C924" s="17"/>
      <c r="D924" s="18"/>
      <c r="E924" s="11"/>
      <c r="F924" s="19"/>
      <c r="G924" s="36"/>
      <c r="H924" s="21"/>
      <c r="I924" s="22"/>
      <c r="J924" s="23"/>
      <c r="N924" s="27"/>
    </row>
    <row r="925" spans="1:14" x14ac:dyDescent="0.25">
      <c r="A925" s="13">
        <f t="shared" si="22"/>
        <v>23</v>
      </c>
      <c r="B925" s="17"/>
      <c r="C925" s="17"/>
      <c r="D925" s="18"/>
      <c r="E925" s="11"/>
      <c r="F925" s="19"/>
      <c r="G925" s="36"/>
      <c r="H925" s="21"/>
      <c r="I925" s="22"/>
      <c r="J925" s="23"/>
      <c r="N925" s="27"/>
    </row>
    <row r="926" spans="1:14" x14ac:dyDescent="0.25">
      <c r="A926" s="13">
        <f t="shared" si="22"/>
        <v>23</v>
      </c>
      <c r="B926" s="17"/>
      <c r="C926" s="17"/>
      <c r="D926" s="18"/>
      <c r="E926" s="11"/>
      <c r="F926" s="19"/>
      <c r="G926" s="20"/>
      <c r="H926" s="21"/>
      <c r="I926" s="45"/>
      <c r="J926" s="23"/>
      <c r="N926" s="27"/>
    </row>
    <row r="927" spans="1:14" x14ac:dyDescent="0.25">
      <c r="A927" s="13">
        <f t="shared" si="22"/>
        <v>23</v>
      </c>
      <c r="B927" s="17"/>
      <c r="C927" s="17"/>
      <c r="D927" s="18"/>
      <c r="E927" s="11"/>
      <c r="F927" s="19"/>
      <c r="G927" s="20"/>
      <c r="H927" s="21"/>
      <c r="I927" s="45"/>
      <c r="J927" s="23"/>
      <c r="N927" s="27"/>
    </row>
    <row r="928" spans="1:14" x14ac:dyDescent="0.25">
      <c r="A928" s="13">
        <f t="shared" si="22"/>
        <v>23</v>
      </c>
      <c r="B928" s="17"/>
      <c r="C928" s="17"/>
      <c r="D928" s="18"/>
      <c r="E928" s="11"/>
      <c r="F928" s="19"/>
      <c r="G928" s="20"/>
      <c r="H928" s="21"/>
      <c r="I928" s="45"/>
      <c r="J928" s="23"/>
      <c r="N928" s="27"/>
    </row>
    <row r="929" spans="1:14" x14ac:dyDescent="0.25">
      <c r="A929" s="13">
        <f t="shared" si="22"/>
        <v>23</v>
      </c>
      <c r="B929" s="17"/>
      <c r="C929" s="17"/>
      <c r="D929" s="18"/>
      <c r="E929" s="11"/>
      <c r="F929" s="19"/>
      <c r="G929" s="36"/>
      <c r="H929" s="21"/>
      <c r="I929" s="45"/>
      <c r="J929" s="23"/>
      <c r="N929" s="27"/>
    </row>
    <row r="930" spans="1:14" x14ac:dyDescent="0.25">
      <c r="A930" s="13">
        <f t="shared" si="22"/>
        <v>23</v>
      </c>
      <c r="B930" s="17"/>
      <c r="C930" s="17"/>
      <c r="D930" s="18"/>
      <c r="E930" s="11"/>
      <c r="F930" s="19"/>
      <c r="G930" s="36"/>
      <c r="H930" s="21"/>
      <c r="I930" s="45"/>
      <c r="J930" s="23"/>
      <c r="N930" s="27"/>
    </row>
    <row r="931" spans="1:14" x14ac:dyDescent="0.25">
      <c r="A931" s="13">
        <f t="shared" si="22"/>
        <v>23</v>
      </c>
      <c r="B931" s="17"/>
      <c r="C931" s="17"/>
      <c r="D931" s="18"/>
      <c r="E931" s="11"/>
      <c r="F931" s="19"/>
      <c r="G931" s="36"/>
      <c r="H931" s="21"/>
      <c r="I931" s="45"/>
      <c r="J931" s="23"/>
      <c r="N931" s="27"/>
    </row>
    <row r="932" spans="1:14" x14ac:dyDescent="0.25">
      <c r="A932" s="13">
        <f t="shared" si="22"/>
        <v>23</v>
      </c>
      <c r="B932" s="17"/>
      <c r="C932" s="17"/>
      <c r="D932" s="18"/>
      <c r="E932" s="11"/>
      <c r="F932" s="19"/>
      <c r="G932" s="36"/>
      <c r="H932" s="21"/>
      <c r="I932" s="45"/>
      <c r="J932" s="23"/>
      <c r="N932" s="27"/>
    </row>
    <row r="933" spans="1:14" x14ac:dyDescent="0.25">
      <c r="A933" s="13">
        <f t="shared" si="22"/>
        <v>23</v>
      </c>
      <c r="J933" s="24"/>
      <c r="N933" s="27"/>
    </row>
    <row r="934" spans="1:14" x14ac:dyDescent="0.25">
      <c r="A934" s="13">
        <f t="shared" si="22"/>
        <v>23</v>
      </c>
      <c r="J934" s="24"/>
      <c r="N934" s="27"/>
    </row>
    <row r="935" spans="1:14" x14ac:dyDescent="0.25">
      <c r="A935" s="13">
        <f t="shared" si="22"/>
        <v>23</v>
      </c>
      <c r="J935" s="24"/>
      <c r="N935" s="27"/>
    </row>
    <row r="936" spans="1:14" x14ac:dyDescent="0.25">
      <c r="A936" s="13">
        <f t="shared" si="22"/>
        <v>23</v>
      </c>
      <c r="J936" s="24"/>
      <c r="N936" s="27"/>
    </row>
    <row r="937" spans="1:14" x14ac:dyDescent="0.25">
      <c r="A937" s="13">
        <f t="shared" si="22"/>
        <v>23</v>
      </c>
      <c r="J937" s="24"/>
      <c r="N937" s="27"/>
    </row>
    <row r="938" spans="1:14" x14ac:dyDescent="0.25">
      <c r="A938" s="13">
        <f t="shared" si="22"/>
        <v>23</v>
      </c>
      <c r="J938" s="24"/>
      <c r="N938" s="27"/>
    </row>
    <row r="939" spans="1:14" x14ac:dyDescent="0.25">
      <c r="A939" s="13">
        <f t="shared" si="22"/>
        <v>23</v>
      </c>
      <c r="J939" s="24"/>
      <c r="N939" s="27"/>
    </row>
    <row r="940" spans="1:14" x14ac:dyDescent="0.25">
      <c r="A940" s="13">
        <f t="shared" si="22"/>
        <v>23</v>
      </c>
      <c r="J940" s="24"/>
      <c r="N940" s="27"/>
    </row>
    <row r="941" spans="1:14" x14ac:dyDescent="0.25">
      <c r="A941" s="13">
        <f t="shared" si="22"/>
        <v>23</v>
      </c>
      <c r="J941" s="24"/>
      <c r="N941" s="27"/>
    </row>
    <row r="942" spans="1:14" x14ac:dyDescent="0.25">
      <c r="A942" s="13">
        <f t="shared" si="22"/>
        <v>23</v>
      </c>
      <c r="J942" s="24"/>
      <c r="N942" s="27"/>
    </row>
    <row r="943" spans="1:14" x14ac:dyDescent="0.25">
      <c r="A943" s="13">
        <f t="shared" si="22"/>
        <v>23</v>
      </c>
      <c r="J943" s="24"/>
      <c r="N943" s="27"/>
    </row>
    <row r="944" spans="1:14" x14ac:dyDescent="0.25">
      <c r="A944" s="13">
        <f t="shared" si="22"/>
        <v>23</v>
      </c>
      <c r="J944" s="24"/>
      <c r="N944" s="27"/>
    </row>
    <row r="945" spans="1:14" x14ac:dyDescent="0.25">
      <c r="A945" s="13">
        <f t="shared" si="22"/>
        <v>23</v>
      </c>
      <c r="J945" s="24"/>
      <c r="N945" s="27"/>
    </row>
    <row r="946" spans="1:14" x14ac:dyDescent="0.25">
      <c r="A946" s="13">
        <f t="shared" si="22"/>
        <v>23</v>
      </c>
      <c r="J946" s="24"/>
      <c r="N946" s="27"/>
    </row>
    <row r="947" spans="1:14" x14ac:dyDescent="0.25">
      <c r="A947" s="13">
        <f t="shared" si="22"/>
        <v>23</v>
      </c>
      <c r="J947" s="24"/>
      <c r="N947" s="27"/>
    </row>
    <row r="948" spans="1:14" x14ac:dyDescent="0.25">
      <c r="A948" s="13">
        <f t="shared" si="22"/>
        <v>23</v>
      </c>
      <c r="J948" s="24"/>
      <c r="N948" s="27"/>
    </row>
    <row r="949" spans="1:14" x14ac:dyDescent="0.25">
      <c r="A949" s="13">
        <f t="shared" si="22"/>
        <v>23</v>
      </c>
      <c r="J949" s="24"/>
      <c r="N949" s="27"/>
    </row>
    <row r="950" spans="1:14" x14ac:dyDescent="0.25">
      <c r="A950" s="13">
        <f t="shared" si="22"/>
        <v>23</v>
      </c>
      <c r="J950" s="24"/>
      <c r="N950" s="27"/>
    </row>
    <row r="951" spans="1:14" x14ac:dyDescent="0.25">
      <c r="A951" s="13">
        <f t="shared" si="22"/>
        <v>23</v>
      </c>
      <c r="J951" s="24"/>
      <c r="N951" s="27"/>
    </row>
    <row r="952" spans="1:14" x14ac:dyDescent="0.25">
      <c r="A952" s="13">
        <f t="shared" si="22"/>
        <v>23</v>
      </c>
      <c r="J952" s="24"/>
      <c r="N952" s="27"/>
    </row>
    <row r="953" spans="1:14" x14ac:dyDescent="0.25">
      <c r="A953" s="13">
        <f t="shared" si="22"/>
        <v>23</v>
      </c>
      <c r="J953" s="24"/>
      <c r="N953" s="27"/>
    </row>
    <row r="954" spans="1:14" x14ac:dyDescent="0.25">
      <c r="A954" s="13">
        <f t="shared" si="22"/>
        <v>23</v>
      </c>
      <c r="J954" s="24"/>
      <c r="N954" s="27"/>
    </row>
    <row r="955" spans="1:14" x14ac:dyDescent="0.25">
      <c r="A955" s="13">
        <f t="shared" si="22"/>
        <v>23</v>
      </c>
      <c r="J955" s="24"/>
      <c r="N955" s="27"/>
    </row>
    <row r="956" spans="1:14" x14ac:dyDescent="0.25">
      <c r="A956" s="13">
        <f t="shared" si="22"/>
        <v>23</v>
      </c>
      <c r="J956" s="24"/>
      <c r="N956" s="27"/>
    </row>
    <row r="957" spans="1:14" x14ac:dyDescent="0.25">
      <c r="A957" s="13">
        <f t="shared" si="22"/>
        <v>23</v>
      </c>
      <c r="J957" s="24"/>
      <c r="N957" s="27"/>
    </row>
    <row r="958" spans="1:14" x14ac:dyDescent="0.25">
      <c r="A958" s="13">
        <f t="shared" si="22"/>
        <v>23</v>
      </c>
      <c r="J958" s="24"/>
      <c r="N958" s="27"/>
    </row>
    <row r="959" spans="1:14" x14ac:dyDescent="0.25">
      <c r="A959" s="13">
        <f t="shared" si="22"/>
        <v>23</v>
      </c>
      <c r="J959" s="24"/>
      <c r="N959" s="27"/>
    </row>
    <row r="960" spans="1:14" x14ac:dyDescent="0.25">
      <c r="A960" s="13">
        <f t="shared" si="22"/>
        <v>23</v>
      </c>
      <c r="J960" s="24"/>
      <c r="N960" s="27"/>
    </row>
    <row r="961" spans="1:14" x14ac:dyDescent="0.25">
      <c r="A961" s="13">
        <f t="shared" si="22"/>
        <v>23</v>
      </c>
      <c r="J961" s="24"/>
      <c r="N961" s="27"/>
    </row>
    <row r="962" spans="1:14" x14ac:dyDescent="0.25">
      <c r="A962" s="13">
        <f t="shared" si="22"/>
        <v>23</v>
      </c>
      <c r="J962" s="24"/>
      <c r="N962" s="27"/>
    </row>
    <row r="963" spans="1:14" x14ac:dyDescent="0.25">
      <c r="A963" s="13">
        <f t="shared" si="22"/>
        <v>23</v>
      </c>
      <c r="J963" s="24"/>
      <c r="N963" s="27"/>
    </row>
    <row r="964" spans="1:14" x14ac:dyDescent="0.25">
      <c r="A964" s="13">
        <f t="shared" ref="A964:A1027" si="23">IF(B964=B963,A963,A963+1)</f>
        <v>23</v>
      </c>
      <c r="J964" s="24"/>
      <c r="N964" s="27"/>
    </row>
    <row r="965" spans="1:14" x14ac:dyDescent="0.25">
      <c r="A965" s="13">
        <f t="shared" si="23"/>
        <v>23</v>
      </c>
      <c r="J965" s="24"/>
      <c r="N965" s="27"/>
    </row>
    <row r="966" spans="1:14" x14ac:dyDescent="0.25">
      <c r="A966" s="13">
        <f t="shared" si="23"/>
        <v>23</v>
      </c>
      <c r="J966" s="24"/>
      <c r="N966" s="27"/>
    </row>
    <row r="967" spans="1:14" x14ac:dyDescent="0.25">
      <c r="A967" s="13">
        <f t="shared" si="23"/>
        <v>23</v>
      </c>
      <c r="J967" s="24"/>
      <c r="N967" s="27"/>
    </row>
    <row r="968" spans="1:14" x14ac:dyDescent="0.25">
      <c r="A968" s="13">
        <f t="shared" si="23"/>
        <v>23</v>
      </c>
      <c r="J968" s="24"/>
      <c r="N968" s="27"/>
    </row>
    <row r="969" spans="1:14" x14ac:dyDescent="0.25">
      <c r="A969" s="13">
        <f t="shared" si="23"/>
        <v>23</v>
      </c>
      <c r="J969" s="24"/>
      <c r="N969" s="27"/>
    </row>
    <row r="970" spans="1:14" x14ac:dyDescent="0.25">
      <c r="A970" s="13">
        <f t="shared" si="23"/>
        <v>23</v>
      </c>
      <c r="J970" s="24"/>
      <c r="N970" s="27"/>
    </row>
    <row r="971" spans="1:14" x14ac:dyDescent="0.25">
      <c r="A971" s="13">
        <f t="shared" si="23"/>
        <v>23</v>
      </c>
      <c r="J971" s="24"/>
      <c r="N971" s="27"/>
    </row>
    <row r="972" spans="1:14" x14ac:dyDescent="0.25">
      <c r="A972" s="13">
        <f t="shared" si="23"/>
        <v>23</v>
      </c>
      <c r="J972" s="24"/>
      <c r="N972" s="27"/>
    </row>
    <row r="973" spans="1:14" x14ac:dyDescent="0.25">
      <c r="A973" s="13">
        <f t="shared" si="23"/>
        <v>23</v>
      </c>
      <c r="J973" s="24"/>
      <c r="N973" s="27"/>
    </row>
    <row r="974" spans="1:14" x14ac:dyDescent="0.25">
      <c r="A974" s="13">
        <f t="shared" si="23"/>
        <v>23</v>
      </c>
      <c r="J974" s="24"/>
      <c r="N974" s="27"/>
    </row>
    <row r="975" spans="1:14" x14ac:dyDescent="0.25">
      <c r="A975" s="13">
        <f t="shared" si="23"/>
        <v>23</v>
      </c>
      <c r="J975" s="24"/>
      <c r="N975" s="27"/>
    </row>
    <row r="976" spans="1:14" x14ac:dyDescent="0.25">
      <c r="A976" s="13">
        <f t="shared" si="23"/>
        <v>23</v>
      </c>
      <c r="J976" s="24"/>
      <c r="N976" s="27"/>
    </row>
    <row r="977" spans="1:14" x14ac:dyDescent="0.25">
      <c r="A977" s="13">
        <f t="shared" si="23"/>
        <v>23</v>
      </c>
      <c r="J977" s="24"/>
      <c r="N977" s="27"/>
    </row>
    <row r="978" spans="1:14" x14ac:dyDescent="0.25">
      <c r="A978" s="13">
        <f t="shared" si="23"/>
        <v>23</v>
      </c>
      <c r="J978" s="24"/>
      <c r="N978" s="27"/>
    </row>
    <row r="979" spans="1:14" x14ac:dyDescent="0.25">
      <c r="A979" s="13">
        <f t="shared" si="23"/>
        <v>23</v>
      </c>
      <c r="J979" s="24"/>
      <c r="N979" s="27"/>
    </row>
    <row r="980" spans="1:14" x14ac:dyDescent="0.25">
      <c r="A980" s="13">
        <f t="shared" si="23"/>
        <v>23</v>
      </c>
      <c r="J980" s="24"/>
      <c r="N980" s="27"/>
    </row>
    <row r="981" spans="1:14" x14ac:dyDescent="0.25">
      <c r="A981" s="13">
        <f t="shared" si="23"/>
        <v>23</v>
      </c>
      <c r="J981" s="24"/>
      <c r="N981" s="27"/>
    </row>
    <row r="982" spans="1:14" x14ac:dyDescent="0.25">
      <c r="A982" s="13">
        <f t="shared" si="23"/>
        <v>23</v>
      </c>
      <c r="J982" s="24"/>
      <c r="N982" s="27"/>
    </row>
    <row r="983" spans="1:14" x14ac:dyDescent="0.25">
      <c r="A983" s="13">
        <f t="shared" si="23"/>
        <v>23</v>
      </c>
      <c r="J983" s="24"/>
      <c r="N983" s="27"/>
    </row>
    <row r="984" spans="1:14" x14ac:dyDescent="0.25">
      <c r="A984" s="13">
        <f t="shared" si="23"/>
        <v>23</v>
      </c>
      <c r="J984" s="24"/>
      <c r="N984" s="27"/>
    </row>
    <row r="985" spans="1:14" x14ac:dyDescent="0.25">
      <c r="A985" s="13">
        <f t="shared" si="23"/>
        <v>23</v>
      </c>
      <c r="J985" s="24"/>
      <c r="N985" s="27"/>
    </row>
    <row r="986" spans="1:14" x14ac:dyDescent="0.25">
      <c r="A986" s="13">
        <f t="shared" si="23"/>
        <v>23</v>
      </c>
      <c r="J986" s="24"/>
      <c r="N986" s="27"/>
    </row>
    <row r="987" spans="1:14" x14ac:dyDescent="0.25">
      <c r="A987" s="13">
        <f t="shared" si="23"/>
        <v>23</v>
      </c>
      <c r="J987" s="24"/>
      <c r="N987" s="27"/>
    </row>
    <row r="988" spans="1:14" x14ac:dyDescent="0.25">
      <c r="A988" s="13">
        <f t="shared" si="23"/>
        <v>23</v>
      </c>
      <c r="J988" s="24"/>
      <c r="N988" s="27"/>
    </row>
    <row r="989" spans="1:14" x14ac:dyDescent="0.25">
      <c r="A989" s="13">
        <f t="shared" si="23"/>
        <v>23</v>
      </c>
      <c r="J989" s="24"/>
      <c r="N989" s="27"/>
    </row>
    <row r="990" spans="1:14" x14ac:dyDescent="0.25">
      <c r="A990" s="13">
        <f t="shared" si="23"/>
        <v>23</v>
      </c>
      <c r="J990" s="24"/>
      <c r="N990" s="27"/>
    </row>
    <row r="991" spans="1:14" x14ac:dyDescent="0.25">
      <c r="A991" s="13">
        <f t="shared" si="23"/>
        <v>23</v>
      </c>
      <c r="J991" s="24"/>
      <c r="N991" s="27"/>
    </row>
    <row r="992" spans="1:14" x14ac:dyDescent="0.25">
      <c r="A992" s="13">
        <f t="shared" si="23"/>
        <v>23</v>
      </c>
      <c r="J992" s="24"/>
      <c r="N992" s="27"/>
    </row>
    <row r="993" spans="1:14" x14ac:dyDescent="0.25">
      <c r="A993" s="13">
        <f t="shared" si="23"/>
        <v>23</v>
      </c>
      <c r="J993" s="24"/>
      <c r="N993" s="27"/>
    </row>
    <row r="994" spans="1:14" x14ac:dyDescent="0.25">
      <c r="A994" s="13">
        <f t="shared" si="23"/>
        <v>23</v>
      </c>
      <c r="J994" s="24"/>
      <c r="N994" s="27"/>
    </row>
    <row r="995" spans="1:14" x14ac:dyDescent="0.25">
      <c r="A995" s="13">
        <f t="shared" si="23"/>
        <v>23</v>
      </c>
      <c r="J995" s="24"/>
      <c r="N995" s="27"/>
    </row>
    <row r="996" spans="1:14" x14ac:dyDescent="0.25">
      <c r="A996" s="13">
        <f t="shared" si="23"/>
        <v>23</v>
      </c>
      <c r="J996" s="24"/>
      <c r="N996" s="27"/>
    </row>
    <row r="997" spans="1:14" x14ac:dyDescent="0.25">
      <c r="A997" s="13">
        <f t="shared" si="23"/>
        <v>23</v>
      </c>
      <c r="J997" s="24"/>
      <c r="N997" s="27"/>
    </row>
    <row r="998" spans="1:14" x14ac:dyDescent="0.25">
      <c r="A998" s="13">
        <f t="shared" si="23"/>
        <v>23</v>
      </c>
      <c r="J998" s="24"/>
      <c r="N998" s="27"/>
    </row>
    <row r="999" spans="1:14" x14ac:dyDescent="0.25">
      <c r="A999" s="13">
        <f t="shared" si="23"/>
        <v>23</v>
      </c>
      <c r="J999" s="24"/>
      <c r="N999" s="27"/>
    </row>
    <row r="1000" spans="1:14" x14ac:dyDescent="0.25">
      <c r="A1000" s="13">
        <f t="shared" si="23"/>
        <v>23</v>
      </c>
      <c r="J1000" s="24"/>
      <c r="N1000" s="27"/>
    </row>
    <row r="1001" spans="1:14" x14ac:dyDescent="0.25">
      <c r="A1001" s="13">
        <f t="shared" si="23"/>
        <v>23</v>
      </c>
      <c r="J1001" s="24"/>
      <c r="N1001" s="27"/>
    </row>
    <row r="1002" spans="1:14" x14ac:dyDescent="0.25">
      <c r="A1002" s="13">
        <f t="shared" si="23"/>
        <v>23</v>
      </c>
      <c r="J1002" s="24"/>
      <c r="N1002" s="27"/>
    </row>
    <row r="1003" spans="1:14" x14ac:dyDescent="0.25">
      <c r="A1003" s="13">
        <f t="shared" si="23"/>
        <v>23</v>
      </c>
      <c r="J1003" s="24"/>
      <c r="N1003" s="27"/>
    </row>
    <row r="1004" spans="1:14" x14ac:dyDescent="0.25">
      <c r="A1004" s="13">
        <f t="shared" si="23"/>
        <v>23</v>
      </c>
      <c r="J1004" s="24"/>
      <c r="N1004" s="27"/>
    </row>
    <row r="1005" spans="1:14" x14ac:dyDescent="0.25">
      <c r="A1005" s="13">
        <f t="shared" si="23"/>
        <v>23</v>
      </c>
      <c r="J1005" s="24"/>
      <c r="N1005" s="27"/>
    </row>
    <row r="1006" spans="1:14" x14ac:dyDescent="0.25">
      <c r="A1006" s="13">
        <f t="shared" si="23"/>
        <v>23</v>
      </c>
      <c r="J1006" s="24"/>
      <c r="N1006" s="27"/>
    </row>
    <row r="1007" spans="1:14" x14ac:dyDescent="0.25">
      <c r="A1007" s="13">
        <f t="shared" si="23"/>
        <v>23</v>
      </c>
      <c r="J1007" s="24"/>
      <c r="N1007" s="27"/>
    </row>
    <row r="1008" spans="1:14" x14ac:dyDescent="0.25">
      <c r="A1008" s="13">
        <f t="shared" si="23"/>
        <v>23</v>
      </c>
      <c r="J1008" s="24"/>
      <c r="N1008" s="27"/>
    </row>
    <row r="1009" spans="1:14" x14ac:dyDescent="0.25">
      <c r="A1009" s="13">
        <f t="shared" si="23"/>
        <v>23</v>
      </c>
      <c r="J1009" s="24"/>
      <c r="N1009" s="27"/>
    </row>
    <row r="1010" spans="1:14" x14ac:dyDescent="0.25">
      <c r="A1010" s="13">
        <f t="shared" si="23"/>
        <v>23</v>
      </c>
      <c r="J1010" s="24"/>
      <c r="N1010" s="27"/>
    </row>
    <row r="1011" spans="1:14" x14ac:dyDescent="0.25">
      <c r="A1011" s="13">
        <f t="shared" si="23"/>
        <v>23</v>
      </c>
      <c r="J1011" s="24"/>
      <c r="N1011" s="27"/>
    </row>
    <row r="1012" spans="1:14" x14ac:dyDescent="0.25">
      <c r="A1012" s="13">
        <f t="shared" si="23"/>
        <v>23</v>
      </c>
      <c r="J1012" s="24"/>
      <c r="N1012" s="27"/>
    </row>
    <row r="1013" spans="1:14" x14ac:dyDescent="0.25">
      <c r="A1013" s="13">
        <f t="shared" si="23"/>
        <v>23</v>
      </c>
      <c r="J1013" s="24"/>
      <c r="N1013" s="27"/>
    </row>
    <row r="1014" spans="1:14" x14ac:dyDescent="0.25">
      <c r="A1014" s="13">
        <f t="shared" si="23"/>
        <v>23</v>
      </c>
      <c r="J1014" s="24"/>
      <c r="N1014" s="27"/>
    </row>
    <row r="1015" spans="1:14" x14ac:dyDescent="0.25">
      <c r="A1015" s="13">
        <f t="shared" si="23"/>
        <v>23</v>
      </c>
      <c r="J1015" s="24"/>
      <c r="N1015" s="27"/>
    </row>
    <row r="1016" spans="1:14" x14ac:dyDescent="0.25">
      <c r="A1016" s="13">
        <f t="shared" si="23"/>
        <v>23</v>
      </c>
      <c r="J1016" s="24"/>
      <c r="N1016" s="27"/>
    </row>
    <row r="1017" spans="1:14" x14ac:dyDescent="0.25">
      <c r="A1017" s="13">
        <f t="shared" si="23"/>
        <v>23</v>
      </c>
      <c r="J1017" s="24"/>
      <c r="N1017" s="27"/>
    </row>
    <row r="1018" spans="1:14" x14ac:dyDescent="0.25">
      <c r="A1018" s="13">
        <f t="shared" si="23"/>
        <v>23</v>
      </c>
      <c r="J1018" s="24"/>
      <c r="N1018" s="27"/>
    </row>
    <row r="1019" spans="1:14" x14ac:dyDescent="0.25">
      <c r="A1019" s="13">
        <f t="shared" si="23"/>
        <v>23</v>
      </c>
      <c r="J1019" s="24"/>
      <c r="N1019" s="27"/>
    </row>
    <row r="1020" spans="1:14" x14ac:dyDescent="0.25">
      <c r="A1020" s="13">
        <f t="shared" si="23"/>
        <v>23</v>
      </c>
      <c r="J1020" s="24"/>
      <c r="N1020" s="27"/>
    </row>
    <row r="1021" spans="1:14" x14ac:dyDescent="0.25">
      <c r="A1021" s="13">
        <f t="shared" si="23"/>
        <v>23</v>
      </c>
      <c r="J1021" s="24"/>
      <c r="N1021" s="27"/>
    </row>
    <row r="1022" spans="1:14" x14ac:dyDescent="0.25">
      <c r="A1022" s="13">
        <f t="shared" si="23"/>
        <v>23</v>
      </c>
      <c r="J1022" s="24"/>
      <c r="N1022" s="27"/>
    </row>
    <row r="1023" spans="1:14" x14ac:dyDescent="0.25">
      <c r="A1023" s="13">
        <f t="shared" si="23"/>
        <v>23</v>
      </c>
      <c r="J1023" s="24"/>
      <c r="N1023" s="27"/>
    </row>
    <row r="1024" spans="1:14" x14ac:dyDescent="0.25">
      <c r="A1024" s="13">
        <f t="shared" si="23"/>
        <v>23</v>
      </c>
      <c r="J1024" s="24"/>
      <c r="N1024" s="27"/>
    </row>
    <row r="1025" spans="1:14" x14ac:dyDescent="0.25">
      <c r="A1025" s="13">
        <f t="shared" si="23"/>
        <v>23</v>
      </c>
      <c r="J1025" s="24"/>
      <c r="N1025" s="27"/>
    </row>
    <row r="1026" spans="1:14" x14ac:dyDescent="0.25">
      <c r="A1026" s="13">
        <f t="shared" si="23"/>
        <v>23</v>
      </c>
      <c r="J1026" s="24"/>
      <c r="N1026" s="27"/>
    </row>
    <row r="1027" spans="1:14" x14ac:dyDescent="0.25">
      <c r="A1027" s="13">
        <f t="shared" si="23"/>
        <v>23</v>
      </c>
      <c r="J1027" s="24"/>
      <c r="N1027" s="27"/>
    </row>
    <row r="1028" spans="1:14" x14ac:dyDescent="0.25">
      <c r="A1028" s="13">
        <f t="shared" ref="A1028:A1091" si="24">IF(B1028=B1027,A1027,A1027+1)</f>
        <v>23</v>
      </c>
      <c r="J1028" s="24"/>
      <c r="N1028" s="27"/>
    </row>
    <row r="1029" spans="1:14" x14ac:dyDescent="0.25">
      <c r="A1029" s="13">
        <f t="shared" si="24"/>
        <v>23</v>
      </c>
      <c r="J1029" s="24"/>
      <c r="N1029" s="27"/>
    </row>
    <row r="1030" spans="1:14" x14ac:dyDescent="0.25">
      <c r="A1030" s="13">
        <f t="shared" si="24"/>
        <v>23</v>
      </c>
      <c r="J1030" s="24"/>
      <c r="N1030" s="27"/>
    </row>
    <row r="1031" spans="1:14" x14ac:dyDescent="0.25">
      <c r="A1031" s="13">
        <f t="shared" si="24"/>
        <v>23</v>
      </c>
      <c r="J1031" s="24"/>
      <c r="N1031" s="27"/>
    </row>
    <row r="1032" spans="1:14" x14ac:dyDescent="0.25">
      <c r="A1032" s="13">
        <f t="shared" si="24"/>
        <v>23</v>
      </c>
      <c r="J1032" s="24"/>
      <c r="N1032" s="27"/>
    </row>
    <row r="1033" spans="1:14" x14ac:dyDescent="0.25">
      <c r="A1033" s="13">
        <f t="shared" si="24"/>
        <v>23</v>
      </c>
      <c r="J1033" s="24"/>
      <c r="N1033" s="27"/>
    </row>
    <row r="1034" spans="1:14" x14ac:dyDescent="0.25">
      <c r="A1034" s="13">
        <f t="shared" si="24"/>
        <v>23</v>
      </c>
      <c r="J1034" s="24"/>
      <c r="N1034" s="27"/>
    </row>
    <row r="1035" spans="1:14" x14ac:dyDescent="0.25">
      <c r="A1035" s="13">
        <f t="shared" si="24"/>
        <v>23</v>
      </c>
      <c r="J1035" s="24"/>
      <c r="N1035" s="27"/>
    </row>
    <row r="1036" spans="1:14" x14ac:dyDescent="0.25">
      <c r="A1036" s="13">
        <f t="shared" si="24"/>
        <v>23</v>
      </c>
      <c r="J1036" s="24"/>
      <c r="N1036" s="27"/>
    </row>
    <row r="1037" spans="1:14" x14ac:dyDescent="0.25">
      <c r="A1037" s="13">
        <f t="shared" si="24"/>
        <v>23</v>
      </c>
      <c r="J1037" s="24"/>
      <c r="N1037" s="27"/>
    </row>
    <row r="1038" spans="1:14" x14ac:dyDescent="0.25">
      <c r="A1038" s="13">
        <f t="shared" si="24"/>
        <v>23</v>
      </c>
      <c r="J1038" s="24"/>
      <c r="N1038" s="27"/>
    </row>
    <row r="1039" spans="1:14" x14ac:dyDescent="0.25">
      <c r="A1039" s="13">
        <f t="shared" si="24"/>
        <v>23</v>
      </c>
      <c r="J1039" s="24"/>
      <c r="N1039" s="27"/>
    </row>
    <row r="1040" spans="1:14" x14ac:dyDescent="0.25">
      <c r="A1040" s="13">
        <f t="shared" si="24"/>
        <v>23</v>
      </c>
      <c r="J1040" s="24"/>
      <c r="N1040" s="27"/>
    </row>
    <row r="1041" spans="1:14" x14ac:dyDescent="0.25">
      <c r="A1041" s="13">
        <f t="shared" si="24"/>
        <v>23</v>
      </c>
      <c r="J1041" s="24"/>
      <c r="N1041" s="27"/>
    </row>
    <row r="1042" spans="1:14" x14ac:dyDescent="0.25">
      <c r="A1042" s="13">
        <f t="shared" si="24"/>
        <v>23</v>
      </c>
      <c r="J1042" s="24"/>
      <c r="N1042" s="27"/>
    </row>
    <row r="1043" spans="1:14" x14ac:dyDescent="0.25">
      <c r="A1043" s="13">
        <f t="shared" si="24"/>
        <v>23</v>
      </c>
      <c r="J1043" s="24"/>
      <c r="N1043" s="27"/>
    </row>
    <row r="1044" spans="1:14" x14ac:dyDescent="0.25">
      <c r="A1044" s="13">
        <f t="shared" si="24"/>
        <v>23</v>
      </c>
      <c r="J1044" s="24"/>
      <c r="N1044" s="27"/>
    </row>
    <row r="1045" spans="1:14" x14ac:dyDescent="0.25">
      <c r="A1045" s="13">
        <f t="shared" si="24"/>
        <v>23</v>
      </c>
      <c r="J1045" s="24"/>
      <c r="N1045" s="27"/>
    </row>
    <row r="1046" spans="1:14" x14ac:dyDescent="0.25">
      <c r="A1046" s="13">
        <f t="shared" si="24"/>
        <v>23</v>
      </c>
      <c r="J1046" s="24"/>
      <c r="N1046" s="27"/>
    </row>
    <row r="1047" spans="1:14" x14ac:dyDescent="0.25">
      <c r="A1047" s="13">
        <f t="shared" si="24"/>
        <v>23</v>
      </c>
      <c r="J1047" s="24"/>
      <c r="N1047" s="27"/>
    </row>
    <row r="1048" spans="1:14" x14ac:dyDescent="0.25">
      <c r="A1048" s="13">
        <f t="shared" si="24"/>
        <v>23</v>
      </c>
      <c r="J1048" s="24"/>
      <c r="N1048" s="27"/>
    </row>
    <row r="1049" spans="1:14" x14ac:dyDescent="0.25">
      <c r="A1049" s="13">
        <f t="shared" si="24"/>
        <v>23</v>
      </c>
      <c r="J1049" s="24"/>
      <c r="N1049" s="27"/>
    </row>
    <row r="1050" spans="1:14" x14ac:dyDescent="0.25">
      <c r="A1050" s="13">
        <f t="shared" si="24"/>
        <v>23</v>
      </c>
      <c r="J1050" s="24"/>
      <c r="N1050" s="27"/>
    </row>
    <row r="1051" spans="1:14" x14ac:dyDescent="0.25">
      <c r="A1051" s="13">
        <f t="shared" si="24"/>
        <v>23</v>
      </c>
      <c r="J1051" s="24"/>
      <c r="N1051" s="27"/>
    </row>
    <row r="1052" spans="1:14" x14ac:dyDescent="0.25">
      <c r="A1052" s="13">
        <f t="shared" si="24"/>
        <v>23</v>
      </c>
      <c r="J1052" s="24"/>
      <c r="N1052" s="27"/>
    </row>
    <row r="1053" spans="1:14" x14ac:dyDescent="0.25">
      <c r="A1053" s="13">
        <f t="shared" si="24"/>
        <v>23</v>
      </c>
      <c r="J1053" s="24"/>
      <c r="N1053" s="27"/>
    </row>
    <row r="1054" spans="1:14" x14ac:dyDescent="0.25">
      <c r="A1054" s="13">
        <f t="shared" si="24"/>
        <v>23</v>
      </c>
      <c r="J1054" s="24"/>
      <c r="N1054" s="27"/>
    </row>
    <row r="1055" spans="1:14" x14ac:dyDescent="0.25">
      <c r="A1055" s="13">
        <f t="shared" si="24"/>
        <v>23</v>
      </c>
      <c r="J1055" s="24"/>
      <c r="N1055" s="27"/>
    </row>
    <row r="1056" spans="1:14" x14ac:dyDescent="0.25">
      <c r="A1056" s="13">
        <f t="shared" si="24"/>
        <v>23</v>
      </c>
      <c r="J1056" s="24"/>
      <c r="N1056" s="27"/>
    </row>
    <row r="1057" spans="1:14" x14ac:dyDescent="0.25">
      <c r="A1057" s="13">
        <f t="shared" si="24"/>
        <v>23</v>
      </c>
      <c r="J1057" s="24"/>
      <c r="N1057" s="27"/>
    </row>
    <row r="1058" spans="1:14" x14ac:dyDescent="0.25">
      <c r="A1058" s="13">
        <f t="shared" si="24"/>
        <v>23</v>
      </c>
      <c r="J1058" s="24"/>
      <c r="N1058" s="27"/>
    </row>
    <row r="1059" spans="1:14" x14ac:dyDescent="0.25">
      <c r="A1059" s="13">
        <f t="shared" si="24"/>
        <v>23</v>
      </c>
      <c r="J1059" s="24"/>
      <c r="N1059" s="27"/>
    </row>
    <row r="1060" spans="1:14" x14ac:dyDescent="0.25">
      <c r="A1060" s="13">
        <f t="shared" si="24"/>
        <v>23</v>
      </c>
      <c r="J1060" s="24"/>
      <c r="N1060" s="27"/>
    </row>
    <row r="1061" spans="1:14" x14ac:dyDescent="0.25">
      <c r="A1061" s="13">
        <f t="shared" si="24"/>
        <v>23</v>
      </c>
      <c r="J1061" s="24"/>
      <c r="N1061" s="27"/>
    </row>
    <row r="1062" spans="1:14" x14ac:dyDescent="0.25">
      <c r="A1062" s="13">
        <f t="shared" si="24"/>
        <v>23</v>
      </c>
      <c r="J1062" s="24"/>
      <c r="N1062" s="27"/>
    </row>
    <row r="1063" spans="1:14" x14ac:dyDescent="0.25">
      <c r="A1063" s="13">
        <f t="shared" si="24"/>
        <v>23</v>
      </c>
      <c r="J1063" s="24"/>
      <c r="N1063" s="27"/>
    </row>
    <row r="1064" spans="1:14" x14ac:dyDescent="0.25">
      <c r="A1064" s="13">
        <f t="shared" si="24"/>
        <v>23</v>
      </c>
      <c r="J1064" s="24"/>
      <c r="N1064" s="27"/>
    </row>
    <row r="1065" spans="1:14" x14ac:dyDescent="0.25">
      <c r="A1065" s="13">
        <f t="shared" si="24"/>
        <v>23</v>
      </c>
      <c r="J1065" s="24"/>
      <c r="N1065" s="27"/>
    </row>
    <row r="1066" spans="1:14" x14ac:dyDescent="0.25">
      <c r="A1066" s="13">
        <f t="shared" si="24"/>
        <v>23</v>
      </c>
      <c r="J1066" s="24"/>
      <c r="N1066" s="27"/>
    </row>
    <row r="1067" spans="1:14" x14ac:dyDescent="0.25">
      <c r="A1067" s="13">
        <f t="shared" si="24"/>
        <v>23</v>
      </c>
      <c r="J1067" s="24"/>
      <c r="N1067" s="27"/>
    </row>
    <row r="1068" spans="1:14" x14ac:dyDescent="0.25">
      <c r="A1068" s="13">
        <f t="shared" si="24"/>
        <v>23</v>
      </c>
      <c r="J1068" s="24"/>
      <c r="N1068" s="27"/>
    </row>
    <row r="1069" spans="1:14" x14ac:dyDescent="0.25">
      <c r="A1069" s="13">
        <f t="shared" si="24"/>
        <v>23</v>
      </c>
      <c r="J1069" s="24"/>
      <c r="N1069" s="27"/>
    </row>
    <row r="1070" spans="1:14" x14ac:dyDescent="0.25">
      <c r="A1070" s="13">
        <f t="shared" si="24"/>
        <v>23</v>
      </c>
      <c r="J1070" s="24"/>
      <c r="N1070" s="27"/>
    </row>
    <row r="1071" spans="1:14" x14ac:dyDescent="0.25">
      <c r="A1071" s="13">
        <f t="shared" si="24"/>
        <v>23</v>
      </c>
      <c r="J1071" s="24"/>
      <c r="N1071" s="27"/>
    </row>
    <row r="1072" spans="1:14" x14ac:dyDescent="0.25">
      <c r="A1072" s="13">
        <f t="shared" si="24"/>
        <v>23</v>
      </c>
      <c r="J1072" s="24"/>
      <c r="N1072" s="27"/>
    </row>
    <row r="1073" spans="1:14" x14ac:dyDescent="0.25">
      <c r="A1073" s="13">
        <f t="shared" si="24"/>
        <v>23</v>
      </c>
      <c r="J1073" s="24"/>
      <c r="N1073" s="27"/>
    </row>
    <row r="1074" spans="1:14" x14ac:dyDescent="0.25">
      <c r="A1074" s="13">
        <f t="shared" si="24"/>
        <v>23</v>
      </c>
      <c r="J1074" s="24"/>
      <c r="N1074" s="27"/>
    </row>
    <row r="1075" spans="1:14" x14ac:dyDescent="0.25">
      <c r="A1075" s="13">
        <f t="shared" si="24"/>
        <v>23</v>
      </c>
      <c r="J1075" s="24"/>
      <c r="N1075" s="27"/>
    </row>
    <row r="1076" spans="1:14" x14ac:dyDescent="0.25">
      <c r="A1076" s="13">
        <f t="shared" si="24"/>
        <v>23</v>
      </c>
      <c r="J1076" s="24"/>
      <c r="N1076" s="27"/>
    </row>
    <row r="1077" spans="1:14" x14ac:dyDescent="0.25">
      <c r="A1077" s="13">
        <f t="shared" si="24"/>
        <v>23</v>
      </c>
      <c r="J1077" s="24"/>
      <c r="N1077" s="27"/>
    </row>
    <row r="1078" spans="1:14" x14ac:dyDescent="0.25">
      <c r="A1078" s="13">
        <f t="shared" si="24"/>
        <v>23</v>
      </c>
      <c r="J1078" s="24"/>
      <c r="N1078" s="27"/>
    </row>
    <row r="1079" spans="1:14" x14ac:dyDescent="0.25">
      <c r="A1079" s="13">
        <f t="shared" si="24"/>
        <v>23</v>
      </c>
      <c r="J1079" s="24"/>
      <c r="N1079" s="27"/>
    </row>
    <row r="1080" spans="1:14" x14ac:dyDescent="0.25">
      <c r="A1080" s="13">
        <f t="shared" si="24"/>
        <v>23</v>
      </c>
      <c r="J1080" s="24"/>
      <c r="N1080" s="27"/>
    </row>
    <row r="1081" spans="1:14" x14ac:dyDescent="0.25">
      <c r="A1081" s="13">
        <f t="shared" si="24"/>
        <v>23</v>
      </c>
      <c r="J1081" s="24"/>
      <c r="N1081" s="27"/>
    </row>
    <row r="1082" spans="1:14" x14ac:dyDescent="0.25">
      <c r="A1082" s="13">
        <f t="shared" si="24"/>
        <v>23</v>
      </c>
      <c r="J1082" s="24"/>
      <c r="N1082" s="27"/>
    </row>
    <row r="1083" spans="1:14" x14ac:dyDescent="0.25">
      <c r="A1083" s="13">
        <f t="shared" si="24"/>
        <v>23</v>
      </c>
      <c r="J1083" s="24"/>
      <c r="N1083" s="27"/>
    </row>
    <row r="1084" spans="1:14" x14ac:dyDescent="0.25">
      <c r="A1084" s="13">
        <f t="shared" si="24"/>
        <v>23</v>
      </c>
      <c r="J1084" s="24"/>
      <c r="N1084" s="27"/>
    </row>
    <row r="1085" spans="1:14" x14ac:dyDescent="0.25">
      <c r="A1085" s="13">
        <f t="shared" si="24"/>
        <v>23</v>
      </c>
      <c r="J1085" s="24"/>
      <c r="N1085" s="27"/>
    </row>
    <row r="1086" spans="1:14" x14ac:dyDescent="0.25">
      <c r="A1086" s="13">
        <f t="shared" si="24"/>
        <v>23</v>
      </c>
      <c r="J1086" s="24"/>
      <c r="N1086" s="27"/>
    </row>
    <row r="1087" spans="1:14" x14ac:dyDescent="0.25">
      <c r="A1087" s="13">
        <f t="shared" si="24"/>
        <v>23</v>
      </c>
      <c r="J1087" s="24"/>
      <c r="N1087" s="27"/>
    </row>
    <row r="1088" spans="1:14" x14ac:dyDescent="0.25">
      <c r="A1088" s="13">
        <f t="shared" si="24"/>
        <v>23</v>
      </c>
      <c r="J1088" s="24"/>
      <c r="N1088" s="27"/>
    </row>
    <row r="1089" spans="1:14" x14ac:dyDescent="0.25">
      <c r="A1089" s="13">
        <f t="shared" si="24"/>
        <v>23</v>
      </c>
      <c r="J1089" s="24"/>
      <c r="N1089" s="27"/>
    </row>
    <row r="1090" spans="1:14" x14ac:dyDescent="0.25">
      <c r="A1090" s="13">
        <f t="shared" si="24"/>
        <v>23</v>
      </c>
      <c r="J1090" s="24"/>
      <c r="N1090" s="27"/>
    </row>
    <row r="1091" spans="1:14" x14ac:dyDescent="0.25">
      <c r="A1091" s="13">
        <f t="shared" si="24"/>
        <v>23</v>
      </c>
      <c r="J1091" s="24"/>
      <c r="N1091" s="27"/>
    </row>
    <row r="1092" spans="1:14" x14ac:dyDescent="0.25">
      <c r="A1092" s="13">
        <f t="shared" ref="A1092:A1155" si="25">IF(B1092=B1091,A1091,A1091+1)</f>
        <v>23</v>
      </c>
      <c r="J1092" s="24"/>
      <c r="N1092" s="27"/>
    </row>
    <row r="1093" spans="1:14" x14ac:dyDescent="0.25">
      <c r="A1093" s="13">
        <f t="shared" si="25"/>
        <v>23</v>
      </c>
      <c r="J1093" s="24"/>
      <c r="N1093" s="27"/>
    </row>
    <row r="1094" spans="1:14" x14ac:dyDescent="0.25">
      <c r="A1094" s="13">
        <f t="shared" si="25"/>
        <v>23</v>
      </c>
      <c r="J1094" s="24"/>
      <c r="N1094" s="27"/>
    </row>
    <row r="1095" spans="1:14" x14ac:dyDescent="0.25">
      <c r="A1095" s="13">
        <f t="shared" si="25"/>
        <v>23</v>
      </c>
      <c r="J1095" s="24"/>
      <c r="N1095" s="27"/>
    </row>
    <row r="1096" spans="1:14" x14ac:dyDescent="0.25">
      <c r="A1096" s="13">
        <f t="shared" si="25"/>
        <v>23</v>
      </c>
      <c r="J1096" s="24"/>
      <c r="N1096" s="27"/>
    </row>
    <row r="1097" spans="1:14" x14ac:dyDescent="0.25">
      <c r="A1097" s="13">
        <f t="shared" si="25"/>
        <v>23</v>
      </c>
      <c r="J1097" s="24"/>
      <c r="N1097" s="27"/>
    </row>
    <row r="1098" spans="1:14" x14ac:dyDescent="0.25">
      <c r="A1098" s="13">
        <f t="shared" si="25"/>
        <v>23</v>
      </c>
      <c r="J1098" s="24"/>
      <c r="N1098" s="27"/>
    </row>
    <row r="1099" spans="1:14" x14ac:dyDescent="0.25">
      <c r="A1099" s="13">
        <f t="shared" si="25"/>
        <v>23</v>
      </c>
      <c r="J1099" s="24"/>
      <c r="N1099" s="27"/>
    </row>
    <row r="1100" spans="1:14" x14ac:dyDescent="0.25">
      <c r="A1100" s="13">
        <f t="shared" si="25"/>
        <v>23</v>
      </c>
      <c r="J1100" s="24"/>
      <c r="N1100" s="27"/>
    </row>
    <row r="1101" spans="1:14" x14ac:dyDescent="0.25">
      <c r="A1101" s="13">
        <f t="shared" si="25"/>
        <v>23</v>
      </c>
      <c r="J1101" s="24"/>
      <c r="N1101" s="27"/>
    </row>
    <row r="1102" spans="1:14" x14ac:dyDescent="0.25">
      <c r="A1102" s="13">
        <f t="shared" si="25"/>
        <v>23</v>
      </c>
      <c r="J1102" s="24"/>
      <c r="N1102" s="27"/>
    </row>
    <row r="1103" spans="1:14" x14ac:dyDescent="0.25">
      <c r="A1103" s="13">
        <f t="shared" si="25"/>
        <v>23</v>
      </c>
      <c r="J1103" s="24"/>
      <c r="N1103" s="27"/>
    </row>
    <row r="1104" spans="1:14" x14ac:dyDescent="0.25">
      <c r="A1104" s="13">
        <f t="shared" si="25"/>
        <v>23</v>
      </c>
      <c r="J1104" s="24"/>
      <c r="N1104" s="27"/>
    </row>
    <row r="1105" spans="1:14" x14ac:dyDescent="0.25">
      <c r="A1105" s="13">
        <f t="shared" si="25"/>
        <v>23</v>
      </c>
      <c r="J1105" s="24"/>
      <c r="N1105" s="27"/>
    </row>
    <row r="1106" spans="1:14" x14ac:dyDescent="0.25">
      <c r="A1106" s="13">
        <f t="shared" si="25"/>
        <v>23</v>
      </c>
      <c r="J1106" s="24"/>
      <c r="N1106" s="27"/>
    </row>
    <row r="1107" spans="1:14" x14ac:dyDescent="0.25">
      <c r="A1107" s="13">
        <f t="shared" si="25"/>
        <v>23</v>
      </c>
      <c r="J1107" s="24"/>
      <c r="N1107" s="27"/>
    </row>
    <row r="1108" spans="1:14" x14ac:dyDescent="0.25">
      <c r="A1108" s="13">
        <f t="shared" si="25"/>
        <v>23</v>
      </c>
      <c r="J1108" s="24"/>
      <c r="N1108" s="27"/>
    </row>
    <row r="1109" spans="1:14" x14ac:dyDescent="0.25">
      <c r="A1109" s="13">
        <f t="shared" si="25"/>
        <v>23</v>
      </c>
      <c r="J1109" s="24"/>
      <c r="N1109" s="27"/>
    </row>
    <row r="1110" spans="1:14" x14ac:dyDescent="0.25">
      <c r="A1110" s="13">
        <f t="shared" si="25"/>
        <v>23</v>
      </c>
      <c r="J1110" s="24"/>
      <c r="N1110" s="27"/>
    </row>
    <row r="1111" spans="1:14" x14ac:dyDescent="0.25">
      <c r="A1111" s="13">
        <f t="shared" si="25"/>
        <v>23</v>
      </c>
      <c r="J1111" s="24"/>
      <c r="N1111" s="27"/>
    </row>
    <row r="1112" spans="1:14" x14ac:dyDescent="0.25">
      <c r="A1112" s="13">
        <f t="shared" si="25"/>
        <v>23</v>
      </c>
      <c r="J1112" s="24"/>
      <c r="N1112" s="27"/>
    </row>
    <row r="1113" spans="1:14" x14ac:dyDescent="0.25">
      <c r="A1113" s="13">
        <f t="shared" si="25"/>
        <v>23</v>
      </c>
      <c r="J1113" s="24"/>
      <c r="N1113" s="27"/>
    </row>
    <row r="1114" spans="1:14" x14ac:dyDescent="0.25">
      <c r="A1114" s="13">
        <f t="shared" si="25"/>
        <v>23</v>
      </c>
      <c r="J1114" s="24"/>
      <c r="N1114" s="27"/>
    </row>
    <row r="1115" spans="1:14" x14ac:dyDescent="0.25">
      <c r="A1115" s="13">
        <f t="shared" si="25"/>
        <v>23</v>
      </c>
      <c r="J1115" s="24"/>
      <c r="N1115" s="27"/>
    </row>
    <row r="1116" spans="1:14" x14ac:dyDescent="0.25">
      <c r="A1116" s="13">
        <f t="shared" si="25"/>
        <v>23</v>
      </c>
      <c r="J1116" s="24"/>
      <c r="N1116" s="27"/>
    </row>
    <row r="1117" spans="1:14" x14ac:dyDescent="0.25">
      <c r="A1117" s="13">
        <f t="shared" si="25"/>
        <v>23</v>
      </c>
      <c r="J1117" s="24"/>
      <c r="N1117" s="27"/>
    </row>
    <row r="1118" spans="1:14" x14ac:dyDescent="0.25">
      <c r="A1118" s="13">
        <f t="shared" si="25"/>
        <v>23</v>
      </c>
      <c r="J1118" s="24"/>
      <c r="N1118" s="27"/>
    </row>
    <row r="1119" spans="1:14" x14ac:dyDescent="0.25">
      <c r="A1119" s="13">
        <f t="shared" si="25"/>
        <v>23</v>
      </c>
      <c r="J1119" s="24"/>
      <c r="N1119" s="27"/>
    </row>
    <row r="1120" spans="1:14" x14ac:dyDescent="0.25">
      <c r="A1120" s="13">
        <f t="shared" si="25"/>
        <v>23</v>
      </c>
      <c r="J1120" s="24"/>
      <c r="N1120" s="27"/>
    </row>
    <row r="1121" spans="1:14" x14ac:dyDescent="0.25">
      <c r="A1121" s="13">
        <f t="shared" si="25"/>
        <v>23</v>
      </c>
      <c r="J1121" s="24"/>
      <c r="N1121" s="27"/>
    </row>
    <row r="1122" spans="1:14" x14ac:dyDescent="0.25">
      <c r="A1122" s="13">
        <f t="shared" si="25"/>
        <v>23</v>
      </c>
      <c r="J1122" s="24"/>
      <c r="N1122" s="27"/>
    </row>
    <row r="1123" spans="1:14" x14ac:dyDescent="0.25">
      <c r="A1123" s="13">
        <f t="shared" si="25"/>
        <v>23</v>
      </c>
      <c r="J1123" s="24"/>
      <c r="N1123" s="27"/>
    </row>
    <row r="1124" spans="1:14" x14ac:dyDescent="0.25">
      <c r="A1124" s="13">
        <f t="shared" si="25"/>
        <v>23</v>
      </c>
      <c r="J1124" s="24"/>
      <c r="N1124" s="27"/>
    </row>
    <row r="1125" spans="1:14" x14ac:dyDescent="0.25">
      <c r="A1125" s="13">
        <f t="shared" si="25"/>
        <v>23</v>
      </c>
      <c r="J1125" s="24"/>
      <c r="N1125" s="27"/>
    </row>
    <row r="1126" spans="1:14" x14ac:dyDescent="0.25">
      <c r="A1126" s="13">
        <f t="shared" si="25"/>
        <v>23</v>
      </c>
      <c r="J1126" s="24"/>
      <c r="N1126" s="27"/>
    </row>
    <row r="1127" spans="1:14" x14ac:dyDescent="0.25">
      <c r="A1127" s="13">
        <f t="shared" si="25"/>
        <v>23</v>
      </c>
      <c r="J1127" s="24"/>
      <c r="N1127" s="27"/>
    </row>
    <row r="1128" spans="1:14" x14ac:dyDescent="0.25">
      <c r="A1128" s="13">
        <f t="shared" si="25"/>
        <v>23</v>
      </c>
      <c r="J1128" s="24"/>
      <c r="N1128" s="27"/>
    </row>
    <row r="1129" spans="1:14" x14ac:dyDescent="0.25">
      <c r="A1129" s="13">
        <f t="shared" si="25"/>
        <v>23</v>
      </c>
      <c r="J1129" s="24"/>
      <c r="N1129" s="27"/>
    </row>
    <row r="1130" spans="1:14" x14ac:dyDescent="0.25">
      <c r="A1130" s="13">
        <f t="shared" si="25"/>
        <v>23</v>
      </c>
      <c r="J1130" s="24"/>
      <c r="N1130" s="27"/>
    </row>
    <row r="1131" spans="1:14" x14ac:dyDescent="0.25">
      <c r="A1131" s="13">
        <f t="shared" si="25"/>
        <v>23</v>
      </c>
      <c r="J1131" s="24"/>
      <c r="N1131" s="27"/>
    </row>
    <row r="1132" spans="1:14" x14ac:dyDescent="0.25">
      <c r="A1132" s="13">
        <f t="shared" si="25"/>
        <v>23</v>
      </c>
      <c r="J1132" s="24"/>
      <c r="N1132" s="27"/>
    </row>
    <row r="1133" spans="1:14" x14ac:dyDescent="0.25">
      <c r="A1133" s="13">
        <f t="shared" si="25"/>
        <v>23</v>
      </c>
      <c r="J1133" s="24"/>
      <c r="N1133" s="27"/>
    </row>
    <row r="1134" spans="1:14" x14ac:dyDescent="0.25">
      <c r="A1134" s="13">
        <f t="shared" si="25"/>
        <v>23</v>
      </c>
      <c r="J1134" s="24"/>
      <c r="N1134" s="27"/>
    </row>
    <row r="1135" spans="1:14" x14ac:dyDescent="0.25">
      <c r="A1135" s="13">
        <f t="shared" si="25"/>
        <v>23</v>
      </c>
      <c r="J1135" s="24"/>
      <c r="N1135" s="27"/>
    </row>
    <row r="1136" spans="1:14" x14ac:dyDescent="0.25">
      <c r="A1136" s="13">
        <f t="shared" si="25"/>
        <v>23</v>
      </c>
      <c r="J1136" s="24"/>
      <c r="N1136" s="27"/>
    </row>
    <row r="1137" spans="1:14" x14ac:dyDescent="0.25">
      <c r="A1137" s="13">
        <f t="shared" si="25"/>
        <v>23</v>
      </c>
      <c r="J1137" s="24"/>
      <c r="N1137" s="27"/>
    </row>
    <row r="1138" spans="1:14" x14ac:dyDescent="0.25">
      <c r="A1138" s="13">
        <f t="shared" si="25"/>
        <v>23</v>
      </c>
      <c r="J1138" s="24"/>
      <c r="N1138" s="27"/>
    </row>
    <row r="1139" spans="1:14" x14ac:dyDescent="0.25">
      <c r="A1139" s="13">
        <f t="shared" si="25"/>
        <v>23</v>
      </c>
      <c r="J1139" s="24"/>
      <c r="N1139" s="27"/>
    </row>
    <row r="1140" spans="1:14" x14ac:dyDescent="0.25">
      <c r="A1140" s="13">
        <f t="shared" si="25"/>
        <v>23</v>
      </c>
      <c r="J1140" s="24"/>
      <c r="N1140" s="27"/>
    </row>
    <row r="1141" spans="1:14" x14ac:dyDescent="0.25">
      <c r="A1141" s="13">
        <f t="shared" si="25"/>
        <v>23</v>
      </c>
      <c r="J1141" s="24"/>
      <c r="N1141" s="27"/>
    </row>
    <row r="1142" spans="1:14" x14ac:dyDescent="0.25">
      <c r="A1142" s="13">
        <f t="shared" si="25"/>
        <v>23</v>
      </c>
      <c r="J1142" s="24"/>
      <c r="N1142" s="27"/>
    </row>
    <row r="1143" spans="1:14" x14ac:dyDescent="0.25">
      <c r="A1143" s="13">
        <f t="shared" si="25"/>
        <v>23</v>
      </c>
      <c r="J1143" s="24"/>
      <c r="N1143" s="27"/>
    </row>
    <row r="1144" spans="1:14" x14ac:dyDescent="0.25">
      <c r="A1144" s="13">
        <f t="shared" si="25"/>
        <v>23</v>
      </c>
      <c r="J1144" s="24"/>
      <c r="N1144" s="27"/>
    </row>
    <row r="1145" spans="1:14" x14ac:dyDescent="0.25">
      <c r="A1145" s="13">
        <f t="shared" si="25"/>
        <v>23</v>
      </c>
      <c r="J1145" s="24"/>
      <c r="N1145" s="27"/>
    </row>
    <row r="1146" spans="1:14" x14ac:dyDescent="0.25">
      <c r="A1146" s="13">
        <f t="shared" si="25"/>
        <v>23</v>
      </c>
      <c r="J1146" s="24"/>
      <c r="N1146" s="27"/>
    </row>
    <row r="1147" spans="1:14" x14ac:dyDescent="0.25">
      <c r="A1147" s="13">
        <f t="shared" si="25"/>
        <v>23</v>
      </c>
      <c r="J1147" s="24"/>
      <c r="N1147" s="27"/>
    </row>
    <row r="1148" spans="1:14" x14ac:dyDescent="0.25">
      <c r="A1148" s="13">
        <f t="shared" si="25"/>
        <v>23</v>
      </c>
      <c r="J1148" s="24"/>
      <c r="N1148" s="27"/>
    </row>
    <row r="1149" spans="1:14" x14ac:dyDescent="0.25">
      <c r="A1149" s="13">
        <f t="shared" si="25"/>
        <v>23</v>
      </c>
      <c r="J1149" s="24"/>
      <c r="N1149" s="27"/>
    </row>
    <row r="1150" spans="1:14" x14ac:dyDescent="0.25">
      <c r="A1150" s="13">
        <f t="shared" si="25"/>
        <v>23</v>
      </c>
      <c r="J1150" s="24"/>
      <c r="N1150" s="27"/>
    </row>
    <row r="1151" spans="1:14" x14ac:dyDescent="0.25">
      <c r="A1151" s="13">
        <f t="shared" si="25"/>
        <v>23</v>
      </c>
      <c r="J1151" s="24"/>
      <c r="N1151" s="27"/>
    </row>
    <row r="1152" spans="1:14" x14ac:dyDescent="0.25">
      <c r="A1152" s="13">
        <f t="shared" si="25"/>
        <v>23</v>
      </c>
      <c r="J1152" s="24"/>
      <c r="N1152" s="27"/>
    </row>
    <row r="1153" spans="1:14" x14ac:dyDescent="0.25">
      <c r="A1153" s="13">
        <f t="shared" si="25"/>
        <v>23</v>
      </c>
      <c r="J1153" s="24"/>
      <c r="N1153" s="27"/>
    </row>
    <row r="1154" spans="1:14" x14ac:dyDescent="0.25">
      <c r="A1154" s="13">
        <f t="shared" si="25"/>
        <v>23</v>
      </c>
      <c r="J1154" s="24"/>
      <c r="N1154" s="27"/>
    </row>
    <row r="1155" spans="1:14" x14ac:dyDescent="0.25">
      <c r="A1155" s="13">
        <f t="shared" si="25"/>
        <v>23</v>
      </c>
      <c r="J1155" s="24"/>
      <c r="N1155" s="27"/>
    </row>
    <row r="1156" spans="1:14" x14ac:dyDescent="0.25">
      <c r="A1156" s="13">
        <f t="shared" ref="A1156:A1219" si="26">IF(B1156=B1155,A1155,A1155+1)</f>
        <v>23</v>
      </c>
      <c r="J1156" s="24"/>
      <c r="N1156" s="27"/>
    </row>
    <row r="1157" spans="1:14" x14ac:dyDescent="0.25">
      <c r="A1157" s="13">
        <f t="shared" si="26"/>
        <v>23</v>
      </c>
      <c r="J1157" s="24"/>
      <c r="N1157" s="27"/>
    </row>
    <row r="1158" spans="1:14" x14ac:dyDescent="0.25">
      <c r="A1158" s="13">
        <f t="shared" si="26"/>
        <v>23</v>
      </c>
      <c r="J1158" s="24"/>
      <c r="N1158" s="27"/>
    </row>
    <row r="1159" spans="1:14" x14ac:dyDescent="0.25">
      <c r="A1159" s="13">
        <f t="shared" si="26"/>
        <v>23</v>
      </c>
      <c r="J1159" s="24"/>
      <c r="N1159" s="27"/>
    </row>
    <row r="1160" spans="1:14" x14ac:dyDescent="0.25">
      <c r="A1160" s="13">
        <f t="shared" si="26"/>
        <v>23</v>
      </c>
      <c r="J1160" s="24"/>
      <c r="N1160" s="27"/>
    </row>
    <row r="1161" spans="1:14" x14ac:dyDescent="0.25">
      <c r="A1161" s="13">
        <f t="shared" si="26"/>
        <v>23</v>
      </c>
      <c r="J1161" s="24"/>
      <c r="N1161" s="27"/>
    </row>
    <row r="1162" spans="1:14" x14ac:dyDescent="0.25">
      <c r="A1162" s="13">
        <f t="shared" si="26"/>
        <v>23</v>
      </c>
      <c r="J1162" s="24"/>
      <c r="N1162" s="27"/>
    </row>
    <row r="1163" spans="1:14" x14ac:dyDescent="0.25">
      <c r="A1163" s="13">
        <f t="shared" si="26"/>
        <v>23</v>
      </c>
      <c r="J1163" s="24"/>
      <c r="N1163" s="27"/>
    </row>
    <row r="1164" spans="1:14" x14ac:dyDescent="0.25">
      <c r="A1164" s="13">
        <f t="shared" si="26"/>
        <v>23</v>
      </c>
      <c r="J1164" s="24"/>
      <c r="N1164" s="27"/>
    </row>
    <row r="1165" spans="1:14" x14ac:dyDescent="0.25">
      <c r="A1165" s="13">
        <f t="shared" si="26"/>
        <v>23</v>
      </c>
      <c r="J1165" s="24"/>
      <c r="N1165" s="27"/>
    </row>
    <row r="1166" spans="1:14" x14ac:dyDescent="0.25">
      <c r="A1166" s="13">
        <f t="shared" si="26"/>
        <v>23</v>
      </c>
      <c r="J1166" s="24"/>
      <c r="N1166" s="27"/>
    </row>
    <row r="1167" spans="1:14" x14ac:dyDescent="0.25">
      <c r="A1167" s="13">
        <f t="shared" si="26"/>
        <v>23</v>
      </c>
      <c r="J1167" s="24"/>
      <c r="N1167" s="27"/>
    </row>
    <row r="1168" spans="1:14" x14ac:dyDescent="0.25">
      <c r="A1168" s="13">
        <f t="shared" si="26"/>
        <v>23</v>
      </c>
      <c r="J1168" s="24"/>
      <c r="N1168" s="27"/>
    </row>
    <row r="1169" spans="1:14" x14ac:dyDescent="0.25">
      <c r="A1169" s="13">
        <f t="shared" si="26"/>
        <v>23</v>
      </c>
      <c r="J1169" s="24"/>
      <c r="N1169" s="27"/>
    </row>
    <row r="1170" spans="1:14" x14ac:dyDescent="0.25">
      <c r="A1170" s="13">
        <f t="shared" si="26"/>
        <v>23</v>
      </c>
      <c r="J1170" s="24"/>
      <c r="N1170" s="27"/>
    </row>
    <row r="1171" spans="1:14" x14ac:dyDescent="0.25">
      <c r="A1171" s="13">
        <f t="shared" si="26"/>
        <v>23</v>
      </c>
      <c r="J1171" s="24"/>
      <c r="N1171" s="27"/>
    </row>
    <row r="1172" spans="1:14" x14ac:dyDescent="0.25">
      <c r="A1172" s="13">
        <f t="shared" si="26"/>
        <v>23</v>
      </c>
      <c r="J1172" s="24"/>
      <c r="N1172" s="27"/>
    </row>
    <row r="1173" spans="1:14" x14ac:dyDescent="0.25">
      <c r="A1173" s="13">
        <f t="shared" si="26"/>
        <v>23</v>
      </c>
      <c r="J1173" s="24"/>
      <c r="N1173" s="27"/>
    </row>
    <row r="1174" spans="1:14" x14ac:dyDescent="0.25">
      <c r="A1174" s="13">
        <f t="shared" si="26"/>
        <v>23</v>
      </c>
      <c r="J1174" s="24"/>
      <c r="N1174" s="27"/>
    </row>
    <row r="1175" spans="1:14" x14ac:dyDescent="0.25">
      <c r="A1175" s="13">
        <f t="shared" si="26"/>
        <v>23</v>
      </c>
      <c r="J1175" s="24"/>
      <c r="N1175" s="27"/>
    </row>
    <row r="1176" spans="1:14" x14ac:dyDescent="0.25">
      <c r="A1176" s="13">
        <f t="shared" si="26"/>
        <v>23</v>
      </c>
      <c r="J1176" s="24"/>
      <c r="N1176" s="27"/>
    </row>
    <row r="1177" spans="1:14" x14ac:dyDescent="0.25">
      <c r="A1177" s="13">
        <f t="shared" si="26"/>
        <v>23</v>
      </c>
      <c r="J1177" s="24"/>
      <c r="N1177" s="27"/>
    </row>
    <row r="1178" spans="1:14" x14ac:dyDescent="0.25">
      <c r="A1178" s="13">
        <f t="shared" si="26"/>
        <v>23</v>
      </c>
      <c r="J1178" s="24"/>
      <c r="N1178" s="27"/>
    </row>
    <row r="1179" spans="1:14" x14ac:dyDescent="0.25">
      <c r="A1179" s="13">
        <f t="shared" si="26"/>
        <v>23</v>
      </c>
      <c r="J1179" s="24"/>
      <c r="N1179" s="27"/>
    </row>
    <row r="1180" spans="1:14" x14ac:dyDescent="0.25">
      <c r="A1180" s="13">
        <f t="shared" si="26"/>
        <v>23</v>
      </c>
      <c r="J1180" s="24"/>
      <c r="N1180" s="27"/>
    </row>
    <row r="1181" spans="1:14" x14ac:dyDescent="0.25">
      <c r="A1181" s="13">
        <f t="shared" si="26"/>
        <v>23</v>
      </c>
      <c r="J1181" s="24"/>
      <c r="N1181" s="27"/>
    </row>
    <row r="1182" spans="1:14" x14ac:dyDescent="0.25">
      <c r="A1182" s="13">
        <f t="shared" si="26"/>
        <v>23</v>
      </c>
      <c r="J1182" s="24"/>
      <c r="N1182" s="27"/>
    </row>
    <row r="1183" spans="1:14" x14ac:dyDescent="0.25">
      <c r="A1183" s="13">
        <f t="shared" si="26"/>
        <v>23</v>
      </c>
      <c r="J1183" s="24"/>
      <c r="N1183" s="27"/>
    </row>
    <row r="1184" spans="1:14" x14ac:dyDescent="0.25">
      <c r="A1184" s="13">
        <f t="shared" si="26"/>
        <v>23</v>
      </c>
      <c r="J1184" s="24"/>
      <c r="N1184" s="27"/>
    </row>
    <row r="1185" spans="1:14" x14ac:dyDescent="0.25">
      <c r="A1185" s="13">
        <f t="shared" si="26"/>
        <v>23</v>
      </c>
      <c r="J1185" s="24"/>
      <c r="N1185" s="27"/>
    </row>
    <row r="1186" spans="1:14" x14ac:dyDescent="0.25">
      <c r="A1186" s="13">
        <f t="shared" si="26"/>
        <v>23</v>
      </c>
      <c r="J1186" s="24"/>
      <c r="N1186" s="27"/>
    </row>
    <row r="1187" spans="1:14" x14ac:dyDescent="0.25">
      <c r="A1187" s="13">
        <f t="shared" si="26"/>
        <v>23</v>
      </c>
      <c r="J1187" s="24"/>
      <c r="N1187" s="27"/>
    </row>
    <row r="1188" spans="1:14" x14ac:dyDescent="0.25">
      <c r="A1188" s="13">
        <f t="shared" si="26"/>
        <v>23</v>
      </c>
      <c r="J1188" s="24"/>
      <c r="N1188" s="27"/>
    </row>
    <row r="1189" spans="1:14" x14ac:dyDescent="0.25">
      <c r="A1189" s="13">
        <f t="shared" si="26"/>
        <v>23</v>
      </c>
      <c r="J1189" s="24"/>
      <c r="N1189" s="27"/>
    </row>
    <row r="1190" spans="1:14" x14ac:dyDescent="0.25">
      <c r="A1190" s="13">
        <f t="shared" si="26"/>
        <v>23</v>
      </c>
      <c r="J1190" s="24"/>
      <c r="N1190" s="27"/>
    </row>
    <row r="1191" spans="1:14" x14ac:dyDescent="0.25">
      <c r="A1191" s="13">
        <f t="shared" si="26"/>
        <v>23</v>
      </c>
      <c r="J1191" s="24"/>
      <c r="N1191" s="27"/>
    </row>
    <row r="1192" spans="1:14" x14ac:dyDescent="0.25">
      <c r="A1192" s="13">
        <f t="shared" si="26"/>
        <v>23</v>
      </c>
      <c r="J1192" s="24"/>
      <c r="N1192" s="27"/>
    </row>
    <row r="1193" spans="1:14" x14ac:dyDescent="0.25">
      <c r="A1193" s="13">
        <f t="shared" si="26"/>
        <v>23</v>
      </c>
      <c r="J1193" s="24"/>
      <c r="N1193" s="27"/>
    </row>
    <row r="1194" spans="1:14" x14ac:dyDescent="0.25">
      <c r="A1194" s="13">
        <f t="shared" si="26"/>
        <v>23</v>
      </c>
      <c r="J1194" s="24"/>
      <c r="N1194" s="27"/>
    </row>
    <row r="1195" spans="1:14" x14ac:dyDescent="0.25">
      <c r="A1195" s="13">
        <f t="shared" si="26"/>
        <v>23</v>
      </c>
      <c r="J1195" s="24"/>
      <c r="N1195" s="27"/>
    </row>
    <row r="1196" spans="1:14" x14ac:dyDescent="0.25">
      <c r="A1196" s="13">
        <f t="shared" si="26"/>
        <v>23</v>
      </c>
      <c r="J1196" s="24"/>
      <c r="N1196" s="27"/>
    </row>
    <row r="1197" spans="1:14" x14ac:dyDescent="0.25">
      <c r="A1197" s="13">
        <f t="shared" si="26"/>
        <v>23</v>
      </c>
      <c r="J1197" s="24"/>
      <c r="N1197" s="27"/>
    </row>
    <row r="1198" spans="1:14" x14ac:dyDescent="0.25">
      <c r="A1198" s="13">
        <f t="shared" si="26"/>
        <v>23</v>
      </c>
      <c r="J1198" s="24"/>
      <c r="N1198" s="27"/>
    </row>
    <row r="1199" spans="1:14" x14ac:dyDescent="0.25">
      <c r="A1199" s="13">
        <f t="shared" si="26"/>
        <v>23</v>
      </c>
      <c r="J1199" s="24"/>
      <c r="N1199" s="27"/>
    </row>
    <row r="1200" spans="1:14" x14ac:dyDescent="0.25">
      <c r="A1200" s="13">
        <f t="shared" si="26"/>
        <v>23</v>
      </c>
      <c r="J1200" s="24"/>
      <c r="N1200" s="27"/>
    </row>
    <row r="1201" spans="1:14" x14ac:dyDescent="0.25">
      <c r="A1201" s="13">
        <f t="shared" si="26"/>
        <v>23</v>
      </c>
      <c r="J1201" s="24"/>
      <c r="N1201" s="27"/>
    </row>
    <row r="1202" spans="1:14" x14ac:dyDescent="0.25">
      <c r="A1202" s="13">
        <f t="shared" si="26"/>
        <v>23</v>
      </c>
      <c r="J1202" s="24"/>
      <c r="N1202" s="27"/>
    </row>
    <row r="1203" spans="1:14" x14ac:dyDescent="0.25">
      <c r="A1203" s="13">
        <f t="shared" si="26"/>
        <v>23</v>
      </c>
      <c r="J1203" s="24"/>
      <c r="N1203" s="27"/>
    </row>
    <row r="1204" spans="1:14" x14ac:dyDescent="0.25">
      <c r="A1204" s="13">
        <f t="shared" si="26"/>
        <v>23</v>
      </c>
      <c r="J1204" s="24"/>
      <c r="N1204" s="27"/>
    </row>
    <row r="1205" spans="1:14" x14ac:dyDescent="0.25">
      <c r="A1205" s="13">
        <f t="shared" si="26"/>
        <v>23</v>
      </c>
      <c r="J1205" s="24"/>
      <c r="N1205" s="27"/>
    </row>
    <row r="1206" spans="1:14" x14ac:dyDescent="0.25">
      <c r="A1206" s="13">
        <f t="shared" si="26"/>
        <v>23</v>
      </c>
      <c r="J1206" s="24"/>
      <c r="N1206" s="27"/>
    </row>
    <row r="1207" spans="1:14" x14ac:dyDescent="0.25">
      <c r="A1207" s="13">
        <f t="shared" si="26"/>
        <v>23</v>
      </c>
      <c r="J1207" s="24"/>
      <c r="N1207" s="27"/>
    </row>
    <row r="1208" spans="1:14" x14ac:dyDescent="0.25">
      <c r="A1208" s="13">
        <f t="shared" si="26"/>
        <v>23</v>
      </c>
      <c r="J1208" s="24"/>
      <c r="N1208" s="27"/>
    </row>
    <row r="1209" spans="1:14" x14ac:dyDescent="0.25">
      <c r="A1209" s="13">
        <f t="shared" si="26"/>
        <v>23</v>
      </c>
      <c r="J1209" s="24"/>
      <c r="N1209" s="27"/>
    </row>
    <row r="1210" spans="1:14" x14ac:dyDescent="0.25">
      <c r="A1210" s="13">
        <f t="shared" si="26"/>
        <v>23</v>
      </c>
      <c r="J1210" s="24"/>
      <c r="N1210" s="27"/>
    </row>
    <row r="1211" spans="1:14" x14ac:dyDescent="0.25">
      <c r="A1211" s="13">
        <f t="shared" si="26"/>
        <v>23</v>
      </c>
      <c r="J1211" s="24"/>
      <c r="N1211" s="27"/>
    </row>
    <row r="1212" spans="1:14" x14ac:dyDescent="0.25">
      <c r="A1212" s="13">
        <f t="shared" si="26"/>
        <v>23</v>
      </c>
      <c r="J1212" s="24"/>
      <c r="N1212" s="27"/>
    </row>
    <row r="1213" spans="1:14" x14ac:dyDescent="0.25">
      <c r="A1213" s="13">
        <f t="shared" si="26"/>
        <v>23</v>
      </c>
      <c r="J1213" s="24"/>
      <c r="N1213" s="27"/>
    </row>
    <row r="1214" spans="1:14" x14ac:dyDescent="0.25">
      <c r="A1214" s="13">
        <f t="shared" si="26"/>
        <v>23</v>
      </c>
      <c r="J1214" s="24"/>
      <c r="N1214" s="27"/>
    </row>
    <row r="1215" spans="1:14" x14ac:dyDescent="0.25">
      <c r="A1215" s="13">
        <f t="shared" si="26"/>
        <v>23</v>
      </c>
      <c r="J1215" s="24"/>
    </row>
    <row r="1216" spans="1:14" x14ac:dyDescent="0.25">
      <c r="A1216" s="13">
        <f t="shared" si="26"/>
        <v>23</v>
      </c>
      <c r="J1216" s="24"/>
    </row>
    <row r="1217" spans="1:10" x14ac:dyDescent="0.25">
      <c r="A1217" s="13">
        <f t="shared" si="26"/>
        <v>23</v>
      </c>
      <c r="J1217" s="24"/>
    </row>
    <row r="1218" spans="1:10" x14ac:dyDescent="0.25">
      <c r="A1218" s="13">
        <f t="shared" si="26"/>
        <v>23</v>
      </c>
      <c r="J1218" s="24"/>
    </row>
    <row r="1219" spans="1:10" x14ac:dyDescent="0.25">
      <c r="A1219" s="13">
        <f t="shared" si="26"/>
        <v>23</v>
      </c>
      <c r="J1219" s="24"/>
    </row>
    <row r="1220" spans="1:10" x14ac:dyDescent="0.25">
      <c r="A1220" s="13">
        <f t="shared" ref="A1220:A1283" si="27">IF(B1220=B1219,A1219,A1219+1)</f>
        <v>23</v>
      </c>
      <c r="J1220" s="24"/>
    </row>
    <row r="1221" spans="1:10" x14ac:dyDescent="0.25">
      <c r="A1221" s="13">
        <f t="shared" si="27"/>
        <v>23</v>
      </c>
      <c r="J1221" s="24"/>
    </row>
    <row r="1222" spans="1:10" x14ac:dyDescent="0.25">
      <c r="A1222" s="13">
        <f t="shared" si="27"/>
        <v>23</v>
      </c>
      <c r="J1222" s="24"/>
    </row>
    <row r="1223" spans="1:10" x14ac:dyDescent="0.25">
      <c r="A1223" s="13">
        <f t="shared" si="27"/>
        <v>23</v>
      </c>
      <c r="J1223" s="24"/>
    </row>
    <row r="1224" spans="1:10" x14ac:dyDescent="0.25">
      <c r="A1224" s="13">
        <f t="shared" si="27"/>
        <v>23</v>
      </c>
      <c r="J1224" s="24"/>
    </row>
    <row r="1225" spans="1:10" x14ac:dyDescent="0.25">
      <c r="A1225" s="13">
        <f t="shared" si="27"/>
        <v>23</v>
      </c>
      <c r="J1225" s="24"/>
    </row>
    <row r="1226" spans="1:10" x14ac:dyDescent="0.25">
      <c r="A1226" s="13">
        <f t="shared" si="27"/>
        <v>23</v>
      </c>
      <c r="J1226" s="24"/>
    </row>
    <row r="1227" spans="1:10" x14ac:dyDescent="0.25">
      <c r="A1227" s="13">
        <f t="shared" si="27"/>
        <v>23</v>
      </c>
      <c r="J1227" s="24"/>
    </row>
    <row r="1228" spans="1:10" x14ac:dyDescent="0.25">
      <c r="A1228" s="13">
        <f t="shared" si="27"/>
        <v>23</v>
      </c>
      <c r="J1228" s="24"/>
    </row>
    <row r="1229" spans="1:10" x14ac:dyDescent="0.25">
      <c r="A1229" s="13">
        <f t="shared" si="27"/>
        <v>23</v>
      </c>
      <c r="J1229" s="24"/>
    </row>
    <row r="1230" spans="1:10" x14ac:dyDescent="0.25">
      <c r="A1230" s="13">
        <f t="shared" si="27"/>
        <v>23</v>
      </c>
      <c r="J1230" s="24"/>
    </row>
    <row r="1231" spans="1:10" x14ac:dyDescent="0.25">
      <c r="A1231" s="13">
        <f t="shared" si="27"/>
        <v>23</v>
      </c>
      <c r="J1231" s="24"/>
    </row>
    <row r="1232" spans="1:10" x14ac:dyDescent="0.25">
      <c r="A1232" s="13">
        <f t="shared" si="27"/>
        <v>23</v>
      </c>
      <c r="J1232" s="24"/>
    </row>
    <row r="1233" spans="1:10" x14ac:dyDescent="0.25">
      <c r="A1233" s="13">
        <f t="shared" si="27"/>
        <v>23</v>
      </c>
      <c r="J1233" s="24"/>
    </row>
    <row r="1234" spans="1:10" x14ac:dyDescent="0.25">
      <c r="A1234" s="13">
        <f t="shared" si="27"/>
        <v>23</v>
      </c>
      <c r="J1234" s="24"/>
    </row>
    <row r="1235" spans="1:10" x14ac:dyDescent="0.25">
      <c r="A1235" s="13">
        <f t="shared" si="27"/>
        <v>23</v>
      </c>
      <c r="J1235" s="24"/>
    </row>
    <row r="1236" spans="1:10" x14ac:dyDescent="0.25">
      <c r="A1236" s="13">
        <f t="shared" si="27"/>
        <v>23</v>
      </c>
      <c r="J1236" s="24"/>
    </row>
    <row r="1237" spans="1:10" x14ac:dyDescent="0.25">
      <c r="A1237" s="13">
        <f t="shared" si="27"/>
        <v>23</v>
      </c>
    </row>
    <row r="1238" spans="1:10" x14ac:dyDescent="0.25">
      <c r="A1238" s="13">
        <f t="shared" si="27"/>
        <v>23</v>
      </c>
    </row>
    <row r="1239" spans="1:10" x14ac:dyDescent="0.25">
      <c r="A1239" s="13">
        <f t="shared" si="27"/>
        <v>23</v>
      </c>
    </row>
    <row r="1240" spans="1:10" x14ac:dyDescent="0.25">
      <c r="A1240" s="13">
        <f t="shared" si="27"/>
        <v>23</v>
      </c>
    </row>
    <row r="1241" spans="1:10" x14ac:dyDescent="0.25">
      <c r="A1241" s="13">
        <f t="shared" si="27"/>
        <v>23</v>
      </c>
    </row>
    <row r="1242" spans="1:10" x14ac:dyDescent="0.25">
      <c r="A1242" s="13">
        <f t="shared" si="27"/>
        <v>23</v>
      </c>
    </row>
    <row r="1243" spans="1:10" x14ac:dyDescent="0.25">
      <c r="A1243" s="13">
        <f t="shared" si="27"/>
        <v>23</v>
      </c>
    </row>
    <row r="1244" spans="1:10" x14ac:dyDescent="0.25">
      <c r="A1244" s="13">
        <f t="shared" si="27"/>
        <v>23</v>
      </c>
    </row>
    <row r="1245" spans="1:10" x14ac:dyDescent="0.25">
      <c r="A1245" s="13">
        <f t="shared" si="27"/>
        <v>23</v>
      </c>
    </row>
    <row r="1246" spans="1:10" x14ac:dyDescent="0.25">
      <c r="A1246" s="13">
        <f t="shared" si="27"/>
        <v>23</v>
      </c>
    </row>
    <row r="1247" spans="1:10" x14ac:dyDescent="0.25">
      <c r="A1247" s="13">
        <f t="shared" si="27"/>
        <v>23</v>
      </c>
    </row>
    <row r="1248" spans="1:10" x14ac:dyDescent="0.25">
      <c r="A1248" s="13">
        <f t="shared" si="27"/>
        <v>23</v>
      </c>
    </row>
    <row r="1249" spans="1:1" x14ac:dyDescent="0.25">
      <c r="A1249" s="13">
        <f t="shared" si="27"/>
        <v>23</v>
      </c>
    </row>
    <row r="1250" spans="1:1" x14ac:dyDescent="0.25">
      <c r="A1250" s="13">
        <f t="shared" si="27"/>
        <v>23</v>
      </c>
    </row>
    <row r="1251" spans="1:1" x14ac:dyDescent="0.25">
      <c r="A1251" s="13">
        <f t="shared" si="27"/>
        <v>23</v>
      </c>
    </row>
    <row r="1252" spans="1:1" x14ac:dyDescent="0.25">
      <c r="A1252" s="13">
        <f t="shared" si="27"/>
        <v>23</v>
      </c>
    </row>
    <row r="1253" spans="1:1" x14ac:dyDescent="0.25">
      <c r="A1253" s="13">
        <f t="shared" si="27"/>
        <v>23</v>
      </c>
    </row>
    <row r="1254" spans="1:1" x14ac:dyDescent="0.25">
      <c r="A1254" s="13">
        <f t="shared" si="27"/>
        <v>23</v>
      </c>
    </row>
    <row r="1255" spans="1:1" x14ac:dyDescent="0.25">
      <c r="A1255" s="13">
        <f t="shared" si="27"/>
        <v>23</v>
      </c>
    </row>
    <row r="1256" spans="1:1" x14ac:dyDescent="0.25">
      <c r="A1256" s="13">
        <f t="shared" si="27"/>
        <v>23</v>
      </c>
    </row>
    <row r="1257" spans="1:1" x14ac:dyDescent="0.25">
      <c r="A1257" s="13">
        <f t="shared" si="27"/>
        <v>23</v>
      </c>
    </row>
    <row r="1258" spans="1:1" x14ac:dyDescent="0.25">
      <c r="A1258" s="13">
        <f t="shared" si="27"/>
        <v>23</v>
      </c>
    </row>
    <row r="1259" spans="1:1" x14ac:dyDescent="0.25">
      <c r="A1259" s="13">
        <f t="shared" si="27"/>
        <v>23</v>
      </c>
    </row>
    <row r="1260" spans="1:1" x14ac:dyDescent="0.25">
      <c r="A1260" s="13">
        <f t="shared" si="27"/>
        <v>23</v>
      </c>
    </row>
    <row r="1261" spans="1:1" x14ac:dyDescent="0.25">
      <c r="A1261" s="13">
        <f t="shared" si="27"/>
        <v>23</v>
      </c>
    </row>
    <row r="1262" spans="1:1" x14ac:dyDescent="0.25">
      <c r="A1262" s="13">
        <f t="shared" si="27"/>
        <v>23</v>
      </c>
    </row>
    <row r="1263" spans="1:1" x14ac:dyDescent="0.25">
      <c r="A1263" s="13">
        <f t="shared" si="27"/>
        <v>23</v>
      </c>
    </row>
    <row r="1264" spans="1:1" x14ac:dyDescent="0.25">
      <c r="A1264" s="13">
        <f t="shared" si="27"/>
        <v>23</v>
      </c>
    </row>
    <row r="1265" spans="1:1" x14ac:dyDescent="0.25">
      <c r="A1265" s="13">
        <f t="shared" si="27"/>
        <v>23</v>
      </c>
    </row>
    <row r="1266" spans="1:1" x14ac:dyDescent="0.25">
      <c r="A1266" s="13">
        <f t="shared" si="27"/>
        <v>23</v>
      </c>
    </row>
    <row r="1267" spans="1:1" x14ac:dyDescent="0.25">
      <c r="A1267" s="13">
        <f t="shared" si="27"/>
        <v>23</v>
      </c>
    </row>
    <row r="1268" spans="1:1" x14ac:dyDescent="0.25">
      <c r="A1268" s="13">
        <f t="shared" si="27"/>
        <v>23</v>
      </c>
    </row>
    <row r="1269" spans="1:1" x14ac:dyDescent="0.25">
      <c r="A1269" s="13">
        <f t="shared" si="27"/>
        <v>23</v>
      </c>
    </row>
    <row r="1270" spans="1:1" x14ac:dyDescent="0.25">
      <c r="A1270" s="13">
        <f t="shared" si="27"/>
        <v>23</v>
      </c>
    </row>
    <row r="1271" spans="1:1" x14ac:dyDescent="0.25">
      <c r="A1271" s="13">
        <f t="shared" si="27"/>
        <v>23</v>
      </c>
    </row>
    <row r="1272" spans="1:1" x14ac:dyDescent="0.25">
      <c r="A1272" s="13">
        <f t="shared" si="27"/>
        <v>23</v>
      </c>
    </row>
    <row r="1273" spans="1:1" x14ac:dyDescent="0.25">
      <c r="A1273" s="13">
        <f t="shared" si="27"/>
        <v>23</v>
      </c>
    </row>
    <row r="1274" spans="1:1" x14ac:dyDescent="0.25">
      <c r="A1274" s="13">
        <f t="shared" si="27"/>
        <v>23</v>
      </c>
    </row>
    <row r="1275" spans="1:1" x14ac:dyDescent="0.25">
      <c r="A1275" s="13">
        <f t="shared" si="27"/>
        <v>23</v>
      </c>
    </row>
    <row r="1276" spans="1:1" x14ac:dyDescent="0.25">
      <c r="A1276" s="13">
        <f t="shared" si="27"/>
        <v>23</v>
      </c>
    </row>
    <row r="1277" spans="1:1" x14ac:dyDescent="0.25">
      <c r="A1277" s="13">
        <f t="shared" si="27"/>
        <v>23</v>
      </c>
    </row>
    <row r="1278" spans="1:1" x14ac:dyDescent="0.25">
      <c r="A1278" s="13">
        <f t="shared" si="27"/>
        <v>23</v>
      </c>
    </row>
    <row r="1279" spans="1:1" x14ac:dyDescent="0.25">
      <c r="A1279" s="13">
        <f t="shared" si="27"/>
        <v>23</v>
      </c>
    </row>
    <row r="1280" spans="1:1" x14ac:dyDescent="0.25">
      <c r="A1280" s="13">
        <f t="shared" si="27"/>
        <v>23</v>
      </c>
    </row>
    <row r="1281" spans="1:1" x14ac:dyDescent="0.25">
      <c r="A1281" s="13">
        <f t="shared" si="27"/>
        <v>23</v>
      </c>
    </row>
    <row r="1282" spans="1:1" x14ac:dyDescent="0.25">
      <c r="A1282" s="13">
        <f t="shared" si="27"/>
        <v>23</v>
      </c>
    </row>
    <row r="1283" spans="1:1" x14ac:dyDescent="0.25">
      <c r="A1283" s="13">
        <f t="shared" si="27"/>
        <v>23</v>
      </c>
    </row>
    <row r="1284" spans="1:1" x14ac:dyDescent="0.25">
      <c r="A1284" s="13">
        <f t="shared" ref="A1284:A1347" si="28">IF(B1284=B1283,A1283,A1283+1)</f>
        <v>23</v>
      </c>
    </row>
    <row r="1285" spans="1:1" x14ac:dyDescent="0.25">
      <c r="A1285" s="13">
        <f t="shared" si="28"/>
        <v>23</v>
      </c>
    </row>
    <row r="1286" spans="1:1" x14ac:dyDescent="0.25">
      <c r="A1286" s="13">
        <f t="shared" si="28"/>
        <v>23</v>
      </c>
    </row>
    <row r="1287" spans="1:1" x14ac:dyDescent="0.25">
      <c r="A1287" s="13">
        <f t="shared" si="28"/>
        <v>23</v>
      </c>
    </row>
    <row r="1288" spans="1:1" x14ac:dyDescent="0.25">
      <c r="A1288" s="13">
        <f t="shared" si="28"/>
        <v>23</v>
      </c>
    </row>
    <row r="1289" spans="1:1" x14ac:dyDescent="0.25">
      <c r="A1289" s="13">
        <f t="shared" si="28"/>
        <v>23</v>
      </c>
    </row>
    <row r="1290" spans="1:1" x14ac:dyDescent="0.25">
      <c r="A1290" s="13">
        <f t="shared" si="28"/>
        <v>23</v>
      </c>
    </row>
    <row r="1291" spans="1:1" x14ac:dyDescent="0.25">
      <c r="A1291" s="13">
        <f t="shared" si="28"/>
        <v>23</v>
      </c>
    </row>
    <row r="1292" spans="1:1" x14ac:dyDescent="0.25">
      <c r="A1292" s="13">
        <f t="shared" si="28"/>
        <v>23</v>
      </c>
    </row>
    <row r="1293" spans="1:1" x14ac:dyDescent="0.25">
      <c r="A1293" s="13">
        <f t="shared" si="28"/>
        <v>23</v>
      </c>
    </row>
    <row r="1294" spans="1:1" x14ac:dyDescent="0.25">
      <c r="A1294" s="13">
        <f t="shared" si="28"/>
        <v>23</v>
      </c>
    </row>
    <row r="1295" spans="1:1" x14ac:dyDescent="0.25">
      <c r="A1295" s="13">
        <f t="shared" si="28"/>
        <v>23</v>
      </c>
    </row>
    <row r="1296" spans="1:1" x14ac:dyDescent="0.25">
      <c r="A1296" s="13">
        <f t="shared" si="28"/>
        <v>23</v>
      </c>
    </row>
    <row r="1297" spans="1:1" x14ac:dyDescent="0.25">
      <c r="A1297" s="13">
        <f t="shared" si="28"/>
        <v>23</v>
      </c>
    </row>
    <row r="1298" spans="1:1" x14ac:dyDescent="0.25">
      <c r="A1298" s="13">
        <f t="shared" si="28"/>
        <v>23</v>
      </c>
    </row>
    <row r="1299" spans="1:1" x14ac:dyDescent="0.25">
      <c r="A1299" s="13">
        <f t="shared" si="28"/>
        <v>23</v>
      </c>
    </row>
    <row r="1300" spans="1:1" x14ac:dyDescent="0.25">
      <c r="A1300" s="13">
        <f t="shared" si="28"/>
        <v>23</v>
      </c>
    </row>
    <row r="1301" spans="1:1" x14ac:dyDescent="0.25">
      <c r="A1301" s="13">
        <f t="shared" si="28"/>
        <v>23</v>
      </c>
    </row>
    <row r="1302" spans="1:1" x14ac:dyDescent="0.25">
      <c r="A1302" s="13">
        <f t="shared" si="28"/>
        <v>23</v>
      </c>
    </row>
    <row r="1303" spans="1:1" x14ac:dyDescent="0.25">
      <c r="A1303" s="13">
        <f t="shared" si="28"/>
        <v>23</v>
      </c>
    </row>
    <row r="1304" spans="1:1" x14ac:dyDescent="0.25">
      <c r="A1304" s="13">
        <f t="shared" si="28"/>
        <v>23</v>
      </c>
    </row>
    <row r="1305" spans="1:1" x14ac:dyDescent="0.25">
      <c r="A1305" s="13">
        <f t="shared" si="28"/>
        <v>23</v>
      </c>
    </row>
    <row r="1306" spans="1:1" x14ac:dyDescent="0.25">
      <c r="A1306" s="13">
        <f t="shared" si="28"/>
        <v>23</v>
      </c>
    </row>
    <row r="1307" spans="1:1" x14ac:dyDescent="0.25">
      <c r="A1307" s="13">
        <f t="shared" si="28"/>
        <v>23</v>
      </c>
    </row>
    <row r="1308" spans="1:1" x14ac:dyDescent="0.25">
      <c r="A1308" s="13">
        <f t="shared" si="28"/>
        <v>23</v>
      </c>
    </row>
    <row r="1309" spans="1:1" x14ac:dyDescent="0.25">
      <c r="A1309" s="13">
        <f t="shared" si="28"/>
        <v>23</v>
      </c>
    </row>
    <row r="1310" spans="1:1" x14ac:dyDescent="0.25">
      <c r="A1310" s="13">
        <f t="shared" si="28"/>
        <v>23</v>
      </c>
    </row>
    <row r="1311" spans="1:1" x14ac:dyDescent="0.25">
      <c r="A1311" s="13">
        <f t="shared" si="28"/>
        <v>23</v>
      </c>
    </row>
    <row r="1312" spans="1:1" x14ac:dyDescent="0.25">
      <c r="A1312" s="13">
        <f t="shared" si="28"/>
        <v>23</v>
      </c>
    </row>
    <row r="1313" spans="1:1" x14ac:dyDescent="0.25">
      <c r="A1313" s="13">
        <f t="shared" si="28"/>
        <v>23</v>
      </c>
    </row>
    <row r="1314" spans="1:1" x14ac:dyDescent="0.25">
      <c r="A1314" s="13">
        <f t="shared" si="28"/>
        <v>23</v>
      </c>
    </row>
    <row r="1315" spans="1:1" x14ac:dyDescent="0.25">
      <c r="A1315" s="13">
        <f t="shared" si="28"/>
        <v>23</v>
      </c>
    </row>
    <row r="1316" spans="1:1" x14ac:dyDescent="0.25">
      <c r="A1316" s="13">
        <f t="shared" si="28"/>
        <v>23</v>
      </c>
    </row>
    <row r="1317" spans="1:1" x14ac:dyDescent="0.25">
      <c r="A1317" s="13">
        <f t="shared" si="28"/>
        <v>23</v>
      </c>
    </row>
    <row r="1318" spans="1:1" x14ac:dyDescent="0.25">
      <c r="A1318" s="13">
        <f t="shared" si="28"/>
        <v>23</v>
      </c>
    </row>
    <row r="1319" spans="1:1" x14ac:dyDescent="0.25">
      <c r="A1319" s="13">
        <f t="shared" si="28"/>
        <v>23</v>
      </c>
    </row>
    <row r="1320" spans="1:1" x14ac:dyDescent="0.25">
      <c r="A1320" s="13">
        <f t="shared" si="28"/>
        <v>23</v>
      </c>
    </row>
    <row r="1321" spans="1:1" x14ac:dyDescent="0.25">
      <c r="A1321" s="13">
        <f t="shared" si="28"/>
        <v>23</v>
      </c>
    </row>
    <row r="1322" spans="1:1" x14ac:dyDescent="0.25">
      <c r="A1322" s="13">
        <f t="shared" si="28"/>
        <v>23</v>
      </c>
    </row>
    <row r="1323" spans="1:1" x14ac:dyDescent="0.25">
      <c r="A1323" s="13">
        <f t="shared" si="28"/>
        <v>23</v>
      </c>
    </row>
    <row r="1324" spans="1:1" x14ac:dyDescent="0.25">
      <c r="A1324" s="13">
        <f t="shared" si="28"/>
        <v>23</v>
      </c>
    </row>
    <row r="1325" spans="1:1" x14ac:dyDescent="0.25">
      <c r="A1325" s="13">
        <f t="shared" si="28"/>
        <v>23</v>
      </c>
    </row>
    <row r="1326" spans="1:1" x14ac:dyDescent="0.25">
      <c r="A1326" s="13">
        <f t="shared" si="28"/>
        <v>23</v>
      </c>
    </row>
    <row r="1327" spans="1:1" x14ac:dyDescent="0.25">
      <c r="A1327" s="13">
        <f t="shared" si="28"/>
        <v>23</v>
      </c>
    </row>
    <row r="1328" spans="1:1" x14ac:dyDescent="0.25">
      <c r="A1328" s="13">
        <f t="shared" si="28"/>
        <v>23</v>
      </c>
    </row>
    <row r="1329" spans="1:1" x14ac:dyDescent="0.25">
      <c r="A1329" s="13">
        <f t="shared" si="28"/>
        <v>23</v>
      </c>
    </row>
    <row r="1330" spans="1:1" x14ac:dyDescent="0.25">
      <c r="A1330" s="13">
        <f t="shared" si="28"/>
        <v>23</v>
      </c>
    </row>
    <row r="1331" spans="1:1" x14ac:dyDescent="0.25">
      <c r="A1331" s="13">
        <f t="shared" si="28"/>
        <v>23</v>
      </c>
    </row>
    <row r="1332" spans="1:1" x14ac:dyDescent="0.25">
      <c r="A1332" s="13">
        <f t="shared" si="28"/>
        <v>23</v>
      </c>
    </row>
    <row r="1333" spans="1:1" x14ac:dyDescent="0.25">
      <c r="A1333" s="13">
        <f t="shared" si="28"/>
        <v>23</v>
      </c>
    </row>
    <row r="1334" spans="1:1" x14ac:dyDescent="0.25">
      <c r="A1334" s="13">
        <f t="shared" si="28"/>
        <v>23</v>
      </c>
    </row>
    <row r="1335" spans="1:1" x14ac:dyDescent="0.25">
      <c r="A1335" s="13">
        <f t="shared" si="28"/>
        <v>23</v>
      </c>
    </row>
    <row r="1336" spans="1:1" x14ac:dyDescent="0.25">
      <c r="A1336" s="13">
        <f t="shared" si="28"/>
        <v>23</v>
      </c>
    </row>
    <row r="1337" spans="1:1" x14ac:dyDescent="0.25">
      <c r="A1337" s="13">
        <f t="shared" si="28"/>
        <v>23</v>
      </c>
    </row>
    <row r="1338" spans="1:1" x14ac:dyDescent="0.25">
      <c r="A1338" s="13">
        <f t="shared" si="28"/>
        <v>23</v>
      </c>
    </row>
    <row r="1339" spans="1:1" x14ac:dyDescent="0.25">
      <c r="A1339" s="13">
        <f t="shared" si="28"/>
        <v>23</v>
      </c>
    </row>
    <row r="1340" spans="1:1" x14ac:dyDescent="0.25">
      <c r="A1340" s="13">
        <f t="shared" si="28"/>
        <v>23</v>
      </c>
    </row>
    <row r="1341" spans="1:1" x14ac:dyDescent="0.25">
      <c r="A1341" s="13">
        <f t="shared" si="28"/>
        <v>23</v>
      </c>
    </row>
    <row r="1342" spans="1:1" x14ac:dyDescent="0.25">
      <c r="A1342" s="13">
        <f t="shared" si="28"/>
        <v>23</v>
      </c>
    </row>
    <row r="1343" spans="1:1" x14ac:dyDescent="0.25">
      <c r="A1343" s="13">
        <f t="shared" si="28"/>
        <v>23</v>
      </c>
    </row>
    <row r="1344" spans="1:1" x14ac:dyDescent="0.25">
      <c r="A1344" s="13">
        <f t="shared" si="28"/>
        <v>23</v>
      </c>
    </row>
    <row r="1345" spans="1:1" x14ac:dyDescent="0.25">
      <c r="A1345" s="13">
        <f t="shared" si="28"/>
        <v>23</v>
      </c>
    </row>
    <row r="1346" spans="1:1" x14ac:dyDescent="0.25">
      <c r="A1346" s="13">
        <f t="shared" si="28"/>
        <v>23</v>
      </c>
    </row>
    <row r="1347" spans="1:1" x14ac:dyDescent="0.25">
      <c r="A1347" s="13">
        <f t="shared" si="28"/>
        <v>23</v>
      </c>
    </row>
    <row r="1348" spans="1:1" x14ac:dyDescent="0.25">
      <c r="A1348" s="13">
        <f t="shared" ref="A1348:A1411" si="29">IF(B1348=B1347,A1347,A1347+1)</f>
        <v>23</v>
      </c>
    </row>
    <row r="1349" spans="1:1" x14ac:dyDescent="0.25">
      <c r="A1349" s="13">
        <f t="shared" si="29"/>
        <v>23</v>
      </c>
    </row>
    <row r="1350" spans="1:1" x14ac:dyDescent="0.25">
      <c r="A1350" s="13">
        <f t="shared" si="29"/>
        <v>23</v>
      </c>
    </row>
    <row r="1351" spans="1:1" x14ac:dyDescent="0.25">
      <c r="A1351" s="13">
        <f t="shared" si="29"/>
        <v>23</v>
      </c>
    </row>
    <row r="1352" spans="1:1" x14ac:dyDescent="0.25">
      <c r="A1352" s="13">
        <f t="shared" si="29"/>
        <v>23</v>
      </c>
    </row>
    <row r="1353" spans="1:1" x14ac:dyDescent="0.25">
      <c r="A1353" s="13">
        <f t="shared" si="29"/>
        <v>23</v>
      </c>
    </row>
    <row r="1354" spans="1:1" x14ac:dyDescent="0.25">
      <c r="A1354" s="13">
        <f t="shared" si="29"/>
        <v>23</v>
      </c>
    </row>
    <row r="1355" spans="1:1" x14ac:dyDescent="0.25">
      <c r="A1355" s="13">
        <f t="shared" si="29"/>
        <v>23</v>
      </c>
    </row>
    <row r="1356" spans="1:1" x14ac:dyDescent="0.25">
      <c r="A1356" s="13">
        <f t="shared" si="29"/>
        <v>23</v>
      </c>
    </row>
    <row r="1357" spans="1:1" x14ac:dyDescent="0.25">
      <c r="A1357" s="13">
        <f t="shared" si="29"/>
        <v>23</v>
      </c>
    </row>
    <row r="1358" spans="1:1" x14ac:dyDescent="0.25">
      <c r="A1358" s="13">
        <f t="shared" si="29"/>
        <v>23</v>
      </c>
    </row>
    <row r="1359" spans="1:1" x14ac:dyDescent="0.25">
      <c r="A1359" s="13">
        <f t="shared" si="29"/>
        <v>23</v>
      </c>
    </row>
    <row r="1360" spans="1:1" x14ac:dyDescent="0.25">
      <c r="A1360" s="13">
        <f t="shared" si="29"/>
        <v>23</v>
      </c>
    </row>
    <row r="1361" spans="1:1" x14ac:dyDescent="0.25">
      <c r="A1361" s="13">
        <f t="shared" si="29"/>
        <v>23</v>
      </c>
    </row>
    <row r="1362" spans="1:1" x14ac:dyDescent="0.25">
      <c r="A1362" s="13">
        <f t="shared" si="29"/>
        <v>23</v>
      </c>
    </row>
    <row r="1363" spans="1:1" x14ac:dyDescent="0.25">
      <c r="A1363" s="13">
        <f t="shared" si="29"/>
        <v>23</v>
      </c>
    </row>
    <row r="1364" spans="1:1" x14ac:dyDescent="0.25">
      <c r="A1364" s="13">
        <f t="shared" si="29"/>
        <v>23</v>
      </c>
    </row>
    <row r="1365" spans="1:1" x14ac:dyDescent="0.25">
      <c r="A1365" s="13">
        <f t="shared" si="29"/>
        <v>23</v>
      </c>
    </row>
    <row r="1366" spans="1:1" x14ac:dyDescent="0.25">
      <c r="A1366" s="13">
        <f t="shared" si="29"/>
        <v>23</v>
      </c>
    </row>
    <row r="1367" spans="1:1" x14ac:dyDescent="0.25">
      <c r="A1367" s="13">
        <f t="shared" si="29"/>
        <v>23</v>
      </c>
    </row>
    <row r="1368" spans="1:1" x14ac:dyDescent="0.25">
      <c r="A1368" s="13">
        <f t="shared" si="29"/>
        <v>23</v>
      </c>
    </row>
    <row r="1369" spans="1:1" x14ac:dyDescent="0.25">
      <c r="A1369" s="13">
        <f t="shared" si="29"/>
        <v>23</v>
      </c>
    </row>
    <row r="1370" spans="1:1" x14ac:dyDescent="0.25">
      <c r="A1370" s="13">
        <f t="shared" si="29"/>
        <v>23</v>
      </c>
    </row>
    <row r="1371" spans="1:1" x14ac:dyDescent="0.25">
      <c r="A1371" s="13">
        <f t="shared" si="29"/>
        <v>23</v>
      </c>
    </row>
    <row r="1372" spans="1:1" x14ac:dyDescent="0.25">
      <c r="A1372" s="13">
        <f t="shared" si="29"/>
        <v>23</v>
      </c>
    </row>
    <row r="1373" spans="1:1" x14ac:dyDescent="0.25">
      <c r="A1373" s="13">
        <f t="shared" si="29"/>
        <v>23</v>
      </c>
    </row>
    <row r="1374" spans="1:1" x14ac:dyDescent="0.25">
      <c r="A1374" s="13">
        <f t="shared" si="29"/>
        <v>23</v>
      </c>
    </row>
    <row r="1375" spans="1:1" x14ac:dyDescent="0.25">
      <c r="A1375" s="13">
        <f t="shared" si="29"/>
        <v>23</v>
      </c>
    </row>
    <row r="1376" spans="1:1" x14ac:dyDescent="0.25">
      <c r="A1376" s="13">
        <f t="shared" si="29"/>
        <v>23</v>
      </c>
    </row>
    <row r="1377" spans="1:1" x14ac:dyDescent="0.25">
      <c r="A1377" s="13">
        <f t="shared" si="29"/>
        <v>23</v>
      </c>
    </row>
    <row r="1378" spans="1:1" x14ac:dyDescent="0.25">
      <c r="A1378" s="13">
        <f t="shared" si="29"/>
        <v>23</v>
      </c>
    </row>
    <row r="1379" spans="1:1" x14ac:dyDescent="0.25">
      <c r="A1379" s="13">
        <f t="shared" si="29"/>
        <v>23</v>
      </c>
    </row>
    <row r="1380" spans="1:1" x14ac:dyDescent="0.25">
      <c r="A1380" s="13">
        <f t="shared" si="29"/>
        <v>23</v>
      </c>
    </row>
    <row r="1381" spans="1:1" x14ac:dyDescent="0.25">
      <c r="A1381" s="13">
        <f t="shared" si="29"/>
        <v>23</v>
      </c>
    </row>
    <row r="1382" spans="1:1" x14ac:dyDescent="0.25">
      <c r="A1382" s="13">
        <f t="shared" si="29"/>
        <v>23</v>
      </c>
    </row>
    <row r="1383" spans="1:1" x14ac:dyDescent="0.25">
      <c r="A1383" s="13">
        <f t="shared" si="29"/>
        <v>23</v>
      </c>
    </row>
    <row r="1384" spans="1:1" x14ac:dyDescent="0.25">
      <c r="A1384" s="13">
        <f t="shared" si="29"/>
        <v>23</v>
      </c>
    </row>
    <row r="1385" spans="1:1" x14ac:dyDescent="0.25">
      <c r="A1385" s="13">
        <f t="shared" si="29"/>
        <v>23</v>
      </c>
    </row>
    <row r="1386" spans="1:1" x14ac:dyDescent="0.25">
      <c r="A1386" s="13">
        <f t="shared" si="29"/>
        <v>23</v>
      </c>
    </row>
    <row r="1387" spans="1:1" x14ac:dyDescent="0.25">
      <c r="A1387" s="13">
        <f t="shared" si="29"/>
        <v>23</v>
      </c>
    </row>
    <row r="1388" spans="1:1" x14ac:dyDescent="0.25">
      <c r="A1388" s="13">
        <f t="shared" si="29"/>
        <v>23</v>
      </c>
    </row>
    <row r="1389" spans="1:1" x14ac:dyDescent="0.25">
      <c r="A1389" s="13">
        <f t="shared" si="29"/>
        <v>23</v>
      </c>
    </row>
    <row r="1390" spans="1:1" x14ac:dyDescent="0.25">
      <c r="A1390" s="13">
        <f t="shared" si="29"/>
        <v>23</v>
      </c>
    </row>
    <row r="1391" spans="1:1" x14ac:dyDescent="0.25">
      <c r="A1391" s="13">
        <f t="shared" si="29"/>
        <v>23</v>
      </c>
    </row>
    <row r="1392" spans="1:1" x14ac:dyDescent="0.25">
      <c r="A1392" s="13">
        <f t="shared" si="29"/>
        <v>23</v>
      </c>
    </row>
    <row r="1393" spans="1:1" x14ac:dyDescent="0.25">
      <c r="A1393" s="13">
        <f t="shared" si="29"/>
        <v>23</v>
      </c>
    </row>
    <row r="1394" spans="1:1" x14ac:dyDescent="0.25">
      <c r="A1394" s="13">
        <f t="shared" si="29"/>
        <v>23</v>
      </c>
    </row>
    <row r="1395" spans="1:1" x14ac:dyDescent="0.25">
      <c r="A1395" s="13">
        <f t="shared" si="29"/>
        <v>23</v>
      </c>
    </row>
    <row r="1396" spans="1:1" x14ac:dyDescent="0.25">
      <c r="A1396" s="13">
        <f t="shared" si="29"/>
        <v>23</v>
      </c>
    </row>
    <row r="1397" spans="1:1" x14ac:dyDescent="0.25">
      <c r="A1397" s="13">
        <f t="shared" si="29"/>
        <v>23</v>
      </c>
    </row>
    <row r="1398" spans="1:1" x14ac:dyDescent="0.25">
      <c r="A1398" s="13">
        <f t="shared" si="29"/>
        <v>23</v>
      </c>
    </row>
    <row r="1399" spans="1:1" x14ac:dyDescent="0.25">
      <c r="A1399" s="13">
        <f t="shared" si="29"/>
        <v>23</v>
      </c>
    </row>
    <row r="1400" spans="1:1" x14ac:dyDescent="0.25">
      <c r="A1400" s="13">
        <f t="shared" si="29"/>
        <v>23</v>
      </c>
    </row>
    <row r="1401" spans="1:1" x14ac:dyDescent="0.25">
      <c r="A1401" s="13">
        <f t="shared" si="29"/>
        <v>23</v>
      </c>
    </row>
    <row r="1402" spans="1:1" x14ac:dyDescent="0.25">
      <c r="A1402" s="13">
        <f t="shared" si="29"/>
        <v>23</v>
      </c>
    </row>
    <row r="1403" spans="1:1" x14ac:dyDescent="0.25">
      <c r="A1403" s="13">
        <f t="shared" si="29"/>
        <v>23</v>
      </c>
    </row>
    <row r="1404" spans="1:1" x14ac:dyDescent="0.25">
      <c r="A1404" s="13">
        <f t="shared" si="29"/>
        <v>23</v>
      </c>
    </row>
    <row r="1405" spans="1:1" x14ac:dyDescent="0.25">
      <c r="A1405" s="13">
        <f t="shared" si="29"/>
        <v>23</v>
      </c>
    </row>
    <row r="1406" spans="1:1" x14ac:dyDescent="0.25">
      <c r="A1406" s="13">
        <f t="shared" si="29"/>
        <v>23</v>
      </c>
    </row>
    <row r="1407" spans="1:1" x14ac:dyDescent="0.25">
      <c r="A1407" s="13">
        <f t="shared" si="29"/>
        <v>23</v>
      </c>
    </row>
    <row r="1408" spans="1:1" x14ac:dyDescent="0.25">
      <c r="A1408" s="13">
        <f t="shared" si="29"/>
        <v>23</v>
      </c>
    </row>
    <row r="1409" spans="1:1" x14ac:dyDescent="0.25">
      <c r="A1409" s="13">
        <f t="shared" si="29"/>
        <v>23</v>
      </c>
    </row>
    <row r="1410" spans="1:1" x14ac:dyDescent="0.25">
      <c r="A1410" s="13">
        <f t="shared" si="29"/>
        <v>23</v>
      </c>
    </row>
    <row r="1411" spans="1:1" x14ac:dyDescent="0.25">
      <c r="A1411" s="13">
        <f t="shared" si="29"/>
        <v>23</v>
      </c>
    </row>
    <row r="1412" spans="1:1" x14ac:dyDescent="0.25">
      <c r="A1412" s="13">
        <f t="shared" ref="A1412:A1475" si="30">IF(B1412=B1411,A1411,A1411+1)</f>
        <v>23</v>
      </c>
    </row>
    <row r="1413" spans="1:1" x14ac:dyDescent="0.25">
      <c r="A1413" s="13">
        <f t="shared" si="30"/>
        <v>23</v>
      </c>
    </row>
    <row r="1414" spans="1:1" x14ac:dyDescent="0.25">
      <c r="A1414" s="13">
        <f t="shared" si="30"/>
        <v>23</v>
      </c>
    </row>
    <row r="1415" spans="1:1" x14ac:dyDescent="0.25">
      <c r="A1415" s="13">
        <f t="shared" si="30"/>
        <v>23</v>
      </c>
    </row>
    <row r="1416" spans="1:1" x14ac:dyDescent="0.25">
      <c r="A1416" s="13">
        <f t="shared" si="30"/>
        <v>23</v>
      </c>
    </row>
    <row r="1417" spans="1:1" x14ac:dyDescent="0.25">
      <c r="A1417" s="13">
        <f t="shared" si="30"/>
        <v>23</v>
      </c>
    </row>
    <row r="1418" spans="1:1" x14ac:dyDescent="0.25">
      <c r="A1418" s="13">
        <f t="shared" si="30"/>
        <v>23</v>
      </c>
    </row>
    <row r="1419" spans="1:1" x14ac:dyDescent="0.25">
      <c r="A1419" s="13">
        <f t="shared" si="30"/>
        <v>23</v>
      </c>
    </row>
    <row r="1420" spans="1:1" x14ac:dyDescent="0.25">
      <c r="A1420" s="13">
        <f t="shared" si="30"/>
        <v>23</v>
      </c>
    </row>
    <row r="1421" spans="1:1" x14ac:dyDescent="0.25">
      <c r="A1421" s="13">
        <f t="shared" si="30"/>
        <v>23</v>
      </c>
    </row>
    <row r="1422" spans="1:1" x14ac:dyDescent="0.25">
      <c r="A1422" s="13">
        <f t="shared" si="30"/>
        <v>23</v>
      </c>
    </row>
    <row r="1423" spans="1:1" x14ac:dyDescent="0.25">
      <c r="A1423" s="13">
        <f t="shared" si="30"/>
        <v>23</v>
      </c>
    </row>
    <row r="1424" spans="1:1" x14ac:dyDescent="0.25">
      <c r="A1424" s="13">
        <f t="shared" si="30"/>
        <v>23</v>
      </c>
    </row>
    <row r="1425" spans="1:1" x14ac:dyDescent="0.25">
      <c r="A1425" s="13">
        <f t="shared" si="30"/>
        <v>23</v>
      </c>
    </row>
    <row r="1426" spans="1:1" x14ac:dyDescent="0.25">
      <c r="A1426" s="13">
        <f t="shared" si="30"/>
        <v>23</v>
      </c>
    </row>
    <row r="1427" spans="1:1" x14ac:dyDescent="0.25">
      <c r="A1427" s="13">
        <f t="shared" si="30"/>
        <v>23</v>
      </c>
    </row>
    <row r="1428" spans="1:1" x14ac:dyDescent="0.25">
      <c r="A1428" s="13">
        <f t="shared" si="30"/>
        <v>23</v>
      </c>
    </row>
    <row r="1429" spans="1:1" x14ac:dyDescent="0.25">
      <c r="A1429" s="13">
        <f t="shared" si="30"/>
        <v>23</v>
      </c>
    </row>
    <row r="1430" spans="1:1" x14ac:dyDescent="0.25">
      <c r="A1430" s="13">
        <f t="shared" si="30"/>
        <v>23</v>
      </c>
    </row>
    <row r="1431" spans="1:1" x14ac:dyDescent="0.25">
      <c r="A1431" s="13">
        <f t="shared" si="30"/>
        <v>23</v>
      </c>
    </row>
    <row r="1432" spans="1:1" x14ac:dyDescent="0.25">
      <c r="A1432" s="13">
        <f t="shared" si="30"/>
        <v>23</v>
      </c>
    </row>
    <row r="1433" spans="1:1" x14ac:dyDescent="0.25">
      <c r="A1433" s="13">
        <f t="shared" si="30"/>
        <v>23</v>
      </c>
    </row>
    <row r="1434" spans="1:1" x14ac:dyDescent="0.25">
      <c r="A1434" s="13">
        <f t="shared" si="30"/>
        <v>23</v>
      </c>
    </row>
    <row r="1435" spans="1:1" x14ac:dyDescent="0.25">
      <c r="A1435" s="13">
        <f t="shared" si="30"/>
        <v>23</v>
      </c>
    </row>
    <row r="1436" spans="1:1" x14ac:dyDescent="0.25">
      <c r="A1436" s="13">
        <f t="shared" si="30"/>
        <v>23</v>
      </c>
    </row>
    <row r="1437" spans="1:1" x14ac:dyDescent="0.25">
      <c r="A1437" s="13">
        <f t="shared" si="30"/>
        <v>23</v>
      </c>
    </row>
    <row r="1438" spans="1:1" x14ac:dyDescent="0.25">
      <c r="A1438" s="13">
        <f t="shared" si="30"/>
        <v>23</v>
      </c>
    </row>
    <row r="1439" spans="1:1" x14ac:dyDescent="0.25">
      <c r="A1439" s="13">
        <f t="shared" si="30"/>
        <v>23</v>
      </c>
    </row>
    <row r="1440" spans="1:1" x14ac:dyDescent="0.25">
      <c r="A1440" s="13">
        <f t="shared" si="30"/>
        <v>23</v>
      </c>
    </row>
    <row r="1441" spans="1:1" x14ac:dyDescent="0.25">
      <c r="A1441" s="13">
        <f t="shared" si="30"/>
        <v>23</v>
      </c>
    </row>
    <row r="1442" spans="1:1" x14ac:dyDescent="0.25">
      <c r="A1442" s="13">
        <f t="shared" si="30"/>
        <v>23</v>
      </c>
    </row>
    <row r="1443" spans="1:1" x14ac:dyDescent="0.25">
      <c r="A1443" s="13">
        <f t="shared" si="30"/>
        <v>23</v>
      </c>
    </row>
    <row r="1444" spans="1:1" x14ac:dyDescent="0.25">
      <c r="A1444" s="13">
        <f t="shared" si="30"/>
        <v>23</v>
      </c>
    </row>
    <row r="1445" spans="1:1" x14ac:dyDescent="0.25">
      <c r="A1445" s="13">
        <f t="shared" si="30"/>
        <v>23</v>
      </c>
    </row>
    <row r="1446" spans="1:1" x14ac:dyDescent="0.25">
      <c r="A1446" s="13">
        <f t="shared" si="30"/>
        <v>23</v>
      </c>
    </row>
    <row r="1447" spans="1:1" x14ac:dyDescent="0.25">
      <c r="A1447" s="13">
        <f t="shared" si="30"/>
        <v>23</v>
      </c>
    </row>
    <row r="1448" spans="1:1" x14ac:dyDescent="0.25">
      <c r="A1448" s="13">
        <f t="shared" si="30"/>
        <v>23</v>
      </c>
    </row>
    <row r="1449" spans="1:1" x14ac:dyDescent="0.25">
      <c r="A1449" s="13">
        <f t="shared" si="30"/>
        <v>23</v>
      </c>
    </row>
    <row r="1450" spans="1:1" x14ac:dyDescent="0.25">
      <c r="A1450" s="13">
        <f t="shared" si="30"/>
        <v>23</v>
      </c>
    </row>
    <row r="1451" spans="1:1" x14ac:dyDescent="0.25">
      <c r="A1451" s="13">
        <f t="shared" si="30"/>
        <v>23</v>
      </c>
    </row>
    <row r="1452" spans="1:1" x14ac:dyDescent="0.25">
      <c r="A1452" s="13">
        <f t="shared" si="30"/>
        <v>23</v>
      </c>
    </row>
    <row r="1453" spans="1:1" x14ac:dyDescent="0.25">
      <c r="A1453" s="13">
        <f t="shared" si="30"/>
        <v>23</v>
      </c>
    </row>
    <row r="1454" spans="1:1" x14ac:dyDescent="0.25">
      <c r="A1454" s="13">
        <f t="shared" si="30"/>
        <v>23</v>
      </c>
    </row>
    <row r="1455" spans="1:1" x14ac:dyDescent="0.25">
      <c r="A1455" s="13">
        <f t="shared" si="30"/>
        <v>23</v>
      </c>
    </row>
    <row r="1456" spans="1:1" x14ac:dyDescent="0.25">
      <c r="A1456" s="13">
        <f t="shared" si="30"/>
        <v>23</v>
      </c>
    </row>
    <row r="1457" spans="1:1" x14ac:dyDescent="0.25">
      <c r="A1457" s="13">
        <f t="shared" si="30"/>
        <v>23</v>
      </c>
    </row>
    <row r="1458" spans="1:1" x14ac:dyDescent="0.25">
      <c r="A1458" s="13">
        <f t="shared" si="30"/>
        <v>23</v>
      </c>
    </row>
    <row r="1459" spans="1:1" x14ac:dyDescent="0.25">
      <c r="A1459" s="13">
        <f t="shared" si="30"/>
        <v>23</v>
      </c>
    </row>
    <row r="1460" spans="1:1" x14ac:dyDescent="0.25">
      <c r="A1460" s="13">
        <f t="shared" si="30"/>
        <v>23</v>
      </c>
    </row>
    <row r="1461" spans="1:1" x14ac:dyDescent="0.25">
      <c r="A1461" s="13">
        <f t="shared" si="30"/>
        <v>23</v>
      </c>
    </row>
    <row r="1462" spans="1:1" x14ac:dyDescent="0.25">
      <c r="A1462" s="13">
        <f t="shared" si="30"/>
        <v>23</v>
      </c>
    </row>
    <row r="1463" spans="1:1" x14ac:dyDescent="0.25">
      <c r="A1463" s="13">
        <f t="shared" si="30"/>
        <v>23</v>
      </c>
    </row>
    <row r="1464" spans="1:1" x14ac:dyDescent="0.25">
      <c r="A1464" s="13">
        <f t="shared" si="30"/>
        <v>23</v>
      </c>
    </row>
    <row r="1465" spans="1:1" x14ac:dyDescent="0.25">
      <c r="A1465" s="13">
        <f t="shared" si="30"/>
        <v>23</v>
      </c>
    </row>
    <row r="1466" spans="1:1" x14ac:dyDescent="0.25">
      <c r="A1466" s="13">
        <f t="shared" si="30"/>
        <v>23</v>
      </c>
    </row>
    <row r="1467" spans="1:1" x14ac:dyDescent="0.25">
      <c r="A1467" s="13">
        <f t="shared" si="30"/>
        <v>23</v>
      </c>
    </row>
    <row r="1468" spans="1:1" x14ac:dyDescent="0.25">
      <c r="A1468" s="13">
        <f t="shared" si="30"/>
        <v>23</v>
      </c>
    </row>
    <row r="1469" spans="1:1" x14ac:dyDescent="0.25">
      <c r="A1469" s="13">
        <f t="shared" si="30"/>
        <v>23</v>
      </c>
    </row>
    <row r="1470" spans="1:1" x14ac:dyDescent="0.25">
      <c r="A1470" s="13">
        <f t="shared" si="30"/>
        <v>23</v>
      </c>
    </row>
    <row r="1471" spans="1:1" x14ac:dyDescent="0.25">
      <c r="A1471" s="13">
        <f t="shared" si="30"/>
        <v>23</v>
      </c>
    </row>
    <row r="1472" spans="1:1" x14ac:dyDescent="0.25">
      <c r="A1472" s="13">
        <f t="shared" si="30"/>
        <v>23</v>
      </c>
    </row>
    <row r="1473" spans="1:1" x14ac:dyDescent="0.25">
      <c r="A1473" s="13">
        <f t="shared" si="30"/>
        <v>23</v>
      </c>
    </row>
    <row r="1474" spans="1:1" x14ac:dyDescent="0.25">
      <c r="A1474" s="13">
        <f t="shared" si="30"/>
        <v>23</v>
      </c>
    </row>
    <row r="1475" spans="1:1" x14ac:dyDescent="0.25">
      <c r="A1475" s="13">
        <f t="shared" si="30"/>
        <v>23</v>
      </c>
    </row>
    <row r="1476" spans="1:1" x14ac:dyDescent="0.25">
      <c r="A1476" s="13">
        <f t="shared" ref="A1476:A1539" si="31">IF(B1476=B1475,A1475,A1475+1)</f>
        <v>23</v>
      </c>
    </row>
    <row r="1477" spans="1:1" x14ac:dyDescent="0.25">
      <c r="A1477" s="13">
        <f t="shared" si="31"/>
        <v>23</v>
      </c>
    </row>
    <row r="1478" spans="1:1" x14ac:dyDescent="0.25">
      <c r="A1478" s="13">
        <f t="shared" si="31"/>
        <v>23</v>
      </c>
    </row>
    <row r="1479" spans="1:1" x14ac:dyDescent="0.25">
      <c r="A1479" s="13">
        <f t="shared" si="31"/>
        <v>23</v>
      </c>
    </row>
    <row r="1480" spans="1:1" x14ac:dyDescent="0.25">
      <c r="A1480" s="13">
        <f t="shared" si="31"/>
        <v>23</v>
      </c>
    </row>
    <row r="1481" spans="1:1" x14ac:dyDescent="0.25">
      <c r="A1481" s="13">
        <f t="shared" si="31"/>
        <v>23</v>
      </c>
    </row>
    <row r="1482" spans="1:1" x14ac:dyDescent="0.25">
      <c r="A1482" s="13">
        <f t="shared" si="31"/>
        <v>23</v>
      </c>
    </row>
    <row r="1483" spans="1:1" x14ac:dyDescent="0.25">
      <c r="A1483" s="13">
        <f t="shared" si="31"/>
        <v>23</v>
      </c>
    </row>
    <row r="1484" spans="1:1" x14ac:dyDescent="0.25">
      <c r="A1484" s="13">
        <f t="shared" si="31"/>
        <v>23</v>
      </c>
    </row>
    <row r="1485" spans="1:1" x14ac:dyDescent="0.25">
      <c r="A1485" s="13">
        <f t="shared" si="31"/>
        <v>23</v>
      </c>
    </row>
    <row r="1486" spans="1:1" x14ac:dyDescent="0.25">
      <c r="A1486" s="13">
        <f t="shared" si="31"/>
        <v>23</v>
      </c>
    </row>
    <row r="1487" spans="1:1" x14ac:dyDescent="0.25">
      <c r="A1487" s="13">
        <f t="shared" si="31"/>
        <v>23</v>
      </c>
    </row>
    <row r="1488" spans="1:1" x14ac:dyDescent="0.25">
      <c r="A1488" s="13">
        <f t="shared" si="31"/>
        <v>23</v>
      </c>
    </row>
    <row r="1489" spans="1:1" x14ac:dyDescent="0.25">
      <c r="A1489" s="13">
        <f t="shared" si="31"/>
        <v>23</v>
      </c>
    </row>
    <row r="1490" spans="1:1" x14ac:dyDescent="0.25">
      <c r="A1490" s="13">
        <f t="shared" si="31"/>
        <v>23</v>
      </c>
    </row>
    <row r="1491" spans="1:1" x14ac:dyDescent="0.25">
      <c r="A1491" s="13">
        <f t="shared" si="31"/>
        <v>23</v>
      </c>
    </row>
    <row r="1492" spans="1:1" x14ac:dyDescent="0.25">
      <c r="A1492" s="13">
        <f t="shared" si="31"/>
        <v>23</v>
      </c>
    </row>
    <row r="1493" spans="1:1" x14ac:dyDescent="0.25">
      <c r="A1493" s="13">
        <f t="shared" si="31"/>
        <v>23</v>
      </c>
    </row>
    <row r="1494" spans="1:1" x14ac:dyDescent="0.25">
      <c r="A1494" s="13">
        <f t="shared" si="31"/>
        <v>23</v>
      </c>
    </row>
    <row r="1495" spans="1:1" x14ac:dyDescent="0.25">
      <c r="A1495" s="13">
        <f t="shared" si="31"/>
        <v>23</v>
      </c>
    </row>
    <row r="1496" spans="1:1" x14ac:dyDescent="0.25">
      <c r="A1496" s="13">
        <f t="shared" si="31"/>
        <v>23</v>
      </c>
    </row>
    <row r="1497" spans="1:1" x14ac:dyDescent="0.25">
      <c r="A1497" s="13">
        <f t="shared" si="31"/>
        <v>23</v>
      </c>
    </row>
    <row r="1498" spans="1:1" x14ac:dyDescent="0.25">
      <c r="A1498" s="13">
        <f t="shared" si="31"/>
        <v>23</v>
      </c>
    </row>
    <row r="1499" spans="1:1" x14ac:dyDescent="0.25">
      <c r="A1499" s="13">
        <f t="shared" si="31"/>
        <v>23</v>
      </c>
    </row>
    <row r="1500" spans="1:1" x14ac:dyDescent="0.25">
      <c r="A1500" s="13">
        <f t="shared" si="31"/>
        <v>23</v>
      </c>
    </row>
    <row r="1501" spans="1:1" x14ac:dyDescent="0.25">
      <c r="A1501" s="13">
        <f t="shared" si="31"/>
        <v>23</v>
      </c>
    </row>
    <row r="1502" spans="1:1" x14ac:dyDescent="0.25">
      <c r="A1502" s="13">
        <f t="shared" si="31"/>
        <v>23</v>
      </c>
    </row>
    <row r="1503" spans="1:1" x14ac:dyDescent="0.25">
      <c r="A1503" s="13">
        <f t="shared" si="31"/>
        <v>23</v>
      </c>
    </row>
    <row r="1504" spans="1:1" x14ac:dyDescent="0.25">
      <c r="A1504" s="13">
        <f t="shared" si="31"/>
        <v>23</v>
      </c>
    </row>
    <row r="1505" spans="1:1" x14ac:dyDescent="0.25">
      <c r="A1505" s="13">
        <f t="shared" si="31"/>
        <v>23</v>
      </c>
    </row>
    <row r="1506" spans="1:1" x14ac:dyDescent="0.25">
      <c r="A1506" s="13">
        <f t="shared" si="31"/>
        <v>23</v>
      </c>
    </row>
    <row r="1507" spans="1:1" x14ac:dyDescent="0.25">
      <c r="A1507" s="13">
        <f t="shared" si="31"/>
        <v>23</v>
      </c>
    </row>
    <row r="1508" spans="1:1" x14ac:dyDescent="0.25">
      <c r="A1508" s="13">
        <f t="shared" si="31"/>
        <v>23</v>
      </c>
    </row>
    <row r="1509" spans="1:1" x14ac:dyDescent="0.25">
      <c r="A1509" s="13">
        <f t="shared" si="31"/>
        <v>23</v>
      </c>
    </row>
    <row r="1510" spans="1:1" x14ac:dyDescent="0.25">
      <c r="A1510" s="13">
        <f t="shared" si="31"/>
        <v>23</v>
      </c>
    </row>
    <row r="1511" spans="1:1" x14ac:dyDescent="0.25">
      <c r="A1511" s="13">
        <f t="shared" si="31"/>
        <v>23</v>
      </c>
    </row>
    <row r="1512" spans="1:1" x14ac:dyDescent="0.25">
      <c r="A1512" s="13">
        <f t="shared" si="31"/>
        <v>23</v>
      </c>
    </row>
    <row r="1513" spans="1:1" x14ac:dyDescent="0.25">
      <c r="A1513" s="13">
        <f t="shared" si="31"/>
        <v>23</v>
      </c>
    </row>
    <row r="1514" spans="1:1" x14ac:dyDescent="0.25">
      <c r="A1514" s="13">
        <f t="shared" si="31"/>
        <v>23</v>
      </c>
    </row>
    <row r="1515" spans="1:1" x14ac:dyDescent="0.25">
      <c r="A1515" s="13">
        <f t="shared" si="31"/>
        <v>23</v>
      </c>
    </row>
    <row r="1516" spans="1:1" x14ac:dyDescent="0.25">
      <c r="A1516" s="13">
        <f t="shared" si="31"/>
        <v>23</v>
      </c>
    </row>
    <row r="1517" spans="1:1" x14ac:dyDescent="0.25">
      <c r="A1517" s="13">
        <f t="shared" si="31"/>
        <v>23</v>
      </c>
    </row>
    <row r="1518" spans="1:1" x14ac:dyDescent="0.25">
      <c r="A1518" s="13">
        <f t="shared" si="31"/>
        <v>23</v>
      </c>
    </row>
    <row r="1519" spans="1:1" x14ac:dyDescent="0.25">
      <c r="A1519" s="13">
        <f t="shared" si="31"/>
        <v>23</v>
      </c>
    </row>
    <row r="1520" spans="1:1" x14ac:dyDescent="0.25">
      <c r="A1520" s="13">
        <f t="shared" si="31"/>
        <v>23</v>
      </c>
    </row>
    <row r="1521" spans="1:1" x14ac:dyDescent="0.25">
      <c r="A1521" s="13">
        <f t="shared" si="31"/>
        <v>23</v>
      </c>
    </row>
    <row r="1522" spans="1:1" x14ac:dyDescent="0.25">
      <c r="A1522" s="13">
        <f t="shared" si="31"/>
        <v>23</v>
      </c>
    </row>
    <row r="1523" spans="1:1" x14ac:dyDescent="0.25">
      <c r="A1523" s="13">
        <f t="shared" si="31"/>
        <v>23</v>
      </c>
    </row>
    <row r="1524" spans="1:1" x14ac:dyDescent="0.25">
      <c r="A1524" s="13">
        <f t="shared" si="31"/>
        <v>23</v>
      </c>
    </row>
    <row r="1525" spans="1:1" x14ac:dyDescent="0.25">
      <c r="A1525" s="13">
        <f t="shared" si="31"/>
        <v>23</v>
      </c>
    </row>
    <row r="1526" spans="1:1" x14ac:dyDescent="0.25">
      <c r="A1526" s="13">
        <f t="shared" si="31"/>
        <v>23</v>
      </c>
    </row>
    <row r="1527" spans="1:1" x14ac:dyDescent="0.25">
      <c r="A1527" s="13">
        <f t="shared" si="31"/>
        <v>23</v>
      </c>
    </row>
    <row r="1528" spans="1:1" x14ac:dyDescent="0.25">
      <c r="A1528" s="13">
        <f t="shared" si="31"/>
        <v>23</v>
      </c>
    </row>
    <row r="1529" spans="1:1" x14ac:dyDescent="0.25">
      <c r="A1529" s="13">
        <f t="shared" si="31"/>
        <v>23</v>
      </c>
    </row>
    <row r="1530" spans="1:1" x14ac:dyDescent="0.25">
      <c r="A1530" s="13">
        <f t="shared" si="31"/>
        <v>23</v>
      </c>
    </row>
    <row r="1531" spans="1:1" x14ac:dyDescent="0.25">
      <c r="A1531" s="13">
        <f t="shared" si="31"/>
        <v>23</v>
      </c>
    </row>
    <row r="1532" spans="1:1" x14ac:dyDescent="0.25">
      <c r="A1532" s="13">
        <f t="shared" si="31"/>
        <v>23</v>
      </c>
    </row>
    <row r="1533" spans="1:1" x14ac:dyDescent="0.25">
      <c r="A1533" s="13">
        <f t="shared" si="31"/>
        <v>23</v>
      </c>
    </row>
    <row r="1534" spans="1:1" x14ac:dyDescent="0.25">
      <c r="A1534" s="13">
        <f t="shared" si="31"/>
        <v>23</v>
      </c>
    </row>
    <row r="1535" spans="1:1" x14ac:dyDescent="0.25">
      <c r="A1535" s="13">
        <f t="shared" si="31"/>
        <v>23</v>
      </c>
    </row>
    <row r="1536" spans="1:1" x14ac:dyDescent="0.25">
      <c r="A1536" s="13">
        <f t="shared" si="31"/>
        <v>23</v>
      </c>
    </row>
    <row r="1537" spans="1:1" x14ac:dyDescent="0.25">
      <c r="A1537" s="13">
        <f t="shared" si="31"/>
        <v>23</v>
      </c>
    </row>
    <row r="1538" spans="1:1" x14ac:dyDescent="0.25">
      <c r="A1538" s="13">
        <f t="shared" si="31"/>
        <v>23</v>
      </c>
    </row>
    <row r="1539" spans="1:1" x14ac:dyDescent="0.25">
      <c r="A1539" s="13">
        <f t="shared" si="31"/>
        <v>23</v>
      </c>
    </row>
    <row r="1540" spans="1:1" x14ac:dyDescent="0.25">
      <c r="A1540" s="13">
        <f t="shared" ref="A1540:A1603" si="32">IF(B1540=B1539,A1539,A1539+1)</f>
        <v>23</v>
      </c>
    </row>
    <row r="1541" spans="1:1" x14ac:dyDescent="0.25">
      <c r="A1541" s="13">
        <f t="shared" si="32"/>
        <v>23</v>
      </c>
    </row>
    <row r="1542" spans="1:1" x14ac:dyDescent="0.25">
      <c r="A1542" s="13">
        <f t="shared" si="32"/>
        <v>23</v>
      </c>
    </row>
    <row r="1543" spans="1:1" x14ac:dyDescent="0.25">
      <c r="A1543" s="13">
        <f t="shared" si="32"/>
        <v>23</v>
      </c>
    </row>
    <row r="1544" spans="1:1" x14ac:dyDescent="0.25">
      <c r="A1544" s="13">
        <f t="shared" si="32"/>
        <v>23</v>
      </c>
    </row>
    <row r="1545" spans="1:1" x14ac:dyDescent="0.25">
      <c r="A1545" s="13">
        <f t="shared" si="32"/>
        <v>23</v>
      </c>
    </row>
    <row r="1546" spans="1:1" x14ac:dyDescent="0.25">
      <c r="A1546" s="13">
        <f t="shared" si="32"/>
        <v>23</v>
      </c>
    </row>
    <row r="1547" spans="1:1" x14ac:dyDescent="0.25">
      <c r="A1547" s="13">
        <f t="shared" si="32"/>
        <v>23</v>
      </c>
    </row>
    <row r="1548" spans="1:1" x14ac:dyDescent="0.25">
      <c r="A1548" s="13">
        <f t="shared" si="32"/>
        <v>23</v>
      </c>
    </row>
    <row r="1549" spans="1:1" x14ac:dyDescent="0.25">
      <c r="A1549" s="13">
        <f t="shared" si="32"/>
        <v>23</v>
      </c>
    </row>
    <row r="1550" spans="1:1" x14ac:dyDescent="0.25">
      <c r="A1550" s="13">
        <f t="shared" si="32"/>
        <v>23</v>
      </c>
    </row>
    <row r="1551" spans="1:1" x14ac:dyDescent="0.25">
      <c r="A1551" s="13">
        <f t="shared" si="32"/>
        <v>23</v>
      </c>
    </row>
    <row r="1552" spans="1:1" x14ac:dyDescent="0.25">
      <c r="A1552" s="13">
        <f t="shared" si="32"/>
        <v>23</v>
      </c>
    </row>
    <row r="1553" spans="1:1" x14ac:dyDescent="0.25">
      <c r="A1553" s="13">
        <f t="shared" si="32"/>
        <v>23</v>
      </c>
    </row>
    <row r="1554" spans="1:1" x14ac:dyDescent="0.25">
      <c r="A1554" s="13">
        <f t="shared" si="32"/>
        <v>23</v>
      </c>
    </row>
    <row r="1555" spans="1:1" x14ac:dyDescent="0.25">
      <c r="A1555" s="13">
        <f t="shared" si="32"/>
        <v>23</v>
      </c>
    </row>
    <row r="1556" spans="1:1" x14ac:dyDescent="0.25">
      <c r="A1556" s="13">
        <f t="shared" si="32"/>
        <v>23</v>
      </c>
    </row>
    <row r="1557" spans="1:1" x14ac:dyDescent="0.25">
      <c r="A1557" s="13">
        <f t="shared" si="32"/>
        <v>23</v>
      </c>
    </row>
    <row r="1558" spans="1:1" x14ac:dyDescent="0.25">
      <c r="A1558" s="13">
        <f t="shared" si="32"/>
        <v>23</v>
      </c>
    </row>
    <row r="1559" spans="1:1" x14ac:dyDescent="0.25">
      <c r="A1559" s="13">
        <f t="shared" si="32"/>
        <v>23</v>
      </c>
    </row>
    <row r="1560" spans="1:1" x14ac:dyDescent="0.25">
      <c r="A1560" s="13">
        <f t="shared" si="32"/>
        <v>23</v>
      </c>
    </row>
    <row r="1561" spans="1:1" x14ac:dyDescent="0.25">
      <c r="A1561" s="13">
        <f t="shared" si="32"/>
        <v>23</v>
      </c>
    </row>
    <row r="1562" spans="1:1" x14ac:dyDescent="0.25">
      <c r="A1562" s="13">
        <f t="shared" si="32"/>
        <v>23</v>
      </c>
    </row>
    <row r="1563" spans="1:1" x14ac:dyDescent="0.25">
      <c r="A1563" s="13">
        <f t="shared" si="32"/>
        <v>23</v>
      </c>
    </row>
    <row r="1564" spans="1:1" x14ac:dyDescent="0.25">
      <c r="A1564" s="13">
        <f t="shared" si="32"/>
        <v>23</v>
      </c>
    </row>
    <row r="1565" spans="1:1" x14ac:dyDescent="0.25">
      <c r="A1565" s="13">
        <f t="shared" si="32"/>
        <v>23</v>
      </c>
    </row>
    <row r="1566" spans="1:1" x14ac:dyDescent="0.25">
      <c r="A1566" s="13">
        <f t="shared" si="32"/>
        <v>23</v>
      </c>
    </row>
    <row r="1567" spans="1:1" x14ac:dyDescent="0.25">
      <c r="A1567" s="13">
        <f t="shared" si="32"/>
        <v>23</v>
      </c>
    </row>
    <row r="1568" spans="1:1" x14ac:dyDescent="0.25">
      <c r="A1568" s="13">
        <f t="shared" si="32"/>
        <v>23</v>
      </c>
    </row>
    <row r="1569" spans="1:1" x14ac:dyDescent="0.25">
      <c r="A1569" s="13">
        <f t="shared" si="32"/>
        <v>23</v>
      </c>
    </row>
    <row r="1570" spans="1:1" x14ac:dyDescent="0.25">
      <c r="A1570" s="13">
        <f t="shared" si="32"/>
        <v>23</v>
      </c>
    </row>
    <row r="1571" spans="1:1" x14ac:dyDescent="0.25">
      <c r="A1571" s="13">
        <f t="shared" si="32"/>
        <v>23</v>
      </c>
    </row>
    <row r="1572" spans="1:1" x14ac:dyDescent="0.25">
      <c r="A1572" s="13">
        <f t="shared" si="32"/>
        <v>23</v>
      </c>
    </row>
    <row r="1573" spans="1:1" x14ac:dyDescent="0.25">
      <c r="A1573" s="13">
        <f t="shared" si="32"/>
        <v>23</v>
      </c>
    </row>
    <row r="1574" spans="1:1" x14ac:dyDescent="0.25">
      <c r="A1574" s="13">
        <f t="shared" si="32"/>
        <v>23</v>
      </c>
    </row>
    <row r="1575" spans="1:1" x14ac:dyDescent="0.25">
      <c r="A1575" s="13">
        <f t="shared" si="32"/>
        <v>23</v>
      </c>
    </row>
    <row r="1576" spans="1:1" x14ac:dyDescent="0.25">
      <c r="A1576" s="13">
        <f t="shared" si="32"/>
        <v>23</v>
      </c>
    </row>
    <row r="1577" spans="1:1" x14ac:dyDescent="0.25">
      <c r="A1577" s="13">
        <f t="shared" si="32"/>
        <v>23</v>
      </c>
    </row>
    <row r="1578" spans="1:1" x14ac:dyDescent="0.25">
      <c r="A1578" s="13">
        <f t="shared" si="32"/>
        <v>23</v>
      </c>
    </row>
    <row r="1579" spans="1:1" x14ac:dyDescent="0.25">
      <c r="A1579" s="13">
        <f t="shared" si="32"/>
        <v>23</v>
      </c>
    </row>
    <row r="1580" spans="1:1" x14ac:dyDescent="0.25">
      <c r="A1580" s="13">
        <f t="shared" si="32"/>
        <v>23</v>
      </c>
    </row>
    <row r="1581" spans="1:1" x14ac:dyDescent="0.25">
      <c r="A1581" s="13">
        <f t="shared" si="32"/>
        <v>23</v>
      </c>
    </row>
    <row r="1582" spans="1:1" x14ac:dyDescent="0.25">
      <c r="A1582" s="13">
        <f t="shared" si="32"/>
        <v>23</v>
      </c>
    </row>
    <row r="1583" spans="1:1" x14ac:dyDescent="0.25">
      <c r="A1583" s="13">
        <f t="shared" si="32"/>
        <v>23</v>
      </c>
    </row>
    <row r="1584" spans="1:1" x14ac:dyDescent="0.25">
      <c r="A1584" s="13">
        <f t="shared" si="32"/>
        <v>23</v>
      </c>
    </row>
    <row r="1585" spans="1:1" x14ac:dyDescent="0.25">
      <c r="A1585" s="13">
        <f t="shared" si="32"/>
        <v>23</v>
      </c>
    </row>
    <row r="1586" spans="1:1" x14ac:dyDescent="0.25">
      <c r="A1586" s="13">
        <f t="shared" si="32"/>
        <v>23</v>
      </c>
    </row>
    <row r="1587" spans="1:1" x14ac:dyDescent="0.25">
      <c r="A1587" s="13">
        <f t="shared" si="32"/>
        <v>23</v>
      </c>
    </row>
    <row r="1588" spans="1:1" x14ac:dyDescent="0.25">
      <c r="A1588" s="13">
        <f t="shared" si="32"/>
        <v>23</v>
      </c>
    </row>
    <row r="1589" spans="1:1" x14ac:dyDescent="0.25">
      <c r="A1589" s="13">
        <f t="shared" si="32"/>
        <v>23</v>
      </c>
    </row>
    <row r="1590" spans="1:1" x14ac:dyDescent="0.25">
      <c r="A1590" s="13">
        <f t="shared" si="32"/>
        <v>23</v>
      </c>
    </row>
    <row r="1591" spans="1:1" x14ac:dyDescent="0.25">
      <c r="A1591" s="13">
        <f t="shared" si="32"/>
        <v>23</v>
      </c>
    </row>
    <row r="1592" spans="1:1" x14ac:dyDescent="0.25">
      <c r="A1592" s="13">
        <f t="shared" si="32"/>
        <v>23</v>
      </c>
    </row>
    <row r="1593" spans="1:1" x14ac:dyDescent="0.25">
      <c r="A1593" s="13">
        <f t="shared" si="32"/>
        <v>23</v>
      </c>
    </row>
    <row r="1594" spans="1:1" x14ac:dyDescent="0.25">
      <c r="A1594" s="13">
        <f t="shared" si="32"/>
        <v>23</v>
      </c>
    </row>
    <row r="1595" spans="1:1" x14ac:dyDescent="0.25">
      <c r="A1595" s="13">
        <f t="shared" si="32"/>
        <v>23</v>
      </c>
    </row>
    <row r="1596" spans="1:1" x14ac:dyDescent="0.25">
      <c r="A1596" s="13">
        <f t="shared" si="32"/>
        <v>23</v>
      </c>
    </row>
    <row r="1597" spans="1:1" x14ac:dyDescent="0.25">
      <c r="A1597" s="13">
        <f t="shared" si="32"/>
        <v>23</v>
      </c>
    </row>
    <row r="1598" spans="1:1" x14ac:dyDescent="0.25">
      <c r="A1598" s="13">
        <f t="shared" si="32"/>
        <v>23</v>
      </c>
    </row>
    <row r="1599" spans="1:1" x14ac:dyDescent="0.25">
      <c r="A1599" s="13">
        <f t="shared" si="32"/>
        <v>23</v>
      </c>
    </row>
    <row r="1600" spans="1:1" x14ac:dyDescent="0.25">
      <c r="A1600" s="13">
        <f t="shared" si="32"/>
        <v>23</v>
      </c>
    </row>
    <row r="1601" spans="1:1" x14ac:dyDescent="0.25">
      <c r="A1601" s="13">
        <f t="shared" si="32"/>
        <v>23</v>
      </c>
    </row>
    <row r="1602" spans="1:1" x14ac:dyDescent="0.25">
      <c r="A1602" s="13">
        <f t="shared" si="32"/>
        <v>23</v>
      </c>
    </row>
    <row r="1603" spans="1:1" x14ac:dyDescent="0.25">
      <c r="A1603" s="13">
        <f t="shared" si="32"/>
        <v>23</v>
      </c>
    </row>
    <row r="1604" spans="1:1" x14ac:dyDescent="0.25">
      <c r="A1604" s="13">
        <f t="shared" ref="A1604:A1667" si="33">IF(B1604=B1603,A1603,A1603+1)</f>
        <v>23</v>
      </c>
    </row>
    <row r="1605" spans="1:1" x14ac:dyDescent="0.25">
      <c r="A1605" s="13">
        <f t="shared" si="33"/>
        <v>23</v>
      </c>
    </row>
    <row r="1606" spans="1:1" x14ac:dyDescent="0.25">
      <c r="A1606" s="13">
        <f t="shared" si="33"/>
        <v>23</v>
      </c>
    </row>
    <row r="1607" spans="1:1" x14ac:dyDescent="0.25">
      <c r="A1607" s="13">
        <f t="shared" si="33"/>
        <v>23</v>
      </c>
    </row>
    <row r="1608" spans="1:1" x14ac:dyDescent="0.25">
      <c r="A1608" s="13">
        <f t="shared" si="33"/>
        <v>23</v>
      </c>
    </row>
    <row r="1609" spans="1:1" x14ac:dyDescent="0.25">
      <c r="A1609" s="13">
        <f t="shared" si="33"/>
        <v>23</v>
      </c>
    </row>
    <row r="1610" spans="1:1" x14ac:dyDescent="0.25">
      <c r="A1610" s="13">
        <f t="shared" si="33"/>
        <v>23</v>
      </c>
    </row>
    <row r="1611" spans="1:1" x14ac:dyDescent="0.25">
      <c r="A1611" s="13">
        <f t="shared" si="33"/>
        <v>23</v>
      </c>
    </row>
    <row r="1612" spans="1:1" x14ac:dyDescent="0.25">
      <c r="A1612" s="13">
        <f t="shared" si="33"/>
        <v>23</v>
      </c>
    </row>
    <row r="1613" spans="1:1" x14ac:dyDescent="0.25">
      <c r="A1613" s="13">
        <f t="shared" si="33"/>
        <v>23</v>
      </c>
    </row>
    <row r="1614" spans="1:1" x14ac:dyDescent="0.25">
      <c r="A1614" s="13">
        <f t="shared" si="33"/>
        <v>23</v>
      </c>
    </row>
    <row r="1615" spans="1:1" x14ac:dyDescent="0.25">
      <c r="A1615" s="13">
        <f t="shared" si="33"/>
        <v>23</v>
      </c>
    </row>
    <row r="1616" spans="1:1" x14ac:dyDescent="0.25">
      <c r="A1616" s="13">
        <f t="shared" si="33"/>
        <v>23</v>
      </c>
    </row>
    <row r="1617" spans="1:1" x14ac:dyDescent="0.25">
      <c r="A1617" s="13">
        <f t="shared" si="33"/>
        <v>23</v>
      </c>
    </row>
    <row r="1618" spans="1:1" x14ac:dyDescent="0.25">
      <c r="A1618" s="13">
        <f t="shared" si="33"/>
        <v>23</v>
      </c>
    </row>
    <row r="1619" spans="1:1" x14ac:dyDescent="0.25">
      <c r="A1619" s="13">
        <f t="shared" si="33"/>
        <v>23</v>
      </c>
    </row>
    <row r="1620" spans="1:1" x14ac:dyDescent="0.25">
      <c r="A1620" s="13">
        <f t="shared" si="33"/>
        <v>23</v>
      </c>
    </row>
    <row r="1621" spans="1:1" x14ac:dyDescent="0.25">
      <c r="A1621" s="13">
        <f t="shared" si="33"/>
        <v>23</v>
      </c>
    </row>
    <row r="1622" spans="1:1" x14ac:dyDescent="0.25">
      <c r="A1622" s="13">
        <f t="shared" si="33"/>
        <v>23</v>
      </c>
    </row>
    <row r="1623" spans="1:1" x14ac:dyDescent="0.25">
      <c r="A1623" s="13">
        <f t="shared" si="33"/>
        <v>23</v>
      </c>
    </row>
    <row r="1624" spans="1:1" x14ac:dyDescent="0.25">
      <c r="A1624" s="13">
        <f t="shared" si="33"/>
        <v>23</v>
      </c>
    </row>
    <row r="1625" spans="1:1" x14ac:dyDescent="0.25">
      <c r="A1625" s="13">
        <f t="shared" si="33"/>
        <v>23</v>
      </c>
    </row>
    <row r="1626" spans="1:1" x14ac:dyDescent="0.25">
      <c r="A1626" s="13">
        <f t="shared" si="33"/>
        <v>23</v>
      </c>
    </row>
    <row r="1627" spans="1:1" x14ac:dyDescent="0.25">
      <c r="A1627" s="13">
        <f t="shared" si="33"/>
        <v>23</v>
      </c>
    </row>
    <row r="1628" spans="1:1" x14ac:dyDescent="0.25">
      <c r="A1628" s="13">
        <f t="shared" si="33"/>
        <v>23</v>
      </c>
    </row>
    <row r="1629" spans="1:1" x14ac:dyDescent="0.25">
      <c r="A1629" s="13">
        <f t="shared" si="33"/>
        <v>23</v>
      </c>
    </row>
    <row r="1630" spans="1:1" x14ac:dyDescent="0.25">
      <c r="A1630" s="13">
        <f t="shared" si="33"/>
        <v>23</v>
      </c>
    </row>
    <row r="1631" spans="1:1" x14ac:dyDescent="0.25">
      <c r="A1631" s="13">
        <f t="shared" si="33"/>
        <v>23</v>
      </c>
    </row>
    <row r="1632" spans="1:1" x14ac:dyDescent="0.25">
      <c r="A1632" s="13">
        <f t="shared" si="33"/>
        <v>23</v>
      </c>
    </row>
    <row r="1633" spans="1:1" x14ac:dyDescent="0.25">
      <c r="A1633" s="13">
        <f t="shared" si="33"/>
        <v>23</v>
      </c>
    </row>
    <row r="1634" spans="1:1" x14ac:dyDescent="0.25">
      <c r="A1634" s="13">
        <f t="shared" si="33"/>
        <v>23</v>
      </c>
    </row>
    <row r="1635" spans="1:1" x14ac:dyDescent="0.25">
      <c r="A1635" s="13">
        <f t="shared" si="33"/>
        <v>23</v>
      </c>
    </row>
    <row r="1636" spans="1:1" x14ac:dyDescent="0.25">
      <c r="A1636" s="13">
        <f t="shared" si="33"/>
        <v>23</v>
      </c>
    </row>
    <row r="1637" spans="1:1" x14ac:dyDescent="0.25">
      <c r="A1637" s="13">
        <f t="shared" si="33"/>
        <v>23</v>
      </c>
    </row>
    <row r="1638" spans="1:1" x14ac:dyDescent="0.25">
      <c r="A1638" s="13">
        <f t="shared" si="33"/>
        <v>23</v>
      </c>
    </row>
    <row r="1639" spans="1:1" x14ac:dyDescent="0.25">
      <c r="A1639" s="13">
        <f t="shared" si="33"/>
        <v>23</v>
      </c>
    </row>
    <row r="1640" spans="1:1" x14ac:dyDescent="0.25">
      <c r="A1640" s="13">
        <f t="shared" si="33"/>
        <v>23</v>
      </c>
    </row>
    <row r="1641" spans="1:1" x14ac:dyDescent="0.25">
      <c r="A1641" s="13">
        <f t="shared" si="33"/>
        <v>23</v>
      </c>
    </row>
    <row r="1642" spans="1:1" x14ac:dyDescent="0.25">
      <c r="A1642" s="13">
        <f t="shared" si="33"/>
        <v>23</v>
      </c>
    </row>
    <row r="1643" spans="1:1" x14ac:dyDescent="0.25">
      <c r="A1643" s="13">
        <f t="shared" si="33"/>
        <v>23</v>
      </c>
    </row>
    <row r="1644" spans="1:1" x14ac:dyDescent="0.25">
      <c r="A1644" s="13">
        <f t="shared" si="33"/>
        <v>23</v>
      </c>
    </row>
    <row r="1645" spans="1:1" x14ac:dyDescent="0.25">
      <c r="A1645" s="13">
        <f t="shared" si="33"/>
        <v>23</v>
      </c>
    </row>
    <row r="1646" spans="1:1" x14ac:dyDescent="0.25">
      <c r="A1646" s="13">
        <f t="shared" si="33"/>
        <v>23</v>
      </c>
    </row>
    <row r="1647" spans="1:1" x14ac:dyDescent="0.25">
      <c r="A1647" s="13">
        <f t="shared" si="33"/>
        <v>23</v>
      </c>
    </row>
    <row r="1648" spans="1:1" x14ac:dyDescent="0.25">
      <c r="A1648" s="13">
        <f t="shared" si="33"/>
        <v>23</v>
      </c>
    </row>
    <row r="1649" spans="1:1" x14ac:dyDescent="0.25">
      <c r="A1649" s="13">
        <f t="shared" si="33"/>
        <v>23</v>
      </c>
    </row>
    <row r="1650" spans="1:1" x14ac:dyDescent="0.25">
      <c r="A1650" s="13">
        <f t="shared" si="33"/>
        <v>23</v>
      </c>
    </row>
    <row r="1651" spans="1:1" x14ac:dyDescent="0.25">
      <c r="A1651" s="13">
        <f t="shared" si="33"/>
        <v>23</v>
      </c>
    </row>
    <row r="1652" spans="1:1" x14ac:dyDescent="0.25">
      <c r="A1652" s="13">
        <f t="shared" si="33"/>
        <v>23</v>
      </c>
    </row>
    <row r="1653" spans="1:1" x14ac:dyDescent="0.25">
      <c r="A1653" s="13">
        <f t="shared" si="33"/>
        <v>23</v>
      </c>
    </row>
    <row r="1654" spans="1:1" x14ac:dyDescent="0.25">
      <c r="A1654" s="13">
        <f t="shared" si="33"/>
        <v>23</v>
      </c>
    </row>
    <row r="1655" spans="1:1" x14ac:dyDescent="0.25">
      <c r="A1655" s="13">
        <f t="shared" si="33"/>
        <v>23</v>
      </c>
    </row>
    <row r="1656" spans="1:1" x14ac:dyDescent="0.25">
      <c r="A1656" s="13">
        <f t="shared" si="33"/>
        <v>23</v>
      </c>
    </row>
    <row r="1657" spans="1:1" x14ac:dyDescent="0.25">
      <c r="A1657" s="13">
        <f t="shared" si="33"/>
        <v>23</v>
      </c>
    </row>
    <row r="1658" spans="1:1" x14ac:dyDescent="0.25">
      <c r="A1658" s="13">
        <f t="shared" si="33"/>
        <v>23</v>
      </c>
    </row>
    <row r="1659" spans="1:1" x14ac:dyDescent="0.25">
      <c r="A1659" s="13">
        <f t="shared" si="33"/>
        <v>23</v>
      </c>
    </row>
    <row r="1660" spans="1:1" x14ac:dyDescent="0.25">
      <c r="A1660" s="13">
        <f t="shared" si="33"/>
        <v>23</v>
      </c>
    </row>
    <row r="1661" spans="1:1" x14ac:dyDescent="0.25">
      <c r="A1661" s="13">
        <f t="shared" si="33"/>
        <v>23</v>
      </c>
    </row>
    <row r="1662" spans="1:1" x14ac:dyDescent="0.25">
      <c r="A1662" s="13">
        <f t="shared" si="33"/>
        <v>23</v>
      </c>
    </row>
    <row r="1663" spans="1:1" x14ac:dyDescent="0.25">
      <c r="A1663" s="13">
        <f t="shared" si="33"/>
        <v>23</v>
      </c>
    </row>
    <row r="1664" spans="1:1" x14ac:dyDescent="0.25">
      <c r="A1664" s="13">
        <f t="shared" si="33"/>
        <v>23</v>
      </c>
    </row>
    <row r="1665" spans="1:1" x14ac:dyDescent="0.25">
      <c r="A1665" s="13">
        <f t="shared" si="33"/>
        <v>23</v>
      </c>
    </row>
    <row r="1666" spans="1:1" x14ac:dyDescent="0.25">
      <c r="A1666" s="13">
        <f t="shared" si="33"/>
        <v>23</v>
      </c>
    </row>
    <row r="1667" spans="1:1" x14ac:dyDescent="0.25">
      <c r="A1667" s="13">
        <f t="shared" si="33"/>
        <v>23</v>
      </c>
    </row>
    <row r="1668" spans="1:1" x14ac:dyDescent="0.25">
      <c r="A1668" s="13">
        <f t="shared" ref="A1668:A1731" si="34">IF(B1668=B1667,A1667,A1667+1)</f>
        <v>23</v>
      </c>
    </row>
    <row r="1669" spans="1:1" x14ac:dyDescent="0.25">
      <c r="A1669" s="13">
        <f t="shared" si="34"/>
        <v>23</v>
      </c>
    </row>
    <row r="1670" spans="1:1" x14ac:dyDescent="0.25">
      <c r="A1670" s="13">
        <f t="shared" si="34"/>
        <v>23</v>
      </c>
    </row>
    <row r="1671" spans="1:1" x14ac:dyDescent="0.25">
      <c r="A1671" s="13">
        <f t="shared" si="34"/>
        <v>23</v>
      </c>
    </row>
    <row r="1672" spans="1:1" x14ac:dyDescent="0.25">
      <c r="A1672" s="13">
        <f t="shared" si="34"/>
        <v>23</v>
      </c>
    </row>
    <row r="1673" spans="1:1" x14ac:dyDescent="0.25">
      <c r="A1673" s="13">
        <f t="shared" si="34"/>
        <v>23</v>
      </c>
    </row>
    <row r="1674" spans="1:1" x14ac:dyDescent="0.25">
      <c r="A1674" s="13">
        <f t="shared" si="34"/>
        <v>23</v>
      </c>
    </row>
    <row r="1675" spans="1:1" x14ac:dyDescent="0.25">
      <c r="A1675" s="13">
        <f t="shared" si="34"/>
        <v>23</v>
      </c>
    </row>
    <row r="1676" spans="1:1" x14ac:dyDescent="0.25">
      <c r="A1676" s="13">
        <f t="shared" si="34"/>
        <v>23</v>
      </c>
    </row>
    <row r="1677" spans="1:1" x14ac:dyDescent="0.25">
      <c r="A1677" s="13">
        <f t="shared" si="34"/>
        <v>23</v>
      </c>
    </row>
    <row r="1678" spans="1:1" x14ac:dyDescent="0.25">
      <c r="A1678" s="13">
        <f t="shared" si="34"/>
        <v>23</v>
      </c>
    </row>
    <row r="1679" spans="1:1" x14ac:dyDescent="0.25">
      <c r="A1679" s="13">
        <f t="shared" si="34"/>
        <v>23</v>
      </c>
    </row>
    <row r="1680" spans="1:1" x14ac:dyDescent="0.25">
      <c r="A1680" s="13">
        <f t="shared" si="34"/>
        <v>23</v>
      </c>
    </row>
    <row r="1681" spans="1:1" x14ac:dyDescent="0.25">
      <c r="A1681" s="13">
        <f t="shared" si="34"/>
        <v>23</v>
      </c>
    </row>
    <row r="1682" spans="1:1" x14ac:dyDescent="0.25">
      <c r="A1682" s="13">
        <f t="shared" si="34"/>
        <v>23</v>
      </c>
    </row>
    <row r="1683" spans="1:1" x14ac:dyDescent="0.25">
      <c r="A1683" s="13">
        <f t="shared" si="34"/>
        <v>23</v>
      </c>
    </row>
    <row r="1684" spans="1:1" x14ac:dyDescent="0.25">
      <c r="A1684" s="13">
        <f t="shared" si="34"/>
        <v>23</v>
      </c>
    </row>
    <row r="1685" spans="1:1" x14ac:dyDescent="0.25">
      <c r="A1685" s="13">
        <f t="shared" si="34"/>
        <v>23</v>
      </c>
    </row>
    <row r="1686" spans="1:1" x14ac:dyDescent="0.25">
      <c r="A1686" s="13">
        <f t="shared" si="34"/>
        <v>23</v>
      </c>
    </row>
    <row r="1687" spans="1:1" x14ac:dyDescent="0.25">
      <c r="A1687" s="13">
        <f t="shared" si="34"/>
        <v>23</v>
      </c>
    </row>
    <row r="1688" spans="1:1" x14ac:dyDescent="0.25">
      <c r="A1688" s="13">
        <f t="shared" si="34"/>
        <v>23</v>
      </c>
    </row>
    <row r="1689" spans="1:1" x14ac:dyDescent="0.25">
      <c r="A1689" s="13">
        <f t="shared" si="34"/>
        <v>23</v>
      </c>
    </row>
    <row r="1690" spans="1:1" x14ac:dyDescent="0.25">
      <c r="A1690" s="13">
        <f t="shared" si="34"/>
        <v>23</v>
      </c>
    </row>
    <row r="1691" spans="1:1" x14ac:dyDescent="0.25">
      <c r="A1691" s="13">
        <f t="shared" si="34"/>
        <v>23</v>
      </c>
    </row>
    <row r="1692" spans="1:1" x14ac:dyDescent="0.25">
      <c r="A1692" s="13">
        <f t="shared" si="34"/>
        <v>23</v>
      </c>
    </row>
    <row r="1693" spans="1:1" x14ac:dyDescent="0.25">
      <c r="A1693" s="13">
        <f t="shared" si="34"/>
        <v>23</v>
      </c>
    </row>
    <row r="1694" spans="1:1" x14ac:dyDescent="0.25">
      <c r="A1694" s="13">
        <f t="shared" si="34"/>
        <v>23</v>
      </c>
    </row>
    <row r="1695" spans="1:1" x14ac:dyDescent="0.25">
      <c r="A1695" s="13">
        <f t="shared" si="34"/>
        <v>23</v>
      </c>
    </row>
    <row r="1696" spans="1:1" x14ac:dyDescent="0.25">
      <c r="A1696" s="13">
        <f t="shared" si="34"/>
        <v>23</v>
      </c>
    </row>
    <row r="1697" spans="1:1" x14ac:dyDescent="0.25">
      <c r="A1697" s="13">
        <f t="shared" si="34"/>
        <v>23</v>
      </c>
    </row>
    <row r="1698" spans="1:1" x14ac:dyDescent="0.25">
      <c r="A1698" s="13">
        <f t="shared" si="34"/>
        <v>23</v>
      </c>
    </row>
    <row r="1699" spans="1:1" x14ac:dyDescent="0.25">
      <c r="A1699" s="13">
        <f t="shared" si="34"/>
        <v>23</v>
      </c>
    </row>
    <row r="1700" spans="1:1" x14ac:dyDescent="0.25">
      <c r="A1700" s="13">
        <f t="shared" si="34"/>
        <v>23</v>
      </c>
    </row>
    <row r="1701" spans="1:1" x14ac:dyDescent="0.25">
      <c r="A1701" s="13">
        <f t="shared" si="34"/>
        <v>23</v>
      </c>
    </row>
    <row r="1702" spans="1:1" x14ac:dyDescent="0.25">
      <c r="A1702" s="13">
        <f t="shared" si="34"/>
        <v>23</v>
      </c>
    </row>
    <row r="1703" spans="1:1" x14ac:dyDescent="0.25">
      <c r="A1703" s="13">
        <f t="shared" si="34"/>
        <v>23</v>
      </c>
    </row>
    <row r="1704" spans="1:1" x14ac:dyDescent="0.25">
      <c r="A1704" s="13">
        <f t="shared" si="34"/>
        <v>23</v>
      </c>
    </row>
    <row r="1705" spans="1:1" x14ac:dyDescent="0.25">
      <c r="A1705" s="13">
        <f t="shared" si="34"/>
        <v>23</v>
      </c>
    </row>
    <row r="1706" spans="1:1" x14ac:dyDescent="0.25">
      <c r="A1706" s="13">
        <f t="shared" si="34"/>
        <v>23</v>
      </c>
    </row>
    <row r="1707" spans="1:1" x14ac:dyDescent="0.25">
      <c r="A1707" s="13">
        <f t="shared" si="34"/>
        <v>23</v>
      </c>
    </row>
    <row r="1708" spans="1:1" x14ac:dyDescent="0.25">
      <c r="A1708" s="13">
        <f t="shared" si="34"/>
        <v>23</v>
      </c>
    </row>
    <row r="1709" spans="1:1" x14ac:dyDescent="0.25">
      <c r="A1709" s="13">
        <f t="shared" si="34"/>
        <v>23</v>
      </c>
    </row>
    <row r="1710" spans="1:1" x14ac:dyDescent="0.25">
      <c r="A1710" s="13">
        <f t="shared" si="34"/>
        <v>23</v>
      </c>
    </row>
    <row r="1711" spans="1:1" x14ac:dyDescent="0.25">
      <c r="A1711" s="13">
        <f t="shared" si="34"/>
        <v>23</v>
      </c>
    </row>
    <row r="1712" spans="1:1" x14ac:dyDescent="0.25">
      <c r="A1712" s="13">
        <f t="shared" si="34"/>
        <v>23</v>
      </c>
    </row>
    <row r="1713" spans="1:1" x14ac:dyDescent="0.25">
      <c r="A1713" s="13">
        <f t="shared" si="34"/>
        <v>23</v>
      </c>
    </row>
    <row r="1714" spans="1:1" x14ac:dyDescent="0.25">
      <c r="A1714" s="13">
        <f t="shared" si="34"/>
        <v>23</v>
      </c>
    </row>
    <row r="1715" spans="1:1" x14ac:dyDescent="0.25">
      <c r="A1715" s="13">
        <f t="shared" si="34"/>
        <v>23</v>
      </c>
    </row>
    <row r="1716" spans="1:1" x14ac:dyDescent="0.25">
      <c r="A1716" s="13">
        <f t="shared" si="34"/>
        <v>23</v>
      </c>
    </row>
    <row r="1717" spans="1:1" x14ac:dyDescent="0.25">
      <c r="A1717" s="13">
        <f t="shared" si="34"/>
        <v>23</v>
      </c>
    </row>
    <row r="1718" spans="1:1" x14ac:dyDescent="0.25">
      <c r="A1718" s="13">
        <f t="shared" si="34"/>
        <v>23</v>
      </c>
    </row>
    <row r="1719" spans="1:1" x14ac:dyDescent="0.25">
      <c r="A1719" s="13">
        <f t="shared" si="34"/>
        <v>23</v>
      </c>
    </row>
    <row r="1720" spans="1:1" x14ac:dyDescent="0.25">
      <c r="A1720" s="13">
        <f t="shared" si="34"/>
        <v>23</v>
      </c>
    </row>
    <row r="1721" spans="1:1" x14ac:dyDescent="0.25">
      <c r="A1721" s="13">
        <f t="shared" si="34"/>
        <v>23</v>
      </c>
    </row>
    <row r="1722" spans="1:1" x14ac:dyDescent="0.25">
      <c r="A1722" s="13">
        <f t="shared" si="34"/>
        <v>23</v>
      </c>
    </row>
    <row r="1723" spans="1:1" x14ac:dyDescent="0.25">
      <c r="A1723" s="13">
        <f t="shared" si="34"/>
        <v>23</v>
      </c>
    </row>
    <row r="1724" spans="1:1" x14ac:dyDescent="0.25">
      <c r="A1724" s="13">
        <f t="shared" si="34"/>
        <v>23</v>
      </c>
    </row>
    <row r="1725" spans="1:1" x14ac:dyDescent="0.25">
      <c r="A1725" s="13">
        <f t="shared" si="34"/>
        <v>23</v>
      </c>
    </row>
    <row r="1726" spans="1:1" x14ac:dyDescent="0.25">
      <c r="A1726" s="13">
        <f t="shared" si="34"/>
        <v>23</v>
      </c>
    </row>
    <row r="1727" spans="1:1" x14ac:dyDescent="0.25">
      <c r="A1727" s="13">
        <f t="shared" si="34"/>
        <v>23</v>
      </c>
    </row>
    <row r="1728" spans="1:1" x14ac:dyDescent="0.25">
      <c r="A1728" s="13">
        <f t="shared" si="34"/>
        <v>23</v>
      </c>
    </row>
    <row r="1729" spans="1:1" x14ac:dyDescent="0.25">
      <c r="A1729" s="13">
        <f t="shared" si="34"/>
        <v>23</v>
      </c>
    </row>
    <row r="1730" spans="1:1" x14ac:dyDescent="0.25">
      <c r="A1730" s="13">
        <f t="shared" si="34"/>
        <v>23</v>
      </c>
    </row>
    <row r="1731" spans="1:1" x14ac:dyDescent="0.25">
      <c r="A1731" s="13">
        <f t="shared" si="34"/>
        <v>23</v>
      </c>
    </row>
    <row r="1732" spans="1:1" x14ac:dyDescent="0.25">
      <c r="A1732" s="13">
        <f t="shared" ref="A1732:A1748" si="35">IF(B1732=B1731,A1731,A1731+1)</f>
        <v>23</v>
      </c>
    </row>
    <row r="1733" spans="1:1" x14ac:dyDescent="0.25">
      <c r="A1733" s="13">
        <f t="shared" si="35"/>
        <v>23</v>
      </c>
    </row>
    <row r="1734" spans="1:1" x14ac:dyDescent="0.25">
      <c r="A1734" s="13">
        <f t="shared" si="35"/>
        <v>23</v>
      </c>
    </row>
    <row r="1735" spans="1:1" x14ac:dyDescent="0.25">
      <c r="A1735" s="13">
        <f t="shared" si="35"/>
        <v>23</v>
      </c>
    </row>
    <row r="1736" spans="1:1" x14ac:dyDescent="0.25">
      <c r="A1736" s="13">
        <f t="shared" si="35"/>
        <v>23</v>
      </c>
    </row>
    <row r="1737" spans="1:1" x14ac:dyDescent="0.25">
      <c r="A1737" s="13">
        <f t="shared" si="35"/>
        <v>23</v>
      </c>
    </row>
    <row r="1738" spans="1:1" x14ac:dyDescent="0.25">
      <c r="A1738" s="13">
        <f t="shared" si="35"/>
        <v>23</v>
      </c>
    </row>
    <row r="1739" spans="1:1" x14ac:dyDescent="0.25">
      <c r="A1739" s="13">
        <f t="shared" si="35"/>
        <v>23</v>
      </c>
    </row>
    <row r="1740" spans="1:1" x14ac:dyDescent="0.25">
      <c r="A1740" s="13">
        <f t="shared" si="35"/>
        <v>23</v>
      </c>
    </row>
    <row r="1741" spans="1:1" x14ac:dyDescent="0.25">
      <c r="A1741" s="13">
        <f t="shared" si="35"/>
        <v>23</v>
      </c>
    </row>
    <row r="1742" spans="1:1" x14ac:dyDescent="0.25">
      <c r="A1742" s="13">
        <f t="shared" si="35"/>
        <v>23</v>
      </c>
    </row>
    <row r="1743" spans="1:1" x14ac:dyDescent="0.25">
      <c r="A1743" s="13">
        <f t="shared" si="35"/>
        <v>23</v>
      </c>
    </row>
    <row r="1744" spans="1:1" x14ac:dyDescent="0.25">
      <c r="A1744" s="13">
        <f t="shared" si="35"/>
        <v>23</v>
      </c>
    </row>
    <row r="1745" spans="1:1" x14ac:dyDescent="0.25">
      <c r="A1745" s="13">
        <f t="shared" si="35"/>
        <v>23</v>
      </c>
    </row>
    <row r="1746" spans="1:1" x14ac:dyDescent="0.25">
      <c r="A1746" s="13">
        <f t="shared" si="35"/>
        <v>23</v>
      </c>
    </row>
    <row r="1747" spans="1:1" x14ac:dyDescent="0.25">
      <c r="A1747" s="13">
        <f t="shared" si="35"/>
        <v>23</v>
      </c>
    </row>
    <row r="1748" spans="1:1" x14ac:dyDescent="0.25">
      <c r="A1748" s="13">
        <f t="shared" si="35"/>
        <v>23</v>
      </c>
    </row>
  </sheetData>
  <mergeCells count="3">
    <mergeCell ref="M3:N3"/>
    <mergeCell ref="O3:P3"/>
    <mergeCell ref="V3:W3"/>
  </mergeCells>
  <conditionalFormatting sqref="B229:J13000 B4:E187 B199:E199 B200:D200 B214:G214 B201:E213 G199:G213 G175:G187 G4:J174 F4:F213 I175:J228 F215:F228">
    <cfRule type="expression" dxfId="40" priority="21">
      <formula>IF($B4=$B3,0,1)</formula>
    </cfRule>
  </conditionalFormatting>
  <conditionalFormatting sqref="J920:J1252">
    <cfRule type="expression" dxfId="39" priority="20">
      <formula>IF($J920=0,1,0)</formula>
    </cfRule>
  </conditionalFormatting>
  <conditionalFormatting sqref="K888:L900 L873:L887 K159:L872 O159:O900">
    <cfRule type="expression" dxfId="38" priority="19">
      <formula>IF($K159=0,0,1)</formula>
    </cfRule>
  </conditionalFormatting>
  <conditionalFormatting sqref="N901:N1214">
    <cfRule type="expression" dxfId="37" priority="18">
      <formula>IF(ISNUMBER(CODE($N901)),1,0)</formula>
    </cfRule>
  </conditionalFormatting>
  <conditionalFormatting sqref="L4:P4 L5:L464 M5:N900 O5:P464">
    <cfRule type="expression" dxfId="36" priority="22">
      <formula>IF($L4=0,1,0)</formula>
    </cfRule>
    <cfRule type="expression" dxfId="35" priority="23">
      <formula>IF($L4=0,0,1)</formula>
    </cfRule>
  </conditionalFormatting>
  <conditionalFormatting sqref="O4:P158">
    <cfRule type="expression" dxfId="34" priority="24">
      <formula>IF(ISNUMBER(CODE($P4)),1,0)</formula>
    </cfRule>
  </conditionalFormatting>
  <conditionalFormatting sqref="K888:L900 L873:L887 O159:O900 K159:L872">
    <cfRule type="expression" dxfId="33" priority="25">
      <formula>IF($K159=0,1,0)</formula>
    </cfRule>
  </conditionalFormatting>
  <conditionalFormatting sqref="O159:O900">
    <cfRule type="expression" dxfId="32" priority="26">
      <formula>IF(ISNUMBER(CODE($O159)),1,0)</formula>
    </cfRule>
  </conditionalFormatting>
  <conditionalFormatting sqref="L901:M1214">
    <cfRule type="expression" dxfId="31" priority="27">
      <formula>IF($K901=0,1,0)</formula>
    </cfRule>
    <cfRule type="expression" dxfId="30" priority="28">
      <formula>IF($K901=0,0,1)</formula>
    </cfRule>
  </conditionalFormatting>
  <conditionalFormatting sqref="K1215:N1230 K901:K1214 N901:N1214">
    <cfRule type="expression" dxfId="29" priority="32">
      <formula>IF($J923=0,1,0)</formula>
    </cfRule>
  </conditionalFormatting>
  <conditionalFormatting sqref="H175:H180">
    <cfRule type="expression" dxfId="28" priority="11">
      <formula>IF($B175=$B174,0,1)</formula>
    </cfRule>
  </conditionalFormatting>
  <conditionalFormatting sqref="H181:H187">
    <cfRule type="expression" dxfId="27" priority="10">
      <formula>IF($B181=$B180,0,1)</formula>
    </cfRule>
  </conditionalFormatting>
  <conditionalFormatting sqref="B188:E198 G188:H198">
    <cfRule type="expression" dxfId="26" priority="9">
      <formula>IF($B188=$B187,0,1)</formula>
    </cfRule>
  </conditionalFormatting>
  <conditionalFormatting sqref="H199:H206">
    <cfRule type="expression" dxfId="25" priority="8">
      <formula>IF($B199=$B198,0,1)</formula>
    </cfRule>
  </conditionalFormatting>
  <conditionalFormatting sqref="E200">
    <cfRule type="expression" dxfId="24" priority="7">
      <formula>IF($B200=$B199,0,1)</formula>
    </cfRule>
  </conditionalFormatting>
  <conditionalFormatting sqref="H207:H214">
    <cfRule type="expression" dxfId="23" priority="6">
      <formula>IF($B207=$B206,0,1)</formula>
    </cfRule>
  </conditionalFormatting>
  <conditionalFormatting sqref="B215:E221 G215:G221">
    <cfRule type="expression" dxfId="22" priority="5">
      <formula>IF($B215=$B214,0,1)</formula>
    </cfRule>
  </conditionalFormatting>
  <conditionalFormatting sqref="H215:H221">
    <cfRule type="expression" dxfId="21" priority="4">
      <formula>IF($B215=$B214,0,1)</formula>
    </cfRule>
  </conditionalFormatting>
  <conditionalFormatting sqref="B222:E228 G222:G228">
    <cfRule type="expression" dxfId="20" priority="2">
      <formula>IF($B222=$B221,0,1)</formula>
    </cfRule>
  </conditionalFormatting>
  <conditionalFormatting sqref="H222:H228">
    <cfRule type="expression" dxfId="19" priority="1">
      <formula>IF($B222=$B221,0,1)</formula>
    </cfRule>
  </conditionalFormatting>
  <dataValidations count="1">
    <dataValidation type="list" allowBlank="1" showInputMessage="1" showErrorMessage="1" sqref="T2">
      <formula1>$Y$4:$Y$10</formula1>
    </dataValidation>
  </dataValidations>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K89"/>
  <sheetViews>
    <sheetView tabSelected="1" workbookViewId="0">
      <selection activeCell="W3" sqref="W3"/>
    </sheetView>
  </sheetViews>
  <sheetFormatPr defaultRowHeight="15" x14ac:dyDescent="0.25"/>
  <cols>
    <col min="1" max="2" width="4.140625" style="28" customWidth="1"/>
    <col min="3" max="3" width="14" bestFit="1" customWidth="1"/>
    <col min="4" max="4" width="12" customWidth="1"/>
    <col min="5" max="5" width="5.42578125" bestFit="1" customWidth="1"/>
    <col min="6" max="6" width="17.7109375" bestFit="1" customWidth="1"/>
    <col min="7" max="7" width="15.28515625" hidden="1" customWidth="1"/>
    <col min="8" max="8" width="16.42578125" hidden="1" customWidth="1"/>
    <col min="9" max="9" width="12" hidden="1" customWidth="1"/>
    <col min="10" max="10" width="28.28515625" hidden="1" customWidth="1"/>
    <col min="11" max="11" width="31.28515625" hidden="1" customWidth="1"/>
    <col min="12" max="12" width="24.140625" hidden="1" customWidth="1"/>
    <col min="13" max="13" width="28" hidden="1" customWidth="1"/>
    <col min="14" max="14" width="17.5703125" hidden="1" customWidth="1"/>
    <col min="15" max="15" width="21.42578125" hidden="1" customWidth="1"/>
    <col min="16" max="16" width="20.140625" hidden="1" customWidth="1"/>
    <col min="17" max="17" width="15.85546875" hidden="1" customWidth="1"/>
    <col min="18" max="18" width="15" hidden="1" customWidth="1"/>
    <col min="19" max="19" width="16.42578125" hidden="1" customWidth="1"/>
    <col min="20" max="20" width="6.5703125" hidden="1" customWidth="1"/>
    <col min="21" max="21" width="8.85546875" bestFit="1" customWidth="1"/>
    <col min="22" max="22" width="13.42578125" bestFit="1" customWidth="1"/>
    <col min="23" max="23" width="15.42578125" bestFit="1" customWidth="1"/>
    <col min="24" max="24" width="9" bestFit="1" customWidth="1"/>
    <col min="25" max="25" width="8.140625" hidden="1" customWidth="1"/>
    <col min="26" max="26" width="17" hidden="1" customWidth="1"/>
    <col min="27" max="27" width="7" hidden="1" customWidth="1"/>
    <col min="28" max="28" width="4" hidden="1" customWidth="1"/>
    <col min="29" max="30" width="9.42578125" hidden="1" customWidth="1"/>
    <col min="31" max="31" width="7.7109375" hidden="1" customWidth="1"/>
    <col min="32" max="32" width="4" hidden="1" customWidth="1"/>
    <col min="33" max="33" width="5.28515625" hidden="1" customWidth="1"/>
    <col min="34" max="34" width="5.140625" hidden="1" customWidth="1"/>
    <col min="35" max="35" width="7.28515625" hidden="1" customWidth="1"/>
    <col min="36" max="36" width="7.140625" hidden="1" customWidth="1"/>
    <col min="37" max="37" width="6.7109375" hidden="1" customWidth="1"/>
    <col min="38" max="38" width="5.5703125" hidden="1" customWidth="1"/>
    <col min="39" max="39" width="4.140625" hidden="1" customWidth="1"/>
    <col min="40" max="40" width="4.7109375" hidden="1" customWidth="1"/>
    <col min="41" max="41" width="6.28515625" hidden="1" customWidth="1"/>
    <col min="42" max="42" width="4.42578125" hidden="1" customWidth="1"/>
    <col min="43" max="43" width="6.140625" hidden="1" customWidth="1"/>
    <col min="44" max="44" width="4.42578125" hidden="1" customWidth="1"/>
    <col min="45" max="45" width="4.28515625" hidden="1" customWidth="1"/>
    <col min="46" max="46" width="4.42578125" hidden="1" customWidth="1"/>
    <col min="47" max="47" width="3.28515625" hidden="1" customWidth="1"/>
    <col min="48" max="48" width="5.85546875" hidden="1" customWidth="1"/>
    <col min="49" max="49" width="3.7109375" hidden="1" customWidth="1"/>
    <col min="50" max="50" width="5.42578125" hidden="1" customWidth="1"/>
    <col min="51" max="51" width="3.140625" hidden="1" customWidth="1"/>
    <col min="52" max="52" width="4" hidden="1" customWidth="1"/>
    <col min="53" max="53" width="5.5703125" hidden="1" customWidth="1"/>
    <col min="54" max="54" width="6.42578125" hidden="1" customWidth="1"/>
    <col min="55" max="55" width="4.7109375" hidden="1" customWidth="1"/>
    <col min="56" max="56" width="4.28515625" hidden="1" customWidth="1"/>
    <col min="57" max="57" width="7.28515625" hidden="1" customWidth="1"/>
    <col min="58" max="58" width="6.42578125" hidden="1" customWidth="1"/>
    <col min="59" max="59" width="5.85546875" hidden="1" customWidth="1"/>
    <col min="60" max="60" width="6.140625" hidden="1" customWidth="1"/>
    <col min="61" max="61" width="4.85546875" hidden="1" customWidth="1"/>
    <col min="62" max="63" width="5" hidden="1" customWidth="1"/>
    <col min="64" max="64" width="5.5703125" hidden="1" customWidth="1"/>
    <col min="65" max="65" width="6.42578125" hidden="1" customWidth="1"/>
    <col min="66" max="66" width="4.7109375" hidden="1" customWidth="1"/>
    <col min="67" max="67" width="4.28515625" hidden="1" customWidth="1"/>
    <col min="68" max="68" width="7.28515625" hidden="1" customWidth="1"/>
    <col min="69" max="69" width="6.42578125" hidden="1" customWidth="1"/>
    <col min="70" max="70" width="5.85546875" hidden="1" customWidth="1"/>
    <col min="71" max="71" width="6.140625" hidden="1" customWidth="1"/>
    <col min="72" max="72" width="4.85546875" hidden="1" customWidth="1"/>
    <col min="73" max="74" width="5" hidden="1" customWidth="1"/>
    <col min="75" max="75" width="5.5703125" hidden="1" customWidth="1"/>
    <col min="76" max="76" width="6.42578125" hidden="1" customWidth="1"/>
    <col min="77" max="77" width="4.7109375" hidden="1" customWidth="1"/>
    <col min="78" max="78" width="4.28515625" hidden="1" customWidth="1"/>
    <col min="79" max="79" width="7.28515625" hidden="1" customWidth="1"/>
    <col min="80" max="80" width="6.42578125" hidden="1" customWidth="1"/>
    <col min="81" max="81" width="5.85546875" hidden="1" customWidth="1"/>
    <col min="82" max="82" width="6.140625" hidden="1" customWidth="1"/>
    <col min="83" max="83" width="4.85546875" hidden="1" customWidth="1"/>
    <col min="84" max="85" width="5" hidden="1" customWidth="1"/>
    <col min="86" max="86" width="5.5703125" hidden="1" customWidth="1"/>
    <col min="87" max="87" width="6.42578125" hidden="1" customWidth="1"/>
    <col min="88" max="88" width="4.7109375" hidden="1" customWidth="1"/>
    <col min="89" max="89" width="4.28515625" hidden="1" customWidth="1"/>
    <col min="90" max="90" width="7.28515625" hidden="1" customWidth="1"/>
    <col min="91" max="91" width="6.42578125" hidden="1" customWidth="1"/>
    <col min="92" max="92" width="5.85546875" hidden="1" customWidth="1"/>
    <col min="93" max="93" width="6.140625" hidden="1" customWidth="1"/>
    <col min="94" max="94" width="4.85546875" hidden="1" customWidth="1"/>
    <col min="95" max="96" width="5" hidden="1" customWidth="1"/>
    <col min="97" max="99" width="9.140625" hidden="1" customWidth="1"/>
    <col min="100" max="100" width="23.28515625" hidden="1" customWidth="1"/>
    <col min="101" max="111" width="8.42578125" hidden="1" customWidth="1"/>
    <col min="112" max="113" width="2" hidden="1" customWidth="1"/>
    <col min="114" max="114" width="13.7109375" hidden="1" customWidth="1"/>
    <col min="115" max="116" width="9.140625" hidden="1" customWidth="1"/>
    <col min="117" max="117" width="9.42578125" hidden="1" customWidth="1"/>
    <col min="118" max="118" width="4.7109375" hidden="1" customWidth="1"/>
    <col min="119" max="119" width="9.140625" hidden="1" customWidth="1"/>
    <col min="120" max="120" width="2" hidden="1" customWidth="1"/>
    <col min="121" max="122" width="19.7109375" hidden="1" customWidth="1"/>
    <col min="123" max="123" width="4.7109375" hidden="1" customWidth="1"/>
    <col min="124" max="124" width="5" hidden="1" customWidth="1"/>
    <col min="125" max="125" width="2" hidden="1" customWidth="1"/>
    <col min="126" max="126" width="19.7109375" hidden="1" customWidth="1"/>
    <col min="127" max="127" width="9.42578125" hidden="1" customWidth="1"/>
    <col min="128" max="128" width="12" hidden="1" customWidth="1"/>
    <col min="129" max="129" width="9.140625" customWidth="1"/>
    <col min="130" max="130" width="24" bestFit="1" customWidth="1"/>
    <col min="131" max="131" width="24.28515625" customWidth="1"/>
    <col min="132" max="132" width="6.5703125" bestFit="1" customWidth="1"/>
    <col min="133" max="133" width="5" bestFit="1" customWidth="1"/>
    <col min="134" max="135" width="12" hidden="1" customWidth="1"/>
    <col min="136" max="136" width="3.7109375" hidden="1" customWidth="1"/>
    <col min="137" max="137" width="9.7109375" bestFit="1" customWidth="1"/>
  </cols>
  <sheetData>
    <row r="1" spans="1:141" x14ac:dyDescent="0.25">
      <c r="F1" s="54" t="s">
        <v>866</v>
      </c>
      <c r="J1">
        <f>CV6</f>
        <v>0.99697346608495907</v>
      </c>
      <c r="K1">
        <f>CV14</f>
        <v>0.99299214777630118</v>
      </c>
      <c r="L1">
        <f>CV22</f>
        <v>0.98447177634902727</v>
      </c>
      <c r="M1">
        <f>CV30</f>
        <v>0.94973297312090399</v>
      </c>
      <c r="P1">
        <v>0.7</v>
      </c>
      <c r="Q1">
        <v>0.3</v>
      </c>
      <c r="AA1">
        <f>1.05*AA4</f>
        <v>0.68250000000000011</v>
      </c>
      <c r="BA1" s="98" t="s">
        <v>93</v>
      </c>
      <c r="BB1" s="98"/>
      <c r="BC1" s="98"/>
      <c r="BD1" s="98"/>
      <c r="BE1" s="98"/>
      <c r="BF1" s="98"/>
      <c r="BG1" s="98"/>
      <c r="BH1" s="98"/>
      <c r="BI1" s="98"/>
      <c r="BJ1" s="98"/>
      <c r="BK1" s="98"/>
      <c r="BL1" s="99" t="s">
        <v>107</v>
      </c>
      <c r="BM1" s="99"/>
      <c r="BN1" s="99"/>
      <c r="BO1" s="99"/>
      <c r="BP1" s="99"/>
      <c r="BQ1" s="99"/>
      <c r="BR1" s="99"/>
      <c r="BS1" s="99"/>
      <c r="BT1" s="99"/>
      <c r="BU1" s="99"/>
      <c r="BV1" s="99"/>
      <c r="BW1" s="100" t="s">
        <v>1544</v>
      </c>
      <c r="BX1" s="100"/>
      <c r="BY1" s="100"/>
      <c r="BZ1" s="100"/>
      <c r="CA1" s="100"/>
      <c r="CB1" s="100"/>
      <c r="CC1" s="100"/>
      <c r="CD1" s="100"/>
      <c r="CE1" s="100"/>
      <c r="CF1" s="100"/>
      <c r="CG1" s="100"/>
      <c r="CH1" s="101" t="s">
        <v>1545</v>
      </c>
      <c r="CI1" s="101"/>
      <c r="CJ1" s="101"/>
      <c r="CK1" s="101"/>
      <c r="CL1" s="101"/>
      <c r="CM1" s="101"/>
      <c r="CN1" s="101"/>
      <c r="CO1" s="101"/>
      <c r="CP1" s="101"/>
      <c r="CQ1" s="101"/>
      <c r="CR1" s="101"/>
      <c r="DZ1" t="s">
        <v>3654</v>
      </c>
      <c r="EA1" s="72">
        <v>20</v>
      </c>
      <c r="ED1" t="s">
        <v>3655</v>
      </c>
      <c r="EE1" s="72">
        <f ca="1">$EA$1*COUNTIF($EF$3:$EF$62,"M")</f>
        <v>20</v>
      </c>
      <c r="EG1" t="s">
        <v>1258</v>
      </c>
      <c r="EH1" s="32">
        <v>0.6</v>
      </c>
    </row>
    <row r="2" spans="1:141" ht="15.75" thickBot="1" x14ac:dyDescent="0.3">
      <c r="C2" t="s">
        <v>33</v>
      </c>
      <c r="D2" t="s">
        <v>893</v>
      </c>
      <c r="E2" t="s">
        <v>894</v>
      </c>
      <c r="F2" t="s">
        <v>34</v>
      </c>
      <c r="G2" t="s">
        <v>776</v>
      </c>
      <c r="H2" t="s">
        <v>3371</v>
      </c>
      <c r="I2" t="s">
        <v>3375</v>
      </c>
      <c r="J2" t="s">
        <v>324</v>
      </c>
      <c r="K2" t="s">
        <v>325</v>
      </c>
      <c r="L2" t="s">
        <v>1546</v>
      </c>
      <c r="M2" t="s">
        <v>1547</v>
      </c>
      <c r="N2" t="s">
        <v>1548</v>
      </c>
      <c r="O2" t="s">
        <v>1549</v>
      </c>
      <c r="P2" t="s">
        <v>777</v>
      </c>
      <c r="Q2" t="s">
        <v>3377</v>
      </c>
      <c r="R2" t="s">
        <v>778</v>
      </c>
      <c r="S2" t="s">
        <v>1490</v>
      </c>
      <c r="T2" t="s">
        <v>837</v>
      </c>
      <c r="U2" t="s">
        <v>3518</v>
      </c>
      <c r="V2" t="s">
        <v>1230</v>
      </c>
      <c r="W2" t="s">
        <v>780</v>
      </c>
      <c r="X2" t="s">
        <v>1144</v>
      </c>
      <c r="Y2" t="s">
        <v>3632</v>
      </c>
      <c r="Z2" t="s">
        <v>1145</v>
      </c>
      <c r="AA2" t="s">
        <v>781</v>
      </c>
      <c r="AC2" t="s">
        <v>782</v>
      </c>
      <c r="AD2" t="s">
        <v>838</v>
      </c>
      <c r="AE2" t="s">
        <v>215</v>
      </c>
      <c r="AF2" t="s">
        <v>214</v>
      </c>
      <c r="AG2" t="s">
        <v>213</v>
      </c>
      <c r="AH2" t="s">
        <v>212</v>
      </c>
      <c r="AI2" t="s">
        <v>211</v>
      </c>
      <c r="AJ2" t="s">
        <v>210</v>
      </c>
      <c r="AK2" t="s">
        <v>266</v>
      </c>
      <c r="AL2" t="s">
        <v>208</v>
      </c>
      <c r="AM2" t="s">
        <v>204</v>
      </c>
      <c r="AN2" t="s">
        <v>202</v>
      </c>
      <c r="AO2" t="s">
        <v>199</v>
      </c>
      <c r="AP2" t="s">
        <v>258</v>
      </c>
      <c r="AQ2" t="s">
        <v>321</v>
      </c>
      <c r="AR2" t="s">
        <v>320</v>
      </c>
      <c r="AS2" t="s">
        <v>319</v>
      </c>
      <c r="AT2" t="s">
        <v>318</v>
      </c>
      <c r="AU2" t="s">
        <v>317</v>
      </c>
      <c r="AV2" t="s">
        <v>316</v>
      </c>
      <c r="AW2" t="s">
        <v>315</v>
      </c>
      <c r="AX2" t="s">
        <v>314</v>
      </c>
      <c r="AY2" t="s">
        <v>313</v>
      </c>
      <c r="AZ2" t="s">
        <v>312</v>
      </c>
      <c r="BA2" s="79" t="s">
        <v>1527</v>
      </c>
      <c r="BB2" s="79" t="s">
        <v>1526</v>
      </c>
      <c r="BC2" s="79" t="s">
        <v>1525</v>
      </c>
      <c r="BD2" s="79" t="s">
        <v>1524</v>
      </c>
      <c r="BE2" s="79" t="s">
        <v>1523</v>
      </c>
      <c r="BF2" s="79" t="s">
        <v>1522</v>
      </c>
      <c r="BG2" s="79" t="s">
        <v>1518</v>
      </c>
      <c r="BH2" s="79" t="s">
        <v>1517</v>
      </c>
      <c r="BI2" s="79" t="s">
        <v>1516</v>
      </c>
      <c r="BJ2" s="79" t="s">
        <v>1515</v>
      </c>
      <c r="BK2" s="79" t="s">
        <v>1514</v>
      </c>
      <c r="BL2" s="80" t="s">
        <v>1527</v>
      </c>
      <c r="BM2" s="80" t="s">
        <v>1526</v>
      </c>
      <c r="BN2" s="80" t="s">
        <v>1525</v>
      </c>
      <c r="BO2" s="80" t="s">
        <v>1524</v>
      </c>
      <c r="BP2" s="80" t="s">
        <v>1523</v>
      </c>
      <c r="BQ2" s="80" t="s">
        <v>1522</v>
      </c>
      <c r="BR2" s="80" t="s">
        <v>1518</v>
      </c>
      <c r="BS2" s="80" t="s">
        <v>1517</v>
      </c>
      <c r="BT2" s="80" t="s">
        <v>1516</v>
      </c>
      <c r="BU2" s="80" t="s">
        <v>1515</v>
      </c>
      <c r="BV2" s="80" t="s">
        <v>1514</v>
      </c>
      <c r="BW2" s="82" t="s">
        <v>1527</v>
      </c>
      <c r="BX2" s="82" t="s">
        <v>1526</v>
      </c>
      <c r="BY2" s="82" t="s">
        <v>1525</v>
      </c>
      <c r="BZ2" s="82" t="s">
        <v>1524</v>
      </c>
      <c r="CA2" s="82" t="s">
        <v>1523</v>
      </c>
      <c r="CB2" s="82" t="s">
        <v>1522</v>
      </c>
      <c r="CC2" s="82" t="s">
        <v>1518</v>
      </c>
      <c r="CD2" s="82" t="s">
        <v>1517</v>
      </c>
      <c r="CE2" s="82" t="s">
        <v>1516</v>
      </c>
      <c r="CF2" s="82" t="s">
        <v>1515</v>
      </c>
      <c r="CG2" s="82" t="s">
        <v>1514</v>
      </c>
      <c r="CH2" s="83" t="s">
        <v>1527</v>
      </c>
      <c r="CI2" s="83" t="s">
        <v>1526</v>
      </c>
      <c r="CJ2" s="83" t="s">
        <v>1525</v>
      </c>
      <c r="CK2" s="83" t="s">
        <v>1524</v>
      </c>
      <c r="CL2" s="83" t="s">
        <v>1523</v>
      </c>
      <c r="CM2" s="83" t="s">
        <v>1522</v>
      </c>
      <c r="CN2" s="83" t="s">
        <v>1518</v>
      </c>
      <c r="CO2" s="83" t="s">
        <v>1517</v>
      </c>
      <c r="CP2" s="83" t="s">
        <v>1516</v>
      </c>
      <c r="CQ2" s="83" t="s">
        <v>1515</v>
      </c>
      <c r="CR2" s="83" t="s">
        <v>1514</v>
      </c>
      <c r="CV2" s="97" t="s">
        <v>268</v>
      </c>
      <c r="CW2" s="97"/>
      <c r="CX2" s="97"/>
      <c r="CY2" s="97"/>
      <c r="CZ2" s="97"/>
      <c r="DA2" s="97"/>
      <c r="DB2" s="97"/>
      <c r="DC2" s="97"/>
      <c r="DD2" s="97"/>
      <c r="DE2" s="97"/>
      <c r="DF2" s="97"/>
      <c r="DJ2" t="s">
        <v>269</v>
      </c>
      <c r="DU2">
        <f ca="1">MAX(DP3:DP34)</f>
        <v>1</v>
      </c>
      <c r="DX2" t="str">
        <f t="shared" ref="DX2:DX10" si="0">IF(ISNUMBER(CODE(DV2)),T2,"")</f>
        <v/>
      </c>
      <c r="ED2" t="s">
        <v>3656</v>
      </c>
      <c r="EE2" s="72">
        <f ca="1">$EA$1*COUNTIF($EF$3:$EF$62,"OU")</f>
        <v>0</v>
      </c>
      <c r="EJ2" t="str">
        <f>'538'!A2</f>
        <v>Updated Sep. 30, 2019 at 9:22 AM</v>
      </c>
    </row>
    <row r="3" spans="1:141" x14ac:dyDescent="0.25">
      <c r="A3" s="28" t="str">
        <f>IFERROR(INDEX(Overview!$A$3:$B$32,MATCH(Bet!$C3,Overview!$B$3:$B$32,0),1),"X")</f>
        <v>MIL</v>
      </c>
      <c r="B3" s="28">
        <f>IF(ISBLANK(C3),"",IFERROR(INDEX(Pitchers[],MATCH(F3,Pitchers[Player],0),MATCH(G$2,Pitchers[#Headers],0)),"X"))</f>
        <v>-1.3099303705267136</v>
      </c>
      <c r="C3" s="2" t="s">
        <v>237</v>
      </c>
      <c r="D3" s="3">
        <v>155</v>
      </c>
      <c r="E3" s="95">
        <v>7.5</v>
      </c>
      <c r="F3" s="50" t="s">
        <v>377</v>
      </c>
      <c r="G3" s="48">
        <f>IFERROR(INDEX(Pitchers[],MATCH(Bet!F3,Pitchers[Player],0),MATCH(G$2,Pitchers[#Headers],0)),PlayerPitching!$AD$12)</f>
        <v>-1.3099303705267136</v>
      </c>
      <c r="H3" s="48">
        <f>IF(ISNUMBER(CODE(C3)),INDEX(Scores!$P$2:$T$33,MATCH($C3,Scores!$R$2:$R$33,0),4),"")</f>
        <v>7</v>
      </c>
      <c r="I3" s="48">
        <f>IF(ISNUMBER(CODE(C3)),IF(INDEX(Scores!$P$2:$T$33,MATCH($C3,Scores!$R$2:$R$33,0),5)=0,1,INDEX(Scores!$P$2:$T$33,MATCH($C3,Scores!$R$2:$R$33,0),5)),"")</f>
        <v>5.7735026918962573</v>
      </c>
      <c r="J3" s="48">
        <f t="shared" ref="J3:J30" si="1">IFERROR(SUMPRODUCT($AE3:$AO3,$CV$4:$DF$4)+$DG$4,"")</f>
        <v>5.2112362602711766</v>
      </c>
      <c r="K3" s="49">
        <f t="shared" ref="K3:K34" si="2">SUMPRODUCT(AP3:AZ3,$CV$12:$DF$12)+$DG$12</f>
        <v>4.7146996069231566</v>
      </c>
      <c r="L3" s="49">
        <f t="shared" ref="L3:L24" si="3">SUMPRODUCT(BW3:CG3,$CV$20:$DF$20)+$DG$20</f>
        <v>5.0020975134271737</v>
      </c>
      <c r="M3" s="49">
        <f t="shared" ref="M3:M24" si="4">SUMPRODUCT(CH3:CR3,$CV$28:$DF$28)+$DG$28</f>
        <v>4.7992817967712611</v>
      </c>
      <c r="N3" s="49">
        <f t="shared" ref="N3:N24" si="5">(J3*2*$J$1+L3*3*$L$1)/(2*$J$1+3*$L$1)</f>
        <v>5.086387189551453</v>
      </c>
      <c r="O3" s="49">
        <f t="shared" ref="O3:O24" si="6">(K3*2*$K$1+M3*3*$M$1)/(2*$K$1+3*$M$1)</f>
        <v>4.7645408379998102</v>
      </c>
      <c r="P3" s="49">
        <f t="shared" ref="P3:P24" si="7">IF(ISODD(ROW()),AVERAGE(N3,O4),AVERAGE(N3,O2))</f>
        <v>4.8617536309878808</v>
      </c>
      <c r="Q3" s="49">
        <f>IFERROR(_xlfn.NORM.INV(INDEX(Scores!$P$2:$U$33,MATCH($C3,Scores!$R$2:$R$33,0),6),H3,I3),"")</f>
        <v>8.5366194804668893</v>
      </c>
      <c r="R3" s="49">
        <f t="shared" ref="R3:R24" si="8">IFERROR(IF(ISODD(ROW()),($P$1*P3+$Q$1*Q3)+G4,($P$1*P3+$Q$1*Q3)+G2),"")</f>
        <v>4.38844355733469</v>
      </c>
      <c r="S3" s="49">
        <f t="shared" ref="S3:S24" si="9">IFERROR(IF(ISODD(ROW()),_xlfn.NORM.DIST(R3-R4,0,I3+I4,1),_xlfn.NORM.DIST(R3-R2,0,I2+I3,1)),"")</f>
        <v>0.50248661495262725</v>
      </c>
      <c r="T3" s="49">
        <f>IFERROR(IF(ISODD(ROW()),_xlfn.NORM.DIST(U3,E3,I3+I4,1),1-T2),"")</f>
        <v>0.58173948260716102</v>
      </c>
      <c r="U3" s="95">
        <f t="shared" ref="U3" si="10">IFERROR(ROUND(ROUND((R3+R4)*2,0)/2,1)+1.5,"")</f>
        <v>10</v>
      </c>
      <c r="V3" s="67">
        <f t="shared" ref="V3:V34" si="11">IF(ISNUMBER(CODE(C3)),ROUND(IF(ISODD(ROW()),(R4-R3)*2,(R2-R3)*2),0)/2,"")</f>
        <v>0</v>
      </c>
      <c r="W3" s="64">
        <f t="shared" ref="W3:W34" si="12">IF(ISNUMBER(CODE(C3)),IF(ISODD(ROW()),IF(S3/S4&gt;1,ROUND(S3/S4,2)*-100,ROUND(S4/S3,2)*100),IF(S3/S2&gt;1,ROUND(S3/S2,2)*-100,ROUND(S2/S3,2)*100)),"")</f>
        <v>-101</v>
      </c>
      <c r="X3" s="50">
        <f t="shared" ref="X3:X34" ca="1" si="13">IF(ISNUMBER(CODE(C3)),IF(ISODD(ROW()),IF(Z3/Z4&gt;1,ROUND(Z3/Z4,2)*-100,ROUND(Z4/Z3,2)*100),IF(Z3/Z2&gt;1,ROUND(Z3/Z2,2)*-100,ROUND(Z2/Z3,2)*100)),"")</f>
        <v>178</v>
      </c>
      <c r="Y3" s="48">
        <f>IFERROR(ROUND(S3,2),"")</f>
        <v>0.5</v>
      </c>
      <c r="Z3" s="48">
        <f ca="1">IFERROR(INDEX('538'!$Q$9:$U$190,MATCH(Bet!$C3,'538'!$Q$9:$Q$190,0),5),"")</f>
        <v>0.36</v>
      </c>
      <c r="AA3">
        <f>IF(D3=0,"",ROUND(IF(D3&lt;0,D3/(D3-100),1/(D3/100+1)),2))</f>
        <v>0.39</v>
      </c>
      <c r="AB3">
        <f t="shared" ref="AB3:AB34" si="14">IF(ISODD(ROW()),E3,E2)</f>
        <v>7.5</v>
      </c>
      <c r="AC3" t="str">
        <f ca="1">IFERROR(IF(AA3&lt;0.5,IF(AVERAGE(Y3,Y3,Y3,Z3,Z3)&gt;AA3+0.05,C3,""),IF(OR(AVERAGE(Y3,Y3,Y3,Z3,Z3)&gt;AA3+0.03,AVERAGE(Y3,Y3,Y3,Z3,Z3)&gt;0.6),C3,"")),"")</f>
        <v>Brewers</v>
      </c>
      <c r="AD3" t="str">
        <f t="shared" ref="AD3:AD34" si="15">IF(ISNUMBER(CODE(C3)),IF(ISODD(ROW()),IF(T3&gt;$EH$1,"Over "&amp;AB3,""),IF(T3&gt;$EH$1,"Under "&amp;AB3,"")),"")</f>
        <v/>
      </c>
      <c r="AE3">
        <f>IFERROR(INDEX(Overview!$A$2:$BF$32,MATCH($A3,Overview!$A$2:$A$32,0),MATCH(AE$2,Overview!$A$2:$BF$2,0)),"")</f>
        <v>143.9</v>
      </c>
      <c r="AF3">
        <f>IFERROR(INDEX(Overview!$A$2:$BF$32,MATCH($A3,Overview!$A$2:$A$32,0),MATCH(AF$2,Overview!$A$2:$BF$2,0)),"")</f>
        <v>0.192</v>
      </c>
      <c r="AG3">
        <f>IFERROR(INDEX(Overview!$A$2:$BF$32,MATCH($A3,Overview!$A$2:$A$32,0),MATCH(AG$2,Overview!$A$2:$BF$2,0)),"")</f>
        <v>0.31900000000000001</v>
      </c>
      <c r="AH3">
        <f>IFERROR(INDEX(Overview!$A$2:$BF$32,MATCH($A3,Overview!$A$2:$A$32,0),MATCH(AH$2,Overview!$A$2:$BF$2,0)),"")</f>
        <v>0.748</v>
      </c>
      <c r="AI3">
        <f>IFERROR(INDEX(Overview!$A$2:$BF$32,MATCH($A3,Overview!$A$2:$A$32,0),MATCH(AI$2,Overview!$A$2:$BF$2,0)),"")</f>
        <v>-2.5</v>
      </c>
      <c r="AJ3">
        <f>IFERROR(INDEX(Overview!$A$2:$BF$32,MATCH($A3,Overview!$A$2:$A$32,0),MATCH(AJ$2,Overview!$A$2:$BF$2,0)),"")</f>
        <v>-23.4</v>
      </c>
      <c r="AK3">
        <f>IFERROR(INDEX(Overview!$A$2:$BF$32,MATCH($A3,Overview!$A$2:$A$32,0),MATCH(AK$2,Overview!$A$2:$BF$2,0)),"")</f>
        <v>0.52400000000000002</v>
      </c>
      <c r="AL3">
        <f>IFERROR(INDEX(Overview!$A$2:$BF$32,MATCH($A3,Overview!$A$2:$A$32,0),MATCH(AL$2,Overview!$A$2:$BF$2,0)),"")</f>
        <v>97</v>
      </c>
      <c r="AM3">
        <f>IFERROR(INDEX(Overview!$A$2:$BF$32,MATCH($A3,Overview!$A$2:$A$32,0),MATCH(AM$2,Overview!$A$2:$BF$2,0)),"")</f>
        <v>0.438</v>
      </c>
      <c r="AN3">
        <f>IFERROR(INDEX(Overview!$A$2:$BF$32,MATCH($A3,Overview!$A$2:$A$32,0),MATCH(AN$2,Overview!$A$2:$BF$2,0)),"")</f>
        <v>0.32900000000000001</v>
      </c>
      <c r="AO3">
        <f>IFERROR(INDEX(Overview!$A$2:$BF$32,MATCH($A3,Overview!$A$2:$A$32,0),MATCH(AO$2,Overview!$A$2:$BF$2,0)),"")</f>
        <v>0.29599999999999999</v>
      </c>
      <c r="AP3">
        <f>IFERROR(INDEX(Overview!$A$2:$BM$32,MATCH($A3,Overview!$A$2:$A$32,0),MATCH(AP$2,Overview!$A$2:$BM$2,0)),"")</f>
        <v>1107</v>
      </c>
      <c r="AQ3">
        <f>IFERROR(INDEX(Overview!$A$2:$BM$32,MATCH($A3,Overview!$A$2:$A$32,0),MATCH(AQ$2,Overview!$A$2:$BM$2,0)),"")</f>
        <v>2.63</v>
      </c>
      <c r="AR3">
        <f>IFERROR(INDEX(Overview!$A$2:$BM$32,MATCH($A3,Overview!$A$2:$A$32,0),MATCH(AR$2,Overview!$A$2:$BM$2,0)),"")</f>
        <v>9.1999999999999993</v>
      </c>
      <c r="AS3">
        <f>IFERROR(INDEX(Overview!$A$2:$BM$32,MATCH($A3,Overview!$A$2:$A$32,0),MATCH(AS$2,Overview!$A$2:$BM$2,0)),"")</f>
        <v>3.5</v>
      </c>
      <c r="AT3">
        <f>IFERROR(INDEX(Overview!$A$2:$BM$32,MATCH($A3,Overview!$A$2:$A$32,0),MATCH(AT$2,Overview!$A$2:$BM$2,0)),"")</f>
        <v>1.4</v>
      </c>
      <c r="AU3">
        <f>IFERROR(INDEX(Overview!$A$2:$BM$32,MATCH($A3,Overview!$A$2:$A$32,0),MATCH(AU$2,Overview!$A$2:$BM$2,0)),"")</f>
        <v>8.4</v>
      </c>
      <c r="AV3">
        <f>IFERROR(INDEX(Overview!$A$2:$BM$32,MATCH($A3,Overview!$A$2:$A$32,0),MATCH(AV$2,Overview!$A$2:$BM$2,0)),"")</f>
        <v>1.325</v>
      </c>
      <c r="AW3">
        <f>IFERROR(INDEX(Overview!$A$2:$BM$32,MATCH($A3,Overview!$A$2:$A$32,0),MATCH(AW$2,Overview!$A$2:$BM$2,0)),"")</f>
        <v>4.46</v>
      </c>
      <c r="AX3">
        <f>IFERROR(INDEX(Overview!$A$2:$BM$32,MATCH($A3,Overview!$A$2:$A$32,0),MATCH(AX$2,Overview!$A$2:$BM$2,0)),"")</f>
        <v>102</v>
      </c>
      <c r="AY3">
        <f>IFERROR(INDEX(Overview!$A$2:$BM$32,MATCH($A3,Overview!$A$2:$A$32,0),MATCH(AY$2,Overview!$A$2:$BM$2,0)),"")</f>
        <v>6251</v>
      </c>
      <c r="AZ3">
        <f>IFERROR(INDEX(Overview!$A$2:$BM$32,MATCH($A3,Overview!$A$2:$A$32,0),MATCH(AZ$2,Overview!$A$2:$BM$2,0)),"")</f>
        <v>41</v>
      </c>
      <c r="BA3" s="79">
        <f>IFERROR(INDEX(Overview!$A$2:$BM$32,MATCH($A3,Overview!$A$2:$A$32,0),MATCH(BA$2,Overview!$A$2:$BM$2,0)),"")</f>
        <v>0.11</v>
      </c>
      <c r="BB3" s="79">
        <f>IFERROR(INDEX(Overview!$A$2:$BM$32,MATCH($A3,Overview!$A$2:$A$32,0),MATCH(BB$2,Overview!$A$2:$BM$2,0)),"")</f>
        <v>0.125</v>
      </c>
      <c r="BC3" s="79">
        <f>IFERROR(INDEX(Overview!$A$2:$BM$32,MATCH($A3,Overview!$A$2:$A$32,0),MATCH(BC$2,Overview!$A$2:$BM$2,0)),"")</f>
        <v>0.24</v>
      </c>
      <c r="BD3" s="79">
        <f>IFERROR(INDEX(Overview!$A$2:$BM$32,MATCH($A3,Overview!$A$2:$A$32,0),MATCH(BD$2,Overview!$A$2:$BM$2,0)),"")</f>
        <v>0.6</v>
      </c>
      <c r="BE3" s="79">
        <f>IFERROR(INDEX(Overview!$A$2:$BM$32,MATCH($A3,Overview!$A$2:$A$32,0),MATCH(BE$2,Overview!$A$2:$BM$2,0)),"")</f>
        <v>1.07</v>
      </c>
      <c r="BF3" s="79">
        <f>IFERROR(INDEX(Overview!$A$2:$BM$32,MATCH($A3,Overview!$A$2:$A$32,0),MATCH(BF$2,Overview!$A$2:$BM$2,0)),"")</f>
        <v>0.78</v>
      </c>
      <c r="BG3" s="79">
        <f>IFERROR(INDEX(Overview!$A$2:$BM$32,MATCH($A3,Overview!$A$2:$A$32,0),MATCH(BG$2,Overview!$A$2:$BM$2,0)),"")</f>
        <v>0.4</v>
      </c>
      <c r="BH3" s="79">
        <f>IFERROR(INDEX(Overview!$A$2:$BM$32,MATCH($A3,Overview!$A$2:$A$32,0),MATCH(BH$2,Overview!$A$2:$BM$2,0)),"")</f>
        <v>8.6999999999999994E-2</v>
      </c>
      <c r="BI3" s="79">
        <f>IFERROR(INDEX(Overview!$A$2:$BM$32,MATCH($A3,Overview!$A$2:$A$32,0),MATCH(BI$2,Overview!$A$2:$BM$2,0)),"")</f>
        <v>0.1</v>
      </c>
      <c r="BJ3" s="79">
        <f>IFERROR(INDEX(Overview!$A$2:$BM$32,MATCH($A3,Overview!$A$2:$A$32,0),MATCH(BJ$2,Overview!$A$2:$BM$2,0)),"")</f>
        <v>0.248</v>
      </c>
      <c r="BK3" s="79">
        <f>IFERROR(INDEX(Overview!$A$2:$BM$32,MATCH($A3,Overview!$A$2:$A$32,0),MATCH(BK$2,Overview!$A$2:$BM$2,0)),"")</f>
        <v>0.04</v>
      </c>
      <c r="BL3" s="80">
        <f>IFERROR(INDEX(Overview!$A$2:$BM$32,MATCH($A3,Overview!$A$2:$A$32,0),MATCH(BL$2,Overview!$A$2:$BM$2,0)+11),"")</f>
        <v>0.13</v>
      </c>
      <c r="BM3" s="80">
        <f>IFERROR(INDEX(Overview!$A$2:$BM$32,MATCH($A3,Overview!$A$2:$A$32,0),MATCH(BM$2,Overview!$A$2:$BM$2,0)+11),"")</f>
        <v>0.111</v>
      </c>
      <c r="BN3" s="80">
        <f>IFERROR(INDEX(Overview!$A$2:$BM$32,MATCH($A3,Overview!$A$2:$A$32,0),MATCH(BN$2,Overview!$A$2:$BM$2,0)+11),"")</f>
        <v>0.25</v>
      </c>
      <c r="BO3" s="80">
        <f>IFERROR(INDEX(Overview!$A$2:$BM$32,MATCH($A3,Overview!$A$2:$A$32,0),MATCH(BO$2,Overview!$A$2:$BM$2,0)+11),"")</f>
        <v>0.62</v>
      </c>
      <c r="BP3" s="80">
        <f>IFERROR(INDEX(Overview!$A$2:$BM$32,MATCH($A3,Overview!$A$2:$A$32,0),MATCH(BP$2,Overview!$A$2:$BM$2,0)+11),"")</f>
        <v>1</v>
      </c>
      <c r="BQ3" s="80">
        <f>IFERROR(INDEX(Overview!$A$2:$BM$32,MATCH($A3,Overview!$A$2:$A$32,0),MATCH(BQ$2,Overview!$A$2:$BM$2,0)+11),"")</f>
        <v>0.74</v>
      </c>
      <c r="BR3" s="80">
        <f>IFERROR(INDEX(Overview!$A$2:$BM$32,MATCH($A3,Overview!$A$2:$A$32,0),MATCH(BR$2,Overview!$A$2:$BM$2,0)+11),"")</f>
        <v>0.37</v>
      </c>
      <c r="BS3" s="80">
        <f>IFERROR(INDEX(Overview!$A$2:$BM$32,MATCH($A3,Overview!$A$2:$A$32,0),MATCH(BS$2,Overview!$A$2:$BM$2,0)+11),"")</f>
        <v>8.1000000000000003E-2</v>
      </c>
      <c r="BT3" s="80">
        <f>IFERROR(INDEX(Overview!$A$2:$BM$32,MATCH($A3,Overview!$A$2:$A$32,0),MATCH(BT$2,Overview!$A$2:$BM$2,0)+11),"")</f>
        <v>9.0999999999999998E-2</v>
      </c>
      <c r="BU3" s="80">
        <f>IFERROR(INDEX(Overview!$A$2:$BM$32,MATCH($A3,Overview!$A$2:$A$32,0),MATCH(BU$2,Overview!$A$2:$BM$2,0)+11),"")</f>
        <v>0.24</v>
      </c>
      <c r="BV3" s="80">
        <f>IFERROR(INDEX(Overview!$A$2:$BM$32,MATCH($A3,Overview!$A$2:$A$32,0),MATCH(BV$2,Overview!$A$2:$BM$2,0)+11),"")</f>
        <v>3.5999999999999997E-2</v>
      </c>
      <c r="BW3" s="82">
        <f t="shared" ref="BW3:BW34" si="16">IFERROR(IF(ISODD(ROW()),AVERAGE(BA3,BA3,BA3,BL4,BL4),AVERAGE(BA3,BA3,BA3,BL2,BL2)),"")</f>
        <v>0.11000000000000001</v>
      </c>
      <c r="BX3" s="82">
        <f t="shared" ref="BX3:BX34" si="17">IFERROR(IF(ISODD(ROW()),AVERAGE(BB3,BB3,BB3,BM4,BM4),AVERAGE(BB3,BB3,BB3,BM2,BM2)),"")</f>
        <v>0.11499999999999999</v>
      </c>
      <c r="BY3" s="82">
        <f t="shared" ref="BY3:BY34" si="18">IFERROR(IF(ISODD(ROW()),AVERAGE(BC3,BC3,BC3,BN4,BN4),AVERAGE(BC3,BC3,BC3,BN2,BN2)),"")</f>
        <v>0.24399999999999999</v>
      </c>
      <c r="BZ3" s="82">
        <f t="shared" ref="BZ3:BZ34" si="19">IFERROR(IF(ISODD(ROW()),AVERAGE(BD3,BD3,BD3,BO4,BO4),AVERAGE(BD3,BD3,BD3,BO2,BO2)),"")</f>
        <v>0.60799999999999998</v>
      </c>
      <c r="CA3" s="82">
        <f t="shared" ref="CA3:CA34" si="20">IFERROR(IF(ISODD(ROW()),AVERAGE(BE3,BE3,BE3,BP4,BP4),AVERAGE(BE3,BE3,BE3,BP2,BP2)),"")</f>
        <v>1.054</v>
      </c>
      <c r="CB3" s="82">
        <f t="shared" ref="CB3:CB34" si="21">IFERROR(IF(ISODD(ROW()),AVERAGE(BF3,BF3,BF3,BQ4,BQ4),AVERAGE(BF3,BF3,BF3,BQ2,BQ2)),"")</f>
        <v>0.76800000000000002</v>
      </c>
      <c r="CC3" s="82">
        <f t="shared" ref="CC3:CC34" si="22">IFERROR(IF(ISODD(ROW()),AVERAGE(BG3,BG3,BG3,BR4,BR4),AVERAGE(BG3,BG3,BG3,BR2,BR2)),"")</f>
        <v>0.38800000000000007</v>
      </c>
      <c r="CD3" s="82">
        <f t="shared" ref="CD3:CD34" si="23">IFERROR(IF(ISODD(ROW()),AVERAGE(BH3,BH3,BH3,BS4,BS4),AVERAGE(BH3,BH3,BH3,BS2,BS2)),"")</f>
        <v>8.5000000000000006E-2</v>
      </c>
      <c r="CE3" s="82">
        <f t="shared" ref="CE3:CE34" si="24">IFERROR(IF(ISODD(ROW()),AVERAGE(BI3,BI3,BI3,BT4,BT4),AVERAGE(BI3,BI3,BI3,BT2,BT2)),"")</f>
        <v>9.3600000000000017E-2</v>
      </c>
      <c r="CF3" s="82">
        <f t="shared" ref="CF3:CF34" si="25">IFERROR(IF(ISODD(ROW()),AVERAGE(BJ3,BJ3,BJ3,BU4,BU4),AVERAGE(BJ3,BJ3,BJ3,BU2,BU2)),"")</f>
        <v>0.2472</v>
      </c>
      <c r="CG3" s="82">
        <f t="shared" ref="CG3:CG34" si="26">IFERROR(IF(ISODD(ROW()),AVERAGE(BK3,BK3,BK3,BV4,BV4),AVERAGE(BK3,BK3,BK3,BV2,BV2)),"")</f>
        <v>3.7199999999999997E-2</v>
      </c>
      <c r="CH3" s="83">
        <f>IFERROR(IF(ISODD(ROW()),AVERAGE(BL3,BL3,BL3,BA4,BA4),AVERAGE(BL3,BL3,BL3,BA2,BA2)),"")</f>
        <v>0.13</v>
      </c>
      <c r="CI3" s="83">
        <f t="shared" ref="CI3:CR3" si="27">IFERROR(IF(ISODD(ROW()),AVERAGE(BM3,BM3,BM3,BB4,BB4),AVERAGE(BM3,BM3,BM3,BB2,BB2)),"")</f>
        <v>0.10980000000000001</v>
      </c>
      <c r="CJ3" s="83">
        <f t="shared" si="27"/>
        <v>0.25</v>
      </c>
      <c r="CK3" s="83">
        <f t="shared" si="27"/>
        <v>0.628</v>
      </c>
      <c r="CL3" s="83">
        <f t="shared" si="27"/>
        <v>0.99199999999999999</v>
      </c>
      <c r="CM3" s="83">
        <f t="shared" si="27"/>
        <v>0.72799999999999998</v>
      </c>
      <c r="CN3" s="83">
        <f t="shared" si="27"/>
        <v>0.37399999999999994</v>
      </c>
      <c r="CO3" s="83">
        <f t="shared" si="27"/>
        <v>8.4199999999999983E-2</v>
      </c>
      <c r="CP3" s="83">
        <f t="shared" si="27"/>
        <v>9.1799999999999993E-2</v>
      </c>
      <c r="CQ3" s="83">
        <f t="shared" si="27"/>
        <v>0.22759999999999997</v>
      </c>
      <c r="CR3" s="83">
        <f t="shared" si="27"/>
        <v>3.6400000000000002E-2</v>
      </c>
      <c r="CV3" t="str">
        <f>Overview!BO3</f>
        <v>PwrSpd</v>
      </c>
      <c r="CW3" t="str">
        <f>Overview!BP3</f>
        <v>ISO</v>
      </c>
      <c r="CX3" t="str">
        <f>Overview!BQ3</f>
        <v>SecA</v>
      </c>
      <c r="CY3" t="str">
        <f>Overview!BR3</f>
        <v>TotA</v>
      </c>
      <c r="CZ3" t="str">
        <f>Overview!BS3</f>
        <v>BtWins</v>
      </c>
      <c r="DA3" t="str">
        <f>Overview!BT3</f>
        <v>BtRuns</v>
      </c>
      <c r="DB3" t="str">
        <f>Overview!BU3</f>
        <v>Own%</v>
      </c>
      <c r="DC3" t="str">
        <f>Overview!BV3</f>
        <v>OPS+</v>
      </c>
      <c r="DD3" t="str">
        <f>Overview!BW3</f>
        <v>SLG</v>
      </c>
      <c r="DE3" t="str">
        <f>Overview!BX3</f>
        <v>OBP</v>
      </c>
      <c r="DF3" t="str">
        <f>Overview!BY3</f>
        <v>BAbip</v>
      </c>
      <c r="DG3" t="str">
        <f>Overview!BZ3</f>
        <v>Int</v>
      </c>
      <c r="DJ3">
        <f>_xlfn.STDEV.P(Overview!$H$3:$H$32)</f>
        <v>0.54370784638649439</v>
      </c>
      <c r="DM3" t="str">
        <f t="shared" ref="DM3:DM34" si="28">C3</f>
        <v>Brewers</v>
      </c>
      <c r="DN3">
        <f t="shared" ref="DN3:DN34" si="29">D3</f>
        <v>155</v>
      </c>
      <c r="DP3">
        <f ca="1">IF(ISNUMBER(CODE(DQ3)),DP2+1,DP2)</f>
        <v>1</v>
      </c>
      <c r="DQ3" t="str">
        <f t="shared" ref="DQ3:DQ34" ca="1" si="30">IF(ISODD(ROW()),IF(AC3=DM3,C3&amp;" @ "&amp;C4,""),IF(AC3=DM3,C2&amp;" @ "&amp;C3,""))</f>
        <v>Brewers @ Nationals</v>
      </c>
      <c r="DR3" t="str">
        <f ca="1">IF(AC3=DM3,DM3&amp;" Moneyline","")</f>
        <v>Brewers Moneyline</v>
      </c>
      <c r="DS3" t="str">
        <f t="shared" ref="DS3:DS34" ca="1" si="31">IF(AC3=DM3,IF(DN3&lt;0,DN3,"+"&amp;DN3),"")</f>
        <v>+155</v>
      </c>
      <c r="DT3">
        <f ca="1">IF(ISNUMBER(CODE(DQ3)),AVERAGE(S3,S3,S3,Z3,Z3),"")</f>
        <v>0.44549196897157628</v>
      </c>
      <c r="DU3">
        <f ca="1">IF(ISNUMBER(CODE(DV3)),DU2+1,DU2)</f>
        <v>1</v>
      </c>
      <c r="DV3" t="str">
        <f t="shared" ref="DV3:DV34" si="32">IF(ISODD(ROW()),IF(ISNUMBER(CODE(AD3)),C3&amp;" @ "&amp;C4,""),IF(ISNUMBER(CODE(AD3)),C2&amp;" @ "&amp;C3,""))</f>
        <v/>
      </c>
      <c r="DW3" t="str">
        <f>IF(ISNUMBER(CODE(AD3)),AD3,"")</f>
        <v/>
      </c>
      <c r="DX3" t="str">
        <f t="shared" si="0"/>
        <v/>
      </c>
      <c r="DZ3" t="str">
        <f ca="1">IFERROR(IFERROR(VLOOKUP(ROW()-2,$DP$3:$DT$34,2,0),VLOOKUP(ROW()-2,$DU$3:$DX$34,2,0)),"")</f>
        <v>Brewers @ Nationals</v>
      </c>
      <c r="EA3" t="str">
        <f ca="1">IFERROR(IFERROR(VLOOKUP(ROW()-2,$DP$3:$DT$34,3,0),VLOOKUP(ROW()-2,$DU$3:$DX$34,3,0)),"")</f>
        <v>Brewers Moneyline</v>
      </c>
      <c r="EB3" s="84">
        <f ca="1">IFERROR(ROUND(EE3*(IF(EF3="M",$EE$1,$EE$2)),2),"")</f>
        <v>20</v>
      </c>
      <c r="EC3" s="1" t="str">
        <f t="shared" ref="EC3:EC19" ca="1" si="33">IFERROR(VLOOKUP(ROW()-2,$DP$3:$DS$34,4,0),"")</f>
        <v>+155</v>
      </c>
      <c r="ED3">
        <f ca="1">IFERROR(IFERROR(VLOOKUP(ROW()-2,$DP$3:$DT$34,5,0),VLOOKUP(ROW()-2,$DU$3:$DX$34,4,0)),"")</f>
        <v>0.44549196897157628</v>
      </c>
      <c r="EE3">
        <f ca="1">IF(ISNUMBER(CODE(ED3)),IF(EF3="M",ED3/SUMIF($EF$3:$EF$62,"M",$ED$3:$ED$62),ED3/SUMIF($EF$3:$EF$62,"OU",$ED$3:$ED$62)),"")</f>
        <v>1</v>
      </c>
      <c r="EF3" t="str">
        <f ca="1">IF(ISNUMBER(CODE(EA3)),IF(ISNUMBER(SEARCH("money",EA3)),"M","OU"),"")</f>
        <v>M</v>
      </c>
      <c r="EJ3" t="s">
        <v>3373</v>
      </c>
      <c r="EK3" t="s">
        <v>3779</v>
      </c>
    </row>
    <row r="4" spans="1:141" ht="15.75" thickBot="1" x14ac:dyDescent="0.3">
      <c r="A4" s="28" t="str">
        <f>IFERROR(INDEX(Overview!$A$3:$B$32,MATCH(Bet!$C4,Overview!$B$3:$B$32,0),1),"X")</f>
        <v>WSN</v>
      </c>
      <c r="B4" s="28">
        <f>IF(ISBLANK(C4),"",IFERROR(INDEX(Pitchers[],MATCH(F4,Pitchers[Player],0),MATCH(G$2,Pitchers[#Headers],0)),"X"))</f>
        <v>-1.5757698284968924</v>
      </c>
      <c r="C4" s="4" t="s">
        <v>251</v>
      </c>
      <c r="D4" s="10">
        <v>-188</v>
      </c>
      <c r="E4" s="96"/>
      <c r="F4" s="51" t="s">
        <v>339</v>
      </c>
      <c r="G4" s="48">
        <f>IFERROR(INDEX(Pitchers[],MATCH(Bet!F4,Pitchers[Player],0),MATCH(G$2,Pitchers[#Headers],0)),PlayerPitching!$AD$12)</f>
        <v>-1.5757698284968924</v>
      </c>
      <c r="H4" s="48">
        <f>IF(ISNUMBER(CODE(C4)),INDEX(Scores!$P$2:$T$33,MATCH($C4,Scores!$R$2:$R$33,0),4),"")</f>
        <v>6.333333333333333</v>
      </c>
      <c r="I4" s="48">
        <f>IF(ISNUMBER(CODE(C4)),IF(INDEX(Scores!$P$2:$T$33,MATCH($C4,Scores!$R$2:$R$33,0),5)=0,1,INDEX(Scores!$P$2:$T$33,MATCH($C4,Scores!$R$2:$R$33,0),5)),"")</f>
        <v>6.342099196813483</v>
      </c>
      <c r="J4" s="48">
        <f t="shared" si="1"/>
        <v>5.6428593277233663</v>
      </c>
      <c r="K4" s="49">
        <f t="shared" si="2"/>
        <v>4.4069260953022553</v>
      </c>
      <c r="L4" s="49">
        <f t="shared" si="3"/>
        <v>5.3218195395431547</v>
      </c>
      <c r="M4" s="49">
        <f t="shared" si="4"/>
        <v>4.7975727598054485</v>
      </c>
      <c r="N4" s="49">
        <f t="shared" si="5"/>
        <v>5.4512089529209709</v>
      </c>
      <c r="O4" s="49">
        <f t="shared" si="6"/>
        <v>4.6371200724243078</v>
      </c>
      <c r="P4" s="49">
        <f t="shared" si="7"/>
        <v>5.107874895460391</v>
      </c>
      <c r="Q4" s="49">
        <f>IFERROR(_xlfn.NORM.INV(INDEX(Scores!$P$2:$U$33,MATCH($C4,Scores!$R$2:$R$33,0),6),H4,I4),"")</f>
        <v>6.824480770217022</v>
      </c>
      <c r="R4" s="49">
        <f t="shared" si="8"/>
        <v>4.312926287360666</v>
      </c>
      <c r="S4" s="49">
        <f t="shared" si="9"/>
        <v>0.49751338504737275</v>
      </c>
      <c r="T4" s="49">
        <f t="shared" ref="T4:T24" si="34">IFERROR(IF(ISODD(ROW()),_xlfn.NORM.DIST(U4,E4,I4+I5,1),1-T3),"")</f>
        <v>0.41826051739283898</v>
      </c>
      <c r="U4" s="96"/>
      <c r="V4" s="68">
        <f t="shared" si="11"/>
        <v>0</v>
      </c>
      <c r="W4" s="65">
        <f t="shared" si="12"/>
        <v>101</v>
      </c>
      <c r="X4" s="51">
        <f t="shared" ca="1" si="13"/>
        <v>-178</v>
      </c>
      <c r="Y4" s="48">
        <f t="shared" ref="Y4:Y34" si="35">IFERROR(ROUND(S4,2),"")</f>
        <v>0.5</v>
      </c>
      <c r="Z4" s="48">
        <f ca="1">IFERROR(INDEX('538'!$Q$9:$U$190,MATCH(Bet!$C4,'538'!$Q$9:$Q$190,0),5),"")</f>
        <v>0.64</v>
      </c>
      <c r="AA4">
        <f t="shared" ref="AA4:AA34" si="36">IF(D4=0,"",ROUND(IF(D4&lt;0,D4/(D4-100),1/(D4/100+1)),2))</f>
        <v>0.65</v>
      </c>
      <c r="AB4">
        <f t="shared" si="14"/>
        <v>7.5</v>
      </c>
      <c r="AC4" t="str">
        <f t="shared" ref="AC4:AC34" ca="1" si="37">IFERROR(IF(AA4&lt;0.5,IF(AVERAGE(Y4,Y4,Y4,Z4,Z4)&gt;AA4+0.05,C4,""),IF(OR(AVERAGE(Y4,Y4,Y4,Z4,Z4)&gt;AA4+0.03,AVERAGE(Y4,Y4,Y4,Z4,Z4)&gt;0.6),C4,"")),"")</f>
        <v/>
      </c>
      <c r="AD4" t="str">
        <f t="shared" si="15"/>
        <v/>
      </c>
      <c r="AE4">
        <f>IFERROR(INDEX(Overview!$A$2:$BF$32,MATCH($A4,Overview!$A$2:$A$32,0),MATCH(AE$2,Overview!$A$2:$BF$2,0)),"")</f>
        <v>154.4</v>
      </c>
      <c r="AF4">
        <f>IFERROR(INDEX(Overview!$A$2:$BF$32,MATCH($A4,Overview!$A$2:$A$32,0),MATCH(AF$2,Overview!$A$2:$BF$2,0)),"")</f>
        <v>0.19</v>
      </c>
      <c r="AG4">
        <f>IFERROR(INDEX(Overview!$A$2:$BF$32,MATCH($A4,Overview!$A$2:$A$32,0),MATCH(AG$2,Overview!$A$2:$BF$2,0)),"")</f>
        <v>0.311</v>
      </c>
      <c r="AH4">
        <f>IFERROR(INDEX(Overview!$A$2:$BF$32,MATCH($A4,Overview!$A$2:$A$32,0),MATCH(AH$2,Overview!$A$2:$BF$2,0)),"")</f>
        <v>0.78300000000000003</v>
      </c>
      <c r="AI4">
        <f>IFERROR(INDEX(Overview!$A$2:$BF$32,MATCH($A4,Overview!$A$2:$A$32,0),MATCH(AI$2,Overview!$A$2:$BF$2,0)),"")</f>
        <v>-0.1</v>
      </c>
      <c r="AJ4">
        <f>IFERROR(INDEX(Overview!$A$2:$BF$32,MATCH($A4,Overview!$A$2:$A$32,0),MATCH(AJ$2,Overview!$A$2:$BF$2,0)),"")</f>
        <v>2.4</v>
      </c>
      <c r="AK4">
        <f>IFERROR(INDEX(Overview!$A$2:$BF$32,MATCH($A4,Overview!$A$2:$A$32,0),MATCH(AK$2,Overview!$A$2:$BF$2,0)),"")</f>
        <v>0.56000000000000005</v>
      </c>
      <c r="AL4">
        <f>IFERROR(INDEX(Overview!$A$2:$BF$32,MATCH($A4,Overview!$A$2:$A$32,0),MATCH(AL$2,Overview!$A$2:$BF$2,0)),"")</f>
        <v>100</v>
      </c>
      <c r="AM4">
        <f>IFERROR(INDEX(Overview!$A$2:$BF$32,MATCH($A4,Overview!$A$2:$A$32,0),MATCH(AM$2,Overview!$A$2:$BF$2,0)),"")</f>
        <v>0.45400000000000001</v>
      </c>
      <c r="AN4">
        <f>IFERROR(INDEX(Overview!$A$2:$BF$32,MATCH($A4,Overview!$A$2:$A$32,0),MATCH(AN$2,Overview!$A$2:$BF$2,0)),"")</f>
        <v>0.34200000000000003</v>
      </c>
      <c r="AO4">
        <f>IFERROR(INDEX(Overview!$A$2:$BF$32,MATCH($A4,Overview!$A$2:$A$32,0),MATCH(AO$2,Overview!$A$2:$BF$2,0)),"")</f>
        <v>0.30599999999999999</v>
      </c>
      <c r="AP4">
        <f>IFERROR(INDEX(Overview!$A$2:$BM$32,MATCH($A4,Overview!$A$2:$A$32,0),MATCH(AP$2,Overview!$A$2:$BM$2,0)),"")</f>
        <v>1092</v>
      </c>
      <c r="AQ4">
        <f>IFERROR(INDEX(Overview!$A$2:$BM$32,MATCH($A4,Overview!$A$2:$A$32,0),MATCH(AQ$2,Overview!$A$2:$BM$2,0)),"")</f>
        <v>2.92</v>
      </c>
      <c r="AR4">
        <f>IFERROR(INDEX(Overview!$A$2:$BM$32,MATCH($A4,Overview!$A$2:$A$32,0),MATCH(AR$2,Overview!$A$2:$BM$2,0)),"")</f>
        <v>9.4</v>
      </c>
      <c r="AS4">
        <f>IFERROR(INDEX(Overview!$A$2:$BM$32,MATCH($A4,Overview!$A$2:$A$32,0),MATCH(AS$2,Overview!$A$2:$BM$2,0)),"")</f>
        <v>3.2</v>
      </c>
      <c r="AT4">
        <f>IFERROR(INDEX(Overview!$A$2:$BM$32,MATCH($A4,Overview!$A$2:$A$32,0),MATCH(AT$2,Overview!$A$2:$BM$2,0)),"")</f>
        <v>1.3</v>
      </c>
      <c r="AU4">
        <f>IFERROR(INDEX(Overview!$A$2:$BM$32,MATCH($A4,Overview!$A$2:$A$32,0),MATCH(AU$2,Overview!$A$2:$BM$2,0)),"")</f>
        <v>8.4</v>
      </c>
      <c r="AV4">
        <f>IFERROR(INDEX(Overview!$A$2:$BM$32,MATCH($A4,Overview!$A$2:$A$32,0),MATCH(AV$2,Overview!$A$2:$BM$2,0)),"")</f>
        <v>1.29</v>
      </c>
      <c r="AW4">
        <f>IFERROR(INDEX(Overview!$A$2:$BM$32,MATCH($A4,Overview!$A$2:$A$32,0),MATCH(AW$2,Overview!$A$2:$BM$2,0)),"")</f>
        <v>4.1399999999999997</v>
      </c>
      <c r="AX4">
        <f>IFERROR(INDEX(Overview!$A$2:$BM$32,MATCH($A4,Overview!$A$2:$A$32,0),MATCH(AX$2,Overview!$A$2:$BM$2,0)),"")</f>
        <v>108</v>
      </c>
      <c r="AY4">
        <f>IFERROR(INDEX(Overview!$A$2:$BM$32,MATCH($A4,Overview!$A$2:$A$32,0),MATCH(AY$2,Overview!$A$2:$BM$2,0)),"")</f>
        <v>6134</v>
      </c>
      <c r="AZ4">
        <f>IFERROR(INDEX(Overview!$A$2:$BM$32,MATCH($A4,Overview!$A$2:$A$32,0),MATCH(AZ$2,Overview!$A$2:$BM$2,0)),"")</f>
        <v>53</v>
      </c>
      <c r="BA4" s="79">
        <f>IFERROR(INDEX(Overview!$A$2:$BM$32,MATCH($A4,Overview!$A$2:$A$32,0),MATCH(BA$2,Overview!$A$2:$BM$2,0)),"")</f>
        <v>0.13</v>
      </c>
      <c r="BB4" s="79">
        <f>IFERROR(INDEX(Overview!$A$2:$BM$32,MATCH($A4,Overview!$A$2:$A$32,0),MATCH(BB$2,Overview!$A$2:$BM$2,0)),"")</f>
        <v>0.108</v>
      </c>
      <c r="BC4" s="79">
        <f>IFERROR(INDEX(Overview!$A$2:$BM$32,MATCH($A4,Overview!$A$2:$A$32,0),MATCH(BC$2,Overview!$A$2:$BM$2,0)),"")</f>
        <v>0.25</v>
      </c>
      <c r="BD4" s="79">
        <f>IFERROR(INDEX(Overview!$A$2:$BM$32,MATCH($A4,Overview!$A$2:$A$32,0),MATCH(BD$2,Overview!$A$2:$BM$2,0)),"")</f>
        <v>0.64</v>
      </c>
      <c r="BE4" s="79">
        <f>IFERROR(INDEX(Overview!$A$2:$BM$32,MATCH($A4,Overview!$A$2:$A$32,0),MATCH(BE$2,Overview!$A$2:$BM$2,0)),"")</f>
        <v>0.98</v>
      </c>
      <c r="BF4" s="79">
        <f>IFERROR(INDEX(Overview!$A$2:$BM$32,MATCH($A4,Overview!$A$2:$A$32,0),MATCH(BF$2,Overview!$A$2:$BM$2,0)),"")</f>
        <v>0.71</v>
      </c>
      <c r="BG4" s="79">
        <f>IFERROR(INDEX(Overview!$A$2:$BM$32,MATCH($A4,Overview!$A$2:$A$32,0),MATCH(BG$2,Overview!$A$2:$BM$2,0)),"")</f>
        <v>0.38</v>
      </c>
      <c r="BH4" s="79">
        <f>IFERROR(INDEX(Overview!$A$2:$BM$32,MATCH($A4,Overview!$A$2:$A$32,0),MATCH(BH$2,Overview!$A$2:$BM$2,0)),"")</f>
        <v>8.8999999999999996E-2</v>
      </c>
      <c r="BI4" s="79">
        <f>IFERROR(INDEX(Overview!$A$2:$BM$32,MATCH($A4,Overview!$A$2:$A$32,0),MATCH(BI$2,Overview!$A$2:$BM$2,0)),"")</f>
        <v>9.2999999999999999E-2</v>
      </c>
      <c r="BJ4" s="79">
        <f>IFERROR(INDEX(Overview!$A$2:$BM$32,MATCH($A4,Overview!$A$2:$A$32,0),MATCH(BJ$2,Overview!$A$2:$BM$2,0)),"")</f>
        <v>0.20899999999999999</v>
      </c>
      <c r="BK4" s="79">
        <f>IFERROR(INDEX(Overview!$A$2:$BM$32,MATCH($A4,Overview!$A$2:$A$32,0),MATCH(BK$2,Overview!$A$2:$BM$2,0)),"")</f>
        <v>3.6999999999999998E-2</v>
      </c>
      <c r="BL4" s="80">
        <f>IFERROR(INDEX(Overview!$A$2:$BM$32,MATCH($A4,Overview!$A$2:$A$32,0),MATCH(BL$2,Overview!$A$2:$BM$2,0)+11),"")</f>
        <v>0.11</v>
      </c>
      <c r="BM4" s="80">
        <f>IFERROR(INDEX(Overview!$A$2:$BM$32,MATCH($A4,Overview!$A$2:$A$32,0),MATCH(BM$2,Overview!$A$2:$BM$2,0)+11),"")</f>
        <v>0.1</v>
      </c>
      <c r="BN4" s="80">
        <f>IFERROR(INDEX(Overview!$A$2:$BM$32,MATCH($A4,Overview!$A$2:$A$32,0),MATCH(BN$2,Overview!$A$2:$BM$2,0)+11),"")</f>
        <v>0.25</v>
      </c>
      <c r="BO4" s="80">
        <f>IFERROR(INDEX(Overview!$A$2:$BM$32,MATCH($A4,Overview!$A$2:$A$32,0),MATCH(BO$2,Overview!$A$2:$BM$2,0)+11),"")</f>
        <v>0.62</v>
      </c>
      <c r="BP4" s="80">
        <f>IFERROR(INDEX(Overview!$A$2:$BM$32,MATCH($A4,Overview!$A$2:$A$32,0),MATCH(BP$2,Overview!$A$2:$BM$2,0)+11),"")</f>
        <v>1.03</v>
      </c>
      <c r="BQ4" s="80">
        <f>IFERROR(INDEX(Overview!$A$2:$BM$32,MATCH($A4,Overview!$A$2:$A$32,0),MATCH(BQ$2,Overview!$A$2:$BM$2,0)+11),"")</f>
        <v>0.75</v>
      </c>
      <c r="BR4" s="80">
        <f>IFERROR(INDEX(Overview!$A$2:$BM$32,MATCH($A4,Overview!$A$2:$A$32,0),MATCH(BR$2,Overview!$A$2:$BM$2,0)+11),"")</f>
        <v>0.37</v>
      </c>
      <c r="BS4" s="80">
        <f>IFERROR(INDEX(Overview!$A$2:$BM$32,MATCH($A4,Overview!$A$2:$A$32,0),MATCH(BS$2,Overview!$A$2:$BM$2,0)+11),"")</f>
        <v>8.2000000000000003E-2</v>
      </c>
      <c r="BT4" s="80">
        <f>IFERROR(INDEX(Overview!$A$2:$BM$32,MATCH($A4,Overview!$A$2:$A$32,0),MATCH(BT$2,Overview!$A$2:$BM$2,0)+11),"")</f>
        <v>8.4000000000000005E-2</v>
      </c>
      <c r="BU4" s="80">
        <f>IFERROR(INDEX(Overview!$A$2:$BM$32,MATCH($A4,Overview!$A$2:$A$32,0),MATCH(BU$2,Overview!$A$2:$BM$2,0)+11),"")</f>
        <v>0.246</v>
      </c>
      <c r="BV4" s="80">
        <f>IFERROR(INDEX(Overview!$A$2:$BM$32,MATCH($A4,Overview!$A$2:$A$32,0),MATCH(BV$2,Overview!$A$2:$BM$2,0)+11),"")</f>
        <v>3.3000000000000002E-2</v>
      </c>
      <c r="BW4" s="82">
        <f t="shared" si="16"/>
        <v>0.13</v>
      </c>
      <c r="BX4" s="82">
        <f t="shared" si="17"/>
        <v>0.10920000000000001</v>
      </c>
      <c r="BY4" s="82">
        <f t="shared" si="18"/>
        <v>0.25</v>
      </c>
      <c r="BZ4" s="82">
        <f t="shared" si="19"/>
        <v>0.63200000000000001</v>
      </c>
      <c r="CA4" s="82">
        <f t="shared" si="20"/>
        <v>0.98799999999999988</v>
      </c>
      <c r="CB4" s="82">
        <f t="shared" si="21"/>
        <v>0.72200000000000009</v>
      </c>
      <c r="CC4" s="82">
        <f t="shared" si="22"/>
        <v>0.37600000000000006</v>
      </c>
      <c r="CD4" s="82">
        <f t="shared" si="23"/>
        <v>8.5800000000000015E-2</v>
      </c>
      <c r="CE4" s="82">
        <f t="shared" si="24"/>
        <v>9.219999999999999E-2</v>
      </c>
      <c r="CF4" s="82">
        <f t="shared" si="25"/>
        <v>0.22139999999999999</v>
      </c>
      <c r="CG4" s="82">
        <f t="shared" si="26"/>
        <v>3.6600000000000001E-2</v>
      </c>
      <c r="CH4" s="83">
        <f t="shared" ref="CH4:CH34" si="38">IFERROR(IF(ISODD(ROW()),AVERAGE(BL4,BL4,BL4,BA5,BA5),AVERAGE(BL4,BL4,BL4,BA3,BA3)),"")</f>
        <v>0.11000000000000001</v>
      </c>
      <c r="CI4" s="83">
        <f t="shared" ref="CI4:CI34" si="39">IFERROR(IF(ISODD(ROW()),AVERAGE(BM4,BM4,BM4,BB5,BB5),AVERAGE(BM4,BM4,BM4,BB3,BB3)),"")</f>
        <v>0.11000000000000001</v>
      </c>
      <c r="CJ4" s="83">
        <f t="shared" ref="CJ4:CJ34" si="40">IFERROR(IF(ISODD(ROW()),AVERAGE(BN4,BN4,BN4,BC5,BC5),AVERAGE(BN4,BN4,BN4,BC3,BC3)),"")</f>
        <v>0.246</v>
      </c>
      <c r="CK4" s="83">
        <f t="shared" ref="CK4:CK34" si="41">IFERROR(IF(ISODD(ROW()),AVERAGE(BO4,BO4,BO4,BD5,BD5),AVERAGE(BO4,BO4,BO4,BD3,BD3)),"")</f>
        <v>0.61199999999999999</v>
      </c>
      <c r="CL4" s="83">
        <f t="shared" ref="CL4:CL34" si="42">IFERROR(IF(ISODD(ROW()),AVERAGE(BP4,BP4,BP4,BE5,BE5),AVERAGE(BP4,BP4,BP4,BE3,BE3)),"")</f>
        <v>1.046</v>
      </c>
      <c r="CM4" s="83">
        <f t="shared" ref="CM4:CM34" si="43">IFERROR(IF(ISODD(ROW()),AVERAGE(BQ4,BQ4,BQ4,BF5,BF5),AVERAGE(BQ4,BQ4,BQ4,BF3,BF3)),"")</f>
        <v>0.76200000000000012</v>
      </c>
      <c r="CN4" s="83">
        <f t="shared" ref="CN4:CN34" si="44">IFERROR(IF(ISODD(ROW()),AVERAGE(BR4,BR4,BR4,BG5,BG5),AVERAGE(BR4,BR4,BR4,BG3,BG3)),"")</f>
        <v>0.38199999999999995</v>
      </c>
      <c r="CO4" s="83">
        <f t="shared" ref="CO4:CO34" si="45">IFERROR(IF(ISODD(ROW()),AVERAGE(BS4,BS4,BS4,BH5,BH5),AVERAGE(BS4,BS4,BS4,BH3,BH3)),"")</f>
        <v>8.3999999999999991E-2</v>
      </c>
      <c r="CP4" s="83">
        <f t="shared" ref="CP4:CP34" si="46">IFERROR(IF(ISODD(ROW()),AVERAGE(BT4,BT4,BT4,BI5,BI5),AVERAGE(BT4,BT4,BT4,BI3,BI3)),"")</f>
        <v>9.0399999999999994E-2</v>
      </c>
      <c r="CQ4" s="83">
        <f t="shared" ref="CQ4:CQ34" si="47">IFERROR(IF(ISODD(ROW()),AVERAGE(BU4,BU4,BU4,BJ5,BJ5),AVERAGE(BU4,BU4,BU4,BJ3,BJ3)),"")</f>
        <v>0.24679999999999999</v>
      </c>
      <c r="CR4" s="83">
        <f t="shared" ref="CR4:CR34" si="48">IFERROR(IF(ISODD(ROW()),AVERAGE(BV4,BV4,BV4,BK5,BK5),AVERAGE(BV4,BV4,BV4,BK3,BK3)),"")</f>
        <v>3.5800000000000005E-2</v>
      </c>
      <c r="CV4">
        <f>Overview!BO4</f>
        <v>-2.1327942677093277E-3</v>
      </c>
      <c r="CW4">
        <f>Overview!BP4</f>
        <v>-17.33138902295816</v>
      </c>
      <c r="CX4">
        <f>Overview!BQ4</f>
        <v>5.2638794670594997</v>
      </c>
      <c r="CY4">
        <f>Overview!BR4</f>
        <v>5.6189606167256265</v>
      </c>
      <c r="CZ4">
        <f>Overview!BS4</f>
        <v>-8.9602755844892648E-2</v>
      </c>
      <c r="DA4">
        <f>Overview!BT4</f>
        <v>8.4601266624131106E-3</v>
      </c>
      <c r="DB4">
        <f>Overview!BU4</f>
        <v>5.4347349355574313</v>
      </c>
      <c r="DC4">
        <f>Overview!BV4</f>
        <v>1.7547415121299933E-3</v>
      </c>
      <c r="DD4">
        <f>Overview!BW4</f>
        <v>8.9094355893060175</v>
      </c>
      <c r="DE4">
        <f>Overview!BX4</f>
        <v>-7.2621980215278148</v>
      </c>
      <c r="DF4">
        <f>Overview!BY4</f>
        <v>1.2520312140292864</v>
      </c>
      <c r="DG4">
        <f>Overview!BZ4</f>
        <v>-1.9641098805067554</v>
      </c>
      <c r="DM4" t="str">
        <f t="shared" si="28"/>
        <v>Nationals</v>
      </c>
      <c r="DN4">
        <f t="shared" si="29"/>
        <v>-188</v>
      </c>
      <c r="DP4">
        <f t="shared" ref="DP4:DP34" ca="1" si="49">IF(ISNUMBER(CODE(DQ4)),DP3+1,DP3)</f>
        <v>1</v>
      </c>
      <c r="DQ4" t="str">
        <f t="shared" ca="1" si="30"/>
        <v/>
      </c>
      <c r="DR4" t="str">
        <f t="shared" ref="DR4:DR34" ca="1" si="50">IF(AC4=DM4,DM4&amp;" Moneyline","")</f>
        <v/>
      </c>
      <c r="DS4" t="str">
        <f t="shared" ca="1" si="31"/>
        <v/>
      </c>
      <c r="DT4" t="str">
        <f t="shared" ref="DT4:DT34" ca="1" si="51">IF(ISNUMBER(CODE(DQ4)),AVERAGE(S4,S4,S4,Z4,Z4),"")</f>
        <v/>
      </c>
      <c r="DU4">
        <f t="shared" ref="DU4:DU34" ca="1" si="52">IF(ISNUMBER(CODE(DV4)),DU3+1,DU3)</f>
        <v>1</v>
      </c>
      <c r="DV4" t="str">
        <f t="shared" si="32"/>
        <v/>
      </c>
      <c r="DW4" t="str">
        <f t="shared" ref="DW4:DW34" si="53">IF(ISNUMBER(CODE(AD4)),AD4,"")</f>
        <v/>
      </c>
      <c r="DX4" t="str">
        <f t="shared" si="0"/>
        <v/>
      </c>
      <c r="DZ4" t="str">
        <f t="shared" ref="DZ4:DZ62" ca="1" si="54">IFERROR(IFERROR(VLOOKUP(ROW()-2,$DP$3:$DT$34,2,0),VLOOKUP(ROW()-2,$DU$3:$DX$34,2,0)),"")</f>
        <v/>
      </c>
      <c r="EA4" t="str">
        <f t="shared" ref="EA4:EA62" ca="1" si="55">IFERROR(IFERROR(VLOOKUP(ROW()-2,$DP$3:$DT$34,3,0),VLOOKUP(ROW()-2,$DU$3:$DX$34,3,0)),"")</f>
        <v/>
      </c>
      <c r="EB4" s="84" t="str">
        <f t="shared" ref="EB4:EB62" ca="1" si="56">IFERROR(ROUND(EE4*(IF(EF4="M",$EE$1,$EE$2)),2),"")</f>
        <v/>
      </c>
      <c r="EC4" s="1" t="str">
        <f t="shared" ca="1" si="33"/>
        <v/>
      </c>
      <c r="ED4" t="str">
        <f t="shared" ref="ED4:ED62" ca="1" si="57">IFERROR(IFERROR(VLOOKUP(ROW()-2,$DP$3:$DT$34,5,0),VLOOKUP(ROW()-2,$DU$3:$DX$34,4,0)),"")</f>
        <v/>
      </c>
      <c r="EE4" t="str">
        <f t="shared" ref="EE4:EE62" ca="1" si="58">IF(ISNUMBER(CODE(ED4)),IF(EF4="M",ED4/SUMIF($EF$3:$EF$62,"M",$ED$3:$ED$62),ED4/SUMIF($EF$3:$EF$62,"OU",$ED$3:$ED$62)),"")</f>
        <v/>
      </c>
      <c r="EF4" t="str">
        <f t="shared" ref="EF4:EF62" ca="1" si="59">IF(ISNUMBER(CODE(EA4)),IF(ISNUMBER(SEARCH("money",EA4)),"M","OU"),"")</f>
        <v/>
      </c>
      <c r="EJ4" t="str">
        <f ca="1">'538'!Q9</f>
        <v>Brewers</v>
      </c>
      <c r="EK4" t="str">
        <f ca="1">'538'!T9</f>
        <v>Brandon Woodruff</v>
      </c>
    </row>
    <row r="5" spans="1:141" x14ac:dyDescent="0.25">
      <c r="A5" s="28" t="str">
        <f>IFERROR(INDEX(Overview!$A$3:$B$32,MATCH(Bet!$C5,Overview!$B$3:$B$32,0),1),"X")</f>
        <v>X</v>
      </c>
      <c r="B5" s="28" t="str">
        <f>IF(ISBLANK(C5),"",IFERROR(INDEX(Pitchers[],MATCH(F5,Pitchers[Player],0),MATCH(G$2,Pitchers[#Headers],0)),"X"))</f>
        <v/>
      </c>
      <c r="C5" s="2"/>
      <c r="D5" s="3"/>
      <c r="E5" s="95"/>
      <c r="F5" s="50"/>
      <c r="G5" s="48">
        <f>IFERROR(INDEX(Pitchers[],MATCH(Bet!F5,Pitchers[Player],0),MATCH(G$2,Pitchers[#Headers],0)),PlayerPitching!$AD$12)</f>
        <v>-0.13933069723404246</v>
      </c>
      <c r="H5" s="48" t="str">
        <f>IF(ISNUMBER(CODE(C5)),INDEX(Scores!$P$2:$T$33,MATCH($C5,Scores!$R$2:$R$33,0),4),"")</f>
        <v/>
      </c>
      <c r="I5" s="48" t="str">
        <f>IF(ISNUMBER(CODE(C5)),IF(INDEX(Scores!$P$2:$T$33,MATCH($C5,Scores!$R$2:$R$33,0),5)=0,1,INDEX(Scores!$P$2:$T$33,MATCH($C5,Scores!$R$2:$R$33,0),5)),"")</f>
        <v/>
      </c>
      <c r="J5" s="48">
        <f t="shared" si="1"/>
        <v>-1.9641098805067554</v>
      </c>
      <c r="K5" s="49">
        <f t="shared" si="2"/>
        <v>-9.4751509617551655</v>
      </c>
      <c r="L5" s="49">
        <f t="shared" si="3"/>
        <v>16.909645863110409</v>
      </c>
      <c r="M5" s="49">
        <f t="shared" si="4"/>
        <v>10.056673523576878</v>
      </c>
      <c r="N5" s="49">
        <f t="shared" si="5"/>
        <v>9.3029121378439612</v>
      </c>
      <c r="O5" s="49">
        <f t="shared" si="6"/>
        <v>2.0342481123324334</v>
      </c>
      <c r="P5" s="49">
        <f t="shared" si="7"/>
        <v>5.6685801250881971</v>
      </c>
      <c r="Q5" s="49" t="str">
        <f>IFERROR(_xlfn.NORM.INV(INDEX(Scores!$P$2:$U$33,MATCH($C5,Scores!$R$2:$R$33,0),6),H5,I5),"")</f>
        <v/>
      </c>
      <c r="R5" s="49" t="str">
        <f t="shared" si="8"/>
        <v/>
      </c>
      <c r="S5" s="49" t="str">
        <f t="shared" si="9"/>
        <v/>
      </c>
      <c r="T5" s="49" t="str">
        <f t="shared" si="34"/>
        <v/>
      </c>
      <c r="U5" s="95" t="str">
        <f t="shared" ref="U5" si="60">IFERROR(ROUND(ROUND((R5+R6)*2,0)/2,1)+1.5,"")</f>
        <v/>
      </c>
      <c r="V5" s="67" t="str">
        <f t="shared" si="11"/>
        <v/>
      </c>
      <c r="W5" s="64" t="str">
        <f t="shared" si="12"/>
        <v/>
      </c>
      <c r="X5" s="50" t="str">
        <f t="shared" si="13"/>
        <v/>
      </c>
      <c r="Y5" s="48" t="str">
        <f t="shared" si="35"/>
        <v/>
      </c>
      <c r="Z5" s="48" t="str">
        <f ca="1">IFERROR(INDEX('538'!$Q$9:$U$190,MATCH(Bet!$C5,'538'!$Q$9:$Q$190,0),5),"")</f>
        <v/>
      </c>
      <c r="AA5" t="str">
        <f t="shared" si="36"/>
        <v/>
      </c>
      <c r="AB5">
        <f t="shared" si="14"/>
        <v>0</v>
      </c>
      <c r="AC5" t="str">
        <f t="shared" ca="1" si="37"/>
        <v/>
      </c>
      <c r="AD5" t="str">
        <f t="shared" si="15"/>
        <v/>
      </c>
      <c r="AE5" t="str">
        <f>IFERROR(INDEX(Overview!$A$2:$BF$32,MATCH($A5,Overview!$A$2:$A$32,0),MATCH(AE$2,Overview!$A$2:$BF$2,0)),"")</f>
        <v/>
      </c>
      <c r="AF5" t="str">
        <f>IFERROR(INDEX(Overview!$A$2:$BF$32,MATCH($A5,Overview!$A$2:$A$32,0),MATCH(AF$2,Overview!$A$2:$BF$2,0)),"")</f>
        <v/>
      </c>
      <c r="AG5" t="str">
        <f>IFERROR(INDEX(Overview!$A$2:$BF$32,MATCH($A5,Overview!$A$2:$A$32,0),MATCH(AG$2,Overview!$A$2:$BF$2,0)),"")</f>
        <v/>
      </c>
      <c r="AH5" t="str">
        <f>IFERROR(INDEX(Overview!$A$2:$BF$32,MATCH($A5,Overview!$A$2:$A$32,0),MATCH(AH$2,Overview!$A$2:$BF$2,0)),"")</f>
        <v/>
      </c>
      <c r="AI5" t="str">
        <f>IFERROR(INDEX(Overview!$A$2:$BF$32,MATCH($A5,Overview!$A$2:$A$32,0),MATCH(AI$2,Overview!$A$2:$BF$2,0)),"")</f>
        <v/>
      </c>
      <c r="AJ5" t="str">
        <f>IFERROR(INDEX(Overview!$A$2:$BF$32,MATCH($A5,Overview!$A$2:$A$32,0),MATCH(AJ$2,Overview!$A$2:$BF$2,0)),"")</f>
        <v/>
      </c>
      <c r="AK5" t="str">
        <f>IFERROR(INDEX(Overview!$A$2:$BF$32,MATCH($A5,Overview!$A$2:$A$32,0),MATCH(AK$2,Overview!$A$2:$BF$2,0)),"")</f>
        <v/>
      </c>
      <c r="AL5" t="str">
        <f>IFERROR(INDEX(Overview!$A$2:$BF$32,MATCH($A5,Overview!$A$2:$A$32,0),MATCH(AL$2,Overview!$A$2:$BF$2,0)),"")</f>
        <v/>
      </c>
      <c r="AM5" t="str">
        <f>IFERROR(INDEX(Overview!$A$2:$BF$32,MATCH($A5,Overview!$A$2:$A$32,0),MATCH(AM$2,Overview!$A$2:$BF$2,0)),"")</f>
        <v/>
      </c>
      <c r="AN5" t="str">
        <f>IFERROR(INDEX(Overview!$A$2:$BF$32,MATCH($A5,Overview!$A$2:$A$32,0),MATCH(AN$2,Overview!$A$2:$BF$2,0)),"")</f>
        <v/>
      </c>
      <c r="AO5" t="str">
        <f>IFERROR(INDEX(Overview!$A$2:$BF$32,MATCH($A5,Overview!$A$2:$A$32,0),MATCH(AO$2,Overview!$A$2:$BF$2,0)),"")</f>
        <v/>
      </c>
      <c r="AP5" t="str">
        <f>IFERROR(INDEX(Overview!$A$2:$BM$32,MATCH($A5,Overview!$A$2:$A$32,0),MATCH(AP$2,Overview!$A$2:$BM$2,0)),"")</f>
        <v/>
      </c>
      <c r="AQ5" t="str">
        <f>IFERROR(INDEX(Overview!$A$2:$BM$32,MATCH($A5,Overview!$A$2:$A$32,0),MATCH(AQ$2,Overview!$A$2:$BM$2,0)),"")</f>
        <v/>
      </c>
      <c r="AR5" t="str">
        <f>IFERROR(INDEX(Overview!$A$2:$BM$32,MATCH($A5,Overview!$A$2:$A$32,0),MATCH(AR$2,Overview!$A$2:$BM$2,0)),"")</f>
        <v/>
      </c>
      <c r="AS5" t="str">
        <f>IFERROR(INDEX(Overview!$A$2:$BM$32,MATCH($A5,Overview!$A$2:$A$32,0),MATCH(AS$2,Overview!$A$2:$BM$2,0)),"")</f>
        <v/>
      </c>
      <c r="AT5" t="str">
        <f>IFERROR(INDEX(Overview!$A$2:$BM$32,MATCH($A5,Overview!$A$2:$A$32,0),MATCH(AT$2,Overview!$A$2:$BM$2,0)),"")</f>
        <v/>
      </c>
      <c r="AU5" t="str">
        <f>IFERROR(INDEX(Overview!$A$2:$BM$32,MATCH($A5,Overview!$A$2:$A$32,0),MATCH(AU$2,Overview!$A$2:$BM$2,0)),"")</f>
        <v/>
      </c>
      <c r="AV5" t="str">
        <f>IFERROR(INDEX(Overview!$A$2:$BM$32,MATCH($A5,Overview!$A$2:$A$32,0),MATCH(AV$2,Overview!$A$2:$BM$2,0)),"")</f>
        <v/>
      </c>
      <c r="AW5" t="str">
        <f>IFERROR(INDEX(Overview!$A$2:$BM$32,MATCH($A5,Overview!$A$2:$A$32,0),MATCH(AW$2,Overview!$A$2:$BM$2,0)),"")</f>
        <v/>
      </c>
      <c r="AX5" t="str">
        <f>IFERROR(INDEX(Overview!$A$2:$BM$32,MATCH($A5,Overview!$A$2:$A$32,0),MATCH(AX$2,Overview!$A$2:$BM$2,0)),"")</f>
        <v/>
      </c>
      <c r="AY5" t="str">
        <f>IFERROR(INDEX(Overview!$A$2:$BM$32,MATCH($A5,Overview!$A$2:$A$32,0),MATCH(AY$2,Overview!$A$2:$BM$2,0)),"")</f>
        <v/>
      </c>
      <c r="AZ5" t="str">
        <f>IFERROR(INDEX(Overview!$A$2:$BM$32,MATCH($A5,Overview!$A$2:$A$32,0),MATCH(AZ$2,Overview!$A$2:$BM$2,0)),"")</f>
        <v/>
      </c>
      <c r="BA5" s="79" t="str">
        <f>IFERROR(INDEX(Overview!$A$2:$BM$32,MATCH($A5,Overview!$A$2:$A$32,0),MATCH(BA$2,Overview!$A$2:$BM$2,0)),"")</f>
        <v/>
      </c>
      <c r="BB5" s="79" t="str">
        <f>IFERROR(INDEX(Overview!$A$2:$BM$32,MATCH($A5,Overview!$A$2:$A$32,0),MATCH(BB$2,Overview!$A$2:$BM$2,0)),"")</f>
        <v/>
      </c>
      <c r="BC5" s="79" t="str">
        <f>IFERROR(INDEX(Overview!$A$2:$BM$32,MATCH($A5,Overview!$A$2:$A$32,0),MATCH(BC$2,Overview!$A$2:$BM$2,0)),"")</f>
        <v/>
      </c>
      <c r="BD5" s="79" t="str">
        <f>IFERROR(INDEX(Overview!$A$2:$BM$32,MATCH($A5,Overview!$A$2:$A$32,0),MATCH(BD$2,Overview!$A$2:$BM$2,0)),"")</f>
        <v/>
      </c>
      <c r="BE5" s="79" t="str">
        <f>IFERROR(INDEX(Overview!$A$2:$BM$32,MATCH($A5,Overview!$A$2:$A$32,0),MATCH(BE$2,Overview!$A$2:$BM$2,0)),"")</f>
        <v/>
      </c>
      <c r="BF5" s="79" t="str">
        <f>IFERROR(INDEX(Overview!$A$2:$BM$32,MATCH($A5,Overview!$A$2:$A$32,0),MATCH(BF$2,Overview!$A$2:$BM$2,0)),"")</f>
        <v/>
      </c>
      <c r="BG5" s="79" t="str">
        <f>IFERROR(INDEX(Overview!$A$2:$BM$32,MATCH($A5,Overview!$A$2:$A$32,0),MATCH(BG$2,Overview!$A$2:$BM$2,0)),"")</f>
        <v/>
      </c>
      <c r="BH5" s="79" t="str">
        <f>IFERROR(INDEX(Overview!$A$2:$BM$32,MATCH($A5,Overview!$A$2:$A$32,0),MATCH(BH$2,Overview!$A$2:$BM$2,0)),"")</f>
        <v/>
      </c>
      <c r="BI5" s="79" t="str">
        <f>IFERROR(INDEX(Overview!$A$2:$BM$32,MATCH($A5,Overview!$A$2:$A$32,0),MATCH(BI$2,Overview!$A$2:$BM$2,0)),"")</f>
        <v/>
      </c>
      <c r="BJ5" s="79" t="str">
        <f>IFERROR(INDEX(Overview!$A$2:$BM$32,MATCH($A5,Overview!$A$2:$A$32,0),MATCH(BJ$2,Overview!$A$2:$BM$2,0)),"")</f>
        <v/>
      </c>
      <c r="BK5" s="79" t="str">
        <f>IFERROR(INDEX(Overview!$A$2:$BM$32,MATCH($A5,Overview!$A$2:$A$32,0),MATCH(BK$2,Overview!$A$2:$BM$2,0)),"")</f>
        <v/>
      </c>
      <c r="BL5" s="80" t="str">
        <f>IFERROR(INDEX(Overview!$A$2:$BM$32,MATCH($A5,Overview!$A$2:$A$32,0),MATCH(BL$2,Overview!$A$2:$BM$2,0)+11),"")</f>
        <v/>
      </c>
      <c r="BM5" s="80" t="str">
        <f>IFERROR(INDEX(Overview!$A$2:$BM$32,MATCH($A5,Overview!$A$2:$A$32,0),MATCH(BM$2,Overview!$A$2:$BM$2,0)+11),"")</f>
        <v/>
      </c>
      <c r="BN5" s="80" t="str">
        <f>IFERROR(INDEX(Overview!$A$2:$BM$32,MATCH($A5,Overview!$A$2:$A$32,0),MATCH(BN$2,Overview!$A$2:$BM$2,0)+11),"")</f>
        <v/>
      </c>
      <c r="BO5" s="80" t="str">
        <f>IFERROR(INDEX(Overview!$A$2:$BM$32,MATCH($A5,Overview!$A$2:$A$32,0),MATCH(BO$2,Overview!$A$2:$BM$2,0)+11),"")</f>
        <v/>
      </c>
      <c r="BP5" s="80" t="str">
        <f>IFERROR(INDEX(Overview!$A$2:$BM$32,MATCH($A5,Overview!$A$2:$A$32,0),MATCH(BP$2,Overview!$A$2:$BM$2,0)+11),"")</f>
        <v/>
      </c>
      <c r="BQ5" s="80" t="str">
        <f>IFERROR(INDEX(Overview!$A$2:$BM$32,MATCH($A5,Overview!$A$2:$A$32,0),MATCH(BQ$2,Overview!$A$2:$BM$2,0)+11),"")</f>
        <v/>
      </c>
      <c r="BR5" s="80" t="str">
        <f>IFERROR(INDEX(Overview!$A$2:$BM$32,MATCH($A5,Overview!$A$2:$A$32,0),MATCH(BR$2,Overview!$A$2:$BM$2,0)+11),"")</f>
        <v/>
      </c>
      <c r="BS5" s="80" t="str">
        <f>IFERROR(INDEX(Overview!$A$2:$BM$32,MATCH($A5,Overview!$A$2:$A$32,0),MATCH(BS$2,Overview!$A$2:$BM$2,0)+11),"")</f>
        <v/>
      </c>
      <c r="BT5" s="80" t="str">
        <f>IFERROR(INDEX(Overview!$A$2:$BM$32,MATCH($A5,Overview!$A$2:$A$32,0),MATCH(BT$2,Overview!$A$2:$BM$2,0)+11),"")</f>
        <v/>
      </c>
      <c r="BU5" s="80" t="str">
        <f>IFERROR(INDEX(Overview!$A$2:$BM$32,MATCH($A5,Overview!$A$2:$A$32,0),MATCH(BU$2,Overview!$A$2:$BM$2,0)+11),"")</f>
        <v/>
      </c>
      <c r="BV5" s="80" t="str">
        <f>IFERROR(INDEX(Overview!$A$2:$BM$32,MATCH($A5,Overview!$A$2:$A$32,0),MATCH(BV$2,Overview!$A$2:$BM$2,0)+11),"")</f>
        <v/>
      </c>
      <c r="BW5" s="82" t="str">
        <f t="shared" si="16"/>
        <v/>
      </c>
      <c r="BX5" s="82" t="str">
        <f t="shared" si="17"/>
        <v/>
      </c>
      <c r="BY5" s="82" t="str">
        <f t="shared" si="18"/>
        <v/>
      </c>
      <c r="BZ5" s="82" t="str">
        <f t="shared" si="19"/>
        <v/>
      </c>
      <c r="CA5" s="82" t="str">
        <f t="shared" si="20"/>
        <v/>
      </c>
      <c r="CB5" s="82" t="str">
        <f t="shared" si="21"/>
        <v/>
      </c>
      <c r="CC5" s="82" t="str">
        <f t="shared" si="22"/>
        <v/>
      </c>
      <c r="CD5" s="82" t="str">
        <f t="shared" si="23"/>
        <v/>
      </c>
      <c r="CE5" s="82" t="str">
        <f t="shared" si="24"/>
        <v/>
      </c>
      <c r="CF5" s="82" t="str">
        <f t="shared" si="25"/>
        <v/>
      </c>
      <c r="CG5" s="82" t="str">
        <f t="shared" si="26"/>
        <v/>
      </c>
      <c r="CH5" s="83" t="str">
        <f t="shared" si="38"/>
        <v/>
      </c>
      <c r="CI5" s="83" t="str">
        <f t="shared" si="39"/>
        <v/>
      </c>
      <c r="CJ5" s="83" t="str">
        <f t="shared" si="40"/>
        <v/>
      </c>
      <c r="CK5" s="83" t="str">
        <f t="shared" si="41"/>
        <v/>
      </c>
      <c r="CL5" s="83" t="str">
        <f t="shared" si="42"/>
        <v/>
      </c>
      <c r="CM5" s="83" t="str">
        <f t="shared" si="43"/>
        <v/>
      </c>
      <c r="CN5" s="83" t="str">
        <f t="shared" si="44"/>
        <v/>
      </c>
      <c r="CO5" s="83" t="str">
        <f t="shared" si="45"/>
        <v/>
      </c>
      <c r="CP5" s="83" t="str">
        <f t="shared" si="46"/>
        <v/>
      </c>
      <c r="CQ5" s="83" t="str">
        <f t="shared" si="47"/>
        <v/>
      </c>
      <c r="CR5" s="83" t="str">
        <f t="shared" si="48"/>
        <v/>
      </c>
      <c r="CV5">
        <f>Overview!BO5</f>
        <v>8.5810658286884127E-4</v>
      </c>
      <c r="CW5">
        <f>Overview!BP5</f>
        <v>7.3755284152468299</v>
      </c>
      <c r="CX5">
        <f>Overview!BQ5</f>
        <v>3.4362857776181359</v>
      </c>
      <c r="CY5">
        <f>Overview!BR5</f>
        <v>3.637529137834087</v>
      </c>
      <c r="CZ5">
        <f>Overview!BS5</f>
        <v>0.16862009222273863</v>
      </c>
      <c r="DA5">
        <f>Overview!BT5</f>
        <v>1.539009532954771E-2</v>
      </c>
      <c r="DB5">
        <f>Overview!BU5</f>
        <v>1.6189877472107863</v>
      </c>
      <c r="DC5">
        <f>Overview!BV5</f>
        <v>2.8155773892870856E-2</v>
      </c>
      <c r="DD5">
        <f>Overview!BW5</f>
        <v>6.0526557467901183</v>
      </c>
      <c r="DE5">
        <f>Overview!BX5</f>
        <v>6.9976647282263524</v>
      </c>
      <c r="DF5">
        <f>Overview!BY5</f>
        <v>1.4338432359965754</v>
      </c>
      <c r="DG5">
        <f>Overview!BZ5</f>
        <v>2.8329891253717761</v>
      </c>
      <c r="DM5">
        <f t="shared" si="28"/>
        <v>0</v>
      </c>
      <c r="DN5">
        <f t="shared" si="29"/>
        <v>0</v>
      </c>
      <c r="DP5">
        <f t="shared" ca="1" si="49"/>
        <v>1</v>
      </c>
      <c r="DQ5" t="str">
        <f t="shared" ca="1" si="30"/>
        <v/>
      </c>
      <c r="DR5" t="str">
        <f t="shared" ca="1" si="50"/>
        <v/>
      </c>
      <c r="DS5" t="str">
        <f t="shared" ca="1" si="31"/>
        <v/>
      </c>
      <c r="DT5" t="str">
        <f t="shared" ca="1" si="51"/>
        <v/>
      </c>
      <c r="DU5">
        <f t="shared" ca="1" si="52"/>
        <v>1</v>
      </c>
      <c r="DV5" t="str">
        <f t="shared" si="32"/>
        <v/>
      </c>
      <c r="DW5" t="str">
        <f t="shared" si="53"/>
        <v/>
      </c>
      <c r="DX5" t="str">
        <f t="shared" si="0"/>
        <v/>
      </c>
      <c r="DZ5" t="str">
        <f t="shared" ca="1" si="54"/>
        <v/>
      </c>
      <c r="EA5" t="str">
        <f t="shared" ca="1" si="55"/>
        <v/>
      </c>
      <c r="EB5" s="84" t="str">
        <f t="shared" ca="1" si="56"/>
        <v/>
      </c>
      <c r="EC5" s="1" t="str">
        <f t="shared" ca="1" si="33"/>
        <v/>
      </c>
      <c r="ED5" t="str">
        <f t="shared" ca="1" si="57"/>
        <v/>
      </c>
      <c r="EE5" t="str">
        <f t="shared" ca="1" si="58"/>
        <v/>
      </c>
      <c r="EF5" t="str">
        <f t="shared" ca="1" si="59"/>
        <v/>
      </c>
      <c r="EJ5" t="str">
        <f ca="1">'538'!Q10</f>
        <v>Nationals</v>
      </c>
      <c r="EK5" t="str">
        <f ca="1">'538'!T10</f>
        <v>Max Scherzer</v>
      </c>
    </row>
    <row r="6" spans="1:141" ht="15.75" thickBot="1" x14ac:dyDescent="0.3">
      <c r="A6" s="28" t="str">
        <f>IFERROR(INDEX(Overview!$A$3:$B$32,MATCH(Bet!$C6,Overview!$B$3:$B$32,0),1),"X")</f>
        <v>X</v>
      </c>
      <c r="B6" s="28" t="str">
        <f>IF(ISBLANK(C6),"",IFERROR(INDEX(Pitchers[],MATCH(F6,Pitchers[Player],0),MATCH(G$2,Pitchers[#Headers],0)),"X"))</f>
        <v/>
      </c>
      <c r="C6" s="4"/>
      <c r="D6" s="10"/>
      <c r="E6" s="96"/>
      <c r="F6" s="51"/>
      <c r="G6" s="48">
        <f>IFERROR(INDEX(Pitchers[],MATCH(Bet!F6,Pitchers[Player],0),MATCH(G$2,Pitchers[#Headers],0)),PlayerPitching!$AD$12)</f>
        <v>-0.13933069723404246</v>
      </c>
      <c r="H6" s="48" t="str">
        <f>IF(ISNUMBER(CODE(C6)),INDEX(Scores!$P$2:$T$33,MATCH($C6,Scores!$R$2:$R$33,0),4),"")</f>
        <v/>
      </c>
      <c r="I6" s="48" t="str">
        <f>IF(ISNUMBER(CODE(C6)),IF(INDEX(Scores!$P$2:$T$33,MATCH($C6,Scores!$R$2:$R$33,0),5)=0,1,INDEX(Scores!$P$2:$T$33,MATCH($C6,Scores!$R$2:$R$33,0),5)),"")</f>
        <v/>
      </c>
      <c r="J6" s="48">
        <f t="shared" si="1"/>
        <v>-1.9641098805067554</v>
      </c>
      <c r="K6" s="49">
        <f t="shared" si="2"/>
        <v>-9.4751509617551655</v>
      </c>
      <c r="L6" s="49">
        <f t="shared" si="3"/>
        <v>16.909645863110409</v>
      </c>
      <c r="M6" s="49">
        <f t="shared" si="4"/>
        <v>10.056673523576878</v>
      </c>
      <c r="N6" s="49">
        <f t="shared" si="5"/>
        <v>9.3029121378439612</v>
      </c>
      <c r="O6" s="49">
        <f t="shared" si="6"/>
        <v>2.0342481123324334</v>
      </c>
      <c r="P6" s="49">
        <f t="shared" si="7"/>
        <v>5.6685801250881971</v>
      </c>
      <c r="Q6" s="49" t="str">
        <f>IFERROR(_xlfn.NORM.INV(INDEX(Scores!$P$2:$U$33,MATCH($C6,Scores!$R$2:$R$33,0),6),H6,I6),"")</f>
        <v/>
      </c>
      <c r="R6" s="49" t="str">
        <f t="shared" si="8"/>
        <v/>
      </c>
      <c r="S6" s="49" t="str">
        <f t="shared" si="9"/>
        <v/>
      </c>
      <c r="T6" s="49" t="str">
        <f t="shared" si="34"/>
        <v/>
      </c>
      <c r="U6" s="96"/>
      <c r="V6" s="68" t="str">
        <f t="shared" si="11"/>
        <v/>
      </c>
      <c r="W6" s="65" t="str">
        <f t="shared" si="12"/>
        <v/>
      </c>
      <c r="X6" s="51" t="str">
        <f t="shared" si="13"/>
        <v/>
      </c>
      <c r="Y6" s="48" t="str">
        <f t="shared" si="35"/>
        <v/>
      </c>
      <c r="Z6" s="48" t="str">
        <f ca="1">IFERROR(INDEX('538'!$Q$9:$U$190,MATCH(Bet!$C6,'538'!$Q$9:$Q$190,0),5),"")</f>
        <v/>
      </c>
      <c r="AA6" t="str">
        <f t="shared" si="36"/>
        <v/>
      </c>
      <c r="AB6">
        <f t="shared" si="14"/>
        <v>0</v>
      </c>
      <c r="AC6" t="str">
        <f t="shared" ca="1" si="37"/>
        <v/>
      </c>
      <c r="AD6" t="str">
        <f t="shared" si="15"/>
        <v/>
      </c>
      <c r="AE6" t="str">
        <f>IFERROR(INDEX(Overview!$A$2:$BF$32,MATCH($A6,Overview!$A$2:$A$32,0),MATCH(AE$2,Overview!$A$2:$BF$2,0)),"")</f>
        <v/>
      </c>
      <c r="AF6" t="str">
        <f>IFERROR(INDEX(Overview!$A$2:$BF$32,MATCH($A6,Overview!$A$2:$A$32,0),MATCH(AF$2,Overview!$A$2:$BF$2,0)),"")</f>
        <v/>
      </c>
      <c r="AG6" t="str">
        <f>IFERROR(INDEX(Overview!$A$2:$BF$32,MATCH($A6,Overview!$A$2:$A$32,0),MATCH(AG$2,Overview!$A$2:$BF$2,0)),"")</f>
        <v/>
      </c>
      <c r="AH6" t="str">
        <f>IFERROR(INDEX(Overview!$A$2:$BF$32,MATCH($A6,Overview!$A$2:$A$32,0),MATCH(AH$2,Overview!$A$2:$BF$2,0)),"")</f>
        <v/>
      </c>
      <c r="AI6" t="str">
        <f>IFERROR(INDEX(Overview!$A$2:$BF$32,MATCH($A6,Overview!$A$2:$A$32,0),MATCH(AI$2,Overview!$A$2:$BF$2,0)),"")</f>
        <v/>
      </c>
      <c r="AJ6" t="str">
        <f>IFERROR(INDEX(Overview!$A$2:$BF$32,MATCH($A6,Overview!$A$2:$A$32,0),MATCH(AJ$2,Overview!$A$2:$BF$2,0)),"")</f>
        <v/>
      </c>
      <c r="AK6" t="str">
        <f>IFERROR(INDEX(Overview!$A$2:$BF$32,MATCH($A6,Overview!$A$2:$A$32,0),MATCH(AK$2,Overview!$A$2:$BF$2,0)),"")</f>
        <v/>
      </c>
      <c r="AL6" t="str">
        <f>IFERROR(INDEX(Overview!$A$2:$BF$32,MATCH($A6,Overview!$A$2:$A$32,0),MATCH(AL$2,Overview!$A$2:$BF$2,0)),"")</f>
        <v/>
      </c>
      <c r="AM6" t="str">
        <f>IFERROR(INDEX(Overview!$A$2:$BF$32,MATCH($A6,Overview!$A$2:$A$32,0),MATCH(AM$2,Overview!$A$2:$BF$2,0)),"")</f>
        <v/>
      </c>
      <c r="AN6" t="str">
        <f>IFERROR(INDEX(Overview!$A$2:$BF$32,MATCH($A6,Overview!$A$2:$A$32,0),MATCH(AN$2,Overview!$A$2:$BF$2,0)),"")</f>
        <v/>
      </c>
      <c r="AO6" t="str">
        <f>IFERROR(INDEX(Overview!$A$2:$BF$32,MATCH($A6,Overview!$A$2:$A$32,0),MATCH(AO$2,Overview!$A$2:$BF$2,0)),"")</f>
        <v/>
      </c>
      <c r="AP6" t="str">
        <f>IFERROR(INDEX(Overview!$A$2:$BM$32,MATCH($A6,Overview!$A$2:$A$32,0),MATCH(AP$2,Overview!$A$2:$BM$2,0)),"")</f>
        <v/>
      </c>
      <c r="AQ6" t="str">
        <f>IFERROR(INDEX(Overview!$A$2:$BM$32,MATCH($A6,Overview!$A$2:$A$32,0),MATCH(AQ$2,Overview!$A$2:$BM$2,0)),"")</f>
        <v/>
      </c>
      <c r="AR6" t="str">
        <f>IFERROR(INDEX(Overview!$A$2:$BM$32,MATCH($A6,Overview!$A$2:$A$32,0),MATCH(AR$2,Overview!$A$2:$BM$2,0)),"")</f>
        <v/>
      </c>
      <c r="AS6" t="str">
        <f>IFERROR(INDEX(Overview!$A$2:$BM$32,MATCH($A6,Overview!$A$2:$A$32,0),MATCH(AS$2,Overview!$A$2:$BM$2,0)),"")</f>
        <v/>
      </c>
      <c r="AT6" t="str">
        <f>IFERROR(INDEX(Overview!$A$2:$BM$32,MATCH($A6,Overview!$A$2:$A$32,0),MATCH(AT$2,Overview!$A$2:$BM$2,0)),"")</f>
        <v/>
      </c>
      <c r="AU6" t="str">
        <f>IFERROR(INDEX(Overview!$A$2:$BM$32,MATCH($A6,Overview!$A$2:$A$32,0),MATCH(AU$2,Overview!$A$2:$BM$2,0)),"")</f>
        <v/>
      </c>
      <c r="AV6" t="str">
        <f>IFERROR(INDEX(Overview!$A$2:$BM$32,MATCH($A6,Overview!$A$2:$A$32,0),MATCH(AV$2,Overview!$A$2:$BM$2,0)),"")</f>
        <v/>
      </c>
      <c r="AW6" t="str">
        <f>IFERROR(INDEX(Overview!$A$2:$BM$32,MATCH($A6,Overview!$A$2:$A$32,0),MATCH(AW$2,Overview!$A$2:$BM$2,0)),"")</f>
        <v/>
      </c>
      <c r="AX6" t="str">
        <f>IFERROR(INDEX(Overview!$A$2:$BM$32,MATCH($A6,Overview!$A$2:$A$32,0),MATCH(AX$2,Overview!$A$2:$BM$2,0)),"")</f>
        <v/>
      </c>
      <c r="AY6" t="str">
        <f>IFERROR(INDEX(Overview!$A$2:$BM$32,MATCH($A6,Overview!$A$2:$A$32,0),MATCH(AY$2,Overview!$A$2:$BM$2,0)),"")</f>
        <v/>
      </c>
      <c r="AZ6" t="str">
        <f>IFERROR(INDEX(Overview!$A$2:$BM$32,MATCH($A6,Overview!$A$2:$A$32,0),MATCH(AZ$2,Overview!$A$2:$BM$2,0)),"")</f>
        <v/>
      </c>
      <c r="BA6" s="79" t="str">
        <f>IFERROR(INDEX(Overview!$A$2:$BM$32,MATCH($A6,Overview!$A$2:$A$32,0),MATCH(BA$2,Overview!$A$2:$BM$2,0)),"")</f>
        <v/>
      </c>
      <c r="BB6" s="79" t="str">
        <f>IFERROR(INDEX(Overview!$A$2:$BM$32,MATCH($A6,Overview!$A$2:$A$32,0),MATCH(BB$2,Overview!$A$2:$BM$2,0)),"")</f>
        <v/>
      </c>
      <c r="BC6" s="79" t="str">
        <f>IFERROR(INDEX(Overview!$A$2:$BM$32,MATCH($A6,Overview!$A$2:$A$32,0),MATCH(BC$2,Overview!$A$2:$BM$2,0)),"")</f>
        <v/>
      </c>
      <c r="BD6" s="79" t="str">
        <f>IFERROR(INDEX(Overview!$A$2:$BM$32,MATCH($A6,Overview!$A$2:$A$32,0),MATCH(BD$2,Overview!$A$2:$BM$2,0)),"")</f>
        <v/>
      </c>
      <c r="BE6" s="79" t="str">
        <f>IFERROR(INDEX(Overview!$A$2:$BM$32,MATCH($A6,Overview!$A$2:$A$32,0),MATCH(BE$2,Overview!$A$2:$BM$2,0)),"")</f>
        <v/>
      </c>
      <c r="BF6" s="79" t="str">
        <f>IFERROR(INDEX(Overview!$A$2:$BM$32,MATCH($A6,Overview!$A$2:$A$32,0),MATCH(BF$2,Overview!$A$2:$BM$2,0)),"")</f>
        <v/>
      </c>
      <c r="BG6" s="79" t="str">
        <f>IFERROR(INDEX(Overview!$A$2:$BM$32,MATCH($A6,Overview!$A$2:$A$32,0),MATCH(BG$2,Overview!$A$2:$BM$2,0)),"")</f>
        <v/>
      </c>
      <c r="BH6" s="79" t="str">
        <f>IFERROR(INDEX(Overview!$A$2:$BM$32,MATCH($A6,Overview!$A$2:$A$32,0),MATCH(BH$2,Overview!$A$2:$BM$2,0)),"")</f>
        <v/>
      </c>
      <c r="BI6" s="79" t="str">
        <f>IFERROR(INDEX(Overview!$A$2:$BM$32,MATCH($A6,Overview!$A$2:$A$32,0),MATCH(BI$2,Overview!$A$2:$BM$2,0)),"")</f>
        <v/>
      </c>
      <c r="BJ6" s="79" t="str">
        <f>IFERROR(INDEX(Overview!$A$2:$BM$32,MATCH($A6,Overview!$A$2:$A$32,0),MATCH(BJ$2,Overview!$A$2:$BM$2,0)),"")</f>
        <v/>
      </c>
      <c r="BK6" s="79" t="str">
        <f>IFERROR(INDEX(Overview!$A$2:$BM$32,MATCH($A6,Overview!$A$2:$A$32,0),MATCH(BK$2,Overview!$A$2:$BM$2,0)),"")</f>
        <v/>
      </c>
      <c r="BL6" s="80" t="str">
        <f>IFERROR(INDEX(Overview!$A$2:$BM$32,MATCH($A6,Overview!$A$2:$A$32,0),MATCH(BL$2,Overview!$A$2:$BM$2,0)+11),"")</f>
        <v/>
      </c>
      <c r="BM6" s="80" t="str">
        <f>IFERROR(INDEX(Overview!$A$2:$BM$32,MATCH($A6,Overview!$A$2:$A$32,0),MATCH(BM$2,Overview!$A$2:$BM$2,0)+11),"")</f>
        <v/>
      </c>
      <c r="BN6" s="80" t="str">
        <f>IFERROR(INDEX(Overview!$A$2:$BM$32,MATCH($A6,Overview!$A$2:$A$32,0),MATCH(BN$2,Overview!$A$2:$BM$2,0)+11),"")</f>
        <v/>
      </c>
      <c r="BO6" s="80" t="str">
        <f>IFERROR(INDEX(Overview!$A$2:$BM$32,MATCH($A6,Overview!$A$2:$A$32,0),MATCH(BO$2,Overview!$A$2:$BM$2,0)+11),"")</f>
        <v/>
      </c>
      <c r="BP6" s="80" t="str">
        <f>IFERROR(INDEX(Overview!$A$2:$BM$32,MATCH($A6,Overview!$A$2:$A$32,0),MATCH(BP$2,Overview!$A$2:$BM$2,0)+11),"")</f>
        <v/>
      </c>
      <c r="BQ6" s="80" t="str">
        <f>IFERROR(INDEX(Overview!$A$2:$BM$32,MATCH($A6,Overview!$A$2:$A$32,0),MATCH(BQ$2,Overview!$A$2:$BM$2,0)+11),"")</f>
        <v/>
      </c>
      <c r="BR6" s="80" t="str">
        <f>IFERROR(INDEX(Overview!$A$2:$BM$32,MATCH($A6,Overview!$A$2:$A$32,0),MATCH(BR$2,Overview!$A$2:$BM$2,0)+11),"")</f>
        <v/>
      </c>
      <c r="BS6" s="80" t="str">
        <f>IFERROR(INDEX(Overview!$A$2:$BM$32,MATCH($A6,Overview!$A$2:$A$32,0),MATCH(BS$2,Overview!$A$2:$BM$2,0)+11),"")</f>
        <v/>
      </c>
      <c r="BT6" s="80" t="str">
        <f>IFERROR(INDEX(Overview!$A$2:$BM$32,MATCH($A6,Overview!$A$2:$A$32,0),MATCH(BT$2,Overview!$A$2:$BM$2,0)+11),"")</f>
        <v/>
      </c>
      <c r="BU6" s="80" t="str">
        <f>IFERROR(INDEX(Overview!$A$2:$BM$32,MATCH($A6,Overview!$A$2:$A$32,0),MATCH(BU$2,Overview!$A$2:$BM$2,0)+11),"")</f>
        <v/>
      </c>
      <c r="BV6" s="80" t="str">
        <f>IFERROR(INDEX(Overview!$A$2:$BM$32,MATCH($A6,Overview!$A$2:$A$32,0),MATCH(BV$2,Overview!$A$2:$BM$2,0)+11),"")</f>
        <v/>
      </c>
      <c r="BW6" s="82" t="str">
        <f t="shared" si="16"/>
        <v/>
      </c>
      <c r="BX6" s="82" t="str">
        <f t="shared" si="17"/>
        <v/>
      </c>
      <c r="BY6" s="82" t="str">
        <f t="shared" si="18"/>
        <v/>
      </c>
      <c r="BZ6" s="82" t="str">
        <f t="shared" si="19"/>
        <v/>
      </c>
      <c r="CA6" s="82" t="str">
        <f t="shared" si="20"/>
        <v/>
      </c>
      <c r="CB6" s="82" t="str">
        <f t="shared" si="21"/>
        <v/>
      </c>
      <c r="CC6" s="82" t="str">
        <f t="shared" si="22"/>
        <v/>
      </c>
      <c r="CD6" s="82" t="str">
        <f t="shared" si="23"/>
        <v/>
      </c>
      <c r="CE6" s="82" t="str">
        <f t="shared" si="24"/>
        <v/>
      </c>
      <c r="CF6" s="82" t="str">
        <f t="shared" si="25"/>
        <v/>
      </c>
      <c r="CG6" s="82" t="str">
        <f t="shared" si="26"/>
        <v/>
      </c>
      <c r="CH6" s="83" t="str">
        <f t="shared" si="38"/>
        <v/>
      </c>
      <c r="CI6" s="83" t="str">
        <f t="shared" si="39"/>
        <v/>
      </c>
      <c r="CJ6" s="83" t="str">
        <f t="shared" si="40"/>
        <v/>
      </c>
      <c r="CK6" s="83" t="str">
        <f t="shared" si="41"/>
        <v/>
      </c>
      <c r="CL6" s="83" t="str">
        <f t="shared" si="42"/>
        <v/>
      </c>
      <c r="CM6" s="83" t="str">
        <f t="shared" si="43"/>
        <v/>
      </c>
      <c r="CN6" s="83" t="str">
        <f t="shared" si="44"/>
        <v/>
      </c>
      <c r="CO6" s="83" t="str">
        <f t="shared" si="45"/>
        <v/>
      </c>
      <c r="CP6" s="83" t="str">
        <f t="shared" si="46"/>
        <v/>
      </c>
      <c r="CQ6" s="83" t="str">
        <f t="shared" si="47"/>
        <v/>
      </c>
      <c r="CR6" s="83" t="str">
        <f t="shared" si="48"/>
        <v/>
      </c>
      <c r="CV6">
        <f>Overview!BO6</f>
        <v>0.99697346608495907</v>
      </c>
      <c r="CW6">
        <f>Overview!BP6</f>
        <v>4.2580065240468597E-2</v>
      </c>
      <c r="CX6" t="e">
        <f>Overview!BQ6</f>
        <v>#N/A</v>
      </c>
      <c r="CY6" t="e">
        <f>Overview!BR6</f>
        <v>#N/A</v>
      </c>
      <c r="CZ6" t="e">
        <f>Overview!BS6</f>
        <v>#N/A</v>
      </c>
      <c r="DA6" t="e">
        <f>Overview!BT6</f>
        <v>#N/A</v>
      </c>
      <c r="DB6" t="e">
        <f>Overview!BU6</f>
        <v>#N/A</v>
      </c>
      <c r="DC6" t="e">
        <f>Overview!BV6</f>
        <v>#N/A</v>
      </c>
      <c r="DD6" t="e">
        <f>Overview!BW6</f>
        <v>#N/A</v>
      </c>
      <c r="DE6" t="e">
        <f>Overview!BX6</f>
        <v>#N/A</v>
      </c>
      <c r="DF6" t="e">
        <f>Overview!BY6</f>
        <v>#N/A</v>
      </c>
      <c r="DG6" t="e">
        <f>Overview!BZ6</f>
        <v>#N/A</v>
      </c>
      <c r="DM6">
        <f t="shared" si="28"/>
        <v>0</v>
      </c>
      <c r="DN6">
        <f t="shared" si="29"/>
        <v>0</v>
      </c>
      <c r="DP6">
        <f t="shared" ca="1" si="49"/>
        <v>1</v>
      </c>
      <c r="DQ6" t="str">
        <f t="shared" ca="1" si="30"/>
        <v/>
      </c>
      <c r="DR6" t="str">
        <f t="shared" ca="1" si="50"/>
        <v/>
      </c>
      <c r="DS6" t="str">
        <f t="shared" ca="1" si="31"/>
        <v/>
      </c>
      <c r="DT6" t="str">
        <f t="shared" ca="1" si="51"/>
        <v/>
      </c>
      <c r="DU6">
        <f t="shared" ca="1" si="52"/>
        <v>1</v>
      </c>
      <c r="DV6" t="str">
        <f t="shared" si="32"/>
        <v/>
      </c>
      <c r="DW6" t="str">
        <f t="shared" si="53"/>
        <v/>
      </c>
      <c r="DX6" t="str">
        <f t="shared" si="0"/>
        <v/>
      </c>
      <c r="DZ6" t="str">
        <f t="shared" ca="1" si="54"/>
        <v/>
      </c>
      <c r="EA6" t="str">
        <f t="shared" ca="1" si="55"/>
        <v/>
      </c>
      <c r="EB6" s="84" t="str">
        <f t="shared" ca="1" si="56"/>
        <v/>
      </c>
      <c r="EC6" s="1" t="str">
        <f t="shared" ca="1" si="33"/>
        <v/>
      </c>
      <c r="ED6" t="str">
        <f t="shared" ca="1" si="57"/>
        <v/>
      </c>
      <c r="EE6" t="str">
        <f t="shared" ca="1" si="58"/>
        <v/>
      </c>
      <c r="EF6" t="str">
        <f t="shared" ca="1" si="59"/>
        <v/>
      </c>
      <c r="EJ6" t="str">
        <f ca="1">'538'!Q11</f>
        <v>Twins</v>
      </c>
      <c r="EK6" t="str">
        <f ca="1">'538'!T11</f>
        <v/>
      </c>
    </row>
    <row r="7" spans="1:141" x14ac:dyDescent="0.25">
      <c r="A7" s="28" t="str">
        <f>IFERROR(INDEX(Overview!$A$3:$B$32,MATCH(Bet!$C7,Overview!$B$3:$B$32,0),1),"X")</f>
        <v>X</v>
      </c>
      <c r="B7" s="28" t="str">
        <f>IF(ISBLANK(C7),"",IFERROR(INDEX(Pitchers[],MATCH(F7,Pitchers[Player],0),MATCH(G$2,Pitchers[#Headers],0)),"X"))</f>
        <v/>
      </c>
      <c r="C7" s="2"/>
      <c r="D7" s="3"/>
      <c r="E7" s="95"/>
      <c r="F7" s="50"/>
      <c r="G7" s="48">
        <f>IFERROR(INDEX(Pitchers[],MATCH(Bet!F7,Pitchers[Player],0),MATCH(G$2,Pitchers[#Headers],0)),PlayerPitching!$AD$12)</f>
        <v>-0.13933069723404246</v>
      </c>
      <c r="H7" s="48" t="str">
        <f>IF(ISNUMBER(CODE(C7)),INDEX(Scores!$P$2:$T$33,MATCH($C7,Scores!$R$2:$R$33,0),4),"")</f>
        <v/>
      </c>
      <c r="I7" s="48" t="str">
        <f>IF(ISNUMBER(CODE(C7)),IF(INDEX(Scores!$P$2:$T$33,MATCH($C7,Scores!$R$2:$R$33,0),5)=0,1,INDEX(Scores!$P$2:$T$33,MATCH($C7,Scores!$R$2:$R$33,0),5)),"")</f>
        <v/>
      </c>
      <c r="J7" s="48">
        <f t="shared" si="1"/>
        <v>-1.9641098805067554</v>
      </c>
      <c r="K7" s="49">
        <f t="shared" si="2"/>
        <v>-9.4751509617551655</v>
      </c>
      <c r="L7" s="49">
        <f t="shared" si="3"/>
        <v>16.909645863110409</v>
      </c>
      <c r="M7" s="49">
        <f t="shared" si="4"/>
        <v>10.056673523576878</v>
      </c>
      <c r="N7" s="49">
        <f t="shared" si="5"/>
        <v>9.3029121378439612</v>
      </c>
      <c r="O7" s="49">
        <f t="shared" si="6"/>
        <v>2.0342481123324334</v>
      </c>
      <c r="P7" s="49">
        <f t="shared" si="7"/>
        <v>5.6685801250881971</v>
      </c>
      <c r="Q7" s="49" t="str">
        <f>IFERROR(_xlfn.NORM.INV(INDEX(Scores!$P$2:$U$33,MATCH($C7,Scores!$R$2:$R$33,0),6),H7,I7),"")</f>
        <v/>
      </c>
      <c r="R7" s="49" t="str">
        <f t="shared" si="8"/>
        <v/>
      </c>
      <c r="S7" s="49" t="str">
        <f t="shared" si="9"/>
        <v/>
      </c>
      <c r="T7" s="49" t="str">
        <f t="shared" si="34"/>
        <v/>
      </c>
      <c r="U7" s="95" t="str">
        <f t="shared" ref="U7" si="61">IFERROR(ROUND(ROUND((R7+R8)*2,0)/2,1)+1.5,"")</f>
        <v/>
      </c>
      <c r="V7" s="67" t="str">
        <f t="shared" si="11"/>
        <v/>
      </c>
      <c r="W7" s="64" t="str">
        <f t="shared" si="12"/>
        <v/>
      </c>
      <c r="X7" s="50" t="str">
        <f t="shared" si="13"/>
        <v/>
      </c>
      <c r="Y7" s="48" t="str">
        <f t="shared" si="35"/>
        <v/>
      </c>
      <c r="Z7" s="48" t="str">
        <f ca="1">IFERROR(INDEX('538'!$Q$9:$U$190,MATCH(Bet!$C7,'538'!$Q$9:$Q$190,0),5),"")</f>
        <v/>
      </c>
      <c r="AA7" t="str">
        <f t="shared" si="36"/>
        <v/>
      </c>
      <c r="AB7">
        <f t="shared" si="14"/>
        <v>0</v>
      </c>
      <c r="AC7" t="str">
        <f t="shared" ca="1" si="37"/>
        <v/>
      </c>
      <c r="AD7" t="str">
        <f t="shared" si="15"/>
        <v/>
      </c>
      <c r="AE7" t="str">
        <f>IFERROR(INDEX(Overview!$A$2:$BF$32,MATCH($A7,Overview!$A$2:$A$32,0),MATCH(AE$2,Overview!$A$2:$BF$2,0)),"")</f>
        <v/>
      </c>
      <c r="AF7" t="str">
        <f>IFERROR(INDEX(Overview!$A$2:$BF$32,MATCH($A7,Overview!$A$2:$A$32,0),MATCH(AF$2,Overview!$A$2:$BF$2,0)),"")</f>
        <v/>
      </c>
      <c r="AG7" t="str">
        <f>IFERROR(INDEX(Overview!$A$2:$BF$32,MATCH($A7,Overview!$A$2:$A$32,0),MATCH(AG$2,Overview!$A$2:$BF$2,0)),"")</f>
        <v/>
      </c>
      <c r="AH7" t="str">
        <f>IFERROR(INDEX(Overview!$A$2:$BF$32,MATCH($A7,Overview!$A$2:$A$32,0),MATCH(AH$2,Overview!$A$2:$BF$2,0)),"")</f>
        <v/>
      </c>
      <c r="AI7" t="str">
        <f>IFERROR(INDEX(Overview!$A$2:$BF$32,MATCH($A7,Overview!$A$2:$A$32,0),MATCH(AI$2,Overview!$A$2:$BF$2,0)),"")</f>
        <v/>
      </c>
      <c r="AJ7" t="str">
        <f>IFERROR(INDEX(Overview!$A$2:$BF$32,MATCH($A7,Overview!$A$2:$A$32,0),MATCH(AJ$2,Overview!$A$2:$BF$2,0)),"")</f>
        <v/>
      </c>
      <c r="AK7" t="str">
        <f>IFERROR(INDEX(Overview!$A$2:$BF$32,MATCH($A7,Overview!$A$2:$A$32,0),MATCH(AK$2,Overview!$A$2:$BF$2,0)),"")</f>
        <v/>
      </c>
      <c r="AL7" t="str">
        <f>IFERROR(INDEX(Overview!$A$2:$BF$32,MATCH($A7,Overview!$A$2:$A$32,0),MATCH(AL$2,Overview!$A$2:$BF$2,0)),"")</f>
        <v/>
      </c>
      <c r="AM7" t="str">
        <f>IFERROR(INDEX(Overview!$A$2:$BF$32,MATCH($A7,Overview!$A$2:$A$32,0),MATCH(AM$2,Overview!$A$2:$BF$2,0)),"")</f>
        <v/>
      </c>
      <c r="AN7" t="str">
        <f>IFERROR(INDEX(Overview!$A$2:$BF$32,MATCH($A7,Overview!$A$2:$A$32,0),MATCH(AN$2,Overview!$A$2:$BF$2,0)),"")</f>
        <v/>
      </c>
      <c r="AO7" t="str">
        <f>IFERROR(INDEX(Overview!$A$2:$BF$32,MATCH($A7,Overview!$A$2:$A$32,0),MATCH(AO$2,Overview!$A$2:$BF$2,0)),"")</f>
        <v/>
      </c>
      <c r="AP7" t="str">
        <f>IFERROR(INDEX(Overview!$A$2:$BM$32,MATCH($A7,Overview!$A$2:$A$32,0),MATCH(AP$2,Overview!$A$2:$BM$2,0)),"")</f>
        <v/>
      </c>
      <c r="AQ7" t="str">
        <f>IFERROR(INDEX(Overview!$A$2:$BM$32,MATCH($A7,Overview!$A$2:$A$32,0),MATCH(AQ$2,Overview!$A$2:$BM$2,0)),"")</f>
        <v/>
      </c>
      <c r="AR7" t="str">
        <f>IFERROR(INDEX(Overview!$A$2:$BM$32,MATCH($A7,Overview!$A$2:$A$32,0),MATCH(AR$2,Overview!$A$2:$BM$2,0)),"")</f>
        <v/>
      </c>
      <c r="AS7" t="str">
        <f>IFERROR(INDEX(Overview!$A$2:$BM$32,MATCH($A7,Overview!$A$2:$A$32,0),MATCH(AS$2,Overview!$A$2:$BM$2,0)),"")</f>
        <v/>
      </c>
      <c r="AT7" t="str">
        <f>IFERROR(INDEX(Overview!$A$2:$BM$32,MATCH($A7,Overview!$A$2:$A$32,0),MATCH(AT$2,Overview!$A$2:$BM$2,0)),"")</f>
        <v/>
      </c>
      <c r="AU7" t="str">
        <f>IFERROR(INDEX(Overview!$A$2:$BM$32,MATCH($A7,Overview!$A$2:$A$32,0),MATCH(AU$2,Overview!$A$2:$BM$2,0)),"")</f>
        <v/>
      </c>
      <c r="AV7" t="str">
        <f>IFERROR(INDEX(Overview!$A$2:$BM$32,MATCH($A7,Overview!$A$2:$A$32,0),MATCH(AV$2,Overview!$A$2:$BM$2,0)),"")</f>
        <v/>
      </c>
      <c r="AW7" t="str">
        <f>IFERROR(INDEX(Overview!$A$2:$BM$32,MATCH($A7,Overview!$A$2:$A$32,0),MATCH(AW$2,Overview!$A$2:$BM$2,0)),"")</f>
        <v/>
      </c>
      <c r="AX7" t="str">
        <f>IFERROR(INDEX(Overview!$A$2:$BM$32,MATCH($A7,Overview!$A$2:$A$32,0),MATCH(AX$2,Overview!$A$2:$BM$2,0)),"")</f>
        <v/>
      </c>
      <c r="AY7" t="str">
        <f>IFERROR(INDEX(Overview!$A$2:$BM$32,MATCH($A7,Overview!$A$2:$A$32,0),MATCH(AY$2,Overview!$A$2:$BM$2,0)),"")</f>
        <v/>
      </c>
      <c r="AZ7" t="str">
        <f>IFERROR(INDEX(Overview!$A$2:$BM$32,MATCH($A7,Overview!$A$2:$A$32,0),MATCH(AZ$2,Overview!$A$2:$BM$2,0)),"")</f>
        <v/>
      </c>
      <c r="BA7" s="79" t="str">
        <f>IFERROR(INDEX(Overview!$A$2:$BM$32,MATCH($A7,Overview!$A$2:$A$32,0),MATCH(BA$2,Overview!$A$2:$BM$2,0)),"")</f>
        <v/>
      </c>
      <c r="BB7" s="79" t="str">
        <f>IFERROR(INDEX(Overview!$A$2:$BM$32,MATCH($A7,Overview!$A$2:$A$32,0),MATCH(BB$2,Overview!$A$2:$BM$2,0)),"")</f>
        <v/>
      </c>
      <c r="BC7" s="79" t="str">
        <f>IFERROR(INDEX(Overview!$A$2:$BM$32,MATCH($A7,Overview!$A$2:$A$32,0),MATCH(BC$2,Overview!$A$2:$BM$2,0)),"")</f>
        <v/>
      </c>
      <c r="BD7" s="79" t="str">
        <f>IFERROR(INDEX(Overview!$A$2:$BM$32,MATCH($A7,Overview!$A$2:$A$32,0),MATCH(BD$2,Overview!$A$2:$BM$2,0)),"")</f>
        <v/>
      </c>
      <c r="BE7" s="79" t="str">
        <f>IFERROR(INDEX(Overview!$A$2:$BM$32,MATCH($A7,Overview!$A$2:$A$32,0),MATCH(BE$2,Overview!$A$2:$BM$2,0)),"")</f>
        <v/>
      </c>
      <c r="BF7" s="79" t="str">
        <f>IFERROR(INDEX(Overview!$A$2:$BM$32,MATCH($A7,Overview!$A$2:$A$32,0),MATCH(BF$2,Overview!$A$2:$BM$2,0)),"")</f>
        <v/>
      </c>
      <c r="BG7" s="79" t="str">
        <f>IFERROR(INDEX(Overview!$A$2:$BM$32,MATCH($A7,Overview!$A$2:$A$32,0),MATCH(BG$2,Overview!$A$2:$BM$2,0)),"")</f>
        <v/>
      </c>
      <c r="BH7" s="79" t="str">
        <f>IFERROR(INDEX(Overview!$A$2:$BM$32,MATCH($A7,Overview!$A$2:$A$32,0),MATCH(BH$2,Overview!$A$2:$BM$2,0)),"")</f>
        <v/>
      </c>
      <c r="BI7" s="79" t="str">
        <f>IFERROR(INDEX(Overview!$A$2:$BM$32,MATCH($A7,Overview!$A$2:$A$32,0),MATCH(BI$2,Overview!$A$2:$BM$2,0)),"")</f>
        <v/>
      </c>
      <c r="BJ7" s="79" t="str">
        <f>IFERROR(INDEX(Overview!$A$2:$BM$32,MATCH($A7,Overview!$A$2:$A$32,0),MATCH(BJ$2,Overview!$A$2:$BM$2,0)),"")</f>
        <v/>
      </c>
      <c r="BK7" s="79" t="str">
        <f>IFERROR(INDEX(Overview!$A$2:$BM$32,MATCH($A7,Overview!$A$2:$A$32,0),MATCH(BK$2,Overview!$A$2:$BM$2,0)),"")</f>
        <v/>
      </c>
      <c r="BL7" s="80" t="str">
        <f>IFERROR(INDEX(Overview!$A$2:$BM$32,MATCH($A7,Overview!$A$2:$A$32,0),MATCH(BL$2,Overview!$A$2:$BM$2,0)+11),"")</f>
        <v/>
      </c>
      <c r="BM7" s="80" t="str">
        <f>IFERROR(INDEX(Overview!$A$2:$BM$32,MATCH($A7,Overview!$A$2:$A$32,0),MATCH(BM$2,Overview!$A$2:$BM$2,0)+11),"")</f>
        <v/>
      </c>
      <c r="BN7" s="80" t="str">
        <f>IFERROR(INDEX(Overview!$A$2:$BM$32,MATCH($A7,Overview!$A$2:$A$32,0),MATCH(BN$2,Overview!$A$2:$BM$2,0)+11),"")</f>
        <v/>
      </c>
      <c r="BO7" s="80" t="str">
        <f>IFERROR(INDEX(Overview!$A$2:$BM$32,MATCH($A7,Overview!$A$2:$A$32,0),MATCH(BO$2,Overview!$A$2:$BM$2,0)+11),"")</f>
        <v/>
      </c>
      <c r="BP7" s="80" t="str">
        <f>IFERROR(INDEX(Overview!$A$2:$BM$32,MATCH($A7,Overview!$A$2:$A$32,0),MATCH(BP$2,Overview!$A$2:$BM$2,0)+11),"")</f>
        <v/>
      </c>
      <c r="BQ7" s="80" t="str">
        <f>IFERROR(INDEX(Overview!$A$2:$BM$32,MATCH($A7,Overview!$A$2:$A$32,0),MATCH(BQ$2,Overview!$A$2:$BM$2,0)+11),"")</f>
        <v/>
      </c>
      <c r="BR7" s="80" t="str">
        <f>IFERROR(INDEX(Overview!$A$2:$BM$32,MATCH($A7,Overview!$A$2:$A$32,0),MATCH(BR$2,Overview!$A$2:$BM$2,0)+11),"")</f>
        <v/>
      </c>
      <c r="BS7" s="80" t="str">
        <f>IFERROR(INDEX(Overview!$A$2:$BM$32,MATCH($A7,Overview!$A$2:$A$32,0),MATCH(BS$2,Overview!$A$2:$BM$2,0)+11),"")</f>
        <v/>
      </c>
      <c r="BT7" s="80" t="str">
        <f>IFERROR(INDEX(Overview!$A$2:$BM$32,MATCH($A7,Overview!$A$2:$A$32,0),MATCH(BT$2,Overview!$A$2:$BM$2,0)+11),"")</f>
        <v/>
      </c>
      <c r="BU7" s="80" t="str">
        <f>IFERROR(INDEX(Overview!$A$2:$BM$32,MATCH($A7,Overview!$A$2:$A$32,0),MATCH(BU$2,Overview!$A$2:$BM$2,0)+11),"")</f>
        <v/>
      </c>
      <c r="BV7" s="80" t="str">
        <f>IFERROR(INDEX(Overview!$A$2:$BM$32,MATCH($A7,Overview!$A$2:$A$32,0),MATCH(BV$2,Overview!$A$2:$BM$2,0)+11),"")</f>
        <v/>
      </c>
      <c r="BW7" s="82" t="str">
        <f t="shared" si="16"/>
        <v/>
      </c>
      <c r="BX7" s="82" t="str">
        <f t="shared" si="17"/>
        <v/>
      </c>
      <c r="BY7" s="82" t="str">
        <f t="shared" si="18"/>
        <v/>
      </c>
      <c r="BZ7" s="82" t="str">
        <f t="shared" si="19"/>
        <v/>
      </c>
      <c r="CA7" s="82" t="str">
        <f t="shared" si="20"/>
        <v/>
      </c>
      <c r="CB7" s="82" t="str">
        <f t="shared" si="21"/>
        <v/>
      </c>
      <c r="CC7" s="82" t="str">
        <f t="shared" si="22"/>
        <v/>
      </c>
      <c r="CD7" s="82" t="str">
        <f t="shared" si="23"/>
        <v/>
      </c>
      <c r="CE7" s="82" t="str">
        <f t="shared" si="24"/>
        <v/>
      </c>
      <c r="CF7" s="82" t="str">
        <f t="shared" si="25"/>
        <v/>
      </c>
      <c r="CG7" s="82" t="str">
        <f t="shared" si="26"/>
        <v/>
      </c>
      <c r="CH7" s="83" t="str">
        <f t="shared" si="38"/>
        <v/>
      </c>
      <c r="CI7" s="83" t="str">
        <f t="shared" si="39"/>
        <v/>
      </c>
      <c r="CJ7" s="83" t="str">
        <f t="shared" si="40"/>
        <v/>
      </c>
      <c r="CK7" s="83" t="str">
        <f t="shared" si="41"/>
        <v/>
      </c>
      <c r="CL7" s="83" t="str">
        <f t="shared" si="42"/>
        <v/>
      </c>
      <c r="CM7" s="83" t="str">
        <f t="shared" si="43"/>
        <v/>
      </c>
      <c r="CN7" s="83" t="str">
        <f t="shared" si="44"/>
        <v/>
      </c>
      <c r="CO7" s="83" t="str">
        <f t="shared" si="45"/>
        <v/>
      </c>
      <c r="CP7" s="83" t="str">
        <f t="shared" si="46"/>
        <v/>
      </c>
      <c r="CQ7" s="83" t="str">
        <f t="shared" si="47"/>
        <v/>
      </c>
      <c r="CR7" s="83" t="str">
        <f t="shared" si="48"/>
        <v/>
      </c>
      <c r="CV7">
        <f>Overview!BO7</f>
        <v>539.03612915528538</v>
      </c>
      <c r="CW7">
        <f>Overview!BP7</f>
        <v>18</v>
      </c>
      <c r="CX7" t="e">
        <f>Overview!BQ7</f>
        <v>#N/A</v>
      </c>
      <c r="CY7" t="e">
        <f>Overview!BR7</f>
        <v>#N/A</v>
      </c>
      <c r="CZ7" t="e">
        <f>Overview!BS7</f>
        <v>#N/A</v>
      </c>
      <c r="DA7" t="e">
        <f>Overview!BT7</f>
        <v>#N/A</v>
      </c>
      <c r="DB7" t="e">
        <f>Overview!BU7</f>
        <v>#N/A</v>
      </c>
      <c r="DC7" t="e">
        <f>Overview!BV7</f>
        <v>#N/A</v>
      </c>
      <c r="DD7" t="e">
        <f>Overview!BW7</f>
        <v>#N/A</v>
      </c>
      <c r="DE7" t="e">
        <f>Overview!BX7</f>
        <v>#N/A</v>
      </c>
      <c r="DF7" t="e">
        <f>Overview!BY7</f>
        <v>#N/A</v>
      </c>
      <c r="DG7" t="e">
        <f>Overview!BZ7</f>
        <v>#N/A</v>
      </c>
      <c r="DM7">
        <f t="shared" si="28"/>
        <v>0</v>
      </c>
      <c r="DN7">
        <f t="shared" si="29"/>
        <v>0</v>
      </c>
      <c r="DP7">
        <f t="shared" ca="1" si="49"/>
        <v>1</v>
      </c>
      <c r="DQ7" t="str">
        <f t="shared" ca="1" si="30"/>
        <v/>
      </c>
      <c r="DR7" t="str">
        <f t="shared" ca="1" si="50"/>
        <v/>
      </c>
      <c r="DS7" t="str">
        <f t="shared" ca="1" si="31"/>
        <v/>
      </c>
      <c r="DT7" t="str">
        <f t="shared" ca="1" si="51"/>
        <v/>
      </c>
      <c r="DU7">
        <f t="shared" ca="1" si="52"/>
        <v>1</v>
      </c>
      <c r="DV7" t="str">
        <f t="shared" si="32"/>
        <v/>
      </c>
      <c r="DW7" t="str">
        <f t="shared" si="53"/>
        <v/>
      </c>
      <c r="DX7" t="str">
        <f t="shared" si="0"/>
        <v/>
      </c>
      <c r="DZ7" t="str">
        <f t="shared" ca="1" si="54"/>
        <v/>
      </c>
      <c r="EA7" t="str">
        <f t="shared" ca="1" si="55"/>
        <v/>
      </c>
      <c r="EB7" s="84" t="str">
        <f t="shared" ca="1" si="56"/>
        <v/>
      </c>
      <c r="EC7" s="1" t="str">
        <f t="shared" ca="1" si="33"/>
        <v/>
      </c>
      <c r="ED7" t="str">
        <f t="shared" ca="1" si="57"/>
        <v/>
      </c>
      <c r="EE7" t="str">
        <f t="shared" ca="1" si="58"/>
        <v/>
      </c>
      <c r="EF7" t="str">
        <f t="shared" ca="1" si="59"/>
        <v/>
      </c>
      <c r="EJ7" t="str">
        <f ca="1">'538'!Q12</f>
        <v>Yankees</v>
      </c>
      <c r="EK7" t="str">
        <f ca="1">'538'!T12</f>
        <v/>
      </c>
    </row>
    <row r="8" spans="1:141" ht="15.75" thickBot="1" x14ac:dyDescent="0.3">
      <c r="A8" s="28" t="str">
        <f>IFERROR(INDEX(Overview!$A$3:$B$32,MATCH(Bet!$C8,Overview!$B$3:$B$32,0),1),"X")</f>
        <v>X</v>
      </c>
      <c r="B8" s="28" t="str">
        <f>IF(ISBLANK(C8),"",IFERROR(INDEX(Pitchers[],MATCH(F8,Pitchers[Player],0),MATCH(G$2,Pitchers[#Headers],0)),"X"))</f>
        <v/>
      </c>
      <c r="C8" s="4"/>
      <c r="D8" s="10"/>
      <c r="E8" s="96"/>
      <c r="F8" s="51"/>
      <c r="G8" s="48">
        <f>IFERROR(INDEX(Pitchers[],MATCH(Bet!F8,Pitchers[Player],0),MATCH(G$2,Pitchers[#Headers],0)),PlayerPitching!$AD$12)</f>
        <v>-0.13933069723404246</v>
      </c>
      <c r="H8" s="48" t="str">
        <f>IF(ISNUMBER(CODE(C8)),INDEX(Scores!$P$2:$T$33,MATCH($C8,Scores!$R$2:$R$33,0),4),"")</f>
        <v/>
      </c>
      <c r="I8" s="48" t="str">
        <f>IF(ISNUMBER(CODE(C8)),IF(INDEX(Scores!$P$2:$T$33,MATCH($C8,Scores!$R$2:$R$33,0),5)=0,1,INDEX(Scores!$P$2:$T$33,MATCH($C8,Scores!$R$2:$R$33,0),5)),"")</f>
        <v/>
      </c>
      <c r="J8" s="48">
        <f t="shared" si="1"/>
        <v>-1.9641098805067554</v>
      </c>
      <c r="K8" s="49">
        <f t="shared" si="2"/>
        <v>-9.4751509617551655</v>
      </c>
      <c r="L8" s="49">
        <f t="shared" si="3"/>
        <v>16.909645863110409</v>
      </c>
      <c r="M8" s="49">
        <f t="shared" si="4"/>
        <v>10.056673523576878</v>
      </c>
      <c r="N8" s="49">
        <f t="shared" si="5"/>
        <v>9.3029121378439612</v>
      </c>
      <c r="O8" s="49">
        <f t="shared" si="6"/>
        <v>2.0342481123324334</v>
      </c>
      <c r="P8" s="49">
        <f t="shared" si="7"/>
        <v>5.6685801250881971</v>
      </c>
      <c r="Q8" s="49" t="str">
        <f>IFERROR(_xlfn.NORM.INV(INDEX(Scores!$P$2:$U$33,MATCH($C8,Scores!$R$2:$R$33,0),6),H8,I8),"")</f>
        <v/>
      </c>
      <c r="R8" s="49" t="str">
        <f t="shared" si="8"/>
        <v/>
      </c>
      <c r="S8" s="49" t="str">
        <f t="shared" si="9"/>
        <v/>
      </c>
      <c r="T8" s="49" t="str">
        <f t="shared" si="34"/>
        <v/>
      </c>
      <c r="U8" s="96"/>
      <c r="V8" s="68" t="str">
        <f t="shared" si="11"/>
        <v/>
      </c>
      <c r="W8" s="65" t="str">
        <f t="shared" si="12"/>
        <v/>
      </c>
      <c r="X8" s="51" t="str">
        <f t="shared" si="13"/>
        <v/>
      </c>
      <c r="Y8" s="48" t="str">
        <f t="shared" si="35"/>
        <v/>
      </c>
      <c r="Z8" s="48" t="str">
        <f ca="1">IFERROR(INDEX('538'!$Q$9:$U$190,MATCH(Bet!$C8,'538'!$Q$9:$Q$190,0),5),"")</f>
        <v/>
      </c>
      <c r="AA8" t="str">
        <f t="shared" si="36"/>
        <v/>
      </c>
      <c r="AB8">
        <f t="shared" si="14"/>
        <v>0</v>
      </c>
      <c r="AC8" t="str">
        <f t="shared" ca="1" si="37"/>
        <v/>
      </c>
      <c r="AD8" t="str">
        <f t="shared" si="15"/>
        <v/>
      </c>
      <c r="AE8" t="str">
        <f>IFERROR(INDEX(Overview!$A$2:$BF$32,MATCH($A8,Overview!$A$2:$A$32,0),MATCH(AE$2,Overview!$A$2:$BF$2,0)),"")</f>
        <v/>
      </c>
      <c r="AF8" t="str">
        <f>IFERROR(INDEX(Overview!$A$2:$BF$32,MATCH($A8,Overview!$A$2:$A$32,0),MATCH(AF$2,Overview!$A$2:$BF$2,0)),"")</f>
        <v/>
      </c>
      <c r="AG8" t="str">
        <f>IFERROR(INDEX(Overview!$A$2:$BF$32,MATCH($A8,Overview!$A$2:$A$32,0),MATCH(AG$2,Overview!$A$2:$BF$2,0)),"")</f>
        <v/>
      </c>
      <c r="AH8" t="str">
        <f>IFERROR(INDEX(Overview!$A$2:$BF$32,MATCH($A8,Overview!$A$2:$A$32,0),MATCH(AH$2,Overview!$A$2:$BF$2,0)),"")</f>
        <v/>
      </c>
      <c r="AI8" t="str">
        <f>IFERROR(INDEX(Overview!$A$2:$BF$32,MATCH($A8,Overview!$A$2:$A$32,0),MATCH(AI$2,Overview!$A$2:$BF$2,0)),"")</f>
        <v/>
      </c>
      <c r="AJ8" t="str">
        <f>IFERROR(INDEX(Overview!$A$2:$BF$32,MATCH($A8,Overview!$A$2:$A$32,0),MATCH(AJ$2,Overview!$A$2:$BF$2,0)),"")</f>
        <v/>
      </c>
      <c r="AK8" t="str">
        <f>IFERROR(INDEX(Overview!$A$2:$BF$32,MATCH($A8,Overview!$A$2:$A$32,0),MATCH(AK$2,Overview!$A$2:$BF$2,0)),"")</f>
        <v/>
      </c>
      <c r="AL8" t="str">
        <f>IFERROR(INDEX(Overview!$A$2:$BF$32,MATCH($A8,Overview!$A$2:$A$32,0),MATCH(AL$2,Overview!$A$2:$BF$2,0)),"")</f>
        <v/>
      </c>
      <c r="AM8" t="str">
        <f>IFERROR(INDEX(Overview!$A$2:$BF$32,MATCH($A8,Overview!$A$2:$A$32,0),MATCH(AM$2,Overview!$A$2:$BF$2,0)),"")</f>
        <v/>
      </c>
      <c r="AN8" t="str">
        <f>IFERROR(INDEX(Overview!$A$2:$BF$32,MATCH($A8,Overview!$A$2:$A$32,0),MATCH(AN$2,Overview!$A$2:$BF$2,0)),"")</f>
        <v/>
      </c>
      <c r="AO8" t="str">
        <f>IFERROR(INDEX(Overview!$A$2:$BF$32,MATCH($A8,Overview!$A$2:$A$32,0),MATCH(AO$2,Overview!$A$2:$BF$2,0)),"")</f>
        <v/>
      </c>
      <c r="AP8" t="str">
        <f>IFERROR(INDEX(Overview!$A$2:$BM$32,MATCH($A8,Overview!$A$2:$A$32,0),MATCH(AP$2,Overview!$A$2:$BM$2,0)),"")</f>
        <v/>
      </c>
      <c r="AQ8" t="str">
        <f>IFERROR(INDEX(Overview!$A$2:$BM$32,MATCH($A8,Overview!$A$2:$A$32,0),MATCH(AQ$2,Overview!$A$2:$BM$2,0)),"")</f>
        <v/>
      </c>
      <c r="AR8" t="str">
        <f>IFERROR(INDEX(Overview!$A$2:$BM$32,MATCH($A8,Overview!$A$2:$A$32,0),MATCH(AR$2,Overview!$A$2:$BM$2,0)),"")</f>
        <v/>
      </c>
      <c r="AS8" t="str">
        <f>IFERROR(INDEX(Overview!$A$2:$BM$32,MATCH($A8,Overview!$A$2:$A$32,0),MATCH(AS$2,Overview!$A$2:$BM$2,0)),"")</f>
        <v/>
      </c>
      <c r="AT8" t="str">
        <f>IFERROR(INDEX(Overview!$A$2:$BM$32,MATCH($A8,Overview!$A$2:$A$32,0),MATCH(AT$2,Overview!$A$2:$BM$2,0)),"")</f>
        <v/>
      </c>
      <c r="AU8" t="str">
        <f>IFERROR(INDEX(Overview!$A$2:$BM$32,MATCH($A8,Overview!$A$2:$A$32,0),MATCH(AU$2,Overview!$A$2:$BM$2,0)),"")</f>
        <v/>
      </c>
      <c r="AV8" t="str">
        <f>IFERROR(INDEX(Overview!$A$2:$BM$32,MATCH($A8,Overview!$A$2:$A$32,0),MATCH(AV$2,Overview!$A$2:$BM$2,0)),"")</f>
        <v/>
      </c>
      <c r="AW8" t="str">
        <f>IFERROR(INDEX(Overview!$A$2:$BM$32,MATCH($A8,Overview!$A$2:$A$32,0),MATCH(AW$2,Overview!$A$2:$BM$2,0)),"")</f>
        <v/>
      </c>
      <c r="AX8" t="str">
        <f>IFERROR(INDEX(Overview!$A$2:$BM$32,MATCH($A8,Overview!$A$2:$A$32,0),MATCH(AX$2,Overview!$A$2:$BM$2,0)),"")</f>
        <v/>
      </c>
      <c r="AY8" t="str">
        <f>IFERROR(INDEX(Overview!$A$2:$BM$32,MATCH($A8,Overview!$A$2:$A$32,0),MATCH(AY$2,Overview!$A$2:$BM$2,0)),"")</f>
        <v/>
      </c>
      <c r="AZ8" t="str">
        <f>IFERROR(INDEX(Overview!$A$2:$BM$32,MATCH($A8,Overview!$A$2:$A$32,0),MATCH(AZ$2,Overview!$A$2:$BM$2,0)),"")</f>
        <v/>
      </c>
      <c r="BA8" s="79" t="str">
        <f>IFERROR(INDEX(Overview!$A$2:$BM$32,MATCH($A8,Overview!$A$2:$A$32,0),MATCH(BA$2,Overview!$A$2:$BM$2,0)),"")</f>
        <v/>
      </c>
      <c r="BB8" s="79" t="str">
        <f>IFERROR(INDEX(Overview!$A$2:$BM$32,MATCH($A8,Overview!$A$2:$A$32,0),MATCH(BB$2,Overview!$A$2:$BM$2,0)),"")</f>
        <v/>
      </c>
      <c r="BC8" s="79" t="str">
        <f>IFERROR(INDEX(Overview!$A$2:$BM$32,MATCH($A8,Overview!$A$2:$A$32,0),MATCH(BC$2,Overview!$A$2:$BM$2,0)),"")</f>
        <v/>
      </c>
      <c r="BD8" s="79" t="str">
        <f>IFERROR(INDEX(Overview!$A$2:$BM$32,MATCH($A8,Overview!$A$2:$A$32,0),MATCH(BD$2,Overview!$A$2:$BM$2,0)),"")</f>
        <v/>
      </c>
      <c r="BE8" s="79" t="str">
        <f>IFERROR(INDEX(Overview!$A$2:$BM$32,MATCH($A8,Overview!$A$2:$A$32,0),MATCH(BE$2,Overview!$A$2:$BM$2,0)),"")</f>
        <v/>
      </c>
      <c r="BF8" s="79" t="str">
        <f>IFERROR(INDEX(Overview!$A$2:$BM$32,MATCH($A8,Overview!$A$2:$A$32,0),MATCH(BF$2,Overview!$A$2:$BM$2,0)),"")</f>
        <v/>
      </c>
      <c r="BG8" s="79" t="str">
        <f>IFERROR(INDEX(Overview!$A$2:$BM$32,MATCH($A8,Overview!$A$2:$A$32,0),MATCH(BG$2,Overview!$A$2:$BM$2,0)),"")</f>
        <v/>
      </c>
      <c r="BH8" s="79" t="str">
        <f>IFERROR(INDEX(Overview!$A$2:$BM$32,MATCH($A8,Overview!$A$2:$A$32,0),MATCH(BH$2,Overview!$A$2:$BM$2,0)),"")</f>
        <v/>
      </c>
      <c r="BI8" s="79" t="str">
        <f>IFERROR(INDEX(Overview!$A$2:$BM$32,MATCH($A8,Overview!$A$2:$A$32,0),MATCH(BI$2,Overview!$A$2:$BM$2,0)),"")</f>
        <v/>
      </c>
      <c r="BJ8" s="79" t="str">
        <f>IFERROR(INDEX(Overview!$A$2:$BM$32,MATCH($A8,Overview!$A$2:$A$32,0),MATCH(BJ$2,Overview!$A$2:$BM$2,0)),"")</f>
        <v/>
      </c>
      <c r="BK8" s="79" t="str">
        <f>IFERROR(INDEX(Overview!$A$2:$BM$32,MATCH($A8,Overview!$A$2:$A$32,0),MATCH(BK$2,Overview!$A$2:$BM$2,0)),"")</f>
        <v/>
      </c>
      <c r="BL8" s="80" t="str">
        <f>IFERROR(INDEX(Overview!$A$2:$BM$32,MATCH($A8,Overview!$A$2:$A$32,0),MATCH(BL$2,Overview!$A$2:$BM$2,0)+11),"")</f>
        <v/>
      </c>
      <c r="BM8" s="80" t="str">
        <f>IFERROR(INDEX(Overview!$A$2:$BM$32,MATCH($A8,Overview!$A$2:$A$32,0),MATCH(BM$2,Overview!$A$2:$BM$2,0)+11),"")</f>
        <v/>
      </c>
      <c r="BN8" s="80" t="str">
        <f>IFERROR(INDEX(Overview!$A$2:$BM$32,MATCH($A8,Overview!$A$2:$A$32,0),MATCH(BN$2,Overview!$A$2:$BM$2,0)+11),"")</f>
        <v/>
      </c>
      <c r="BO8" s="80" t="str">
        <f>IFERROR(INDEX(Overview!$A$2:$BM$32,MATCH($A8,Overview!$A$2:$A$32,0),MATCH(BO$2,Overview!$A$2:$BM$2,0)+11),"")</f>
        <v/>
      </c>
      <c r="BP8" s="80" t="str">
        <f>IFERROR(INDEX(Overview!$A$2:$BM$32,MATCH($A8,Overview!$A$2:$A$32,0),MATCH(BP$2,Overview!$A$2:$BM$2,0)+11),"")</f>
        <v/>
      </c>
      <c r="BQ8" s="80" t="str">
        <f>IFERROR(INDEX(Overview!$A$2:$BM$32,MATCH($A8,Overview!$A$2:$A$32,0),MATCH(BQ$2,Overview!$A$2:$BM$2,0)+11),"")</f>
        <v/>
      </c>
      <c r="BR8" s="80" t="str">
        <f>IFERROR(INDEX(Overview!$A$2:$BM$32,MATCH($A8,Overview!$A$2:$A$32,0),MATCH(BR$2,Overview!$A$2:$BM$2,0)+11),"")</f>
        <v/>
      </c>
      <c r="BS8" s="80" t="str">
        <f>IFERROR(INDEX(Overview!$A$2:$BM$32,MATCH($A8,Overview!$A$2:$A$32,0),MATCH(BS$2,Overview!$A$2:$BM$2,0)+11),"")</f>
        <v/>
      </c>
      <c r="BT8" s="80" t="str">
        <f>IFERROR(INDEX(Overview!$A$2:$BM$32,MATCH($A8,Overview!$A$2:$A$32,0),MATCH(BT$2,Overview!$A$2:$BM$2,0)+11),"")</f>
        <v/>
      </c>
      <c r="BU8" s="80" t="str">
        <f>IFERROR(INDEX(Overview!$A$2:$BM$32,MATCH($A8,Overview!$A$2:$A$32,0),MATCH(BU$2,Overview!$A$2:$BM$2,0)+11),"")</f>
        <v/>
      </c>
      <c r="BV8" s="80" t="str">
        <f>IFERROR(INDEX(Overview!$A$2:$BM$32,MATCH($A8,Overview!$A$2:$A$32,0),MATCH(BV$2,Overview!$A$2:$BM$2,0)+11),"")</f>
        <v/>
      </c>
      <c r="BW8" s="82" t="str">
        <f t="shared" si="16"/>
        <v/>
      </c>
      <c r="BX8" s="82" t="str">
        <f t="shared" si="17"/>
        <v/>
      </c>
      <c r="BY8" s="82" t="str">
        <f t="shared" si="18"/>
        <v/>
      </c>
      <c r="BZ8" s="82" t="str">
        <f t="shared" si="19"/>
        <v/>
      </c>
      <c r="CA8" s="82" t="str">
        <f t="shared" si="20"/>
        <v/>
      </c>
      <c r="CB8" s="82" t="str">
        <f t="shared" si="21"/>
        <v/>
      </c>
      <c r="CC8" s="82" t="str">
        <f t="shared" si="22"/>
        <v/>
      </c>
      <c r="CD8" s="82" t="str">
        <f t="shared" si="23"/>
        <v/>
      </c>
      <c r="CE8" s="82" t="str">
        <f t="shared" si="24"/>
        <v/>
      </c>
      <c r="CF8" s="82" t="str">
        <f t="shared" si="25"/>
        <v/>
      </c>
      <c r="CG8" s="82" t="str">
        <f t="shared" si="26"/>
        <v/>
      </c>
      <c r="CH8" s="83" t="str">
        <f t="shared" si="38"/>
        <v/>
      </c>
      <c r="CI8" s="83" t="str">
        <f t="shared" si="39"/>
        <v/>
      </c>
      <c r="CJ8" s="83" t="str">
        <f t="shared" si="40"/>
        <v/>
      </c>
      <c r="CK8" s="83" t="str">
        <f t="shared" si="41"/>
        <v/>
      </c>
      <c r="CL8" s="83" t="str">
        <f t="shared" si="42"/>
        <v/>
      </c>
      <c r="CM8" s="83" t="str">
        <f t="shared" si="43"/>
        <v/>
      </c>
      <c r="CN8" s="83" t="str">
        <f t="shared" si="44"/>
        <v/>
      </c>
      <c r="CO8" s="83" t="str">
        <f t="shared" si="45"/>
        <v/>
      </c>
      <c r="CP8" s="83" t="str">
        <f t="shared" si="46"/>
        <v/>
      </c>
      <c r="CQ8" s="83" t="str">
        <f t="shared" si="47"/>
        <v/>
      </c>
      <c r="CR8" s="83" t="str">
        <f t="shared" si="48"/>
        <v/>
      </c>
      <c r="CV8">
        <f>Overview!BO8</f>
        <v>10.750364884794118</v>
      </c>
      <c r="CW8">
        <f>Overview!BP8</f>
        <v>3.263511520588612E-2</v>
      </c>
      <c r="CX8" t="e">
        <f>Overview!BQ8</f>
        <v>#N/A</v>
      </c>
      <c r="CY8" t="e">
        <f>Overview!BR8</f>
        <v>#N/A</v>
      </c>
      <c r="CZ8" t="e">
        <f>Overview!BS8</f>
        <v>#N/A</v>
      </c>
      <c r="DA8" t="e">
        <f>Overview!BT8</f>
        <v>#N/A</v>
      </c>
      <c r="DB8" t="e">
        <f>Overview!BU8</f>
        <v>#N/A</v>
      </c>
      <c r="DC8" t="e">
        <f>Overview!BV8</f>
        <v>#N/A</v>
      </c>
      <c r="DD8" t="e">
        <f>Overview!BW8</f>
        <v>#N/A</v>
      </c>
      <c r="DE8" t="e">
        <f>Overview!BX8</f>
        <v>#N/A</v>
      </c>
      <c r="DF8" t="e">
        <f>Overview!BY8</f>
        <v>#N/A</v>
      </c>
      <c r="DG8" t="e">
        <f>Overview!BZ8</f>
        <v>#N/A</v>
      </c>
      <c r="DM8">
        <f t="shared" si="28"/>
        <v>0</v>
      </c>
      <c r="DN8">
        <f t="shared" si="29"/>
        <v>0</v>
      </c>
      <c r="DP8">
        <f t="shared" ca="1" si="49"/>
        <v>1</v>
      </c>
      <c r="DQ8" t="str">
        <f t="shared" ca="1" si="30"/>
        <v/>
      </c>
      <c r="DR8" t="str">
        <f t="shared" ca="1" si="50"/>
        <v/>
      </c>
      <c r="DS8" t="str">
        <f t="shared" ca="1" si="31"/>
        <v/>
      </c>
      <c r="DT8" t="str">
        <f t="shared" ca="1" si="51"/>
        <v/>
      </c>
      <c r="DU8">
        <f t="shared" ca="1" si="52"/>
        <v>1</v>
      </c>
      <c r="DV8" t="str">
        <f t="shared" si="32"/>
        <v/>
      </c>
      <c r="DW8" t="str">
        <f t="shared" si="53"/>
        <v/>
      </c>
      <c r="DX8" t="str">
        <f t="shared" si="0"/>
        <v/>
      </c>
      <c r="DZ8" t="str">
        <f t="shared" ca="1" si="54"/>
        <v/>
      </c>
      <c r="EA8" t="str">
        <f t="shared" ca="1" si="55"/>
        <v/>
      </c>
      <c r="EB8" s="84" t="str">
        <f t="shared" ca="1" si="56"/>
        <v/>
      </c>
      <c r="EC8" s="1" t="str">
        <f t="shared" ca="1" si="33"/>
        <v/>
      </c>
      <c r="ED8" t="str">
        <f t="shared" ca="1" si="57"/>
        <v/>
      </c>
      <c r="EE8" t="str">
        <f t="shared" ca="1" si="58"/>
        <v/>
      </c>
      <c r="EF8" t="str">
        <f t="shared" ca="1" si="59"/>
        <v/>
      </c>
      <c r="EJ8" t="str">
        <f ca="1">'538'!Q13</f>
        <v/>
      </c>
      <c r="EK8" t="str">
        <f ca="1">'538'!T13</f>
        <v/>
      </c>
    </row>
    <row r="9" spans="1:141" x14ac:dyDescent="0.25">
      <c r="A9" s="28" t="str">
        <f>IFERROR(INDEX(Overview!$A$3:$B$32,MATCH(Bet!$C9,Overview!$B$3:$B$32,0),1),"X")</f>
        <v>X</v>
      </c>
      <c r="B9" s="28" t="str">
        <f>IF(ISBLANK(C9),"",IFERROR(INDEX(Pitchers[],MATCH(F9,Pitchers[Player],0),MATCH(G$2,Pitchers[#Headers],0)),"X"))</f>
        <v/>
      </c>
      <c r="C9" s="2"/>
      <c r="D9" s="3"/>
      <c r="E9" s="95"/>
      <c r="F9" s="50"/>
      <c r="G9" s="48">
        <f>IFERROR(INDEX(Pitchers[],MATCH(Bet!F9,Pitchers[Player],0),MATCH(G$2,Pitchers[#Headers],0)),PlayerPitching!$AD$12)</f>
        <v>-0.13933069723404246</v>
      </c>
      <c r="H9" s="48" t="str">
        <f>IF(ISNUMBER(CODE(C9)),INDEX(Scores!$P$2:$T$33,MATCH($C9,Scores!$R$2:$R$33,0),4),"")</f>
        <v/>
      </c>
      <c r="I9" s="48" t="str">
        <f>IF(ISNUMBER(CODE(C9)),IF(INDEX(Scores!$P$2:$T$33,MATCH($C9,Scores!$R$2:$R$33,0),5)=0,1,INDEX(Scores!$P$2:$T$33,MATCH($C9,Scores!$R$2:$R$33,0),5)),"")</f>
        <v/>
      </c>
      <c r="J9" s="48">
        <f t="shared" si="1"/>
        <v>-1.9641098805067554</v>
      </c>
      <c r="K9" s="49">
        <f t="shared" si="2"/>
        <v>-9.4751509617551655</v>
      </c>
      <c r="L9" s="49">
        <f t="shared" si="3"/>
        <v>16.909645863110409</v>
      </c>
      <c r="M9" s="49">
        <f t="shared" si="4"/>
        <v>10.056673523576878</v>
      </c>
      <c r="N9" s="49">
        <f t="shared" si="5"/>
        <v>9.3029121378439612</v>
      </c>
      <c r="O9" s="49">
        <f t="shared" si="6"/>
        <v>2.0342481123324334</v>
      </c>
      <c r="P9" s="49">
        <f t="shared" si="7"/>
        <v>5.6685801250881971</v>
      </c>
      <c r="Q9" s="49" t="str">
        <f>IFERROR(_xlfn.NORM.INV(INDEX(Scores!$P$2:$U$33,MATCH($C9,Scores!$R$2:$R$33,0),6),H9,I9),"")</f>
        <v/>
      </c>
      <c r="R9" s="49" t="str">
        <f t="shared" si="8"/>
        <v/>
      </c>
      <c r="S9" s="49" t="str">
        <f t="shared" si="9"/>
        <v/>
      </c>
      <c r="T9" s="49" t="str">
        <f t="shared" si="34"/>
        <v/>
      </c>
      <c r="U9" s="95" t="str">
        <f t="shared" ref="U9" si="62">IFERROR(ROUND(ROUND((R9+R10)*2,0)/2,1)+1.5,"")</f>
        <v/>
      </c>
      <c r="V9" s="67" t="str">
        <f t="shared" si="11"/>
        <v/>
      </c>
      <c r="W9" s="64" t="str">
        <f t="shared" si="12"/>
        <v/>
      </c>
      <c r="X9" s="50" t="str">
        <f t="shared" si="13"/>
        <v/>
      </c>
      <c r="Y9" s="48" t="str">
        <f t="shared" si="35"/>
        <v/>
      </c>
      <c r="Z9" s="48" t="str">
        <f ca="1">IFERROR(INDEX('538'!$Q$9:$U$190,MATCH(Bet!$C9,'538'!$Q$9:$Q$190,0),5),"")</f>
        <v/>
      </c>
      <c r="AA9" t="str">
        <f t="shared" si="36"/>
        <v/>
      </c>
      <c r="AB9">
        <f t="shared" si="14"/>
        <v>0</v>
      </c>
      <c r="AC9" t="str">
        <f t="shared" ca="1" si="37"/>
        <v/>
      </c>
      <c r="AD9" t="str">
        <f t="shared" si="15"/>
        <v/>
      </c>
      <c r="AE9" t="str">
        <f>IFERROR(INDEX(Overview!$A$2:$BF$32,MATCH($A9,Overview!$A$2:$A$32,0),MATCH(AE$2,Overview!$A$2:$BF$2,0)),"")</f>
        <v/>
      </c>
      <c r="AF9" t="str">
        <f>IFERROR(INDEX(Overview!$A$2:$BF$32,MATCH($A9,Overview!$A$2:$A$32,0),MATCH(AF$2,Overview!$A$2:$BF$2,0)),"")</f>
        <v/>
      </c>
      <c r="AG9" t="str">
        <f>IFERROR(INDEX(Overview!$A$2:$BF$32,MATCH($A9,Overview!$A$2:$A$32,0),MATCH(AG$2,Overview!$A$2:$BF$2,0)),"")</f>
        <v/>
      </c>
      <c r="AH9" t="str">
        <f>IFERROR(INDEX(Overview!$A$2:$BF$32,MATCH($A9,Overview!$A$2:$A$32,0),MATCH(AH$2,Overview!$A$2:$BF$2,0)),"")</f>
        <v/>
      </c>
      <c r="AI9" t="str">
        <f>IFERROR(INDEX(Overview!$A$2:$BF$32,MATCH($A9,Overview!$A$2:$A$32,0),MATCH(AI$2,Overview!$A$2:$BF$2,0)),"")</f>
        <v/>
      </c>
      <c r="AJ9" t="str">
        <f>IFERROR(INDEX(Overview!$A$2:$BF$32,MATCH($A9,Overview!$A$2:$A$32,0),MATCH(AJ$2,Overview!$A$2:$BF$2,0)),"")</f>
        <v/>
      </c>
      <c r="AK9" t="str">
        <f>IFERROR(INDEX(Overview!$A$2:$BF$32,MATCH($A9,Overview!$A$2:$A$32,0),MATCH(AK$2,Overview!$A$2:$BF$2,0)),"")</f>
        <v/>
      </c>
      <c r="AL9" t="str">
        <f>IFERROR(INDEX(Overview!$A$2:$BF$32,MATCH($A9,Overview!$A$2:$A$32,0),MATCH(AL$2,Overview!$A$2:$BF$2,0)),"")</f>
        <v/>
      </c>
      <c r="AM9" t="str">
        <f>IFERROR(INDEX(Overview!$A$2:$BF$32,MATCH($A9,Overview!$A$2:$A$32,0),MATCH(AM$2,Overview!$A$2:$BF$2,0)),"")</f>
        <v/>
      </c>
      <c r="AN9" t="str">
        <f>IFERROR(INDEX(Overview!$A$2:$BF$32,MATCH($A9,Overview!$A$2:$A$32,0),MATCH(AN$2,Overview!$A$2:$BF$2,0)),"")</f>
        <v/>
      </c>
      <c r="AO9" t="str">
        <f>IFERROR(INDEX(Overview!$A$2:$BF$32,MATCH($A9,Overview!$A$2:$A$32,0),MATCH(AO$2,Overview!$A$2:$BF$2,0)),"")</f>
        <v/>
      </c>
      <c r="AP9" t="str">
        <f>IFERROR(INDEX(Overview!$A$2:$BM$32,MATCH($A9,Overview!$A$2:$A$32,0),MATCH(AP$2,Overview!$A$2:$BM$2,0)),"")</f>
        <v/>
      </c>
      <c r="AQ9" t="str">
        <f>IFERROR(INDEX(Overview!$A$2:$BM$32,MATCH($A9,Overview!$A$2:$A$32,0),MATCH(AQ$2,Overview!$A$2:$BM$2,0)),"")</f>
        <v/>
      </c>
      <c r="AR9" t="str">
        <f>IFERROR(INDEX(Overview!$A$2:$BM$32,MATCH($A9,Overview!$A$2:$A$32,0),MATCH(AR$2,Overview!$A$2:$BM$2,0)),"")</f>
        <v/>
      </c>
      <c r="AS9" t="str">
        <f>IFERROR(INDEX(Overview!$A$2:$BM$32,MATCH($A9,Overview!$A$2:$A$32,0),MATCH(AS$2,Overview!$A$2:$BM$2,0)),"")</f>
        <v/>
      </c>
      <c r="AT9" t="str">
        <f>IFERROR(INDEX(Overview!$A$2:$BM$32,MATCH($A9,Overview!$A$2:$A$32,0),MATCH(AT$2,Overview!$A$2:$BM$2,0)),"")</f>
        <v/>
      </c>
      <c r="AU9" t="str">
        <f>IFERROR(INDEX(Overview!$A$2:$BM$32,MATCH($A9,Overview!$A$2:$A$32,0),MATCH(AU$2,Overview!$A$2:$BM$2,0)),"")</f>
        <v/>
      </c>
      <c r="AV9" t="str">
        <f>IFERROR(INDEX(Overview!$A$2:$BM$32,MATCH($A9,Overview!$A$2:$A$32,0),MATCH(AV$2,Overview!$A$2:$BM$2,0)),"")</f>
        <v/>
      </c>
      <c r="AW9" t="str">
        <f>IFERROR(INDEX(Overview!$A$2:$BM$32,MATCH($A9,Overview!$A$2:$A$32,0),MATCH(AW$2,Overview!$A$2:$BM$2,0)),"")</f>
        <v/>
      </c>
      <c r="AX9" t="str">
        <f>IFERROR(INDEX(Overview!$A$2:$BM$32,MATCH($A9,Overview!$A$2:$A$32,0),MATCH(AX$2,Overview!$A$2:$BM$2,0)),"")</f>
        <v/>
      </c>
      <c r="AY9" t="str">
        <f>IFERROR(INDEX(Overview!$A$2:$BM$32,MATCH($A9,Overview!$A$2:$A$32,0),MATCH(AY$2,Overview!$A$2:$BM$2,0)),"")</f>
        <v/>
      </c>
      <c r="AZ9" t="str">
        <f>IFERROR(INDEX(Overview!$A$2:$BM$32,MATCH($A9,Overview!$A$2:$A$32,0),MATCH(AZ$2,Overview!$A$2:$BM$2,0)),"")</f>
        <v/>
      </c>
      <c r="BA9" s="79" t="str">
        <f>IFERROR(INDEX(Overview!$A$2:$BM$32,MATCH($A9,Overview!$A$2:$A$32,0),MATCH(BA$2,Overview!$A$2:$BM$2,0)),"")</f>
        <v/>
      </c>
      <c r="BB9" s="79" t="str">
        <f>IFERROR(INDEX(Overview!$A$2:$BM$32,MATCH($A9,Overview!$A$2:$A$32,0),MATCH(BB$2,Overview!$A$2:$BM$2,0)),"")</f>
        <v/>
      </c>
      <c r="BC9" s="79" t="str">
        <f>IFERROR(INDEX(Overview!$A$2:$BM$32,MATCH($A9,Overview!$A$2:$A$32,0),MATCH(BC$2,Overview!$A$2:$BM$2,0)),"")</f>
        <v/>
      </c>
      <c r="BD9" s="79" t="str">
        <f>IFERROR(INDEX(Overview!$A$2:$BM$32,MATCH($A9,Overview!$A$2:$A$32,0),MATCH(BD$2,Overview!$A$2:$BM$2,0)),"")</f>
        <v/>
      </c>
      <c r="BE9" s="79" t="str">
        <f>IFERROR(INDEX(Overview!$A$2:$BM$32,MATCH($A9,Overview!$A$2:$A$32,0),MATCH(BE$2,Overview!$A$2:$BM$2,0)),"")</f>
        <v/>
      </c>
      <c r="BF9" s="79" t="str">
        <f>IFERROR(INDEX(Overview!$A$2:$BM$32,MATCH($A9,Overview!$A$2:$A$32,0),MATCH(BF$2,Overview!$A$2:$BM$2,0)),"")</f>
        <v/>
      </c>
      <c r="BG9" s="79" t="str">
        <f>IFERROR(INDEX(Overview!$A$2:$BM$32,MATCH($A9,Overview!$A$2:$A$32,0),MATCH(BG$2,Overview!$A$2:$BM$2,0)),"")</f>
        <v/>
      </c>
      <c r="BH9" s="79" t="str">
        <f>IFERROR(INDEX(Overview!$A$2:$BM$32,MATCH($A9,Overview!$A$2:$A$32,0),MATCH(BH$2,Overview!$A$2:$BM$2,0)),"")</f>
        <v/>
      </c>
      <c r="BI9" s="79" t="str">
        <f>IFERROR(INDEX(Overview!$A$2:$BM$32,MATCH($A9,Overview!$A$2:$A$32,0),MATCH(BI$2,Overview!$A$2:$BM$2,0)),"")</f>
        <v/>
      </c>
      <c r="BJ9" s="79" t="str">
        <f>IFERROR(INDEX(Overview!$A$2:$BM$32,MATCH($A9,Overview!$A$2:$A$32,0),MATCH(BJ$2,Overview!$A$2:$BM$2,0)),"")</f>
        <v/>
      </c>
      <c r="BK9" s="79" t="str">
        <f>IFERROR(INDEX(Overview!$A$2:$BM$32,MATCH($A9,Overview!$A$2:$A$32,0),MATCH(BK$2,Overview!$A$2:$BM$2,0)),"")</f>
        <v/>
      </c>
      <c r="BL9" s="80" t="str">
        <f>IFERROR(INDEX(Overview!$A$2:$BM$32,MATCH($A9,Overview!$A$2:$A$32,0),MATCH(BL$2,Overview!$A$2:$BM$2,0)+11),"")</f>
        <v/>
      </c>
      <c r="BM9" s="80" t="str">
        <f>IFERROR(INDEX(Overview!$A$2:$BM$32,MATCH($A9,Overview!$A$2:$A$32,0),MATCH(BM$2,Overview!$A$2:$BM$2,0)+11),"")</f>
        <v/>
      </c>
      <c r="BN9" s="80" t="str">
        <f>IFERROR(INDEX(Overview!$A$2:$BM$32,MATCH($A9,Overview!$A$2:$A$32,0),MATCH(BN$2,Overview!$A$2:$BM$2,0)+11),"")</f>
        <v/>
      </c>
      <c r="BO9" s="80" t="str">
        <f>IFERROR(INDEX(Overview!$A$2:$BM$32,MATCH($A9,Overview!$A$2:$A$32,0),MATCH(BO$2,Overview!$A$2:$BM$2,0)+11),"")</f>
        <v/>
      </c>
      <c r="BP9" s="80" t="str">
        <f>IFERROR(INDEX(Overview!$A$2:$BM$32,MATCH($A9,Overview!$A$2:$A$32,0),MATCH(BP$2,Overview!$A$2:$BM$2,0)+11),"")</f>
        <v/>
      </c>
      <c r="BQ9" s="80" t="str">
        <f>IFERROR(INDEX(Overview!$A$2:$BM$32,MATCH($A9,Overview!$A$2:$A$32,0),MATCH(BQ$2,Overview!$A$2:$BM$2,0)+11),"")</f>
        <v/>
      </c>
      <c r="BR9" s="80" t="str">
        <f>IFERROR(INDEX(Overview!$A$2:$BM$32,MATCH($A9,Overview!$A$2:$A$32,0),MATCH(BR$2,Overview!$A$2:$BM$2,0)+11),"")</f>
        <v/>
      </c>
      <c r="BS9" s="80" t="str">
        <f>IFERROR(INDEX(Overview!$A$2:$BM$32,MATCH($A9,Overview!$A$2:$A$32,0),MATCH(BS$2,Overview!$A$2:$BM$2,0)+11),"")</f>
        <v/>
      </c>
      <c r="BT9" s="80" t="str">
        <f>IFERROR(INDEX(Overview!$A$2:$BM$32,MATCH($A9,Overview!$A$2:$A$32,0),MATCH(BT$2,Overview!$A$2:$BM$2,0)+11),"")</f>
        <v/>
      </c>
      <c r="BU9" s="80" t="str">
        <f>IFERROR(INDEX(Overview!$A$2:$BM$32,MATCH($A9,Overview!$A$2:$A$32,0),MATCH(BU$2,Overview!$A$2:$BM$2,0)+11),"")</f>
        <v/>
      </c>
      <c r="BV9" s="80" t="str">
        <f>IFERROR(INDEX(Overview!$A$2:$BM$32,MATCH($A9,Overview!$A$2:$A$32,0),MATCH(BV$2,Overview!$A$2:$BM$2,0)+11),"")</f>
        <v/>
      </c>
      <c r="BW9" s="82" t="str">
        <f t="shared" si="16"/>
        <v/>
      </c>
      <c r="BX9" s="82" t="str">
        <f t="shared" si="17"/>
        <v/>
      </c>
      <c r="BY9" s="82" t="str">
        <f t="shared" si="18"/>
        <v/>
      </c>
      <c r="BZ9" s="82" t="str">
        <f t="shared" si="19"/>
        <v/>
      </c>
      <c r="CA9" s="82" t="str">
        <f t="shared" si="20"/>
        <v/>
      </c>
      <c r="CB9" s="82" t="str">
        <f t="shared" si="21"/>
        <v/>
      </c>
      <c r="CC9" s="82" t="str">
        <f t="shared" si="22"/>
        <v/>
      </c>
      <c r="CD9" s="82" t="str">
        <f t="shared" si="23"/>
        <v/>
      </c>
      <c r="CE9" s="82" t="str">
        <f t="shared" si="24"/>
        <v/>
      </c>
      <c r="CF9" s="82" t="str">
        <f t="shared" si="25"/>
        <v/>
      </c>
      <c r="CG9" s="82" t="str">
        <f t="shared" si="26"/>
        <v/>
      </c>
      <c r="CH9" s="83" t="str">
        <f t="shared" si="38"/>
        <v/>
      </c>
      <c r="CI9" s="83" t="str">
        <f t="shared" si="39"/>
        <v/>
      </c>
      <c r="CJ9" s="83" t="str">
        <f t="shared" si="40"/>
        <v/>
      </c>
      <c r="CK9" s="83" t="str">
        <f t="shared" si="41"/>
        <v/>
      </c>
      <c r="CL9" s="83" t="str">
        <f t="shared" si="42"/>
        <v/>
      </c>
      <c r="CM9" s="83" t="str">
        <f t="shared" si="43"/>
        <v/>
      </c>
      <c r="CN9" s="83" t="str">
        <f t="shared" si="44"/>
        <v/>
      </c>
      <c r="CO9" s="83" t="str">
        <f t="shared" si="45"/>
        <v/>
      </c>
      <c r="CP9" s="83" t="str">
        <f t="shared" si="46"/>
        <v/>
      </c>
      <c r="CQ9" s="83" t="str">
        <f t="shared" si="47"/>
        <v/>
      </c>
      <c r="CR9" s="83" t="str">
        <f t="shared" si="48"/>
        <v/>
      </c>
      <c r="DM9">
        <f t="shared" si="28"/>
        <v>0</v>
      </c>
      <c r="DN9">
        <f t="shared" si="29"/>
        <v>0</v>
      </c>
      <c r="DP9">
        <f t="shared" ca="1" si="49"/>
        <v>1</v>
      </c>
      <c r="DQ9" t="str">
        <f t="shared" ca="1" si="30"/>
        <v/>
      </c>
      <c r="DR9" t="str">
        <f t="shared" ca="1" si="50"/>
        <v/>
      </c>
      <c r="DS9" t="str">
        <f t="shared" ca="1" si="31"/>
        <v/>
      </c>
      <c r="DT9" t="str">
        <f t="shared" ca="1" si="51"/>
        <v/>
      </c>
      <c r="DU9">
        <f t="shared" ca="1" si="52"/>
        <v>1</v>
      </c>
      <c r="DV9" t="str">
        <f t="shared" si="32"/>
        <v/>
      </c>
      <c r="DW9" t="str">
        <f t="shared" si="53"/>
        <v/>
      </c>
      <c r="DX9" t="str">
        <f t="shared" si="0"/>
        <v/>
      </c>
      <c r="DZ9" t="str">
        <f t="shared" ca="1" si="54"/>
        <v/>
      </c>
      <c r="EA9" t="str">
        <f t="shared" ca="1" si="55"/>
        <v/>
      </c>
      <c r="EB9" s="84" t="str">
        <f t="shared" ca="1" si="56"/>
        <v/>
      </c>
      <c r="EC9" s="1" t="str">
        <f t="shared" ca="1" si="33"/>
        <v/>
      </c>
      <c r="ED9" t="str">
        <f t="shared" ca="1" si="57"/>
        <v/>
      </c>
      <c r="EE9" t="str">
        <f t="shared" ca="1" si="58"/>
        <v/>
      </c>
      <c r="EF9" t="str">
        <f t="shared" ca="1" si="59"/>
        <v/>
      </c>
      <c r="EJ9" t="str">
        <f ca="1">'538'!Q14</f>
        <v/>
      </c>
      <c r="EK9" t="str">
        <f ca="1">'538'!T14</f>
        <v/>
      </c>
    </row>
    <row r="10" spans="1:141" ht="15.75" thickBot="1" x14ac:dyDescent="0.3">
      <c r="A10" s="28" t="str">
        <f>IFERROR(INDEX(Overview!$A$3:$B$32,MATCH(Bet!$C10,Overview!$B$3:$B$32,0),1),"X")</f>
        <v>X</v>
      </c>
      <c r="B10" s="28" t="str">
        <f>IF(ISBLANK(C10),"",IFERROR(INDEX(Pitchers[],MATCH(F10,Pitchers[Player],0),MATCH(G$2,Pitchers[#Headers],0)),"X"))</f>
        <v/>
      </c>
      <c r="C10" s="4"/>
      <c r="D10" s="10"/>
      <c r="E10" s="96"/>
      <c r="F10" s="51"/>
      <c r="G10" s="48">
        <f>IFERROR(INDEX(Pitchers[],MATCH(Bet!F10,Pitchers[Player],0),MATCH(G$2,Pitchers[#Headers],0)),PlayerPitching!$AD$12)</f>
        <v>-0.13933069723404246</v>
      </c>
      <c r="H10" s="48" t="str">
        <f>IF(ISNUMBER(CODE(C10)),INDEX(Scores!$P$2:$T$33,MATCH($C10,Scores!$R$2:$R$33,0),4),"")</f>
        <v/>
      </c>
      <c r="I10" s="48" t="str">
        <f>IF(ISNUMBER(CODE(C10)),IF(INDEX(Scores!$P$2:$T$33,MATCH($C10,Scores!$R$2:$R$33,0),5)=0,1,INDEX(Scores!$P$2:$T$33,MATCH($C10,Scores!$R$2:$R$33,0),5)),"")</f>
        <v/>
      </c>
      <c r="J10" s="48">
        <f t="shared" si="1"/>
        <v>-1.9641098805067554</v>
      </c>
      <c r="K10" s="49">
        <f t="shared" si="2"/>
        <v>-9.4751509617551655</v>
      </c>
      <c r="L10" s="49">
        <f t="shared" si="3"/>
        <v>16.909645863110409</v>
      </c>
      <c r="M10" s="49">
        <f t="shared" si="4"/>
        <v>10.056673523576878</v>
      </c>
      <c r="N10" s="49">
        <f t="shared" si="5"/>
        <v>9.3029121378439612</v>
      </c>
      <c r="O10" s="49">
        <f t="shared" si="6"/>
        <v>2.0342481123324334</v>
      </c>
      <c r="P10" s="49">
        <f t="shared" si="7"/>
        <v>5.6685801250881971</v>
      </c>
      <c r="Q10" s="49" t="str">
        <f>IFERROR(_xlfn.NORM.INV(INDEX(Scores!$P$2:$U$33,MATCH($C10,Scores!$R$2:$R$33,0),6),H10,I10),"")</f>
        <v/>
      </c>
      <c r="R10" s="49" t="str">
        <f t="shared" si="8"/>
        <v/>
      </c>
      <c r="S10" s="49" t="str">
        <f t="shared" si="9"/>
        <v/>
      </c>
      <c r="T10" s="49" t="str">
        <f t="shared" si="34"/>
        <v/>
      </c>
      <c r="U10" s="96"/>
      <c r="V10" s="68" t="str">
        <f t="shared" si="11"/>
        <v/>
      </c>
      <c r="W10" s="65" t="str">
        <f t="shared" si="12"/>
        <v/>
      </c>
      <c r="X10" s="51" t="str">
        <f t="shared" si="13"/>
        <v/>
      </c>
      <c r="Y10" s="48" t="str">
        <f t="shared" si="35"/>
        <v/>
      </c>
      <c r="Z10" s="48" t="str">
        <f ca="1">IFERROR(INDEX('538'!$Q$9:$U$190,MATCH(Bet!$C10,'538'!$Q$9:$Q$190,0),5),"")</f>
        <v/>
      </c>
      <c r="AA10" t="str">
        <f t="shared" si="36"/>
        <v/>
      </c>
      <c r="AB10">
        <f t="shared" si="14"/>
        <v>0</v>
      </c>
      <c r="AC10" t="str">
        <f t="shared" ca="1" si="37"/>
        <v/>
      </c>
      <c r="AD10" t="str">
        <f t="shared" si="15"/>
        <v/>
      </c>
      <c r="AE10" t="str">
        <f>IFERROR(INDEX(Overview!$A$2:$BF$32,MATCH($A10,Overview!$A$2:$A$32,0),MATCH(AE$2,Overview!$A$2:$BF$2,0)),"")</f>
        <v/>
      </c>
      <c r="AF10" t="str">
        <f>IFERROR(INDEX(Overview!$A$2:$BF$32,MATCH($A10,Overview!$A$2:$A$32,0),MATCH(AF$2,Overview!$A$2:$BF$2,0)),"")</f>
        <v/>
      </c>
      <c r="AG10" t="str">
        <f>IFERROR(INDEX(Overview!$A$2:$BF$32,MATCH($A10,Overview!$A$2:$A$32,0),MATCH(AG$2,Overview!$A$2:$BF$2,0)),"")</f>
        <v/>
      </c>
      <c r="AH10" t="str">
        <f>IFERROR(INDEX(Overview!$A$2:$BF$32,MATCH($A10,Overview!$A$2:$A$32,0),MATCH(AH$2,Overview!$A$2:$BF$2,0)),"")</f>
        <v/>
      </c>
      <c r="AI10" t="str">
        <f>IFERROR(INDEX(Overview!$A$2:$BF$32,MATCH($A10,Overview!$A$2:$A$32,0),MATCH(AI$2,Overview!$A$2:$BF$2,0)),"")</f>
        <v/>
      </c>
      <c r="AJ10" t="str">
        <f>IFERROR(INDEX(Overview!$A$2:$BF$32,MATCH($A10,Overview!$A$2:$A$32,0),MATCH(AJ$2,Overview!$A$2:$BF$2,0)),"")</f>
        <v/>
      </c>
      <c r="AK10" t="str">
        <f>IFERROR(INDEX(Overview!$A$2:$BF$32,MATCH($A10,Overview!$A$2:$A$32,0),MATCH(AK$2,Overview!$A$2:$BF$2,0)),"")</f>
        <v/>
      </c>
      <c r="AL10" t="str">
        <f>IFERROR(INDEX(Overview!$A$2:$BF$32,MATCH($A10,Overview!$A$2:$A$32,0),MATCH(AL$2,Overview!$A$2:$BF$2,0)),"")</f>
        <v/>
      </c>
      <c r="AM10" t="str">
        <f>IFERROR(INDEX(Overview!$A$2:$BF$32,MATCH($A10,Overview!$A$2:$A$32,0),MATCH(AM$2,Overview!$A$2:$BF$2,0)),"")</f>
        <v/>
      </c>
      <c r="AN10" t="str">
        <f>IFERROR(INDEX(Overview!$A$2:$BF$32,MATCH($A10,Overview!$A$2:$A$32,0),MATCH(AN$2,Overview!$A$2:$BF$2,0)),"")</f>
        <v/>
      </c>
      <c r="AO10" t="str">
        <f>IFERROR(INDEX(Overview!$A$2:$BF$32,MATCH($A10,Overview!$A$2:$A$32,0),MATCH(AO$2,Overview!$A$2:$BF$2,0)),"")</f>
        <v/>
      </c>
      <c r="AP10" t="str">
        <f>IFERROR(INDEX(Overview!$A$2:$BM$32,MATCH($A10,Overview!$A$2:$A$32,0),MATCH(AP$2,Overview!$A$2:$BM$2,0)),"")</f>
        <v/>
      </c>
      <c r="AQ10" t="str">
        <f>IFERROR(INDEX(Overview!$A$2:$BM$32,MATCH($A10,Overview!$A$2:$A$32,0),MATCH(AQ$2,Overview!$A$2:$BM$2,0)),"")</f>
        <v/>
      </c>
      <c r="AR10" t="str">
        <f>IFERROR(INDEX(Overview!$A$2:$BM$32,MATCH($A10,Overview!$A$2:$A$32,0),MATCH(AR$2,Overview!$A$2:$BM$2,0)),"")</f>
        <v/>
      </c>
      <c r="AS10" t="str">
        <f>IFERROR(INDEX(Overview!$A$2:$BM$32,MATCH($A10,Overview!$A$2:$A$32,0),MATCH(AS$2,Overview!$A$2:$BM$2,0)),"")</f>
        <v/>
      </c>
      <c r="AT10" t="str">
        <f>IFERROR(INDEX(Overview!$A$2:$BM$32,MATCH($A10,Overview!$A$2:$A$32,0),MATCH(AT$2,Overview!$A$2:$BM$2,0)),"")</f>
        <v/>
      </c>
      <c r="AU10" t="str">
        <f>IFERROR(INDEX(Overview!$A$2:$BM$32,MATCH($A10,Overview!$A$2:$A$32,0),MATCH(AU$2,Overview!$A$2:$BM$2,0)),"")</f>
        <v/>
      </c>
      <c r="AV10" t="str">
        <f>IFERROR(INDEX(Overview!$A$2:$BM$32,MATCH($A10,Overview!$A$2:$A$32,0),MATCH(AV$2,Overview!$A$2:$BM$2,0)),"")</f>
        <v/>
      </c>
      <c r="AW10" t="str">
        <f>IFERROR(INDEX(Overview!$A$2:$BM$32,MATCH($A10,Overview!$A$2:$A$32,0),MATCH(AW$2,Overview!$A$2:$BM$2,0)),"")</f>
        <v/>
      </c>
      <c r="AX10" t="str">
        <f>IFERROR(INDEX(Overview!$A$2:$BM$32,MATCH($A10,Overview!$A$2:$A$32,0),MATCH(AX$2,Overview!$A$2:$BM$2,0)),"")</f>
        <v/>
      </c>
      <c r="AY10" t="str">
        <f>IFERROR(INDEX(Overview!$A$2:$BM$32,MATCH($A10,Overview!$A$2:$A$32,0),MATCH(AY$2,Overview!$A$2:$BM$2,0)),"")</f>
        <v/>
      </c>
      <c r="AZ10" t="str">
        <f>IFERROR(INDEX(Overview!$A$2:$BM$32,MATCH($A10,Overview!$A$2:$A$32,0),MATCH(AZ$2,Overview!$A$2:$BM$2,0)),"")</f>
        <v/>
      </c>
      <c r="BA10" s="79" t="str">
        <f>IFERROR(INDEX(Overview!$A$2:$BM$32,MATCH($A10,Overview!$A$2:$A$32,0),MATCH(BA$2,Overview!$A$2:$BM$2,0)),"")</f>
        <v/>
      </c>
      <c r="BB10" s="79" t="str">
        <f>IFERROR(INDEX(Overview!$A$2:$BM$32,MATCH($A10,Overview!$A$2:$A$32,0),MATCH(BB$2,Overview!$A$2:$BM$2,0)),"")</f>
        <v/>
      </c>
      <c r="BC10" s="79" t="str">
        <f>IFERROR(INDEX(Overview!$A$2:$BM$32,MATCH($A10,Overview!$A$2:$A$32,0),MATCH(BC$2,Overview!$A$2:$BM$2,0)),"")</f>
        <v/>
      </c>
      <c r="BD10" s="79" t="str">
        <f>IFERROR(INDEX(Overview!$A$2:$BM$32,MATCH($A10,Overview!$A$2:$A$32,0),MATCH(BD$2,Overview!$A$2:$BM$2,0)),"")</f>
        <v/>
      </c>
      <c r="BE10" s="79" t="str">
        <f>IFERROR(INDEX(Overview!$A$2:$BM$32,MATCH($A10,Overview!$A$2:$A$32,0),MATCH(BE$2,Overview!$A$2:$BM$2,0)),"")</f>
        <v/>
      </c>
      <c r="BF10" s="79" t="str">
        <f>IFERROR(INDEX(Overview!$A$2:$BM$32,MATCH($A10,Overview!$A$2:$A$32,0),MATCH(BF$2,Overview!$A$2:$BM$2,0)),"")</f>
        <v/>
      </c>
      <c r="BG10" s="79" t="str">
        <f>IFERROR(INDEX(Overview!$A$2:$BM$32,MATCH($A10,Overview!$A$2:$A$32,0),MATCH(BG$2,Overview!$A$2:$BM$2,0)),"")</f>
        <v/>
      </c>
      <c r="BH10" s="79" t="str">
        <f>IFERROR(INDEX(Overview!$A$2:$BM$32,MATCH($A10,Overview!$A$2:$A$32,0),MATCH(BH$2,Overview!$A$2:$BM$2,0)),"")</f>
        <v/>
      </c>
      <c r="BI10" s="79" t="str">
        <f>IFERROR(INDEX(Overview!$A$2:$BM$32,MATCH($A10,Overview!$A$2:$A$32,0),MATCH(BI$2,Overview!$A$2:$BM$2,0)),"")</f>
        <v/>
      </c>
      <c r="BJ10" s="79" t="str">
        <f>IFERROR(INDEX(Overview!$A$2:$BM$32,MATCH($A10,Overview!$A$2:$A$32,0),MATCH(BJ$2,Overview!$A$2:$BM$2,0)),"")</f>
        <v/>
      </c>
      <c r="BK10" s="79" t="str">
        <f>IFERROR(INDEX(Overview!$A$2:$BM$32,MATCH($A10,Overview!$A$2:$A$32,0),MATCH(BK$2,Overview!$A$2:$BM$2,0)),"")</f>
        <v/>
      </c>
      <c r="BL10" s="80" t="str">
        <f>IFERROR(INDEX(Overview!$A$2:$BM$32,MATCH($A10,Overview!$A$2:$A$32,0),MATCH(BL$2,Overview!$A$2:$BM$2,0)+11),"")</f>
        <v/>
      </c>
      <c r="BM10" s="80" t="str">
        <f>IFERROR(INDEX(Overview!$A$2:$BM$32,MATCH($A10,Overview!$A$2:$A$32,0),MATCH(BM$2,Overview!$A$2:$BM$2,0)+11),"")</f>
        <v/>
      </c>
      <c r="BN10" s="80" t="str">
        <f>IFERROR(INDEX(Overview!$A$2:$BM$32,MATCH($A10,Overview!$A$2:$A$32,0),MATCH(BN$2,Overview!$A$2:$BM$2,0)+11),"")</f>
        <v/>
      </c>
      <c r="BO10" s="80" t="str">
        <f>IFERROR(INDEX(Overview!$A$2:$BM$32,MATCH($A10,Overview!$A$2:$A$32,0),MATCH(BO$2,Overview!$A$2:$BM$2,0)+11),"")</f>
        <v/>
      </c>
      <c r="BP10" s="80" t="str">
        <f>IFERROR(INDEX(Overview!$A$2:$BM$32,MATCH($A10,Overview!$A$2:$A$32,0),MATCH(BP$2,Overview!$A$2:$BM$2,0)+11),"")</f>
        <v/>
      </c>
      <c r="BQ10" s="80" t="str">
        <f>IFERROR(INDEX(Overview!$A$2:$BM$32,MATCH($A10,Overview!$A$2:$A$32,0),MATCH(BQ$2,Overview!$A$2:$BM$2,0)+11),"")</f>
        <v/>
      </c>
      <c r="BR10" s="80" t="str">
        <f>IFERROR(INDEX(Overview!$A$2:$BM$32,MATCH($A10,Overview!$A$2:$A$32,0),MATCH(BR$2,Overview!$A$2:$BM$2,0)+11),"")</f>
        <v/>
      </c>
      <c r="BS10" s="80" t="str">
        <f>IFERROR(INDEX(Overview!$A$2:$BM$32,MATCH($A10,Overview!$A$2:$A$32,0),MATCH(BS$2,Overview!$A$2:$BM$2,0)+11),"")</f>
        <v/>
      </c>
      <c r="BT10" s="80" t="str">
        <f>IFERROR(INDEX(Overview!$A$2:$BM$32,MATCH($A10,Overview!$A$2:$A$32,0),MATCH(BT$2,Overview!$A$2:$BM$2,0)+11),"")</f>
        <v/>
      </c>
      <c r="BU10" s="80" t="str">
        <f>IFERROR(INDEX(Overview!$A$2:$BM$32,MATCH($A10,Overview!$A$2:$A$32,0),MATCH(BU$2,Overview!$A$2:$BM$2,0)+11),"")</f>
        <v/>
      </c>
      <c r="BV10" s="80" t="str">
        <f>IFERROR(INDEX(Overview!$A$2:$BM$32,MATCH($A10,Overview!$A$2:$A$32,0),MATCH(BV$2,Overview!$A$2:$BM$2,0)+11),"")</f>
        <v/>
      </c>
      <c r="BW10" s="82" t="str">
        <f t="shared" si="16"/>
        <v/>
      </c>
      <c r="BX10" s="82" t="str">
        <f t="shared" si="17"/>
        <v/>
      </c>
      <c r="BY10" s="82" t="str">
        <f t="shared" si="18"/>
        <v/>
      </c>
      <c r="BZ10" s="82" t="str">
        <f t="shared" si="19"/>
        <v/>
      </c>
      <c r="CA10" s="82" t="str">
        <f t="shared" si="20"/>
        <v/>
      </c>
      <c r="CB10" s="82" t="str">
        <f t="shared" si="21"/>
        <v/>
      </c>
      <c r="CC10" s="82" t="str">
        <f t="shared" si="22"/>
        <v/>
      </c>
      <c r="CD10" s="82" t="str">
        <f t="shared" si="23"/>
        <v/>
      </c>
      <c r="CE10" s="82" t="str">
        <f t="shared" si="24"/>
        <v/>
      </c>
      <c r="CF10" s="82" t="str">
        <f t="shared" si="25"/>
        <v/>
      </c>
      <c r="CG10" s="82" t="str">
        <f t="shared" si="26"/>
        <v/>
      </c>
      <c r="CH10" s="83" t="str">
        <f t="shared" si="38"/>
        <v/>
      </c>
      <c r="CI10" s="83" t="str">
        <f t="shared" si="39"/>
        <v/>
      </c>
      <c r="CJ10" s="83" t="str">
        <f t="shared" si="40"/>
        <v/>
      </c>
      <c r="CK10" s="83" t="str">
        <f t="shared" si="41"/>
        <v/>
      </c>
      <c r="CL10" s="83" t="str">
        <f t="shared" si="42"/>
        <v/>
      </c>
      <c r="CM10" s="83" t="str">
        <f t="shared" si="43"/>
        <v/>
      </c>
      <c r="CN10" s="83" t="str">
        <f t="shared" si="44"/>
        <v/>
      </c>
      <c r="CO10" s="83" t="str">
        <f t="shared" si="45"/>
        <v/>
      </c>
      <c r="CP10" s="83" t="str">
        <f t="shared" si="46"/>
        <v/>
      </c>
      <c r="CQ10" s="83" t="str">
        <f t="shared" si="47"/>
        <v/>
      </c>
      <c r="CR10" s="83" t="str">
        <f t="shared" si="48"/>
        <v/>
      </c>
      <c r="DM10">
        <f t="shared" si="28"/>
        <v>0</v>
      </c>
      <c r="DN10">
        <f t="shared" si="29"/>
        <v>0</v>
      </c>
      <c r="DP10">
        <f t="shared" ca="1" si="49"/>
        <v>1</v>
      </c>
      <c r="DQ10" t="str">
        <f t="shared" ca="1" si="30"/>
        <v/>
      </c>
      <c r="DR10" t="str">
        <f t="shared" ca="1" si="50"/>
        <v/>
      </c>
      <c r="DS10" t="str">
        <f t="shared" ca="1" si="31"/>
        <v/>
      </c>
      <c r="DT10" t="str">
        <f t="shared" ca="1" si="51"/>
        <v/>
      </c>
      <c r="DU10">
        <f t="shared" ca="1" si="52"/>
        <v>1</v>
      </c>
      <c r="DV10" t="str">
        <f t="shared" si="32"/>
        <v/>
      </c>
      <c r="DW10" t="str">
        <f t="shared" si="53"/>
        <v/>
      </c>
      <c r="DX10" t="str">
        <f t="shared" si="0"/>
        <v/>
      </c>
      <c r="DZ10" t="str">
        <f t="shared" ca="1" si="54"/>
        <v/>
      </c>
      <c r="EA10" t="str">
        <f t="shared" ca="1" si="55"/>
        <v/>
      </c>
      <c r="EB10" s="84" t="str">
        <f t="shared" ca="1" si="56"/>
        <v/>
      </c>
      <c r="EC10" s="1" t="str">
        <f t="shared" ca="1" si="33"/>
        <v/>
      </c>
      <c r="ED10" t="str">
        <f t="shared" ca="1" si="57"/>
        <v/>
      </c>
      <c r="EE10" t="str">
        <f t="shared" ca="1" si="58"/>
        <v/>
      </c>
      <c r="EF10" t="str">
        <f t="shared" ca="1" si="59"/>
        <v/>
      </c>
      <c r="EJ10" t="str">
        <f ca="1">'538'!Q15</f>
        <v/>
      </c>
      <c r="EK10" t="str">
        <f ca="1">'538'!T15</f>
        <v/>
      </c>
    </row>
    <row r="11" spans="1:141" ht="12" customHeight="1" x14ac:dyDescent="0.25">
      <c r="A11" s="28" t="str">
        <f>IFERROR(INDEX(Overview!$A$3:$B$32,MATCH(Bet!$C11,Overview!$B$3:$B$32,0),1),"X")</f>
        <v>X</v>
      </c>
      <c r="B11" s="28" t="str">
        <f>IF(ISBLANK(C11),"",IFERROR(INDEX(Pitchers[],MATCH(F11,Pitchers[Player],0),MATCH(G$2,Pitchers[#Headers],0)),"X"))</f>
        <v/>
      </c>
      <c r="C11" s="2"/>
      <c r="D11" s="3"/>
      <c r="E11" s="95"/>
      <c r="F11" s="50"/>
      <c r="G11" s="48">
        <f>IFERROR(INDEX(Pitchers[],MATCH(Bet!F11,Pitchers[Player],0),MATCH(G$2,Pitchers[#Headers],0)),PlayerPitching!$AD$12)</f>
        <v>-0.13933069723404246</v>
      </c>
      <c r="H11" s="48" t="str">
        <f>IF(ISNUMBER(CODE(C11)),INDEX(Scores!$P$2:$T$33,MATCH($C11,Scores!$R$2:$R$33,0),4),"")</f>
        <v/>
      </c>
      <c r="I11" s="48" t="str">
        <f>IF(ISNUMBER(CODE(C11)),IF(INDEX(Scores!$P$2:$T$33,MATCH($C11,Scores!$R$2:$R$33,0),5)=0,1,INDEX(Scores!$P$2:$T$33,MATCH($C11,Scores!$R$2:$R$33,0),5)),"")</f>
        <v/>
      </c>
      <c r="J11" s="48">
        <f t="shared" si="1"/>
        <v>-1.9641098805067554</v>
      </c>
      <c r="K11" s="49">
        <f t="shared" si="2"/>
        <v>-9.4751509617551655</v>
      </c>
      <c r="L11" s="49">
        <f t="shared" si="3"/>
        <v>16.909645863110409</v>
      </c>
      <c r="M11" s="49">
        <f t="shared" si="4"/>
        <v>10.056673523576878</v>
      </c>
      <c r="N11" s="49">
        <f t="shared" si="5"/>
        <v>9.3029121378439612</v>
      </c>
      <c r="O11" s="49">
        <f t="shared" si="6"/>
        <v>2.0342481123324334</v>
      </c>
      <c r="P11" s="49">
        <f t="shared" si="7"/>
        <v>5.6685801250881971</v>
      </c>
      <c r="Q11" s="49" t="str">
        <f>IFERROR(_xlfn.NORM.INV(INDEX(Scores!$P$2:$U$33,MATCH($C11,Scores!$R$2:$R$33,0),6),H11,I11),"")</f>
        <v/>
      </c>
      <c r="R11" s="49" t="str">
        <f t="shared" si="8"/>
        <v/>
      </c>
      <c r="S11" s="49" t="str">
        <f t="shared" si="9"/>
        <v/>
      </c>
      <c r="T11" s="49" t="str">
        <f t="shared" si="34"/>
        <v/>
      </c>
      <c r="U11" s="95" t="str">
        <f t="shared" ref="U11" si="63">IFERROR(ROUND(ROUND((R11+R12)*2,0)/2,1)+1.5,"")</f>
        <v/>
      </c>
      <c r="V11" s="67" t="str">
        <f t="shared" si="11"/>
        <v/>
      </c>
      <c r="W11" s="64" t="str">
        <f t="shared" si="12"/>
        <v/>
      </c>
      <c r="X11" s="50" t="str">
        <f t="shared" si="13"/>
        <v/>
      </c>
      <c r="Y11" s="48" t="str">
        <f t="shared" si="35"/>
        <v/>
      </c>
      <c r="Z11" s="48" t="str">
        <f ca="1">IFERROR(INDEX('538'!$Q$9:$U$190,MATCH(Bet!$C11,'538'!$Q$9:$Q$190,0),5),"")</f>
        <v/>
      </c>
      <c r="AA11" t="str">
        <f t="shared" si="36"/>
        <v/>
      </c>
      <c r="AB11">
        <f t="shared" si="14"/>
        <v>0</v>
      </c>
      <c r="AC11" t="str">
        <f t="shared" ca="1" si="37"/>
        <v/>
      </c>
      <c r="AD11" t="str">
        <f t="shared" si="15"/>
        <v/>
      </c>
      <c r="AE11" t="str">
        <f>IFERROR(INDEX(Overview!$A$2:$BF$32,MATCH($A11,Overview!$A$2:$A$32,0),MATCH(AE$2,Overview!$A$2:$BF$2,0)),"")</f>
        <v/>
      </c>
      <c r="AF11" t="str">
        <f>IFERROR(INDEX(Overview!$A$2:$BF$32,MATCH($A11,Overview!$A$2:$A$32,0),MATCH(AF$2,Overview!$A$2:$BF$2,0)),"")</f>
        <v/>
      </c>
      <c r="AG11" t="str">
        <f>IFERROR(INDEX(Overview!$A$2:$BF$32,MATCH($A11,Overview!$A$2:$A$32,0),MATCH(AG$2,Overview!$A$2:$BF$2,0)),"")</f>
        <v/>
      </c>
      <c r="AH11" t="str">
        <f>IFERROR(INDEX(Overview!$A$2:$BF$32,MATCH($A11,Overview!$A$2:$A$32,0),MATCH(AH$2,Overview!$A$2:$BF$2,0)),"")</f>
        <v/>
      </c>
      <c r="AI11" t="str">
        <f>IFERROR(INDEX(Overview!$A$2:$BF$32,MATCH($A11,Overview!$A$2:$A$32,0),MATCH(AI$2,Overview!$A$2:$BF$2,0)),"")</f>
        <v/>
      </c>
      <c r="AJ11" t="str">
        <f>IFERROR(INDEX(Overview!$A$2:$BF$32,MATCH($A11,Overview!$A$2:$A$32,0),MATCH(AJ$2,Overview!$A$2:$BF$2,0)),"")</f>
        <v/>
      </c>
      <c r="AK11" t="str">
        <f>IFERROR(INDEX(Overview!$A$2:$BF$32,MATCH($A11,Overview!$A$2:$A$32,0),MATCH(AK$2,Overview!$A$2:$BF$2,0)),"")</f>
        <v/>
      </c>
      <c r="AL11" t="str">
        <f>IFERROR(INDEX(Overview!$A$2:$BF$32,MATCH($A11,Overview!$A$2:$A$32,0),MATCH(AL$2,Overview!$A$2:$BF$2,0)),"")</f>
        <v/>
      </c>
      <c r="AM11" t="str">
        <f>IFERROR(INDEX(Overview!$A$2:$BF$32,MATCH($A11,Overview!$A$2:$A$32,0),MATCH(AM$2,Overview!$A$2:$BF$2,0)),"")</f>
        <v/>
      </c>
      <c r="AN11" t="str">
        <f>IFERROR(INDEX(Overview!$A$2:$BF$32,MATCH($A11,Overview!$A$2:$A$32,0),MATCH(AN$2,Overview!$A$2:$BF$2,0)),"")</f>
        <v/>
      </c>
      <c r="AO11" t="str">
        <f>IFERROR(INDEX(Overview!$A$2:$BF$32,MATCH($A11,Overview!$A$2:$A$32,0),MATCH(AO$2,Overview!$A$2:$BF$2,0)),"")</f>
        <v/>
      </c>
      <c r="AP11" t="str">
        <f>IFERROR(INDEX(Overview!$A$2:$BM$32,MATCH($A11,Overview!$A$2:$A$32,0),MATCH(AP$2,Overview!$A$2:$BM$2,0)),"")</f>
        <v/>
      </c>
      <c r="AQ11" t="str">
        <f>IFERROR(INDEX(Overview!$A$2:$BM$32,MATCH($A11,Overview!$A$2:$A$32,0),MATCH(AQ$2,Overview!$A$2:$BM$2,0)),"")</f>
        <v/>
      </c>
      <c r="AR11" t="str">
        <f>IFERROR(INDEX(Overview!$A$2:$BM$32,MATCH($A11,Overview!$A$2:$A$32,0),MATCH(AR$2,Overview!$A$2:$BM$2,0)),"")</f>
        <v/>
      </c>
      <c r="AS11" t="str">
        <f>IFERROR(INDEX(Overview!$A$2:$BM$32,MATCH($A11,Overview!$A$2:$A$32,0),MATCH(AS$2,Overview!$A$2:$BM$2,0)),"")</f>
        <v/>
      </c>
      <c r="AT11" t="str">
        <f>IFERROR(INDEX(Overview!$A$2:$BM$32,MATCH($A11,Overview!$A$2:$A$32,0),MATCH(AT$2,Overview!$A$2:$BM$2,0)),"")</f>
        <v/>
      </c>
      <c r="AU11" t="str">
        <f>IFERROR(INDEX(Overview!$A$2:$BM$32,MATCH($A11,Overview!$A$2:$A$32,0),MATCH(AU$2,Overview!$A$2:$BM$2,0)),"")</f>
        <v/>
      </c>
      <c r="AV11" t="str">
        <f>IFERROR(INDEX(Overview!$A$2:$BM$32,MATCH($A11,Overview!$A$2:$A$32,0),MATCH(AV$2,Overview!$A$2:$BM$2,0)),"")</f>
        <v/>
      </c>
      <c r="AW11" t="str">
        <f>IFERROR(INDEX(Overview!$A$2:$BM$32,MATCH($A11,Overview!$A$2:$A$32,0),MATCH(AW$2,Overview!$A$2:$BM$2,0)),"")</f>
        <v/>
      </c>
      <c r="AX11" t="str">
        <f>IFERROR(INDEX(Overview!$A$2:$BM$32,MATCH($A11,Overview!$A$2:$A$32,0),MATCH(AX$2,Overview!$A$2:$BM$2,0)),"")</f>
        <v/>
      </c>
      <c r="AY11" t="str">
        <f>IFERROR(INDEX(Overview!$A$2:$BM$32,MATCH($A11,Overview!$A$2:$A$32,0),MATCH(AY$2,Overview!$A$2:$BM$2,0)),"")</f>
        <v/>
      </c>
      <c r="AZ11" t="str">
        <f>IFERROR(INDEX(Overview!$A$2:$BM$32,MATCH($A11,Overview!$A$2:$A$32,0),MATCH(AZ$2,Overview!$A$2:$BM$2,0)),"")</f>
        <v/>
      </c>
      <c r="BA11" s="79" t="str">
        <f>IFERROR(INDEX(Overview!$A$2:$BM$32,MATCH($A11,Overview!$A$2:$A$32,0),MATCH(BA$2,Overview!$A$2:$BM$2,0)),"")</f>
        <v/>
      </c>
      <c r="BB11" s="79" t="str">
        <f>IFERROR(INDEX(Overview!$A$2:$BM$32,MATCH($A11,Overview!$A$2:$A$32,0),MATCH(BB$2,Overview!$A$2:$BM$2,0)),"")</f>
        <v/>
      </c>
      <c r="BC11" s="79" t="str">
        <f>IFERROR(INDEX(Overview!$A$2:$BM$32,MATCH($A11,Overview!$A$2:$A$32,0),MATCH(BC$2,Overview!$A$2:$BM$2,0)),"")</f>
        <v/>
      </c>
      <c r="BD11" s="79" t="str">
        <f>IFERROR(INDEX(Overview!$A$2:$BM$32,MATCH($A11,Overview!$A$2:$A$32,0),MATCH(BD$2,Overview!$A$2:$BM$2,0)),"")</f>
        <v/>
      </c>
      <c r="BE11" s="79" t="str">
        <f>IFERROR(INDEX(Overview!$A$2:$BM$32,MATCH($A11,Overview!$A$2:$A$32,0),MATCH(BE$2,Overview!$A$2:$BM$2,0)),"")</f>
        <v/>
      </c>
      <c r="BF11" s="79" t="str">
        <f>IFERROR(INDEX(Overview!$A$2:$BM$32,MATCH($A11,Overview!$A$2:$A$32,0),MATCH(BF$2,Overview!$A$2:$BM$2,0)),"")</f>
        <v/>
      </c>
      <c r="BG11" s="79" t="str">
        <f>IFERROR(INDEX(Overview!$A$2:$BM$32,MATCH($A11,Overview!$A$2:$A$32,0),MATCH(BG$2,Overview!$A$2:$BM$2,0)),"")</f>
        <v/>
      </c>
      <c r="BH11" s="79" t="str">
        <f>IFERROR(INDEX(Overview!$A$2:$BM$32,MATCH($A11,Overview!$A$2:$A$32,0),MATCH(BH$2,Overview!$A$2:$BM$2,0)),"")</f>
        <v/>
      </c>
      <c r="BI11" s="79" t="str">
        <f>IFERROR(INDEX(Overview!$A$2:$BM$32,MATCH($A11,Overview!$A$2:$A$32,0),MATCH(BI$2,Overview!$A$2:$BM$2,0)),"")</f>
        <v/>
      </c>
      <c r="BJ11" s="79" t="str">
        <f>IFERROR(INDEX(Overview!$A$2:$BM$32,MATCH($A11,Overview!$A$2:$A$32,0),MATCH(BJ$2,Overview!$A$2:$BM$2,0)),"")</f>
        <v/>
      </c>
      <c r="BK11" s="79" t="str">
        <f>IFERROR(INDEX(Overview!$A$2:$BM$32,MATCH($A11,Overview!$A$2:$A$32,0),MATCH(BK$2,Overview!$A$2:$BM$2,0)),"")</f>
        <v/>
      </c>
      <c r="BL11" s="80" t="str">
        <f>IFERROR(INDEX(Overview!$A$2:$BM$32,MATCH($A11,Overview!$A$2:$A$32,0),MATCH(BL$2,Overview!$A$2:$BM$2,0)+11),"")</f>
        <v/>
      </c>
      <c r="BM11" s="80" t="str">
        <f>IFERROR(INDEX(Overview!$A$2:$BM$32,MATCH($A11,Overview!$A$2:$A$32,0),MATCH(BM$2,Overview!$A$2:$BM$2,0)+11),"")</f>
        <v/>
      </c>
      <c r="BN11" s="80" t="str">
        <f>IFERROR(INDEX(Overview!$A$2:$BM$32,MATCH($A11,Overview!$A$2:$A$32,0),MATCH(BN$2,Overview!$A$2:$BM$2,0)+11),"")</f>
        <v/>
      </c>
      <c r="BO11" s="80" t="str">
        <f>IFERROR(INDEX(Overview!$A$2:$BM$32,MATCH($A11,Overview!$A$2:$A$32,0),MATCH(BO$2,Overview!$A$2:$BM$2,0)+11),"")</f>
        <v/>
      </c>
      <c r="BP11" s="80" t="str">
        <f>IFERROR(INDEX(Overview!$A$2:$BM$32,MATCH($A11,Overview!$A$2:$A$32,0),MATCH(BP$2,Overview!$A$2:$BM$2,0)+11),"")</f>
        <v/>
      </c>
      <c r="BQ11" s="80" t="str">
        <f>IFERROR(INDEX(Overview!$A$2:$BM$32,MATCH($A11,Overview!$A$2:$A$32,0),MATCH(BQ$2,Overview!$A$2:$BM$2,0)+11),"")</f>
        <v/>
      </c>
      <c r="BR11" s="80" t="str">
        <f>IFERROR(INDEX(Overview!$A$2:$BM$32,MATCH($A11,Overview!$A$2:$A$32,0),MATCH(BR$2,Overview!$A$2:$BM$2,0)+11),"")</f>
        <v/>
      </c>
      <c r="BS11" s="80" t="str">
        <f>IFERROR(INDEX(Overview!$A$2:$BM$32,MATCH($A11,Overview!$A$2:$A$32,0),MATCH(BS$2,Overview!$A$2:$BM$2,0)+11),"")</f>
        <v/>
      </c>
      <c r="BT11" s="80" t="str">
        <f>IFERROR(INDEX(Overview!$A$2:$BM$32,MATCH($A11,Overview!$A$2:$A$32,0),MATCH(BT$2,Overview!$A$2:$BM$2,0)+11),"")</f>
        <v/>
      </c>
      <c r="BU11" s="80" t="str">
        <f>IFERROR(INDEX(Overview!$A$2:$BM$32,MATCH($A11,Overview!$A$2:$A$32,0),MATCH(BU$2,Overview!$A$2:$BM$2,0)+11),"")</f>
        <v/>
      </c>
      <c r="BV11" s="80" t="str">
        <f>IFERROR(INDEX(Overview!$A$2:$BM$32,MATCH($A11,Overview!$A$2:$A$32,0),MATCH(BV$2,Overview!$A$2:$BM$2,0)+11),"")</f>
        <v/>
      </c>
      <c r="BW11" s="82" t="str">
        <f t="shared" si="16"/>
        <v/>
      </c>
      <c r="BX11" s="82" t="str">
        <f t="shared" si="17"/>
        <v/>
      </c>
      <c r="BY11" s="82" t="str">
        <f t="shared" si="18"/>
        <v/>
      </c>
      <c r="BZ11" s="82" t="str">
        <f t="shared" si="19"/>
        <v/>
      </c>
      <c r="CA11" s="82" t="str">
        <f t="shared" si="20"/>
        <v/>
      </c>
      <c r="CB11" s="82" t="str">
        <f t="shared" si="21"/>
        <v/>
      </c>
      <c r="CC11" s="82" t="str">
        <f t="shared" si="22"/>
        <v/>
      </c>
      <c r="CD11" s="82" t="str">
        <f t="shared" si="23"/>
        <v/>
      </c>
      <c r="CE11" s="82" t="str">
        <f t="shared" si="24"/>
        <v/>
      </c>
      <c r="CF11" s="82" t="str">
        <f t="shared" si="25"/>
        <v/>
      </c>
      <c r="CG11" s="82" t="str">
        <f t="shared" si="26"/>
        <v/>
      </c>
      <c r="CH11" s="83" t="str">
        <f t="shared" si="38"/>
        <v/>
      </c>
      <c r="CI11" s="83" t="str">
        <f t="shared" si="39"/>
        <v/>
      </c>
      <c r="CJ11" s="83" t="str">
        <f t="shared" si="40"/>
        <v/>
      </c>
      <c r="CK11" s="83" t="str">
        <f t="shared" si="41"/>
        <v/>
      </c>
      <c r="CL11" s="83" t="str">
        <f t="shared" si="42"/>
        <v/>
      </c>
      <c r="CM11" s="83" t="str">
        <f t="shared" si="43"/>
        <v/>
      </c>
      <c r="CN11" s="83" t="str">
        <f t="shared" si="44"/>
        <v/>
      </c>
      <c r="CO11" s="83" t="str">
        <f t="shared" si="45"/>
        <v/>
      </c>
      <c r="CP11" s="83" t="str">
        <f t="shared" si="46"/>
        <v/>
      </c>
      <c r="CQ11" s="83" t="str">
        <f t="shared" si="47"/>
        <v/>
      </c>
      <c r="CR11" s="83" t="str">
        <f t="shared" si="48"/>
        <v/>
      </c>
      <c r="CV11" t="str">
        <f>Overview!BO10</f>
        <v>LOB</v>
      </c>
      <c r="CW11" t="str">
        <f>Overview!BP10</f>
        <v>SO/W</v>
      </c>
      <c r="CX11" t="str">
        <f>Overview!BQ10</f>
        <v>SO9</v>
      </c>
      <c r="CY11" t="str">
        <f>Overview!BR10</f>
        <v>BB9</v>
      </c>
      <c r="CZ11" t="str">
        <f>Overview!BS10</f>
        <v>HR9</v>
      </c>
      <c r="DA11" t="str">
        <f>Overview!BT10</f>
        <v>H9</v>
      </c>
      <c r="DB11" t="str">
        <f>Overview!BU10</f>
        <v>WHIP</v>
      </c>
      <c r="DC11" t="str">
        <f>Overview!BV10</f>
        <v>FIP</v>
      </c>
      <c r="DD11" t="str">
        <f>Overview!BW10</f>
        <v>ERA+</v>
      </c>
      <c r="DE11" t="str">
        <f>Overview!BX10</f>
        <v>BF</v>
      </c>
      <c r="DF11" t="str">
        <f>Overview!BY10</f>
        <v>WP</v>
      </c>
      <c r="DG11" t="str">
        <f>Overview!BZ10</f>
        <v>Int</v>
      </c>
      <c r="DM11">
        <f t="shared" si="28"/>
        <v>0</v>
      </c>
      <c r="DN11">
        <f t="shared" si="29"/>
        <v>0</v>
      </c>
      <c r="DP11">
        <f t="shared" ca="1" si="49"/>
        <v>1</v>
      </c>
      <c r="DQ11" t="str">
        <f t="shared" ca="1" si="30"/>
        <v/>
      </c>
      <c r="DR11" t="str">
        <f t="shared" ca="1" si="50"/>
        <v/>
      </c>
      <c r="DS11" t="str">
        <f t="shared" ca="1" si="31"/>
        <v/>
      </c>
      <c r="DT11" t="str">
        <f t="shared" ca="1" si="51"/>
        <v/>
      </c>
      <c r="DU11">
        <f t="shared" ca="1" si="52"/>
        <v>1</v>
      </c>
      <c r="DV11" t="str">
        <f t="shared" si="32"/>
        <v/>
      </c>
      <c r="DW11" t="str">
        <f t="shared" si="53"/>
        <v/>
      </c>
      <c r="DX11" t="str">
        <f t="shared" ref="DX11:DX34" si="64">IF(ISNUMBER(CODE(DV11)),T11,"")</f>
        <v/>
      </c>
      <c r="DZ11" t="str">
        <f t="shared" ca="1" si="54"/>
        <v/>
      </c>
      <c r="EA11" t="str">
        <f t="shared" ca="1" si="55"/>
        <v/>
      </c>
      <c r="EB11" s="84" t="str">
        <f t="shared" ca="1" si="56"/>
        <v/>
      </c>
      <c r="EC11" s="1" t="str">
        <f t="shared" ca="1" si="33"/>
        <v/>
      </c>
      <c r="ED11" t="str">
        <f t="shared" ca="1" si="57"/>
        <v/>
      </c>
      <c r="EE11" t="str">
        <f t="shared" ca="1" si="58"/>
        <v/>
      </c>
      <c r="EF11" t="str">
        <f t="shared" ca="1" si="59"/>
        <v/>
      </c>
      <c r="EJ11" t="str">
        <f ca="1">'538'!Q16</f>
        <v/>
      </c>
      <c r="EK11" t="str">
        <f ca="1">'538'!T16</f>
        <v/>
      </c>
    </row>
    <row r="12" spans="1:141" ht="15.75" thickBot="1" x14ac:dyDescent="0.3">
      <c r="A12" s="28" t="str">
        <f>IFERROR(INDEX(Overview!$A$3:$B$32,MATCH(Bet!$C12,Overview!$B$3:$B$32,0),1),"X")</f>
        <v>X</v>
      </c>
      <c r="B12" s="28" t="str">
        <f>IF(ISBLANK(C12),"",IFERROR(INDEX(Pitchers[],MATCH(F12,Pitchers[Player],0),MATCH(G$2,Pitchers[#Headers],0)),"X"))</f>
        <v/>
      </c>
      <c r="C12" s="4"/>
      <c r="D12" s="10"/>
      <c r="E12" s="96"/>
      <c r="F12" s="51"/>
      <c r="G12" s="48">
        <f>IFERROR(INDEX(Pitchers[],MATCH(Bet!F12,Pitchers[Player],0),MATCH(G$2,Pitchers[#Headers],0)),PlayerPitching!$AD$12)</f>
        <v>-0.13933069723404246</v>
      </c>
      <c r="H12" s="48" t="str">
        <f>IF(ISNUMBER(CODE(C12)),INDEX(Scores!$P$2:$T$33,MATCH($C12,Scores!$R$2:$R$33,0),4),"")</f>
        <v/>
      </c>
      <c r="I12" s="48" t="str">
        <f>IF(ISNUMBER(CODE(C12)),IF(INDEX(Scores!$P$2:$T$33,MATCH($C12,Scores!$R$2:$R$33,0),5)=0,1,INDEX(Scores!$P$2:$T$33,MATCH($C12,Scores!$R$2:$R$33,0),5)),"")</f>
        <v/>
      </c>
      <c r="J12" s="48">
        <f t="shared" si="1"/>
        <v>-1.9641098805067554</v>
      </c>
      <c r="K12" s="49">
        <f t="shared" si="2"/>
        <v>-9.4751509617551655</v>
      </c>
      <c r="L12" s="49">
        <f t="shared" si="3"/>
        <v>16.909645863110409</v>
      </c>
      <c r="M12" s="49">
        <f t="shared" si="4"/>
        <v>10.056673523576878</v>
      </c>
      <c r="N12" s="49">
        <f t="shared" si="5"/>
        <v>9.3029121378439612</v>
      </c>
      <c r="O12" s="49">
        <f t="shared" si="6"/>
        <v>2.0342481123324334</v>
      </c>
      <c r="P12" s="49">
        <f t="shared" si="7"/>
        <v>5.6685801250881971</v>
      </c>
      <c r="Q12" s="49" t="str">
        <f>IFERROR(_xlfn.NORM.INV(INDEX(Scores!$P$2:$U$33,MATCH($C12,Scores!$R$2:$R$33,0),6),H12,I12),"")</f>
        <v/>
      </c>
      <c r="R12" s="49" t="str">
        <f t="shared" si="8"/>
        <v/>
      </c>
      <c r="S12" s="49" t="str">
        <f t="shared" si="9"/>
        <v/>
      </c>
      <c r="T12" s="49" t="str">
        <f t="shared" si="34"/>
        <v/>
      </c>
      <c r="U12" s="96"/>
      <c r="V12" s="68" t="str">
        <f t="shared" si="11"/>
        <v/>
      </c>
      <c r="W12" s="65" t="str">
        <f t="shared" si="12"/>
        <v/>
      </c>
      <c r="X12" s="51" t="str">
        <f t="shared" si="13"/>
        <v/>
      </c>
      <c r="Y12" s="48" t="str">
        <f t="shared" si="35"/>
        <v/>
      </c>
      <c r="Z12" s="48" t="str">
        <f ca="1">IFERROR(INDEX('538'!$Q$9:$U$190,MATCH(Bet!$C12,'538'!$Q$9:$Q$190,0),5),"")</f>
        <v/>
      </c>
      <c r="AA12" t="str">
        <f t="shared" si="36"/>
        <v/>
      </c>
      <c r="AB12">
        <f t="shared" si="14"/>
        <v>0</v>
      </c>
      <c r="AC12" t="str">
        <f t="shared" ca="1" si="37"/>
        <v/>
      </c>
      <c r="AD12" t="str">
        <f t="shared" si="15"/>
        <v/>
      </c>
      <c r="AE12" t="str">
        <f>IFERROR(INDEX(Overview!$A$2:$BF$32,MATCH($A12,Overview!$A$2:$A$32,0),MATCH(AE$2,Overview!$A$2:$BF$2,0)),"")</f>
        <v/>
      </c>
      <c r="AF12" t="str">
        <f>IFERROR(INDEX(Overview!$A$2:$BF$32,MATCH($A12,Overview!$A$2:$A$32,0),MATCH(AF$2,Overview!$A$2:$BF$2,0)),"")</f>
        <v/>
      </c>
      <c r="AG12" t="str">
        <f>IFERROR(INDEX(Overview!$A$2:$BF$32,MATCH($A12,Overview!$A$2:$A$32,0),MATCH(AG$2,Overview!$A$2:$BF$2,0)),"")</f>
        <v/>
      </c>
      <c r="AH12" t="str">
        <f>IFERROR(INDEX(Overview!$A$2:$BF$32,MATCH($A12,Overview!$A$2:$A$32,0),MATCH(AH$2,Overview!$A$2:$BF$2,0)),"")</f>
        <v/>
      </c>
      <c r="AI12" t="str">
        <f>IFERROR(INDEX(Overview!$A$2:$BF$32,MATCH($A12,Overview!$A$2:$A$32,0),MATCH(AI$2,Overview!$A$2:$BF$2,0)),"")</f>
        <v/>
      </c>
      <c r="AJ12" t="str">
        <f>IFERROR(INDEX(Overview!$A$2:$BF$32,MATCH($A12,Overview!$A$2:$A$32,0),MATCH(AJ$2,Overview!$A$2:$BF$2,0)),"")</f>
        <v/>
      </c>
      <c r="AK12" t="str">
        <f>IFERROR(INDEX(Overview!$A$2:$BF$32,MATCH($A12,Overview!$A$2:$A$32,0),MATCH(AK$2,Overview!$A$2:$BF$2,0)),"")</f>
        <v/>
      </c>
      <c r="AL12" t="str">
        <f>IFERROR(INDEX(Overview!$A$2:$BF$32,MATCH($A12,Overview!$A$2:$A$32,0),MATCH(AL$2,Overview!$A$2:$BF$2,0)),"")</f>
        <v/>
      </c>
      <c r="AM12" t="str">
        <f>IFERROR(INDEX(Overview!$A$2:$BF$32,MATCH($A12,Overview!$A$2:$A$32,0),MATCH(AM$2,Overview!$A$2:$BF$2,0)),"")</f>
        <v/>
      </c>
      <c r="AN12" t="str">
        <f>IFERROR(INDEX(Overview!$A$2:$BF$32,MATCH($A12,Overview!$A$2:$A$32,0),MATCH(AN$2,Overview!$A$2:$BF$2,0)),"")</f>
        <v/>
      </c>
      <c r="AO12" t="str">
        <f>IFERROR(INDEX(Overview!$A$2:$BF$32,MATCH($A12,Overview!$A$2:$A$32,0),MATCH(AO$2,Overview!$A$2:$BF$2,0)),"")</f>
        <v/>
      </c>
      <c r="AP12" t="str">
        <f>IFERROR(INDEX(Overview!$A$2:$BM$32,MATCH($A12,Overview!$A$2:$A$32,0),MATCH(AP$2,Overview!$A$2:$BM$2,0)),"")</f>
        <v/>
      </c>
      <c r="AQ12" t="str">
        <f>IFERROR(INDEX(Overview!$A$2:$BM$32,MATCH($A12,Overview!$A$2:$A$32,0),MATCH(AQ$2,Overview!$A$2:$BM$2,0)),"")</f>
        <v/>
      </c>
      <c r="AR12" t="str">
        <f>IFERROR(INDEX(Overview!$A$2:$BM$32,MATCH($A12,Overview!$A$2:$A$32,0),MATCH(AR$2,Overview!$A$2:$BM$2,0)),"")</f>
        <v/>
      </c>
      <c r="AS12" t="str">
        <f>IFERROR(INDEX(Overview!$A$2:$BM$32,MATCH($A12,Overview!$A$2:$A$32,0),MATCH(AS$2,Overview!$A$2:$BM$2,0)),"")</f>
        <v/>
      </c>
      <c r="AT12" t="str">
        <f>IFERROR(INDEX(Overview!$A$2:$BM$32,MATCH($A12,Overview!$A$2:$A$32,0),MATCH(AT$2,Overview!$A$2:$BM$2,0)),"")</f>
        <v/>
      </c>
      <c r="AU12" t="str">
        <f>IFERROR(INDEX(Overview!$A$2:$BM$32,MATCH($A12,Overview!$A$2:$A$32,0),MATCH(AU$2,Overview!$A$2:$BM$2,0)),"")</f>
        <v/>
      </c>
      <c r="AV12" t="str">
        <f>IFERROR(INDEX(Overview!$A$2:$BM$32,MATCH($A12,Overview!$A$2:$A$32,0),MATCH(AV$2,Overview!$A$2:$BM$2,0)),"")</f>
        <v/>
      </c>
      <c r="AW12" t="str">
        <f>IFERROR(INDEX(Overview!$A$2:$BM$32,MATCH($A12,Overview!$A$2:$A$32,0),MATCH(AW$2,Overview!$A$2:$BM$2,0)),"")</f>
        <v/>
      </c>
      <c r="AX12" t="str">
        <f>IFERROR(INDEX(Overview!$A$2:$BM$32,MATCH($A12,Overview!$A$2:$A$32,0),MATCH(AX$2,Overview!$A$2:$BM$2,0)),"")</f>
        <v/>
      </c>
      <c r="AY12" t="str">
        <f>IFERROR(INDEX(Overview!$A$2:$BM$32,MATCH($A12,Overview!$A$2:$A$32,0),MATCH(AY$2,Overview!$A$2:$BM$2,0)),"")</f>
        <v/>
      </c>
      <c r="AZ12" t="str">
        <f>IFERROR(INDEX(Overview!$A$2:$BM$32,MATCH($A12,Overview!$A$2:$A$32,0),MATCH(AZ$2,Overview!$A$2:$BM$2,0)),"")</f>
        <v/>
      </c>
      <c r="BA12" s="79" t="str">
        <f>IFERROR(INDEX(Overview!$A$2:$BM$32,MATCH($A12,Overview!$A$2:$A$32,0),MATCH(BA$2,Overview!$A$2:$BM$2,0)),"")</f>
        <v/>
      </c>
      <c r="BB12" s="79" t="str">
        <f>IFERROR(INDEX(Overview!$A$2:$BM$32,MATCH($A12,Overview!$A$2:$A$32,0),MATCH(BB$2,Overview!$A$2:$BM$2,0)),"")</f>
        <v/>
      </c>
      <c r="BC12" s="79" t="str">
        <f>IFERROR(INDEX(Overview!$A$2:$BM$32,MATCH($A12,Overview!$A$2:$A$32,0),MATCH(BC$2,Overview!$A$2:$BM$2,0)),"")</f>
        <v/>
      </c>
      <c r="BD12" s="79" t="str">
        <f>IFERROR(INDEX(Overview!$A$2:$BM$32,MATCH($A12,Overview!$A$2:$A$32,0),MATCH(BD$2,Overview!$A$2:$BM$2,0)),"")</f>
        <v/>
      </c>
      <c r="BE12" s="79" t="str">
        <f>IFERROR(INDEX(Overview!$A$2:$BM$32,MATCH($A12,Overview!$A$2:$A$32,0),MATCH(BE$2,Overview!$A$2:$BM$2,0)),"")</f>
        <v/>
      </c>
      <c r="BF12" s="79" t="str">
        <f>IFERROR(INDEX(Overview!$A$2:$BM$32,MATCH($A12,Overview!$A$2:$A$32,0),MATCH(BF$2,Overview!$A$2:$BM$2,0)),"")</f>
        <v/>
      </c>
      <c r="BG12" s="79" t="str">
        <f>IFERROR(INDEX(Overview!$A$2:$BM$32,MATCH($A12,Overview!$A$2:$A$32,0),MATCH(BG$2,Overview!$A$2:$BM$2,0)),"")</f>
        <v/>
      </c>
      <c r="BH12" s="79" t="str">
        <f>IFERROR(INDEX(Overview!$A$2:$BM$32,MATCH($A12,Overview!$A$2:$A$32,0),MATCH(BH$2,Overview!$A$2:$BM$2,0)),"")</f>
        <v/>
      </c>
      <c r="BI12" s="79" t="str">
        <f>IFERROR(INDEX(Overview!$A$2:$BM$32,MATCH($A12,Overview!$A$2:$A$32,0),MATCH(BI$2,Overview!$A$2:$BM$2,0)),"")</f>
        <v/>
      </c>
      <c r="BJ12" s="79" t="str">
        <f>IFERROR(INDEX(Overview!$A$2:$BM$32,MATCH($A12,Overview!$A$2:$A$32,0),MATCH(BJ$2,Overview!$A$2:$BM$2,0)),"")</f>
        <v/>
      </c>
      <c r="BK12" s="79" t="str">
        <f>IFERROR(INDEX(Overview!$A$2:$BM$32,MATCH($A12,Overview!$A$2:$A$32,0),MATCH(BK$2,Overview!$A$2:$BM$2,0)),"")</f>
        <v/>
      </c>
      <c r="BL12" s="80" t="str">
        <f>IFERROR(INDEX(Overview!$A$2:$BM$32,MATCH($A12,Overview!$A$2:$A$32,0),MATCH(BL$2,Overview!$A$2:$BM$2,0)+11),"")</f>
        <v/>
      </c>
      <c r="BM12" s="80" t="str">
        <f>IFERROR(INDEX(Overview!$A$2:$BM$32,MATCH($A12,Overview!$A$2:$A$32,0),MATCH(BM$2,Overview!$A$2:$BM$2,0)+11),"")</f>
        <v/>
      </c>
      <c r="BN12" s="80" t="str">
        <f>IFERROR(INDEX(Overview!$A$2:$BM$32,MATCH($A12,Overview!$A$2:$A$32,0),MATCH(BN$2,Overview!$A$2:$BM$2,0)+11),"")</f>
        <v/>
      </c>
      <c r="BO12" s="80" t="str">
        <f>IFERROR(INDEX(Overview!$A$2:$BM$32,MATCH($A12,Overview!$A$2:$A$32,0),MATCH(BO$2,Overview!$A$2:$BM$2,0)+11),"")</f>
        <v/>
      </c>
      <c r="BP12" s="80" t="str">
        <f>IFERROR(INDEX(Overview!$A$2:$BM$32,MATCH($A12,Overview!$A$2:$A$32,0),MATCH(BP$2,Overview!$A$2:$BM$2,0)+11),"")</f>
        <v/>
      </c>
      <c r="BQ12" s="80" t="str">
        <f>IFERROR(INDEX(Overview!$A$2:$BM$32,MATCH($A12,Overview!$A$2:$A$32,0),MATCH(BQ$2,Overview!$A$2:$BM$2,0)+11),"")</f>
        <v/>
      </c>
      <c r="BR12" s="80" t="str">
        <f>IFERROR(INDEX(Overview!$A$2:$BM$32,MATCH($A12,Overview!$A$2:$A$32,0),MATCH(BR$2,Overview!$A$2:$BM$2,0)+11),"")</f>
        <v/>
      </c>
      <c r="BS12" s="80" t="str">
        <f>IFERROR(INDEX(Overview!$A$2:$BM$32,MATCH($A12,Overview!$A$2:$A$32,0),MATCH(BS$2,Overview!$A$2:$BM$2,0)+11),"")</f>
        <v/>
      </c>
      <c r="BT12" s="80" t="str">
        <f>IFERROR(INDEX(Overview!$A$2:$BM$32,MATCH($A12,Overview!$A$2:$A$32,0),MATCH(BT$2,Overview!$A$2:$BM$2,0)+11),"")</f>
        <v/>
      </c>
      <c r="BU12" s="80" t="str">
        <f>IFERROR(INDEX(Overview!$A$2:$BM$32,MATCH($A12,Overview!$A$2:$A$32,0),MATCH(BU$2,Overview!$A$2:$BM$2,0)+11),"")</f>
        <v/>
      </c>
      <c r="BV12" s="80" t="str">
        <f>IFERROR(INDEX(Overview!$A$2:$BM$32,MATCH($A12,Overview!$A$2:$A$32,0),MATCH(BV$2,Overview!$A$2:$BM$2,0)+11),"")</f>
        <v/>
      </c>
      <c r="BW12" s="82" t="str">
        <f t="shared" si="16"/>
        <v/>
      </c>
      <c r="BX12" s="82" t="str">
        <f t="shared" si="17"/>
        <v/>
      </c>
      <c r="BY12" s="82" t="str">
        <f t="shared" si="18"/>
        <v/>
      </c>
      <c r="BZ12" s="82" t="str">
        <f t="shared" si="19"/>
        <v/>
      </c>
      <c r="CA12" s="82" t="str">
        <f t="shared" si="20"/>
        <v/>
      </c>
      <c r="CB12" s="82" t="str">
        <f t="shared" si="21"/>
        <v/>
      </c>
      <c r="CC12" s="82" t="str">
        <f t="shared" si="22"/>
        <v/>
      </c>
      <c r="CD12" s="82" t="str">
        <f t="shared" si="23"/>
        <v/>
      </c>
      <c r="CE12" s="82" t="str">
        <f t="shared" si="24"/>
        <v/>
      </c>
      <c r="CF12" s="82" t="str">
        <f t="shared" si="25"/>
        <v/>
      </c>
      <c r="CG12" s="82" t="str">
        <f t="shared" si="26"/>
        <v/>
      </c>
      <c r="CH12" s="83" t="str">
        <f t="shared" si="38"/>
        <v/>
      </c>
      <c r="CI12" s="83" t="str">
        <f t="shared" si="39"/>
        <v/>
      </c>
      <c r="CJ12" s="83" t="str">
        <f t="shared" si="40"/>
        <v/>
      </c>
      <c r="CK12" s="83" t="str">
        <f t="shared" si="41"/>
        <v/>
      </c>
      <c r="CL12" s="83" t="str">
        <f t="shared" si="42"/>
        <v/>
      </c>
      <c r="CM12" s="83" t="str">
        <f t="shared" si="43"/>
        <v/>
      </c>
      <c r="CN12" s="83" t="str">
        <f t="shared" si="44"/>
        <v/>
      </c>
      <c r="CO12" s="83" t="str">
        <f t="shared" si="45"/>
        <v/>
      </c>
      <c r="CP12" s="83" t="str">
        <f t="shared" si="46"/>
        <v/>
      </c>
      <c r="CQ12" s="83" t="str">
        <f t="shared" si="47"/>
        <v/>
      </c>
      <c r="CR12" s="83" t="str">
        <f t="shared" si="48"/>
        <v/>
      </c>
      <c r="CV12">
        <f>Overview!BO11</f>
        <v>-5.5044420890900635E-3</v>
      </c>
      <c r="CW12">
        <f>Overview!BP11</f>
        <v>0.55058717212954622</v>
      </c>
      <c r="CX12">
        <f>Overview!BQ11</f>
        <v>-5.2721115706366159E-2</v>
      </c>
      <c r="CY12">
        <f>Overview!BR11</f>
        <v>-0.98854821320447839</v>
      </c>
      <c r="CZ12">
        <f>Overview!BS11</f>
        <v>5.4256092047767594E-2</v>
      </c>
      <c r="DA12">
        <f>Overview!BT11</f>
        <v>-1.1583803290812642</v>
      </c>
      <c r="DB12">
        <f>Overview!BU11</f>
        <v>16.799009595087519</v>
      </c>
      <c r="DC12">
        <f>Overview!BV11</f>
        <v>1.3699455814298385E-2</v>
      </c>
      <c r="DD12">
        <f>Overview!BW11</f>
        <v>-8.8170204729854009E-3</v>
      </c>
      <c r="DE12">
        <f>Overview!BX11</f>
        <v>1.7512992961587202E-3</v>
      </c>
      <c r="DF12">
        <f>Overview!BY11</f>
        <v>1.6290206405835026E-3</v>
      </c>
      <c r="DG12">
        <f>Overview!BZ11</f>
        <v>-9.4751509617551655</v>
      </c>
      <c r="DM12">
        <f t="shared" si="28"/>
        <v>0</v>
      </c>
      <c r="DN12">
        <f t="shared" si="29"/>
        <v>0</v>
      </c>
      <c r="DP12">
        <f t="shared" ca="1" si="49"/>
        <v>1</v>
      </c>
      <c r="DQ12" t="str">
        <f t="shared" ca="1" si="30"/>
        <v/>
      </c>
      <c r="DR12" t="str">
        <f t="shared" ca="1" si="50"/>
        <v/>
      </c>
      <c r="DS12" t="str">
        <f t="shared" ca="1" si="31"/>
        <v/>
      </c>
      <c r="DT12" t="str">
        <f t="shared" ca="1" si="51"/>
        <v/>
      </c>
      <c r="DU12">
        <f t="shared" ca="1" si="52"/>
        <v>1</v>
      </c>
      <c r="DV12" t="str">
        <f t="shared" si="32"/>
        <v/>
      </c>
      <c r="DW12" t="str">
        <f t="shared" si="53"/>
        <v/>
      </c>
      <c r="DX12" t="str">
        <f t="shared" si="64"/>
        <v/>
      </c>
      <c r="DZ12" t="str">
        <f t="shared" ca="1" si="54"/>
        <v/>
      </c>
      <c r="EA12" t="str">
        <f t="shared" ca="1" si="55"/>
        <v/>
      </c>
      <c r="EB12" s="84" t="str">
        <f t="shared" ca="1" si="56"/>
        <v/>
      </c>
      <c r="EC12" s="1" t="str">
        <f t="shared" ca="1" si="33"/>
        <v/>
      </c>
      <c r="ED12" t="str">
        <f t="shared" ca="1" si="57"/>
        <v/>
      </c>
      <c r="EE12" t="str">
        <f t="shared" ca="1" si="58"/>
        <v/>
      </c>
      <c r="EF12" t="str">
        <f t="shared" ca="1" si="59"/>
        <v/>
      </c>
      <c r="EJ12" t="str">
        <f ca="1">'538'!Q17</f>
        <v/>
      </c>
      <c r="EK12" t="str">
        <f ca="1">'538'!T17</f>
        <v/>
      </c>
    </row>
    <row r="13" spans="1:141" x14ac:dyDescent="0.25">
      <c r="A13" s="28" t="str">
        <f>IFERROR(INDEX(Overview!$A$3:$B$32,MATCH(Bet!$C13,Overview!$B$3:$B$32,0),1),"X")</f>
        <v>X</v>
      </c>
      <c r="B13" s="28" t="str">
        <f>IF(ISBLANK(C13),"",IFERROR(INDEX(Pitchers[],MATCH(F13,Pitchers[Player],0),MATCH(G$2,Pitchers[#Headers],0)),"X"))</f>
        <v/>
      </c>
      <c r="C13" s="2"/>
      <c r="D13" s="3"/>
      <c r="E13" s="95"/>
      <c r="F13" s="50"/>
      <c r="G13" s="48">
        <f>IFERROR(INDEX(Pitchers[],MATCH(Bet!F13,Pitchers[Player],0),MATCH(G$2,Pitchers[#Headers],0)),PlayerPitching!$AD$12)</f>
        <v>-0.13933069723404246</v>
      </c>
      <c r="H13" s="48" t="str">
        <f>IF(ISNUMBER(CODE(C13)),INDEX(Scores!$P$2:$T$33,MATCH($C13,Scores!$R$2:$R$33,0),4),"")</f>
        <v/>
      </c>
      <c r="I13" s="48" t="str">
        <f>IF(ISNUMBER(CODE(C13)),IF(INDEX(Scores!$P$2:$T$33,MATCH($C13,Scores!$R$2:$R$33,0),5)=0,1,INDEX(Scores!$P$2:$T$33,MATCH($C13,Scores!$R$2:$R$33,0),5)),"")</f>
        <v/>
      </c>
      <c r="J13" s="48">
        <f t="shared" si="1"/>
        <v>-1.9641098805067554</v>
      </c>
      <c r="K13" s="49">
        <f t="shared" si="2"/>
        <v>-9.4751509617551655</v>
      </c>
      <c r="L13" s="49">
        <f t="shared" si="3"/>
        <v>16.909645863110409</v>
      </c>
      <c r="M13" s="49">
        <f t="shared" si="4"/>
        <v>10.056673523576878</v>
      </c>
      <c r="N13" s="49">
        <f t="shared" si="5"/>
        <v>9.3029121378439612</v>
      </c>
      <c r="O13" s="49">
        <f t="shared" si="6"/>
        <v>2.0342481123324334</v>
      </c>
      <c r="P13" s="49">
        <f t="shared" si="7"/>
        <v>5.6685801250881971</v>
      </c>
      <c r="Q13" s="49" t="str">
        <f>IFERROR(_xlfn.NORM.INV(INDEX(Scores!$P$2:$U$33,MATCH($C13,Scores!$R$2:$R$33,0),6),H13,I13),"")</f>
        <v/>
      </c>
      <c r="R13" s="49" t="str">
        <f t="shared" si="8"/>
        <v/>
      </c>
      <c r="S13" s="49" t="str">
        <f t="shared" si="9"/>
        <v/>
      </c>
      <c r="T13" s="49" t="str">
        <f t="shared" si="34"/>
        <v/>
      </c>
      <c r="U13" s="95" t="str">
        <f t="shared" ref="U13" si="65">IFERROR(ROUND(ROUND((R13+R14)*2,0)/2,1)+1.5,"")</f>
        <v/>
      </c>
      <c r="V13" s="67" t="str">
        <f t="shared" si="11"/>
        <v/>
      </c>
      <c r="W13" s="64" t="str">
        <f t="shared" si="12"/>
        <v/>
      </c>
      <c r="X13" s="50" t="str">
        <f t="shared" si="13"/>
        <v/>
      </c>
      <c r="Y13" s="48" t="str">
        <f t="shared" si="35"/>
        <v/>
      </c>
      <c r="Z13" s="48" t="str">
        <f ca="1">IFERROR(INDEX('538'!$Q$9:$U$190,MATCH(Bet!$C13,'538'!$Q$9:$Q$190,0),5),"")</f>
        <v/>
      </c>
      <c r="AA13" t="str">
        <f t="shared" si="36"/>
        <v/>
      </c>
      <c r="AB13">
        <f t="shared" si="14"/>
        <v>0</v>
      </c>
      <c r="AC13" t="str">
        <f t="shared" ca="1" si="37"/>
        <v/>
      </c>
      <c r="AD13" t="str">
        <f t="shared" si="15"/>
        <v/>
      </c>
      <c r="AE13" t="str">
        <f>IFERROR(INDEX(Overview!$A$2:$BF$32,MATCH($A13,Overview!$A$2:$A$32,0),MATCH(AE$2,Overview!$A$2:$BF$2,0)),"")</f>
        <v/>
      </c>
      <c r="AF13" t="str">
        <f>IFERROR(INDEX(Overview!$A$2:$BF$32,MATCH($A13,Overview!$A$2:$A$32,0),MATCH(AF$2,Overview!$A$2:$BF$2,0)),"")</f>
        <v/>
      </c>
      <c r="AG13" t="str">
        <f>IFERROR(INDEX(Overview!$A$2:$BF$32,MATCH($A13,Overview!$A$2:$A$32,0),MATCH(AG$2,Overview!$A$2:$BF$2,0)),"")</f>
        <v/>
      </c>
      <c r="AH13" t="str">
        <f>IFERROR(INDEX(Overview!$A$2:$BF$32,MATCH($A13,Overview!$A$2:$A$32,0),MATCH(AH$2,Overview!$A$2:$BF$2,0)),"")</f>
        <v/>
      </c>
      <c r="AI13" t="str">
        <f>IFERROR(INDEX(Overview!$A$2:$BF$32,MATCH($A13,Overview!$A$2:$A$32,0),MATCH(AI$2,Overview!$A$2:$BF$2,0)),"")</f>
        <v/>
      </c>
      <c r="AJ13" t="str">
        <f>IFERROR(INDEX(Overview!$A$2:$BF$32,MATCH($A13,Overview!$A$2:$A$32,0),MATCH(AJ$2,Overview!$A$2:$BF$2,0)),"")</f>
        <v/>
      </c>
      <c r="AK13" t="str">
        <f>IFERROR(INDEX(Overview!$A$2:$BF$32,MATCH($A13,Overview!$A$2:$A$32,0),MATCH(AK$2,Overview!$A$2:$BF$2,0)),"")</f>
        <v/>
      </c>
      <c r="AL13" t="str">
        <f>IFERROR(INDEX(Overview!$A$2:$BF$32,MATCH($A13,Overview!$A$2:$A$32,0),MATCH(AL$2,Overview!$A$2:$BF$2,0)),"")</f>
        <v/>
      </c>
      <c r="AM13" t="str">
        <f>IFERROR(INDEX(Overview!$A$2:$BF$32,MATCH($A13,Overview!$A$2:$A$32,0),MATCH(AM$2,Overview!$A$2:$BF$2,0)),"")</f>
        <v/>
      </c>
      <c r="AN13" t="str">
        <f>IFERROR(INDEX(Overview!$A$2:$BF$32,MATCH($A13,Overview!$A$2:$A$32,0),MATCH(AN$2,Overview!$A$2:$BF$2,0)),"")</f>
        <v/>
      </c>
      <c r="AO13" t="str">
        <f>IFERROR(INDEX(Overview!$A$2:$BF$32,MATCH($A13,Overview!$A$2:$A$32,0),MATCH(AO$2,Overview!$A$2:$BF$2,0)),"")</f>
        <v/>
      </c>
      <c r="AP13" t="str">
        <f>IFERROR(INDEX(Overview!$A$2:$BM$32,MATCH($A13,Overview!$A$2:$A$32,0),MATCH(AP$2,Overview!$A$2:$BM$2,0)),"")</f>
        <v/>
      </c>
      <c r="AQ13" t="str">
        <f>IFERROR(INDEX(Overview!$A$2:$BM$32,MATCH($A13,Overview!$A$2:$A$32,0),MATCH(AQ$2,Overview!$A$2:$BM$2,0)),"")</f>
        <v/>
      </c>
      <c r="AR13" t="str">
        <f>IFERROR(INDEX(Overview!$A$2:$BM$32,MATCH($A13,Overview!$A$2:$A$32,0),MATCH(AR$2,Overview!$A$2:$BM$2,0)),"")</f>
        <v/>
      </c>
      <c r="AS13" t="str">
        <f>IFERROR(INDEX(Overview!$A$2:$BM$32,MATCH($A13,Overview!$A$2:$A$32,0),MATCH(AS$2,Overview!$A$2:$BM$2,0)),"")</f>
        <v/>
      </c>
      <c r="AT13" t="str">
        <f>IFERROR(INDEX(Overview!$A$2:$BM$32,MATCH($A13,Overview!$A$2:$A$32,0),MATCH(AT$2,Overview!$A$2:$BM$2,0)),"")</f>
        <v/>
      </c>
      <c r="AU13" t="str">
        <f>IFERROR(INDEX(Overview!$A$2:$BM$32,MATCH($A13,Overview!$A$2:$A$32,0),MATCH(AU$2,Overview!$A$2:$BM$2,0)),"")</f>
        <v/>
      </c>
      <c r="AV13" t="str">
        <f>IFERROR(INDEX(Overview!$A$2:$BM$32,MATCH($A13,Overview!$A$2:$A$32,0),MATCH(AV$2,Overview!$A$2:$BM$2,0)),"")</f>
        <v/>
      </c>
      <c r="AW13" t="str">
        <f>IFERROR(INDEX(Overview!$A$2:$BM$32,MATCH($A13,Overview!$A$2:$A$32,0),MATCH(AW$2,Overview!$A$2:$BM$2,0)),"")</f>
        <v/>
      </c>
      <c r="AX13" t="str">
        <f>IFERROR(INDEX(Overview!$A$2:$BM$32,MATCH($A13,Overview!$A$2:$A$32,0),MATCH(AX$2,Overview!$A$2:$BM$2,0)),"")</f>
        <v/>
      </c>
      <c r="AY13" t="str">
        <f>IFERROR(INDEX(Overview!$A$2:$BM$32,MATCH($A13,Overview!$A$2:$A$32,0),MATCH(AY$2,Overview!$A$2:$BM$2,0)),"")</f>
        <v/>
      </c>
      <c r="AZ13" t="str">
        <f>IFERROR(INDEX(Overview!$A$2:$BM$32,MATCH($A13,Overview!$A$2:$A$32,0),MATCH(AZ$2,Overview!$A$2:$BM$2,0)),"")</f>
        <v/>
      </c>
      <c r="BA13" s="79" t="str">
        <f>IFERROR(INDEX(Overview!$A$2:$BM$32,MATCH($A13,Overview!$A$2:$A$32,0),MATCH(BA$2,Overview!$A$2:$BM$2,0)),"")</f>
        <v/>
      </c>
      <c r="BB13" s="79" t="str">
        <f>IFERROR(INDEX(Overview!$A$2:$BM$32,MATCH($A13,Overview!$A$2:$A$32,0),MATCH(BB$2,Overview!$A$2:$BM$2,0)),"")</f>
        <v/>
      </c>
      <c r="BC13" s="79" t="str">
        <f>IFERROR(INDEX(Overview!$A$2:$BM$32,MATCH($A13,Overview!$A$2:$A$32,0),MATCH(BC$2,Overview!$A$2:$BM$2,0)),"")</f>
        <v/>
      </c>
      <c r="BD13" s="79" t="str">
        <f>IFERROR(INDEX(Overview!$A$2:$BM$32,MATCH($A13,Overview!$A$2:$A$32,0),MATCH(BD$2,Overview!$A$2:$BM$2,0)),"")</f>
        <v/>
      </c>
      <c r="BE13" s="79" t="str">
        <f>IFERROR(INDEX(Overview!$A$2:$BM$32,MATCH($A13,Overview!$A$2:$A$32,0),MATCH(BE$2,Overview!$A$2:$BM$2,0)),"")</f>
        <v/>
      </c>
      <c r="BF13" s="79" t="str">
        <f>IFERROR(INDEX(Overview!$A$2:$BM$32,MATCH($A13,Overview!$A$2:$A$32,0),MATCH(BF$2,Overview!$A$2:$BM$2,0)),"")</f>
        <v/>
      </c>
      <c r="BG13" s="79" t="str">
        <f>IFERROR(INDEX(Overview!$A$2:$BM$32,MATCH($A13,Overview!$A$2:$A$32,0),MATCH(BG$2,Overview!$A$2:$BM$2,0)),"")</f>
        <v/>
      </c>
      <c r="BH13" s="79" t="str">
        <f>IFERROR(INDEX(Overview!$A$2:$BM$32,MATCH($A13,Overview!$A$2:$A$32,0),MATCH(BH$2,Overview!$A$2:$BM$2,0)),"")</f>
        <v/>
      </c>
      <c r="BI13" s="79" t="str">
        <f>IFERROR(INDEX(Overview!$A$2:$BM$32,MATCH($A13,Overview!$A$2:$A$32,0),MATCH(BI$2,Overview!$A$2:$BM$2,0)),"")</f>
        <v/>
      </c>
      <c r="BJ13" s="79" t="str">
        <f>IFERROR(INDEX(Overview!$A$2:$BM$32,MATCH($A13,Overview!$A$2:$A$32,0),MATCH(BJ$2,Overview!$A$2:$BM$2,0)),"")</f>
        <v/>
      </c>
      <c r="BK13" s="79" t="str">
        <f>IFERROR(INDEX(Overview!$A$2:$BM$32,MATCH($A13,Overview!$A$2:$A$32,0),MATCH(BK$2,Overview!$A$2:$BM$2,0)),"")</f>
        <v/>
      </c>
      <c r="BL13" s="80" t="str">
        <f>IFERROR(INDEX(Overview!$A$2:$BM$32,MATCH($A13,Overview!$A$2:$A$32,0),MATCH(BL$2,Overview!$A$2:$BM$2,0)+11),"")</f>
        <v/>
      </c>
      <c r="BM13" s="80" t="str">
        <f>IFERROR(INDEX(Overview!$A$2:$BM$32,MATCH($A13,Overview!$A$2:$A$32,0),MATCH(BM$2,Overview!$A$2:$BM$2,0)+11),"")</f>
        <v/>
      </c>
      <c r="BN13" s="80" t="str">
        <f>IFERROR(INDEX(Overview!$A$2:$BM$32,MATCH($A13,Overview!$A$2:$A$32,0),MATCH(BN$2,Overview!$A$2:$BM$2,0)+11),"")</f>
        <v/>
      </c>
      <c r="BO13" s="80" t="str">
        <f>IFERROR(INDEX(Overview!$A$2:$BM$32,MATCH($A13,Overview!$A$2:$A$32,0),MATCH(BO$2,Overview!$A$2:$BM$2,0)+11),"")</f>
        <v/>
      </c>
      <c r="BP13" s="80" t="str">
        <f>IFERROR(INDEX(Overview!$A$2:$BM$32,MATCH($A13,Overview!$A$2:$A$32,0),MATCH(BP$2,Overview!$A$2:$BM$2,0)+11),"")</f>
        <v/>
      </c>
      <c r="BQ13" s="80" t="str">
        <f>IFERROR(INDEX(Overview!$A$2:$BM$32,MATCH($A13,Overview!$A$2:$A$32,0),MATCH(BQ$2,Overview!$A$2:$BM$2,0)+11),"")</f>
        <v/>
      </c>
      <c r="BR13" s="80" t="str">
        <f>IFERROR(INDEX(Overview!$A$2:$BM$32,MATCH($A13,Overview!$A$2:$A$32,0),MATCH(BR$2,Overview!$A$2:$BM$2,0)+11),"")</f>
        <v/>
      </c>
      <c r="BS13" s="80" t="str">
        <f>IFERROR(INDEX(Overview!$A$2:$BM$32,MATCH($A13,Overview!$A$2:$A$32,0),MATCH(BS$2,Overview!$A$2:$BM$2,0)+11),"")</f>
        <v/>
      </c>
      <c r="BT13" s="80" t="str">
        <f>IFERROR(INDEX(Overview!$A$2:$BM$32,MATCH($A13,Overview!$A$2:$A$32,0),MATCH(BT$2,Overview!$A$2:$BM$2,0)+11),"")</f>
        <v/>
      </c>
      <c r="BU13" s="80" t="str">
        <f>IFERROR(INDEX(Overview!$A$2:$BM$32,MATCH($A13,Overview!$A$2:$A$32,0),MATCH(BU$2,Overview!$A$2:$BM$2,0)+11),"")</f>
        <v/>
      </c>
      <c r="BV13" s="80" t="str">
        <f>IFERROR(INDEX(Overview!$A$2:$BM$32,MATCH($A13,Overview!$A$2:$A$32,0),MATCH(BV$2,Overview!$A$2:$BM$2,0)+11),"")</f>
        <v/>
      </c>
      <c r="BW13" s="82" t="str">
        <f t="shared" si="16"/>
        <v/>
      </c>
      <c r="BX13" s="82" t="str">
        <f t="shared" si="17"/>
        <v/>
      </c>
      <c r="BY13" s="82" t="str">
        <f t="shared" si="18"/>
        <v/>
      </c>
      <c r="BZ13" s="82" t="str">
        <f t="shared" si="19"/>
        <v/>
      </c>
      <c r="CA13" s="82" t="str">
        <f t="shared" si="20"/>
        <v/>
      </c>
      <c r="CB13" s="82" t="str">
        <f t="shared" si="21"/>
        <v/>
      </c>
      <c r="CC13" s="82" t="str">
        <f t="shared" si="22"/>
        <v/>
      </c>
      <c r="CD13" s="82" t="str">
        <f t="shared" si="23"/>
        <v/>
      </c>
      <c r="CE13" s="82" t="str">
        <f t="shared" si="24"/>
        <v/>
      </c>
      <c r="CF13" s="82" t="str">
        <f t="shared" si="25"/>
        <v/>
      </c>
      <c r="CG13" s="82" t="str">
        <f t="shared" si="26"/>
        <v/>
      </c>
      <c r="CH13" s="83" t="str">
        <f t="shared" si="38"/>
        <v/>
      </c>
      <c r="CI13" s="83" t="str">
        <f t="shared" si="39"/>
        <v/>
      </c>
      <c r="CJ13" s="83" t="str">
        <f t="shared" si="40"/>
        <v/>
      </c>
      <c r="CK13" s="83" t="str">
        <f t="shared" si="41"/>
        <v/>
      </c>
      <c r="CL13" s="83" t="str">
        <f t="shared" si="42"/>
        <v/>
      </c>
      <c r="CM13" s="83" t="str">
        <f t="shared" si="43"/>
        <v/>
      </c>
      <c r="CN13" s="83" t="str">
        <f t="shared" si="44"/>
        <v/>
      </c>
      <c r="CO13" s="83" t="str">
        <f t="shared" si="45"/>
        <v/>
      </c>
      <c r="CP13" s="83" t="str">
        <f t="shared" si="46"/>
        <v/>
      </c>
      <c r="CQ13" s="83" t="str">
        <f t="shared" si="47"/>
        <v/>
      </c>
      <c r="CR13" s="83" t="str">
        <f t="shared" si="48"/>
        <v/>
      </c>
      <c r="CV13">
        <f>Overview!BO12</f>
        <v>8.0158931102594676E-4</v>
      </c>
      <c r="CW13">
        <f>Overview!BP12</f>
        <v>0.25516662127431416</v>
      </c>
      <c r="CX13">
        <f>Overview!BQ12</f>
        <v>0.11589037982665441</v>
      </c>
      <c r="CY13">
        <f>Overview!BR12</f>
        <v>0.41586563945437366</v>
      </c>
      <c r="CZ13">
        <f>Overview!BS12</f>
        <v>0.50473424131965972</v>
      </c>
      <c r="DA13">
        <f>Overview!BT12</f>
        <v>0.38457536475979026</v>
      </c>
      <c r="DB13">
        <f>Overview!BU12</f>
        <v>3.8033692407481419</v>
      </c>
      <c r="DC13">
        <f>Overview!BV12</f>
        <v>0.35286744919446889</v>
      </c>
      <c r="DD13">
        <f>Overview!BW12</f>
        <v>2.029466328956698E-3</v>
      </c>
      <c r="DE13">
        <f>Overview!BX12</f>
        <v>2.5599422397171645E-4</v>
      </c>
      <c r="DF13">
        <f>Overview!BY12</f>
        <v>1.0467140984123831E-3</v>
      </c>
      <c r="DG13">
        <f>Overview!BZ12</f>
        <v>1.8057620431952881</v>
      </c>
      <c r="DM13">
        <f t="shared" si="28"/>
        <v>0</v>
      </c>
      <c r="DN13">
        <f t="shared" si="29"/>
        <v>0</v>
      </c>
      <c r="DP13">
        <f t="shared" ca="1" si="49"/>
        <v>1</v>
      </c>
      <c r="DQ13" t="str">
        <f t="shared" ca="1" si="30"/>
        <v/>
      </c>
      <c r="DR13" t="str">
        <f t="shared" ca="1" si="50"/>
        <v/>
      </c>
      <c r="DS13" t="str">
        <f t="shared" ca="1" si="31"/>
        <v/>
      </c>
      <c r="DT13" t="str">
        <f t="shared" ca="1" si="51"/>
        <v/>
      </c>
      <c r="DU13">
        <f t="shared" ca="1" si="52"/>
        <v>1</v>
      </c>
      <c r="DV13" t="str">
        <f t="shared" si="32"/>
        <v/>
      </c>
      <c r="DW13" t="str">
        <f t="shared" si="53"/>
        <v/>
      </c>
      <c r="DX13" t="str">
        <f t="shared" si="64"/>
        <v/>
      </c>
      <c r="DZ13" t="str">
        <f t="shared" ca="1" si="54"/>
        <v/>
      </c>
      <c r="EA13" t="str">
        <f t="shared" ca="1" si="55"/>
        <v/>
      </c>
      <c r="EB13" s="84" t="str">
        <f t="shared" ca="1" si="56"/>
        <v/>
      </c>
      <c r="EC13" s="1" t="str">
        <f t="shared" ca="1" si="33"/>
        <v/>
      </c>
      <c r="ED13" t="str">
        <f t="shared" ca="1" si="57"/>
        <v/>
      </c>
      <c r="EE13" t="str">
        <f t="shared" ca="1" si="58"/>
        <v/>
      </c>
      <c r="EF13" t="str">
        <f t="shared" ca="1" si="59"/>
        <v/>
      </c>
      <c r="EJ13" t="str">
        <f ca="1">'538'!Q18</f>
        <v/>
      </c>
      <c r="EK13" t="str">
        <f ca="1">'538'!T18</f>
        <v/>
      </c>
    </row>
    <row r="14" spans="1:141" ht="15.75" thickBot="1" x14ac:dyDescent="0.3">
      <c r="A14" s="28" t="str">
        <f>IFERROR(INDEX(Overview!$A$3:$B$32,MATCH(Bet!$C14,Overview!$B$3:$B$32,0),1),"X")</f>
        <v>X</v>
      </c>
      <c r="B14" s="28" t="str">
        <f>IF(ISBLANK(C14),"",IFERROR(INDEX(Pitchers[],MATCH(F14,Pitchers[Player],0),MATCH(G$2,Pitchers[#Headers],0)),"X"))</f>
        <v/>
      </c>
      <c r="C14" s="4"/>
      <c r="D14" s="10"/>
      <c r="E14" s="96"/>
      <c r="F14" s="51"/>
      <c r="G14" s="48">
        <f>IFERROR(INDEX(Pitchers[],MATCH(Bet!F14,Pitchers[Player],0),MATCH(G$2,Pitchers[#Headers],0)),PlayerPitching!$AD$12)</f>
        <v>-0.13933069723404246</v>
      </c>
      <c r="H14" s="48" t="str">
        <f>IF(ISNUMBER(CODE(C14)),INDEX(Scores!$P$2:$T$33,MATCH($C14,Scores!$R$2:$R$33,0),4),"")</f>
        <v/>
      </c>
      <c r="I14" s="48" t="str">
        <f>IF(ISNUMBER(CODE(C14)),IF(INDEX(Scores!$P$2:$T$33,MATCH($C14,Scores!$R$2:$R$33,0),5)=0,1,INDEX(Scores!$P$2:$T$33,MATCH($C14,Scores!$R$2:$R$33,0),5)),"")</f>
        <v/>
      </c>
      <c r="J14" s="48">
        <f t="shared" si="1"/>
        <v>-1.9641098805067554</v>
      </c>
      <c r="K14" s="49">
        <f t="shared" si="2"/>
        <v>-9.4751509617551655</v>
      </c>
      <c r="L14" s="49">
        <f t="shared" si="3"/>
        <v>16.909645863110409</v>
      </c>
      <c r="M14" s="49">
        <f t="shared" si="4"/>
        <v>10.056673523576878</v>
      </c>
      <c r="N14" s="49">
        <f t="shared" si="5"/>
        <v>9.3029121378439612</v>
      </c>
      <c r="O14" s="49">
        <f t="shared" si="6"/>
        <v>2.0342481123324334</v>
      </c>
      <c r="P14" s="49">
        <f t="shared" si="7"/>
        <v>5.6685801250881971</v>
      </c>
      <c r="Q14" s="49" t="str">
        <f>IFERROR(_xlfn.NORM.INV(INDEX(Scores!$P$2:$U$33,MATCH($C14,Scores!$R$2:$R$33,0),6),H14,I14),"")</f>
        <v/>
      </c>
      <c r="R14" s="49" t="str">
        <f t="shared" si="8"/>
        <v/>
      </c>
      <c r="S14" s="49" t="str">
        <f t="shared" si="9"/>
        <v/>
      </c>
      <c r="T14" s="49" t="str">
        <f t="shared" si="34"/>
        <v/>
      </c>
      <c r="U14" s="96"/>
      <c r="V14" s="68" t="str">
        <f t="shared" si="11"/>
        <v/>
      </c>
      <c r="W14" s="65" t="str">
        <f t="shared" si="12"/>
        <v/>
      </c>
      <c r="X14" s="51" t="str">
        <f t="shared" si="13"/>
        <v/>
      </c>
      <c r="Y14" s="48" t="str">
        <f t="shared" si="35"/>
        <v/>
      </c>
      <c r="Z14" s="48" t="str">
        <f ca="1">IFERROR(INDEX('538'!$Q$9:$U$190,MATCH(Bet!$C14,'538'!$Q$9:$Q$190,0),5),"")</f>
        <v/>
      </c>
      <c r="AA14" t="str">
        <f t="shared" si="36"/>
        <v/>
      </c>
      <c r="AB14">
        <f t="shared" si="14"/>
        <v>0</v>
      </c>
      <c r="AC14" t="str">
        <f t="shared" ca="1" si="37"/>
        <v/>
      </c>
      <c r="AD14" t="str">
        <f t="shared" si="15"/>
        <v/>
      </c>
      <c r="AE14" t="str">
        <f>IFERROR(INDEX(Overview!$A$2:$BF$32,MATCH($A14,Overview!$A$2:$A$32,0),MATCH(AE$2,Overview!$A$2:$BF$2,0)),"")</f>
        <v/>
      </c>
      <c r="AF14" t="str">
        <f>IFERROR(INDEX(Overview!$A$2:$BF$32,MATCH($A14,Overview!$A$2:$A$32,0),MATCH(AF$2,Overview!$A$2:$BF$2,0)),"")</f>
        <v/>
      </c>
      <c r="AG14" t="str">
        <f>IFERROR(INDEX(Overview!$A$2:$BF$32,MATCH($A14,Overview!$A$2:$A$32,0),MATCH(AG$2,Overview!$A$2:$BF$2,0)),"")</f>
        <v/>
      </c>
      <c r="AH14" t="str">
        <f>IFERROR(INDEX(Overview!$A$2:$BF$32,MATCH($A14,Overview!$A$2:$A$32,0),MATCH(AH$2,Overview!$A$2:$BF$2,0)),"")</f>
        <v/>
      </c>
      <c r="AI14" t="str">
        <f>IFERROR(INDEX(Overview!$A$2:$BF$32,MATCH($A14,Overview!$A$2:$A$32,0),MATCH(AI$2,Overview!$A$2:$BF$2,0)),"")</f>
        <v/>
      </c>
      <c r="AJ14" t="str">
        <f>IFERROR(INDEX(Overview!$A$2:$BF$32,MATCH($A14,Overview!$A$2:$A$32,0),MATCH(AJ$2,Overview!$A$2:$BF$2,0)),"")</f>
        <v/>
      </c>
      <c r="AK14" t="str">
        <f>IFERROR(INDEX(Overview!$A$2:$BF$32,MATCH($A14,Overview!$A$2:$A$32,0),MATCH(AK$2,Overview!$A$2:$BF$2,0)),"")</f>
        <v/>
      </c>
      <c r="AL14" t="str">
        <f>IFERROR(INDEX(Overview!$A$2:$BF$32,MATCH($A14,Overview!$A$2:$A$32,0),MATCH(AL$2,Overview!$A$2:$BF$2,0)),"")</f>
        <v/>
      </c>
      <c r="AM14" t="str">
        <f>IFERROR(INDEX(Overview!$A$2:$BF$32,MATCH($A14,Overview!$A$2:$A$32,0),MATCH(AM$2,Overview!$A$2:$BF$2,0)),"")</f>
        <v/>
      </c>
      <c r="AN14" t="str">
        <f>IFERROR(INDEX(Overview!$A$2:$BF$32,MATCH($A14,Overview!$A$2:$A$32,0),MATCH(AN$2,Overview!$A$2:$BF$2,0)),"")</f>
        <v/>
      </c>
      <c r="AO14" t="str">
        <f>IFERROR(INDEX(Overview!$A$2:$BF$32,MATCH($A14,Overview!$A$2:$A$32,0),MATCH(AO$2,Overview!$A$2:$BF$2,0)),"")</f>
        <v/>
      </c>
      <c r="AP14" t="str">
        <f>IFERROR(INDEX(Overview!$A$2:$BM$32,MATCH($A14,Overview!$A$2:$A$32,0),MATCH(AP$2,Overview!$A$2:$BM$2,0)),"")</f>
        <v/>
      </c>
      <c r="AQ14" t="str">
        <f>IFERROR(INDEX(Overview!$A$2:$BM$32,MATCH($A14,Overview!$A$2:$A$32,0),MATCH(AQ$2,Overview!$A$2:$BM$2,0)),"")</f>
        <v/>
      </c>
      <c r="AR14" t="str">
        <f>IFERROR(INDEX(Overview!$A$2:$BM$32,MATCH($A14,Overview!$A$2:$A$32,0),MATCH(AR$2,Overview!$A$2:$BM$2,0)),"")</f>
        <v/>
      </c>
      <c r="AS14" t="str">
        <f>IFERROR(INDEX(Overview!$A$2:$BM$32,MATCH($A14,Overview!$A$2:$A$32,0),MATCH(AS$2,Overview!$A$2:$BM$2,0)),"")</f>
        <v/>
      </c>
      <c r="AT14" t="str">
        <f>IFERROR(INDEX(Overview!$A$2:$BM$32,MATCH($A14,Overview!$A$2:$A$32,0),MATCH(AT$2,Overview!$A$2:$BM$2,0)),"")</f>
        <v/>
      </c>
      <c r="AU14" t="str">
        <f>IFERROR(INDEX(Overview!$A$2:$BM$32,MATCH($A14,Overview!$A$2:$A$32,0),MATCH(AU$2,Overview!$A$2:$BM$2,0)),"")</f>
        <v/>
      </c>
      <c r="AV14" t="str">
        <f>IFERROR(INDEX(Overview!$A$2:$BM$32,MATCH($A14,Overview!$A$2:$A$32,0),MATCH(AV$2,Overview!$A$2:$BM$2,0)),"")</f>
        <v/>
      </c>
      <c r="AW14" t="str">
        <f>IFERROR(INDEX(Overview!$A$2:$BM$32,MATCH($A14,Overview!$A$2:$A$32,0),MATCH(AW$2,Overview!$A$2:$BM$2,0)),"")</f>
        <v/>
      </c>
      <c r="AX14" t="str">
        <f>IFERROR(INDEX(Overview!$A$2:$BM$32,MATCH($A14,Overview!$A$2:$A$32,0),MATCH(AX$2,Overview!$A$2:$BM$2,0)),"")</f>
        <v/>
      </c>
      <c r="AY14" t="str">
        <f>IFERROR(INDEX(Overview!$A$2:$BM$32,MATCH($A14,Overview!$A$2:$A$32,0),MATCH(AY$2,Overview!$A$2:$BM$2,0)),"")</f>
        <v/>
      </c>
      <c r="AZ14" t="str">
        <f>IFERROR(INDEX(Overview!$A$2:$BM$32,MATCH($A14,Overview!$A$2:$A$32,0),MATCH(AZ$2,Overview!$A$2:$BM$2,0)),"")</f>
        <v/>
      </c>
      <c r="BA14" s="79" t="str">
        <f>IFERROR(INDEX(Overview!$A$2:$BM$32,MATCH($A14,Overview!$A$2:$A$32,0),MATCH(BA$2,Overview!$A$2:$BM$2,0)),"")</f>
        <v/>
      </c>
      <c r="BB14" s="79" t="str">
        <f>IFERROR(INDEX(Overview!$A$2:$BM$32,MATCH($A14,Overview!$A$2:$A$32,0),MATCH(BB$2,Overview!$A$2:$BM$2,0)),"")</f>
        <v/>
      </c>
      <c r="BC14" s="79" t="str">
        <f>IFERROR(INDEX(Overview!$A$2:$BM$32,MATCH($A14,Overview!$A$2:$A$32,0),MATCH(BC$2,Overview!$A$2:$BM$2,0)),"")</f>
        <v/>
      </c>
      <c r="BD14" s="79" t="str">
        <f>IFERROR(INDEX(Overview!$A$2:$BM$32,MATCH($A14,Overview!$A$2:$A$32,0),MATCH(BD$2,Overview!$A$2:$BM$2,0)),"")</f>
        <v/>
      </c>
      <c r="BE14" s="79" t="str">
        <f>IFERROR(INDEX(Overview!$A$2:$BM$32,MATCH($A14,Overview!$A$2:$A$32,0),MATCH(BE$2,Overview!$A$2:$BM$2,0)),"")</f>
        <v/>
      </c>
      <c r="BF14" s="79" t="str">
        <f>IFERROR(INDEX(Overview!$A$2:$BM$32,MATCH($A14,Overview!$A$2:$A$32,0),MATCH(BF$2,Overview!$A$2:$BM$2,0)),"")</f>
        <v/>
      </c>
      <c r="BG14" s="79" t="str">
        <f>IFERROR(INDEX(Overview!$A$2:$BM$32,MATCH($A14,Overview!$A$2:$A$32,0),MATCH(BG$2,Overview!$A$2:$BM$2,0)),"")</f>
        <v/>
      </c>
      <c r="BH14" s="79" t="str">
        <f>IFERROR(INDEX(Overview!$A$2:$BM$32,MATCH($A14,Overview!$A$2:$A$32,0),MATCH(BH$2,Overview!$A$2:$BM$2,0)),"")</f>
        <v/>
      </c>
      <c r="BI14" s="79" t="str">
        <f>IFERROR(INDEX(Overview!$A$2:$BM$32,MATCH($A14,Overview!$A$2:$A$32,0),MATCH(BI$2,Overview!$A$2:$BM$2,0)),"")</f>
        <v/>
      </c>
      <c r="BJ14" s="79" t="str">
        <f>IFERROR(INDEX(Overview!$A$2:$BM$32,MATCH($A14,Overview!$A$2:$A$32,0),MATCH(BJ$2,Overview!$A$2:$BM$2,0)),"")</f>
        <v/>
      </c>
      <c r="BK14" s="79" t="str">
        <f>IFERROR(INDEX(Overview!$A$2:$BM$32,MATCH($A14,Overview!$A$2:$A$32,0),MATCH(BK$2,Overview!$A$2:$BM$2,0)),"")</f>
        <v/>
      </c>
      <c r="BL14" s="80" t="str">
        <f>IFERROR(INDEX(Overview!$A$2:$BM$32,MATCH($A14,Overview!$A$2:$A$32,0),MATCH(BL$2,Overview!$A$2:$BM$2,0)+11),"")</f>
        <v/>
      </c>
      <c r="BM14" s="80" t="str">
        <f>IFERROR(INDEX(Overview!$A$2:$BM$32,MATCH($A14,Overview!$A$2:$A$32,0),MATCH(BM$2,Overview!$A$2:$BM$2,0)+11),"")</f>
        <v/>
      </c>
      <c r="BN14" s="80" t="str">
        <f>IFERROR(INDEX(Overview!$A$2:$BM$32,MATCH($A14,Overview!$A$2:$A$32,0),MATCH(BN$2,Overview!$A$2:$BM$2,0)+11),"")</f>
        <v/>
      </c>
      <c r="BO14" s="80" t="str">
        <f>IFERROR(INDEX(Overview!$A$2:$BM$32,MATCH($A14,Overview!$A$2:$A$32,0),MATCH(BO$2,Overview!$A$2:$BM$2,0)+11),"")</f>
        <v/>
      </c>
      <c r="BP14" s="80" t="str">
        <f>IFERROR(INDEX(Overview!$A$2:$BM$32,MATCH($A14,Overview!$A$2:$A$32,0),MATCH(BP$2,Overview!$A$2:$BM$2,0)+11),"")</f>
        <v/>
      </c>
      <c r="BQ14" s="80" t="str">
        <f>IFERROR(INDEX(Overview!$A$2:$BM$32,MATCH($A14,Overview!$A$2:$A$32,0),MATCH(BQ$2,Overview!$A$2:$BM$2,0)+11),"")</f>
        <v/>
      </c>
      <c r="BR14" s="80" t="str">
        <f>IFERROR(INDEX(Overview!$A$2:$BM$32,MATCH($A14,Overview!$A$2:$A$32,0),MATCH(BR$2,Overview!$A$2:$BM$2,0)+11),"")</f>
        <v/>
      </c>
      <c r="BS14" s="80" t="str">
        <f>IFERROR(INDEX(Overview!$A$2:$BM$32,MATCH($A14,Overview!$A$2:$A$32,0),MATCH(BS$2,Overview!$A$2:$BM$2,0)+11),"")</f>
        <v/>
      </c>
      <c r="BT14" s="80" t="str">
        <f>IFERROR(INDEX(Overview!$A$2:$BM$32,MATCH($A14,Overview!$A$2:$A$32,0),MATCH(BT$2,Overview!$A$2:$BM$2,0)+11),"")</f>
        <v/>
      </c>
      <c r="BU14" s="80" t="str">
        <f>IFERROR(INDEX(Overview!$A$2:$BM$32,MATCH($A14,Overview!$A$2:$A$32,0),MATCH(BU$2,Overview!$A$2:$BM$2,0)+11),"")</f>
        <v/>
      </c>
      <c r="BV14" s="80" t="str">
        <f>IFERROR(INDEX(Overview!$A$2:$BM$32,MATCH($A14,Overview!$A$2:$A$32,0),MATCH(BV$2,Overview!$A$2:$BM$2,0)+11),"")</f>
        <v/>
      </c>
      <c r="BW14" s="82" t="str">
        <f t="shared" si="16"/>
        <v/>
      </c>
      <c r="BX14" s="82" t="str">
        <f t="shared" si="17"/>
        <v/>
      </c>
      <c r="BY14" s="82" t="str">
        <f t="shared" si="18"/>
        <v/>
      </c>
      <c r="BZ14" s="82" t="str">
        <f t="shared" si="19"/>
        <v/>
      </c>
      <c r="CA14" s="82" t="str">
        <f t="shared" si="20"/>
        <v/>
      </c>
      <c r="CB14" s="82" t="str">
        <f t="shared" si="21"/>
        <v/>
      </c>
      <c r="CC14" s="82" t="str">
        <f t="shared" si="22"/>
        <v/>
      </c>
      <c r="CD14" s="82" t="str">
        <f t="shared" si="23"/>
        <v/>
      </c>
      <c r="CE14" s="82" t="str">
        <f t="shared" si="24"/>
        <v/>
      </c>
      <c r="CF14" s="82" t="str">
        <f t="shared" si="25"/>
        <v/>
      </c>
      <c r="CG14" s="82" t="str">
        <f t="shared" si="26"/>
        <v/>
      </c>
      <c r="CH14" s="83" t="str">
        <f t="shared" si="38"/>
        <v/>
      </c>
      <c r="CI14" s="83" t="str">
        <f t="shared" si="39"/>
        <v/>
      </c>
      <c r="CJ14" s="83" t="str">
        <f t="shared" si="40"/>
        <v/>
      </c>
      <c r="CK14" s="83" t="str">
        <f t="shared" si="41"/>
        <v/>
      </c>
      <c r="CL14" s="83" t="str">
        <f t="shared" si="42"/>
        <v/>
      </c>
      <c r="CM14" s="83" t="str">
        <f t="shared" si="43"/>
        <v/>
      </c>
      <c r="CN14" s="83" t="str">
        <f t="shared" si="44"/>
        <v/>
      </c>
      <c r="CO14" s="83" t="str">
        <f t="shared" si="45"/>
        <v/>
      </c>
      <c r="CP14" s="83" t="str">
        <f t="shared" si="46"/>
        <v/>
      </c>
      <c r="CQ14" s="83" t="str">
        <f t="shared" si="47"/>
        <v/>
      </c>
      <c r="CR14" s="83" t="str">
        <f t="shared" si="48"/>
        <v/>
      </c>
      <c r="CV14">
        <f>Overview!BO13</f>
        <v>0.99299214777630118</v>
      </c>
      <c r="CW14">
        <f>Overview!BP13</f>
        <v>6.4000913099037507E-2</v>
      </c>
      <c r="CX14" t="e">
        <f>Overview!BQ13</f>
        <v>#N/A</v>
      </c>
      <c r="CY14" t="e">
        <f>Overview!BR13</f>
        <v>#N/A</v>
      </c>
      <c r="CZ14" t="e">
        <f>Overview!BS13</f>
        <v>#N/A</v>
      </c>
      <c r="DA14" t="e">
        <f>Overview!BT13</f>
        <v>#N/A</v>
      </c>
      <c r="DB14" t="e">
        <f>Overview!BU13</f>
        <v>#N/A</v>
      </c>
      <c r="DC14" t="e">
        <f>Overview!BV13</f>
        <v>#N/A</v>
      </c>
      <c r="DD14" t="e">
        <f>Overview!BW13</f>
        <v>#N/A</v>
      </c>
      <c r="DE14" t="e">
        <f>Overview!BX13</f>
        <v>#N/A</v>
      </c>
      <c r="DF14" t="e">
        <f>Overview!BY13</f>
        <v>#N/A</v>
      </c>
      <c r="DG14" t="e">
        <f>Overview!BZ13</f>
        <v>#N/A</v>
      </c>
      <c r="DM14">
        <f t="shared" si="28"/>
        <v>0</v>
      </c>
      <c r="DN14">
        <f t="shared" si="29"/>
        <v>0</v>
      </c>
      <c r="DP14">
        <f t="shared" ca="1" si="49"/>
        <v>1</v>
      </c>
      <c r="DQ14" t="str">
        <f t="shared" ca="1" si="30"/>
        <v/>
      </c>
      <c r="DR14" t="str">
        <f t="shared" ca="1" si="50"/>
        <v/>
      </c>
      <c r="DS14" t="str">
        <f t="shared" ca="1" si="31"/>
        <v/>
      </c>
      <c r="DT14" t="str">
        <f t="shared" ca="1" si="51"/>
        <v/>
      </c>
      <c r="DU14">
        <f t="shared" ca="1" si="52"/>
        <v>1</v>
      </c>
      <c r="DV14" t="str">
        <f t="shared" si="32"/>
        <v/>
      </c>
      <c r="DW14" t="str">
        <f t="shared" si="53"/>
        <v/>
      </c>
      <c r="DX14" t="str">
        <f t="shared" si="64"/>
        <v/>
      </c>
      <c r="DZ14" t="str">
        <f t="shared" ca="1" si="54"/>
        <v/>
      </c>
      <c r="EA14" t="str">
        <f t="shared" ca="1" si="55"/>
        <v/>
      </c>
      <c r="EB14" s="84" t="str">
        <f t="shared" ca="1" si="56"/>
        <v/>
      </c>
      <c r="EC14" s="1" t="str">
        <f t="shared" ca="1" si="33"/>
        <v/>
      </c>
      <c r="ED14" t="str">
        <f t="shared" ca="1" si="57"/>
        <v/>
      </c>
      <c r="EE14" t="str">
        <f t="shared" ca="1" si="58"/>
        <v/>
      </c>
      <c r="EF14" t="str">
        <f t="shared" ca="1" si="59"/>
        <v/>
      </c>
      <c r="EJ14" t="str">
        <f ca="1">'538'!Q19</f>
        <v/>
      </c>
      <c r="EK14" t="str">
        <f ca="1">'538'!T19</f>
        <v/>
      </c>
    </row>
    <row r="15" spans="1:141" x14ac:dyDescent="0.25">
      <c r="A15" s="28" t="str">
        <f>IFERROR(INDEX(Overview!$A$3:$B$32,MATCH(Bet!$C15,Overview!$B$3:$B$32,0),1),"X")</f>
        <v>X</v>
      </c>
      <c r="B15" s="28" t="str">
        <f>IF(ISBLANK(C15),"",IFERROR(INDEX(Pitchers[],MATCH(F15,Pitchers[Player],0),MATCH(G$2,Pitchers[#Headers],0)),"X"))</f>
        <v/>
      </c>
      <c r="C15" s="2"/>
      <c r="D15" s="3"/>
      <c r="E15" s="95"/>
      <c r="F15" s="50"/>
      <c r="G15" s="48">
        <f>IFERROR(INDEX(Pitchers[],MATCH(Bet!F15,Pitchers[Player],0),MATCH(G$2,Pitchers[#Headers],0)),PlayerPitching!$AD$12)</f>
        <v>-0.13933069723404246</v>
      </c>
      <c r="H15" s="48" t="str">
        <f>IF(ISNUMBER(CODE(C15)),INDEX(Scores!$P$2:$T$33,MATCH($C15,Scores!$R$2:$R$33,0),4),"")</f>
        <v/>
      </c>
      <c r="I15" s="48" t="str">
        <f>IF(ISNUMBER(CODE(C15)),IF(INDEX(Scores!$P$2:$T$33,MATCH($C15,Scores!$R$2:$R$33,0),5)=0,1,INDEX(Scores!$P$2:$T$33,MATCH($C15,Scores!$R$2:$R$33,0),5)),"")</f>
        <v/>
      </c>
      <c r="J15" s="48">
        <f t="shared" si="1"/>
        <v>-1.9641098805067554</v>
      </c>
      <c r="K15" s="49">
        <f t="shared" si="2"/>
        <v>-9.4751509617551655</v>
      </c>
      <c r="L15" s="49">
        <f t="shared" si="3"/>
        <v>16.909645863110409</v>
      </c>
      <c r="M15" s="49">
        <f t="shared" si="4"/>
        <v>10.056673523576878</v>
      </c>
      <c r="N15" s="49">
        <f t="shared" si="5"/>
        <v>9.3029121378439612</v>
      </c>
      <c r="O15" s="49">
        <f t="shared" si="6"/>
        <v>2.0342481123324334</v>
      </c>
      <c r="P15" s="49">
        <f t="shared" si="7"/>
        <v>5.6685801250881971</v>
      </c>
      <c r="Q15" s="49" t="str">
        <f>IFERROR(_xlfn.NORM.INV(INDEX(Scores!$P$2:$U$33,MATCH($C15,Scores!$R$2:$R$33,0),6),H15,I15),"")</f>
        <v/>
      </c>
      <c r="R15" s="49" t="str">
        <f t="shared" si="8"/>
        <v/>
      </c>
      <c r="S15" s="49" t="str">
        <f t="shared" si="9"/>
        <v/>
      </c>
      <c r="T15" s="49" t="str">
        <f t="shared" si="34"/>
        <v/>
      </c>
      <c r="U15" s="95" t="str">
        <f t="shared" ref="U15" si="66">IFERROR(ROUND(ROUND((R15+R16)*2,0)/2,1)+1.5,"")</f>
        <v/>
      </c>
      <c r="V15" s="67" t="str">
        <f t="shared" si="11"/>
        <v/>
      </c>
      <c r="W15" s="64" t="str">
        <f t="shared" si="12"/>
        <v/>
      </c>
      <c r="X15" s="50" t="str">
        <f t="shared" si="13"/>
        <v/>
      </c>
      <c r="Y15" s="48" t="str">
        <f t="shared" si="35"/>
        <v/>
      </c>
      <c r="Z15" s="48" t="str">
        <f ca="1">IFERROR(INDEX('538'!$Q$9:$U$190,MATCH(Bet!$C15,'538'!$Q$9:$Q$190,0),5),"")</f>
        <v/>
      </c>
      <c r="AA15" t="str">
        <f t="shared" si="36"/>
        <v/>
      </c>
      <c r="AB15">
        <f t="shared" si="14"/>
        <v>0</v>
      </c>
      <c r="AC15" t="str">
        <f t="shared" ca="1" si="37"/>
        <v/>
      </c>
      <c r="AD15" t="str">
        <f t="shared" si="15"/>
        <v/>
      </c>
      <c r="AE15" t="str">
        <f>IFERROR(INDEX(Overview!$A$2:$BF$32,MATCH($A15,Overview!$A$2:$A$32,0),MATCH(AE$2,Overview!$A$2:$BF$2,0)),"")</f>
        <v/>
      </c>
      <c r="AF15" t="str">
        <f>IFERROR(INDEX(Overview!$A$2:$BF$32,MATCH($A15,Overview!$A$2:$A$32,0),MATCH(AF$2,Overview!$A$2:$BF$2,0)),"")</f>
        <v/>
      </c>
      <c r="AG15" t="str">
        <f>IFERROR(INDEX(Overview!$A$2:$BF$32,MATCH($A15,Overview!$A$2:$A$32,0),MATCH(AG$2,Overview!$A$2:$BF$2,0)),"")</f>
        <v/>
      </c>
      <c r="AH15" t="str">
        <f>IFERROR(INDEX(Overview!$A$2:$BF$32,MATCH($A15,Overview!$A$2:$A$32,0),MATCH(AH$2,Overview!$A$2:$BF$2,0)),"")</f>
        <v/>
      </c>
      <c r="AI15" t="str">
        <f>IFERROR(INDEX(Overview!$A$2:$BF$32,MATCH($A15,Overview!$A$2:$A$32,0),MATCH(AI$2,Overview!$A$2:$BF$2,0)),"")</f>
        <v/>
      </c>
      <c r="AJ15" t="str">
        <f>IFERROR(INDEX(Overview!$A$2:$BF$32,MATCH($A15,Overview!$A$2:$A$32,0),MATCH(AJ$2,Overview!$A$2:$BF$2,0)),"")</f>
        <v/>
      </c>
      <c r="AK15" t="str">
        <f>IFERROR(INDEX(Overview!$A$2:$BF$32,MATCH($A15,Overview!$A$2:$A$32,0),MATCH(AK$2,Overview!$A$2:$BF$2,0)),"")</f>
        <v/>
      </c>
      <c r="AL15" t="str">
        <f>IFERROR(INDEX(Overview!$A$2:$BF$32,MATCH($A15,Overview!$A$2:$A$32,0),MATCH(AL$2,Overview!$A$2:$BF$2,0)),"")</f>
        <v/>
      </c>
      <c r="AM15" t="str">
        <f>IFERROR(INDEX(Overview!$A$2:$BF$32,MATCH($A15,Overview!$A$2:$A$32,0),MATCH(AM$2,Overview!$A$2:$BF$2,0)),"")</f>
        <v/>
      </c>
      <c r="AN15" t="str">
        <f>IFERROR(INDEX(Overview!$A$2:$BF$32,MATCH($A15,Overview!$A$2:$A$32,0),MATCH(AN$2,Overview!$A$2:$BF$2,0)),"")</f>
        <v/>
      </c>
      <c r="AO15" t="str">
        <f>IFERROR(INDEX(Overview!$A$2:$BF$32,MATCH($A15,Overview!$A$2:$A$32,0),MATCH(AO$2,Overview!$A$2:$BF$2,0)),"")</f>
        <v/>
      </c>
      <c r="AP15" t="str">
        <f>IFERROR(INDEX(Overview!$A$2:$BM$32,MATCH($A15,Overview!$A$2:$A$32,0),MATCH(AP$2,Overview!$A$2:$BM$2,0)),"")</f>
        <v/>
      </c>
      <c r="AQ15" t="str">
        <f>IFERROR(INDEX(Overview!$A$2:$BM$32,MATCH($A15,Overview!$A$2:$A$32,0),MATCH(AQ$2,Overview!$A$2:$BM$2,0)),"")</f>
        <v/>
      </c>
      <c r="AR15" t="str">
        <f>IFERROR(INDEX(Overview!$A$2:$BM$32,MATCH($A15,Overview!$A$2:$A$32,0),MATCH(AR$2,Overview!$A$2:$BM$2,0)),"")</f>
        <v/>
      </c>
      <c r="AS15" t="str">
        <f>IFERROR(INDEX(Overview!$A$2:$BM$32,MATCH($A15,Overview!$A$2:$A$32,0),MATCH(AS$2,Overview!$A$2:$BM$2,0)),"")</f>
        <v/>
      </c>
      <c r="AT15" t="str">
        <f>IFERROR(INDEX(Overview!$A$2:$BM$32,MATCH($A15,Overview!$A$2:$A$32,0),MATCH(AT$2,Overview!$A$2:$BM$2,0)),"")</f>
        <v/>
      </c>
      <c r="AU15" t="str">
        <f>IFERROR(INDEX(Overview!$A$2:$BM$32,MATCH($A15,Overview!$A$2:$A$32,0),MATCH(AU$2,Overview!$A$2:$BM$2,0)),"")</f>
        <v/>
      </c>
      <c r="AV15" t="str">
        <f>IFERROR(INDEX(Overview!$A$2:$BM$32,MATCH($A15,Overview!$A$2:$A$32,0),MATCH(AV$2,Overview!$A$2:$BM$2,0)),"")</f>
        <v/>
      </c>
      <c r="AW15" t="str">
        <f>IFERROR(INDEX(Overview!$A$2:$BM$32,MATCH($A15,Overview!$A$2:$A$32,0),MATCH(AW$2,Overview!$A$2:$BM$2,0)),"")</f>
        <v/>
      </c>
      <c r="AX15" t="str">
        <f>IFERROR(INDEX(Overview!$A$2:$BM$32,MATCH($A15,Overview!$A$2:$A$32,0),MATCH(AX$2,Overview!$A$2:$BM$2,0)),"")</f>
        <v/>
      </c>
      <c r="AY15" t="str">
        <f>IFERROR(INDEX(Overview!$A$2:$BM$32,MATCH($A15,Overview!$A$2:$A$32,0),MATCH(AY$2,Overview!$A$2:$BM$2,0)),"")</f>
        <v/>
      </c>
      <c r="AZ15" t="str">
        <f>IFERROR(INDEX(Overview!$A$2:$BM$32,MATCH($A15,Overview!$A$2:$A$32,0),MATCH(AZ$2,Overview!$A$2:$BM$2,0)),"")</f>
        <v/>
      </c>
      <c r="BA15" s="79" t="str">
        <f>IFERROR(INDEX(Overview!$A$2:$BM$32,MATCH($A15,Overview!$A$2:$A$32,0),MATCH(BA$2,Overview!$A$2:$BM$2,0)),"")</f>
        <v/>
      </c>
      <c r="BB15" s="79" t="str">
        <f>IFERROR(INDEX(Overview!$A$2:$BM$32,MATCH($A15,Overview!$A$2:$A$32,0),MATCH(BB$2,Overview!$A$2:$BM$2,0)),"")</f>
        <v/>
      </c>
      <c r="BC15" s="79" t="str">
        <f>IFERROR(INDEX(Overview!$A$2:$BM$32,MATCH($A15,Overview!$A$2:$A$32,0),MATCH(BC$2,Overview!$A$2:$BM$2,0)),"")</f>
        <v/>
      </c>
      <c r="BD15" s="79" t="str">
        <f>IFERROR(INDEX(Overview!$A$2:$BM$32,MATCH($A15,Overview!$A$2:$A$32,0),MATCH(BD$2,Overview!$A$2:$BM$2,0)),"")</f>
        <v/>
      </c>
      <c r="BE15" s="79" t="str">
        <f>IFERROR(INDEX(Overview!$A$2:$BM$32,MATCH($A15,Overview!$A$2:$A$32,0),MATCH(BE$2,Overview!$A$2:$BM$2,0)),"")</f>
        <v/>
      </c>
      <c r="BF15" s="79" t="str">
        <f>IFERROR(INDEX(Overview!$A$2:$BM$32,MATCH($A15,Overview!$A$2:$A$32,0),MATCH(BF$2,Overview!$A$2:$BM$2,0)),"")</f>
        <v/>
      </c>
      <c r="BG15" s="79" t="str">
        <f>IFERROR(INDEX(Overview!$A$2:$BM$32,MATCH($A15,Overview!$A$2:$A$32,0),MATCH(BG$2,Overview!$A$2:$BM$2,0)),"")</f>
        <v/>
      </c>
      <c r="BH15" s="79" t="str">
        <f>IFERROR(INDEX(Overview!$A$2:$BM$32,MATCH($A15,Overview!$A$2:$A$32,0),MATCH(BH$2,Overview!$A$2:$BM$2,0)),"")</f>
        <v/>
      </c>
      <c r="BI15" s="79" t="str">
        <f>IFERROR(INDEX(Overview!$A$2:$BM$32,MATCH($A15,Overview!$A$2:$A$32,0),MATCH(BI$2,Overview!$A$2:$BM$2,0)),"")</f>
        <v/>
      </c>
      <c r="BJ15" s="79" t="str">
        <f>IFERROR(INDEX(Overview!$A$2:$BM$32,MATCH($A15,Overview!$A$2:$A$32,0),MATCH(BJ$2,Overview!$A$2:$BM$2,0)),"")</f>
        <v/>
      </c>
      <c r="BK15" s="79" t="str">
        <f>IFERROR(INDEX(Overview!$A$2:$BM$32,MATCH($A15,Overview!$A$2:$A$32,0),MATCH(BK$2,Overview!$A$2:$BM$2,0)),"")</f>
        <v/>
      </c>
      <c r="BL15" s="80" t="str">
        <f>IFERROR(INDEX(Overview!$A$2:$BM$32,MATCH($A15,Overview!$A$2:$A$32,0),MATCH(BL$2,Overview!$A$2:$BM$2,0)+11),"")</f>
        <v/>
      </c>
      <c r="BM15" s="80" t="str">
        <f>IFERROR(INDEX(Overview!$A$2:$BM$32,MATCH($A15,Overview!$A$2:$A$32,0),MATCH(BM$2,Overview!$A$2:$BM$2,0)+11),"")</f>
        <v/>
      </c>
      <c r="BN15" s="80" t="str">
        <f>IFERROR(INDEX(Overview!$A$2:$BM$32,MATCH($A15,Overview!$A$2:$A$32,0),MATCH(BN$2,Overview!$A$2:$BM$2,0)+11),"")</f>
        <v/>
      </c>
      <c r="BO15" s="80" t="str">
        <f>IFERROR(INDEX(Overview!$A$2:$BM$32,MATCH($A15,Overview!$A$2:$A$32,0),MATCH(BO$2,Overview!$A$2:$BM$2,0)+11),"")</f>
        <v/>
      </c>
      <c r="BP15" s="80" t="str">
        <f>IFERROR(INDEX(Overview!$A$2:$BM$32,MATCH($A15,Overview!$A$2:$A$32,0),MATCH(BP$2,Overview!$A$2:$BM$2,0)+11),"")</f>
        <v/>
      </c>
      <c r="BQ15" s="80" t="str">
        <f>IFERROR(INDEX(Overview!$A$2:$BM$32,MATCH($A15,Overview!$A$2:$A$32,0),MATCH(BQ$2,Overview!$A$2:$BM$2,0)+11),"")</f>
        <v/>
      </c>
      <c r="BR15" s="80" t="str">
        <f>IFERROR(INDEX(Overview!$A$2:$BM$32,MATCH($A15,Overview!$A$2:$A$32,0),MATCH(BR$2,Overview!$A$2:$BM$2,0)+11),"")</f>
        <v/>
      </c>
      <c r="BS15" s="80" t="str">
        <f>IFERROR(INDEX(Overview!$A$2:$BM$32,MATCH($A15,Overview!$A$2:$A$32,0),MATCH(BS$2,Overview!$A$2:$BM$2,0)+11),"")</f>
        <v/>
      </c>
      <c r="BT15" s="80" t="str">
        <f>IFERROR(INDEX(Overview!$A$2:$BM$32,MATCH($A15,Overview!$A$2:$A$32,0),MATCH(BT$2,Overview!$A$2:$BM$2,0)+11),"")</f>
        <v/>
      </c>
      <c r="BU15" s="80" t="str">
        <f>IFERROR(INDEX(Overview!$A$2:$BM$32,MATCH($A15,Overview!$A$2:$A$32,0),MATCH(BU$2,Overview!$A$2:$BM$2,0)+11),"")</f>
        <v/>
      </c>
      <c r="BV15" s="80" t="str">
        <f>IFERROR(INDEX(Overview!$A$2:$BM$32,MATCH($A15,Overview!$A$2:$A$32,0),MATCH(BV$2,Overview!$A$2:$BM$2,0)+11),"")</f>
        <v/>
      </c>
      <c r="BW15" s="82" t="str">
        <f t="shared" si="16"/>
        <v/>
      </c>
      <c r="BX15" s="82" t="str">
        <f t="shared" si="17"/>
        <v/>
      </c>
      <c r="BY15" s="82" t="str">
        <f t="shared" si="18"/>
        <v/>
      </c>
      <c r="BZ15" s="82" t="str">
        <f t="shared" si="19"/>
        <v/>
      </c>
      <c r="CA15" s="82" t="str">
        <f t="shared" si="20"/>
        <v/>
      </c>
      <c r="CB15" s="82" t="str">
        <f t="shared" si="21"/>
        <v/>
      </c>
      <c r="CC15" s="82" t="str">
        <f t="shared" si="22"/>
        <v/>
      </c>
      <c r="CD15" s="82" t="str">
        <f t="shared" si="23"/>
        <v/>
      </c>
      <c r="CE15" s="82" t="str">
        <f t="shared" si="24"/>
        <v/>
      </c>
      <c r="CF15" s="82" t="str">
        <f t="shared" si="25"/>
        <v/>
      </c>
      <c r="CG15" s="82" t="str">
        <f t="shared" si="26"/>
        <v/>
      </c>
      <c r="CH15" s="83" t="str">
        <f t="shared" si="38"/>
        <v/>
      </c>
      <c r="CI15" s="83" t="str">
        <f t="shared" si="39"/>
        <v/>
      </c>
      <c r="CJ15" s="83" t="str">
        <f t="shared" si="40"/>
        <v/>
      </c>
      <c r="CK15" s="83" t="str">
        <f t="shared" si="41"/>
        <v/>
      </c>
      <c r="CL15" s="83" t="str">
        <f t="shared" si="42"/>
        <v/>
      </c>
      <c r="CM15" s="83" t="str">
        <f t="shared" si="43"/>
        <v/>
      </c>
      <c r="CN15" s="83" t="str">
        <f t="shared" si="44"/>
        <v/>
      </c>
      <c r="CO15" s="83" t="str">
        <f t="shared" si="45"/>
        <v/>
      </c>
      <c r="CP15" s="83" t="str">
        <f t="shared" si="46"/>
        <v/>
      </c>
      <c r="CQ15" s="83" t="str">
        <f t="shared" si="47"/>
        <v/>
      </c>
      <c r="CR15" s="83" t="str">
        <f t="shared" si="48"/>
        <v/>
      </c>
      <c r="CV15">
        <f>Overview!BO14</f>
        <v>231.86793755735772</v>
      </c>
      <c r="CW15">
        <f>Overview!BP14</f>
        <v>18</v>
      </c>
      <c r="CX15" t="e">
        <f>Overview!BQ14</f>
        <v>#N/A</v>
      </c>
      <c r="CY15" t="e">
        <f>Overview!BR14</f>
        <v>#N/A</v>
      </c>
      <c r="CZ15" t="e">
        <f>Overview!BS14</f>
        <v>#N/A</v>
      </c>
      <c r="DA15" t="e">
        <f>Overview!BT14</f>
        <v>#N/A</v>
      </c>
      <c r="DB15" t="e">
        <f>Overview!BU14</f>
        <v>#N/A</v>
      </c>
      <c r="DC15" t="e">
        <f>Overview!BV14</f>
        <v>#N/A</v>
      </c>
      <c r="DD15" t="e">
        <f>Overview!BW14</f>
        <v>#N/A</v>
      </c>
      <c r="DE15" t="e">
        <f>Overview!BX14</f>
        <v>#N/A</v>
      </c>
      <c r="DF15" t="e">
        <f>Overview!BY14</f>
        <v>#N/A</v>
      </c>
      <c r="DG15" t="e">
        <f>Overview!BZ14</f>
        <v>#N/A</v>
      </c>
      <c r="DM15">
        <f t="shared" si="28"/>
        <v>0</v>
      </c>
      <c r="DN15">
        <f t="shared" si="29"/>
        <v>0</v>
      </c>
      <c r="DP15">
        <f t="shared" ca="1" si="49"/>
        <v>1</v>
      </c>
      <c r="DQ15" t="str">
        <f t="shared" ca="1" si="30"/>
        <v/>
      </c>
      <c r="DR15" t="str">
        <f t="shared" ca="1" si="50"/>
        <v/>
      </c>
      <c r="DS15" t="str">
        <f t="shared" ca="1" si="31"/>
        <v/>
      </c>
      <c r="DT15" t="str">
        <f t="shared" ca="1" si="51"/>
        <v/>
      </c>
      <c r="DU15">
        <f t="shared" ca="1" si="52"/>
        <v>1</v>
      </c>
      <c r="DV15" t="str">
        <f t="shared" si="32"/>
        <v/>
      </c>
      <c r="DW15" t="str">
        <f t="shared" si="53"/>
        <v/>
      </c>
      <c r="DX15" t="str">
        <f t="shared" si="64"/>
        <v/>
      </c>
      <c r="DZ15" t="str">
        <f t="shared" ca="1" si="54"/>
        <v/>
      </c>
      <c r="EA15" t="str">
        <f t="shared" ca="1" si="55"/>
        <v/>
      </c>
      <c r="EB15" s="84" t="str">
        <f t="shared" ca="1" si="56"/>
        <v/>
      </c>
      <c r="EC15" s="1" t="str">
        <f t="shared" ca="1" si="33"/>
        <v/>
      </c>
      <c r="ED15" t="str">
        <f t="shared" ca="1" si="57"/>
        <v/>
      </c>
      <c r="EE15" t="str">
        <f t="shared" ca="1" si="58"/>
        <v/>
      </c>
      <c r="EF15" t="str">
        <f t="shared" ca="1" si="59"/>
        <v/>
      </c>
      <c r="EJ15" t="str">
        <f ca="1">'538'!Q20</f>
        <v/>
      </c>
      <c r="EK15" t="str">
        <f ca="1">'538'!T20</f>
        <v/>
      </c>
    </row>
    <row r="16" spans="1:141" ht="15.75" thickBot="1" x14ac:dyDescent="0.3">
      <c r="A16" s="28" t="str">
        <f>IFERROR(INDEX(Overview!$A$3:$B$32,MATCH(Bet!$C16,Overview!$B$3:$B$32,0),1),"X")</f>
        <v>X</v>
      </c>
      <c r="B16" s="28" t="str">
        <f>IF(ISBLANK(C16),"",IFERROR(INDEX(Pitchers[],MATCH(F16,Pitchers[Player],0),MATCH(G$2,Pitchers[#Headers],0)),"X"))</f>
        <v/>
      </c>
      <c r="C16" s="4"/>
      <c r="D16" s="10"/>
      <c r="E16" s="96"/>
      <c r="F16" s="51"/>
      <c r="G16" s="48">
        <f>IFERROR(INDEX(Pitchers[],MATCH(Bet!F16,Pitchers[Player],0),MATCH(G$2,Pitchers[#Headers],0)),PlayerPitching!$AD$12)</f>
        <v>-0.13933069723404246</v>
      </c>
      <c r="H16" s="48" t="str">
        <f>IF(ISNUMBER(CODE(C16)),INDEX(Scores!$P$2:$T$33,MATCH($C16,Scores!$R$2:$R$33,0),4),"")</f>
        <v/>
      </c>
      <c r="I16" s="48" t="str">
        <f>IF(ISNUMBER(CODE(C16)),IF(INDEX(Scores!$P$2:$T$33,MATCH($C16,Scores!$R$2:$R$33,0),5)=0,1,INDEX(Scores!$P$2:$T$33,MATCH($C16,Scores!$R$2:$R$33,0),5)),"")</f>
        <v/>
      </c>
      <c r="J16" s="48">
        <f t="shared" si="1"/>
        <v>-1.9641098805067554</v>
      </c>
      <c r="K16" s="49">
        <f t="shared" si="2"/>
        <v>-9.4751509617551655</v>
      </c>
      <c r="L16" s="49">
        <f t="shared" si="3"/>
        <v>16.909645863110409</v>
      </c>
      <c r="M16" s="49">
        <f t="shared" si="4"/>
        <v>10.056673523576878</v>
      </c>
      <c r="N16" s="49">
        <f t="shared" si="5"/>
        <v>9.3029121378439612</v>
      </c>
      <c r="O16" s="49">
        <f t="shared" si="6"/>
        <v>2.0342481123324334</v>
      </c>
      <c r="P16" s="49">
        <f t="shared" si="7"/>
        <v>5.6685801250881971</v>
      </c>
      <c r="Q16" s="49" t="str">
        <f>IFERROR(_xlfn.NORM.INV(INDEX(Scores!$P$2:$U$33,MATCH($C16,Scores!$R$2:$R$33,0),6),H16,I16),"")</f>
        <v/>
      </c>
      <c r="R16" s="49" t="str">
        <f t="shared" si="8"/>
        <v/>
      </c>
      <c r="S16" s="49" t="str">
        <f t="shared" si="9"/>
        <v/>
      </c>
      <c r="T16" s="49" t="str">
        <f t="shared" si="34"/>
        <v/>
      </c>
      <c r="U16" s="96"/>
      <c r="V16" s="68" t="str">
        <f t="shared" si="11"/>
        <v/>
      </c>
      <c r="W16" s="65" t="str">
        <f t="shared" si="12"/>
        <v/>
      </c>
      <c r="X16" s="51" t="str">
        <f t="shared" si="13"/>
        <v/>
      </c>
      <c r="Y16" s="48" t="str">
        <f t="shared" si="35"/>
        <v/>
      </c>
      <c r="Z16" s="48" t="str">
        <f ca="1">IFERROR(INDEX('538'!$Q$9:$U$190,MATCH(Bet!$C16,'538'!$Q$9:$Q$190,0),5),"")</f>
        <v/>
      </c>
      <c r="AA16" t="str">
        <f t="shared" si="36"/>
        <v/>
      </c>
      <c r="AB16">
        <f t="shared" si="14"/>
        <v>0</v>
      </c>
      <c r="AC16" t="str">
        <f t="shared" ca="1" si="37"/>
        <v/>
      </c>
      <c r="AD16" t="str">
        <f t="shared" si="15"/>
        <v/>
      </c>
      <c r="AE16" t="str">
        <f>IFERROR(INDEX(Overview!$A$2:$BF$32,MATCH($A16,Overview!$A$2:$A$32,0),MATCH(AE$2,Overview!$A$2:$BF$2,0)),"")</f>
        <v/>
      </c>
      <c r="AF16" t="str">
        <f>IFERROR(INDEX(Overview!$A$2:$BF$32,MATCH($A16,Overview!$A$2:$A$32,0),MATCH(AF$2,Overview!$A$2:$BF$2,0)),"")</f>
        <v/>
      </c>
      <c r="AG16" t="str">
        <f>IFERROR(INDEX(Overview!$A$2:$BF$32,MATCH($A16,Overview!$A$2:$A$32,0),MATCH(AG$2,Overview!$A$2:$BF$2,0)),"")</f>
        <v/>
      </c>
      <c r="AH16" t="str">
        <f>IFERROR(INDEX(Overview!$A$2:$BF$32,MATCH($A16,Overview!$A$2:$A$32,0),MATCH(AH$2,Overview!$A$2:$BF$2,0)),"")</f>
        <v/>
      </c>
      <c r="AI16" t="str">
        <f>IFERROR(INDEX(Overview!$A$2:$BF$32,MATCH($A16,Overview!$A$2:$A$32,0),MATCH(AI$2,Overview!$A$2:$BF$2,0)),"")</f>
        <v/>
      </c>
      <c r="AJ16" t="str">
        <f>IFERROR(INDEX(Overview!$A$2:$BF$32,MATCH($A16,Overview!$A$2:$A$32,0),MATCH(AJ$2,Overview!$A$2:$BF$2,0)),"")</f>
        <v/>
      </c>
      <c r="AK16" t="str">
        <f>IFERROR(INDEX(Overview!$A$2:$BF$32,MATCH($A16,Overview!$A$2:$A$32,0),MATCH(AK$2,Overview!$A$2:$BF$2,0)),"")</f>
        <v/>
      </c>
      <c r="AL16" t="str">
        <f>IFERROR(INDEX(Overview!$A$2:$BF$32,MATCH($A16,Overview!$A$2:$A$32,0),MATCH(AL$2,Overview!$A$2:$BF$2,0)),"")</f>
        <v/>
      </c>
      <c r="AM16" t="str">
        <f>IFERROR(INDEX(Overview!$A$2:$BF$32,MATCH($A16,Overview!$A$2:$A$32,0),MATCH(AM$2,Overview!$A$2:$BF$2,0)),"")</f>
        <v/>
      </c>
      <c r="AN16" t="str">
        <f>IFERROR(INDEX(Overview!$A$2:$BF$32,MATCH($A16,Overview!$A$2:$A$32,0),MATCH(AN$2,Overview!$A$2:$BF$2,0)),"")</f>
        <v/>
      </c>
      <c r="AO16" t="str">
        <f>IFERROR(INDEX(Overview!$A$2:$BF$32,MATCH($A16,Overview!$A$2:$A$32,0),MATCH(AO$2,Overview!$A$2:$BF$2,0)),"")</f>
        <v/>
      </c>
      <c r="AP16" t="str">
        <f>IFERROR(INDEX(Overview!$A$2:$BM$32,MATCH($A16,Overview!$A$2:$A$32,0),MATCH(AP$2,Overview!$A$2:$BM$2,0)),"")</f>
        <v/>
      </c>
      <c r="AQ16" t="str">
        <f>IFERROR(INDEX(Overview!$A$2:$BM$32,MATCH($A16,Overview!$A$2:$A$32,0),MATCH(AQ$2,Overview!$A$2:$BM$2,0)),"")</f>
        <v/>
      </c>
      <c r="AR16" t="str">
        <f>IFERROR(INDEX(Overview!$A$2:$BM$32,MATCH($A16,Overview!$A$2:$A$32,0),MATCH(AR$2,Overview!$A$2:$BM$2,0)),"")</f>
        <v/>
      </c>
      <c r="AS16" t="str">
        <f>IFERROR(INDEX(Overview!$A$2:$BM$32,MATCH($A16,Overview!$A$2:$A$32,0),MATCH(AS$2,Overview!$A$2:$BM$2,0)),"")</f>
        <v/>
      </c>
      <c r="AT16" t="str">
        <f>IFERROR(INDEX(Overview!$A$2:$BM$32,MATCH($A16,Overview!$A$2:$A$32,0),MATCH(AT$2,Overview!$A$2:$BM$2,0)),"")</f>
        <v/>
      </c>
      <c r="AU16" t="str">
        <f>IFERROR(INDEX(Overview!$A$2:$BM$32,MATCH($A16,Overview!$A$2:$A$32,0),MATCH(AU$2,Overview!$A$2:$BM$2,0)),"")</f>
        <v/>
      </c>
      <c r="AV16" t="str">
        <f>IFERROR(INDEX(Overview!$A$2:$BM$32,MATCH($A16,Overview!$A$2:$A$32,0),MATCH(AV$2,Overview!$A$2:$BM$2,0)),"")</f>
        <v/>
      </c>
      <c r="AW16" t="str">
        <f>IFERROR(INDEX(Overview!$A$2:$BM$32,MATCH($A16,Overview!$A$2:$A$32,0),MATCH(AW$2,Overview!$A$2:$BM$2,0)),"")</f>
        <v/>
      </c>
      <c r="AX16" t="str">
        <f>IFERROR(INDEX(Overview!$A$2:$BM$32,MATCH($A16,Overview!$A$2:$A$32,0),MATCH(AX$2,Overview!$A$2:$BM$2,0)),"")</f>
        <v/>
      </c>
      <c r="AY16" t="str">
        <f>IFERROR(INDEX(Overview!$A$2:$BM$32,MATCH($A16,Overview!$A$2:$A$32,0),MATCH(AY$2,Overview!$A$2:$BM$2,0)),"")</f>
        <v/>
      </c>
      <c r="AZ16" t="str">
        <f>IFERROR(INDEX(Overview!$A$2:$BM$32,MATCH($A16,Overview!$A$2:$A$32,0),MATCH(AZ$2,Overview!$A$2:$BM$2,0)),"")</f>
        <v/>
      </c>
      <c r="BA16" s="79" t="str">
        <f>IFERROR(INDEX(Overview!$A$2:$BM$32,MATCH($A16,Overview!$A$2:$A$32,0),MATCH(BA$2,Overview!$A$2:$BM$2,0)),"")</f>
        <v/>
      </c>
      <c r="BB16" s="79" t="str">
        <f>IFERROR(INDEX(Overview!$A$2:$BM$32,MATCH($A16,Overview!$A$2:$A$32,0),MATCH(BB$2,Overview!$A$2:$BM$2,0)),"")</f>
        <v/>
      </c>
      <c r="BC16" s="79" t="str">
        <f>IFERROR(INDEX(Overview!$A$2:$BM$32,MATCH($A16,Overview!$A$2:$A$32,0),MATCH(BC$2,Overview!$A$2:$BM$2,0)),"")</f>
        <v/>
      </c>
      <c r="BD16" s="79" t="str">
        <f>IFERROR(INDEX(Overview!$A$2:$BM$32,MATCH($A16,Overview!$A$2:$A$32,0),MATCH(BD$2,Overview!$A$2:$BM$2,0)),"")</f>
        <v/>
      </c>
      <c r="BE16" s="79" t="str">
        <f>IFERROR(INDEX(Overview!$A$2:$BM$32,MATCH($A16,Overview!$A$2:$A$32,0),MATCH(BE$2,Overview!$A$2:$BM$2,0)),"")</f>
        <v/>
      </c>
      <c r="BF16" s="79" t="str">
        <f>IFERROR(INDEX(Overview!$A$2:$BM$32,MATCH($A16,Overview!$A$2:$A$32,0),MATCH(BF$2,Overview!$A$2:$BM$2,0)),"")</f>
        <v/>
      </c>
      <c r="BG16" s="79" t="str">
        <f>IFERROR(INDEX(Overview!$A$2:$BM$32,MATCH($A16,Overview!$A$2:$A$32,0),MATCH(BG$2,Overview!$A$2:$BM$2,0)),"")</f>
        <v/>
      </c>
      <c r="BH16" s="79" t="str">
        <f>IFERROR(INDEX(Overview!$A$2:$BM$32,MATCH($A16,Overview!$A$2:$A$32,0),MATCH(BH$2,Overview!$A$2:$BM$2,0)),"")</f>
        <v/>
      </c>
      <c r="BI16" s="79" t="str">
        <f>IFERROR(INDEX(Overview!$A$2:$BM$32,MATCH($A16,Overview!$A$2:$A$32,0),MATCH(BI$2,Overview!$A$2:$BM$2,0)),"")</f>
        <v/>
      </c>
      <c r="BJ16" s="79" t="str">
        <f>IFERROR(INDEX(Overview!$A$2:$BM$32,MATCH($A16,Overview!$A$2:$A$32,0),MATCH(BJ$2,Overview!$A$2:$BM$2,0)),"")</f>
        <v/>
      </c>
      <c r="BK16" s="79" t="str">
        <f>IFERROR(INDEX(Overview!$A$2:$BM$32,MATCH($A16,Overview!$A$2:$A$32,0),MATCH(BK$2,Overview!$A$2:$BM$2,0)),"")</f>
        <v/>
      </c>
      <c r="BL16" s="80" t="str">
        <f>IFERROR(INDEX(Overview!$A$2:$BM$32,MATCH($A16,Overview!$A$2:$A$32,0),MATCH(BL$2,Overview!$A$2:$BM$2,0)+11),"")</f>
        <v/>
      </c>
      <c r="BM16" s="80" t="str">
        <f>IFERROR(INDEX(Overview!$A$2:$BM$32,MATCH($A16,Overview!$A$2:$A$32,0),MATCH(BM$2,Overview!$A$2:$BM$2,0)+11),"")</f>
        <v/>
      </c>
      <c r="BN16" s="80" t="str">
        <f>IFERROR(INDEX(Overview!$A$2:$BM$32,MATCH($A16,Overview!$A$2:$A$32,0),MATCH(BN$2,Overview!$A$2:$BM$2,0)+11),"")</f>
        <v/>
      </c>
      <c r="BO16" s="80" t="str">
        <f>IFERROR(INDEX(Overview!$A$2:$BM$32,MATCH($A16,Overview!$A$2:$A$32,0),MATCH(BO$2,Overview!$A$2:$BM$2,0)+11),"")</f>
        <v/>
      </c>
      <c r="BP16" s="80" t="str">
        <f>IFERROR(INDEX(Overview!$A$2:$BM$32,MATCH($A16,Overview!$A$2:$A$32,0),MATCH(BP$2,Overview!$A$2:$BM$2,0)+11),"")</f>
        <v/>
      </c>
      <c r="BQ16" s="80" t="str">
        <f>IFERROR(INDEX(Overview!$A$2:$BM$32,MATCH($A16,Overview!$A$2:$A$32,0),MATCH(BQ$2,Overview!$A$2:$BM$2,0)+11),"")</f>
        <v/>
      </c>
      <c r="BR16" s="80" t="str">
        <f>IFERROR(INDEX(Overview!$A$2:$BM$32,MATCH($A16,Overview!$A$2:$A$32,0),MATCH(BR$2,Overview!$A$2:$BM$2,0)+11),"")</f>
        <v/>
      </c>
      <c r="BS16" s="80" t="str">
        <f>IFERROR(INDEX(Overview!$A$2:$BM$32,MATCH($A16,Overview!$A$2:$A$32,0),MATCH(BS$2,Overview!$A$2:$BM$2,0)+11),"")</f>
        <v/>
      </c>
      <c r="BT16" s="80" t="str">
        <f>IFERROR(INDEX(Overview!$A$2:$BM$32,MATCH($A16,Overview!$A$2:$A$32,0),MATCH(BT$2,Overview!$A$2:$BM$2,0)+11),"")</f>
        <v/>
      </c>
      <c r="BU16" s="80" t="str">
        <f>IFERROR(INDEX(Overview!$A$2:$BM$32,MATCH($A16,Overview!$A$2:$A$32,0),MATCH(BU$2,Overview!$A$2:$BM$2,0)+11),"")</f>
        <v/>
      </c>
      <c r="BV16" s="80" t="str">
        <f>IFERROR(INDEX(Overview!$A$2:$BM$32,MATCH($A16,Overview!$A$2:$A$32,0),MATCH(BV$2,Overview!$A$2:$BM$2,0)+11),"")</f>
        <v/>
      </c>
      <c r="BW16" s="82" t="str">
        <f t="shared" si="16"/>
        <v/>
      </c>
      <c r="BX16" s="82" t="str">
        <f t="shared" si="17"/>
        <v/>
      </c>
      <c r="BY16" s="82" t="str">
        <f t="shared" si="18"/>
        <v/>
      </c>
      <c r="BZ16" s="82" t="str">
        <f t="shared" si="19"/>
        <v/>
      </c>
      <c r="CA16" s="82" t="str">
        <f t="shared" si="20"/>
        <v/>
      </c>
      <c r="CB16" s="82" t="str">
        <f t="shared" si="21"/>
        <v/>
      </c>
      <c r="CC16" s="82" t="str">
        <f t="shared" si="22"/>
        <v/>
      </c>
      <c r="CD16" s="82" t="str">
        <f t="shared" si="23"/>
        <v/>
      </c>
      <c r="CE16" s="82" t="str">
        <f t="shared" si="24"/>
        <v/>
      </c>
      <c r="CF16" s="82" t="str">
        <f t="shared" si="25"/>
        <v/>
      </c>
      <c r="CG16" s="82" t="str">
        <f t="shared" si="26"/>
        <v/>
      </c>
      <c r="CH16" s="83" t="str">
        <f t="shared" si="38"/>
        <v/>
      </c>
      <c r="CI16" s="83" t="str">
        <f t="shared" si="39"/>
        <v/>
      </c>
      <c r="CJ16" s="83" t="str">
        <f t="shared" si="40"/>
        <v/>
      </c>
      <c r="CK16" s="83" t="str">
        <f t="shared" si="41"/>
        <v/>
      </c>
      <c r="CL16" s="83" t="str">
        <f t="shared" si="42"/>
        <v/>
      </c>
      <c r="CM16" s="83" t="str">
        <f t="shared" si="43"/>
        <v/>
      </c>
      <c r="CN16" s="83" t="str">
        <f t="shared" si="44"/>
        <v/>
      </c>
      <c r="CO16" s="83" t="str">
        <f t="shared" si="45"/>
        <v/>
      </c>
      <c r="CP16" s="83" t="str">
        <f t="shared" si="46"/>
        <v/>
      </c>
      <c r="CQ16" s="83" t="str">
        <f t="shared" si="47"/>
        <v/>
      </c>
      <c r="CR16" s="83" t="str">
        <f t="shared" si="48"/>
        <v/>
      </c>
      <c r="CV16">
        <f>Overview!BO15</f>
        <v>10.447339896204813</v>
      </c>
      <c r="CW16">
        <f>Overview!BP15</f>
        <v>7.3730103795189933E-2</v>
      </c>
      <c r="CX16" t="e">
        <f>Overview!BQ15</f>
        <v>#N/A</v>
      </c>
      <c r="CY16" t="e">
        <f>Overview!BR15</f>
        <v>#N/A</v>
      </c>
      <c r="CZ16" t="e">
        <f>Overview!BS15</f>
        <v>#N/A</v>
      </c>
      <c r="DA16" t="e">
        <f>Overview!BT15</f>
        <v>#N/A</v>
      </c>
      <c r="DB16" t="e">
        <f>Overview!BU15</f>
        <v>#N/A</v>
      </c>
      <c r="DC16" t="e">
        <f>Overview!BV15</f>
        <v>#N/A</v>
      </c>
      <c r="DD16" t="e">
        <f>Overview!BW15</f>
        <v>#N/A</v>
      </c>
      <c r="DE16" t="e">
        <f>Overview!BX15</f>
        <v>#N/A</v>
      </c>
      <c r="DF16" t="e">
        <f>Overview!BY15</f>
        <v>#N/A</v>
      </c>
      <c r="DG16" t="e">
        <f>Overview!BZ15</f>
        <v>#N/A</v>
      </c>
      <c r="DM16">
        <f t="shared" si="28"/>
        <v>0</v>
      </c>
      <c r="DN16">
        <f t="shared" si="29"/>
        <v>0</v>
      </c>
      <c r="DP16">
        <f t="shared" ca="1" si="49"/>
        <v>1</v>
      </c>
      <c r="DQ16" t="str">
        <f t="shared" ca="1" si="30"/>
        <v/>
      </c>
      <c r="DR16" t="str">
        <f t="shared" ca="1" si="50"/>
        <v/>
      </c>
      <c r="DS16" t="str">
        <f t="shared" ca="1" si="31"/>
        <v/>
      </c>
      <c r="DT16" t="str">
        <f t="shared" ca="1" si="51"/>
        <v/>
      </c>
      <c r="DU16">
        <f t="shared" ca="1" si="52"/>
        <v>1</v>
      </c>
      <c r="DV16" t="str">
        <f t="shared" si="32"/>
        <v/>
      </c>
      <c r="DW16" t="str">
        <f t="shared" si="53"/>
        <v/>
      </c>
      <c r="DX16" t="str">
        <f t="shared" si="64"/>
        <v/>
      </c>
      <c r="DZ16" t="str">
        <f t="shared" ca="1" si="54"/>
        <v/>
      </c>
      <c r="EA16" t="str">
        <f t="shared" ca="1" si="55"/>
        <v/>
      </c>
      <c r="EB16" s="84" t="str">
        <f t="shared" ca="1" si="56"/>
        <v/>
      </c>
      <c r="EC16" s="1" t="str">
        <f t="shared" ca="1" si="33"/>
        <v/>
      </c>
      <c r="ED16" t="str">
        <f t="shared" ca="1" si="57"/>
        <v/>
      </c>
      <c r="EE16" t="str">
        <f t="shared" ca="1" si="58"/>
        <v/>
      </c>
      <c r="EF16" t="str">
        <f t="shared" ca="1" si="59"/>
        <v/>
      </c>
      <c r="EJ16" t="str">
        <f ca="1">'538'!Q21</f>
        <v/>
      </c>
      <c r="EK16" t="str">
        <f ca="1">'538'!T21</f>
        <v/>
      </c>
    </row>
    <row r="17" spans="1:141" x14ac:dyDescent="0.25">
      <c r="A17" s="28" t="str">
        <f>IFERROR(INDEX(Overview!$A$3:$B$32,MATCH(Bet!$C17,Overview!$B$3:$B$32,0),1),"X")</f>
        <v>X</v>
      </c>
      <c r="B17" s="28" t="str">
        <f>IF(ISBLANK(C17),"",IFERROR(INDEX(Pitchers[],MATCH(F17,Pitchers[Player],0),MATCH(G$2,Pitchers[#Headers],0)),"X"))</f>
        <v/>
      </c>
      <c r="C17" s="2"/>
      <c r="D17" s="3"/>
      <c r="E17" s="95"/>
      <c r="F17" s="50"/>
      <c r="G17" s="48">
        <f>IFERROR(INDEX(Pitchers[],MATCH(Bet!F17,Pitchers[Player],0),MATCH(G$2,Pitchers[#Headers],0)),PlayerPitching!$AD$12)</f>
        <v>-0.13933069723404246</v>
      </c>
      <c r="H17" s="48" t="str">
        <f>IF(ISNUMBER(CODE(C17)),INDEX(Scores!$P$2:$T$33,MATCH($C17,Scores!$R$2:$R$33,0),4),"")</f>
        <v/>
      </c>
      <c r="I17" s="48" t="str">
        <f>IF(ISNUMBER(CODE(C17)),IF(INDEX(Scores!$P$2:$T$33,MATCH($C17,Scores!$R$2:$R$33,0),5)=0,1,INDEX(Scores!$P$2:$T$33,MATCH($C17,Scores!$R$2:$R$33,0),5)),"")</f>
        <v/>
      </c>
      <c r="J17" s="48">
        <f t="shared" si="1"/>
        <v>-1.9641098805067554</v>
      </c>
      <c r="K17" s="49">
        <f t="shared" si="2"/>
        <v>-9.4751509617551655</v>
      </c>
      <c r="L17" s="49">
        <f t="shared" si="3"/>
        <v>16.909645863110409</v>
      </c>
      <c r="M17" s="49">
        <f t="shared" si="4"/>
        <v>10.056673523576878</v>
      </c>
      <c r="N17" s="49">
        <f t="shared" si="5"/>
        <v>9.3029121378439612</v>
      </c>
      <c r="O17" s="49">
        <f t="shared" si="6"/>
        <v>2.0342481123324334</v>
      </c>
      <c r="P17" s="49">
        <f t="shared" si="7"/>
        <v>5.6685801250881971</v>
      </c>
      <c r="Q17" s="49" t="str">
        <f>IFERROR(_xlfn.NORM.INV(INDEX(Scores!$P$2:$U$33,MATCH($C17,Scores!$R$2:$R$33,0),6),H17,I17),"")</f>
        <v/>
      </c>
      <c r="R17" s="49" t="str">
        <f t="shared" si="8"/>
        <v/>
      </c>
      <c r="S17" s="49" t="str">
        <f t="shared" si="9"/>
        <v/>
      </c>
      <c r="T17" s="49" t="str">
        <f t="shared" si="34"/>
        <v/>
      </c>
      <c r="U17" s="95" t="str">
        <f t="shared" ref="U17:U21" si="67">IFERROR(ROUND(ROUND((R17+R18)*2,0)/2,1)+1.5,"")</f>
        <v/>
      </c>
      <c r="V17" s="67" t="str">
        <f t="shared" si="11"/>
        <v/>
      </c>
      <c r="W17" s="64" t="str">
        <f t="shared" si="12"/>
        <v/>
      </c>
      <c r="X17" s="50" t="str">
        <f t="shared" si="13"/>
        <v/>
      </c>
      <c r="Y17" s="48" t="str">
        <f t="shared" si="35"/>
        <v/>
      </c>
      <c r="Z17" s="48" t="str">
        <f ca="1">IFERROR(INDEX('538'!$Q$9:$U$190,MATCH(Bet!$C17,'538'!$Q$9:$Q$190,0),5),"")</f>
        <v/>
      </c>
      <c r="AA17" t="str">
        <f t="shared" si="36"/>
        <v/>
      </c>
      <c r="AB17">
        <f t="shared" si="14"/>
        <v>0</v>
      </c>
      <c r="AC17" t="str">
        <f t="shared" ca="1" si="37"/>
        <v/>
      </c>
      <c r="AD17" t="str">
        <f t="shared" si="15"/>
        <v/>
      </c>
      <c r="AE17" t="str">
        <f>IFERROR(INDEX(Overview!$A$2:$BF$32,MATCH($A17,Overview!$A$2:$A$32,0),MATCH(AE$2,Overview!$A$2:$BF$2,0)),"")</f>
        <v/>
      </c>
      <c r="AF17" t="str">
        <f>IFERROR(INDEX(Overview!$A$2:$BF$32,MATCH($A17,Overview!$A$2:$A$32,0),MATCH(AF$2,Overview!$A$2:$BF$2,0)),"")</f>
        <v/>
      </c>
      <c r="AG17" t="str">
        <f>IFERROR(INDEX(Overview!$A$2:$BF$32,MATCH($A17,Overview!$A$2:$A$32,0),MATCH(AG$2,Overview!$A$2:$BF$2,0)),"")</f>
        <v/>
      </c>
      <c r="AH17" t="str">
        <f>IFERROR(INDEX(Overview!$A$2:$BF$32,MATCH($A17,Overview!$A$2:$A$32,0),MATCH(AH$2,Overview!$A$2:$BF$2,0)),"")</f>
        <v/>
      </c>
      <c r="AI17" t="str">
        <f>IFERROR(INDEX(Overview!$A$2:$BF$32,MATCH($A17,Overview!$A$2:$A$32,0),MATCH(AI$2,Overview!$A$2:$BF$2,0)),"")</f>
        <v/>
      </c>
      <c r="AJ17" t="str">
        <f>IFERROR(INDEX(Overview!$A$2:$BF$32,MATCH($A17,Overview!$A$2:$A$32,0),MATCH(AJ$2,Overview!$A$2:$BF$2,0)),"")</f>
        <v/>
      </c>
      <c r="AK17" t="str">
        <f>IFERROR(INDEX(Overview!$A$2:$BF$32,MATCH($A17,Overview!$A$2:$A$32,0),MATCH(AK$2,Overview!$A$2:$BF$2,0)),"")</f>
        <v/>
      </c>
      <c r="AL17" t="str">
        <f>IFERROR(INDEX(Overview!$A$2:$BF$32,MATCH($A17,Overview!$A$2:$A$32,0),MATCH(AL$2,Overview!$A$2:$BF$2,0)),"")</f>
        <v/>
      </c>
      <c r="AM17" t="str">
        <f>IFERROR(INDEX(Overview!$A$2:$BF$32,MATCH($A17,Overview!$A$2:$A$32,0),MATCH(AM$2,Overview!$A$2:$BF$2,0)),"")</f>
        <v/>
      </c>
      <c r="AN17" t="str">
        <f>IFERROR(INDEX(Overview!$A$2:$BF$32,MATCH($A17,Overview!$A$2:$A$32,0),MATCH(AN$2,Overview!$A$2:$BF$2,0)),"")</f>
        <v/>
      </c>
      <c r="AO17" t="str">
        <f>IFERROR(INDEX(Overview!$A$2:$BF$32,MATCH($A17,Overview!$A$2:$A$32,0),MATCH(AO$2,Overview!$A$2:$BF$2,0)),"")</f>
        <v/>
      </c>
      <c r="AP17" t="str">
        <f>IFERROR(INDEX(Overview!$A$2:$BM$32,MATCH($A17,Overview!$A$2:$A$32,0),MATCH(AP$2,Overview!$A$2:$BM$2,0)),"")</f>
        <v/>
      </c>
      <c r="AQ17" t="str">
        <f>IFERROR(INDEX(Overview!$A$2:$BM$32,MATCH($A17,Overview!$A$2:$A$32,0),MATCH(AQ$2,Overview!$A$2:$BM$2,0)),"")</f>
        <v/>
      </c>
      <c r="AR17" t="str">
        <f>IFERROR(INDEX(Overview!$A$2:$BM$32,MATCH($A17,Overview!$A$2:$A$32,0),MATCH(AR$2,Overview!$A$2:$BM$2,0)),"")</f>
        <v/>
      </c>
      <c r="AS17" t="str">
        <f>IFERROR(INDEX(Overview!$A$2:$BM$32,MATCH($A17,Overview!$A$2:$A$32,0),MATCH(AS$2,Overview!$A$2:$BM$2,0)),"")</f>
        <v/>
      </c>
      <c r="AT17" t="str">
        <f>IFERROR(INDEX(Overview!$A$2:$BM$32,MATCH($A17,Overview!$A$2:$A$32,0),MATCH(AT$2,Overview!$A$2:$BM$2,0)),"")</f>
        <v/>
      </c>
      <c r="AU17" t="str">
        <f>IFERROR(INDEX(Overview!$A$2:$BM$32,MATCH($A17,Overview!$A$2:$A$32,0),MATCH(AU$2,Overview!$A$2:$BM$2,0)),"")</f>
        <v/>
      </c>
      <c r="AV17" t="str">
        <f>IFERROR(INDEX(Overview!$A$2:$BM$32,MATCH($A17,Overview!$A$2:$A$32,0),MATCH(AV$2,Overview!$A$2:$BM$2,0)),"")</f>
        <v/>
      </c>
      <c r="AW17" t="str">
        <f>IFERROR(INDEX(Overview!$A$2:$BM$32,MATCH($A17,Overview!$A$2:$A$32,0),MATCH(AW$2,Overview!$A$2:$BM$2,0)),"")</f>
        <v/>
      </c>
      <c r="AX17" t="str">
        <f>IFERROR(INDEX(Overview!$A$2:$BM$32,MATCH($A17,Overview!$A$2:$A$32,0),MATCH(AX$2,Overview!$A$2:$BM$2,0)),"")</f>
        <v/>
      </c>
      <c r="AY17" t="str">
        <f>IFERROR(INDEX(Overview!$A$2:$BM$32,MATCH($A17,Overview!$A$2:$A$32,0),MATCH(AY$2,Overview!$A$2:$BM$2,0)),"")</f>
        <v/>
      </c>
      <c r="AZ17" t="str">
        <f>IFERROR(INDEX(Overview!$A$2:$BM$32,MATCH($A17,Overview!$A$2:$A$32,0),MATCH(AZ$2,Overview!$A$2:$BM$2,0)),"")</f>
        <v/>
      </c>
      <c r="BA17" s="79" t="str">
        <f>IFERROR(INDEX(Overview!$A$2:$BM$32,MATCH($A17,Overview!$A$2:$A$32,0),MATCH(BA$2,Overview!$A$2:$BM$2,0)),"")</f>
        <v/>
      </c>
      <c r="BB17" s="79" t="str">
        <f>IFERROR(INDEX(Overview!$A$2:$BM$32,MATCH($A17,Overview!$A$2:$A$32,0),MATCH(BB$2,Overview!$A$2:$BM$2,0)),"")</f>
        <v/>
      </c>
      <c r="BC17" s="79" t="str">
        <f>IFERROR(INDEX(Overview!$A$2:$BM$32,MATCH($A17,Overview!$A$2:$A$32,0),MATCH(BC$2,Overview!$A$2:$BM$2,0)),"")</f>
        <v/>
      </c>
      <c r="BD17" s="79" t="str">
        <f>IFERROR(INDEX(Overview!$A$2:$BM$32,MATCH($A17,Overview!$A$2:$A$32,0),MATCH(BD$2,Overview!$A$2:$BM$2,0)),"")</f>
        <v/>
      </c>
      <c r="BE17" s="79" t="str">
        <f>IFERROR(INDEX(Overview!$A$2:$BM$32,MATCH($A17,Overview!$A$2:$A$32,0),MATCH(BE$2,Overview!$A$2:$BM$2,0)),"")</f>
        <v/>
      </c>
      <c r="BF17" s="79" t="str">
        <f>IFERROR(INDEX(Overview!$A$2:$BM$32,MATCH($A17,Overview!$A$2:$A$32,0),MATCH(BF$2,Overview!$A$2:$BM$2,0)),"")</f>
        <v/>
      </c>
      <c r="BG17" s="79" t="str">
        <f>IFERROR(INDEX(Overview!$A$2:$BM$32,MATCH($A17,Overview!$A$2:$A$32,0),MATCH(BG$2,Overview!$A$2:$BM$2,0)),"")</f>
        <v/>
      </c>
      <c r="BH17" s="79" t="str">
        <f>IFERROR(INDEX(Overview!$A$2:$BM$32,MATCH($A17,Overview!$A$2:$A$32,0),MATCH(BH$2,Overview!$A$2:$BM$2,0)),"")</f>
        <v/>
      </c>
      <c r="BI17" s="79" t="str">
        <f>IFERROR(INDEX(Overview!$A$2:$BM$32,MATCH($A17,Overview!$A$2:$A$32,0),MATCH(BI$2,Overview!$A$2:$BM$2,0)),"")</f>
        <v/>
      </c>
      <c r="BJ17" s="79" t="str">
        <f>IFERROR(INDEX(Overview!$A$2:$BM$32,MATCH($A17,Overview!$A$2:$A$32,0),MATCH(BJ$2,Overview!$A$2:$BM$2,0)),"")</f>
        <v/>
      </c>
      <c r="BK17" s="79" t="str">
        <f>IFERROR(INDEX(Overview!$A$2:$BM$32,MATCH($A17,Overview!$A$2:$A$32,0),MATCH(BK$2,Overview!$A$2:$BM$2,0)),"")</f>
        <v/>
      </c>
      <c r="BL17" s="80" t="str">
        <f>IFERROR(INDEX(Overview!$A$2:$BM$32,MATCH($A17,Overview!$A$2:$A$32,0),MATCH(BL$2,Overview!$A$2:$BM$2,0)+11),"")</f>
        <v/>
      </c>
      <c r="BM17" s="80" t="str">
        <f>IFERROR(INDEX(Overview!$A$2:$BM$32,MATCH($A17,Overview!$A$2:$A$32,0),MATCH(BM$2,Overview!$A$2:$BM$2,0)+11),"")</f>
        <v/>
      </c>
      <c r="BN17" s="80" t="str">
        <f>IFERROR(INDEX(Overview!$A$2:$BM$32,MATCH($A17,Overview!$A$2:$A$32,0),MATCH(BN$2,Overview!$A$2:$BM$2,0)+11),"")</f>
        <v/>
      </c>
      <c r="BO17" s="80" t="str">
        <f>IFERROR(INDEX(Overview!$A$2:$BM$32,MATCH($A17,Overview!$A$2:$A$32,0),MATCH(BO$2,Overview!$A$2:$BM$2,0)+11),"")</f>
        <v/>
      </c>
      <c r="BP17" s="80" t="str">
        <f>IFERROR(INDEX(Overview!$A$2:$BM$32,MATCH($A17,Overview!$A$2:$A$32,0),MATCH(BP$2,Overview!$A$2:$BM$2,0)+11),"")</f>
        <v/>
      </c>
      <c r="BQ17" s="80" t="str">
        <f>IFERROR(INDEX(Overview!$A$2:$BM$32,MATCH($A17,Overview!$A$2:$A$32,0),MATCH(BQ$2,Overview!$A$2:$BM$2,0)+11),"")</f>
        <v/>
      </c>
      <c r="BR17" s="80" t="str">
        <f>IFERROR(INDEX(Overview!$A$2:$BM$32,MATCH($A17,Overview!$A$2:$A$32,0),MATCH(BR$2,Overview!$A$2:$BM$2,0)+11),"")</f>
        <v/>
      </c>
      <c r="BS17" s="80" t="str">
        <f>IFERROR(INDEX(Overview!$A$2:$BM$32,MATCH($A17,Overview!$A$2:$A$32,0),MATCH(BS$2,Overview!$A$2:$BM$2,0)+11),"")</f>
        <v/>
      </c>
      <c r="BT17" s="80" t="str">
        <f>IFERROR(INDEX(Overview!$A$2:$BM$32,MATCH($A17,Overview!$A$2:$A$32,0),MATCH(BT$2,Overview!$A$2:$BM$2,0)+11),"")</f>
        <v/>
      </c>
      <c r="BU17" s="80" t="str">
        <f>IFERROR(INDEX(Overview!$A$2:$BM$32,MATCH($A17,Overview!$A$2:$A$32,0),MATCH(BU$2,Overview!$A$2:$BM$2,0)+11),"")</f>
        <v/>
      </c>
      <c r="BV17" s="80" t="str">
        <f>IFERROR(INDEX(Overview!$A$2:$BM$32,MATCH($A17,Overview!$A$2:$A$32,0),MATCH(BV$2,Overview!$A$2:$BM$2,0)+11),"")</f>
        <v/>
      </c>
      <c r="BW17" s="82" t="str">
        <f t="shared" si="16"/>
        <v/>
      </c>
      <c r="BX17" s="82" t="str">
        <f t="shared" si="17"/>
        <v/>
      </c>
      <c r="BY17" s="82" t="str">
        <f t="shared" si="18"/>
        <v/>
      </c>
      <c r="BZ17" s="82" t="str">
        <f t="shared" si="19"/>
        <v/>
      </c>
      <c r="CA17" s="82" t="str">
        <f t="shared" si="20"/>
        <v/>
      </c>
      <c r="CB17" s="82" t="str">
        <f t="shared" si="21"/>
        <v/>
      </c>
      <c r="CC17" s="82" t="str">
        <f t="shared" si="22"/>
        <v/>
      </c>
      <c r="CD17" s="82" t="str">
        <f t="shared" si="23"/>
        <v/>
      </c>
      <c r="CE17" s="82" t="str">
        <f t="shared" si="24"/>
        <v/>
      </c>
      <c r="CF17" s="82" t="str">
        <f t="shared" si="25"/>
        <v/>
      </c>
      <c r="CG17" s="82" t="str">
        <f t="shared" si="26"/>
        <v/>
      </c>
      <c r="CH17" s="83" t="str">
        <f t="shared" si="38"/>
        <v/>
      </c>
      <c r="CI17" s="83" t="str">
        <f t="shared" si="39"/>
        <v/>
      </c>
      <c r="CJ17" s="83" t="str">
        <f t="shared" si="40"/>
        <v/>
      </c>
      <c r="CK17" s="83" t="str">
        <f t="shared" si="41"/>
        <v/>
      </c>
      <c r="CL17" s="83" t="str">
        <f t="shared" si="42"/>
        <v/>
      </c>
      <c r="CM17" s="83" t="str">
        <f t="shared" si="43"/>
        <v/>
      </c>
      <c r="CN17" s="83" t="str">
        <f t="shared" si="44"/>
        <v/>
      </c>
      <c r="CO17" s="83" t="str">
        <f t="shared" si="45"/>
        <v/>
      </c>
      <c r="CP17" s="83" t="str">
        <f t="shared" si="46"/>
        <v/>
      </c>
      <c r="CQ17" s="83" t="str">
        <f t="shared" si="47"/>
        <v/>
      </c>
      <c r="CR17" s="83" t="str">
        <f t="shared" si="48"/>
        <v/>
      </c>
      <c r="DM17">
        <f t="shared" si="28"/>
        <v>0</v>
      </c>
      <c r="DN17">
        <f t="shared" si="29"/>
        <v>0</v>
      </c>
      <c r="DP17">
        <f t="shared" ca="1" si="49"/>
        <v>1</v>
      </c>
      <c r="DQ17" t="str">
        <f t="shared" ca="1" si="30"/>
        <v/>
      </c>
      <c r="DR17" t="str">
        <f t="shared" ca="1" si="50"/>
        <v/>
      </c>
      <c r="DS17" t="str">
        <f t="shared" ca="1" si="31"/>
        <v/>
      </c>
      <c r="DT17" t="str">
        <f t="shared" ca="1" si="51"/>
        <v/>
      </c>
      <c r="DU17">
        <f t="shared" ca="1" si="52"/>
        <v>1</v>
      </c>
      <c r="DV17" t="str">
        <f t="shared" si="32"/>
        <v/>
      </c>
      <c r="DW17" t="str">
        <f t="shared" si="53"/>
        <v/>
      </c>
      <c r="DX17" t="str">
        <f t="shared" si="64"/>
        <v/>
      </c>
      <c r="DZ17" t="str">
        <f t="shared" ca="1" si="54"/>
        <v/>
      </c>
      <c r="EA17" t="str">
        <f t="shared" ca="1" si="55"/>
        <v/>
      </c>
      <c r="EB17" s="84" t="str">
        <f t="shared" ca="1" si="56"/>
        <v/>
      </c>
      <c r="EC17" s="1" t="str">
        <f t="shared" ca="1" si="33"/>
        <v/>
      </c>
      <c r="ED17" t="str">
        <f t="shared" ca="1" si="57"/>
        <v/>
      </c>
      <c r="EE17" t="str">
        <f t="shared" ca="1" si="58"/>
        <v/>
      </c>
      <c r="EF17" t="str">
        <f t="shared" ca="1" si="59"/>
        <v/>
      </c>
      <c r="EJ17" t="str">
        <f ca="1">'538'!Q22</f>
        <v/>
      </c>
      <c r="EK17" t="str">
        <f ca="1">'538'!T22</f>
        <v/>
      </c>
    </row>
    <row r="18" spans="1:141" ht="15.75" thickBot="1" x14ac:dyDescent="0.3">
      <c r="A18" s="28" t="str">
        <f>IFERROR(INDEX(Overview!$A$3:$B$32,MATCH(Bet!$C18,Overview!$B$3:$B$32,0),1),"X")</f>
        <v>X</v>
      </c>
      <c r="B18" s="28" t="str">
        <f>IF(ISBLANK(C18),"",IFERROR(INDEX(Pitchers[],MATCH(F18,Pitchers[Player],0),MATCH(G$2,Pitchers[#Headers],0)),"X"))</f>
        <v/>
      </c>
      <c r="C18" s="4"/>
      <c r="D18" s="10"/>
      <c r="E18" s="96"/>
      <c r="F18" s="51"/>
      <c r="G18" s="48">
        <f>IFERROR(INDEX(Pitchers[],MATCH(Bet!F18,Pitchers[Player],0),MATCH(G$2,Pitchers[#Headers],0)),PlayerPitching!$AD$12)</f>
        <v>-0.13933069723404246</v>
      </c>
      <c r="H18" s="48" t="str">
        <f>IF(ISNUMBER(CODE(C18)),INDEX(Scores!$P$2:$T$33,MATCH($C18,Scores!$R$2:$R$33,0),4),"")</f>
        <v/>
      </c>
      <c r="I18" s="48" t="str">
        <f>IF(ISNUMBER(CODE(C18)),IF(INDEX(Scores!$P$2:$T$33,MATCH($C18,Scores!$R$2:$R$33,0),5)=0,1,INDEX(Scores!$P$2:$T$33,MATCH($C18,Scores!$R$2:$R$33,0),5)),"")</f>
        <v/>
      </c>
      <c r="J18" s="48">
        <f t="shared" si="1"/>
        <v>-1.9641098805067554</v>
      </c>
      <c r="K18" s="49">
        <f t="shared" si="2"/>
        <v>-9.4751509617551655</v>
      </c>
      <c r="L18" s="49">
        <f t="shared" si="3"/>
        <v>16.909645863110409</v>
      </c>
      <c r="M18" s="49">
        <f t="shared" si="4"/>
        <v>10.056673523576878</v>
      </c>
      <c r="N18" s="49">
        <f t="shared" si="5"/>
        <v>9.3029121378439612</v>
      </c>
      <c r="O18" s="49">
        <f t="shared" si="6"/>
        <v>2.0342481123324334</v>
      </c>
      <c r="P18" s="49">
        <f t="shared" si="7"/>
        <v>5.6685801250881971</v>
      </c>
      <c r="Q18" s="49" t="str">
        <f>IFERROR(_xlfn.NORM.INV(INDEX(Scores!$P$2:$U$33,MATCH($C18,Scores!$R$2:$R$33,0),6),H18,I18),"")</f>
        <v/>
      </c>
      <c r="R18" s="49" t="str">
        <f t="shared" si="8"/>
        <v/>
      </c>
      <c r="S18" s="49" t="str">
        <f t="shared" si="9"/>
        <v/>
      </c>
      <c r="T18" s="49" t="str">
        <f t="shared" si="34"/>
        <v/>
      </c>
      <c r="U18" s="96"/>
      <c r="V18" s="68" t="str">
        <f t="shared" si="11"/>
        <v/>
      </c>
      <c r="W18" s="65" t="str">
        <f t="shared" si="12"/>
        <v/>
      </c>
      <c r="X18" s="51" t="str">
        <f t="shared" si="13"/>
        <v/>
      </c>
      <c r="Y18" s="48" t="str">
        <f t="shared" si="35"/>
        <v/>
      </c>
      <c r="Z18" s="48" t="str">
        <f ca="1">IFERROR(INDEX('538'!$Q$9:$U$190,MATCH(Bet!$C18,'538'!$Q$9:$Q$190,0),5),"")</f>
        <v/>
      </c>
      <c r="AA18" t="str">
        <f t="shared" si="36"/>
        <v/>
      </c>
      <c r="AB18">
        <f t="shared" si="14"/>
        <v>0</v>
      </c>
      <c r="AC18" t="str">
        <f t="shared" ca="1" si="37"/>
        <v/>
      </c>
      <c r="AD18" t="str">
        <f t="shared" si="15"/>
        <v/>
      </c>
      <c r="AE18" t="str">
        <f>IFERROR(INDEX(Overview!$A$2:$BF$32,MATCH($A18,Overview!$A$2:$A$32,0),MATCH(AE$2,Overview!$A$2:$BF$2,0)),"")</f>
        <v/>
      </c>
      <c r="AF18" t="str">
        <f>IFERROR(INDEX(Overview!$A$2:$BF$32,MATCH($A18,Overview!$A$2:$A$32,0),MATCH(AF$2,Overview!$A$2:$BF$2,0)),"")</f>
        <v/>
      </c>
      <c r="AG18" t="str">
        <f>IFERROR(INDEX(Overview!$A$2:$BF$32,MATCH($A18,Overview!$A$2:$A$32,0),MATCH(AG$2,Overview!$A$2:$BF$2,0)),"")</f>
        <v/>
      </c>
      <c r="AH18" t="str">
        <f>IFERROR(INDEX(Overview!$A$2:$BF$32,MATCH($A18,Overview!$A$2:$A$32,0),MATCH(AH$2,Overview!$A$2:$BF$2,0)),"")</f>
        <v/>
      </c>
      <c r="AI18" t="str">
        <f>IFERROR(INDEX(Overview!$A$2:$BF$32,MATCH($A18,Overview!$A$2:$A$32,0),MATCH(AI$2,Overview!$A$2:$BF$2,0)),"")</f>
        <v/>
      </c>
      <c r="AJ18" t="str">
        <f>IFERROR(INDEX(Overview!$A$2:$BF$32,MATCH($A18,Overview!$A$2:$A$32,0),MATCH(AJ$2,Overview!$A$2:$BF$2,0)),"")</f>
        <v/>
      </c>
      <c r="AK18" t="str">
        <f>IFERROR(INDEX(Overview!$A$2:$BF$32,MATCH($A18,Overview!$A$2:$A$32,0),MATCH(AK$2,Overview!$A$2:$BF$2,0)),"")</f>
        <v/>
      </c>
      <c r="AL18" t="str">
        <f>IFERROR(INDEX(Overview!$A$2:$BF$32,MATCH($A18,Overview!$A$2:$A$32,0),MATCH(AL$2,Overview!$A$2:$BF$2,0)),"")</f>
        <v/>
      </c>
      <c r="AM18" t="str">
        <f>IFERROR(INDEX(Overview!$A$2:$BF$32,MATCH($A18,Overview!$A$2:$A$32,0),MATCH(AM$2,Overview!$A$2:$BF$2,0)),"")</f>
        <v/>
      </c>
      <c r="AN18" t="str">
        <f>IFERROR(INDEX(Overview!$A$2:$BF$32,MATCH($A18,Overview!$A$2:$A$32,0),MATCH(AN$2,Overview!$A$2:$BF$2,0)),"")</f>
        <v/>
      </c>
      <c r="AO18" t="str">
        <f>IFERROR(INDEX(Overview!$A$2:$BF$32,MATCH($A18,Overview!$A$2:$A$32,0),MATCH(AO$2,Overview!$A$2:$BF$2,0)),"")</f>
        <v/>
      </c>
      <c r="AP18" t="str">
        <f>IFERROR(INDEX(Overview!$A$2:$BM$32,MATCH($A18,Overview!$A$2:$A$32,0),MATCH(AP$2,Overview!$A$2:$BM$2,0)),"")</f>
        <v/>
      </c>
      <c r="AQ18" t="str">
        <f>IFERROR(INDEX(Overview!$A$2:$BM$32,MATCH($A18,Overview!$A$2:$A$32,0),MATCH(AQ$2,Overview!$A$2:$BM$2,0)),"")</f>
        <v/>
      </c>
      <c r="AR18" t="str">
        <f>IFERROR(INDEX(Overview!$A$2:$BM$32,MATCH($A18,Overview!$A$2:$A$32,0),MATCH(AR$2,Overview!$A$2:$BM$2,0)),"")</f>
        <v/>
      </c>
      <c r="AS18" t="str">
        <f>IFERROR(INDEX(Overview!$A$2:$BM$32,MATCH($A18,Overview!$A$2:$A$32,0),MATCH(AS$2,Overview!$A$2:$BM$2,0)),"")</f>
        <v/>
      </c>
      <c r="AT18" t="str">
        <f>IFERROR(INDEX(Overview!$A$2:$BM$32,MATCH($A18,Overview!$A$2:$A$32,0),MATCH(AT$2,Overview!$A$2:$BM$2,0)),"")</f>
        <v/>
      </c>
      <c r="AU18" t="str">
        <f>IFERROR(INDEX(Overview!$A$2:$BM$32,MATCH($A18,Overview!$A$2:$A$32,0),MATCH(AU$2,Overview!$A$2:$BM$2,0)),"")</f>
        <v/>
      </c>
      <c r="AV18" t="str">
        <f>IFERROR(INDEX(Overview!$A$2:$BM$32,MATCH($A18,Overview!$A$2:$A$32,0),MATCH(AV$2,Overview!$A$2:$BM$2,0)),"")</f>
        <v/>
      </c>
      <c r="AW18" t="str">
        <f>IFERROR(INDEX(Overview!$A$2:$BM$32,MATCH($A18,Overview!$A$2:$A$32,0),MATCH(AW$2,Overview!$A$2:$BM$2,0)),"")</f>
        <v/>
      </c>
      <c r="AX18" t="str">
        <f>IFERROR(INDEX(Overview!$A$2:$BM$32,MATCH($A18,Overview!$A$2:$A$32,0),MATCH(AX$2,Overview!$A$2:$BM$2,0)),"")</f>
        <v/>
      </c>
      <c r="AY18" t="str">
        <f>IFERROR(INDEX(Overview!$A$2:$BM$32,MATCH($A18,Overview!$A$2:$A$32,0),MATCH(AY$2,Overview!$A$2:$BM$2,0)),"")</f>
        <v/>
      </c>
      <c r="AZ18" t="str">
        <f>IFERROR(INDEX(Overview!$A$2:$BM$32,MATCH($A18,Overview!$A$2:$A$32,0),MATCH(AZ$2,Overview!$A$2:$BM$2,0)),"")</f>
        <v/>
      </c>
      <c r="BA18" s="79" t="str">
        <f>IFERROR(INDEX(Overview!$A$2:$BM$32,MATCH($A18,Overview!$A$2:$A$32,0),MATCH(BA$2,Overview!$A$2:$BM$2,0)),"")</f>
        <v/>
      </c>
      <c r="BB18" s="79" t="str">
        <f>IFERROR(INDEX(Overview!$A$2:$BM$32,MATCH($A18,Overview!$A$2:$A$32,0),MATCH(BB$2,Overview!$A$2:$BM$2,0)),"")</f>
        <v/>
      </c>
      <c r="BC18" s="79" t="str">
        <f>IFERROR(INDEX(Overview!$A$2:$BM$32,MATCH($A18,Overview!$A$2:$A$32,0),MATCH(BC$2,Overview!$A$2:$BM$2,0)),"")</f>
        <v/>
      </c>
      <c r="BD18" s="79" t="str">
        <f>IFERROR(INDEX(Overview!$A$2:$BM$32,MATCH($A18,Overview!$A$2:$A$32,0),MATCH(BD$2,Overview!$A$2:$BM$2,0)),"")</f>
        <v/>
      </c>
      <c r="BE18" s="79" t="str">
        <f>IFERROR(INDEX(Overview!$A$2:$BM$32,MATCH($A18,Overview!$A$2:$A$32,0),MATCH(BE$2,Overview!$A$2:$BM$2,0)),"")</f>
        <v/>
      </c>
      <c r="BF18" s="79" t="str">
        <f>IFERROR(INDEX(Overview!$A$2:$BM$32,MATCH($A18,Overview!$A$2:$A$32,0),MATCH(BF$2,Overview!$A$2:$BM$2,0)),"")</f>
        <v/>
      </c>
      <c r="BG18" s="79" t="str">
        <f>IFERROR(INDEX(Overview!$A$2:$BM$32,MATCH($A18,Overview!$A$2:$A$32,0),MATCH(BG$2,Overview!$A$2:$BM$2,0)),"")</f>
        <v/>
      </c>
      <c r="BH18" s="79" t="str">
        <f>IFERROR(INDEX(Overview!$A$2:$BM$32,MATCH($A18,Overview!$A$2:$A$32,0),MATCH(BH$2,Overview!$A$2:$BM$2,0)),"")</f>
        <v/>
      </c>
      <c r="BI18" s="79" t="str">
        <f>IFERROR(INDEX(Overview!$A$2:$BM$32,MATCH($A18,Overview!$A$2:$A$32,0),MATCH(BI$2,Overview!$A$2:$BM$2,0)),"")</f>
        <v/>
      </c>
      <c r="BJ18" s="79" t="str">
        <f>IFERROR(INDEX(Overview!$A$2:$BM$32,MATCH($A18,Overview!$A$2:$A$32,0),MATCH(BJ$2,Overview!$A$2:$BM$2,0)),"")</f>
        <v/>
      </c>
      <c r="BK18" s="79" t="str">
        <f>IFERROR(INDEX(Overview!$A$2:$BM$32,MATCH($A18,Overview!$A$2:$A$32,0),MATCH(BK$2,Overview!$A$2:$BM$2,0)),"")</f>
        <v/>
      </c>
      <c r="BL18" s="80" t="str">
        <f>IFERROR(INDEX(Overview!$A$2:$BM$32,MATCH($A18,Overview!$A$2:$A$32,0),MATCH(BL$2,Overview!$A$2:$BM$2,0)+11),"")</f>
        <v/>
      </c>
      <c r="BM18" s="80" t="str">
        <f>IFERROR(INDEX(Overview!$A$2:$BM$32,MATCH($A18,Overview!$A$2:$A$32,0),MATCH(BM$2,Overview!$A$2:$BM$2,0)+11),"")</f>
        <v/>
      </c>
      <c r="BN18" s="80" t="str">
        <f>IFERROR(INDEX(Overview!$A$2:$BM$32,MATCH($A18,Overview!$A$2:$A$32,0),MATCH(BN$2,Overview!$A$2:$BM$2,0)+11),"")</f>
        <v/>
      </c>
      <c r="BO18" s="80" t="str">
        <f>IFERROR(INDEX(Overview!$A$2:$BM$32,MATCH($A18,Overview!$A$2:$A$32,0),MATCH(BO$2,Overview!$A$2:$BM$2,0)+11),"")</f>
        <v/>
      </c>
      <c r="BP18" s="80" t="str">
        <f>IFERROR(INDEX(Overview!$A$2:$BM$32,MATCH($A18,Overview!$A$2:$A$32,0),MATCH(BP$2,Overview!$A$2:$BM$2,0)+11),"")</f>
        <v/>
      </c>
      <c r="BQ18" s="80" t="str">
        <f>IFERROR(INDEX(Overview!$A$2:$BM$32,MATCH($A18,Overview!$A$2:$A$32,0),MATCH(BQ$2,Overview!$A$2:$BM$2,0)+11),"")</f>
        <v/>
      </c>
      <c r="BR18" s="80" t="str">
        <f>IFERROR(INDEX(Overview!$A$2:$BM$32,MATCH($A18,Overview!$A$2:$A$32,0),MATCH(BR$2,Overview!$A$2:$BM$2,0)+11),"")</f>
        <v/>
      </c>
      <c r="BS18" s="80" t="str">
        <f>IFERROR(INDEX(Overview!$A$2:$BM$32,MATCH($A18,Overview!$A$2:$A$32,0),MATCH(BS$2,Overview!$A$2:$BM$2,0)+11),"")</f>
        <v/>
      </c>
      <c r="BT18" s="80" t="str">
        <f>IFERROR(INDEX(Overview!$A$2:$BM$32,MATCH($A18,Overview!$A$2:$A$32,0),MATCH(BT$2,Overview!$A$2:$BM$2,0)+11),"")</f>
        <v/>
      </c>
      <c r="BU18" s="80" t="str">
        <f>IFERROR(INDEX(Overview!$A$2:$BM$32,MATCH($A18,Overview!$A$2:$A$32,0),MATCH(BU$2,Overview!$A$2:$BM$2,0)+11),"")</f>
        <v/>
      </c>
      <c r="BV18" s="80" t="str">
        <f>IFERROR(INDEX(Overview!$A$2:$BM$32,MATCH($A18,Overview!$A$2:$A$32,0),MATCH(BV$2,Overview!$A$2:$BM$2,0)+11),"")</f>
        <v/>
      </c>
      <c r="BW18" s="82" t="str">
        <f t="shared" si="16"/>
        <v/>
      </c>
      <c r="BX18" s="82" t="str">
        <f t="shared" si="17"/>
        <v/>
      </c>
      <c r="BY18" s="82" t="str">
        <f t="shared" si="18"/>
        <v/>
      </c>
      <c r="BZ18" s="82" t="str">
        <f t="shared" si="19"/>
        <v/>
      </c>
      <c r="CA18" s="82" t="str">
        <f t="shared" si="20"/>
        <v/>
      </c>
      <c r="CB18" s="82" t="str">
        <f t="shared" si="21"/>
        <v/>
      </c>
      <c r="CC18" s="82" t="str">
        <f t="shared" si="22"/>
        <v/>
      </c>
      <c r="CD18" s="82" t="str">
        <f t="shared" si="23"/>
        <v/>
      </c>
      <c r="CE18" s="82" t="str">
        <f t="shared" si="24"/>
        <v/>
      </c>
      <c r="CF18" s="82" t="str">
        <f t="shared" si="25"/>
        <v/>
      </c>
      <c r="CG18" s="82" t="str">
        <f t="shared" si="26"/>
        <v/>
      </c>
      <c r="CH18" s="83" t="str">
        <f t="shared" si="38"/>
        <v/>
      </c>
      <c r="CI18" s="83" t="str">
        <f t="shared" si="39"/>
        <v/>
      </c>
      <c r="CJ18" s="83" t="str">
        <f t="shared" si="40"/>
        <v/>
      </c>
      <c r="CK18" s="83" t="str">
        <f t="shared" si="41"/>
        <v/>
      </c>
      <c r="CL18" s="83" t="str">
        <f t="shared" si="42"/>
        <v/>
      </c>
      <c r="CM18" s="83" t="str">
        <f t="shared" si="43"/>
        <v/>
      </c>
      <c r="CN18" s="83" t="str">
        <f t="shared" si="44"/>
        <v/>
      </c>
      <c r="CO18" s="83" t="str">
        <f t="shared" si="45"/>
        <v/>
      </c>
      <c r="CP18" s="83" t="str">
        <f t="shared" si="46"/>
        <v/>
      </c>
      <c r="CQ18" s="83" t="str">
        <f t="shared" si="47"/>
        <v/>
      </c>
      <c r="CR18" s="83" t="str">
        <f t="shared" si="48"/>
        <v/>
      </c>
      <c r="CV18" s="97" t="str">
        <f>Overview!BO17</f>
        <v>BattingRatio Regression</v>
      </c>
      <c r="CW18" s="97"/>
      <c r="CX18" s="97"/>
      <c r="CY18" s="97"/>
      <c r="CZ18" s="97"/>
      <c r="DA18" s="97"/>
      <c r="DB18" s="97"/>
      <c r="DC18" s="97"/>
      <c r="DD18" s="97"/>
      <c r="DE18" s="97"/>
      <c r="DF18" s="97"/>
      <c r="DG18" s="97"/>
      <c r="DM18">
        <f t="shared" si="28"/>
        <v>0</v>
      </c>
      <c r="DN18">
        <f t="shared" si="29"/>
        <v>0</v>
      </c>
      <c r="DP18">
        <f t="shared" ca="1" si="49"/>
        <v>1</v>
      </c>
      <c r="DQ18" t="str">
        <f t="shared" ca="1" si="30"/>
        <v/>
      </c>
      <c r="DR18" t="str">
        <f t="shared" ca="1" si="50"/>
        <v/>
      </c>
      <c r="DS18" t="str">
        <f t="shared" ca="1" si="31"/>
        <v/>
      </c>
      <c r="DT18" t="str">
        <f t="shared" ca="1" si="51"/>
        <v/>
      </c>
      <c r="DU18">
        <f t="shared" ca="1" si="52"/>
        <v>1</v>
      </c>
      <c r="DV18" t="str">
        <f t="shared" si="32"/>
        <v/>
      </c>
      <c r="DW18" t="str">
        <f t="shared" si="53"/>
        <v/>
      </c>
      <c r="DX18" t="str">
        <f t="shared" si="64"/>
        <v/>
      </c>
      <c r="DZ18" t="str">
        <f t="shared" ca="1" si="54"/>
        <v/>
      </c>
      <c r="EA18" t="str">
        <f t="shared" ca="1" si="55"/>
        <v/>
      </c>
      <c r="EB18" s="84" t="str">
        <f t="shared" ca="1" si="56"/>
        <v/>
      </c>
      <c r="EC18" s="1" t="str">
        <f t="shared" ca="1" si="33"/>
        <v/>
      </c>
      <c r="ED18" t="str">
        <f t="shared" ca="1" si="57"/>
        <v/>
      </c>
      <c r="EE18" t="str">
        <f t="shared" ca="1" si="58"/>
        <v/>
      </c>
      <c r="EF18" t="str">
        <f t="shared" ca="1" si="59"/>
        <v/>
      </c>
      <c r="EJ18" t="str">
        <f ca="1">'538'!Q23</f>
        <v/>
      </c>
      <c r="EK18" t="str">
        <f ca="1">'538'!T23</f>
        <v/>
      </c>
    </row>
    <row r="19" spans="1:141" x14ac:dyDescent="0.25">
      <c r="A19" s="28" t="str">
        <f>IFERROR(INDEX(Overview!$A$3:$B$32,MATCH(Bet!$C19,Overview!$B$3:$B$32,0),1),"X")</f>
        <v>X</v>
      </c>
      <c r="B19" s="28" t="str">
        <f>IF(ISBLANK(C19),"",IFERROR(INDEX(Pitchers[],MATCH(F19,Pitchers[Player],0),MATCH(G$2,Pitchers[#Headers],0)),"X"))</f>
        <v/>
      </c>
      <c r="C19" s="2"/>
      <c r="D19" s="3"/>
      <c r="E19" s="95"/>
      <c r="F19" s="50"/>
      <c r="G19" s="48">
        <f>IFERROR(INDEX(Pitchers[],MATCH(Bet!F19,Pitchers[Player],0),MATCH(G$2,Pitchers[#Headers],0)),PlayerPitching!$AD$12)</f>
        <v>-0.13933069723404246</v>
      </c>
      <c r="H19" s="48" t="str">
        <f>IF(ISNUMBER(CODE(C19)),INDEX(Scores!$P$2:$T$33,MATCH($C19,Scores!$R$2:$R$33,0),4),"")</f>
        <v/>
      </c>
      <c r="I19" s="48" t="str">
        <f>IF(ISNUMBER(CODE(C19)),IF(INDEX(Scores!$P$2:$T$33,MATCH($C19,Scores!$R$2:$R$33,0),5)=0,1,INDEX(Scores!$P$2:$T$33,MATCH($C19,Scores!$R$2:$R$33,0),5)),"")</f>
        <v/>
      </c>
      <c r="J19" s="48">
        <f t="shared" si="1"/>
        <v>-1.9641098805067554</v>
      </c>
      <c r="K19" s="49">
        <f t="shared" ref="K19:K22" si="68">SUMPRODUCT(AP19:AZ19,$CV$12:$DF$12)+$DG$12</f>
        <v>-9.4751509617551655</v>
      </c>
      <c r="L19" s="49">
        <f t="shared" ref="L19:L22" si="69">SUMPRODUCT(BW19:CG19,$CV$20:$DF$20)+$DG$20</f>
        <v>16.909645863110409</v>
      </c>
      <c r="M19" s="49">
        <f t="shared" ref="M19:M22" si="70">SUMPRODUCT(CH19:CR19,$CV$28:$DF$28)+$DG$28</f>
        <v>10.056673523576878</v>
      </c>
      <c r="N19" s="49">
        <f t="shared" ref="N19:N22" si="71">(J19*2*$J$1+L19*3*$L$1)/(2*$J$1+3*$L$1)</f>
        <v>9.3029121378439612</v>
      </c>
      <c r="O19" s="49">
        <f t="shared" ref="O19:O22" si="72">(K19*2*$K$1+M19*3*$M$1)/(2*$K$1+3*$M$1)</f>
        <v>2.0342481123324334</v>
      </c>
      <c r="P19" s="49">
        <f t="shared" ref="P19:P22" si="73">IF(ISODD(ROW()),AVERAGE(N19,O20),AVERAGE(N19,O18))</f>
        <v>5.6685801250881971</v>
      </c>
      <c r="Q19" s="49" t="str">
        <f>IFERROR(_xlfn.NORM.INV(INDEX(Scores!$P$2:$U$33,MATCH($C19,Scores!$R$2:$R$33,0),6),H19,I19),"")</f>
        <v/>
      </c>
      <c r="R19" s="49" t="str">
        <f t="shared" ref="R19:R22" si="74">IFERROR(IF(ISODD(ROW()),($P$1*P19+$Q$1*Q19)+G20,($P$1*P19+$Q$1*Q19)+G18),"")</f>
        <v/>
      </c>
      <c r="S19" s="49" t="str">
        <f t="shared" ref="S19:S22" si="75">IFERROR(IF(ISODD(ROW()),_xlfn.NORM.DIST(R19-R20,0,I19+I20,1),_xlfn.NORM.DIST(R19-R18,0,I18+I19,1)),"")</f>
        <v/>
      </c>
      <c r="T19" s="49" t="str">
        <f t="shared" ref="T19:T22" si="76">IFERROR(IF(ISODD(ROW()),_xlfn.NORM.DIST(U19,E19,I19+I20,1),1-T18),"")</f>
        <v/>
      </c>
      <c r="U19" s="95" t="str">
        <f t="shared" si="67"/>
        <v/>
      </c>
      <c r="V19" s="67" t="str">
        <f t="shared" si="11"/>
        <v/>
      </c>
      <c r="W19" s="64" t="str">
        <f t="shared" si="12"/>
        <v/>
      </c>
      <c r="X19" s="50" t="str">
        <f t="shared" si="13"/>
        <v/>
      </c>
      <c r="Y19" s="48" t="str">
        <f t="shared" si="35"/>
        <v/>
      </c>
      <c r="Z19" s="48" t="str">
        <f ca="1">IFERROR(INDEX('538'!$Q$9:$U$190,MATCH(Bet!$C19,'538'!$Q$9:$Q$190,0),5),"")</f>
        <v/>
      </c>
      <c r="AA19" t="str">
        <f t="shared" si="36"/>
        <v/>
      </c>
      <c r="AB19">
        <f t="shared" si="14"/>
        <v>0</v>
      </c>
      <c r="AC19" t="str">
        <f t="shared" ca="1" si="37"/>
        <v/>
      </c>
      <c r="AD19" t="str">
        <f t="shared" si="15"/>
        <v/>
      </c>
      <c r="AE19" t="str">
        <f>IFERROR(INDEX(Overview!$A$2:$BF$32,MATCH($A19,Overview!$A$2:$A$32,0),MATCH(AE$2,Overview!$A$2:$BF$2,0)),"")</f>
        <v/>
      </c>
      <c r="AF19" t="str">
        <f>IFERROR(INDEX(Overview!$A$2:$BF$32,MATCH($A19,Overview!$A$2:$A$32,0),MATCH(AF$2,Overview!$A$2:$BF$2,0)),"")</f>
        <v/>
      </c>
      <c r="AG19" t="str">
        <f>IFERROR(INDEX(Overview!$A$2:$BF$32,MATCH($A19,Overview!$A$2:$A$32,0),MATCH(AG$2,Overview!$A$2:$BF$2,0)),"")</f>
        <v/>
      </c>
      <c r="AH19" t="str">
        <f>IFERROR(INDEX(Overview!$A$2:$BF$32,MATCH($A19,Overview!$A$2:$A$32,0),MATCH(AH$2,Overview!$A$2:$BF$2,0)),"")</f>
        <v/>
      </c>
      <c r="AI19" t="str">
        <f>IFERROR(INDEX(Overview!$A$2:$BF$32,MATCH($A19,Overview!$A$2:$A$32,0),MATCH(AI$2,Overview!$A$2:$BF$2,0)),"")</f>
        <v/>
      </c>
      <c r="AJ19" t="str">
        <f>IFERROR(INDEX(Overview!$A$2:$BF$32,MATCH($A19,Overview!$A$2:$A$32,0),MATCH(AJ$2,Overview!$A$2:$BF$2,0)),"")</f>
        <v/>
      </c>
      <c r="AK19" t="str">
        <f>IFERROR(INDEX(Overview!$A$2:$BF$32,MATCH($A19,Overview!$A$2:$A$32,0),MATCH(AK$2,Overview!$A$2:$BF$2,0)),"")</f>
        <v/>
      </c>
      <c r="AL19" t="str">
        <f>IFERROR(INDEX(Overview!$A$2:$BF$32,MATCH($A19,Overview!$A$2:$A$32,0),MATCH(AL$2,Overview!$A$2:$BF$2,0)),"")</f>
        <v/>
      </c>
      <c r="AM19" t="str">
        <f>IFERROR(INDEX(Overview!$A$2:$BF$32,MATCH($A19,Overview!$A$2:$A$32,0),MATCH(AM$2,Overview!$A$2:$BF$2,0)),"")</f>
        <v/>
      </c>
      <c r="AN19" t="str">
        <f>IFERROR(INDEX(Overview!$A$2:$BF$32,MATCH($A19,Overview!$A$2:$A$32,0),MATCH(AN$2,Overview!$A$2:$BF$2,0)),"")</f>
        <v/>
      </c>
      <c r="AO19" t="str">
        <f>IFERROR(INDEX(Overview!$A$2:$BF$32,MATCH($A19,Overview!$A$2:$A$32,0),MATCH(AO$2,Overview!$A$2:$BF$2,0)),"")</f>
        <v/>
      </c>
      <c r="AP19" t="str">
        <f>IFERROR(INDEX(Overview!$A$2:$BM$32,MATCH($A19,Overview!$A$2:$A$32,0),MATCH(AP$2,Overview!$A$2:$BM$2,0)),"")</f>
        <v/>
      </c>
      <c r="AQ19" t="str">
        <f>IFERROR(INDEX(Overview!$A$2:$BM$32,MATCH($A19,Overview!$A$2:$A$32,0),MATCH(AQ$2,Overview!$A$2:$BM$2,0)),"")</f>
        <v/>
      </c>
      <c r="AR19" t="str">
        <f>IFERROR(INDEX(Overview!$A$2:$BM$32,MATCH($A19,Overview!$A$2:$A$32,0),MATCH(AR$2,Overview!$A$2:$BM$2,0)),"")</f>
        <v/>
      </c>
      <c r="AS19" t="str">
        <f>IFERROR(INDEX(Overview!$A$2:$BM$32,MATCH($A19,Overview!$A$2:$A$32,0),MATCH(AS$2,Overview!$A$2:$BM$2,0)),"")</f>
        <v/>
      </c>
      <c r="AT19" t="str">
        <f>IFERROR(INDEX(Overview!$A$2:$BM$32,MATCH($A19,Overview!$A$2:$A$32,0),MATCH(AT$2,Overview!$A$2:$BM$2,0)),"")</f>
        <v/>
      </c>
      <c r="AU19" t="str">
        <f>IFERROR(INDEX(Overview!$A$2:$BM$32,MATCH($A19,Overview!$A$2:$A$32,0),MATCH(AU$2,Overview!$A$2:$BM$2,0)),"")</f>
        <v/>
      </c>
      <c r="AV19" t="str">
        <f>IFERROR(INDEX(Overview!$A$2:$BM$32,MATCH($A19,Overview!$A$2:$A$32,0),MATCH(AV$2,Overview!$A$2:$BM$2,0)),"")</f>
        <v/>
      </c>
      <c r="AW19" t="str">
        <f>IFERROR(INDEX(Overview!$A$2:$BM$32,MATCH($A19,Overview!$A$2:$A$32,0),MATCH(AW$2,Overview!$A$2:$BM$2,0)),"")</f>
        <v/>
      </c>
      <c r="AX19" t="str">
        <f>IFERROR(INDEX(Overview!$A$2:$BM$32,MATCH($A19,Overview!$A$2:$A$32,0),MATCH(AX$2,Overview!$A$2:$BM$2,0)),"")</f>
        <v/>
      </c>
      <c r="AY19" t="str">
        <f>IFERROR(INDEX(Overview!$A$2:$BM$32,MATCH($A19,Overview!$A$2:$A$32,0),MATCH(AY$2,Overview!$A$2:$BM$2,0)),"")</f>
        <v/>
      </c>
      <c r="AZ19" t="str">
        <f>IFERROR(INDEX(Overview!$A$2:$BM$32,MATCH($A19,Overview!$A$2:$A$32,0),MATCH(AZ$2,Overview!$A$2:$BM$2,0)),"")</f>
        <v/>
      </c>
      <c r="BA19" s="79" t="str">
        <f>IFERROR(INDEX(Overview!$A$2:$BM$32,MATCH($A19,Overview!$A$2:$A$32,0),MATCH(BA$2,Overview!$A$2:$BM$2,0)),"")</f>
        <v/>
      </c>
      <c r="BB19" s="79" t="str">
        <f>IFERROR(INDEX(Overview!$A$2:$BM$32,MATCH($A19,Overview!$A$2:$A$32,0),MATCH(BB$2,Overview!$A$2:$BM$2,0)),"")</f>
        <v/>
      </c>
      <c r="BC19" s="79" t="str">
        <f>IFERROR(INDEX(Overview!$A$2:$BM$32,MATCH($A19,Overview!$A$2:$A$32,0),MATCH(BC$2,Overview!$A$2:$BM$2,0)),"")</f>
        <v/>
      </c>
      <c r="BD19" s="79" t="str">
        <f>IFERROR(INDEX(Overview!$A$2:$BM$32,MATCH($A19,Overview!$A$2:$A$32,0),MATCH(BD$2,Overview!$A$2:$BM$2,0)),"")</f>
        <v/>
      </c>
      <c r="BE19" s="79" t="str">
        <f>IFERROR(INDEX(Overview!$A$2:$BM$32,MATCH($A19,Overview!$A$2:$A$32,0),MATCH(BE$2,Overview!$A$2:$BM$2,0)),"")</f>
        <v/>
      </c>
      <c r="BF19" s="79" t="str">
        <f>IFERROR(INDEX(Overview!$A$2:$BM$32,MATCH($A19,Overview!$A$2:$A$32,0),MATCH(BF$2,Overview!$A$2:$BM$2,0)),"")</f>
        <v/>
      </c>
      <c r="BG19" s="79" t="str">
        <f>IFERROR(INDEX(Overview!$A$2:$BM$32,MATCH($A19,Overview!$A$2:$A$32,0),MATCH(BG$2,Overview!$A$2:$BM$2,0)),"")</f>
        <v/>
      </c>
      <c r="BH19" s="79" t="str">
        <f>IFERROR(INDEX(Overview!$A$2:$BM$32,MATCH($A19,Overview!$A$2:$A$32,0),MATCH(BH$2,Overview!$A$2:$BM$2,0)),"")</f>
        <v/>
      </c>
      <c r="BI19" s="79" t="str">
        <f>IFERROR(INDEX(Overview!$A$2:$BM$32,MATCH($A19,Overview!$A$2:$A$32,0),MATCH(BI$2,Overview!$A$2:$BM$2,0)),"")</f>
        <v/>
      </c>
      <c r="BJ19" s="79" t="str">
        <f>IFERROR(INDEX(Overview!$A$2:$BM$32,MATCH($A19,Overview!$A$2:$A$32,0),MATCH(BJ$2,Overview!$A$2:$BM$2,0)),"")</f>
        <v/>
      </c>
      <c r="BK19" s="79" t="str">
        <f>IFERROR(INDEX(Overview!$A$2:$BM$32,MATCH($A19,Overview!$A$2:$A$32,0),MATCH(BK$2,Overview!$A$2:$BM$2,0)),"")</f>
        <v/>
      </c>
      <c r="BL19" s="80" t="str">
        <f>IFERROR(INDEX(Overview!$A$2:$BM$32,MATCH($A19,Overview!$A$2:$A$32,0),MATCH(BL$2,Overview!$A$2:$BM$2,0)+11),"")</f>
        <v/>
      </c>
      <c r="BM19" s="80" t="str">
        <f>IFERROR(INDEX(Overview!$A$2:$BM$32,MATCH($A19,Overview!$A$2:$A$32,0),MATCH(BM$2,Overview!$A$2:$BM$2,0)+11),"")</f>
        <v/>
      </c>
      <c r="BN19" s="80" t="str">
        <f>IFERROR(INDEX(Overview!$A$2:$BM$32,MATCH($A19,Overview!$A$2:$A$32,0),MATCH(BN$2,Overview!$A$2:$BM$2,0)+11),"")</f>
        <v/>
      </c>
      <c r="BO19" s="80" t="str">
        <f>IFERROR(INDEX(Overview!$A$2:$BM$32,MATCH($A19,Overview!$A$2:$A$32,0),MATCH(BO$2,Overview!$A$2:$BM$2,0)+11),"")</f>
        <v/>
      </c>
      <c r="BP19" s="80" t="str">
        <f>IFERROR(INDEX(Overview!$A$2:$BM$32,MATCH($A19,Overview!$A$2:$A$32,0),MATCH(BP$2,Overview!$A$2:$BM$2,0)+11),"")</f>
        <v/>
      </c>
      <c r="BQ19" s="80" t="str">
        <f>IFERROR(INDEX(Overview!$A$2:$BM$32,MATCH($A19,Overview!$A$2:$A$32,0),MATCH(BQ$2,Overview!$A$2:$BM$2,0)+11),"")</f>
        <v/>
      </c>
      <c r="BR19" s="80" t="str">
        <f>IFERROR(INDEX(Overview!$A$2:$BM$32,MATCH($A19,Overview!$A$2:$A$32,0),MATCH(BR$2,Overview!$A$2:$BM$2,0)+11),"")</f>
        <v/>
      </c>
      <c r="BS19" s="80" t="str">
        <f>IFERROR(INDEX(Overview!$A$2:$BM$32,MATCH($A19,Overview!$A$2:$A$32,0),MATCH(BS$2,Overview!$A$2:$BM$2,0)+11),"")</f>
        <v/>
      </c>
      <c r="BT19" s="80" t="str">
        <f>IFERROR(INDEX(Overview!$A$2:$BM$32,MATCH($A19,Overview!$A$2:$A$32,0),MATCH(BT$2,Overview!$A$2:$BM$2,0)+11),"")</f>
        <v/>
      </c>
      <c r="BU19" s="80" t="str">
        <f>IFERROR(INDEX(Overview!$A$2:$BM$32,MATCH($A19,Overview!$A$2:$A$32,0),MATCH(BU$2,Overview!$A$2:$BM$2,0)+11),"")</f>
        <v/>
      </c>
      <c r="BV19" s="80" t="str">
        <f>IFERROR(INDEX(Overview!$A$2:$BM$32,MATCH($A19,Overview!$A$2:$A$32,0),MATCH(BV$2,Overview!$A$2:$BM$2,0)+11),"")</f>
        <v/>
      </c>
      <c r="BW19" s="82" t="str">
        <f t="shared" si="16"/>
        <v/>
      </c>
      <c r="BX19" s="82" t="str">
        <f t="shared" si="17"/>
        <v/>
      </c>
      <c r="BY19" s="82" t="str">
        <f t="shared" si="18"/>
        <v/>
      </c>
      <c r="BZ19" s="82" t="str">
        <f t="shared" si="19"/>
        <v/>
      </c>
      <c r="CA19" s="82" t="str">
        <f t="shared" si="20"/>
        <v/>
      </c>
      <c r="CB19" s="82" t="str">
        <f t="shared" si="21"/>
        <v/>
      </c>
      <c r="CC19" s="82" t="str">
        <f t="shared" si="22"/>
        <v/>
      </c>
      <c r="CD19" s="82" t="str">
        <f t="shared" si="23"/>
        <v/>
      </c>
      <c r="CE19" s="82" t="str">
        <f t="shared" si="24"/>
        <v/>
      </c>
      <c r="CF19" s="82" t="str">
        <f t="shared" si="25"/>
        <v/>
      </c>
      <c r="CG19" s="82" t="str">
        <f t="shared" si="26"/>
        <v/>
      </c>
      <c r="CH19" s="83" t="str">
        <f t="shared" si="38"/>
        <v/>
      </c>
      <c r="CI19" s="83" t="str">
        <f t="shared" si="39"/>
        <v/>
      </c>
      <c r="CJ19" s="83" t="str">
        <f t="shared" si="40"/>
        <v/>
      </c>
      <c r="CK19" s="83" t="str">
        <f t="shared" si="41"/>
        <v/>
      </c>
      <c r="CL19" s="83" t="str">
        <f t="shared" si="42"/>
        <v/>
      </c>
      <c r="CM19" s="83" t="str">
        <f t="shared" si="43"/>
        <v/>
      </c>
      <c r="CN19" s="83" t="str">
        <f t="shared" si="44"/>
        <v/>
      </c>
      <c r="CO19" s="83" t="str">
        <f t="shared" si="45"/>
        <v/>
      </c>
      <c r="CP19" s="83" t="str">
        <f t="shared" si="46"/>
        <v/>
      </c>
      <c r="CQ19" s="83" t="str">
        <f t="shared" si="47"/>
        <v/>
      </c>
      <c r="CR19" s="83" t="str">
        <f t="shared" si="48"/>
        <v/>
      </c>
      <c r="CV19" t="str">
        <f>Overview!BO18</f>
        <v>IF/FB</v>
      </c>
      <c r="CW19" t="str">
        <f>Overview!BP18</f>
        <v>HR/FB</v>
      </c>
      <c r="CX19" t="str">
        <f>Overview!BQ18</f>
        <v>LD%</v>
      </c>
      <c r="CY19" t="str">
        <f>Overview!BR18</f>
        <v>IP%</v>
      </c>
      <c r="CZ19" t="str">
        <f>Overview!BS18</f>
        <v>GO/AO</v>
      </c>
      <c r="DA19" t="str">
        <f>Overview!BT18</f>
        <v>GB/FB</v>
      </c>
      <c r="DB19" t="str">
        <f>Overview!BU18</f>
        <v>X/H%</v>
      </c>
      <c r="DC19" t="str">
        <f>Overview!BV18</f>
        <v>XBH%</v>
      </c>
      <c r="DD19" t="str">
        <f>Overview!BW18</f>
        <v>BB%</v>
      </c>
      <c r="DE19" t="str">
        <f>Overview!BX18</f>
        <v>SO%</v>
      </c>
      <c r="DF19" t="str">
        <f>Overview!BY18</f>
        <v>HR%</v>
      </c>
      <c r="DG19" t="str">
        <f>Overview!BZ18</f>
        <v>Int</v>
      </c>
      <c r="DH19">
        <f>Overview!CA18</f>
        <v>0</v>
      </c>
      <c r="DI19">
        <f>Overview!CB18</f>
        <v>0</v>
      </c>
      <c r="DM19">
        <f t="shared" si="28"/>
        <v>0</v>
      </c>
      <c r="DN19">
        <f t="shared" si="29"/>
        <v>0</v>
      </c>
      <c r="DP19">
        <f t="shared" ca="1" si="49"/>
        <v>1</v>
      </c>
      <c r="DQ19" t="str">
        <f t="shared" ca="1" si="30"/>
        <v/>
      </c>
      <c r="DR19" t="str">
        <f t="shared" ca="1" si="50"/>
        <v/>
      </c>
      <c r="DS19" t="str">
        <f t="shared" ca="1" si="31"/>
        <v/>
      </c>
      <c r="DT19" t="str">
        <f t="shared" ca="1" si="51"/>
        <v/>
      </c>
      <c r="DU19">
        <f t="shared" ca="1" si="52"/>
        <v>1</v>
      </c>
      <c r="DV19" t="str">
        <f t="shared" si="32"/>
        <v/>
      </c>
      <c r="DW19" t="str">
        <f t="shared" si="53"/>
        <v/>
      </c>
      <c r="DX19" t="str">
        <f t="shared" si="64"/>
        <v/>
      </c>
      <c r="DZ19" t="str">
        <f t="shared" ca="1" si="54"/>
        <v/>
      </c>
      <c r="EA19" t="str">
        <f t="shared" ca="1" si="55"/>
        <v/>
      </c>
      <c r="EB19" s="84" t="str">
        <f t="shared" ca="1" si="56"/>
        <v/>
      </c>
      <c r="EC19" s="1" t="str">
        <f t="shared" ca="1" si="33"/>
        <v/>
      </c>
      <c r="ED19" t="str">
        <f t="shared" ca="1" si="57"/>
        <v/>
      </c>
      <c r="EE19" t="str">
        <f t="shared" ca="1" si="58"/>
        <v/>
      </c>
      <c r="EF19" t="str">
        <f t="shared" ca="1" si="59"/>
        <v/>
      </c>
      <c r="EJ19" t="str">
        <f ca="1">'538'!Q24</f>
        <v/>
      </c>
      <c r="EK19" t="str">
        <f ca="1">'538'!T24</f>
        <v/>
      </c>
    </row>
    <row r="20" spans="1:141" ht="15.75" thickBot="1" x14ac:dyDescent="0.3">
      <c r="A20" s="28" t="str">
        <f>IFERROR(INDEX(Overview!$A$3:$B$32,MATCH(Bet!$C20,Overview!$B$3:$B$32,0),1),"X")</f>
        <v>X</v>
      </c>
      <c r="B20" s="28" t="str">
        <f>IF(ISBLANK(C20),"",IFERROR(INDEX(Pitchers[],MATCH(F20,Pitchers[Player],0),MATCH(G$2,Pitchers[#Headers],0)),"X"))</f>
        <v/>
      </c>
      <c r="C20" s="4"/>
      <c r="D20" s="10"/>
      <c r="E20" s="96"/>
      <c r="F20" s="51"/>
      <c r="G20" s="48">
        <f>IFERROR(INDEX(Pitchers[],MATCH(Bet!F20,Pitchers[Player],0),MATCH(G$2,Pitchers[#Headers],0)),PlayerPitching!$AD$12)</f>
        <v>-0.13933069723404246</v>
      </c>
      <c r="H20" s="48" t="str">
        <f>IF(ISNUMBER(CODE(C20)),INDEX(Scores!$P$2:$T$33,MATCH($C20,Scores!$R$2:$R$33,0),4),"")</f>
        <v/>
      </c>
      <c r="I20" s="48" t="str">
        <f>IF(ISNUMBER(CODE(C20)),IF(INDEX(Scores!$P$2:$T$33,MATCH($C20,Scores!$R$2:$R$33,0),5)=0,1,INDEX(Scores!$P$2:$T$33,MATCH($C20,Scores!$R$2:$R$33,0),5)),"")</f>
        <v/>
      </c>
      <c r="J20" s="48">
        <f t="shared" si="1"/>
        <v>-1.9641098805067554</v>
      </c>
      <c r="K20" s="49">
        <f t="shared" si="68"/>
        <v>-9.4751509617551655</v>
      </c>
      <c r="L20" s="49">
        <f t="shared" si="69"/>
        <v>16.909645863110409</v>
      </c>
      <c r="M20" s="49">
        <f t="shared" si="70"/>
        <v>10.056673523576878</v>
      </c>
      <c r="N20" s="49">
        <f t="shared" si="71"/>
        <v>9.3029121378439612</v>
      </c>
      <c r="O20" s="49">
        <f t="shared" si="72"/>
        <v>2.0342481123324334</v>
      </c>
      <c r="P20" s="49">
        <f t="shared" si="73"/>
        <v>5.6685801250881971</v>
      </c>
      <c r="Q20" s="49" t="str">
        <f>IFERROR(_xlfn.NORM.INV(INDEX(Scores!$P$2:$U$33,MATCH($C20,Scores!$R$2:$R$33,0),6),H20,I20),"")</f>
        <v/>
      </c>
      <c r="R20" s="49" t="str">
        <f t="shared" si="74"/>
        <v/>
      </c>
      <c r="S20" s="49" t="str">
        <f t="shared" si="75"/>
        <v/>
      </c>
      <c r="T20" s="49" t="str">
        <f t="shared" si="76"/>
        <v/>
      </c>
      <c r="U20" s="96"/>
      <c r="V20" s="68" t="str">
        <f t="shared" si="11"/>
        <v/>
      </c>
      <c r="W20" s="65" t="str">
        <f t="shared" si="12"/>
        <v/>
      </c>
      <c r="X20" s="51" t="str">
        <f t="shared" si="13"/>
        <v/>
      </c>
      <c r="Y20" s="48" t="str">
        <f t="shared" si="35"/>
        <v/>
      </c>
      <c r="Z20" s="48" t="str">
        <f ca="1">IFERROR(INDEX('538'!$Q$9:$U$190,MATCH(Bet!$C20,'538'!$Q$9:$Q$190,0),5),"")</f>
        <v/>
      </c>
      <c r="AA20" t="str">
        <f t="shared" si="36"/>
        <v/>
      </c>
      <c r="AB20">
        <f t="shared" si="14"/>
        <v>0</v>
      </c>
      <c r="AC20" t="str">
        <f t="shared" ca="1" si="37"/>
        <v/>
      </c>
      <c r="AD20" t="str">
        <f t="shared" si="15"/>
        <v/>
      </c>
      <c r="AE20" t="str">
        <f>IFERROR(INDEX(Overview!$A$2:$BF$32,MATCH($A20,Overview!$A$2:$A$32,0),MATCH(AE$2,Overview!$A$2:$BF$2,0)),"")</f>
        <v/>
      </c>
      <c r="AF20" t="str">
        <f>IFERROR(INDEX(Overview!$A$2:$BF$32,MATCH($A20,Overview!$A$2:$A$32,0),MATCH(AF$2,Overview!$A$2:$BF$2,0)),"")</f>
        <v/>
      </c>
      <c r="AG20" t="str">
        <f>IFERROR(INDEX(Overview!$A$2:$BF$32,MATCH($A20,Overview!$A$2:$A$32,0),MATCH(AG$2,Overview!$A$2:$BF$2,0)),"")</f>
        <v/>
      </c>
      <c r="AH20" t="str">
        <f>IFERROR(INDEX(Overview!$A$2:$BF$32,MATCH($A20,Overview!$A$2:$A$32,0),MATCH(AH$2,Overview!$A$2:$BF$2,0)),"")</f>
        <v/>
      </c>
      <c r="AI20" t="str">
        <f>IFERROR(INDEX(Overview!$A$2:$BF$32,MATCH($A20,Overview!$A$2:$A$32,0),MATCH(AI$2,Overview!$A$2:$BF$2,0)),"")</f>
        <v/>
      </c>
      <c r="AJ20" t="str">
        <f>IFERROR(INDEX(Overview!$A$2:$BF$32,MATCH($A20,Overview!$A$2:$A$32,0),MATCH(AJ$2,Overview!$A$2:$BF$2,0)),"")</f>
        <v/>
      </c>
      <c r="AK20" t="str">
        <f>IFERROR(INDEX(Overview!$A$2:$BF$32,MATCH($A20,Overview!$A$2:$A$32,0),MATCH(AK$2,Overview!$A$2:$BF$2,0)),"")</f>
        <v/>
      </c>
      <c r="AL20" t="str">
        <f>IFERROR(INDEX(Overview!$A$2:$BF$32,MATCH($A20,Overview!$A$2:$A$32,0),MATCH(AL$2,Overview!$A$2:$BF$2,0)),"")</f>
        <v/>
      </c>
      <c r="AM20" t="str">
        <f>IFERROR(INDEX(Overview!$A$2:$BF$32,MATCH($A20,Overview!$A$2:$A$32,0),MATCH(AM$2,Overview!$A$2:$BF$2,0)),"")</f>
        <v/>
      </c>
      <c r="AN20" t="str">
        <f>IFERROR(INDEX(Overview!$A$2:$BF$32,MATCH($A20,Overview!$A$2:$A$32,0),MATCH(AN$2,Overview!$A$2:$BF$2,0)),"")</f>
        <v/>
      </c>
      <c r="AO20" t="str">
        <f>IFERROR(INDEX(Overview!$A$2:$BF$32,MATCH($A20,Overview!$A$2:$A$32,0),MATCH(AO$2,Overview!$A$2:$BF$2,0)),"")</f>
        <v/>
      </c>
      <c r="AP20" t="str">
        <f>IFERROR(INDEX(Overview!$A$2:$BM$32,MATCH($A20,Overview!$A$2:$A$32,0),MATCH(AP$2,Overview!$A$2:$BM$2,0)),"")</f>
        <v/>
      </c>
      <c r="AQ20" t="str">
        <f>IFERROR(INDEX(Overview!$A$2:$BM$32,MATCH($A20,Overview!$A$2:$A$32,0),MATCH(AQ$2,Overview!$A$2:$BM$2,0)),"")</f>
        <v/>
      </c>
      <c r="AR20" t="str">
        <f>IFERROR(INDEX(Overview!$A$2:$BM$32,MATCH($A20,Overview!$A$2:$A$32,0),MATCH(AR$2,Overview!$A$2:$BM$2,0)),"")</f>
        <v/>
      </c>
      <c r="AS20" t="str">
        <f>IFERROR(INDEX(Overview!$A$2:$BM$32,MATCH($A20,Overview!$A$2:$A$32,0),MATCH(AS$2,Overview!$A$2:$BM$2,0)),"")</f>
        <v/>
      </c>
      <c r="AT20" t="str">
        <f>IFERROR(INDEX(Overview!$A$2:$BM$32,MATCH($A20,Overview!$A$2:$A$32,0),MATCH(AT$2,Overview!$A$2:$BM$2,0)),"")</f>
        <v/>
      </c>
      <c r="AU20" t="str">
        <f>IFERROR(INDEX(Overview!$A$2:$BM$32,MATCH($A20,Overview!$A$2:$A$32,0),MATCH(AU$2,Overview!$A$2:$BM$2,0)),"")</f>
        <v/>
      </c>
      <c r="AV20" t="str">
        <f>IFERROR(INDEX(Overview!$A$2:$BM$32,MATCH($A20,Overview!$A$2:$A$32,0),MATCH(AV$2,Overview!$A$2:$BM$2,0)),"")</f>
        <v/>
      </c>
      <c r="AW20" t="str">
        <f>IFERROR(INDEX(Overview!$A$2:$BM$32,MATCH($A20,Overview!$A$2:$A$32,0),MATCH(AW$2,Overview!$A$2:$BM$2,0)),"")</f>
        <v/>
      </c>
      <c r="AX20" t="str">
        <f>IFERROR(INDEX(Overview!$A$2:$BM$32,MATCH($A20,Overview!$A$2:$A$32,0),MATCH(AX$2,Overview!$A$2:$BM$2,0)),"")</f>
        <v/>
      </c>
      <c r="AY20" t="str">
        <f>IFERROR(INDEX(Overview!$A$2:$BM$32,MATCH($A20,Overview!$A$2:$A$32,0),MATCH(AY$2,Overview!$A$2:$BM$2,0)),"")</f>
        <v/>
      </c>
      <c r="AZ20" t="str">
        <f>IFERROR(INDEX(Overview!$A$2:$BM$32,MATCH($A20,Overview!$A$2:$A$32,0),MATCH(AZ$2,Overview!$A$2:$BM$2,0)),"")</f>
        <v/>
      </c>
      <c r="BA20" s="79" t="str">
        <f>IFERROR(INDEX(Overview!$A$2:$BM$32,MATCH($A20,Overview!$A$2:$A$32,0),MATCH(BA$2,Overview!$A$2:$BM$2,0)),"")</f>
        <v/>
      </c>
      <c r="BB20" s="79" t="str">
        <f>IFERROR(INDEX(Overview!$A$2:$BM$32,MATCH($A20,Overview!$A$2:$A$32,0),MATCH(BB$2,Overview!$A$2:$BM$2,0)),"")</f>
        <v/>
      </c>
      <c r="BC20" s="79" t="str">
        <f>IFERROR(INDEX(Overview!$A$2:$BM$32,MATCH($A20,Overview!$A$2:$A$32,0),MATCH(BC$2,Overview!$A$2:$BM$2,0)),"")</f>
        <v/>
      </c>
      <c r="BD20" s="79" t="str">
        <f>IFERROR(INDEX(Overview!$A$2:$BM$32,MATCH($A20,Overview!$A$2:$A$32,0),MATCH(BD$2,Overview!$A$2:$BM$2,0)),"")</f>
        <v/>
      </c>
      <c r="BE20" s="79" t="str">
        <f>IFERROR(INDEX(Overview!$A$2:$BM$32,MATCH($A20,Overview!$A$2:$A$32,0),MATCH(BE$2,Overview!$A$2:$BM$2,0)),"")</f>
        <v/>
      </c>
      <c r="BF20" s="79" t="str">
        <f>IFERROR(INDEX(Overview!$A$2:$BM$32,MATCH($A20,Overview!$A$2:$A$32,0),MATCH(BF$2,Overview!$A$2:$BM$2,0)),"")</f>
        <v/>
      </c>
      <c r="BG20" s="79" t="str">
        <f>IFERROR(INDEX(Overview!$A$2:$BM$32,MATCH($A20,Overview!$A$2:$A$32,0),MATCH(BG$2,Overview!$A$2:$BM$2,0)),"")</f>
        <v/>
      </c>
      <c r="BH20" s="79" t="str">
        <f>IFERROR(INDEX(Overview!$A$2:$BM$32,MATCH($A20,Overview!$A$2:$A$32,0),MATCH(BH$2,Overview!$A$2:$BM$2,0)),"")</f>
        <v/>
      </c>
      <c r="BI20" s="79" t="str">
        <f>IFERROR(INDEX(Overview!$A$2:$BM$32,MATCH($A20,Overview!$A$2:$A$32,0),MATCH(BI$2,Overview!$A$2:$BM$2,0)),"")</f>
        <v/>
      </c>
      <c r="BJ20" s="79" t="str">
        <f>IFERROR(INDEX(Overview!$A$2:$BM$32,MATCH($A20,Overview!$A$2:$A$32,0),MATCH(BJ$2,Overview!$A$2:$BM$2,0)),"")</f>
        <v/>
      </c>
      <c r="BK20" s="79" t="str">
        <f>IFERROR(INDEX(Overview!$A$2:$BM$32,MATCH($A20,Overview!$A$2:$A$32,0),MATCH(BK$2,Overview!$A$2:$BM$2,0)),"")</f>
        <v/>
      </c>
      <c r="BL20" s="80" t="str">
        <f>IFERROR(INDEX(Overview!$A$2:$BM$32,MATCH($A20,Overview!$A$2:$A$32,0),MATCH(BL$2,Overview!$A$2:$BM$2,0)+11),"")</f>
        <v/>
      </c>
      <c r="BM20" s="80" t="str">
        <f>IFERROR(INDEX(Overview!$A$2:$BM$32,MATCH($A20,Overview!$A$2:$A$32,0),MATCH(BM$2,Overview!$A$2:$BM$2,0)+11),"")</f>
        <v/>
      </c>
      <c r="BN20" s="80" t="str">
        <f>IFERROR(INDEX(Overview!$A$2:$BM$32,MATCH($A20,Overview!$A$2:$A$32,0),MATCH(BN$2,Overview!$A$2:$BM$2,0)+11),"")</f>
        <v/>
      </c>
      <c r="BO20" s="80" t="str">
        <f>IFERROR(INDEX(Overview!$A$2:$BM$32,MATCH($A20,Overview!$A$2:$A$32,0),MATCH(BO$2,Overview!$A$2:$BM$2,0)+11),"")</f>
        <v/>
      </c>
      <c r="BP20" s="80" t="str">
        <f>IFERROR(INDEX(Overview!$A$2:$BM$32,MATCH($A20,Overview!$A$2:$A$32,0),MATCH(BP$2,Overview!$A$2:$BM$2,0)+11),"")</f>
        <v/>
      </c>
      <c r="BQ20" s="80" t="str">
        <f>IFERROR(INDEX(Overview!$A$2:$BM$32,MATCH($A20,Overview!$A$2:$A$32,0),MATCH(BQ$2,Overview!$A$2:$BM$2,0)+11),"")</f>
        <v/>
      </c>
      <c r="BR20" s="80" t="str">
        <f>IFERROR(INDEX(Overview!$A$2:$BM$32,MATCH($A20,Overview!$A$2:$A$32,0),MATCH(BR$2,Overview!$A$2:$BM$2,0)+11),"")</f>
        <v/>
      </c>
      <c r="BS20" s="80" t="str">
        <f>IFERROR(INDEX(Overview!$A$2:$BM$32,MATCH($A20,Overview!$A$2:$A$32,0),MATCH(BS$2,Overview!$A$2:$BM$2,0)+11),"")</f>
        <v/>
      </c>
      <c r="BT20" s="80" t="str">
        <f>IFERROR(INDEX(Overview!$A$2:$BM$32,MATCH($A20,Overview!$A$2:$A$32,0),MATCH(BT$2,Overview!$A$2:$BM$2,0)+11),"")</f>
        <v/>
      </c>
      <c r="BU20" s="80" t="str">
        <f>IFERROR(INDEX(Overview!$A$2:$BM$32,MATCH($A20,Overview!$A$2:$A$32,0),MATCH(BU$2,Overview!$A$2:$BM$2,0)+11),"")</f>
        <v/>
      </c>
      <c r="BV20" s="80" t="str">
        <f>IFERROR(INDEX(Overview!$A$2:$BM$32,MATCH($A20,Overview!$A$2:$A$32,0),MATCH(BV$2,Overview!$A$2:$BM$2,0)+11),"")</f>
        <v/>
      </c>
      <c r="BW20" s="82" t="str">
        <f t="shared" si="16"/>
        <v/>
      </c>
      <c r="BX20" s="82" t="str">
        <f t="shared" si="17"/>
        <v/>
      </c>
      <c r="BY20" s="82" t="str">
        <f t="shared" si="18"/>
        <v/>
      </c>
      <c r="BZ20" s="82" t="str">
        <f t="shared" si="19"/>
        <v/>
      </c>
      <c r="CA20" s="82" t="str">
        <f t="shared" si="20"/>
        <v/>
      </c>
      <c r="CB20" s="82" t="str">
        <f t="shared" si="21"/>
        <v/>
      </c>
      <c r="CC20" s="82" t="str">
        <f t="shared" si="22"/>
        <v/>
      </c>
      <c r="CD20" s="82" t="str">
        <f t="shared" si="23"/>
        <v/>
      </c>
      <c r="CE20" s="82" t="str">
        <f t="shared" si="24"/>
        <v/>
      </c>
      <c r="CF20" s="82" t="str">
        <f t="shared" si="25"/>
        <v/>
      </c>
      <c r="CG20" s="82" t="str">
        <f t="shared" si="26"/>
        <v/>
      </c>
      <c r="CH20" s="83" t="str">
        <f t="shared" si="38"/>
        <v/>
      </c>
      <c r="CI20" s="83" t="str">
        <f t="shared" si="39"/>
        <v/>
      </c>
      <c r="CJ20" s="83" t="str">
        <f t="shared" si="40"/>
        <v/>
      </c>
      <c r="CK20" s="83" t="str">
        <f t="shared" si="41"/>
        <v/>
      </c>
      <c r="CL20" s="83" t="str">
        <f t="shared" si="42"/>
        <v/>
      </c>
      <c r="CM20" s="83" t="str">
        <f t="shared" si="43"/>
        <v/>
      </c>
      <c r="CN20" s="83" t="str">
        <f t="shared" si="44"/>
        <v/>
      </c>
      <c r="CO20" s="83" t="str">
        <f t="shared" si="45"/>
        <v/>
      </c>
      <c r="CP20" s="83" t="str">
        <f t="shared" si="46"/>
        <v/>
      </c>
      <c r="CQ20" s="83" t="str">
        <f t="shared" si="47"/>
        <v/>
      </c>
      <c r="CR20" s="83" t="str">
        <f t="shared" si="48"/>
        <v/>
      </c>
      <c r="CV20">
        <f>Overview!BO19</f>
        <v>-3.187118859503733</v>
      </c>
      <c r="CW20">
        <f>Overview!BP19</f>
        <v>8.5813443920815118</v>
      </c>
      <c r="CX20">
        <f>Overview!BQ19</f>
        <v>2.887704083095378</v>
      </c>
      <c r="CY20">
        <f>Overview!BR19</f>
        <v>-15.729099439146587</v>
      </c>
      <c r="CZ20">
        <f>Overview!BS19</f>
        <v>-0.60935209286985725</v>
      </c>
      <c r="DA20">
        <f>Overview!BT19</f>
        <v>-2.4152512802217141E-2</v>
      </c>
      <c r="DB20">
        <f>Overview!BU19</f>
        <v>-18.867116863972186</v>
      </c>
      <c r="DC20">
        <f>Overview!BV19</f>
        <v>97.251109508601928</v>
      </c>
      <c r="DD20">
        <f>Overview!BW19</f>
        <v>12.598627472795998</v>
      </c>
      <c r="DE20">
        <f>Overview!BX19</f>
        <v>-17.533482824859316</v>
      </c>
      <c r="DF20">
        <f>Overview!BY19</f>
        <v>-21.913401181259459</v>
      </c>
      <c r="DG20">
        <f>Overview!BZ19</f>
        <v>16.909645863110409</v>
      </c>
      <c r="DH20">
        <f>Overview!CA19</f>
        <v>0</v>
      </c>
      <c r="DI20">
        <f>Overview!CB19</f>
        <v>0</v>
      </c>
      <c r="DM20">
        <f t="shared" si="28"/>
        <v>0</v>
      </c>
      <c r="DN20">
        <f t="shared" si="29"/>
        <v>0</v>
      </c>
      <c r="DP20">
        <f t="shared" ca="1" si="49"/>
        <v>1</v>
      </c>
      <c r="DQ20" t="str">
        <f t="shared" ca="1" si="30"/>
        <v/>
      </c>
      <c r="DR20" t="str">
        <f t="shared" ca="1" si="50"/>
        <v/>
      </c>
      <c r="DS20" t="str">
        <f t="shared" ca="1" si="31"/>
        <v/>
      </c>
      <c r="DT20" t="str">
        <f t="shared" ca="1" si="51"/>
        <v/>
      </c>
      <c r="DU20">
        <f t="shared" ca="1" si="52"/>
        <v>1</v>
      </c>
      <c r="DV20" t="str">
        <f t="shared" si="32"/>
        <v/>
      </c>
      <c r="DW20" t="str">
        <f t="shared" si="53"/>
        <v/>
      </c>
      <c r="DX20" t="str">
        <f t="shared" si="64"/>
        <v/>
      </c>
      <c r="DZ20" t="str">
        <f t="shared" ca="1" si="54"/>
        <v/>
      </c>
      <c r="EA20" t="str">
        <f t="shared" ca="1" si="55"/>
        <v/>
      </c>
      <c r="EB20" s="84" t="str">
        <f t="shared" ca="1" si="56"/>
        <v/>
      </c>
      <c r="EC20" s="1" t="str">
        <f t="shared" ref="EC20:EC62" ca="1" si="77">IFERROR(VLOOKUP(ROW()-2,$DP$3:$DS$34,4,0),"")</f>
        <v/>
      </c>
      <c r="ED20" t="str">
        <f t="shared" ca="1" si="57"/>
        <v/>
      </c>
      <c r="EE20" t="str">
        <f t="shared" ca="1" si="58"/>
        <v/>
      </c>
      <c r="EF20" t="str">
        <f t="shared" ca="1" si="59"/>
        <v/>
      </c>
      <c r="EJ20" t="str">
        <f ca="1">'538'!Q25</f>
        <v/>
      </c>
      <c r="EK20" t="str">
        <f ca="1">'538'!T25</f>
        <v/>
      </c>
    </row>
    <row r="21" spans="1:141" x14ac:dyDescent="0.25">
      <c r="A21" s="28" t="str">
        <f>IFERROR(INDEX(Overview!$A$3:$B$32,MATCH(Bet!$C21,Overview!$B$3:$B$32,0),1),"X")</f>
        <v>X</v>
      </c>
      <c r="B21" s="28" t="str">
        <f>IF(ISBLANK(C21),"",IFERROR(INDEX(Pitchers[],MATCH(F21,Pitchers[Player],0),MATCH(G$2,Pitchers[#Headers],0)),"X"))</f>
        <v/>
      </c>
      <c r="C21" s="2"/>
      <c r="D21" s="3"/>
      <c r="E21" s="95"/>
      <c r="F21" s="50"/>
      <c r="G21" s="48">
        <f>IFERROR(INDEX(Pitchers[],MATCH(Bet!F21,Pitchers[Player],0),MATCH(G$2,Pitchers[#Headers],0)),PlayerPitching!$AD$12)</f>
        <v>-0.13933069723404246</v>
      </c>
      <c r="H21" s="48" t="str">
        <f>IF(ISNUMBER(CODE(C21)),INDEX(Scores!$P$2:$T$33,MATCH($C21,Scores!$R$2:$R$33,0),4),"")</f>
        <v/>
      </c>
      <c r="I21" s="48" t="str">
        <f>IF(ISNUMBER(CODE(C21)),IF(INDEX(Scores!$P$2:$T$33,MATCH($C21,Scores!$R$2:$R$33,0),5)=0,1,INDEX(Scores!$P$2:$T$33,MATCH($C21,Scores!$R$2:$R$33,0),5)),"")</f>
        <v/>
      </c>
      <c r="J21" s="48">
        <f t="shared" si="1"/>
        <v>-1.9641098805067554</v>
      </c>
      <c r="K21" s="49">
        <f t="shared" si="68"/>
        <v>-9.4751509617551655</v>
      </c>
      <c r="L21" s="49">
        <f t="shared" si="69"/>
        <v>16.909645863110409</v>
      </c>
      <c r="M21" s="49">
        <f t="shared" si="70"/>
        <v>10.056673523576878</v>
      </c>
      <c r="N21" s="49">
        <f t="shared" si="71"/>
        <v>9.3029121378439612</v>
      </c>
      <c r="O21" s="49">
        <f t="shared" si="72"/>
        <v>2.0342481123324334</v>
      </c>
      <c r="P21" s="49">
        <f t="shared" si="73"/>
        <v>5.6685801250881971</v>
      </c>
      <c r="Q21" s="49" t="str">
        <f>IFERROR(_xlfn.NORM.INV(INDEX(Scores!$P$2:$U$33,MATCH($C21,Scores!$R$2:$R$33,0),6),H21,I21),"")</f>
        <v/>
      </c>
      <c r="R21" s="49" t="str">
        <f t="shared" si="74"/>
        <v/>
      </c>
      <c r="S21" s="49" t="str">
        <f t="shared" si="75"/>
        <v/>
      </c>
      <c r="T21" s="49" t="str">
        <f t="shared" si="76"/>
        <v/>
      </c>
      <c r="U21" s="95" t="str">
        <f t="shared" si="67"/>
        <v/>
      </c>
      <c r="V21" s="67" t="str">
        <f t="shared" si="11"/>
        <v/>
      </c>
      <c r="W21" s="66" t="str">
        <f t="shared" si="12"/>
        <v/>
      </c>
      <c r="X21" s="50" t="str">
        <f t="shared" si="13"/>
        <v/>
      </c>
      <c r="Y21" s="48" t="str">
        <f t="shared" si="35"/>
        <v/>
      </c>
      <c r="Z21" s="48" t="str">
        <f ca="1">IFERROR(INDEX('538'!$Q$9:$U$190,MATCH(Bet!$C21,'538'!$Q$9:$Q$190,0),5),"")</f>
        <v/>
      </c>
      <c r="AA21" t="str">
        <f t="shared" si="36"/>
        <v/>
      </c>
      <c r="AB21">
        <f t="shared" si="14"/>
        <v>0</v>
      </c>
      <c r="AC21" t="str">
        <f t="shared" ca="1" si="37"/>
        <v/>
      </c>
      <c r="AD21" t="str">
        <f t="shared" si="15"/>
        <v/>
      </c>
      <c r="AE21" t="str">
        <f>IFERROR(INDEX(Overview!$A$2:$BF$32,MATCH($A21,Overview!$A$2:$A$32,0),MATCH(AE$2,Overview!$A$2:$BF$2,0)),"")</f>
        <v/>
      </c>
      <c r="AF21" t="str">
        <f>IFERROR(INDEX(Overview!$A$2:$BF$32,MATCH($A21,Overview!$A$2:$A$32,0),MATCH(AF$2,Overview!$A$2:$BF$2,0)),"")</f>
        <v/>
      </c>
      <c r="AG21" t="str">
        <f>IFERROR(INDEX(Overview!$A$2:$BF$32,MATCH($A21,Overview!$A$2:$A$32,0),MATCH(AG$2,Overview!$A$2:$BF$2,0)),"")</f>
        <v/>
      </c>
      <c r="AH21" t="str">
        <f>IFERROR(INDEX(Overview!$A$2:$BF$32,MATCH($A21,Overview!$A$2:$A$32,0),MATCH(AH$2,Overview!$A$2:$BF$2,0)),"")</f>
        <v/>
      </c>
      <c r="AI21" t="str">
        <f>IFERROR(INDEX(Overview!$A$2:$BF$32,MATCH($A21,Overview!$A$2:$A$32,0),MATCH(AI$2,Overview!$A$2:$BF$2,0)),"")</f>
        <v/>
      </c>
      <c r="AJ21" t="str">
        <f>IFERROR(INDEX(Overview!$A$2:$BF$32,MATCH($A21,Overview!$A$2:$A$32,0),MATCH(AJ$2,Overview!$A$2:$BF$2,0)),"")</f>
        <v/>
      </c>
      <c r="AK21" t="str">
        <f>IFERROR(INDEX(Overview!$A$2:$BF$32,MATCH($A21,Overview!$A$2:$A$32,0),MATCH(AK$2,Overview!$A$2:$BF$2,0)),"")</f>
        <v/>
      </c>
      <c r="AL21" t="str">
        <f>IFERROR(INDEX(Overview!$A$2:$BF$32,MATCH($A21,Overview!$A$2:$A$32,0),MATCH(AL$2,Overview!$A$2:$BF$2,0)),"")</f>
        <v/>
      </c>
      <c r="AM21" t="str">
        <f>IFERROR(INDEX(Overview!$A$2:$BF$32,MATCH($A21,Overview!$A$2:$A$32,0),MATCH(AM$2,Overview!$A$2:$BF$2,0)),"")</f>
        <v/>
      </c>
      <c r="AN21" t="str">
        <f>IFERROR(INDEX(Overview!$A$2:$BF$32,MATCH($A21,Overview!$A$2:$A$32,0),MATCH(AN$2,Overview!$A$2:$BF$2,0)),"")</f>
        <v/>
      </c>
      <c r="AO21" t="str">
        <f>IFERROR(INDEX(Overview!$A$2:$BF$32,MATCH($A21,Overview!$A$2:$A$32,0),MATCH(AO$2,Overview!$A$2:$BF$2,0)),"")</f>
        <v/>
      </c>
      <c r="AP21" t="str">
        <f>IFERROR(INDEX(Overview!$A$2:$BM$32,MATCH($A21,Overview!$A$2:$A$32,0),MATCH(AP$2,Overview!$A$2:$BM$2,0)),"")</f>
        <v/>
      </c>
      <c r="AQ21" t="str">
        <f>IFERROR(INDEX(Overview!$A$2:$BM$32,MATCH($A21,Overview!$A$2:$A$32,0),MATCH(AQ$2,Overview!$A$2:$BM$2,0)),"")</f>
        <v/>
      </c>
      <c r="AR21" t="str">
        <f>IFERROR(INDEX(Overview!$A$2:$BM$32,MATCH($A21,Overview!$A$2:$A$32,0),MATCH(AR$2,Overview!$A$2:$BM$2,0)),"")</f>
        <v/>
      </c>
      <c r="AS21" t="str">
        <f>IFERROR(INDEX(Overview!$A$2:$BM$32,MATCH($A21,Overview!$A$2:$A$32,0),MATCH(AS$2,Overview!$A$2:$BM$2,0)),"")</f>
        <v/>
      </c>
      <c r="AT21" t="str">
        <f>IFERROR(INDEX(Overview!$A$2:$BM$32,MATCH($A21,Overview!$A$2:$A$32,0),MATCH(AT$2,Overview!$A$2:$BM$2,0)),"")</f>
        <v/>
      </c>
      <c r="AU21" t="str">
        <f>IFERROR(INDEX(Overview!$A$2:$BM$32,MATCH($A21,Overview!$A$2:$A$32,0),MATCH(AU$2,Overview!$A$2:$BM$2,0)),"")</f>
        <v/>
      </c>
      <c r="AV21" t="str">
        <f>IFERROR(INDEX(Overview!$A$2:$BM$32,MATCH($A21,Overview!$A$2:$A$32,0),MATCH(AV$2,Overview!$A$2:$BM$2,0)),"")</f>
        <v/>
      </c>
      <c r="AW21" t="str">
        <f>IFERROR(INDEX(Overview!$A$2:$BM$32,MATCH($A21,Overview!$A$2:$A$32,0),MATCH(AW$2,Overview!$A$2:$BM$2,0)),"")</f>
        <v/>
      </c>
      <c r="AX21" t="str">
        <f>IFERROR(INDEX(Overview!$A$2:$BM$32,MATCH($A21,Overview!$A$2:$A$32,0),MATCH(AX$2,Overview!$A$2:$BM$2,0)),"")</f>
        <v/>
      </c>
      <c r="AY21" t="str">
        <f>IFERROR(INDEX(Overview!$A$2:$BM$32,MATCH($A21,Overview!$A$2:$A$32,0),MATCH(AY$2,Overview!$A$2:$BM$2,0)),"")</f>
        <v/>
      </c>
      <c r="AZ21" t="str">
        <f>IFERROR(INDEX(Overview!$A$2:$BM$32,MATCH($A21,Overview!$A$2:$A$32,0),MATCH(AZ$2,Overview!$A$2:$BM$2,0)),"")</f>
        <v/>
      </c>
      <c r="BA21" s="79" t="str">
        <f>IFERROR(INDEX(Overview!$A$2:$BM$32,MATCH($A21,Overview!$A$2:$A$32,0),MATCH(BA$2,Overview!$A$2:$BM$2,0)),"")</f>
        <v/>
      </c>
      <c r="BB21" s="79" t="str">
        <f>IFERROR(INDEX(Overview!$A$2:$BM$32,MATCH($A21,Overview!$A$2:$A$32,0),MATCH(BB$2,Overview!$A$2:$BM$2,0)),"")</f>
        <v/>
      </c>
      <c r="BC21" s="79" t="str">
        <f>IFERROR(INDEX(Overview!$A$2:$BM$32,MATCH($A21,Overview!$A$2:$A$32,0),MATCH(BC$2,Overview!$A$2:$BM$2,0)),"")</f>
        <v/>
      </c>
      <c r="BD21" s="79" t="str">
        <f>IFERROR(INDEX(Overview!$A$2:$BM$32,MATCH($A21,Overview!$A$2:$A$32,0),MATCH(BD$2,Overview!$A$2:$BM$2,0)),"")</f>
        <v/>
      </c>
      <c r="BE21" s="79" t="str">
        <f>IFERROR(INDEX(Overview!$A$2:$BM$32,MATCH($A21,Overview!$A$2:$A$32,0),MATCH(BE$2,Overview!$A$2:$BM$2,0)),"")</f>
        <v/>
      </c>
      <c r="BF21" s="79" t="str">
        <f>IFERROR(INDEX(Overview!$A$2:$BM$32,MATCH($A21,Overview!$A$2:$A$32,0),MATCH(BF$2,Overview!$A$2:$BM$2,0)),"")</f>
        <v/>
      </c>
      <c r="BG21" s="79" t="str">
        <f>IFERROR(INDEX(Overview!$A$2:$BM$32,MATCH($A21,Overview!$A$2:$A$32,0),MATCH(BG$2,Overview!$A$2:$BM$2,0)),"")</f>
        <v/>
      </c>
      <c r="BH21" s="79" t="str">
        <f>IFERROR(INDEX(Overview!$A$2:$BM$32,MATCH($A21,Overview!$A$2:$A$32,0),MATCH(BH$2,Overview!$A$2:$BM$2,0)),"")</f>
        <v/>
      </c>
      <c r="BI21" s="79" t="str">
        <f>IFERROR(INDEX(Overview!$A$2:$BM$32,MATCH($A21,Overview!$A$2:$A$32,0),MATCH(BI$2,Overview!$A$2:$BM$2,0)),"")</f>
        <v/>
      </c>
      <c r="BJ21" s="79" t="str">
        <f>IFERROR(INDEX(Overview!$A$2:$BM$32,MATCH($A21,Overview!$A$2:$A$32,0),MATCH(BJ$2,Overview!$A$2:$BM$2,0)),"")</f>
        <v/>
      </c>
      <c r="BK21" s="79" t="str">
        <f>IFERROR(INDEX(Overview!$A$2:$BM$32,MATCH($A21,Overview!$A$2:$A$32,0),MATCH(BK$2,Overview!$A$2:$BM$2,0)),"")</f>
        <v/>
      </c>
      <c r="BL21" s="80" t="str">
        <f>IFERROR(INDEX(Overview!$A$2:$BM$32,MATCH($A21,Overview!$A$2:$A$32,0),MATCH(BL$2,Overview!$A$2:$BM$2,0)+11),"")</f>
        <v/>
      </c>
      <c r="BM21" s="80" t="str">
        <f>IFERROR(INDEX(Overview!$A$2:$BM$32,MATCH($A21,Overview!$A$2:$A$32,0),MATCH(BM$2,Overview!$A$2:$BM$2,0)+11),"")</f>
        <v/>
      </c>
      <c r="BN21" s="80" t="str">
        <f>IFERROR(INDEX(Overview!$A$2:$BM$32,MATCH($A21,Overview!$A$2:$A$32,0),MATCH(BN$2,Overview!$A$2:$BM$2,0)+11),"")</f>
        <v/>
      </c>
      <c r="BO21" s="80" t="str">
        <f>IFERROR(INDEX(Overview!$A$2:$BM$32,MATCH($A21,Overview!$A$2:$A$32,0),MATCH(BO$2,Overview!$A$2:$BM$2,0)+11),"")</f>
        <v/>
      </c>
      <c r="BP21" s="80" t="str">
        <f>IFERROR(INDEX(Overview!$A$2:$BM$32,MATCH($A21,Overview!$A$2:$A$32,0),MATCH(BP$2,Overview!$A$2:$BM$2,0)+11),"")</f>
        <v/>
      </c>
      <c r="BQ21" s="80" t="str">
        <f>IFERROR(INDEX(Overview!$A$2:$BM$32,MATCH($A21,Overview!$A$2:$A$32,0),MATCH(BQ$2,Overview!$A$2:$BM$2,0)+11),"")</f>
        <v/>
      </c>
      <c r="BR21" s="80" t="str">
        <f>IFERROR(INDEX(Overview!$A$2:$BM$32,MATCH($A21,Overview!$A$2:$A$32,0),MATCH(BR$2,Overview!$A$2:$BM$2,0)+11),"")</f>
        <v/>
      </c>
      <c r="BS21" s="80" t="str">
        <f>IFERROR(INDEX(Overview!$A$2:$BM$32,MATCH($A21,Overview!$A$2:$A$32,0),MATCH(BS$2,Overview!$A$2:$BM$2,0)+11),"")</f>
        <v/>
      </c>
      <c r="BT21" s="80" t="str">
        <f>IFERROR(INDEX(Overview!$A$2:$BM$32,MATCH($A21,Overview!$A$2:$A$32,0),MATCH(BT$2,Overview!$A$2:$BM$2,0)+11),"")</f>
        <v/>
      </c>
      <c r="BU21" s="80" t="str">
        <f>IFERROR(INDEX(Overview!$A$2:$BM$32,MATCH($A21,Overview!$A$2:$A$32,0),MATCH(BU$2,Overview!$A$2:$BM$2,0)+11),"")</f>
        <v/>
      </c>
      <c r="BV21" s="80" t="str">
        <f>IFERROR(INDEX(Overview!$A$2:$BM$32,MATCH($A21,Overview!$A$2:$A$32,0),MATCH(BV$2,Overview!$A$2:$BM$2,0)+11),"")</f>
        <v/>
      </c>
      <c r="BW21" s="82" t="str">
        <f t="shared" si="16"/>
        <v/>
      </c>
      <c r="BX21" s="82" t="str">
        <f t="shared" si="17"/>
        <v/>
      </c>
      <c r="BY21" s="82" t="str">
        <f t="shared" si="18"/>
        <v/>
      </c>
      <c r="BZ21" s="82" t="str">
        <f t="shared" si="19"/>
        <v/>
      </c>
      <c r="CA21" s="82" t="str">
        <f t="shared" si="20"/>
        <v/>
      </c>
      <c r="CB21" s="82" t="str">
        <f t="shared" si="21"/>
        <v/>
      </c>
      <c r="CC21" s="82" t="str">
        <f t="shared" si="22"/>
        <v/>
      </c>
      <c r="CD21" s="82" t="str">
        <f t="shared" si="23"/>
        <v/>
      </c>
      <c r="CE21" s="82" t="str">
        <f t="shared" si="24"/>
        <v/>
      </c>
      <c r="CF21" s="82" t="str">
        <f t="shared" si="25"/>
        <v/>
      </c>
      <c r="CG21" s="82" t="str">
        <f t="shared" si="26"/>
        <v/>
      </c>
      <c r="CH21" s="83" t="str">
        <f t="shared" si="38"/>
        <v/>
      </c>
      <c r="CI21" s="83" t="str">
        <f t="shared" si="39"/>
        <v/>
      </c>
      <c r="CJ21" s="83" t="str">
        <f t="shared" si="40"/>
        <v/>
      </c>
      <c r="CK21" s="83" t="str">
        <f t="shared" si="41"/>
        <v/>
      </c>
      <c r="CL21" s="83" t="str">
        <f t="shared" si="42"/>
        <v/>
      </c>
      <c r="CM21" s="83" t="str">
        <f t="shared" si="43"/>
        <v/>
      </c>
      <c r="CN21" s="83" t="str">
        <f t="shared" si="44"/>
        <v/>
      </c>
      <c r="CO21" s="83" t="str">
        <f t="shared" si="45"/>
        <v/>
      </c>
      <c r="CP21" s="83" t="str">
        <f t="shared" si="46"/>
        <v/>
      </c>
      <c r="CQ21" s="83" t="str">
        <f t="shared" si="47"/>
        <v/>
      </c>
      <c r="CR21" s="83" t="str">
        <f t="shared" si="48"/>
        <v/>
      </c>
      <c r="CV21">
        <f>Overview!BO20</f>
        <v>3.0017278340341296</v>
      </c>
      <c r="CW21">
        <f>Overview!BP20</f>
        <v>16.041501176699377</v>
      </c>
      <c r="CX21">
        <f>Overview!BQ20</f>
        <v>2.8105116155572514</v>
      </c>
      <c r="CY21">
        <f>Overview!BR20</f>
        <v>6.1234392307813161</v>
      </c>
      <c r="CZ21">
        <f>Overview!BS20</f>
        <v>0.75337300328670731</v>
      </c>
      <c r="DA21">
        <f>Overview!BT20</f>
        <v>1.2376073198510855</v>
      </c>
      <c r="DB21">
        <f>Overview!BU20</f>
        <v>2.5180382036962183</v>
      </c>
      <c r="DC21">
        <f>Overview!BV20</f>
        <v>9.2183231726512691</v>
      </c>
      <c r="DD21">
        <f>Overview!BW20</f>
        <v>5.9210680750490852</v>
      </c>
      <c r="DE21">
        <f>Overview!BX20</f>
        <v>4.8410045024660535</v>
      </c>
      <c r="DF21">
        <f>Overview!BY20</f>
        <v>43.431091257653428</v>
      </c>
      <c r="DG21">
        <f>Overview!BZ20</f>
        <v>5.3599285404623789</v>
      </c>
      <c r="DH21">
        <f>Overview!CA20</f>
        <v>0</v>
      </c>
      <c r="DI21">
        <f>Overview!CB20</f>
        <v>0</v>
      </c>
      <c r="DM21">
        <f t="shared" si="28"/>
        <v>0</v>
      </c>
      <c r="DN21">
        <f t="shared" si="29"/>
        <v>0</v>
      </c>
      <c r="DP21">
        <f t="shared" ca="1" si="49"/>
        <v>1</v>
      </c>
      <c r="DQ21" t="str">
        <f t="shared" ca="1" si="30"/>
        <v/>
      </c>
      <c r="DR21" t="str">
        <f t="shared" ca="1" si="50"/>
        <v/>
      </c>
      <c r="DS21" t="str">
        <f t="shared" ca="1" si="31"/>
        <v/>
      </c>
      <c r="DT21" t="str">
        <f t="shared" ca="1" si="51"/>
        <v/>
      </c>
      <c r="DU21">
        <f t="shared" ca="1" si="52"/>
        <v>1</v>
      </c>
      <c r="DV21" t="str">
        <f t="shared" si="32"/>
        <v/>
      </c>
      <c r="DW21" t="str">
        <f t="shared" si="53"/>
        <v/>
      </c>
      <c r="DX21" t="str">
        <f t="shared" si="64"/>
        <v/>
      </c>
      <c r="DZ21" t="str">
        <f t="shared" ca="1" si="54"/>
        <v/>
      </c>
      <c r="EA21" t="str">
        <f t="shared" ca="1" si="55"/>
        <v/>
      </c>
      <c r="EB21" s="84" t="str">
        <f t="shared" ca="1" si="56"/>
        <v/>
      </c>
      <c r="EC21" s="1" t="str">
        <f t="shared" ca="1" si="77"/>
        <v/>
      </c>
      <c r="ED21" t="str">
        <f t="shared" ca="1" si="57"/>
        <v/>
      </c>
      <c r="EE21" t="str">
        <f t="shared" ca="1" si="58"/>
        <v/>
      </c>
      <c r="EF21" t="str">
        <f t="shared" ca="1" si="59"/>
        <v/>
      </c>
      <c r="EJ21" t="str">
        <f ca="1">'538'!Q26</f>
        <v/>
      </c>
      <c r="EK21" t="str">
        <f ca="1">'538'!T26</f>
        <v/>
      </c>
    </row>
    <row r="22" spans="1:141" ht="15.75" thickBot="1" x14ac:dyDescent="0.3">
      <c r="A22" s="28" t="str">
        <f>IFERROR(INDEX(Overview!$A$3:$B$32,MATCH(Bet!$C22,Overview!$B$3:$B$32,0),1),"X")</f>
        <v>X</v>
      </c>
      <c r="B22" s="28" t="str">
        <f>IF(ISBLANK(C22),"",IFERROR(INDEX(Pitchers[],MATCH(F22,Pitchers[Player],0),MATCH(G$2,Pitchers[#Headers],0)),"X"))</f>
        <v/>
      </c>
      <c r="C22" s="4"/>
      <c r="D22" s="10"/>
      <c r="E22" s="96"/>
      <c r="F22" s="51"/>
      <c r="G22" s="48">
        <f>IFERROR(INDEX(Pitchers[],MATCH(Bet!F22,Pitchers[Player],0),MATCH(G$2,Pitchers[#Headers],0)),PlayerPitching!$AD$12)</f>
        <v>-0.13933069723404246</v>
      </c>
      <c r="H22" s="48" t="str">
        <f>IF(ISNUMBER(CODE(C22)),INDEX(Scores!$P$2:$T$33,MATCH($C22,Scores!$R$2:$R$33,0),4),"")</f>
        <v/>
      </c>
      <c r="I22" s="48" t="str">
        <f>IF(ISNUMBER(CODE(C22)),IF(INDEX(Scores!$P$2:$T$33,MATCH($C22,Scores!$R$2:$R$33,0),5)=0,1,INDEX(Scores!$P$2:$T$33,MATCH($C22,Scores!$R$2:$R$33,0),5)),"")</f>
        <v/>
      </c>
      <c r="J22" s="48">
        <f t="shared" si="1"/>
        <v>-1.9641098805067554</v>
      </c>
      <c r="K22" s="49">
        <f t="shared" si="68"/>
        <v>-9.4751509617551655</v>
      </c>
      <c r="L22" s="49">
        <f t="shared" si="69"/>
        <v>16.909645863110409</v>
      </c>
      <c r="M22" s="49">
        <f t="shared" si="70"/>
        <v>10.056673523576878</v>
      </c>
      <c r="N22" s="49">
        <f t="shared" si="71"/>
        <v>9.3029121378439612</v>
      </c>
      <c r="O22" s="49">
        <f t="shared" si="72"/>
        <v>2.0342481123324334</v>
      </c>
      <c r="P22" s="49">
        <f t="shared" si="73"/>
        <v>5.6685801250881971</v>
      </c>
      <c r="Q22" s="49" t="str">
        <f>IFERROR(_xlfn.NORM.INV(INDEX(Scores!$P$2:$U$33,MATCH($C22,Scores!$R$2:$R$33,0),6),H22,I22),"")</f>
        <v/>
      </c>
      <c r="R22" s="49" t="str">
        <f t="shared" si="74"/>
        <v/>
      </c>
      <c r="S22" s="49" t="str">
        <f t="shared" si="75"/>
        <v/>
      </c>
      <c r="T22" s="49" t="str">
        <f t="shared" si="76"/>
        <v/>
      </c>
      <c r="U22" s="96"/>
      <c r="V22" s="68" t="str">
        <f t="shared" si="11"/>
        <v/>
      </c>
      <c r="W22" s="66" t="str">
        <f t="shared" si="12"/>
        <v/>
      </c>
      <c r="X22" s="51" t="str">
        <f t="shared" si="13"/>
        <v/>
      </c>
      <c r="Y22" s="48" t="str">
        <f t="shared" si="35"/>
        <v/>
      </c>
      <c r="Z22" s="48" t="str">
        <f ca="1">IFERROR(INDEX('538'!$Q$9:$U$190,MATCH(Bet!$C22,'538'!$Q$9:$Q$190,0),5),"")</f>
        <v/>
      </c>
      <c r="AA22" t="str">
        <f t="shared" si="36"/>
        <v/>
      </c>
      <c r="AB22">
        <f t="shared" si="14"/>
        <v>0</v>
      </c>
      <c r="AC22" t="str">
        <f t="shared" ca="1" si="37"/>
        <v/>
      </c>
      <c r="AD22" t="str">
        <f t="shared" si="15"/>
        <v/>
      </c>
      <c r="AE22" t="str">
        <f>IFERROR(INDEX(Overview!$A$2:$BF$32,MATCH($A22,Overview!$A$2:$A$32,0),MATCH(AE$2,Overview!$A$2:$BF$2,0)),"")</f>
        <v/>
      </c>
      <c r="AF22" t="str">
        <f>IFERROR(INDEX(Overview!$A$2:$BF$32,MATCH($A22,Overview!$A$2:$A$32,0),MATCH(AF$2,Overview!$A$2:$BF$2,0)),"")</f>
        <v/>
      </c>
      <c r="AG22" t="str">
        <f>IFERROR(INDEX(Overview!$A$2:$BF$32,MATCH($A22,Overview!$A$2:$A$32,0),MATCH(AG$2,Overview!$A$2:$BF$2,0)),"")</f>
        <v/>
      </c>
      <c r="AH22" t="str">
        <f>IFERROR(INDEX(Overview!$A$2:$BF$32,MATCH($A22,Overview!$A$2:$A$32,0),MATCH(AH$2,Overview!$A$2:$BF$2,0)),"")</f>
        <v/>
      </c>
      <c r="AI22" t="str">
        <f>IFERROR(INDEX(Overview!$A$2:$BF$32,MATCH($A22,Overview!$A$2:$A$32,0),MATCH(AI$2,Overview!$A$2:$BF$2,0)),"")</f>
        <v/>
      </c>
      <c r="AJ22" t="str">
        <f>IFERROR(INDEX(Overview!$A$2:$BF$32,MATCH($A22,Overview!$A$2:$A$32,0),MATCH(AJ$2,Overview!$A$2:$BF$2,0)),"")</f>
        <v/>
      </c>
      <c r="AK22" t="str">
        <f>IFERROR(INDEX(Overview!$A$2:$BF$32,MATCH($A22,Overview!$A$2:$A$32,0),MATCH(AK$2,Overview!$A$2:$BF$2,0)),"")</f>
        <v/>
      </c>
      <c r="AL22" t="str">
        <f>IFERROR(INDEX(Overview!$A$2:$BF$32,MATCH($A22,Overview!$A$2:$A$32,0),MATCH(AL$2,Overview!$A$2:$BF$2,0)),"")</f>
        <v/>
      </c>
      <c r="AM22" t="str">
        <f>IFERROR(INDEX(Overview!$A$2:$BF$32,MATCH($A22,Overview!$A$2:$A$32,0),MATCH(AM$2,Overview!$A$2:$BF$2,0)),"")</f>
        <v/>
      </c>
      <c r="AN22" t="str">
        <f>IFERROR(INDEX(Overview!$A$2:$BF$32,MATCH($A22,Overview!$A$2:$A$32,0),MATCH(AN$2,Overview!$A$2:$BF$2,0)),"")</f>
        <v/>
      </c>
      <c r="AO22" t="str">
        <f>IFERROR(INDEX(Overview!$A$2:$BF$32,MATCH($A22,Overview!$A$2:$A$32,0),MATCH(AO$2,Overview!$A$2:$BF$2,0)),"")</f>
        <v/>
      </c>
      <c r="AP22" t="str">
        <f>IFERROR(INDEX(Overview!$A$2:$BM$32,MATCH($A22,Overview!$A$2:$A$32,0),MATCH(AP$2,Overview!$A$2:$BM$2,0)),"")</f>
        <v/>
      </c>
      <c r="AQ22" t="str">
        <f>IFERROR(INDEX(Overview!$A$2:$BM$32,MATCH($A22,Overview!$A$2:$A$32,0),MATCH(AQ$2,Overview!$A$2:$BM$2,0)),"")</f>
        <v/>
      </c>
      <c r="AR22" t="str">
        <f>IFERROR(INDEX(Overview!$A$2:$BM$32,MATCH($A22,Overview!$A$2:$A$32,0),MATCH(AR$2,Overview!$A$2:$BM$2,0)),"")</f>
        <v/>
      </c>
      <c r="AS22" t="str">
        <f>IFERROR(INDEX(Overview!$A$2:$BM$32,MATCH($A22,Overview!$A$2:$A$32,0),MATCH(AS$2,Overview!$A$2:$BM$2,0)),"")</f>
        <v/>
      </c>
      <c r="AT22" t="str">
        <f>IFERROR(INDEX(Overview!$A$2:$BM$32,MATCH($A22,Overview!$A$2:$A$32,0),MATCH(AT$2,Overview!$A$2:$BM$2,0)),"")</f>
        <v/>
      </c>
      <c r="AU22" t="str">
        <f>IFERROR(INDEX(Overview!$A$2:$BM$32,MATCH($A22,Overview!$A$2:$A$32,0),MATCH(AU$2,Overview!$A$2:$BM$2,0)),"")</f>
        <v/>
      </c>
      <c r="AV22" t="str">
        <f>IFERROR(INDEX(Overview!$A$2:$BM$32,MATCH($A22,Overview!$A$2:$A$32,0),MATCH(AV$2,Overview!$A$2:$BM$2,0)),"")</f>
        <v/>
      </c>
      <c r="AW22" t="str">
        <f>IFERROR(INDEX(Overview!$A$2:$BM$32,MATCH($A22,Overview!$A$2:$A$32,0),MATCH(AW$2,Overview!$A$2:$BM$2,0)),"")</f>
        <v/>
      </c>
      <c r="AX22" t="str">
        <f>IFERROR(INDEX(Overview!$A$2:$BM$32,MATCH($A22,Overview!$A$2:$A$32,0),MATCH(AX$2,Overview!$A$2:$BM$2,0)),"")</f>
        <v/>
      </c>
      <c r="AY22" t="str">
        <f>IFERROR(INDEX(Overview!$A$2:$BM$32,MATCH($A22,Overview!$A$2:$A$32,0),MATCH(AY$2,Overview!$A$2:$BM$2,0)),"")</f>
        <v/>
      </c>
      <c r="AZ22" t="str">
        <f>IFERROR(INDEX(Overview!$A$2:$BM$32,MATCH($A22,Overview!$A$2:$A$32,0),MATCH(AZ$2,Overview!$A$2:$BM$2,0)),"")</f>
        <v/>
      </c>
      <c r="BA22" s="79" t="str">
        <f>IFERROR(INDEX(Overview!$A$2:$BM$32,MATCH($A22,Overview!$A$2:$A$32,0),MATCH(BA$2,Overview!$A$2:$BM$2,0)),"")</f>
        <v/>
      </c>
      <c r="BB22" s="79" t="str">
        <f>IFERROR(INDEX(Overview!$A$2:$BM$32,MATCH($A22,Overview!$A$2:$A$32,0),MATCH(BB$2,Overview!$A$2:$BM$2,0)),"")</f>
        <v/>
      </c>
      <c r="BC22" s="79" t="str">
        <f>IFERROR(INDEX(Overview!$A$2:$BM$32,MATCH($A22,Overview!$A$2:$A$32,0),MATCH(BC$2,Overview!$A$2:$BM$2,0)),"")</f>
        <v/>
      </c>
      <c r="BD22" s="79" t="str">
        <f>IFERROR(INDEX(Overview!$A$2:$BM$32,MATCH($A22,Overview!$A$2:$A$32,0),MATCH(BD$2,Overview!$A$2:$BM$2,0)),"")</f>
        <v/>
      </c>
      <c r="BE22" s="79" t="str">
        <f>IFERROR(INDEX(Overview!$A$2:$BM$32,MATCH($A22,Overview!$A$2:$A$32,0),MATCH(BE$2,Overview!$A$2:$BM$2,0)),"")</f>
        <v/>
      </c>
      <c r="BF22" s="79" t="str">
        <f>IFERROR(INDEX(Overview!$A$2:$BM$32,MATCH($A22,Overview!$A$2:$A$32,0),MATCH(BF$2,Overview!$A$2:$BM$2,0)),"")</f>
        <v/>
      </c>
      <c r="BG22" s="79" t="str">
        <f>IFERROR(INDEX(Overview!$A$2:$BM$32,MATCH($A22,Overview!$A$2:$A$32,0),MATCH(BG$2,Overview!$A$2:$BM$2,0)),"")</f>
        <v/>
      </c>
      <c r="BH22" s="79" t="str">
        <f>IFERROR(INDEX(Overview!$A$2:$BM$32,MATCH($A22,Overview!$A$2:$A$32,0),MATCH(BH$2,Overview!$A$2:$BM$2,0)),"")</f>
        <v/>
      </c>
      <c r="BI22" s="79" t="str">
        <f>IFERROR(INDEX(Overview!$A$2:$BM$32,MATCH($A22,Overview!$A$2:$A$32,0),MATCH(BI$2,Overview!$A$2:$BM$2,0)),"")</f>
        <v/>
      </c>
      <c r="BJ22" s="79" t="str">
        <f>IFERROR(INDEX(Overview!$A$2:$BM$32,MATCH($A22,Overview!$A$2:$A$32,0),MATCH(BJ$2,Overview!$A$2:$BM$2,0)),"")</f>
        <v/>
      </c>
      <c r="BK22" s="79" t="str">
        <f>IFERROR(INDEX(Overview!$A$2:$BM$32,MATCH($A22,Overview!$A$2:$A$32,0),MATCH(BK$2,Overview!$A$2:$BM$2,0)),"")</f>
        <v/>
      </c>
      <c r="BL22" s="80" t="str">
        <f>IFERROR(INDEX(Overview!$A$2:$BM$32,MATCH($A22,Overview!$A$2:$A$32,0),MATCH(BL$2,Overview!$A$2:$BM$2,0)+11),"")</f>
        <v/>
      </c>
      <c r="BM22" s="80" t="str">
        <f>IFERROR(INDEX(Overview!$A$2:$BM$32,MATCH($A22,Overview!$A$2:$A$32,0),MATCH(BM$2,Overview!$A$2:$BM$2,0)+11),"")</f>
        <v/>
      </c>
      <c r="BN22" s="80" t="str">
        <f>IFERROR(INDEX(Overview!$A$2:$BM$32,MATCH($A22,Overview!$A$2:$A$32,0),MATCH(BN$2,Overview!$A$2:$BM$2,0)+11),"")</f>
        <v/>
      </c>
      <c r="BO22" s="80" t="str">
        <f>IFERROR(INDEX(Overview!$A$2:$BM$32,MATCH($A22,Overview!$A$2:$A$32,0),MATCH(BO$2,Overview!$A$2:$BM$2,0)+11),"")</f>
        <v/>
      </c>
      <c r="BP22" s="80" t="str">
        <f>IFERROR(INDEX(Overview!$A$2:$BM$32,MATCH($A22,Overview!$A$2:$A$32,0),MATCH(BP$2,Overview!$A$2:$BM$2,0)+11),"")</f>
        <v/>
      </c>
      <c r="BQ22" s="80" t="str">
        <f>IFERROR(INDEX(Overview!$A$2:$BM$32,MATCH($A22,Overview!$A$2:$A$32,0),MATCH(BQ$2,Overview!$A$2:$BM$2,0)+11),"")</f>
        <v/>
      </c>
      <c r="BR22" s="80" t="str">
        <f>IFERROR(INDEX(Overview!$A$2:$BM$32,MATCH($A22,Overview!$A$2:$A$32,0),MATCH(BR$2,Overview!$A$2:$BM$2,0)+11),"")</f>
        <v/>
      </c>
      <c r="BS22" s="80" t="str">
        <f>IFERROR(INDEX(Overview!$A$2:$BM$32,MATCH($A22,Overview!$A$2:$A$32,0),MATCH(BS$2,Overview!$A$2:$BM$2,0)+11),"")</f>
        <v/>
      </c>
      <c r="BT22" s="80" t="str">
        <f>IFERROR(INDEX(Overview!$A$2:$BM$32,MATCH($A22,Overview!$A$2:$A$32,0),MATCH(BT$2,Overview!$A$2:$BM$2,0)+11),"")</f>
        <v/>
      </c>
      <c r="BU22" s="80" t="str">
        <f>IFERROR(INDEX(Overview!$A$2:$BM$32,MATCH($A22,Overview!$A$2:$A$32,0),MATCH(BU$2,Overview!$A$2:$BM$2,0)+11),"")</f>
        <v/>
      </c>
      <c r="BV22" s="80" t="str">
        <f>IFERROR(INDEX(Overview!$A$2:$BM$32,MATCH($A22,Overview!$A$2:$A$32,0),MATCH(BV$2,Overview!$A$2:$BM$2,0)+11),"")</f>
        <v/>
      </c>
      <c r="BW22" s="82" t="str">
        <f t="shared" si="16"/>
        <v/>
      </c>
      <c r="BX22" s="82" t="str">
        <f t="shared" si="17"/>
        <v/>
      </c>
      <c r="BY22" s="82" t="str">
        <f t="shared" si="18"/>
        <v/>
      </c>
      <c r="BZ22" s="82" t="str">
        <f t="shared" si="19"/>
        <v/>
      </c>
      <c r="CA22" s="82" t="str">
        <f t="shared" si="20"/>
        <v/>
      </c>
      <c r="CB22" s="82" t="str">
        <f t="shared" si="21"/>
        <v/>
      </c>
      <c r="CC22" s="82" t="str">
        <f t="shared" si="22"/>
        <v/>
      </c>
      <c r="CD22" s="82" t="str">
        <f t="shared" si="23"/>
        <v/>
      </c>
      <c r="CE22" s="82" t="str">
        <f t="shared" si="24"/>
        <v/>
      </c>
      <c r="CF22" s="82" t="str">
        <f t="shared" si="25"/>
        <v/>
      </c>
      <c r="CG22" s="82" t="str">
        <f t="shared" si="26"/>
        <v/>
      </c>
      <c r="CH22" s="83" t="str">
        <f t="shared" si="38"/>
        <v/>
      </c>
      <c r="CI22" s="83" t="str">
        <f t="shared" si="39"/>
        <v/>
      </c>
      <c r="CJ22" s="83" t="str">
        <f t="shared" si="40"/>
        <v/>
      </c>
      <c r="CK22" s="83" t="str">
        <f t="shared" si="41"/>
        <v/>
      </c>
      <c r="CL22" s="83" t="str">
        <f t="shared" si="42"/>
        <v/>
      </c>
      <c r="CM22" s="83" t="str">
        <f t="shared" si="43"/>
        <v/>
      </c>
      <c r="CN22" s="83" t="str">
        <f t="shared" si="44"/>
        <v/>
      </c>
      <c r="CO22" s="83" t="str">
        <f t="shared" si="45"/>
        <v/>
      </c>
      <c r="CP22" s="83" t="str">
        <f t="shared" si="46"/>
        <v/>
      </c>
      <c r="CQ22" s="83" t="str">
        <f t="shared" si="47"/>
        <v/>
      </c>
      <c r="CR22" s="83" t="str">
        <f t="shared" si="48"/>
        <v/>
      </c>
      <c r="CV22">
        <f>Overview!BO21</f>
        <v>0.98447177634902727</v>
      </c>
      <c r="CW22">
        <f>Overview!BP21</f>
        <v>9.6448269274385323E-2</v>
      </c>
      <c r="CX22" t="e">
        <f>Overview!BQ21</f>
        <v>#N/A</v>
      </c>
      <c r="CY22" t="e">
        <f>Overview!BR21</f>
        <v>#N/A</v>
      </c>
      <c r="CZ22" t="e">
        <f>Overview!BS21</f>
        <v>#N/A</v>
      </c>
      <c r="DA22" t="e">
        <f>Overview!BT21</f>
        <v>#N/A</v>
      </c>
      <c r="DB22" t="e">
        <f>Overview!BU21</f>
        <v>#N/A</v>
      </c>
      <c r="DC22" t="e">
        <f>Overview!BV21</f>
        <v>#N/A</v>
      </c>
      <c r="DD22" t="e">
        <f>Overview!BW21</f>
        <v>#N/A</v>
      </c>
      <c r="DE22" t="e">
        <f>Overview!BX21</f>
        <v>#N/A</v>
      </c>
      <c r="DF22" t="e">
        <f>Overview!BY21</f>
        <v>#N/A</v>
      </c>
      <c r="DG22" t="e">
        <f>Overview!BZ21</f>
        <v>#N/A</v>
      </c>
      <c r="DH22">
        <f>Overview!CA21</f>
        <v>0</v>
      </c>
      <c r="DI22">
        <f>Overview!CB21</f>
        <v>0</v>
      </c>
      <c r="DM22">
        <f t="shared" si="28"/>
        <v>0</v>
      </c>
      <c r="DN22">
        <f t="shared" si="29"/>
        <v>0</v>
      </c>
      <c r="DP22">
        <f t="shared" ca="1" si="49"/>
        <v>1</v>
      </c>
      <c r="DQ22" t="str">
        <f t="shared" ca="1" si="30"/>
        <v/>
      </c>
      <c r="DR22" t="str">
        <f t="shared" ca="1" si="50"/>
        <v/>
      </c>
      <c r="DS22" t="str">
        <f t="shared" ca="1" si="31"/>
        <v/>
      </c>
      <c r="DT22" t="str">
        <f t="shared" ca="1" si="51"/>
        <v/>
      </c>
      <c r="DU22">
        <f t="shared" ca="1" si="52"/>
        <v>1</v>
      </c>
      <c r="DV22" t="str">
        <f t="shared" si="32"/>
        <v/>
      </c>
      <c r="DW22" t="str">
        <f t="shared" si="53"/>
        <v/>
      </c>
      <c r="DX22" t="str">
        <f t="shared" si="64"/>
        <v/>
      </c>
      <c r="DZ22" t="str">
        <f ca="1">IFERROR(IFERROR(VLOOKUP(ROW()-2,$DP$3:$DT$34,2,0),VLOOKUP(ROW()-2,$DU$3:$DX$34,2,0)),"")</f>
        <v/>
      </c>
      <c r="EA22" t="str">
        <f t="shared" ca="1" si="55"/>
        <v/>
      </c>
      <c r="EB22" s="84" t="str">
        <f t="shared" ca="1" si="56"/>
        <v/>
      </c>
      <c r="EC22" s="1" t="str">
        <f t="shared" ca="1" si="77"/>
        <v/>
      </c>
      <c r="ED22" t="str">
        <f t="shared" ca="1" si="57"/>
        <v/>
      </c>
      <c r="EE22" t="str">
        <f t="shared" ca="1" si="58"/>
        <v/>
      </c>
      <c r="EF22" t="str">
        <f t="shared" ca="1" si="59"/>
        <v/>
      </c>
      <c r="EJ22" t="str">
        <f ca="1">'538'!Q27</f>
        <v/>
      </c>
      <c r="EK22" t="str">
        <f ca="1">'538'!T27</f>
        <v/>
      </c>
    </row>
    <row r="23" spans="1:141" x14ac:dyDescent="0.25">
      <c r="A23" s="28" t="str">
        <f>IFERROR(INDEX(Overview!$A$3:$B$32,MATCH(Bet!$C23,Overview!$B$3:$B$32,0),1),"X")</f>
        <v>X</v>
      </c>
      <c r="B23" s="28" t="str">
        <f>IF(ISBLANK(C23),"",IFERROR(INDEX(Pitchers[],MATCH(F23,Pitchers[Player],0),MATCH(G$2,Pitchers[#Headers],0)),"X"))</f>
        <v/>
      </c>
      <c r="C23" s="2"/>
      <c r="D23" s="3"/>
      <c r="E23" s="95"/>
      <c r="F23" s="50"/>
      <c r="G23" s="48">
        <f>IFERROR(INDEX(Pitchers[],MATCH(Bet!F23,Pitchers[Player],0),MATCH(G$2,Pitchers[#Headers],0)),PlayerPitching!$AD$12)</f>
        <v>-0.13933069723404246</v>
      </c>
      <c r="H23" s="48" t="str">
        <f>IF(ISNUMBER(CODE(C23)),INDEX(Scores!$P$2:$T$33,MATCH($C23,Scores!$R$2:$R$33,0),4),"")</f>
        <v/>
      </c>
      <c r="I23" s="48" t="str">
        <f>IF(ISNUMBER(CODE(C23)),IF(INDEX(Scores!$P$2:$T$33,MATCH($C23,Scores!$R$2:$R$33,0),5)=0,1,INDEX(Scores!$P$2:$T$33,MATCH($C23,Scores!$R$2:$R$33,0),5)),"")</f>
        <v/>
      </c>
      <c r="J23" s="48">
        <f t="shared" si="1"/>
        <v>-1.9641098805067554</v>
      </c>
      <c r="K23" s="49">
        <f t="shared" si="2"/>
        <v>-9.4751509617551655</v>
      </c>
      <c r="L23" s="49">
        <f t="shared" si="3"/>
        <v>16.909645863110409</v>
      </c>
      <c r="M23" s="49">
        <f t="shared" si="4"/>
        <v>10.056673523576878</v>
      </c>
      <c r="N23" s="49">
        <f t="shared" si="5"/>
        <v>9.3029121378439612</v>
      </c>
      <c r="O23" s="49">
        <f t="shared" si="6"/>
        <v>2.0342481123324334</v>
      </c>
      <c r="P23" s="49">
        <f t="shared" si="7"/>
        <v>5.6685801250881971</v>
      </c>
      <c r="Q23" s="49" t="str">
        <f>IFERROR(_xlfn.NORM.INV(INDEX(Scores!$P$2:$U$33,MATCH($C23,Scores!$R$2:$R$33,0),6),H23,I23),"")</f>
        <v/>
      </c>
      <c r="R23" s="49" t="str">
        <f t="shared" si="8"/>
        <v/>
      </c>
      <c r="S23" s="49" t="str">
        <f t="shared" si="9"/>
        <v/>
      </c>
      <c r="T23" s="49" t="str">
        <f t="shared" si="34"/>
        <v/>
      </c>
      <c r="U23" s="95" t="str">
        <f t="shared" ref="U23:U33" si="78">IFERROR(ROUND(ROUND((R23+R24)*2,0)/2,1)+1.5,"")</f>
        <v/>
      </c>
      <c r="V23" s="67" t="str">
        <f t="shared" si="11"/>
        <v/>
      </c>
      <c r="W23" s="64" t="str">
        <f t="shared" si="12"/>
        <v/>
      </c>
      <c r="X23" s="50" t="str">
        <f t="shared" si="13"/>
        <v/>
      </c>
      <c r="Y23" s="48" t="str">
        <f t="shared" si="35"/>
        <v/>
      </c>
      <c r="Z23" s="48" t="str">
        <f ca="1">IFERROR(INDEX('538'!$Q$9:$U$190,MATCH(Bet!$C23,'538'!$Q$9:$Q$190,0),5),"")</f>
        <v/>
      </c>
      <c r="AA23" t="str">
        <f t="shared" si="36"/>
        <v/>
      </c>
      <c r="AB23">
        <f t="shared" si="14"/>
        <v>0</v>
      </c>
      <c r="AC23" t="str">
        <f t="shared" ca="1" si="37"/>
        <v/>
      </c>
      <c r="AD23" t="str">
        <f t="shared" si="15"/>
        <v/>
      </c>
      <c r="AE23" t="str">
        <f>IFERROR(INDEX(Overview!$A$2:$BF$32,MATCH($A23,Overview!$A$2:$A$32,0),MATCH(AE$2,Overview!$A$2:$BF$2,0)),"")</f>
        <v/>
      </c>
      <c r="AF23" t="str">
        <f>IFERROR(INDEX(Overview!$A$2:$BF$32,MATCH($A23,Overview!$A$2:$A$32,0),MATCH(AF$2,Overview!$A$2:$BF$2,0)),"")</f>
        <v/>
      </c>
      <c r="AG23" t="str">
        <f>IFERROR(INDEX(Overview!$A$2:$BF$32,MATCH($A23,Overview!$A$2:$A$32,0),MATCH(AG$2,Overview!$A$2:$BF$2,0)),"")</f>
        <v/>
      </c>
      <c r="AH23" t="str">
        <f>IFERROR(INDEX(Overview!$A$2:$BF$32,MATCH($A23,Overview!$A$2:$A$32,0),MATCH(AH$2,Overview!$A$2:$BF$2,0)),"")</f>
        <v/>
      </c>
      <c r="AI23" t="str">
        <f>IFERROR(INDEX(Overview!$A$2:$BF$32,MATCH($A23,Overview!$A$2:$A$32,0),MATCH(AI$2,Overview!$A$2:$BF$2,0)),"")</f>
        <v/>
      </c>
      <c r="AJ23" t="str">
        <f>IFERROR(INDEX(Overview!$A$2:$BF$32,MATCH($A23,Overview!$A$2:$A$32,0),MATCH(AJ$2,Overview!$A$2:$BF$2,0)),"")</f>
        <v/>
      </c>
      <c r="AK23" t="str">
        <f>IFERROR(INDEX(Overview!$A$2:$BF$32,MATCH($A23,Overview!$A$2:$A$32,0),MATCH(AK$2,Overview!$A$2:$BF$2,0)),"")</f>
        <v/>
      </c>
      <c r="AL23" t="str">
        <f>IFERROR(INDEX(Overview!$A$2:$BF$32,MATCH($A23,Overview!$A$2:$A$32,0),MATCH(AL$2,Overview!$A$2:$BF$2,0)),"")</f>
        <v/>
      </c>
      <c r="AM23" t="str">
        <f>IFERROR(INDEX(Overview!$A$2:$BF$32,MATCH($A23,Overview!$A$2:$A$32,0),MATCH(AM$2,Overview!$A$2:$BF$2,0)),"")</f>
        <v/>
      </c>
      <c r="AN23" t="str">
        <f>IFERROR(INDEX(Overview!$A$2:$BF$32,MATCH($A23,Overview!$A$2:$A$32,0),MATCH(AN$2,Overview!$A$2:$BF$2,0)),"")</f>
        <v/>
      </c>
      <c r="AO23" t="str">
        <f>IFERROR(INDEX(Overview!$A$2:$BF$32,MATCH($A23,Overview!$A$2:$A$32,0),MATCH(AO$2,Overview!$A$2:$BF$2,0)),"")</f>
        <v/>
      </c>
      <c r="AP23" t="str">
        <f>IFERROR(INDEX(Overview!$A$2:$BM$32,MATCH($A23,Overview!$A$2:$A$32,0),MATCH(AP$2,Overview!$A$2:$BM$2,0)),"")</f>
        <v/>
      </c>
      <c r="AQ23" t="str">
        <f>IFERROR(INDEX(Overview!$A$2:$BM$32,MATCH($A23,Overview!$A$2:$A$32,0),MATCH(AQ$2,Overview!$A$2:$BM$2,0)),"")</f>
        <v/>
      </c>
      <c r="AR23" t="str">
        <f>IFERROR(INDEX(Overview!$A$2:$BM$32,MATCH($A23,Overview!$A$2:$A$32,0),MATCH(AR$2,Overview!$A$2:$BM$2,0)),"")</f>
        <v/>
      </c>
      <c r="AS23" t="str">
        <f>IFERROR(INDEX(Overview!$A$2:$BM$32,MATCH($A23,Overview!$A$2:$A$32,0),MATCH(AS$2,Overview!$A$2:$BM$2,0)),"")</f>
        <v/>
      </c>
      <c r="AT23" t="str">
        <f>IFERROR(INDEX(Overview!$A$2:$BM$32,MATCH($A23,Overview!$A$2:$A$32,0),MATCH(AT$2,Overview!$A$2:$BM$2,0)),"")</f>
        <v/>
      </c>
      <c r="AU23" t="str">
        <f>IFERROR(INDEX(Overview!$A$2:$BM$32,MATCH($A23,Overview!$A$2:$A$32,0),MATCH(AU$2,Overview!$A$2:$BM$2,0)),"")</f>
        <v/>
      </c>
      <c r="AV23" t="str">
        <f>IFERROR(INDEX(Overview!$A$2:$BM$32,MATCH($A23,Overview!$A$2:$A$32,0),MATCH(AV$2,Overview!$A$2:$BM$2,0)),"")</f>
        <v/>
      </c>
      <c r="AW23" t="str">
        <f>IFERROR(INDEX(Overview!$A$2:$BM$32,MATCH($A23,Overview!$A$2:$A$32,0),MATCH(AW$2,Overview!$A$2:$BM$2,0)),"")</f>
        <v/>
      </c>
      <c r="AX23" t="str">
        <f>IFERROR(INDEX(Overview!$A$2:$BM$32,MATCH($A23,Overview!$A$2:$A$32,0),MATCH(AX$2,Overview!$A$2:$BM$2,0)),"")</f>
        <v/>
      </c>
      <c r="AY23" t="str">
        <f>IFERROR(INDEX(Overview!$A$2:$BM$32,MATCH($A23,Overview!$A$2:$A$32,0),MATCH(AY$2,Overview!$A$2:$BM$2,0)),"")</f>
        <v/>
      </c>
      <c r="AZ23" t="str">
        <f>IFERROR(INDEX(Overview!$A$2:$BM$32,MATCH($A23,Overview!$A$2:$A$32,0),MATCH(AZ$2,Overview!$A$2:$BM$2,0)),"")</f>
        <v/>
      </c>
      <c r="BA23" s="79" t="str">
        <f>IFERROR(INDEX(Overview!$A$2:$BM$32,MATCH($A23,Overview!$A$2:$A$32,0),MATCH(BA$2,Overview!$A$2:$BM$2,0)),"")</f>
        <v/>
      </c>
      <c r="BB23" s="79" t="str">
        <f>IFERROR(INDEX(Overview!$A$2:$BM$32,MATCH($A23,Overview!$A$2:$A$32,0),MATCH(BB$2,Overview!$A$2:$BM$2,0)),"")</f>
        <v/>
      </c>
      <c r="BC23" s="79" t="str">
        <f>IFERROR(INDEX(Overview!$A$2:$BM$32,MATCH($A23,Overview!$A$2:$A$32,0),MATCH(BC$2,Overview!$A$2:$BM$2,0)),"")</f>
        <v/>
      </c>
      <c r="BD23" s="79" t="str">
        <f>IFERROR(INDEX(Overview!$A$2:$BM$32,MATCH($A23,Overview!$A$2:$A$32,0),MATCH(BD$2,Overview!$A$2:$BM$2,0)),"")</f>
        <v/>
      </c>
      <c r="BE23" s="79" t="str">
        <f>IFERROR(INDEX(Overview!$A$2:$BM$32,MATCH($A23,Overview!$A$2:$A$32,0),MATCH(BE$2,Overview!$A$2:$BM$2,0)),"")</f>
        <v/>
      </c>
      <c r="BF23" s="79" t="str">
        <f>IFERROR(INDEX(Overview!$A$2:$BM$32,MATCH($A23,Overview!$A$2:$A$32,0),MATCH(BF$2,Overview!$A$2:$BM$2,0)),"")</f>
        <v/>
      </c>
      <c r="BG23" s="79" t="str">
        <f>IFERROR(INDEX(Overview!$A$2:$BM$32,MATCH($A23,Overview!$A$2:$A$32,0),MATCH(BG$2,Overview!$A$2:$BM$2,0)),"")</f>
        <v/>
      </c>
      <c r="BH23" s="79" t="str">
        <f>IFERROR(INDEX(Overview!$A$2:$BM$32,MATCH($A23,Overview!$A$2:$A$32,0),MATCH(BH$2,Overview!$A$2:$BM$2,0)),"")</f>
        <v/>
      </c>
      <c r="BI23" s="79" t="str">
        <f>IFERROR(INDEX(Overview!$A$2:$BM$32,MATCH($A23,Overview!$A$2:$A$32,0),MATCH(BI$2,Overview!$A$2:$BM$2,0)),"")</f>
        <v/>
      </c>
      <c r="BJ23" s="79" t="str">
        <f>IFERROR(INDEX(Overview!$A$2:$BM$32,MATCH($A23,Overview!$A$2:$A$32,0),MATCH(BJ$2,Overview!$A$2:$BM$2,0)),"")</f>
        <v/>
      </c>
      <c r="BK23" s="79" t="str">
        <f>IFERROR(INDEX(Overview!$A$2:$BM$32,MATCH($A23,Overview!$A$2:$A$32,0),MATCH(BK$2,Overview!$A$2:$BM$2,0)),"")</f>
        <v/>
      </c>
      <c r="BL23" s="80" t="str">
        <f>IFERROR(INDEX(Overview!$A$2:$BM$32,MATCH($A23,Overview!$A$2:$A$32,0),MATCH(BL$2,Overview!$A$2:$BM$2,0)+11),"")</f>
        <v/>
      </c>
      <c r="BM23" s="80" t="str">
        <f>IFERROR(INDEX(Overview!$A$2:$BM$32,MATCH($A23,Overview!$A$2:$A$32,0),MATCH(BM$2,Overview!$A$2:$BM$2,0)+11),"")</f>
        <v/>
      </c>
      <c r="BN23" s="80" t="str">
        <f>IFERROR(INDEX(Overview!$A$2:$BM$32,MATCH($A23,Overview!$A$2:$A$32,0),MATCH(BN$2,Overview!$A$2:$BM$2,0)+11),"")</f>
        <v/>
      </c>
      <c r="BO23" s="80" t="str">
        <f>IFERROR(INDEX(Overview!$A$2:$BM$32,MATCH($A23,Overview!$A$2:$A$32,0),MATCH(BO$2,Overview!$A$2:$BM$2,0)+11),"")</f>
        <v/>
      </c>
      <c r="BP23" s="80" t="str">
        <f>IFERROR(INDEX(Overview!$A$2:$BM$32,MATCH($A23,Overview!$A$2:$A$32,0),MATCH(BP$2,Overview!$A$2:$BM$2,0)+11),"")</f>
        <v/>
      </c>
      <c r="BQ23" s="80" t="str">
        <f>IFERROR(INDEX(Overview!$A$2:$BM$32,MATCH($A23,Overview!$A$2:$A$32,0),MATCH(BQ$2,Overview!$A$2:$BM$2,0)+11),"")</f>
        <v/>
      </c>
      <c r="BR23" s="80" t="str">
        <f>IFERROR(INDEX(Overview!$A$2:$BM$32,MATCH($A23,Overview!$A$2:$A$32,0),MATCH(BR$2,Overview!$A$2:$BM$2,0)+11),"")</f>
        <v/>
      </c>
      <c r="BS23" s="80" t="str">
        <f>IFERROR(INDEX(Overview!$A$2:$BM$32,MATCH($A23,Overview!$A$2:$A$32,0),MATCH(BS$2,Overview!$A$2:$BM$2,0)+11),"")</f>
        <v/>
      </c>
      <c r="BT23" s="80" t="str">
        <f>IFERROR(INDEX(Overview!$A$2:$BM$32,MATCH($A23,Overview!$A$2:$A$32,0),MATCH(BT$2,Overview!$A$2:$BM$2,0)+11),"")</f>
        <v/>
      </c>
      <c r="BU23" s="80" t="str">
        <f>IFERROR(INDEX(Overview!$A$2:$BM$32,MATCH($A23,Overview!$A$2:$A$32,0),MATCH(BU$2,Overview!$A$2:$BM$2,0)+11),"")</f>
        <v/>
      </c>
      <c r="BV23" s="80" t="str">
        <f>IFERROR(INDEX(Overview!$A$2:$BM$32,MATCH($A23,Overview!$A$2:$A$32,0),MATCH(BV$2,Overview!$A$2:$BM$2,0)+11),"")</f>
        <v/>
      </c>
      <c r="BW23" s="82" t="str">
        <f t="shared" si="16"/>
        <v/>
      </c>
      <c r="BX23" s="82" t="str">
        <f t="shared" si="17"/>
        <v/>
      </c>
      <c r="BY23" s="82" t="str">
        <f t="shared" si="18"/>
        <v/>
      </c>
      <c r="BZ23" s="82" t="str">
        <f t="shared" si="19"/>
        <v/>
      </c>
      <c r="CA23" s="82" t="str">
        <f t="shared" si="20"/>
        <v/>
      </c>
      <c r="CB23" s="82" t="str">
        <f t="shared" si="21"/>
        <v/>
      </c>
      <c r="CC23" s="82" t="str">
        <f t="shared" si="22"/>
        <v/>
      </c>
      <c r="CD23" s="82" t="str">
        <f t="shared" si="23"/>
        <v/>
      </c>
      <c r="CE23" s="82" t="str">
        <f t="shared" si="24"/>
        <v/>
      </c>
      <c r="CF23" s="82" t="str">
        <f t="shared" si="25"/>
        <v/>
      </c>
      <c r="CG23" s="82" t="str">
        <f t="shared" si="26"/>
        <v/>
      </c>
      <c r="CH23" s="83" t="str">
        <f t="shared" si="38"/>
        <v/>
      </c>
      <c r="CI23" s="83" t="str">
        <f t="shared" si="39"/>
        <v/>
      </c>
      <c r="CJ23" s="83" t="str">
        <f t="shared" si="40"/>
        <v/>
      </c>
      <c r="CK23" s="83" t="str">
        <f t="shared" si="41"/>
        <v/>
      </c>
      <c r="CL23" s="83" t="str">
        <f t="shared" si="42"/>
        <v/>
      </c>
      <c r="CM23" s="83" t="str">
        <f t="shared" si="43"/>
        <v/>
      </c>
      <c r="CN23" s="83" t="str">
        <f t="shared" si="44"/>
        <v/>
      </c>
      <c r="CO23" s="83" t="str">
        <f t="shared" si="45"/>
        <v/>
      </c>
      <c r="CP23" s="83" t="str">
        <f t="shared" si="46"/>
        <v/>
      </c>
      <c r="CQ23" s="83" t="str">
        <f t="shared" si="47"/>
        <v/>
      </c>
      <c r="CR23" s="83" t="str">
        <f t="shared" si="48"/>
        <v/>
      </c>
      <c r="CV23">
        <f>Overview!BO22</f>
        <v>103.7435995290393</v>
      </c>
      <c r="CW23">
        <f>Overview!BP22</f>
        <v>18</v>
      </c>
      <c r="CX23" t="e">
        <f>Overview!BQ22</f>
        <v>#N/A</v>
      </c>
      <c r="CY23" t="e">
        <f>Overview!BR22</f>
        <v>#N/A</v>
      </c>
      <c r="CZ23" t="e">
        <f>Overview!BS22</f>
        <v>#N/A</v>
      </c>
      <c r="DA23" t="e">
        <f>Overview!BT22</f>
        <v>#N/A</v>
      </c>
      <c r="DB23" t="e">
        <f>Overview!BU22</f>
        <v>#N/A</v>
      </c>
      <c r="DC23" t="e">
        <f>Overview!BV22</f>
        <v>#N/A</v>
      </c>
      <c r="DD23" t="e">
        <f>Overview!BW22</f>
        <v>#N/A</v>
      </c>
      <c r="DE23" t="e">
        <f>Overview!BX22</f>
        <v>#N/A</v>
      </c>
      <c r="DF23" t="e">
        <f>Overview!BY22</f>
        <v>#N/A</v>
      </c>
      <c r="DG23" t="e">
        <f>Overview!BZ22</f>
        <v>#N/A</v>
      </c>
      <c r="DH23">
        <f>Overview!CA22</f>
        <v>0</v>
      </c>
      <c r="DI23">
        <f>Overview!CB22</f>
        <v>0</v>
      </c>
      <c r="DM23">
        <f t="shared" si="28"/>
        <v>0</v>
      </c>
      <c r="DN23">
        <f t="shared" si="29"/>
        <v>0</v>
      </c>
      <c r="DP23">
        <f t="shared" ca="1" si="49"/>
        <v>1</v>
      </c>
      <c r="DQ23" t="str">
        <f t="shared" ca="1" si="30"/>
        <v/>
      </c>
      <c r="DR23" t="str">
        <f t="shared" ca="1" si="50"/>
        <v/>
      </c>
      <c r="DS23" t="str">
        <f t="shared" ca="1" si="31"/>
        <v/>
      </c>
      <c r="DT23" t="str">
        <f t="shared" ca="1" si="51"/>
        <v/>
      </c>
      <c r="DU23">
        <f t="shared" ca="1" si="52"/>
        <v>1</v>
      </c>
      <c r="DV23" t="str">
        <f t="shared" si="32"/>
        <v/>
      </c>
      <c r="DW23" t="str">
        <f t="shared" si="53"/>
        <v/>
      </c>
      <c r="DX23" t="str">
        <f t="shared" si="64"/>
        <v/>
      </c>
      <c r="DZ23" t="str">
        <f t="shared" ca="1" si="54"/>
        <v/>
      </c>
      <c r="EA23" t="str">
        <f t="shared" ca="1" si="55"/>
        <v/>
      </c>
      <c r="EB23" s="84" t="str">
        <f t="shared" ca="1" si="56"/>
        <v/>
      </c>
      <c r="EC23" s="1" t="str">
        <f t="shared" ca="1" si="77"/>
        <v/>
      </c>
      <c r="ED23" t="str">
        <f t="shared" ca="1" si="57"/>
        <v/>
      </c>
      <c r="EE23" t="str">
        <f t="shared" ca="1" si="58"/>
        <v/>
      </c>
      <c r="EF23" t="str">
        <f t="shared" ca="1" si="59"/>
        <v/>
      </c>
      <c r="EJ23" t="str">
        <f ca="1">'538'!Q28</f>
        <v/>
      </c>
      <c r="EK23" t="str">
        <f ca="1">'538'!T28</f>
        <v/>
      </c>
    </row>
    <row r="24" spans="1:141" ht="15.75" thickBot="1" x14ac:dyDescent="0.3">
      <c r="A24" s="28" t="str">
        <f>IFERROR(INDEX(Overview!$A$3:$B$32,MATCH(Bet!$C24,Overview!$B$3:$B$32,0),1),"X")</f>
        <v>X</v>
      </c>
      <c r="B24" s="28" t="str">
        <f>IF(ISBLANK(C24),"",IFERROR(INDEX(Pitchers[],MATCH(F24,Pitchers[Player],0),MATCH(G$2,Pitchers[#Headers],0)),"X"))</f>
        <v/>
      </c>
      <c r="C24" s="4"/>
      <c r="D24" s="10"/>
      <c r="E24" s="96"/>
      <c r="F24" s="51"/>
      <c r="G24" s="48">
        <f>IFERROR(INDEX(Pitchers[],MATCH(Bet!F24,Pitchers[Player],0),MATCH(G$2,Pitchers[#Headers],0)),PlayerPitching!$AD$12)</f>
        <v>-0.13933069723404246</v>
      </c>
      <c r="H24" s="48" t="str">
        <f>IF(ISNUMBER(CODE(C24)),INDEX(Scores!$P$2:$T$33,MATCH($C24,Scores!$R$2:$R$33,0),4),"")</f>
        <v/>
      </c>
      <c r="I24" s="48" t="str">
        <f>IF(ISNUMBER(CODE(C24)),IF(INDEX(Scores!$P$2:$T$33,MATCH($C24,Scores!$R$2:$R$33,0),5)=0,1,INDEX(Scores!$P$2:$T$33,MATCH($C24,Scores!$R$2:$R$33,0),5)),"")</f>
        <v/>
      </c>
      <c r="J24" s="48">
        <f t="shared" si="1"/>
        <v>-1.9641098805067554</v>
      </c>
      <c r="K24" s="49">
        <f t="shared" si="2"/>
        <v>-9.4751509617551655</v>
      </c>
      <c r="L24" s="49">
        <f t="shared" si="3"/>
        <v>16.909645863110409</v>
      </c>
      <c r="M24" s="49">
        <f t="shared" si="4"/>
        <v>10.056673523576878</v>
      </c>
      <c r="N24" s="49">
        <f t="shared" si="5"/>
        <v>9.3029121378439612</v>
      </c>
      <c r="O24" s="49">
        <f t="shared" si="6"/>
        <v>2.0342481123324334</v>
      </c>
      <c r="P24" s="49">
        <f t="shared" si="7"/>
        <v>5.6685801250881971</v>
      </c>
      <c r="Q24" s="49" t="str">
        <f>IFERROR(_xlfn.NORM.INV(INDEX(Scores!$P$2:$U$33,MATCH($C24,Scores!$R$2:$R$33,0),6),H24,I24),"")</f>
        <v/>
      </c>
      <c r="R24" s="49" t="str">
        <f t="shared" si="8"/>
        <v/>
      </c>
      <c r="S24" s="49" t="str">
        <f t="shared" si="9"/>
        <v/>
      </c>
      <c r="T24" s="49" t="str">
        <f t="shared" si="34"/>
        <v/>
      </c>
      <c r="U24" s="96"/>
      <c r="V24" s="68" t="str">
        <f t="shared" si="11"/>
        <v/>
      </c>
      <c r="W24" s="65" t="str">
        <f t="shared" si="12"/>
        <v/>
      </c>
      <c r="X24" s="51" t="str">
        <f t="shared" si="13"/>
        <v/>
      </c>
      <c r="Y24" s="48" t="str">
        <f t="shared" si="35"/>
        <v/>
      </c>
      <c r="Z24" s="48" t="str">
        <f ca="1">IFERROR(INDEX('538'!$Q$9:$U$190,MATCH(Bet!$C24,'538'!$Q$9:$Q$190,0),5),"")</f>
        <v/>
      </c>
      <c r="AA24" t="str">
        <f t="shared" si="36"/>
        <v/>
      </c>
      <c r="AB24">
        <f t="shared" si="14"/>
        <v>0</v>
      </c>
      <c r="AC24" t="str">
        <f t="shared" ca="1" si="37"/>
        <v/>
      </c>
      <c r="AD24" t="str">
        <f t="shared" si="15"/>
        <v/>
      </c>
      <c r="AE24" t="str">
        <f>IFERROR(INDEX(Overview!$A$2:$BF$32,MATCH($A24,Overview!$A$2:$A$32,0),MATCH(AE$2,Overview!$A$2:$BF$2,0)),"")</f>
        <v/>
      </c>
      <c r="AF24" t="str">
        <f>IFERROR(INDEX(Overview!$A$2:$BF$32,MATCH($A24,Overview!$A$2:$A$32,0),MATCH(AF$2,Overview!$A$2:$BF$2,0)),"")</f>
        <v/>
      </c>
      <c r="AG24" t="str">
        <f>IFERROR(INDEX(Overview!$A$2:$BF$32,MATCH($A24,Overview!$A$2:$A$32,0),MATCH(AG$2,Overview!$A$2:$BF$2,0)),"")</f>
        <v/>
      </c>
      <c r="AH24" t="str">
        <f>IFERROR(INDEX(Overview!$A$2:$BF$32,MATCH($A24,Overview!$A$2:$A$32,0),MATCH(AH$2,Overview!$A$2:$BF$2,0)),"")</f>
        <v/>
      </c>
      <c r="AI24" t="str">
        <f>IFERROR(INDEX(Overview!$A$2:$BF$32,MATCH($A24,Overview!$A$2:$A$32,0),MATCH(AI$2,Overview!$A$2:$BF$2,0)),"")</f>
        <v/>
      </c>
      <c r="AJ24" t="str">
        <f>IFERROR(INDEX(Overview!$A$2:$BF$32,MATCH($A24,Overview!$A$2:$A$32,0),MATCH(AJ$2,Overview!$A$2:$BF$2,0)),"")</f>
        <v/>
      </c>
      <c r="AK24" t="str">
        <f>IFERROR(INDEX(Overview!$A$2:$BF$32,MATCH($A24,Overview!$A$2:$A$32,0),MATCH(AK$2,Overview!$A$2:$BF$2,0)),"")</f>
        <v/>
      </c>
      <c r="AL24" t="str">
        <f>IFERROR(INDEX(Overview!$A$2:$BF$32,MATCH($A24,Overview!$A$2:$A$32,0),MATCH(AL$2,Overview!$A$2:$BF$2,0)),"")</f>
        <v/>
      </c>
      <c r="AM24" t="str">
        <f>IFERROR(INDEX(Overview!$A$2:$BF$32,MATCH($A24,Overview!$A$2:$A$32,0),MATCH(AM$2,Overview!$A$2:$BF$2,0)),"")</f>
        <v/>
      </c>
      <c r="AN24" t="str">
        <f>IFERROR(INDEX(Overview!$A$2:$BF$32,MATCH($A24,Overview!$A$2:$A$32,0),MATCH(AN$2,Overview!$A$2:$BF$2,0)),"")</f>
        <v/>
      </c>
      <c r="AO24" t="str">
        <f>IFERROR(INDEX(Overview!$A$2:$BF$32,MATCH($A24,Overview!$A$2:$A$32,0),MATCH(AO$2,Overview!$A$2:$BF$2,0)),"")</f>
        <v/>
      </c>
      <c r="AP24" t="str">
        <f>IFERROR(INDEX(Overview!$A$2:$BM$32,MATCH($A24,Overview!$A$2:$A$32,0),MATCH(AP$2,Overview!$A$2:$BM$2,0)),"")</f>
        <v/>
      </c>
      <c r="AQ24" t="str">
        <f>IFERROR(INDEX(Overview!$A$2:$BM$32,MATCH($A24,Overview!$A$2:$A$32,0),MATCH(AQ$2,Overview!$A$2:$BM$2,0)),"")</f>
        <v/>
      </c>
      <c r="AR24" t="str">
        <f>IFERROR(INDEX(Overview!$A$2:$BM$32,MATCH($A24,Overview!$A$2:$A$32,0),MATCH(AR$2,Overview!$A$2:$BM$2,0)),"")</f>
        <v/>
      </c>
      <c r="AS24" t="str">
        <f>IFERROR(INDEX(Overview!$A$2:$BM$32,MATCH($A24,Overview!$A$2:$A$32,0),MATCH(AS$2,Overview!$A$2:$BM$2,0)),"")</f>
        <v/>
      </c>
      <c r="AT24" t="str">
        <f>IFERROR(INDEX(Overview!$A$2:$BM$32,MATCH($A24,Overview!$A$2:$A$32,0),MATCH(AT$2,Overview!$A$2:$BM$2,0)),"")</f>
        <v/>
      </c>
      <c r="AU24" t="str">
        <f>IFERROR(INDEX(Overview!$A$2:$BM$32,MATCH($A24,Overview!$A$2:$A$32,0),MATCH(AU$2,Overview!$A$2:$BM$2,0)),"")</f>
        <v/>
      </c>
      <c r="AV24" t="str">
        <f>IFERROR(INDEX(Overview!$A$2:$BM$32,MATCH($A24,Overview!$A$2:$A$32,0),MATCH(AV$2,Overview!$A$2:$BM$2,0)),"")</f>
        <v/>
      </c>
      <c r="AW24" t="str">
        <f>IFERROR(INDEX(Overview!$A$2:$BM$32,MATCH($A24,Overview!$A$2:$A$32,0),MATCH(AW$2,Overview!$A$2:$BM$2,0)),"")</f>
        <v/>
      </c>
      <c r="AX24" t="str">
        <f>IFERROR(INDEX(Overview!$A$2:$BM$32,MATCH($A24,Overview!$A$2:$A$32,0),MATCH(AX$2,Overview!$A$2:$BM$2,0)),"")</f>
        <v/>
      </c>
      <c r="AY24" t="str">
        <f>IFERROR(INDEX(Overview!$A$2:$BM$32,MATCH($A24,Overview!$A$2:$A$32,0),MATCH(AY$2,Overview!$A$2:$BM$2,0)),"")</f>
        <v/>
      </c>
      <c r="AZ24" t="str">
        <f>IFERROR(INDEX(Overview!$A$2:$BM$32,MATCH($A24,Overview!$A$2:$A$32,0),MATCH(AZ$2,Overview!$A$2:$BM$2,0)),"")</f>
        <v/>
      </c>
      <c r="BA24" s="79" t="str">
        <f>IFERROR(INDEX(Overview!$A$2:$BM$32,MATCH($A24,Overview!$A$2:$A$32,0),MATCH(BA$2,Overview!$A$2:$BM$2,0)),"")</f>
        <v/>
      </c>
      <c r="BB24" s="79" t="str">
        <f>IFERROR(INDEX(Overview!$A$2:$BM$32,MATCH($A24,Overview!$A$2:$A$32,0),MATCH(BB$2,Overview!$A$2:$BM$2,0)),"")</f>
        <v/>
      </c>
      <c r="BC24" s="79" t="str">
        <f>IFERROR(INDEX(Overview!$A$2:$BM$32,MATCH($A24,Overview!$A$2:$A$32,0),MATCH(BC$2,Overview!$A$2:$BM$2,0)),"")</f>
        <v/>
      </c>
      <c r="BD24" s="79" t="str">
        <f>IFERROR(INDEX(Overview!$A$2:$BM$32,MATCH($A24,Overview!$A$2:$A$32,0),MATCH(BD$2,Overview!$A$2:$BM$2,0)),"")</f>
        <v/>
      </c>
      <c r="BE24" s="79" t="str">
        <f>IFERROR(INDEX(Overview!$A$2:$BM$32,MATCH($A24,Overview!$A$2:$A$32,0),MATCH(BE$2,Overview!$A$2:$BM$2,0)),"")</f>
        <v/>
      </c>
      <c r="BF24" s="79" t="str">
        <f>IFERROR(INDEX(Overview!$A$2:$BM$32,MATCH($A24,Overview!$A$2:$A$32,0),MATCH(BF$2,Overview!$A$2:$BM$2,0)),"")</f>
        <v/>
      </c>
      <c r="BG24" s="79" t="str">
        <f>IFERROR(INDEX(Overview!$A$2:$BM$32,MATCH($A24,Overview!$A$2:$A$32,0),MATCH(BG$2,Overview!$A$2:$BM$2,0)),"")</f>
        <v/>
      </c>
      <c r="BH24" s="79" t="str">
        <f>IFERROR(INDEX(Overview!$A$2:$BM$32,MATCH($A24,Overview!$A$2:$A$32,0),MATCH(BH$2,Overview!$A$2:$BM$2,0)),"")</f>
        <v/>
      </c>
      <c r="BI24" s="79" t="str">
        <f>IFERROR(INDEX(Overview!$A$2:$BM$32,MATCH($A24,Overview!$A$2:$A$32,0),MATCH(BI$2,Overview!$A$2:$BM$2,0)),"")</f>
        <v/>
      </c>
      <c r="BJ24" s="79" t="str">
        <f>IFERROR(INDEX(Overview!$A$2:$BM$32,MATCH($A24,Overview!$A$2:$A$32,0),MATCH(BJ$2,Overview!$A$2:$BM$2,0)),"")</f>
        <v/>
      </c>
      <c r="BK24" s="79" t="str">
        <f>IFERROR(INDEX(Overview!$A$2:$BM$32,MATCH($A24,Overview!$A$2:$A$32,0),MATCH(BK$2,Overview!$A$2:$BM$2,0)),"")</f>
        <v/>
      </c>
      <c r="BL24" s="80" t="str">
        <f>IFERROR(INDEX(Overview!$A$2:$BM$32,MATCH($A24,Overview!$A$2:$A$32,0),MATCH(BL$2,Overview!$A$2:$BM$2,0)+11),"")</f>
        <v/>
      </c>
      <c r="BM24" s="80" t="str">
        <f>IFERROR(INDEX(Overview!$A$2:$BM$32,MATCH($A24,Overview!$A$2:$A$32,0),MATCH(BM$2,Overview!$A$2:$BM$2,0)+11),"")</f>
        <v/>
      </c>
      <c r="BN24" s="80" t="str">
        <f>IFERROR(INDEX(Overview!$A$2:$BM$32,MATCH($A24,Overview!$A$2:$A$32,0),MATCH(BN$2,Overview!$A$2:$BM$2,0)+11),"")</f>
        <v/>
      </c>
      <c r="BO24" s="80" t="str">
        <f>IFERROR(INDEX(Overview!$A$2:$BM$32,MATCH($A24,Overview!$A$2:$A$32,0),MATCH(BO$2,Overview!$A$2:$BM$2,0)+11),"")</f>
        <v/>
      </c>
      <c r="BP24" s="80" t="str">
        <f>IFERROR(INDEX(Overview!$A$2:$BM$32,MATCH($A24,Overview!$A$2:$A$32,0),MATCH(BP$2,Overview!$A$2:$BM$2,0)+11),"")</f>
        <v/>
      </c>
      <c r="BQ24" s="80" t="str">
        <f>IFERROR(INDEX(Overview!$A$2:$BM$32,MATCH($A24,Overview!$A$2:$A$32,0),MATCH(BQ$2,Overview!$A$2:$BM$2,0)+11),"")</f>
        <v/>
      </c>
      <c r="BR24" s="80" t="str">
        <f>IFERROR(INDEX(Overview!$A$2:$BM$32,MATCH($A24,Overview!$A$2:$A$32,0),MATCH(BR$2,Overview!$A$2:$BM$2,0)+11),"")</f>
        <v/>
      </c>
      <c r="BS24" s="80" t="str">
        <f>IFERROR(INDEX(Overview!$A$2:$BM$32,MATCH($A24,Overview!$A$2:$A$32,0),MATCH(BS$2,Overview!$A$2:$BM$2,0)+11),"")</f>
        <v/>
      </c>
      <c r="BT24" s="80" t="str">
        <f>IFERROR(INDEX(Overview!$A$2:$BM$32,MATCH($A24,Overview!$A$2:$A$32,0),MATCH(BT$2,Overview!$A$2:$BM$2,0)+11),"")</f>
        <v/>
      </c>
      <c r="BU24" s="80" t="str">
        <f>IFERROR(INDEX(Overview!$A$2:$BM$32,MATCH($A24,Overview!$A$2:$A$32,0),MATCH(BU$2,Overview!$A$2:$BM$2,0)+11),"")</f>
        <v/>
      </c>
      <c r="BV24" s="80" t="str">
        <f>IFERROR(INDEX(Overview!$A$2:$BM$32,MATCH($A24,Overview!$A$2:$A$32,0),MATCH(BV$2,Overview!$A$2:$BM$2,0)+11),"")</f>
        <v/>
      </c>
      <c r="BW24" s="82" t="str">
        <f t="shared" si="16"/>
        <v/>
      </c>
      <c r="BX24" s="82" t="str">
        <f t="shared" si="17"/>
        <v/>
      </c>
      <c r="BY24" s="82" t="str">
        <f t="shared" si="18"/>
        <v/>
      </c>
      <c r="BZ24" s="82" t="str">
        <f t="shared" si="19"/>
        <v/>
      </c>
      <c r="CA24" s="82" t="str">
        <f t="shared" si="20"/>
        <v/>
      </c>
      <c r="CB24" s="82" t="str">
        <f t="shared" si="21"/>
        <v/>
      </c>
      <c r="CC24" s="82" t="str">
        <f t="shared" si="22"/>
        <v/>
      </c>
      <c r="CD24" s="82" t="str">
        <f t="shared" si="23"/>
        <v/>
      </c>
      <c r="CE24" s="82" t="str">
        <f t="shared" si="24"/>
        <v/>
      </c>
      <c r="CF24" s="82" t="str">
        <f t="shared" si="25"/>
        <v/>
      </c>
      <c r="CG24" s="82" t="str">
        <f t="shared" si="26"/>
        <v/>
      </c>
      <c r="CH24" s="83" t="str">
        <f t="shared" si="38"/>
        <v/>
      </c>
      <c r="CI24" s="83" t="str">
        <f t="shared" si="39"/>
        <v/>
      </c>
      <c r="CJ24" s="83" t="str">
        <f t="shared" si="40"/>
        <v/>
      </c>
      <c r="CK24" s="83" t="str">
        <f t="shared" si="41"/>
        <v/>
      </c>
      <c r="CL24" s="83" t="str">
        <f t="shared" si="42"/>
        <v/>
      </c>
      <c r="CM24" s="83" t="str">
        <f t="shared" si="43"/>
        <v/>
      </c>
      <c r="CN24" s="83" t="str">
        <f t="shared" si="44"/>
        <v/>
      </c>
      <c r="CO24" s="83" t="str">
        <f t="shared" si="45"/>
        <v/>
      </c>
      <c r="CP24" s="83" t="str">
        <f t="shared" si="46"/>
        <v/>
      </c>
      <c r="CQ24" s="83" t="str">
        <f t="shared" si="47"/>
        <v/>
      </c>
      <c r="CR24" s="83" t="str">
        <f t="shared" si="48"/>
        <v/>
      </c>
      <c r="CV24">
        <f>Overview!BO23</f>
        <v>10.615559164371566</v>
      </c>
      <c r="CW24">
        <f>Overview!BP23</f>
        <v>0.16744083562843812</v>
      </c>
      <c r="CX24" t="e">
        <f>Overview!BQ23</f>
        <v>#N/A</v>
      </c>
      <c r="CY24" t="e">
        <f>Overview!BR23</f>
        <v>#N/A</v>
      </c>
      <c r="CZ24" t="e">
        <f>Overview!BS23</f>
        <v>#N/A</v>
      </c>
      <c r="DA24" t="e">
        <f>Overview!BT23</f>
        <v>#N/A</v>
      </c>
      <c r="DB24" t="e">
        <f>Overview!BU23</f>
        <v>#N/A</v>
      </c>
      <c r="DC24" t="e">
        <f>Overview!BV23</f>
        <v>#N/A</v>
      </c>
      <c r="DD24" t="e">
        <f>Overview!BW23</f>
        <v>#N/A</v>
      </c>
      <c r="DE24" t="e">
        <f>Overview!BX23</f>
        <v>#N/A</v>
      </c>
      <c r="DF24" t="e">
        <f>Overview!BY23</f>
        <v>#N/A</v>
      </c>
      <c r="DG24" t="e">
        <f>Overview!BZ23</f>
        <v>#N/A</v>
      </c>
      <c r="DH24">
        <f>Overview!CA23</f>
        <v>0</v>
      </c>
      <c r="DI24">
        <f>Overview!CB23</f>
        <v>0</v>
      </c>
      <c r="DM24">
        <f t="shared" si="28"/>
        <v>0</v>
      </c>
      <c r="DN24">
        <f t="shared" si="29"/>
        <v>0</v>
      </c>
      <c r="DP24">
        <f t="shared" ca="1" si="49"/>
        <v>1</v>
      </c>
      <c r="DQ24" t="str">
        <f t="shared" ca="1" si="30"/>
        <v/>
      </c>
      <c r="DR24" t="str">
        <f t="shared" ca="1" si="50"/>
        <v/>
      </c>
      <c r="DS24" t="str">
        <f t="shared" ca="1" si="31"/>
        <v/>
      </c>
      <c r="DT24" t="str">
        <f t="shared" ca="1" si="51"/>
        <v/>
      </c>
      <c r="DU24">
        <f t="shared" ca="1" si="52"/>
        <v>1</v>
      </c>
      <c r="DV24" t="str">
        <f t="shared" si="32"/>
        <v/>
      </c>
      <c r="DW24" t="str">
        <f t="shared" si="53"/>
        <v/>
      </c>
      <c r="DX24" t="str">
        <f t="shared" si="64"/>
        <v/>
      </c>
      <c r="DZ24" t="str">
        <f t="shared" ca="1" si="54"/>
        <v/>
      </c>
      <c r="EA24" t="str">
        <f t="shared" ca="1" si="55"/>
        <v/>
      </c>
      <c r="EB24" s="84" t="str">
        <f t="shared" ca="1" si="56"/>
        <v/>
      </c>
      <c r="EC24" s="1" t="str">
        <f t="shared" ca="1" si="77"/>
        <v/>
      </c>
      <c r="ED24" t="str">
        <f t="shared" ca="1" si="57"/>
        <v/>
      </c>
      <c r="EE24" t="str">
        <f t="shared" ca="1" si="58"/>
        <v/>
      </c>
      <c r="EF24" t="str">
        <f t="shared" ca="1" si="59"/>
        <v/>
      </c>
      <c r="EJ24" t="str">
        <f ca="1">'538'!Q29</f>
        <v/>
      </c>
      <c r="EK24" t="str">
        <f ca="1">'538'!T29</f>
        <v/>
      </c>
    </row>
    <row r="25" spans="1:141" x14ac:dyDescent="0.25">
      <c r="A25" s="28" t="str">
        <f>IFERROR(INDEX(Overview!$A$3:$B$32,MATCH(Bet!$C25,Overview!$B$3:$B$32,0),1),"X")</f>
        <v>X</v>
      </c>
      <c r="B25" s="28" t="str">
        <f>IF(ISBLANK(C25),"",IFERROR(INDEX(Pitchers[],MATCH(F25,Pitchers[Player],0),MATCH(G$2,Pitchers[#Headers],0)),"X"))</f>
        <v/>
      </c>
      <c r="C25" s="2"/>
      <c r="D25" s="3"/>
      <c r="E25" s="95"/>
      <c r="F25" s="50"/>
      <c r="G25" s="48">
        <f>IFERROR(INDEX(Pitchers[],MATCH(Bet!F25,Pitchers[Player],0),MATCH(G$2,Pitchers[#Headers],0)),PlayerPitching!$AD$12)</f>
        <v>-0.13933069723404246</v>
      </c>
      <c r="H25" s="48" t="str">
        <f>IF(ISNUMBER(CODE(C25)),INDEX(Scores!$P$2:$T$33,MATCH($C25,Scores!$R$2:$R$33,0),4),"")</f>
        <v/>
      </c>
      <c r="I25" s="48" t="str">
        <f>IF(ISNUMBER(CODE(C25)),IF(INDEX(Scores!$P$2:$T$33,MATCH($C25,Scores!$R$2:$R$33,0),5)=0,1,INDEX(Scores!$P$2:$T$33,MATCH($C25,Scores!$R$2:$R$33,0),5)),"")</f>
        <v/>
      </c>
      <c r="J25" s="48">
        <f t="shared" si="1"/>
        <v>-1.9641098805067554</v>
      </c>
      <c r="K25" s="49">
        <f t="shared" si="2"/>
        <v>-9.4751509617551655</v>
      </c>
      <c r="L25" s="49">
        <f t="shared" ref="L25:L34" si="79">SUMPRODUCT(BW25:CG25,$CV$20:$DF$20)+$DG$20</f>
        <v>16.909645863110409</v>
      </c>
      <c r="M25" s="49">
        <f t="shared" ref="M25:M34" si="80">SUMPRODUCT(CH25:CR25,$CV$28:$DF$28)+$DG$28</f>
        <v>10.056673523576878</v>
      </c>
      <c r="N25" s="49">
        <f t="shared" ref="N25:N34" si="81">(J25*2*$J$1+L25*3*$L$1)/(2*$J$1+3*$L$1)</f>
        <v>9.3029121378439612</v>
      </c>
      <c r="O25" s="49">
        <f t="shared" ref="O25:O34" si="82">(K25*2*$K$1+M25*3*$M$1)/(2*$K$1+3*$M$1)</f>
        <v>2.0342481123324334</v>
      </c>
      <c r="P25" s="49">
        <f t="shared" ref="P25:P34" si="83">IF(ISODD(ROW()),AVERAGE(N25,O26),AVERAGE(N25,O24))</f>
        <v>5.6685801250881971</v>
      </c>
      <c r="Q25" s="49" t="str">
        <f>IFERROR(_xlfn.NORM.INV(INDEX(Scores!$P$2:$U$33,MATCH($C25,Scores!$R$2:$R$33,0),6),H25,I25),"")</f>
        <v/>
      </c>
      <c r="R25" s="49" t="str">
        <f t="shared" ref="R25:R32" si="84">IFERROR(IF(ISODD(ROW()),($P$1*P25+$Q$1*Q25)+G26,($P$1*P25+$Q$1*Q25)+G24),"")</f>
        <v/>
      </c>
      <c r="S25" s="49" t="str">
        <f t="shared" ref="S25:S32" si="85">IFERROR(IF(ISODD(ROW()),_xlfn.NORM.DIST(R25-R26,0,I25+I26,1),_xlfn.NORM.DIST(R25-R24,0,I24+I25,1)),"")</f>
        <v/>
      </c>
      <c r="T25" s="49" t="str">
        <f t="shared" ref="T25:T32" si="86">IFERROR(IF(ISODD(ROW()),_xlfn.NORM.DIST(U25,E25,I25+I26,1),1-T24),"")</f>
        <v/>
      </c>
      <c r="U25" s="95" t="str">
        <f t="shared" si="78"/>
        <v/>
      </c>
      <c r="V25" s="67" t="str">
        <f t="shared" ref="V25:V28" si="87">IF(ISNUMBER(CODE(C25)),ROUND(IF(ISODD(ROW()),(R26-R25)*2,(R24-R25)*2),0)/2,"")</f>
        <v/>
      </c>
      <c r="W25" s="64" t="str">
        <f t="shared" ref="W25:W28" si="88">IF(ISNUMBER(CODE(C25)),IF(ISODD(ROW()),IF(S25/S26&gt;1,ROUND(S25/S26,2)*-100,ROUND(S26/S25,2)*100),IF(S25/S24&gt;1,ROUND(S25/S24,2)*-100,ROUND(S24/S25,2)*100)),"")</f>
        <v/>
      </c>
      <c r="X25" s="52" t="str">
        <f t="shared" ref="X25:X28" si="89">IF(ISNUMBER(CODE(C25)),IF(ISODD(ROW()),IF(Z25/Z26&gt;1,ROUND(Z25/Z26,2)*-100,ROUND(Z26/Z25,2)*100),IF(Z25/Z24&gt;1,ROUND(Z25/Z24,2)*-100,ROUND(Z24/Z25,2)*100)),"")</f>
        <v/>
      </c>
      <c r="Y25" s="48" t="str">
        <f t="shared" si="35"/>
        <v/>
      </c>
      <c r="Z25" s="48" t="str">
        <f ca="1">IFERROR(INDEX('538'!$Q$9:$U$190,MATCH(Bet!$C25,'538'!$Q$9:$Q$190,0),5),"")</f>
        <v/>
      </c>
      <c r="AA25" t="str">
        <f t="shared" si="36"/>
        <v/>
      </c>
      <c r="AB25">
        <f t="shared" si="14"/>
        <v>0</v>
      </c>
      <c r="AC25" t="str">
        <f t="shared" ca="1" si="37"/>
        <v/>
      </c>
      <c r="AD25" t="str">
        <f t="shared" si="15"/>
        <v/>
      </c>
      <c r="AE25" t="str">
        <f>IFERROR(INDEX(Overview!$A$2:$BF$32,MATCH($A25,Overview!$A$2:$A$32,0),MATCH(AE$2,Overview!$A$2:$BF$2,0)),"")</f>
        <v/>
      </c>
      <c r="AF25" t="str">
        <f>IFERROR(INDEX(Overview!$A$2:$BF$32,MATCH($A25,Overview!$A$2:$A$32,0),MATCH(AF$2,Overview!$A$2:$BF$2,0)),"")</f>
        <v/>
      </c>
      <c r="AG25" t="str">
        <f>IFERROR(INDEX(Overview!$A$2:$BF$32,MATCH($A25,Overview!$A$2:$A$32,0),MATCH(AG$2,Overview!$A$2:$BF$2,0)),"")</f>
        <v/>
      </c>
      <c r="AH25" t="str">
        <f>IFERROR(INDEX(Overview!$A$2:$BF$32,MATCH($A25,Overview!$A$2:$A$32,0),MATCH(AH$2,Overview!$A$2:$BF$2,0)),"")</f>
        <v/>
      </c>
      <c r="AI25" t="str">
        <f>IFERROR(INDEX(Overview!$A$2:$BF$32,MATCH($A25,Overview!$A$2:$A$32,0),MATCH(AI$2,Overview!$A$2:$BF$2,0)),"")</f>
        <v/>
      </c>
      <c r="AJ25" t="str">
        <f>IFERROR(INDEX(Overview!$A$2:$BF$32,MATCH($A25,Overview!$A$2:$A$32,0),MATCH(AJ$2,Overview!$A$2:$BF$2,0)),"")</f>
        <v/>
      </c>
      <c r="AK25" t="str">
        <f>IFERROR(INDEX(Overview!$A$2:$BF$32,MATCH($A25,Overview!$A$2:$A$32,0),MATCH(AK$2,Overview!$A$2:$BF$2,0)),"")</f>
        <v/>
      </c>
      <c r="AL25" t="str">
        <f>IFERROR(INDEX(Overview!$A$2:$BF$32,MATCH($A25,Overview!$A$2:$A$32,0),MATCH(AL$2,Overview!$A$2:$BF$2,0)),"")</f>
        <v/>
      </c>
      <c r="AM25" t="str">
        <f>IFERROR(INDEX(Overview!$A$2:$BF$32,MATCH($A25,Overview!$A$2:$A$32,0),MATCH(AM$2,Overview!$A$2:$BF$2,0)),"")</f>
        <v/>
      </c>
      <c r="AN25" t="str">
        <f>IFERROR(INDEX(Overview!$A$2:$BF$32,MATCH($A25,Overview!$A$2:$A$32,0),MATCH(AN$2,Overview!$A$2:$BF$2,0)),"")</f>
        <v/>
      </c>
      <c r="AO25" t="str">
        <f>IFERROR(INDEX(Overview!$A$2:$BF$32,MATCH($A25,Overview!$A$2:$A$32,0),MATCH(AO$2,Overview!$A$2:$BF$2,0)),"")</f>
        <v/>
      </c>
      <c r="AP25" t="str">
        <f>IFERROR(INDEX(Overview!$A$2:$BM$32,MATCH($A25,Overview!$A$2:$A$32,0),MATCH(AP$2,Overview!$A$2:$BM$2,0)),"")</f>
        <v/>
      </c>
      <c r="AQ25" t="str">
        <f>IFERROR(INDEX(Overview!$A$2:$BM$32,MATCH($A25,Overview!$A$2:$A$32,0),MATCH(AQ$2,Overview!$A$2:$BM$2,0)),"")</f>
        <v/>
      </c>
      <c r="AR25" t="str">
        <f>IFERROR(INDEX(Overview!$A$2:$BM$32,MATCH($A25,Overview!$A$2:$A$32,0),MATCH(AR$2,Overview!$A$2:$BM$2,0)),"")</f>
        <v/>
      </c>
      <c r="AS25" t="str">
        <f>IFERROR(INDEX(Overview!$A$2:$BM$32,MATCH($A25,Overview!$A$2:$A$32,0),MATCH(AS$2,Overview!$A$2:$BM$2,0)),"")</f>
        <v/>
      </c>
      <c r="AT25" t="str">
        <f>IFERROR(INDEX(Overview!$A$2:$BM$32,MATCH($A25,Overview!$A$2:$A$32,0),MATCH(AT$2,Overview!$A$2:$BM$2,0)),"")</f>
        <v/>
      </c>
      <c r="AU25" t="str">
        <f>IFERROR(INDEX(Overview!$A$2:$BM$32,MATCH($A25,Overview!$A$2:$A$32,0),MATCH(AU$2,Overview!$A$2:$BM$2,0)),"")</f>
        <v/>
      </c>
      <c r="AV25" t="str">
        <f>IFERROR(INDEX(Overview!$A$2:$BM$32,MATCH($A25,Overview!$A$2:$A$32,0),MATCH(AV$2,Overview!$A$2:$BM$2,0)),"")</f>
        <v/>
      </c>
      <c r="AW25" t="str">
        <f>IFERROR(INDEX(Overview!$A$2:$BM$32,MATCH($A25,Overview!$A$2:$A$32,0),MATCH(AW$2,Overview!$A$2:$BM$2,0)),"")</f>
        <v/>
      </c>
      <c r="AX25" t="str">
        <f>IFERROR(INDEX(Overview!$A$2:$BM$32,MATCH($A25,Overview!$A$2:$A$32,0),MATCH(AX$2,Overview!$A$2:$BM$2,0)),"")</f>
        <v/>
      </c>
      <c r="AY25" t="str">
        <f>IFERROR(INDEX(Overview!$A$2:$BM$32,MATCH($A25,Overview!$A$2:$A$32,0),MATCH(AY$2,Overview!$A$2:$BM$2,0)),"")</f>
        <v/>
      </c>
      <c r="AZ25" t="str">
        <f>IFERROR(INDEX(Overview!$A$2:$BM$32,MATCH($A25,Overview!$A$2:$A$32,0),MATCH(AZ$2,Overview!$A$2:$BM$2,0)),"")</f>
        <v/>
      </c>
      <c r="BA25" s="79" t="str">
        <f>IFERROR(INDEX(Overview!$A$2:$BM$32,MATCH($A25,Overview!$A$2:$A$32,0),MATCH(BA$2,Overview!$A$2:$BM$2,0)),"")</f>
        <v/>
      </c>
      <c r="BB25" s="79" t="str">
        <f>IFERROR(INDEX(Overview!$A$2:$BM$32,MATCH($A25,Overview!$A$2:$A$32,0),MATCH(BB$2,Overview!$A$2:$BM$2,0)),"")</f>
        <v/>
      </c>
      <c r="BC25" s="79" t="str">
        <f>IFERROR(INDEX(Overview!$A$2:$BM$32,MATCH($A25,Overview!$A$2:$A$32,0),MATCH(BC$2,Overview!$A$2:$BM$2,0)),"")</f>
        <v/>
      </c>
      <c r="BD25" s="79" t="str">
        <f>IFERROR(INDEX(Overview!$A$2:$BM$32,MATCH($A25,Overview!$A$2:$A$32,0),MATCH(BD$2,Overview!$A$2:$BM$2,0)),"")</f>
        <v/>
      </c>
      <c r="BE25" s="79" t="str">
        <f>IFERROR(INDEX(Overview!$A$2:$BM$32,MATCH($A25,Overview!$A$2:$A$32,0),MATCH(BE$2,Overview!$A$2:$BM$2,0)),"")</f>
        <v/>
      </c>
      <c r="BF25" s="79" t="str">
        <f>IFERROR(INDEX(Overview!$A$2:$BM$32,MATCH($A25,Overview!$A$2:$A$32,0),MATCH(BF$2,Overview!$A$2:$BM$2,0)),"")</f>
        <v/>
      </c>
      <c r="BG25" s="79" t="str">
        <f>IFERROR(INDEX(Overview!$A$2:$BM$32,MATCH($A25,Overview!$A$2:$A$32,0),MATCH(BG$2,Overview!$A$2:$BM$2,0)),"")</f>
        <v/>
      </c>
      <c r="BH25" s="79" t="str">
        <f>IFERROR(INDEX(Overview!$A$2:$BM$32,MATCH($A25,Overview!$A$2:$A$32,0),MATCH(BH$2,Overview!$A$2:$BM$2,0)),"")</f>
        <v/>
      </c>
      <c r="BI25" s="79" t="str">
        <f>IFERROR(INDEX(Overview!$A$2:$BM$32,MATCH($A25,Overview!$A$2:$A$32,0),MATCH(BI$2,Overview!$A$2:$BM$2,0)),"")</f>
        <v/>
      </c>
      <c r="BJ25" s="79" t="str">
        <f>IFERROR(INDEX(Overview!$A$2:$BM$32,MATCH($A25,Overview!$A$2:$A$32,0),MATCH(BJ$2,Overview!$A$2:$BM$2,0)),"")</f>
        <v/>
      </c>
      <c r="BK25" s="79" t="str">
        <f>IFERROR(INDEX(Overview!$A$2:$BM$32,MATCH($A25,Overview!$A$2:$A$32,0),MATCH(BK$2,Overview!$A$2:$BM$2,0)),"")</f>
        <v/>
      </c>
      <c r="BL25" s="80" t="str">
        <f>IFERROR(INDEX(Overview!$A$2:$BM$32,MATCH($A25,Overview!$A$2:$A$32,0),MATCH(BL$2,Overview!$A$2:$BM$2,0)+11),"")</f>
        <v/>
      </c>
      <c r="BM25" s="80" t="str">
        <f>IFERROR(INDEX(Overview!$A$2:$BM$32,MATCH($A25,Overview!$A$2:$A$32,0),MATCH(BM$2,Overview!$A$2:$BM$2,0)+11),"")</f>
        <v/>
      </c>
      <c r="BN25" s="80" t="str">
        <f>IFERROR(INDEX(Overview!$A$2:$BM$32,MATCH($A25,Overview!$A$2:$A$32,0),MATCH(BN$2,Overview!$A$2:$BM$2,0)+11),"")</f>
        <v/>
      </c>
      <c r="BO25" s="80" t="str">
        <f>IFERROR(INDEX(Overview!$A$2:$BM$32,MATCH($A25,Overview!$A$2:$A$32,0),MATCH(BO$2,Overview!$A$2:$BM$2,0)+11),"")</f>
        <v/>
      </c>
      <c r="BP25" s="80" t="str">
        <f>IFERROR(INDEX(Overview!$A$2:$BM$32,MATCH($A25,Overview!$A$2:$A$32,0),MATCH(BP$2,Overview!$A$2:$BM$2,0)+11),"")</f>
        <v/>
      </c>
      <c r="BQ25" s="80" t="str">
        <f>IFERROR(INDEX(Overview!$A$2:$BM$32,MATCH($A25,Overview!$A$2:$A$32,0),MATCH(BQ$2,Overview!$A$2:$BM$2,0)+11),"")</f>
        <v/>
      </c>
      <c r="BR25" s="80" t="str">
        <f>IFERROR(INDEX(Overview!$A$2:$BM$32,MATCH($A25,Overview!$A$2:$A$32,0),MATCH(BR$2,Overview!$A$2:$BM$2,0)+11),"")</f>
        <v/>
      </c>
      <c r="BS25" s="80" t="str">
        <f>IFERROR(INDEX(Overview!$A$2:$BM$32,MATCH($A25,Overview!$A$2:$A$32,0),MATCH(BS$2,Overview!$A$2:$BM$2,0)+11),"")</f>
        <v/>
      </c>
      <c r="BT25" s="80" t="str">
        <f>IFERROR(INDEX(Overview!$A$2:$BM$32,MATCH($A25,Overview!$A$2:$A$32,0),MATCH(BT$2,Overview!$A$2:$BM$2,0)+11),"")</f>
        <v/>
      </c>
      <c r="BU25" s="80" t="str">
        <f>IFERROR(INDEX(Overview!$A$2:$BM$32,MATCH($A25,Overview!$A$2:$A$32,0),MATCH(BU$2,Overview!$A$2:$BM$2,0)+11),"")</f>
        <v/>
      </c>
      <c r="BV25" s="80" t="str">
        <f>IFERROR(INDEX(Overview!$A$2:$BM$32,MATCH($A25,Overview!$A$2:$A$32,0),MATCH(BV$2,Overview!$A$2:$BM$2,0)+11),"")</f>
        <v/>
      </c>
      <c r="BW25" s="82" t="str">
        <f t="shared" si="16"/>
        <v/>
      </c>
      <c r="BX25" s="82" t="str">
        <f t="shared" si="17"/>
        <v/>
      </c>
      <c r="BY25" s="82" t="str">
        <f t="shared" si="18"/>
        <v/>
      </c>
      <c r="BZ25" s="82" t="str">
        <f t="shared" si="19"/>
        <v/>
      </c>
      <c r="CA25" s="82" t="str">
        <f t="shared" si="20"/>
        <v/>
      </c>
      <c r="CB25" s="82" t="str">
        <f t="shared" si="21"/>
        <v/>
      </c>
      <c r="CC25" s="82" t="str">
        <f t="shared" si="22"/>
        <v/>
      </c>
      <c r="CD25" s="82" t="str">
        <f t="shared" si="23"/>
        <v/>
      </c>
      <c r="CE25" s="82" t="str">
        <f t="shared" si="24"/>
        <v/>
      </c>
      <c r="CF25" s="82" t="str">
        <f t="shared" si="25"/>
        <v/>
      </c>
      <c r="CG25" s="82" t="str">
        <f t="shared" si="26"/>
        <v/>
      </c>
      <c r="CH25" s="83" t="str">
        <f t="shared" si="38"/>
        <v/>
      </c>
      <c r="CI25" s="83" t="str">
        <f t="shared" si="39"/>
        <v/>
      </c>
      <c r="CJ25" s="83" t="str">
        <f t="shared" si="40"/>
        <v/>
      </c>
      <c r="CK25" s="83" t="str">
        <f t="shared" si="41"/>
        <v/>
      </c>
      <c r="CL25" s="83" t="str">
        <f t="shared" si="42"/>
        <v/>
      </c>
      <c r="CM25" s="83" t="str">
        <f t="shared" si="43"/>
        <v/>
      </c>
      <c r="CN25" s="83" t="str">
        <f t="shared" si="44"/>
        <v/>
      </c>
      <c r="CO25" s="83" t="str">
        <f t="shared" si="45"/>
        <v/>
      </c>
      <c r="CP25" s="83" t="str">
        <f t="shared" si="46"/>
        <v/>
      </c>
      <c r="CQ25" s="83" t="str">
        <f t="shared" si="47"/>
        <v/>
      </c>
      <c r="CR25" s="83" t="str">
        <f t="shared" si="48"/>
        <v/>
      </c>
      <c r="DM25">
        <f t="shared" si="28"/>
        <v>0</v>
      </c>
      <c r="DN25">
        <f t="shared" si="29"/>
        <v>0</v>
      </c>
      <c r="DP25">
        <f t="shared" ca="1" si="49"/>
        <v>1</v>
      </c>
      <c r="DQ25" t="str">
        <f t="shared" ca="1" si="30"/>
        <v/>
      </c>
      <c r="DR25" t="str">
        <f t="shared" ca="1" si="50"/>
        <v/>
      </c>
      <c r="DS25" t="str">
        <f t="shared" ca="1" si="31"/>
        <v/>
      </c>
      <c r="DT25" t="str">
        <f t="shared" ca="1" si="51"/>
        <v/>
      </c>
      <c r="DU25">
        <f t="shared" ca="1" si="52"/>
        <v>1</v>
      </c>
      <c r="DV25" t="str">
        <f t="shared" si="32"/>
        <v/>
      </c>
      <c r="DW25" t="str">
        <f t="shared" si="53"/>
        <v/>
      </c>
      <c r="DX25" t="str">
        <f t="shared" si="64"/>
        <v/>
      </c>
      <c r="DZ25" t="str">
        <f ca="1">IFERROR(IFERROR(VLOOKUP(ROW()-2,$DP$3:$DT$34,2,0),VLOOKUP(ROW()-2,$DU$3:$DX$34,2,0)),"")</f>
        <v/>
      </c>
      <c r="EA25" t="str">
        <f t="shared" ca="1" si="55"/>
        <v/>
      </c>
      <c r="EB25" s="84" t="str">
        <f t="shared" ca="1" si="56"/>
        <v/>
      </c>
      <c r="EC25" s="1" t="str">
        <f t="shared" ca="1" si="77"/>
        <v/>
      </c>
      <c r="ED25" t="str">
        <f t="shared" ca="1" si="57"/>
        <v/>
      </c>
      <c r="EE25" t="str">
        <f t="shared" ca="1" si="58"/>
        <v/>
      </c>
      <c r="EF25" t="str">
        <f t="shared" ca="1" si="59"/>
        <v/>
      </c>
      <c r="EJ25" t="str">
        <f ca="1">'538'!Q30</f>
        <v/>
      </c>
      <c r="EK25" t="str">
        <f ca="1">'538'!T30</f>
        <v/>
      </c>
    </row>
    <row r="26" spans="1:141" ht="15.75" thickBot="1" x14ac:dyDescent="0.3">
      <c r="A26" s="28" t="str">
        <f>IFERROR(INDEX(Overview!$A$3:$B$32,MATCH(Bet!$C26,Overview!$B$3:$B$32,0),1),"X")</f>
        <v>X</v>
      </c>
      <c r="B26" s="28" t="str">
        <f>IF(ISBLANK(C26),"",IFERROR(INDEX(Pitchers[],MATCH(F26,Pitchers[Player],0),MATCH(G$2,Pitchers[#Headers],0)),"X"))</f>
        <v/>
      </c>
      <c r="C26" s="4"/>
      <c r="D26" s="10"/>
      <c r="E26" s="96"/>
      <c r="F26" s="51"/>
      <c r="G26" s="48">
        <f>IFERROR(INDEX(Pitchers[],MATCH(Bet!F26,Pitchers[Player],0),MATCH(G$2,Pitchers[#Headers],0)),PlayerPitching!$AD$12)</f>
        <v>-0.13933069723404246</v>
      </c>
      <c r="H26" s="48" t="str">
        <f>IF(ISNUMBER(CODE(C26)),INDEX(Scores!$P$2:$T$33,MATCH($C26,Scores!$R$2:$R$33,0),4),"")</f>
        <v/>
      </c>
      <c r="I26" s="48" t="str">
        <f>IF(ISNUMBER(CODE(C26)),IF(INDEX(Scores!$P$2:$T$33,MATCH($C26,Scores!$R$2:$R$33,0),5)=0,1,INDEX(Scores!$P$2:$T$33,MATCH($C26,Scores!$R$2:$R$33,0),5)),"")</f>
        <v/>
      </c>
      <c r="J26" s="48">
        <f t="shared" si="1"/>
        <v>-1.9641098805067554</v>
      </c>
      <c r="K26" s="49">
        <f t="shared" si="2"/>
        <v>-9.4751509617551655</v>
      </c>
      <c r="L26" s="49">
        <f t="shared" si="79"/>
        <v>16.909645863110409</v>
      </c>
      <c r="M26" s="49">
        <f t="shared" si="80"/>
        <v>10.056673523576878</v>
      </c>
      <c r="N26" s="49">
        <f t="shared" si="81"/>
        <v>9.3029121378439612</v>
      </c>
      <c r="O26" s="49">
        <f t="shared" si="82"/>
        <v>2.0342481123324334</v>
      </c>
      <c r="P26" s="49">
        <f t="shared" si="83"/>
        <v>5.6685801250881971</v>
      </c>
      <c r="Q26" s="49" t="str">
        <f>IFERROR(_xlfn.NORM.INV(INDEX(Scores!$P$2:$U$33,MATCH($C26,Scores!$R$2:$R$33,0),6),H26,I26),"")</f>
        <v/>
      </c>
      <c r="R26" s="49" t="str">
        <f t="shared" si="84"/>
        <v/>
      </c>
      <c r="S26" s="49" t="str">
        <f t="shared" si="85"/>
        <v/>
      </c>
      <c r="T26" s="49" t="str">
        <f t="shared" si="86"/>
        <v/>
      </c>
      <c r="U26" s="96"/>
      <c r="V26" s="68" t="str">
        <f t="shared" si="87"/>
        <v/>
      </c>
      <c r="W26" s="65" t="str">
        <f t="shared" si="88"/>
        <v/>
      </c>
      <c r="X26" s="52" t="str">
        <f t="shared" si="89"/>
        <v/>
      </c>
      <c r="Y26" s="48" t="str">
        <f t="shared" si="35"/>
        <v/>
      </c>
      <c r="Z26" s="48" t="str">
        <f ca="1">IFERROR(INDEX('538'!$Q$9:$U$190,MATCH(Bet!$C26,'538'!$Q$9:$Q$190,0),5),"")</f>
        <v/>
      </c>
      <c r="AA26" t="str">
        <f t="shared" si="36"/>
        <v/>
      </c>
      <c r="AB26">
        <f t="shared" si="14"/>
        <v>0</v>
      </c>
      <c r="AC26" t="str">
        <f t="shared" ca="1" si="37"/>
        <v/>
      </c>
      <c r="AD26" t="str">
        <f t="shared" si="15"/>
        <v/>
      </c>
      <c r="AE26" t="str">
        <f>IFERROR(INDEX(Overview!$A$2:$BF$32,MATCH($A26,Overview!$A$2:$A$32,0),MATCH(AE$2,Overview!$A$2:$BF$2,0)),"")</f>
        <v/>
      </c>
      <c r="AF26" t="str">
        <f>IFERROR(INDEX(Overview!$A$2:$BF$32,MATCH($A26,Overview!$A$2:$A$32,0),MATCH(AF$2,Overview!$A$2:$BF$2,0)),"")</f>
        <v/>
      </c>
      <c r="AG26" t="str">
        <f>IFERROR(INDEX(Overview!$A$2:$BF$32,MATCH($A26,Overview!$A$2:$A$32,0),MATCH(AG$2,Overview!$A$2:$BF$2,0)),"")</f>
        <v/>
      </c>
      <c r="AH26" t="str">
        <f>IFERROR(INDEX(Overview!$A$2:$BF$32,MATCH($A26,Overview!$A$2:$A$32,0),MATCH(AH$2,Overview!$A$2:$BF$2,0)),"")</f>
        <v/>
      </c>
      <c r="AI26" t="str">
        <f>IFERROR(INDEX(Overview!$A$2:$BF$32,MATCH($A26,Overview!$A$2:$A$32,0),MATCH(AI$2,Overview!$A$2:$BF$2,0)),"")</f>
        <v/>
      </c>
      <c r="AJ26" t="str">
        <f>IFERROR(INDEX(Overview!$A$2:$BF$32,MATCH($A26,Overview!$A$2:$A$32,0),MATCH(AJ$2,Overview!$A$2:$BF$2,0)),"")</f>
        <v/>
      </c>
      <c r="AK26" t="str">
        <f>IFERROR(INDEX(Overview!$A$2:$BF$32,MATCH($A26,Overview!$A$2:$A$32,0),MATCH(AK$2,Overview!$A$2:$BF$2,0)),"")</f>
        <v/>
      </c>
      <c r="AL26" t="str">
        <f>IFERROR(INDEX(Overview!$A$2:$BF$32,MATCH($A26,Overview!$A$2:$A$32,0),MATCH(AL$2,Overview!$A$2:$BF$2,0)),"")</f>
        <v/>
      </c>
      <c r="AM26" t="str">
        <f>IFERROR(INDEX(Overview!$A$2:$BF$32,MATCH($A26,Overview!$A$2:$A$32,0),MATCH(AM$2,Overview!$A$2:$BF$2,0)),"")</f>
        <v/>
      </c>
      <c r="AN26" t="str">
        <f>IFERROR(INDEX(Overview!$A$2:$BF$32,MATCH($A26,Overview!$A$2:$A$32,0),MATCH(AN$2,Overview!$A$2:$BF$2,0)),"")</f>
        <v/>
      </c>
      <c r="AO26" t="str">
        <f>IFERROR(INDEX(Overview!$A$2:$BF$32,MATCH($A26,Overview!$A$2:$A$32,0),MATCH(AO$2,Overview!$A$2:$BF$2,0)),"")</f>
        <v/>
      </c>
      <c r="AP26" t="str">
        <f>IFERROR(INDEX(Overview!$A$2:$BM$32,MATCH($A26,Overview!$A$2:$A$32,0),MATCH(AP$2,Overview!$A$2:$BM$2,0)),"")</f>
        <v/>
      </c>
      <c r="AQ26" t="str">
        <f>IFERROR(INDEX(Overview!$A$2:$BM$32,MATCH($A26,Overview!$A$2:$A$32,0),MATCH(AQ$2,Overview!$A$2:$BM$2,0)),"")</f>
        <v/>
      </c>
      <c r="AR26" t="str">
        <f>IFERROR(INDEX(Overview!$A$2:$BM$32,MATCH($A26,Overview!$A$2:$A$32,0),MATCH(AR$2,Overview!$A$2:$BM$2,0)),"")</f>
        <v/>
      </c>
      <c r="AS26" t="str">
        <f>IFERROR(INDEX(Overview!$A$2:$BM$32,MATCH($A26,Overview!$A$2:$A$32,0),MATCH(AS$2,Overview!$A$2:$BM$2,0)),"")</f>
        <v/>
      </c>
      <c r="AT26" t="str">
        <f>IFERROR(INDEX(Overview!$A$2:$BM$32,MATCH($A26,Overview!$A$2:$A$32,0),MATCH(AT$2,Overview!$A$2:$BM$2,0)),"")</f>
        <v/>
      </c>
      <c r="AU26" t="str">
        <f>IFERROR(INDEX(Overview!$A$2:$BM$32,MATCH($A26,Overview!$A$2:$A$32,0),MATCH(AU$2,Overview!$A$2:$BM$2,0)),"")</f>
        <v/>
      </c>
      <c r="AV26" t="str">
        <f>IFERROR(INDEX(Overview!$A$2:$BM$32,MATCH($A26,Overview!$A$2:$A$32,0),MATCH(AV$2,Overview!$A$2:$BM$2,0)),"")</f>
        <v/>
      </c>
      <c r="AW26" t="str">
        <f>IFERROR(INDEX(Overview!$A$2:$BM$32,MATCH($A26,Overview!$A$2:$A$32,0),MATCH(AW$2,Overview!$A$2:$BM$2,0)),"")</f>
        <v/>
      </c>
      <c r="AX26" t="str">
        <f>IFERROR(INDEX(Overview!$A$2:$BM$32,MATCH($A26,Overview!$A$2:$A$32,0),MATCH(AX$2,Overview!$A$2:$BM$2,0)),"")</f>
        <v/>
      </c>
      <c r="AY26" t="str">
        <f>IFERROR(INDEX(Overview!$A$2:$BM$32,MATCH($A26,Overview!$A$2:$A$32,0),MATCH(AY$2,Overview!$A$2:$BM$2,0)),"")</f>
        <v/>
      </c>
      <c r="AZ26" t="str">
        <f>IFERROR(INDEX(Overview!$A$2:$BM$32,MATCH($A26,Overview!$A$2:$A$32,0),MATCH(AZ$2,Overview!$A$2:$BM$2,0)),"")</f>
        <v/>
      </c>
      <c r="BA26" s="79" t="str">
        <f>IFERROR(INDEX(Overview!$A$2:$BM$32,MATCH($A26,Overview!$A$2:$A$32,0),MATCH(BA$2,Overview!$A$2:$BM$2,0)),"")</f>
        <v/>
      </c>
      <c r="BB26" s="79" t="str">
        <f>IFERROR(INDEX(Overview!$A$2:$BM$32,MATCH($A26,Overview!$A$2:$A$32,0),MATCH(BB$2,Overview!$A$2:$BM$2,0)),"")</f>
        <v/>
      </c>
      <c r="BC26" s="79" t="str">
        <f>IFERROR(INDEX(Overview!$A$2:$BM$32,MATCH($A26,Overview!$A$2:$A$32,0),MATCH(BC$2,Overview!$A$2:$BM$2,0)),"")</f>
        <v/>
      </c>
      <c r="BD26" s="79" t="str">
        <f>IFERROR(INDEX(Overview!$A$2:$BM$32,MATCH($A26,Overview!$A$2:$A$32,0),MATCH(BD$2,Overview!$A$2:$BM$2,0)),"")</f>
        <v/>
      </c>
      <c r="BE26" s="79" t="str">
        <f>IFERROR(INDEX(Overview!$A$2:$BM$32,MATCH($A26,Overview!$A$2:$A$32,0),MATCH(BE$2,Overview!$A$2:$BM$2,0)),"")</f>
        <v/>
      </c>
      <c r="BF26" s="79" t="str">
        <f>IFERROR(INDEX(Overview!$A$2:$BM$32,MATCH($A26,Overview!$A$2:$A$32,0),MATCH(BF$2,Overview!$A$2:$BM$2,0)),"")</f>
        <v/>
      </c>
      <c r="BG26" s="79" t="str">
        <f>IFERROR(INDEX(Overview!$A$2:$BM$32,MATCH($A26,Overview!$A$2:$A$32,0),MATCH(BG$2,Overview!$A$2:$BM$2,0)),"")</f>
        <v/>
      </c>
      <c r="BH26" s="79" t="str">
        <f>IFERROR(INDEX(Overview!$A$2:$BM$32,MATCH($A26,Overview!$A$2:$A$32,0),MATCH(BH$2,Overview!$A$2:$BM$2,0)),"")</f>
        <v/>
      </c>
      <c r="BI26" s="79" t="str">
        <f>IFERROR(INDEX(Overview!$A$2:$BM$32,MATCH($A26,Overview!$A$2:$A$32,0),MATCH(BI$2,Overview!$A$2:$BM$2,0)),"")</f>
        <v/>
      </c>
      <c r="BJ26" s="79" t="str">
        <f>IFERROR(INDEX(Overview!$A$2:$BM$32,MATCH($A26,Overview!$A$2:$A$32,0),MATCH(BJ$2,Overview!$A$2:$BM$2,0)),"")</f>
        <v/>
      </c>
      <c r="BK26" s="79" t="str">
        <f>IFERROR(INDEX(Overview!$A$2:$BM$32,MATCH($A26,Overview!$A$2:$A$32,0),MATCH(BK$2,Overview!$A$2:$BM$2,0)),"")</f>
        <v/>
      </c>
      <c r="BL26" s="80" t="str">
        <f>IFERROR(INDEX(Overview!$A$2:$BM$32,MATCH($A26,Overview!$A$2:$A$32,0),MATCH(BL$2,Overview!$A$2:$BM$2,0)+11),"")</f>
        <v/>
      </c>
      <c r="BM26" s="80" t="str">
        <f>IFERROR(INDEX(Overview!$A$2:$BM$32,MATCH($A26,Overview!$A$2:$A$32,0),MATCH(BM$2,Overview!$A$2:$BM$2,0)+11),"")</f>
        <v/>
      </c>
      <c r="BN26" s="80" t="str">
        <f>IFERROR(INDEX(Overview!$A$2:$BM$32,MATCH($A26,Overview!$A$2:$A$32,0),MATCH(BN$2,Overview!$A$2:$BM$2,0)+11),"")</f>
        <v/>
      </c>
      <c r="BO26" s="80" t="str">
        <f>IFERROR(INDEX(Overview!$A$2:$BM$32,MATCH($A26,Overview!$A$2:$A$32,0),MATCH(BO$2,Overview!$A$2:$BM$2,0)+11),"")</f>
        <v/>
      </c>
      <c r="BP26" s="80" t="str">
        <f>IFERROR(INDEX(Overview!$A$2:$BM$32,MATCH($A26,Overview!$A$2:$A$32,0),MATCH(BP$2,Overview!$A$2:$BM$2,0)+11),"")</f>
        <v/>
      </c>
      <c r="BQ26" s="80" t="str">
        <f>IFERROR(INDEX(Overview!$A$2:$BM$32,MATCH($A26,Overview!$A$2:$A$32,0),MATCH(BQ$2,Overview!$A$2:$BM$2,0)+11),"")</f>
        <v/>
      </c>
      <c r="BR26" s="80" t="str">
        <f>IFERROR(INDEX(Overview!$A$2:$BM$32,MATCH($A26,Overview!$A$2:$A$32,0),MATCH(BR$2,Overview!$A$2:$BM$2,0)+11),"")</f>
        <v/>
      </c>
      <c r="BS26" s="80" t="str">
        <f>IFERROR(INDEX(Overview!$A$2:$BM$32,MATCH($A26,Overview!$A$2:$A$32,0),MATCH(BS$2,Overview!$A$2:$BM$2,0)+11),"")</f>
        <v/>
      </c>
      <c r="BT26" s="80" t="str">
        <f>IFERROR(INDEX(Overview!$A$2:$BM$32,MATCH($A26,Overview!$A$2:$A$32,0),MATCH(BT$2,Overview!$A$2:$BM$2,0)+11),"")</f>
        <v/>
      </c>
      <c r="BU26" s="80" t="str">
        <f>IFERROR(INDEX(Overview!$A$2:$BM$32,MATCH($A26,Overview!$A$2:$A$32,0),MATCH(BU$2,Overview!$A$2:$BM$2,0)+11),"")</f>
        <v/>
      </c>
      <c r="BV26" s="80" t="str">
        <f>IFERROR(INDEX(Overview!$A$2:$BM$32,MATCH($A26,Overview!$A$2:$A$32,0),MATCH(BV$2,Overview!$A$2:$BM$2,0)+11),"")</f>
        <v/>
      </c>
      <c r="BW26" s="82" t="str">
        <f t="shared" si="16"/>
        <v/>
      </c>
      <c r="BX26" s="82" t="str">
        <f t="shared" si="17"/>
        <v/>
      </c>
      <c r="BY26" s="82" t="str">
        <f t="shared" si="18"/>
        <v/>
      </c>
      <c r="BZ26" s="82" t="str">
        <f t="shared" si="19"/>
        <v/>
      </c>
      <c r="CA26" s="82" t="str">
        <f t="shared" si="20"/>
        <v/>
      </c>
      <c r="CB26" s="82" t="str">
        <f t="shared" si="21"/>
        <v/>
      </c>
      <c r="CC26" s="82" t="str">
        <f t="shared" si="22"/>
        <v/>
      </c>
      <c r="CD26" s="82" t="str">
        <f t="shared" si="23"/>
        <v/>
      </c>
      <c r="CE26" s="82" t="str">
        <f t="shared" si="24"/>
        <v/>
      </c>
      <c r="CF26" s="82" t="str">
        <f t="shared" si="25"/>
        <v/>
      </c>
      <c r="CG26" s="82" t="str">
        <f t="shared" si="26"/>
        <v/>
      </c>
      <c r="CH26" s="83" t="str">
        <f t="shared" si="38"/>
        <v/>
      </c>
      <c r="CI26" s="83" t="str">
        <f t="shared" si="39"/>
        <v/>
      </c>
      <c r="CJ26" s="83" t="str">
        <f t="shared" si="40"/>
        <v/>
      </c>
      <c r="CK26" s="83" t="str">
        <f t="shared" si="41"/>
        <v/>
      </c>
      <c r="CL26" s="83" t="str">
        <f t="shared" si="42"/>
        <v/>
      </c>
      <c r="CM26" s="83" t="str">
        <f t="shared" si="43"/>
        <v/>
      </c>
      <c r="CN26" s="83" t="str">
        <f t="shared" si="44"/>
        <v/>
      </c>
      <c r="CO26" s="83" t="str">
        <f t="shared" si="45"/>
        <v/>
      </c>
      <c r="CP26" s="83" t="str">
        <f t="shared" si="46"/>
        <v/>
      </c>
      <c r="CQ26" s="83" t="str">
        <f t="shared" si="47"/>
        <v/>
      </c>
      <c r="CR26" s="83" t="str">
        <f t="shared" si="48"/>
        <v/>
      </c>
      <c r="CV26" t="str">
        <f>Overview!BO25</f>
        <v>PitchingRatio Regression</v>
      </c>
      <c r="CW26" s="97"/>
      <c r="CX26" s="97"/>
      <c r="CY26" s="97"/>
      <c r="CZ26" s="97"/>
      <c r="DA26" s="97"/>
      <c r="DB26" s="97"/>
      <c r="DC26" s="97"/>
      <c r="DD26" s="97"/>
      <c r="DE26" s="97"/>
      <c r="DF26" s="97"/>
      <c r="DG26" s="97"/>
      <c r="DM26">
        <f t="shared" si="28"/>
        <v>0</v>
      </c>
      <c r="DN26">
        <f t="shared" si="29"/>
        <v>0</v>
      </c>
      <c r="DP26">
        <f t="shared" ca="1" si="49"/>
        <v>1</v>
      </c>
      <c r="DQ26" t="str">
        <f t="shared" ca="1" si="30"/>
        <v/>
      </c>
      <c r="DR26" t="str">
        <f t="shared" ca="1" si="50"/>
        <v/>
      </c>
      <c r="DS26" t="str">
        <f t="shared" ca="1" si="31"/>
        <v/>
      </c>
      <c r="DT26" t="str">
        <f t="shared" ca="1" si="51"/>
        <v/>
      </c>
      <c r="DU26">
        <f t="shared" ca="1" si="52"/>
        <v>1</v>
      </c>
      <c r="DV26" t="str">
        <f t="shared" si="32"/>
        <v/>
      </c>
      <c r="DW26" t="str">
        <f t="shared" si="53"/>
        <v/>
      </c>
      <c r="DX26" t="str">
        <f t="shared" si="64"/>
        <v/>
      </c>
      <c r="DZ26" t="str">
        <f t="shared" ca="1" si="54"/>
        <v/>
      </c>
      <c r="EA26" t="str">
        <f t="shared" ca="1" si="55"/>
        <v/>
      </c>
      <c r="EB26" s="84" t="str">
        <f t="shared" ca="1" si="56"/>
        <v/>
      </c>
      <c r="EC26" s="1" t="str">
        <f t="shared" ca="1" si="77"/>
        <v/>
      </c>
      <c r="ED26" t="str">
        <f t="shared" ca="1" si="57"/>
        <v/>
      </c>
      <c r="EE26" t="str">
        <f t="shared" ca="1" si="58"/>
        <v/>
      </c>
      <c r="EF26" t="str">
        <f t="shared" ca="1" si="59"/>
        <v/>
      </c>
      <c r="EJ26" t="str">
        <f ca="1">'538'!Q31</f>
        <v/>
      </c>
      <c r="EK26" t="str">
        <f ca="1">'538'!T31</f>
        <v/>
      </c>
    </row>
    <row r="27" spans="1:141" x14ac:dyDescent="0.25">
      <c r="A27" s="28" t="str">
        <f>IFERROR(INDEX(Overview!$A$3:$B$32,MATCH(Bet!$C27,Overview!$B$3:$B$32,0),1),"X")</f>
        <v>X</v>
      </c>
      <c r="B27" s="28" t="str">
        <f>IF(ISBLANK(C27),"",IFERROR(INDEX(Pitchers[],MATCH(F27,Pitchers[Player],0),MATCH(G$2,Pitchers[#Headers],0)),"X"))</f>
        <v/>
      </c>
      <c r="C27" s="2"/>
      <c r="D27" s="3"/>
      <c r="E27" s="95"/>
      <c r="F27" s="50"/>
      <c r="G27" s="48">
        <f>IFERROR(INDEX(Pitchers[],MATCH(Bet!F27,Pitchers[Player],0),MATCH(G$2,Pitchers[#Headers],0)),PlayerPitching!$AD$12)</f>
        <v>-0.13933069723404246</v>
      </c>
      <c r="H27" s="48" t="str">
        <f>IF(ISNUMBER(CODE(C27)),INDEX(Scores!$P$2:$T$33,MATCH($C27,Scores!$R$2:$R$33,0),4),"")</f>
        <v/>
      </c>
      <c r="I27" s="48" t="str">
        <f>IF(ISNUMBER(CODE(C27)),IF(INDEX(Scores!$P$2:$T$33,MATCH($C27,Scores!$R$2:$R$33,0),5)=0,1,INDEX(Scores!$P$2:$T$33,MATCH($C27,Scores!$R$2:$R$33,0),5)),"")</f>
        <v/>
      </c>
      <c r="J27" s="48">
        <f t="shared" si="1"/>
        <v>-1.9641098805067554</v>
      </c>
      <c r="K27" s="49">
        <f t="shared" si="2"/>
        <v>-9.4751509617551655</v>
      </c>
      <c r="L27" s="49">
        <f t="shared" si="79"/>
        <v>16.909645863110409</v>
      </c>
      <c r="M27" s="49">
        <f t="shared" si="80"/>
        <v>10.056673523576878</v>
      </c>
      <c r="N27" s="49">
        <f t="shared" si="81"/>
        <v>9.3029121378439612</v>
      </c>
      <c r="O27" s="49">
        <f t="shared" si="82"/>
        <v>2.0342481123324334</v>
      </c>
      <c r="P27" s="49">
        <f t="shared" si="83"/>
        <v>5.6685801250881971</v>
      </c>
      <c r="Q27" s="49" t="str">
        <f>IFERROR(_xlfn.NORM.INV(INDEX(Scores!$P$2:$U$33,MATCH($C27,Scores!$R$2:$R$33,0),6),H27,I27),"")</f>
        <v/>
      </c>
      <c r="R27" s="49" t="str">
        <f t="shared" si="84"/>
        <v/>
      </c>
      <c r="S27" s="49" t="str">
        <f t="shared" si="85"/>
        <v/>
      </c>
      <c r="T27" s="49" t="str">
        <f t="shared" si="86"/>
        <v/>
      </c>
      <c r="U27" s="95" t="str">
        <f t="shared" si="78"/>
        <v/>
      </c>
      <c r="V27" s="67" t="str">
        <f t="shared" si="87"/>
        <v/>
      </c>
      <c r="W27" s="64" t="str">
        <f t="shared" si="88"/>
        <v/>
      </c>
      <c r="X27" s="50" t="str">
        <f t="shared" si="89"/>
        <v/>
      </c>
      <c r="Y27" s="48" t="str">
        <f t="shared" si="35"/>
        <v/>
      </c>
      <c r="Z27" s="48" t="str">
        <f ca="1">IFERROR(INDEX('538'!$Q$9:$U$190,MATCH(Bet!$C27,'538'!$Q$9:$Q$190,0),5),"")</f>
        <v/>
      </c>
      <c r="AA27" t="str">
        <f t="shared" si="36"/>
        <v/>
      </c>
      <c r="AB27">
        <f t="shared" si="14"/>
        <v>0</v>
      </c>
      <c r="AC27" t="str">
        <f t="shared" ca="1" si="37"/>
        <v/>
      </c>
      <c r="AD27" t="str">
        <f t="shared" si="15"/>
        <v/>
      </c>
      <c r="AE27" t="str">
        <f>IFERROR(INDEX(Overview!$A$2:$BF$32,MATCH($A27,Overview!$A$2:$A$32,0),MATCH(AE$2,Overview!$A$2:$BF$2,0)),"")</f>
        <v/>
      </c>
      <c r="AF27" t="str">
        <f>IFERROR(INDEX(Overview!$A$2:$BF$32,MATCH($A27,Overview!$A$2:$A$32,0),MATCH(AF$2,Overview!$A$2:$BF$2,0)),"")</f>
        <v/>
      </c>
      <c r="AG27" t="str">
        <f>IFERROR(INDEX(Overview!$A$2:$BF$32,MATCH($A27,Overview!$A$2:$A$32,0),MATCH(AG$2,Overview!$A$2:$BF$2,0)),"")</f>
        <v/>
      </c>
      <c r="AH27" t="str">
        <f>IFERROR(INDEX(Overview!$A$2:$BF$32,MATCH($A27,Overview!$A$2:$A$32,0),MATCH(AH$2,Overview!$A$2:$BF$2,0)),"")</f>
        <v/>
      </c>
      <c r="AI27" t="str">
        <f>IFERROR(INDEX(Overview!$A$2:$BF$32,MATCH($A27,Overview!$A$2:$A$32,0),MATCH(AI$2,Overview!$A$2:$BF$2,0)),"")</f>
        <v/>
      </c>
      <c r="AJ27" t="str">
        <f>IFERROR(INDEX(Overview!$A$2:$BF$32,MATCH($A27,Overview!$A$2:$A$32,0),MATCH(AJ$2,Overview!$A$2:$BF$2,0)),"")</f>
        <v/>
      </c>
      <c r="AK27" t="str">
        <f>IFERROR(INDEX(Overview!$A$2:$BF$32,MATCH($A27,Overview!$A$2:$A$32,0),MATCH(AK$2,Overview!$A$2:$BF$2,0)),"")</f>
        <v/>
      </c>
      <c r="AL27" t="str">
        <f>IFERROR(INDEX(Overview!$A$2:$BF$32,MATCH($A27,Overview!$A$2:$A$32,0),MATCH(AL$2,Overview!$A$2:$BF$2,0)),"")</f>
        <v/>
      </c>
      <c r="AM27" t="str">
        <f>IFERROR(INDEX(Overview!$A$2:$BF$32,MATCH($A27,Overview!$A$2:$A$32,0),MATCH(AM$2,Overview!$A$2:$BF$2,0)),"")</f>
        <v/>
      </c>
      <c r="AN27" t="str">
        <f>IFERROR(INDEX(Overview!$A$2:$BF$32,MATCH($A27,Overview!$A$2:$A$32,0),MATCH(AN$2,Overview!$A$2:$BF$2,0)),"")</f>
        <v/>
      </c>
      <c r="AO27" t="str">
        <f>IFERROR(INDEX(Overview!$A$2:$BF$32,MATCH($A27,Overview!$A$2:$A$32,0),MATCH(AO$2,Overview!$A$2:$BF$2,0)),"")</f>
        <v/>
      </c>
      <c r="AP27" t="str">
        <f>IFERROR(INDEX(Overview!$A$2:$BM$32,MATCH($A27,Overview!$A$2:$A$32,0),MATCH(AP$2,Overview!$A$2:$BM$2,0)),"")</f>
        <v/>
      </c>
      <c r="AQ27" t="str">
        <f>IFERROR(INDEX(Overview!$A$2:$BM$32,MATCH($A27,Overview!$A$2:$A$32,0),MATCH(AQ$2,Overview!$A$2:$BM$2,0)),"")</f>
        <v/>
      </c>
      <c r="AR27" t="str">
        <f>IFERROR(INDEX(Overview!$A$2:$BM$32,MATCH($A27,Overview!$A$2:$A$32,0),MATCH(AR$2,Overview!$A$2:$BM$2,0)),"")</f>
        <v/>
      </c>
      <c r="AS27" t="str">
        <f>IFERROR(INDEX(Overview!$A$2:$BM$32,MATCH($A27,Overview!$A$2:$A$32,0),MATCH(AS$2,Overview!$A$2:$BM$2,0)),"")</f>
        <v/>
      </c>
      <c r="AT27" t="str">
        <f>IFERROR(INDEX(Overview!$A$2:$BM$32,MATCH($A27,Overview!$A$2:$A$32,0),MATCH(AT$2,Overview!$A$2:$BM$2,0)),"")</f>
        <v/>
      </c>
      <c r="AU27" t="str">
        <f>IFERROR(INDEX(Overview!$A$2:$BM$32,MATCH($A27,Overview!$A$2:$A$32,0),MATCH(AU$2,Overview!$A$2:$BM$2,0)),"")</f>
        <v/>
      </c>
      <c r="AV27" t="str">
        <f>IFERROR(INDEX(Overview!$A$2:$BM$32,MATCH($A27,Overview!$A$2:$A$32,0),MATCH(AV$2,Overview!$A$2:$BM$2,0)),"")</f>
        <v/>
      </c>
      <c r="AW27" t="str">
        <f>IFERROR(INDEX(Overview!$A$2:$BM$32,MATCH($A27,Overview!$A$2:$A$32,0),MATCH(AW$2,Overview!$A$2:$BM$2,0)),"")</f>
        <v/>
      </c>
      <c r="AX27" t="str">
        <f>IFERROR(INDEX(Overview!$A$2:$BM$32,MATCH($A27,Overview!$A$2:$A$32,0),MATCH(AX$2,Overview!$A$2:$BM$2,0)),"")</f>
        <v/>
      </c>
      <c r="AY27" t="str">
        <f>IFERROR(INDEX(Overview!$A$2:$BM$32,MATCH($A27,Overview!$A$2:$A$32,0),MATCH(AY$2,Overview!$A$2:$BM$2,0)),"")</f>
        <v/>
      </c>
      <c r="AZ27" t="str">
        <f>IFERROR(INDEX(Overview!$A$2:$BM$32,MATCH($A27,Overview!$A$2:$A$32,0),MATCH(AZ$2,Overview!$A$2:$BM$2,0)),"")</f>
        <v/>
      </c>
      <c r="BA27" s="79" t="str">
        <f>IFERROR(INDEX(Overview!$A$2:$BM$32,MATCH($A27,Overview!$A$2:$A$32,0),MATCH(BA$2,Overview!$A$2:$BM$2,0)),"")</f>
        <v/>
      </c>
      <c r="BB27" s="79" t="str">
        <f>IFERROR(INDEX(Overview!$A$2:$BM$32,MATCH($A27,Overview!$A$2:$A$32,0),MATCH(BB$2,Overview!$A$2:$BM$2,0)),"")</f>
        <v/>
      </c>
      <c r="BC27" s="79" t="str">
        <f>IFERROR(INDEX(Overview!$A$2:$BM$32,MATCH($A27,Overview!$A$2:$A$32,0),MATCH(BC$2,Overview!$A$2:$BM$2,0)),"")</f>
        <v/>
      </c>
      <c r="BD27" s="79" t="str">
        <f>IFERROR(INDEX(Overview!$A$2:$BM$32,MATCH($A27,Overview!$A$2:$A$32,0),MATCH(BD$2,Overview!$A$2:$BM$2,0)),"")</f>
        <v/>
      </c>
      <c r="BE27" s="79" t="str">
        <f>IFERROR(INDEX(Overview!$A$2:$BM$32,MATCH($A27,Overview!$A$2:$A$32,0),MATCH(BE$2,Overview!$A$2:$BM$2,0)),"")</f>
        <v/>
      </c>
      <c r="BF27" s="79" t="str">
        <f>IFERROR(INDEX(Overview!$A$2:$BM$32,MATCH($A27,Overview!$A$2:$A$32,0),MATCH(BF$2,Overview!$A$2:$BM$2,0)),"")</f>
        <v/>
      </c>
      <c r="BG27" s="79" t="str">
        <f>IFERROR(INDEX(Overview!$A$2:$BM$32,MATCH($A27,Overview!$A$2:$A$32,0),MATCH(BG$2,Overview!$A$2:$BM$2,0)),"")</f>
        <v/>
      </c>
      <c r="BH27" s="79" t="str">
        <f>IFERROR(INDEX(Overview!$A$2:$BM$32,MATCH($A27,Overview!$A$2:$A$32,0),MATCH(BH$2,Overview!$A$2:$BM$2,0)),"")</f>
        <v/>
      </c>
      <c r="BI27" s="79" t="str">
        <f>IFERROR(INDEX(Overview!$A$2:$BM$32,MATCH($A27,Overview!$A$2:$A$32,0),MATCH(BI$2,Overview!$A$2:$BM$2,0)),"")</f>
        <v/>
      </c>
      <c r="BJ27" s="79" t="str">
        <f>IFERROR(INDEX(Overview!$A$2:$BM$32,MATCH($A27,Overview!$A$2:$A$32,0),MATCH(BJ$2,Overview!$A$2:$BM$2,0)),"")</f>
        <v/>
      </c>
      <c r="BK27" s="79" t="str">
        <f>IFERROR(INDEX(Overview!$A$2:$BM$32,MATCH($A27,Overview!$A$2:$A$32,0),MATCH(BK$2,Overview!$A$2:$BM$2,0)),"")</f>
        <v/>
      </c>
      <c r="BL27" s="80" t="str">
        <f>IFERROR(INDEX(Overview!$A$2:$BM$32,MATCH($A27,Overview!$A$2:$A$32,0),MATCH(BL$2,Overview!$A$2:$BM$2,0)+11),"")</f>
        <v/>
      </c>
      <c r="BM27" s="80" t="str">
        <f>IFERROR(INDEX(Overview!$A$2:$BM$32,MATCH($A27,Overview!$A$2:$A$32,0),MATCH(BM$2,Overview!$A$2:$BM$2,0)+11),"")</f>
        <v/>
      </c>
      <c r="BN27" s="80" t="str">
        <f>IFERROR(INDEX(Overview!$A$2:$BM$32,MATCH($A27,Overview!$A$2:$A$32,0),MATCH(BN$2,Overview!$A$2:$BM$2,0)+11),"")</f>
        <v/>
      </c>
      <c r="BO27" s="80" t="str">
        <f>IFERROR(INDEX(Overview!$A$2:$BM$32,MATCH($A27,Overview!$A$2:$A$32,0),MATCH(BO$2,Overview!$A$2:$BM$2,0)+11),"")</f>
        <v/>
      </c>
      <c r="BP27" s="80" t="str">
        <f>IFERROR(INDEX(Overview!$A$2:$BM$32,MATCH($A27,Overview!$A$2:$A$32,0),MATCH(BP$2,Overview!$A$2:$BM$2,0)+11),"")</f>
        <v/>
      </c>
      <c r="BQ27" s="80" t="str">
        <f>IFERROR(INDEX(Overview!$A$2:$BM$32,MATCH($A27,Overview!$A$2:$A$32,0),MATCH(BQ$2,Overview!$A$2:$BM$2,0)+11),"")</f>
        <v/>
      </c>
      <c r="BR27" s="80" t="str">
        <f>IFERROR(INDEX(Overview!$A$2:$BM$32,MATCH($A27,Overview!$A$2:$A$32,0),MATCH(BR$2,Overview!$A$2:$BM$2,0)+11),"")</f>
        <v/>
      </c>
      <c r="BS27" s="80" t="str">
        <f>IFERROR(INDEX(Overview!$A$2:$BM$32,MATCH($A27,Overview!$A$2:$A$32,0),MATCH(BS$2,Overview!$A$2:$BM$2,0)+11),"")</f>
        <v/>
      </c>
      <c r="BT27" s="80" t="str">
        <f>IFERROR(INDEX(Overview!$A$2:$BM$32,MATCH($A27,Overview!$A$2:$A$32,0),MATCH(BT$2,Overview!$A$2:$BM$2,0)+11),"")</f>
        <v/>
      </c>
      <c r="BU27" s="80" t="str">
        <f>IFERROR(INDEX(Overview!$A$2:$BM$32,MATCH($A27,Overview!$A$2:$A$32,0),MATCH(BU$2,Overview!$A$2:$BM$2,0)+11),"")</f>
        <v/>
      </c>
      <c r="BV27" s="80" t="str">
        <f>IFERROR(INDEX(Overview!$A$2:$BM$32,MATCH($A27,Overview!$A$2:$A$32,0),MATCH(BV$2,Overview!$A$2:$BM$2,0)+11),"")</f>
        <v/>
      </c>
      <c r="BW27" s="82" t="str">
        <f t="shared" si="16"/>
        <v/>
      </c>
      <c r="BX27" s="82" t="str">
        <f t="shared" si="17"/>
        <v/>
      </c>
      <c r="BY27" s="82" t="str">
        <f t="shared" si="18"/>
        <v/>
      </c>
      <c r="BZ27" s="82" t="str">
        <f t="shared" si="19"/>
        <v/>
      </c>
      <c r="CA27" s="82" t="str">
        <f t="shared" si="20"/>
        <v/>
      </c>
      <c r="CB27" s="82" t="str">
        <f t="shared" si="21"/>
        <v/>
      </c>
      <c r="CC27" s="82" t="str">
        <f t="shared" si="22"/>
        <v/>
      </c>
      <c r="CD27" s="82" t="str">
        <f t="shared" si="23"/>
        <v/>
      </c>
      <c r="CE27" s="82" t="str">
        <f t="shared" si="24"/>
        <v/>
      </c>
      <c r="CF27" s="82" t="str">
        <f t="shared" si="25"/>
        <v/>
      </c>
      <c r="CG27" s="82" t="str">
        <f t="shared" si="26"/>
        <v/>
      </c>
      <c r="CH27" s="83" t="str">
        <f t="shared" si="38"/>
        <v/>
      </c>
      <c r="CI27" s="83" t="str">
        <f t="shared" si="39"/>
        <v/>
      </c>
      <c r="CJ27" s="83" t="str">
        <f t="shared" si="40"/>
        <v/>
      </c>
      <c r="CK27" s="83" t="str">
        <f t="shared" si="41"/>
        <v/>
      </c>
      <c r="CL27" s="83" t="str">
        <f t="shared" si="42"/>
        <v/>
      </c>
      <c r="CM27" s="83" t="str">
        <f t="shared" si="43"/>
        <v/>
      </c>
      <c r="CN27" s="83" t="str">
        <f t="shared" si="44"/>
        <v/>
      </c>
      <c r="CO27" s="83" t="str">
        <f t="shared" si="45"/>
        <v/>
      </c>
      <c r="CP27" s="83" t="str">
        <f t="shared" si="46"/>
        <v/>
      </c>
      <c r="CQ27" s="83" t="str">
        <f t="shared" si="47"/>
        <v/>
      </c>
      <c r="CR27" s="83" t="str">
        <f t="shared" si="48"/>
        <v/>
      </c>
      <c r="CV27" t="str">
        <f>Overview!BO26</f>
        <v>IF/FB</v>
      </c>
      <c r="CW27" t="str">
        <f>Overview!BP26</f>
        <v>HR/FB</v>
      </c>
      <c r="CX27" t="str">
        <f>Overview!BQ26</f>
        <v>LD%</v>
      </c>
      <c r="CY27" t="str">
        <f>Overview!BR26</f>
        <v>IP%</v>
      </c>
      <c r="CZ27" t="str">
        <f>Overview!BS26</f>
        <v>GO/AO</v>
      </c>
      <c r="DA27" t="str">
        <f>Overview!BT26</f>
        <v>GB/FB</v>
      </c>
      <c r="DB27" t="str">
        <f>Overview!BU26</f>
        <v>X/H%</v>
      </c>
      <c r="DC27" t="str">
        <f>Overview!BV26</f>
        <v>XBH%</v>
      </c>
      <c r="DD27" t="str">
        <f>Overview!BW26</f>
        <v>BB%</v>
      </c>
      <c r="DE27" t="str">
        <f>Overview!BX26</f>
        <v>SO%</v>
      </c>
      <c r="DF27" t="str">
        <f>Overview!BY26</f>
        <v>HR%</v>
      </c>
      <c r="DG27" t="str">
        <f>Overview!BZ26</f>
        <v>Int</v>
      </c>
      <c r="DM27">
        <f t="shared" si="28"/>
        <v>0</v>
      </c>
      <c r="DN27">
        <f t="shared" si="29"/>
        <v>0</v>
      </c>
      <c r="DP27">
        <f t="shared" ca="1" si="49"/>
        <v>1</v>
      </c>
      <c r="DQ27" t="str">
        <f t="shared" ca="1" si="30"/>
        <v/>
      </c>
      <c r="DR27" t="str">
        <f t="shared" ca="1" si="50"/>
        <v/>
      </c>
      <c r="DS27" t="str">
        <f t="shared" ca="1" si="31"/>
        <v/>
      </c>
      <c r="DT27" t="str">
        <f t="shared" ca="1" si="51"/>
        <v/>
      </c>
      <c r="DU27">
        <f t="shared" ca="1" si="52"/>
        <v>1</v>
      </c>
      <c r="DV27" t="str">
        <f t="shared" si="32"/>
        <v/>
      </c>
      <c r="DW27" t="str">
        <f t="shared" si="53"/>
        <v/>
      </c>
      <c r="DX27" t="str">
        <f t="shared" si="64"/>
        <v/>
      </c>
      <c r="DZ27" t="str">
        <f t="shared" ca="1" si="54"/>
        <v/>
      </c>
      <c r="EA27" t="str">
        <f t="shared" ca="1" si="55"/>
        <v/>
      </c>
      <c r="EB27" s="84" t="str">
        <f t="shared" ca="1" si="56"/>
        <v/>
      </c>
      <c r="EC27" s="1" t="str">
        <f t="shared" ca="1" si="77"/>
        <v/>
      </c>
      <c r="ED27" t="str">
        <f t="shared" ca="1" si="57"/>
        <v/>
      </c>
      <c r="EE27" t="str">
        <f t="shared" ca="1" si="58"/>
        <v/>
      </c>
      <c r="EF27" t="str">
        <f t="shared" ca="1" si="59"/>
        <v/>
      </c>
      <c r="EJ27" t="str">
        <f ca="1">'538'!Q32</f>
        <v/>
      </c>
      <c r="EK27" t="str">
        <f ca="1">'538'!T32</f>
        <v/>
      </c>
    </row>
    <row r="28" spans="1:141" ht="15.75" thickBot="1" x14ac:dyDescent="0.3">
      <c r="A28" s="28" t="str">
        <f>IFERROR(INDEX(Overview!$A$3:$B$32,MATCH(Bet!$C28,Overview!$B$3:$B$32,0),1),"X")</f>
        <v>X</v>
      </c>
      <c r="B28" s="28" t="str">
        <f>IF(ISBLANK(C28),"",IFERROR(INDEX(Pitchers[],MATCH(F28,Pitchers[Player],0),MATCH(G$2,Pitchers[#Headers],0)),"X"))</f>
        <v/>
      </c>
      <c r="C28" s="4"/>
      <c r="D28" s="10"/>
      <c r="E28" s="96"/>
      <c r="F28" s="51"/>
      <c r="G28" s="48">
        <f>IFERROR(INDEX(Pitchers[],MATCH(Bet!F28,Pitchers[Player],0),MATCH(G$2,Pitchers[#Headers],0)),PlayerPitching!$AD$12)</f>
        <v>-0.13933069723404246</v>
      </c>
      <c r="H28" s="48" t="str">
        <f>IF(ISNUMBER(CODE(C28)),INDEX(Scores!$P$2:$T$33,MATCH($C28,Scores!$R$2:$R$33,0),4),"")</f>
        <v/>
      </c>
      <c r="I28" s="48" t="str">
        <f>IF(ISNUMBER(CODE(C28)),IF(INDEX(Scores!$P$2:$T$33,MATCH($C28,Scores!$R$2:$R$33,0),5)=0,1,INDEX(Scores!$P$2:$T$33,MATCH($C28,Scores!$R$2:$R$33,0),5)),"")</f>
        <v/>
      </c>
      <c r="J28" s="48">
        <f t="shared" si="1"/>
        <v>-1.9641098805067554</v>
      </c>
      <c r="K28" s="49">
        <f t="shared" si="2"/>
        <v>-9.4751509617551655</v>
      </c>
      <c r="L28" s="49">
        <f t="shared" si="79"/>
        <v>16.909645863110409</v>
      </c>
      <c r="M28" s="49">
        <f t="shared" si="80"/>
        <v>10.056673523576878</v>
      </c>
      <c r="N28" s="49">
        <f t="shared" si="81"/>
        <v>9.3029121378439612</v>
      </c>
      <c r="O28" s="49">
        <f t="shared" si="82"/>
        <v>2.0342481123324334</v>
      </c>
      <c r="P28" s="49">
        <f t="shared" si="83"/>
        <v>5.6685801250881971</v>
      </c>
      <c r="Q28" s="49" t="str">
        <f>IFERROR(_xlfn.NORM.INV(INDEX(Scores!$P$2:$U$33,MATCH($C28,Scores!$R$2:$R$33,0),6),H28,I28),"")</f>
        <v/>
      </c>
      <c r="R28" s="49" t="str">
        <f t="shared" si="84"/>
        <v/>
      </c>
      <c r="S28" s="49" t="str">
        <f t="shared" si="85"/>
        <v/>
      </c>
      <c r="T28" s="49" t="str">
        <f t="shared" si="86"/>
        <v/>
      </c>
      <c r="U28" s="96"/>
      <c r="V28" s="68" t="str">
        <f t="shared" si="87"/>
        <v/>
      </c>
      <c r="W28" s="65" t="str">
        <f t="shared" si="88"/>
        <v/>
      </c>
      <c r="X28" s="51" t="str">
        <f t="shared" si="89"/>
        <v/>
      </c>
      <c r="Y28" s="48" t="str">
        <f t="shared" si="35"/>
        <v/>
      </c>
      <c r="Z28" s="48" t="str">
        <f ca="1">IFERROR(INDEX('538'!$Q$9:$U$190,MATCH(Bet!$C28,'538'!$Q$9:$Q$190,0),5),"")</f>
        <v/>
      </c>
      <c r="AA28" t="str">
        <f t="shared" si="36"/>
        <v/>
      </c>
      <c r="AB28">
        <f t="shared" si="14"/>
        <v>0</v>
      </c>
      <c r="AC28" t="str">
        <f t="shared" ca="1" si="37"/>
        <v/>
      </c>
      <c r="AD28" t="str">
        <f t="shared" si="15"/>
        <v/>
      </c>
      <c r="AE28" t="str">
        <f>IFERROR(INDEX(Overview!$A$2:$BF$32,MATCH($A28,Overview!$A$2:$A$32,0),MATCH(AE$2,Overview!$A$2:$BF$2,0)),"")</f>
        <v/>
      </c>
      <c r="AF28" t="str">
        <f>IFERROR(INDEX(Overview!$A$2:$BF$32,MATCH($A28,Overview!$A$2:$A$32,0),MATCH(AF$2,Overview!$A$2:$BF$2,0)),"")</f>
        <v/>
      </c>
      <c r="AG28" t="str">
        <f>IFERROR(INDEX(Overview!$A$2:$BF$32,MATCH($A28,Overview!$A$2:$A$32,0),MATCH(AG$2,Overview!$A$2:$BF$2,0)),"")</f>
        <v/>
      </c>
      <c r="AH28" t="str">
        <f>IFERROR(INDEX(Overview!$A$2:$BF$32,MATCH($A28,Overview!$A$2:$A$32,0),MATCH(AH$2,Overview!$A$2:$BF$2,0)),"")</f>
        <v/>
      </c>
      <c r="AI28" t="str">
        <f>IFERROR(INDEX(Overview!$A$2:$BF$32,MATCH($A28,Overview!$A$2:$A$32,0),MATCH(AI$2,Overview!$A$2:$BF$2,0)),"")</f>
        <v/>
      </c>
      <c r="AJ28" t="str">
        <f>IFERROR(INDEX(Overview!$A$2:$BF$32,MATCH($A28,Overview!$A$2:$A$32,0),MATCH(AJ$2,Overview!$A$2:$BF$2,0)),"")</f>
        <v/>
      </c>
      <c r="AK28" t="str">
        <f>IFERROR(INDEX(Overview!$A$2:$BF$32,MATCH($A28,Overview!$A$2:$A$32,0),MATCH(AK$2,Overview!$A$2:$BF$2,0)),"")</f>
        <v/>
      </c>
      <c r="AL28" t="str">
        <f>IFERROR(INDEX(Overview!$A$2:$BF$32,MATCH($A28,Overview!$A$2:$A$32,0),MATCH(AL$2,Overview!$A$2:$BF$2,0)),"")</f>
        <v/>
      </c>
      <c r="AM28" t="str">
        <f>IFERROR(INDEX(Overview!$A$2:$BF$32,MATCH($A28,Overview!$A$2:$A$32,0),MATCH(AM$2,Overview!$A$2:$BF$2,0)),"")</f>
        <v/>
      </c>
      <c r="AN28" t="str">
        <f>IFERROR(INDEX(Overview!$A$2:$BF$32,MATCH($A28,Overview!$A$2:$A$32,0),MATCH(AN$2,Overview!$A$2:$BF$2,0)),"")</f>
        <v/>
      </c>
      <c r="AO28" t="str">
        <f>IFERROR(INDEX(Overview!$A$2:$BF$32,MATCH($A28,Overview!$A$2:$A$32,0),MATCH(AO$2,Overview!$A$2:$BF$2,0)),"")</f>
        <v/>
      </c>
      <c r="AP28" t="str">
        <f>IFERROR(INDEX(Overview!$A$2:$BM$32,MATCH($A28,Overview!$A$2:$A$32,0),MATCH(AP$2,Overview!$A$2:$BM$2,0)),"")</f>
        <v/>
      </c>
      <c r="AQ28" t="str">
        <f>IFERROR(INDEX(Overview!$A$2:$BM$32,MATCH($A28,Overview!$A$2:$A$32,0),MATCH(AQ$2,Overview!$A$2:$BM$2,0)),"")</f>
        <v/>
      </c>
      <c r="AR28" t="str">
        <f>IFERROR(INDEX(Overview!$A$2:$BM$32,MATCH($A28,Overview!$A$2:$A$32,0),MATCH(AR$2,Overview!$A$2:$BM$2,0)),"")</f>
        <v/>
      </c>
      <c r="AS28" t="str">
        <f>IFERROR(INDEX(Overview!$A$2:$BM$32,MATCH($A28,Overview!$A$2:$A$32,0),MATCH(AS$2,Overview!$A$2:$BM$2,0)),"")</f>
        <v/>
      </c>
      <c r="AT28" t="str">
        <f>IFERROR(INDEX(Overview!$A$2:$BM$32,MATCH($A28,Overview!$A$2:$A$32,0),MATCH(AT$2,Overview!$A$2:$BM$2,0)),"")</f>
        <v/>
      </c>
      <c r="AU28" t="str">
        <f>IFERROR(INDEX(Overview!$A$2:$BM$32,MATCH($A28,Overview!$A$2:$A$32,0),MATCH(AU$2,Overview!$A$2:$BM$2,0)),"")</f>
        <v/>
      </c>
      <c r="AV28" t="str">
        <f>IFERROR(INDEX(Overview!$A$2:$BM$32,MATCH($A28,Overview!$A$2:$A$32,0),MATCH(AV$2,Overview!$A$2:$BM$2,0)),"")</f>
        <v/>
      </c>
      <c r="AW28" t="str">
        <f>IFERROR(INDEX(Overview!$A$2:$BM$32,MATCH($A28,Overview!$A$2:$A$32,0),MATCH(AW$2,Overview!$A$2:$BM$2,0)),"")</f>
        <v/>
      </c>
      <c r="AX28" t="str">
        <f>IFERROR(INDEX(Overview!$A$2:$BM$32,MATCH($A28,Overview!$A$2:$A$32,0),MATCH(AX$2,Overview!$A$2:$BM$2,0)),"")</f>
        <v/>
      </c>
      <c r="AY28" t="str">
        <f>IFERROR(INDEX(Overview!$A$2:$BM$32,MATCH($A28,Overview!$A$2:$A$32,0),MATCH(AY$2,Overview!$A$2:$BM$2,0)),"")</f>
        <v/>
      </c>
      <c r="AZ28" t="str">
        <f>IFERROR(INDEX(Overview!$A$2:$BM$32,MATCH($A28,Overview!$A$2:$A$32,0),MATCH(AZ$2,Overview!$A$2:$BM$2,0)),"")</f>
        <v/>
      </c>
      <c r="BA28" s="79" t="str">
        <f>IFERROR(INDEX(Overview!$A$2:$BM$32,MATCH($A28,Overview!$A$2:$A$32,0),MATCH(BA$2,Overview!$A$2:$BM$2,0)),"")</f>
        <v/>
      </c>
      <c r="BB28" s="79" t="str">
        <f>IFERROR(INDEX(Overview!$A$2:$BM$32,MATCH($A28,Overview!$A$2:$A$32,0),MATCH(BB$2,Overview!$A$2:$BM$2,0)),"")</f>
        <v/>
      </c>
      <c r="BC28" s="79" t="str">
        <f>IFERROR(INDEX(Overview!$A$2:$BM$32,MATCH($A28,Overview!$A$2:$A$32,0),MATCH(BC$2,Overview!$A$2:$BM$2,0)),"")</f>
        <v/>
      </c>
      <c r="BD28" s="79" t="str">
        <f>IFERROR(INDEX(Overview!$A$2:$BM$32,MATCH($A28,Overview!$A$2:$A$32,0),MATCH(BD$2,Overview!$A$2:$BM$2,0)),"")</f>
        <v/>
      </c>
      <c r="BE28" s="79" t="str">
        <f>IFERROR(INDEX(Overview!$A$2:$BM$32,MATCH($A28,Overview!$A$2:$A$32,0),MATCH(BE$2,Overview!$A$2:$BM$2,0)),"")</f>
        <v/>
      </c>
      <c r="BF28" s="79" t="str">
        <f>IFERROR(INDEX(Overview!$A$2:$BM$32,MATCH($A28,Overview!$A$2:$A$32,0),MATCH(BF$2,Overview!$A$2:$BM$2,0)),"")</f>
        <v/>
      </c>
      <c r="BG28" s="79" t="str">
        <f>IFERROR(INDEX(Overview!$A$2:$BM$32,MATCH($A28,Overview!$A$2:$A$32,0),MATCH(BG$2,Overview!$A$2:$BM$2,0)),"")</f>
        <v/>
      </c>
      <c r="BH28" s="79" t="str">
        <f>IFERROR(INDEX(Overview!$A$2:$BM$32,MATCH($A28,Overview!$A$2:$A$32,0),MATCH(BH$2,Overview!$A$2:$BM$2,0)),"")</f>
        <v/>
      </c>
      <c r="BI28" s="79" t="str">
        <f>IFERROR(INDEX(Overview!$A$2:$BM$32,MATCH($A28,Overview!$A$2:$A$32,0),MATCH(BI$2,Overview!$A$2:$BM$2,0)),"")</f>
        <v/>
      </c>
      <c r="BJ28" s="79" t="str">
        <f>IFERROR(INDEX(Overview!$A$2:$BM$32,MATCH($A28,Overview!$A$2:$A$32,0),MATCH(BJ$2,Overview!$A$2:$BM$2,0)),"")</f>
        <v/>
      </c>
      <c r="BK28" s="79" t="str">
        <f>IFERROR(INDEX(Overview!$A$2:$BM$32,MATCH($A28,Overview!$A$2:$A$32,0),MATCH(BK$2,Overview!$A$2:$BM$2,0)),"")</f>
        <v/>
      </c>
      <c r="BL28" s="80" t="str">
        <f>IFERROR(INDEX(Overview!$A$2:$BM$32,MATCH($A28,Overview!$A$2:$A$32,0),MATCH(BL$2,Overview!$A$2:$BM$2,0)+11),"")</f>
        <v/>
      </c>
      <c r="BM28" s="80" t="str">
        <f>IFERROR(INDEX(Overview!$A$2:$BM$32,MATCH($A28,Overview!$A$2:$A$32,0),MATCH(BM$2,Overview!$A$2:$BM$2,0)+11),"")</f>
        <v/>
      </c>
      <c r="BN28" s="80" t="str">
        <f>IFERROR(INDEX(Overview!$A$2:$BM$32,MATCH($A28,Overview!$A$2:$A$32,0),MATCH(BN$2,Overview!$A$2:$BM$2,0)+11),"")</f>
        <v/>
      </c>
      <c r="BO28" s="80" t="str">
        <f>IFERROR(INDEX(Overview!$A$2:$BM$32,MATCH($A28,Overview!$A$2:$A$32,0),MATCH(BO$2,Overview!$A$2:$BM$2,0)+11),"")</f>
        <v/>
      </c>
      <c r="BP28" s="80" t="str">
        <f>IFERROR(INDEX(Overview!$A$2:$BM$32,MATCH($A28,Overview!$A$2:$A$32,0),MATCH(BP$2,Overview!$A$2:$BM$2,0)+11),"")</f>
        <v/>
      </c>
      <c r="BQ28" s="80" t="str">
        <f>IFERROR(INDEX(Overview!$A$2:$BM$32,MATCH($A28,Overview!$A$2:$A$32,0),MATCH(BQ$2,Overview!$A$2:$BM$2,0)+11),"")</f>
        <v/>
      </c>
      <c r="BR28" s="80" t="str">
        <f>IFERROR(INDEX(Overview!$A$2:$BM$32,MATCH($A28,Overview!$A$2:$A$32,0),MATCH(BR$2,Overview!$A$2:$BM$2,0)+11),"")</f>
        <v/>
      </c>
      <c r="BS28" s="80" t="str">
        <f>IFERROR(INDEX(Overview!$A$2:$BM$32,MATCH($A28,Overview!$A$2:$A$32,0),MATCH(BS$2,Overview!$A$2:$BM$2,0)+11),"")</f>
        <v/>
      </c>
      <c r="BT28" s="80" t="str">
        <f>IFERROR(INDEX(Overview!$A$2:$BM$32,MATCH($A28,Overview!$A$2:$A$32,0),MATCH(BT$2,Overview!$A$2:$BM$2,0)+11),"")</f>
        <v/>
      </c>
      <c r="BU28" s="80" t="str">
        <f>IFERROR(INDEX(Overview!$A$2:$BM$32,MATCH($A28,Overview!$A$2:$A$32,0),MATCH(BU$2,Overview!$A$2:$BM$2,0)+11),"")</f>
        <v/>
      </c>
      <c r="BV28" s="80" t="str">
        <f>IFERROR(INDEX(Overview!$A$2:$BM$32,MATCH($A28,Overview!$A$2:$A$32,0),MATCH(BV$2,Overview!$A$2:$BM$2,0)+11),"")</f>
        <v/>
      </c>
      <c r="BW28" s="82" t="str">
        <f t="shared" si="16"/>
        <v/>
      </c>
      <c r="BX28" s="82" t="str">
        <f t="shared" si="17"/>
        <v/>
      </c>
      <c r="BY28" s="82" t="str">
        <f t="shared" si="18"/>
        <v/>
      </c>
      <c r="BZ28" s="82" t="str">
        <f t="shared" si="19"/>
        <v/>
      </c>
      <c r="CA28" s="82" t="str">
        <f t="shared" si="20"/>
        <v/>
      </c>
      <c r="CB28" s="82" t="str">
        <f t="shared" si="21"/>
        <v/>
      </c>
      <c r="CC28" s="82" t="str">
        <f t="shared" si="22"/>
        <v/>
      </c>
      <c r="CD28" s="82" t="str">
        <f t="shared" si="23"/>
        <v/>
      </c>
      <c r="CE28" s="82" t="str">
        <f t="shared" si="24"/>
        <v/>
      </c>
      <c r="CF28" s="82" t="str">
        <f t="shared" si="25"/>
        <v/>
      </c>
      <c r="CG28" s="82" t="str">
        <f t="shared" si="26"/>
        <v/>
      </c>
      <c r="CH28" s="83" t="str">
        <f t="shared" si="38"/>
        <v/>
      </c>
      <c r="CI28" s="83" t="str">
        <f t="shared" si="39"/>
        <v/>
      </c>
      <c r="CJ28" s="83" t="str">
        <f t="shared" si="40"/>
        <v/>
      </c>
      <c r="CK28" s="83" t="str">
        <f t="shared" si="41"/>
        <v/>
      </c>
      <c r="CL28" s="83" t="str">
        <f t="shared" si="42"/>
        <v/>
      </c>
      <c r="CM28" s="83" t="str">
        <f t="shared" si="43"/>
        <v/>
      </c>
      <c r="CN28" s="83" t="str">
        <f t="shared" si="44"/>
        <v/>
      </c>
      <c r="CO28" s="83" t="str">
        <f t="shared" si="45"/>
        <v/>
      </c>
      <c r="CP28" s="83" t="str">
        <f t="shared" si="46"/>
        <v/>
      </c>
      <c r="CQ28" s="83" t="str">
        <f t="shared" si="47"/>
        <v/>
      </c>
      <c r="CR28" s="83" t="str">
        <f t="shared" si="48"/>
        <v/>
      </c>
      <c r="CV28">
        <f>Overview!BO27</f>
        <v>-3.0133411224563029</v>
      </c>
      <c r="CW28">
        <f>Overview!BP27</f>
        <v>-43.931767469018823</v>
      </c>
      <c r="CX28">
        <f>Overview!BQ27</f>
        <v>-13.792633170240368</v>
      </c>
      <c r="CY28">
        <f>Overview!BR27</f>
        <v>-8.1028706567576556</v>
      </c>
      <c r="CZ28">
        <f>Overview!BS27</f>
        <v>7.3994786254024378E-2</v>
      </c>
      <c r="DA28">
        <f>Overview!BT27</f>
        <v>1.2963717558839452</v>
      </c>
      <c r="DB28">
        <f>Overview!BU27</f>
        <v>-15.043447283710844</v>
      </c>
      <c r="DC28">
        <f>Overview!BV27</f>
        <v>84.358629379058826</v>
      </c>
      <c r="DD28">
        <f>Overview!BW27</f>
        <v>12.277877852000387</v>
      </c>
      <c r="DE28">
        <f>Overview!BX27</f>
        <v>-2.2365597919580225</v>
      </c>
      <c r="DF28">
        <f>Overview!BY27</f>
        <v>147.88007687350219</v>
      </c>
      <c r="DG28">
        <f>Overview!BZ27</f>
        <v>10.056673523576878</v>
      </c>
      <c r="DM28">
        <f t="shared" si="28"/>
        <v>0</v>
      </c>
      <c r="DN28">
        <f t="shared" si="29"/>
        <v>0</v>
      </c>
      <c r="DP28">
        <f t="shared" ca="1" si="49"/>
        <v>1</v>
      </c>
      <c r="DQ28" t="str">
        <f t="shared" ca="1" si="30"/>
        <v/>
      </c>
      <c r="DR28" t="str">
        <f t="shared" ca="1" si="50"/>
        <v/>
      </c>
      <c r="DS28" t="str">
        <f t="shared" ca="1" si="31"/>
        <v/>
      </c>
      <c r="DT28" t="str">
        <f t="shared" ca="1" si="51"/>
        <v/>
      </c>
      <c r="DU28">
        <f t="shared" ca="1" si="52"/>
        <v>1</v>
      </c>
      <c r="DV28" t="str">
        <f t="shared" si="32"/>
        <v/>
      </c>
      <c r="DW28" t="str">
        <f t="shared" si="53"/>
        <v/>
      </c>
      <c r="DX28" t="str">
        <f>IF(ISNUMBER(CODE(DV28)),T28,"")</f>
        <v/>
      </c>
      <c r="DZ28" t="str">
        <f t="shared" ca="1" si="54"/>
        <v/>
      </c>
      <c r="EA28" t="str">
        <f t="shared" ca="1" si="55"/>
        <v/>
      </c>
      <c r="EB28" s="84" t="str">
        <f t="shared" ca="1" si="56"/>
        <v/>
      </c>
      <c r="EC28" s="1" t="str">
        <f t="shared" ca="1" si="77"/>
        <v/>
      </c>
      <c r="ED28" t="str">
        <f t="shared" ca="1" si="57"/>
        <v/>
      </c>
      <c r="EE28" t="str">
        <f t="shared" ca="1" si="58"/>
        <v/>
      </c>
      <c r="EF28" t="str">
        <f t="shared" ca="1" si="59"/>
        <v/>
      </c>
      <c r="EJ28" t="str">
        <f ca="1">'538'!Q33</f>
        <v/>
      </c>
      <c r="EK28" t="str">
        <f ca="1">'538'!T33</f>
        <v/>
      </c>
    </row>
    <row r="29" spans="1:141" x14ac:dyDescent="0.25">
      <c r="A29" s="28" t="str">
        <f>IFERROR(INDEX(Overview!$A$3:$B$32,MATCH(Bet!$C29,Overview!$B$3:$B$32,0),1),"X")</f>
        <v>X</v>
      </c>
      <c r="B29" s="28" t="str">
        <f>IF(ISBLANK(C29),"",IFERROR(INDEX(Pitchers[],MATCH(F29,Pitchers[Player],0),MATCH(G$2,Pitchers[#Headers],0)),"X"))</f>
        <v/>
      </c>
      <c r="C29" s="2"/>
      <c r="D29" s="3"/>
      <c r="E29" s="95"/>
      <c r="F29" s="50"/>
      <c r="G29" s="48">
        <f>IFERROR(INDEX(Pitchers[],MATCH(Bet!F29,Pitchers[Player],0),MATCH(G$2,Pitchers[#Headers],0)),PlayerPitching!$AD$12)</f>
        <v>-0.13933069723404246</v>
      </c>
      <c r="H29" s="48" t="str">
        <f>IF(ISNUMBER(CODE(C29)),INDEX(Scores!$P$2:$T$33,MATCH($C29,Scores!$R$2:$R$33,0),4),"")</f>
        <v/>
      </c>
      <c r="I29" s="48" t="str">
        <f>IF(ISNUMBER(CODE(C29)),IF(INDEX(Scores!$P$2:$T$33,MATCH($C29,Scores!$R$2:$R$33,0),5)=0,1,INDEX(Scores!$P$2:$T$33,MATCH($C29,Scores!$R$2:$R$33,0),5)),"")</f>
        <v/>
      </c>
      <c r="J29" s="48">
        <f t="shared" si="1"/>
        <v>-1.9641098805067554</v>
      </c>
      <c r="K29" s="49">
        <f t="shared" si="2"/>
        <v>-9.4751509617551655</v>
      </c>
      <c r="L29" s="49">
        <f t="shared" si="79"/>
        <v>16.909645863110409</v>
      </c>
      <c r="M29" s="49">
        <f t="shared" si="80"/>
        <v>10.056673523576878</v>
      </c>
      <c r="N29" s="49">
        <f t="shared" si="81"/>
        <v>9.3029121378439612</v>
      </c>
      <c r="O29" s="49">
        <f t="shared" si="82"/>
        <v>2.0342481123324334</v>
      </c>
      <c r="P29" s="49">
        <f t="shared" si="83"/>
        <v>5.6685801250881971</v>
      </c>
      <c r="Q29" s="49" t="str">
        <f>IFERROR(_xlfn.NORM.INV(INDEX(Scores!$P$2:$U$33,MATCH($C29,Scores!$R$2:$R$33,0),6),H29,I29),"")</f>
        <v/>
      </c>
      <c r="R29" s="49" t="str">
        <f t="shared" si="84"/>
        <v/>
      </c>
      <c r="S29" s="49" t="str">
        <f t="shared" si="85"/>
        <v/>
      </c>
      <c r="T29" s="49" t="str">
        <f t="shared" si="86"/>
        <v/>
      </c>
      <c r="U29" s="95" t="str">
        <f t="shared" si="78"/>
        <v/>
      </c>
      <c r="V29" s="67" t="str">
        <f t="shared" si="11"/>
        <v/>
      </c>
      <c r="W29" s="64" t="str">
        <f t="shared" si="12"/>
        <v/>
      </c>
      <c r="X29" s="50" t="str">
        <f t="shared" si="13"/>
        <v/>
      </c>
      <c r="Y29" s="48" t="str">
        <f t="shared" si="35"/>
        <v/>
      </c>
      <c r="Z29" s="48" t="str">
        <f ca="1">IFERROR(INDEX('538'!$Q$9:$U$190,MATCH(Bet!$C29,'538'!$Q$9:$Q$190,0),5),"")</f>
        <v/>
      </c>
      <c r="AA29" t="str">
        <f t="shared" si="36"/>
        <v/>
      </c>
      <c r="AB29">
        <f t="shared" si="14"/>
        <v>0</v>
      </c>
      <c r="AC29" t="str">
        <f t="shared" ca="1" si="37"/>
        <v/>
      </c>
      <c r="AD29" t="str">
        <f t="shared" si="15"/>
        <v/>
      </c>
      <c r="AE29" t="str">
        <f>IFERROR(INDEX(Overview!$A$2:$BF$32,MATCH($A29,Overview!$A$2:$A$32,0),MATCH(AE$2,Overview!$A$2:$BF$2,0)),"")</f>
        <v/>
      </c>
      <c r="AF29" t="str">
        <f>IFERROR(INDEX(Overview!$A$2:$BF$32,MATCH($A29,Overview!$A$2:$A$32,0),MATCH(AF$2,Overview!$A$2:$BF$2,0)),"")</f>
        <v/>
      </c>
      <c r="AG29" t="str">
        <f>IFERROR(INDEX(Overview!$A$2:$BF$32,MATCH($A29,Overview!$A$2:$A$32,0),MATCH(AG$2,Overview!$A$2:$BF$2,0)),"")</f>
        <v/>
      </c>
      <c r="AH29" t="str">
        <f>IFERROR(INDEX(Overview!$A$2:$BF$32,MATCH($A29,Overview!$A$2:$A$32,0),MATCH(AH$2,Overview!$A$2:$BF$2,0)),"")</f>
        <v/>
      </c>
      <c r="AI29" t="str">
        <f>IFERROR(INDEX(Overview!$A$2:$BF$32,MATCH($A29,Overview!$A$2:$A$32,0),MATCH(AI$2,Overview!$A$2:$BF$2,0)),"")</f>
        <v/>
      </c>
      <c r="AJ29" t="str">
        <f>IFERROR(INDEX(Overview!$A$2:$BF$32,MATCH($A29,Overview!$A$2:$A$32,0),MATCH(AJ$2,Overview!$A$2:$BF$2,0)),"")</f>
        <v/>
      </c>
      <c r="AK29" t="str">
        <f>IFERROR(INDEX(Overview!$A$2:$BF$32,MATCH($A29,Overview!$A$2:$A$32,0),MATCH(AK$2,Overview!$A$2:$BF$2,0)),"")</f>
        <v/>
      </c>
      <c r="AL29" t="str">
        <f>IFERROR(INDEX(Overview!$A$2:$BF$32,MATCH($A29,Overview!$A$2:$A$32,0),MATCH(AL$2,Overview!$A$2:$BF$2,0)),"")</f>
        <v/>
      </c>
      <c r="AM29" t="str">
        <f>IFERROR(INDEX(Overview!$A$2:$BF$32,MATCH($A29,Overview!$A$2:$A$32,0),MATCH(AM$2,Overview!$A$2:$BF$2,0)),"")</f>
        <v/>
      </c>
      <c r="AN29" t="str">
        <f>IFERROR(INDEX(Overview!$A$2:$BF$32,MATCH($A29,Overview!$A$2:$A$32,0),MATCH(AN$2,Overview!$A$2:$BF$2,0)),"")</f>
        <v/>
      </c>
      <c r="AO29" t="str">
        <f>IFERROR(INDEX(Overview!$A$2:$BF$32,MATCH($A29,Overview!$A$2:$A$32,0),MATCH(AO$2,Overview!$A$2:$BF$2,0)),"")</f>
        <v/>
      </c>
      <c r="AP29" t="str">
        <f>IFERROR(INDEX(Overview!$A$2:$BM$32,MATCH($A29,Overview!$A$2:$A$32,0),MATCH(AP$2,Overview!$A$2:$BM$2,0)),"")</f>
        <v/>
      </c>
      <c r="AQ29" t="str">
        <f>IFERROR(INDEX(Overview!$A$2:$BM$32,MATCH($A29,Overview!$A$2:$A$32,0),MATCH(AQ$2,Overview!$A$2:$BM$2,0)),"")</f>
        <v/>
      </c>
      <c r="AR29" t="str">
        <f>IFERROR(INDEX(Overview!$A$2:$BM$32,MATCH($A29,Overview!$A$2:$A$32,0),MATCH(AR$2,Overview!$A$2:$BM$2,0)),"")</f>
        <v/>
      </c>
      <c r="AS29" t="str">
        <f>IFERROR(INDEX(Overview!$A$2:$BM$32,MATCH($A29,Overview!$A$2:$A$32,0),MATCH(AS$2,Overview!$A$2:$BM$2,0)),"")</f>
        <v/>
      </c>
      <c r="AT29" t="str">
        <f>IFERROR(INDEX(Overview!$A$2:$BM$32,MATCH($A29,Overview!$A$2:$A$32,0),MATCH(AT$2,Overview!$A$2:$BM$2,0)),"")</f>
        <v/>
      </c>
      <c r="AU29" t="str">
        <f>IFERROR(INDEX(Overview!$A$2:$BM$32,MATCH($A29,Overview!$A$2:$A$32,0),MATCH(AU$2,Overview!$A$2:$BM$2,0)),"")</f>
        <v/>
      </c>
      <c r="AV29" t="str">
        <f>IFERROR(INDEX(Overview!$A$2:$BM$32,MATCH($A29,Overview!$A$2:$A$32,0),MATCH(AV$2,Overview!$A$2:$BM$2,0)),"")</f>
        <v/>
      </c>
      <c r="AW29" t="str">
        <f>IFERROR(INDEX(Overview!$A$2:$BM$32,MATCH($A29,Overview!$A$2:$A$32,0),MATCH(AW$2,Overview!$A$2:$BM$2,0)),"")</f>
        <v/>
      </c>
      <c r="AX29" t="str">
        <f>IFERROR(INDEX(Overview!$A$2:$BM$32,MATCH($A29,Overview!$A$2:$A$32,0),MATCH(AX$2,Overview!$A$2:$BM$2,0)),"")</f>
        <v/>
      </c>
      <c r="AY29" t="str">
        <f>IFERROR(INDEX(Overview!$A$2:$BM$32,MATCH($A29,Overview!$A$2:$A$32,0),MATCH(AY$2,Overview!$A$2:$BM$2,0)),"")</f>
        <v/>
      </c>
      <c r="AZ29" t="str">
        <f>IFERROR(INDEX(Overview!$A$2:$BM$32,MATCH($A29,Overview!$A$2:$A$32,0),MATCH(AZ$2,Overview!$A$2:$BM$2,0)),"")</f>
        <v/>
      </c>
      <c r="BA29" s="79" t="str">
        <f>IFERROR(INDEX(Overview!$A$2:$BM$32,MATCH($A29,Overview!$A$2:$A$32,0),MATCH(BA$2,Overview!$A$2:$BM$2,0)),"")</f>
        <v/>
      </c>
      <c r="BB29" s="79" t="str">
        <f>IFERROR(INDEX(Overview!$A$2:$BM$32,MATCH($A29,Overview!$A$2:$A$32,0),MATCH(BB$2,Overview!$A$2:$BM$2,0)),"")</f>
        <v/>
      </c>
      <c r="BC29" s="79" t="str">
        <f>IFERROR(INDEX(Overview!$A$2:$BM$32,MATCH($A29,Overview!$A$2:$A$32,0),MATCH(BC$2,Overview!$A$2:$BM$2,0)),"")</f>
        <v/>
      </c>
      <c r="BD29" s="79" t="str">
        <f>IFERROR(INDEX(Overview!$A$2:$BM$32,MATCH($A29,Overview!$A$2:$A$32,0),MATCH(BD$2,Overview!$A$2:$BM$2,0)),"")</f>
        <v/>
      </c>
      <c r="BE29" s="79" t="str">
        <f>IFERROR(INDEX(Overview!$A$2:$BM$32,MATCH($A29,Overview!$A$2:$A$32,0),MATCH(BE$2,Overview!$A$2:$BM$2,0)),"")</f>
        <v/>
      </c>
      <c r="BF29" s="79" t="str">
        <f>IFERROR(INDEX(Overview!$A$2:$BM$32,MATCH($A29,Overview!$A$2:$A$32,0),MATCH(BF$2,Overview!$A$2:$BM$2,0)),"")</f>
        <v/>
      </c>
      <c r="BG29" s="79" t="str">
        <f>IFERROR(INDEX(Overview!$A$2:$BM$32,MATCH($A29,Overview!$A$2:$A$32,0),MATCH(BG$2,Overview!$A$2:$BM$2,0)),"")</f>
        <v/>
      </c>
      <c r="BH29" s="79" t="str">
        <f>IFERROR(INDEX(Overview!$A$2:$BM$32,MATCH($A29,Overview!$A$2:$A$32,0),MATCH(BH$2,Overview!$A$2:$BM$2,0)),"")</f>
        <v/>
      </c>
      <c r="BI29" s="79" t="str">
        <f>IFERROR(INDEX(Overview!$A$2:$BM$32,MATCH($A29,Overview!$A$2:$A$32,0),MATCH(BI$2,Overview!$A$2:$BM$2,0)),"")</f>
        <v/>
      </c>
      <c r="BJ29" s="79" t="str">
        <f>IFERROR(INDEX(Overview!$A$2:$BM$32,MATCH($A29,Overview!$A$2:$A$32,0),MATCH(BJ$2,Overview!$A$2:$BM$2,0)),"")</f>
        <v/>
      </c>
      <c r="BK29" s="79" t="str">
        <f>IFERROR(INDEX(Overview!$A$2:$BM$32,MATCH($A29,Overview!$A$2:$A$32,0),MATCH(BK$2,Overview!$A$2:$BM$2,0)),"")</f>
        <v/>
      </c>
      <c r="BL29" s="80" t="str">
        <f>IFERROR(INDEX(Overview!$A$2:$BM$32,MATCH($A29,Overview!$A$2:$A$32,0),MATCH(BL$2,Overview!$A$2:$BM$2,0)+11),"")</f>
        <v/>
      </c>
      <c r="BM29" s="80" t="str">
        <f>IFERROR(INDEX(Overview!$A$2:$BM$32,MATCH($A29,Overview!$A$2:$A$32,0),MATCH(BM$2,Overview!$A$2:$BM$2,0)+11),"")</f>
        <v/>
      </c>
      <c r="BN29" s="80" t="str">
        <f>IFERROR(INDEX(Overview!$A$2:$BM$32,MATCH($A29,Overview!$A$2:$A$32,0),MATCH(BN$2,Overview!$A$2:$BM$2,0)+11),"")</f>
        <v/>
      </c>
      <c r="BO29" s="80" t="str">
        <f>IFERROR(INDEX(Overview!$A$2:$BM$32,MATCH($A29,Overview!$A$2:$A$32,0),MATCH(BO$2,Overview!$A$2:$BM$2,0)+11),"")</f>
        <v/>
      </c>
      <c r="BP29" s="80" t="str">
        <f>IFERROR(INDEX(Overview!$A$2:$BM$32,MATCH($A29,Overview!$A$2:$A$32,0),MATCH(BP$2,Overview!$A$2:$BM$2,0)+11),"")</f>
        <v/>
      </c>
      <c r="BQ29" s="80" t="str">
        <f>IFERROR(INDEX(Overview!$A$2:$BM$32,MATCH($A29,Overview!$A$2:$A$32,0),MATCH(BQ$2,Overview!$A$2:$BM$2,0)+11),"")</f>
        <v/>
      </c>
      <c r="BR29" s="80" t="str">
        <f>IFERROR(INDEX(Overview!$A$2:$BM$32,MATCH($A29,Overview!$A$2:$A$32,0),MATCH(BR$2,Overview!$A$2:$BM$2,0)+11),"")</f>
        <v/>
      </c>
      <c r="BS29" s="80" t="str">
        <f>IFERROR(INDEX(Overview!$A$2:$BM$32,MATCH($A29,Overview!$A$2:$A$32,0),MATCH(BS$2,Overview!$A$2:$BM$2,0)+11),"")</f>
        <v/>
      </c>
      <c r="BT29" s="80" t="str">
        <f>IFERROR(INDEX(Overview!$A$2:$BM$32,MATCH($A29,Overview!$A$2:$A$32,0),MATCH(BT$2,Overview!$A$2:$BM$2,0)+11),"")</f>
        <v/>
      </c>
      <c r="BU29" s="80" t="str">
        <f>IFERROR(INDEX(Overview!$A$2:$BM$32,MATCH($A29,Overview!$A$2:$A$32,0),MATCH(BU$2,Overview!$A$2:$BM$2,0)+11),"")</f>
        <v/>
      </c>
      <c r="BV29" s="80" t="str">
        <f>IFERROR(INDEX(Overview!$A$2:$BM$32,MATCH($A29,Overview!$A$2:$A$32,0),MATCH(BV$2,Overview!$A$2:$BM$2,0)+11),"")</f>
        <v/>
      </c>
      <c r="BW29" s="82" t="str">
        <f t="shared" si="16"/>
        <v/>
      </c>
      <c r="BX29" s="82" t="str">
        <f t="shared" si="17"/>
        <v/>
      </c>
      <c r="BY29" s="82" t="str">
        <f t="shared" si="18"/>
        <v/>
      </c>
      <c r="BZ29" s="82" t="str">
        <f t="shared" si="19"/>
        <v/>
      </c>
      <c r="CA29" s="82" t="str">
        <f t="shared" si="20"/>
        <v/>
      </c>
      <c r="CB29" s="82" t="str">
        <f t="shared" si="21"/>
        <v/>
      </c>
      <c r="CC29" s="82" t="str">
        <f t="shared" si="22"/>
        <v/>
      </c>
      <c r="CD29" s="82" t="str">
        <f t="shared" si="23"/>
        <v/>
      </c>
      <c r="CE29" s="82" t="str">
        <f t="shared" si="24"/>
        <v/>
      </c>
      <c r="CF29" s="82" t="str">
        <f t="shared" si="25"/>
        <v/>
      </c>
      <c r="CG29" s="82" t="str">
        <f t="shared" si="26"/>
        <v/>
      </c>
      <c r="CH29" s="83" t="str">
        <f t="shared" si="38"/>
        <v/>
      </c>
      <c r="CI29" s="83" t="str">
        <f t="shared" si="39"/>
        <v/>
      </c>
      <c r="CJ29" s="83" t="str">
        <f t="shared" si="40"/>
        <v/>
      </c>
      <c r="CK29" s="83" t="str">
        <f t="shared" si="41"/>
        <v/>
      </c>
      <c r="CL29" s="83" t="str">
        <f t="shared" si="42"/>
        <v/>
      </c>
      <c r="CM29" s="83" t="str">
        <f t="shared" si="43"/>
        <v/>
      </c>
      <c r="CN29" s="83" t="str">
        <f t="shared" si="44"/>
        <v/>
      </c>
      <c r="CO29" s="83" t="str">
        <f t="shared" si="45"/>
        <v/>
      </c>
      <c r="CP29" s="83" t="str">
        <f t="shared" si="46"/>
        <v/>
      </c>
      <c r="CQ29" s="83" t="str">
        <f t="shared" si="47"/>
        <v/>
      </c>
      <c r="CR29" s="83" t="str">
        <f t="shared" si="48"/>
        <v/>
      </c>
      <c r="CV29">
        <f>Overview!BO28</f>
        <v>4.6587384297207572</v>
      </c>
      <c r="CW29">
        <f>Overview!BP28</f>
        <v>27.930767431174093</v>
      </c>
      <c r="CX29">
        <f>Overview!BQ28</f>
        <v>7.3500364315625175</v>
      </c>
      <c r="CY29">
        <f>Overview!BR28</f>
        <v>11.85921029322623</v>
      </c>
      <c r="CZ29">
        <f>Overview!BS28</f>
        <v>1.1226537632362015</v>
      </c>
      <c r="DA29">
        <f>Overview!BT28</f>
        <v>2.6655371567274053</v>
      </c>
      <c r="DB29">
        <f>Overview!BU28</f>
        <v>4.0642431347030064</v>
      </c>
      <c r="DC29">
        <f>Overview!BV28</f>
        <v>14.280086205308089</v>
      </c>
      <c r="DD29">
        <f>Overview!BW28</f>
        <v>14.026533351994818</v>
      </c>
      <c r="DE29">
        <f>Overview!BX28</f>
        <v>10.58104112468718</v>
      </c>
      <c r="DF29">
        <f>Overview!BY28</f>
        <v>82.497083521747271</v>
      </c>
      <c r="DG29">
        <f>Overview!BZ28</f>
        <v>10.330365655947006</v>
      </c>
      <c r="DM29">
        <f t="shared" si="28"/>
        <v>0</v>
      </c>
      <c r="DN29">
        <f t="shared" si="29"/>
        <v>0</v>
      </c>
      <c r="DP29">
        <f t="shared" ca="1" si="49"/>
        <v>1</v>
      </c>
      <c r="DQ29" t="str">
        <f t="shared" ca="1" si="30"/>
        <v/>
      </c>
      <c r="DR29" t="str">
        <f t="shared" ca="1" si="50"/>
        <v/>
      </c>
      <c r="DS29" t="str">
        <f t="shared" ca="1" si="31"/>
        <v/>
      </c>
      <c r="DT29" t="str">
        <f t="shared" ca="1" si="51"/>
        <v/>
      </c>
      <c r="DU29">
        <f t="shared" ca="1" si="52"/>
        <v>1</v>
      </c>
      <c r="DV29" t="str">
        <f t="shared" si="32"/>
        <v/>
      </c>
      <c r="DW29" t="str">
        <f t="shared" si="53"/>
        <v/>
      </c>
      <c r="DX29" t="str">
        <f t="shared" si="64"/>
        <v/>
      </c>
      <c r="DZ29" t="str">
        <f t="shared" ca="1" si="54"/>
        <v/>
      </c>
      <c r="EA29" t="str">
        <f t="shared" ca="1" si="55"/>
        <v/>
      </c>
      <c r="EB29" s="84" t="str">
        <f t="shared" ca="1" si="56"/>
        <v/>
      </c>
      <c r="EC29" s="1" t="str">
        <f t="shared" ca="1" si="77"/>
        <v/>
      </c>
      <c r="ED29" t="str">
        <f t="shared" ca="1" si="57"/>
        <v/>
      </c>
      <c r="EE29" t="str">
        <f t="shared" ca="1" si="58"/>
        <v/>
      </c>
      <c r="EF29" t="str">
        <f t="shared" ca="1" si="59"/>
        <v/>
      </c>
      <c r="EJ29" t="str">
        <f ca="1">'538'!Q34</f>
        <v/>
      </c>
      <c r="EK29" t="str">
        <f ca="1">'538'!T34</f>
        <v/>
      </c>
    </row>
    <row r="30" spans="1:141" ht="15.75" thickBot="1" x14ac:dyDescent="0.3">
      <c r="A30" s="28" t="str">
        <f>IFERROR(INDEX(Overview!$A$3:$B$32,MATCH(Bet!$C30,Overview!$B$3:$B$32,0),1),"X")</f>
        <v>X</v>
      </c>
      <c r="B30" s="28" t="str">
        <f>IF(ISBLANK(C30),"",IFERROR(INDEX(Pitchers[],MATCH(F30,Pitchers[Player],0),MATCH(G$2,Pitchers[#Headers],0)),"X"))</f>
        <v/>
      </c>
      <c r="C30" s="4"/>
      <c r="D30" s="10"/>
      <c r="E30" s="96"/>
      <c r="F30" s="51"/>
      <c r="G30" s="48">
        <f>IFERROR(INDEX(Pitchers[],MATCH(Bet!F30,Pitchers[Player],0),MATCH(G$2,Pitchers[#Headers],0)),PlayerPitching!$AD$12)</f>
        <v>-0.13933069723404246</v>
      </c>
      <c r="H30" s="48" t="str">
        <f>IF(ISNUMBER(CODE(C30)),INDEX(Scores!$P$2:$T$33,MATCH($C30,Scores!$R$2:$R$33,0),4),"")</f>
        <v/>
      </c>
      <c r="I30" s="48" t="str">
        <f>IF(ISNUMBER(CODE(C30)),IF(INDEX(Scores!$P$2:$T$33,MATCH($C30,Scores!$R$2:$R$33,0),5)=0,1,INDEX(Scores!$P$2:$T$33,MATCH($C30,Scores!$R$2:$R$33,0),5)),"")</f>
        <v/>
      </c>
      <c r="J30" s="48">
        <f t="shared" si="1"/>
        <v>-1.9641098805067554</v>
      </c>
      <c r="K30" s="49">
        <f t="shared" si="2"/>
        <v>-9.4751509617551655</v>
      </c>
      <c r="L30" s="49">
        <f t="shared" si="79"/>
        <v>16.909645863110409</v>
      </c>
      <c r="M30" s="49">
        <f t="shared" si="80"/>
        <v>10.056673523576878</v>
      </c>
      <c r="N30" s="49">
        <f t="shared" si="81"/>
        <v>9.3029121378439612</v>
      </c>
      <c r="O30" s="49">
        <f t="shared" si="82"/>
        <v>2.0342481123324334</v>
      </c>
      <c r="P30" s="49">
        <f t="shared" si="83"/>
        <v>5.6685801250881971</v>
      </c>
      <c r="Q30" s="49" t="str">
        <f>IFERROR(_xlfn.NORM.INV(INDEX(Scores!$P$2:$U$33,MATCH($C30,Scores!$R$2:$R$33,0),6),H30,I30),"")</f>
        <v/>
      </c>
      <c r="R30" s="49" t="str">
        <f t="shared" si="84"/>
        <v/>
      </c>
      <c r="S30" s="49" t="str">
        <f t="shared" si="85"/>
        <v/>
      </c>
      <c r="T30" s="49" t="str">
        <f t="shared" si="86"/>
        <v/>
      </c>
      <c r="U30" s="96"/>
      <c r="V30" s="68" t="str">
        <f t="shared" si="11"/>
        <v/>
      </c>
      <c r="W30" s="65" t="str">
        <f t="shared" si="12"/>
        <v/>
      </c>
      <c r="X30" s="51" t="str">
        <f t="shared" si="13"/>
        <v/>
      </c>
      <c r="Y30" s="48" t="str">
        <f t="shared" si="35"/>
        <v/>
      </c>
      <c r="Z30" s="48" t="str">
        <f ca="1">IFERROR(INDEX('538'!$Q$9:$U$190,MATCH(Bet!$C30,'538'!$Q$9:$Q$190,0),5),"")</f>
        <v/>
      </c>
      <c r="AA30" t="str">
        <f t="shared" si="36"/>
        <v/>
      </c>
      <c r="AB30">
        <f t="shared" si="14"/>
        <v>0</v>
      </c>
      <c r="AC30" t="str">
        <f t="shared" ca="1" si="37"/>
        <v/>
      </c>
      <c r="AD30" t="str">
        <f t="shared" si="15"/>
        <v/>
      </c>
      <c r="AE30" t="str">
        <f>IFERROR(INDEX(Overview!$A$2:$BF$32,MATCH($A30,Overview!$A$2:$A$32,0),MATCH(AE$2,Overview!$A$2:$BF$2,0)),"")</f>
        <v/>
      </c>
      <c r="AF30" t="str">
        <f>IFERROR(INDEX(Overview!$A$2:$BF$32,MATCH($A30,Overview!$A$2:$A$32,0),MATCH(AF$2,Overview!$A$2:$BF$2,0)),"")</f>
        <v/>
      </c>
      <c r="AG30" t="str">
        <f>IFERROR(INDEX(Overview!$A$2:$BF$32,MATCH($A30,Overview!$A$2:$A$32,0),MATCH(AG$2,Overview!$A$2:$BF$2,0)),"")</f>
        <v/>
      </c>
      <c r="AH30" t="str">
        <f>IFERROR(INDEX(Overview!$A$2:$BF$32,MATCH($A30,Overview!$A$2:$A$32,0),MATCH(AH$2,Overview!$A$2:$BF$2,0)),"")</f>
        <v/>
      </c>
      <c r="AI30" t="str">
        <f>IFERROR(INDEX(Overview!$A$2:$BF$32,MATCH($A30,Overview!$A$2:$A$32,0),MATCH(AI$2,Overview!$A$2:$BF$2,0)),"")</f>
        <v/>
      </c>
      <c r="AJ30" t="str">
        <f>IFERROR(INDEX(Overview!$A$2:$BF$32,MATCH($A30,Overview!$A$2:$A$32,0),MATCH(AJ$2,Overview!$A$2:$BF$2,0)),"")</f>
        <v/>
      </c>
      <c r="AK30" t="str">
        <f>IFERROR(INDEX(Overview!$A$2:$BF$32,MATCH($A30,Overview!$A$2:$A$32,0),MATCH(AK$2,Overview!$A$2:$BF$2,0)),"")</f>
        <v/>
      </c>
      <c r="AL30" t="str">
        <f>IFERROR(INDEX(Overview!$A$2:$BF$32,MATCH($A30,Overview!$A$2:$A$32,0),MATCH(AL$2,Overview!$A$2:$BF$2,0)),"")</f>
        <v/>
      </c>
      <c r="AM30" t="str">
        <f>IFERROR(INDEX(Overview!$A$2:$BF$32,MATCH($A30,Overview!$A$2:$A$32,0),MATCH(AM$2,Overview!$A$2:$BF$2,0)),"")</f>
        <v/>
      </c>
      <c r="AN30" t="str">
        <f>IFERROR(INDEX(Overview!$A$2:$BF$32,MATCH($A30,Overview!$A$2:$A$32,0),MATCH(AN$2,Overview!$A$2:$BF$2,0)),"")</f>
        <v/>
      </c>
      <c r="AO30" t="str">
        <f>IFERROR(INDEX(Overview!$A$2:$BF$32,MATCH($A30,Overview!$A$2:$A$32,0),MATCH(AO$2,Overview!$A$2:$BF$2,0)),"")</f>
        <v/>
      </c>
      <c r="AP30" t="str">
        <f>IFERROR(INDEX(Overview!$A$2:$BM$32,MATCH($A30,Overview!$A$2:$A$32,0),MATCH(AP$2,Overview!$A$2:$BM$2,0)),"")</f>
        <v/>
      </c>
      <c r="AQ30" t="str">
        <f>IFERROR(INDEX(Overview!$A$2:$BM$32,MATCH($A30,Overview!$A$2:$A$32,0),MATCH(AQ$2,Overview!$A$2:$BM$2,0)),"")</f>
        <v/>
      </c>
      <c r="AR30" t="str">
        <f>IFERROR(INDEX(Overview!$A$2:$BM$32,MATCH($A30,Overview!$A$2:$A$32,0),MATCH(AR$2,Overview!$A$2:$BM$2,0)),"")</f>
        <v/>
      </c>
      <c r="AS30" t="str">
        <f>IFERROR(INDEX(Overview!$A$2:$BM$32,MATCH($A30,Overview!$A$2:$A$32,0),MATCH(AS$2,Overview!$A$2:$BM$2,0)),"")</f>
        <v/>
      </c>
      <c r="AT30" t="str">
        <f>IFERROR(INDEX(Overview!$A$2:$BM$32,MATCH($A30,Overview!$A$2:$A$32,0),MATCH(AT$2,Overview!$A$2:$BM$2,0)),"")</f>
        <v/>
      </c>
      <c r="AU30" t="str">
        <f>IFERROR(INDEX(Overview!$A$2:$BM$32,MATCH($A30,Overview!$A$2:$A$32,0),MATCH(AU$2,Overview!$A$2:$BM$2,0)),"")</f>
        <v/>
      </c>
      <c r="AV30" t="str">
        <f>IFERROR(INDEX(Overview!$A$2:$BM$32,MATCH($A30,Overview!$A$2:$A$32,0),MATCH(AV$2,Overview!$A$2:$BM$2,0)),"")</f>
        <v/>
      </c>
      <c r="AW30" t="str">
        <f>IFERROR(INDEX(Overview!$A$2:$BM$32,MATCH($A30,Overview!$A$2:$A$32,0),MATCH(AW$2,Overview!$A$2:$BM$2,0)),"")</f>
        <v/>
      </c>
      <c r="AX30" t="str">
        <f>IFERROR(INDEX(Overview!$A$2:$BM$32,MATCH($A30,Overview!$A$2:$A$32,0),MATCH(AX$2,Overview!$A$2:$BM$2,0)),"")</f>
        <v/>
      </c>
      <c r="AY30" t="str">
        <f>IFERROR(INDEX(Overview!$A$2:$BM$32,MATCH($A30,Overview!$A$2:$A$32,0),MATCH(AY$2,Overview!$A$2:$BM$2,0)),"")</f>
        <v/>
      </c>
      <c r="AZ30" t="str">
        <f>IFERROR(INDEX(Overview!$A$2:$BM$32,MATCH($A30,Overview!$A$2:$A$32,0),MATCH(AZ$2,Overview!$A$2:$BM$2,0)),"")</f>
        <v/>
      </c>
      <c r="BA30" s="79" t="str">
        <f>IFERROR(INDEX(Overview!$A$2:$BM$32,MATCH($A30,Overview!$A$2:$A$32,0),MATCH(BA$2,Overview!$A$2:$BM$2,0)),"")</f>
        <v/>
      </c>
      <c r="BB30" s="79" t="str">
        <f>IFERROR(INDEX(Overview!$A$2:$BM$32,MATCH($A30,Overview!$A$2:$A$32,0),MATCH(BB$2,Overview!$A$2:$BM$2,0)),"")</f>
        <v/>
      </c>
      <c r="BC30" s="79" t="str">
        <f>IFERROR(INDEX(Overview!$A$2:$BM$32,MATCH($A30,Overview!$A$2:$A$32,0),MATCH(BC$2,Overview!$A$2:$BM$2,0)),"")</f>
        <v/>
      </c>
      <c r="BD30" s="79" t="str">
        <f>IFERROR(INDEX(Overview!$A$2:$BM$32,MATCH($A30,Overview!$A$2:$A$32,0),MATCH(BD$2,Overview!$A$2:$BM$2,0)),"")</f>
        <v/>
      </c>
      <c r="BE30" s="79" t="str">
        <f>IFERROR(INDEX(Overview!$A$2:$BM$32,MATCH($A30,Overview!$A$2:$A$32,0),MATCH(BE$2,Overview!$A$2:$BM$2,0)),"")</f>
        <v/>
      </c>
      <c r="BF30" s="79" t="str">
        <f>IFERROR(INDEX(Overview!$A$2:$BM$32,MATCH($A30,Overview!$A$2:$A$32,0),MATCH(BF$2,Overview!$A$2:$BM$2,0)),"")</f>
        <v/>
      </c>
      <c r="BG30" s="79" t="str">
        <f>IFERROR(INDEX(Overview!$A$2:$BM$32,MATCH($A30,Overview!$A$2:$A$32,0),MATCH(BG$2,Overview!$A$2:$BM$2,0)),"")</f>
        <v/>
      </c>
      <c r="BH30" s="79" t="str">
        <f>IFERROR(INDEX(Overview!$A$2:$BM$32,MATCH($A30,Overview!$A$2:$A$32,0),MATCH(BH$2,Overview!$A$2:$BM$2,0)),"")</f>
        <v/>
      </c>
      <c r="BI30" s="79" t="str">
        <f>IFERROR(INDEX(Overview!$A$2:$BM$32,MATCH($A30,Overview!$A$2:$A$32,0),MATCH(BI$2,Overview!$A$2:$BM$2,0)),"")</f>
        <v/>
      </c>
      <c r="BJ30" s="79" t="str">
        <f>IFERROR(INDEX(Overview!$A$2:$BM$32,MATCH($A30,Overview!$A$2:$A$32,0),MATCH(BJ$2,Overview!$A$2:$BM$2,0)),"")</f>
        <v/>
      </c>
      <c r="BK30" s="79" t="str">
        <f>IFERROR(INDEX(Overview!$A$2:$BM$32,MATCH($A30,Overview!$A$2:$A$32,0),MATCH(BK$2,Overview!$A$2:$BM$2,0)),"")</f>
        <v/>
      </c>
      <c r="BL30" s="80" t="str">
        <f>IFERROR(INDEX(Overview!$A$2:$BM$32,MATCH($A30,Overview!$A$2:$A$32,0),MATCH(BL$2,Overview!$A$2:$BM$2,0)+11),"")</f>
        <v/>
      </c>
      <c r="BM30" s="80" t="str">
        <f>IFERROR(INDEX(Overview!$A$2:$BM$32,MATCH($A30,Overview!$A$2:$A$32,0),MATCH(BM$2,Overview!$A$2:$BM$2,0)+11),"")</f>
        <v/>
      </c>
      <c r="BN30" s="80" t="str">
        <f>IFERROR(INDEX(Overview!$A$2:$BM$32,MATCH($A30,Overview!$A$2:$A$32,0),MATCH(BN$2,Overview!$A$2:$BM$2,0)+11),"")</f>
        <v/>
      </c>
      <c r="BO30" s="80" t="str">
        <f>IFERROR(INDEX(Overview!$A$2:$BM$32,MATCH($A30,Overview!$A$2:$A$32,0),MATCH(BO$2,Overview!$A$2:$BM$2,0)+11),"")</f>
        <v/>
      </c>
      <c r="BP30" s="80" t="str">
        <f>IFERROR(INDEX(Overview!$A$2:$BM$32,MATCH($A30,Overview!$A$2:$A$32,0),MATCH(BP$2,Overview!$A$2:$BM$2,0)+11),"")</f>
        <v/>
      </c>
      <c r="BQ30" s="80" t="str">
        <f>IFERROR(INDEX(Overview!$A$2:$BM$32,MATCH($A30,Overview!$A$2:$A$32,0),MATCH(BQ$2,Overview!$A$2:$BM$2,0)+11),"")</f>
        <v/>
      </c>
      <c r="BR30" s="80" t="str">
        <f>IFERROR(INDEX(Overview!$A$2:$BM$32,MATCH($A30,Overview!$A$2:$A$32,0),MATCH(BR$2,Overview!$A$2:$BM$2,0)+11),"")</f>
        <v/>
      </c>
      <c r="BS30" s="80" t="str">
        <f>IFERROR(INDEX(Overview!$A$2:$BM$32,MATCH($A30,Overview!$A$2:$A$32,0),MATCH(BS$2,Overview!$A$2:$BM$2,0)+11),"")</f>
        <v/>
      </c>
      <c r="BT30" s="80" t="str">
        <f>IFERROR(INDEX(Overview!$A$2:$BM$32,MATCH($A30,Overview!$A$2:$A$32,0),MATCH(BT$2,Overview!$A$2:$BM$2,0)+11),"")</f>
        <v/>
      </c>
      <c r="BU30" s="80" t="str">
        <f>IFERROR(INDEX(Overview!$A$2:$BM$32,MATCH($A30,Overview!$A$2:$A$32,0),MATCH(BU$2,Overview!$A$2:$BM$2,0)+11),"")</f>
        <v/>
      </c>
      <c r="BV30" s="80" t="str">
        <f>IFERROR(INDEX(Overview!$A$2:$BM$32,MATCH($A30,Overview!$A$2:$A$32,0),MATCH(BV$2,Overview!$A$2:$BM$2,0)+11),"")</f>
        <v/>
      </c>
      <c r="BW30" s="82" t="str">
        <f t="shared" si="16"/>
        <v/>
      </c>
      <c r="BX30" s="82" t="str">
        <f t="shared" si="17"/>
        <v/>
      </c>
      <c r="BY30" s="82" t="str">
        <f t="shared" si="18"/>
        <v/>
      </c>
      <c r="BZ30" s="82" t="str">
        <f t="shared" si="19"/>
        <v/>
      </c>
      <c r="CA30" s="82" t="str">
        <f t="shared" si="20"/>
        <v/>
      </c>
      <c r="CB30" s="82" t="str">
        <f t="shared" si="21"/>
        <v/>
      </c>
      <c r="CC30" s="82" t="str">
        <f t="shared" si="22"/>
        <v/>
      </c>
      <c r="CD30" s="82" t="str">
        <f t="shared" si="23"/>
        <v/>
      </c>
      <c r="CE30" s="82" t="str">
        <f t="shared" si="24"/>
        <v/>
      </c>
      <c r="CF30" s="82" t="str">
        <f t="shared" si="25"/>
        <v/>
      </c>
      <c r="CG30" s="82" t="str">
        <f t="shared" si="26"/>
        <v/>
      </c>
      <c r="CH30" s="83" t="str">
        <f t="shared" si="38"/>
        <v/>
      </c>
      <c r="CI30" s="83" t="str">
        <f t="shared" si="39"/>
        <v/>
      </c>
      <c r="CJ30" s="83" t="str">
        <f t="shared" si="40"/>
        <v/>
      </c>
      <c r="CK30" s="83" t="str">
        <f t="shared" si="41"/>
        <v/>
      </c>
      <c r="CL30" s="83" t="str">
        <f t="shared" si="42"/>
        <v/>
      </c>
      <c r="CM30" s="83" t="str">
        <f t="shared" si="43"/>
        <v/>
      </c>
      <c r="CN30" s="83" t="str">
        <f t="shared" si="44"/>
        <v/>
      </c>
      <c r="CO30" s="83" t="str">
        <f t="shared" si="45"/>
        <v/>
      </c>
      <c r="CP30" s="83" t="str">
        <f t="shared" si="46"/>
        <v/>
      </c>
      <c r="CQ30" s="83" t="str">
        <f t="shared" si="47"/>
        <v/>
      </c>
      <c r="CR30" s="83" t="str">
        <f t="shared" si="48"/>
        <v/>
      </c>
      <c r="CV30">
        <f>Overview!BO29</f>
        <v>0.94973297312090399</v>
      </c>
      <c r="CW30">
        <f>Overview!BP29</f>
        <v>0.17140966336153252</v>
      </c>
      <c r="CX30" t="e">
        <f>Overview!BQ29</f>
        <v>#N/A</v>
      </c>
      <c r="CY30" t="e">
        <f>Overview!BR29</f>
        <v>#N/A</v>
      </c>
      <c r="CZ30" t="e">
        <f>Overview!BS29</f>
        <v>#N/A</v>
      </c>
      <c r="DA30" t="e">
        <f>Overview!BT29</f>
        <v>#N/A</v>
      </c>
      <c r="DB30" t="e">
        <f>Overview!BU29</f>
        <v>#N/A</v>
      </c>
      <c r="DC30" t="e">
        <f>Overview!BV29</f>
        <v>#N/A</v>
      </c>
      <c r="DD30" t="e">
        <f>Overview!BW29</f>
        <v>#N/A</v>
      </c>
      <c r="DE30" t="e">
        <f>Overview!BX29</f>
        <v>#N/A</v>
      </c>
      <c r="DF30" t="e">
        <f>Overview!BY29</f>
        <v>#N/A</v>
      </c>
      <c r="DG30" t="e">
        <f>Overview!BZ29</f>
        <v>#N/A</v>
      </c>
      <c r="DM30">
        <f t="shared" si="28"/>
        <v>0</v>
      </c>
      <c r="DN30">
        <f t="shared" si="29"/>
        <v>0</v>
      </c>
      <c r="DP30">
        <f t="shared" ca="1" si="49"/>
        <v>1</v>
      </c>
      <c r="DQ30" t="str">
        <f t="shared" ca="1" si="30"/>
        <v/>
      </c>
      <c r="DR30" t="str">
        <f t="shared" ca="1" si="50"/>
        <v/>
      </c>
      <c r="DS30" t="str">
        <f t="shared" ca="1" si="31"/>
        <v/>
      </c>
      <c r="DT30" t="str">
        <f t="shared" ca="1" si="51"/>
        <v/>
      </c>
      <c r="DU30">
        <f t="shared" ca="1" si="52"/>
        <v>1</v>
      </c>
      <c r="DV30" t="str">
        <f t="shared" si="32"/>
        <v/>
      </c>
      <c r="DW30" t="str">
        <f t="shared" si="53"/>
        <v/>
      </c>
      <c r="DX30" t="str">
        <f t="shared" si="64"/>
        <v/>
      </c>
      <c r="DZ30" t="str">
        <f t="shared" ca="1" si="54"/>
        <v/>
      </c>
      <c r="EA30" t="str">
        <f t="shared" ca="1" si="55"/>
        <v/>
      </c>
      <c r="EB30" s="84" t="str">
        <f t="shared" ca="1" si="56"/>
        <v/>
      </c>
      <c r="EC30" s="1" t="str">
        <f t="shared" ca="1" si="77"/>
        <v/>
      </c>
      <c r="ED30" t="str">
        <f t="shared" ca="1" si="57"/>
        <v/>
      </c>
      <c r="EE30" t="str">
        <f t="shared" ca="1" si="58"/>
        <v/>
      </c>
      <c r="EF30" t="str">
        <f t="shared" ca="1" si="59"/>
        <v/>
      </c>
      <c r="EJ30" t="str">
        <f ca="1">'538'!Q35</f>
        <v/>
      </c>
      <c r="EK30" t="str">
        <f ca="1">'538'!T35</f>
        <v/>
      </c>
    </row>
    <row r="31" spans="1:141" x14ac:dyDescent="0.25">
      <c r="A31" s="28" t="str">
        <f>IFERROR(INDEX(Overview!$A$3:$B$32,MATCH(Bet!$C31,Overview!$B$3:$B$32,0),1),"X")</f>
        <v>X</v>
      </c>
      <c r="B31" s="28" t="str">
        <f>IF(ISBLANK(C31),"",IFERROR(INDEX(Pitchers[],MATCH(F31,Pitchers[Player],0),MATCH(G$2,Pitchers[#Headers],0)),"X"))</f>
        <v/>
      </c>
      <c r="C31" s="2"/>
      <c r="D31" s="3"/>
      <c r="E31" s="95"/>
      <c r="F31" s="50"/>
      <c r="G31" s="48">
        <f>IFERROR(INDEX(Pitchers[],MATCH(Bet!F31,Pitchers[Player],0),MATCH(G$2,Pitchers[#Headers],0)),PlayerPitching!$AD$12)</f>
        <v>-0.13933069723404246</v>
      </c>
      <c r="H31" s="48" t="str">
        <f>IF(ISNUMBER(CODE(C31)),INDEX(Scores!$P$2:$T$33,MATCH($C31,Scores!$R$2:$R$33,0),4),"")</f>
        <v/>
      </c>
      <c r="I31" s="48" t="str">
        <f>IF(ISNUMBER(CODE(C31)),IF(INDEX(Scores!$P$2:$T$33,MATCH($C31,Scores!$R$2:$R$33,0),5)=0,1,INDEX(Scores!$P$2:$T$33,MATCH($C31,Scores!$R$2:$R$33,0),5)),"")</f>
        <v/>
      </c>
      <c r="J31" s="48">
        <f t="shared" ref="J31:J34" si="90">IFERROR(SUMPRODUCT($AE31:$AO31,$CV$4:$DF$4)+$DG$4,"")</f>
        <v>-1.9641098805067554</v>
      </c>
      <c r="K31" s="49">
        <f t="shared" si="2"/>
        <v>-9.4751509617551655</v>
      </c>
      <c r="L31" s="49">
        <f t="shared" si="79"/>
        <v>16.909645863110409</v>
      </c>
      <c r="M31" s="49">
        <f t="shared" si="80"/>
        <v>10.056673523576878</v>
      </c>
      <c r="N31" s="49">
        <f t="shared" si="81"/>
        <v>9.3029121378439612</v>
      </c>
      <c r="O31" s="49">
        <f t="shared" si="82"/>
        <v>2.0342481123324334</v>
      </c>
      <c r="P31" s="49">
        <f t="shared" si="83"/>
        <v>5.6685801250881971</v>
      </c>
      <c r="Q31" s="49" t="str">
        <f>IFERROR(_xlfn.NORM.INV(INDEX(Scores!$P$2:$U$33,MATCH($C31,Scores!$R$2:$R$33,0),6),H31,I31),"")</f>
        <v/>
      </c>
      <c r="R31" s="49" t="str">
        <f t="shared" si="84"/>
        <v/>
      </c>
      <c r="S31" s="49" t="str">
        <f t="shared" si="85"/>
        <v/>
      </c>
      <c r="T31" s="49" t="str">
        <f t="shared" si="86"/>
        <v/>
      </c>
      <c r="U31" s="95" t="str">
        <f t="shared" si="78"/>
        <v/>
      </c>
      <c r="V31" s="67" t="str">
        <f t="shared" si="11"/>
        <v/>
      </c>
      <c r="W31" s="64" t="str">
        <f t="shared" si="12"/>
        <v/>
      </c>
      <c r="X31" s="52" t="str">
        <f t="shared" si="13"/>
        <v/>
      </c>
      <c r="Y31" s="48" t="str">
        <f t="shared" si="35"/>
        <v/>
      </c>
      <c r="Z31" s="48" t="str">
        <f ca="1">IFERROR(INDEX('538'!$Q$9:$U$190,MATCH(Bet!$C31,'538'!$Q$9:$Q$190,0),5),"")</f>
        <v/>
      </c>
      <c r="AA31" t="str">
        <f t="shared" si="36"/>
        <v/>
      </c>
      <c r="AB31">
        <f t="shared" si="14"/>
        <v>0</v>
      </c>
      <c r="AC31" t="str">
        <f t="shared" ca="1" si="37"/>
        <v/>
      </c>
      <c r="AD31" t="str">
        <f t="shared" si="15"/>
        <v/>
      </c>
      <c r="AE31" t="str">
        <f>IFERROR(INDEX(Overview!$A$2:$BF$32,MATCH($A31,Overview!$A$2:$A$32,0),MATCH(AE$2,Overview!$A$2:$BF$2,0)),"")</f>
        <v/>
      </c>
      <c r="AF31" t="str">
        <f>IFERROR(INDEX(Overview!$A$2:$BF$32,MATCH($A31,Overview!$A$2:$A$32,0),MATCH(AF$2,Overview!$A$2:$BF$2,0)),"")</f>
        <v/>
      </c>
      <c r="AG31" t="str">
        <f>IFERROR(INDEX(Overview!$A$2:$BF$32,MATCH($A31,Overview!$A$2:$A$32,0),MATCH(AG$2,Overview!$A$2:$BF$2,0)),"")</f>
        <v/>
      </c>
      <c r="AH31" t="str">
        <f>IFERROR(INDEX(Overview!$A$2:$BF$32,MATCH($A31,Overview!$A$2:$A$32,0),MATCH(AH$2,Overview!$A$2:$BF$2,0)),"")</f>
        <v/>
      </c>
      <c r="AI31" t="str">
        <f>IFERROR(INDEX(Overview!$A$2:$BF$32,MATCH($A31,Overview!$A$2:$A$32,0),MATCH(AI$2,Overview!$A$2:$BF$2,0)),"")</f>
        <v/>
      </c>
      <c r="AJ31" t="str">
        <f>IFERROR(INDEX(Overview!$A$2:$BF$32,MATCH($A31,Overview!$A$2:$A$32,0),MATCH(AJ$2,Overview!$A$2:$BF$2,0)),"")</f>
        <v/>
      </c>
      <c r="AK31" t="str">
        <f>IFERROR(INDEX(Overview!$A$2:$BF$32,MATCH($A31,Overview!$A$2:$A$32,0),MATCH(AK$2,Overview!$A$2:$BF$2,0)),"")</f>
        <v/>
      </c>
      <c r="AL31" t="str">
        <f>IFERROR(INDEX(Overview!$A$2:$BF$32,MATCH($A31,Overview!$A$2:$A$32,0),MATCH(AL$2,Overview!$A$2:$BF$2,0)),"")</f>
        <v/>
      </c>
      <c r="AM31" t="str">
        <f>IFERROR(INDEX(Overview!$A$2:$BF$32,MATCH($A31,Overview!$A$2:$A$32,0),MATCH(AM$2,Overview!$A$2:$BF$2,0)),"")</f>
        <v/>
      </c>
      <c r="AN31" t="str">
        <f>IFERROR(INDEX(Overview!$A$2:$BF$32,MATCH($A31,Overview!$A$2:$A$32,0),MATCH(AN$2,Overview!$A$2:$BF$2,0)),"")</f>
        <v/>
      </c>
      <c r="AO31" t="str">
        <f>IFERROR(INDEX(Overview!$A$2:$BF$32,MATCH($A31,Overview!$A$2:$A$32,0),MATCH(AO$2,Overview!$A$2:$BF$2,0)),"")</f>
        <v/>
      </c>
      <c r="AP31" t="str">
        <f>IFERROR(INDEX(Overview!$A$2:$BM$32,MATCH($A31,Overview!$A$2:$A$32,0),MATCH(AP$2,Overview!$A$2:$BM$2,0)),"")</f>
        <v/>
      </c>
      <c r="AQ31" t="str">
        <f>IFERROR(INDEX(Overview!$A$2:$BM$32,MATCH($A31,Overview!$A$2:$A$32,0),MATCH(AQ$2,Overview!$A$2:$BM$2,0)),"")</f>
        <v/>
      </c>
      <c r="AR31" t="str">
        <f>IFERROR(INDEX(Overview!$A$2:$BM$32,MATCH($A31,Overview!$A$2:$A$32,0),MATCH(AR$2,Overview!$A$2:$BM$2,0)),"")</f>
        <v/>
      </c>
      <c r="AS31" t="str">
        <f>IFERROR(INDEX(Overview!$A$2:$BM$32,MATCH($A31,Overview!$A$2:$A$32,0),MATCH(AS$2,Overview!$A$2:$BM$2,0)),"")</f>
        <v/>
      </c>
      <c r="AT31" t="str">
        <f>IFERROR(INDEX(Overview!$A$2:$BM$32,MATCH($A31,Overview!$A$2:$A$32,0),MATCH(AT$2,Overview!$A$2:$BM$2,0)),"")</f>
        <v/>
      </c>
      <c r="AU31" t="str">
        <f>IFERROR(INDEX(Overview!$A$2:$BM$32,MATCH($A31,Overview!$A$2:$A$32,0),MATCH(AU$2,Overview!$A$2:$BM$2,0)),"")</f>
        <v/>
      </c>
      <c r="AV31" t="str">
        <f>IFERROR(INDEX(Overview!$A$2:$BM$32,MATCH($A31,Overview!$A$2:$A$32,0),MATCH(AV$2,Overview!$A$2:$BM$2,0)),"")</f>
        <v/>
      </c>
      <c r="AW31" t="str">
        <f>IFERROR(INDEX(Overview!$A$2:$BM$32,MATCH($A31,Overview!$A$2:$A$32,0),MATCH(AW$2,Overview!$A$2:$BM$2,0)),"")</f>
        <v/>
      </c>
      <c r="AX31" t="str">
        <f>IFERROR(INDEX(Overview!$A$2:$BM$32,MATCH($A31,Overview!$A$2:$A$32,0),MATCH(AX$2,Overview!$A$2:$BM$2,0)),"")</f>
        <v/>
      </c>
      <c r="AY31" t="str">
        <f>IFERROR(INDEX(Overview!$A$2:$BM$32,MATCH($A31,Overview!$A$2:$A$32,0),MATCH(AY$2,Overview!$A$2:$BM$2,0)),"")</f>
        <v/>
      </c>
      <c r="AZ31" t="str">
        <f>IFERROR(INDEX(Overview!$A$2:$BM$32,MATCH($A31,Overview!$A$2:$A$32,0),MATCH(AZ$2,Overview!$A$2:$BM$2,0)),"")</f>
        <v/>
      </c>
      <c r="BA31" s="79" t="str">
        <f>IFERROR(INDEX(Overview!$A$2:$BM$32,MATCH($A31,Overview!$A$2:$A$32,0),MATCH(BA$2,Overview!$A$2:$BM$2,0)),"")</f>
        <v/>
      </c>
      <c r="BB31" s="79" t="str">
        <f>IFERROR(INDEX(Overview!$A$2:$BM$32,MATCH($A31,Overview!$A$2:$A$32,0),MATCH(BB$2,Overview!$A$2:$BM$2,0)),"")</f>
        <v/>
      </c>
      <c r="BC31" s="79" t="str">
        <f>IFERROR(INDEX(Overview!$A$2:$BM$32,MATCH($A31,Overview!$A$2:$A$32,0),MATCH(BC$2,Overview!$A$2:$BM$2,0)),"")</f>
        <v/>
      </c>
      <c r="BD31" s="79" t="str">
        <f>IFERROR(INDEX(Overview!$A$2:$BM$32,MATCH($A31,Overview!$A$2:$A$32,0),MATCH(BD$2,Overview!$A$2:$BM$2,0)),"")</f>
        <v/>
      </c>
      <c r="BE31" s="79" t="str">
        <f>IFERROR(INDEX(Overview!$A$2:$BM$32,MATCH($A31,Overview!$A$2:$A$32,0),MATCH(BE$2,Overview!$A$2:$BM$2,0)),"")</f>
        <v/>
      </c>
      <c r="BF31" s="79" t="str">
        <f>IFERROR(INDEX(Overview!$A$2:$BM$32,MATCH($A31,Overview!$A$2:$A$32,0),MATCH(BF$2,Overview!$A$2:$BM$2,0)),"")</f>
        <v/>
      </c>
      <c r="BG31" s="79" t="str">
        <f>IFERROR(INDEX(Overview!$A$2:$BM$32,MATCH($A31,Overview!$A$2:$A$32,0),MATCH(BG$2,Overview!$A$2:$BM$2,0)),"")</f>
        <v/>
      </c>
      <c r="BH31" s="79" t="str">
        <f>IFERROR(INDEX(Overview!$A$2:$BM$32,MATCH($A31,Overview!$A$2:$A$32,0),MATCH(BH$2,Overview!$A$2:$BM$2,0)),"")</f>
        <v/>
      </c>
      <c r="BI31" s="79" t="str">
        <f>IFERROR(INDEX(Overview!$A$2:$BM$32,MATCH($A31,Overview!$A$2:$A$32,0),MATCH(BI$2,Overview!$A$2:$BM$2,0)),"")</f>
        <v/>
      </c>
      <c r="BJ31" s="79" t="str">
        <f>IFERROR(INDEX(Overview!$A$2:$BM$32,MATCH($A31,Overview!$A$2:$A$32,0),MATCH(BJ$2,Overview!$A$2:$BM$2,0)),"")</f>
        <v/>
      </c>
      <c r="BK31" s="79" t="str">
        <f>IFERROR(INDEX(Overview!$A$2:$BM$32,MATCH($A31,Overview!$A$2:$A$32,0),MATCH(BK$2,Overview!$A$2:$BM$2,0)),"")</f>
        <v/>
      </c>
      <c r="BL31" s="80" t="str">
        <f>IFERROR(INDEX(Overview!$A$2:$BM$32,MATCH($A31,Overview!$A$2:$A$32,0),MATCH(BL$2,Overview!$A$2:$BM$2,0)+11),"")</f>
        <v/>
      </c>
      <c r="BM31" s="80" t="str">
        <f>IFERROR(INDEX(Overview!$A$2:$BM$32,MATCH($A31,Overview!$A$2:$A$32,0),MATCH(BM$2,Overview!$A$2:$BM$2,0)+11),"")</f>
        <v/>
      </c>
      <c r="BN31" s="80" t="str">
        <f>IFERROR(INDEX(Overview!$A$2:$BM$32,MATCH($A31,Overview!$A$2:$A$32,0),MATCH(BN$2,Overview!$A$2:$BM$2,0)+11),"")</f>
        <v/>
      </c>
      <c r="BO31" s="80" t="str">
        <f>IFERROR(INDEX(Overview!$A$2:$BM$32,MATCH($A31,Overview!$A$2:$A$32,0),MATCH(BO$2,Overview!$A$2:$BM$2,0)+11),"")</f>
        <v/>
      </c>
      <c r="BP31" s="80" t="str">
        <f>IFERROR(INDEX(Overview!$A$2:$BM$32,MATCH($A31,Overview!$A$2:$A$32,0),MATCH(BP$2,Overview!$A$2:$BM$2,0)+11),"")</f>
        <v/>
      </c>
      <c r="BQ31" s="80" t="str">
        <f>IFERROR(INDEX(Overview!$A$2:$BM$32,MATCH($A31,Overview!$A$2:$A$32,0),MATCH(BQ$2,Overview!$A$2:$BM$2,0)+11),"")</f>
        <v/>
      </c>
      <c r="BR31" s="80" t="str">
        <f>IFERROR(INDEX(Overview!$A$2:$BM$32,MATCH($A31,Overview!$A$2:$A$32,0),MATCH(BR$2,Overview!$A$2:$BM$2,0)+11),"")</f>
        <v/>
      </c>
      <c r="BS31" s="80" t="str">
        <f>IFERROR(INDEX(Overview!$A$2:$BM$32,MATCH($A31,Overview!$A$2:$A$32,0),MATCH(BS$2,Overview!$A$2:$BM$2,0)+11),"")</f>
        <v/>
      </c>
      <c r="BT31" s="80" t="str">
        <f>IFERROR(INDEX(Overview!$A$2:$BM$32,MATCH($A31,Overview!$A$2:$A$32,0),MATCH(BT$2,Overview!$A$2:$BM$2,0)+11),"")</f>
        <v/>
      </c>
      <c r="BU31" s="80" t="str">
        <f>IFERROR(INDEX(Overview!$A$2:$BM$32,MATCH($A31,Overview!$A$2:$A$32,0),MATCH(BU$2,Overview!$A$2:$BM$2,0)+11),"")</f>
        <v/>
      </c>
      <c r="BV31" s="80" t="str">
        <f>IFERROR(INDEX(Overview!$A$2:$BM$32,MATCH($A31,Overview!$A$2:$A$32,0),MATCH(BV$2,Overview!$A$2:$BM$2,0)+11),"")</f>
        <v/>
      </c>
      <c r="BW31" s="82" t="str">
        <f t="shared" si="16"/>
        <v/>
      </c>
      <c r="BX31" s="82" t="str">
        <f t="shared" si="17"/>
        <v/>
      </c>
      <c r="BY31" s="82" t="str">
        <f t="shared" si="18"/>
        <v/>
      </c>
      <c r="BZ31" s="82" t="str">
        <f t="shared" si="19"/>
        <v/>
      </c>
      <c r="CA31" s="82" t="str">
        <f t="shared" si="20"/>
        <v/>
      </c>
      <c r="CB31" s="82" t="str">
        <f t="shared" si="21"/>
        <v/>
      </c>
      <c r="CC31" s="82" t="str">
        <f t="shared" si="22"/>
        <v/>
      </c>
      <c r="CD31" s="82" t="str">
        <f t="shared" si="23"/>
        <v/>
      </c>
      <c r="CE31" s="82" t="str">
        <f t="shared" si="24"/>
        <v/>
      </c>
      <c r="CF31" s="82" t="str">
        <f t="shared" si="25"/>
        <v/>
      </c>
      <c r="CG31" s="82" t="str">
        <f t="shared" si="26"/>
        <v/>
      </c>
      <c r="CH31" s="83" t="str">
        <f t="shared" si="38"/>
        <v/>
      </c>
      <c r="CI31" s="83" t="str">
        <f t="shared" si="39"/>
        <v/>
      </c>
      <c r="CJ31" s="83" t="str">
        <f t="shared" si="40"/>
        <v/>
      </c>
      <c r="CK31" s="83" t="str">
        <f t="shared" si="41"/>
        <v/>
      </c>
      <c r="CL31" s="83" t="str">
        <f t="shared" si="42"/>
        <v/>
      </c>
      <c r="CM31" s="83" t="str">
        <f t="shared" si="43"/>
        <v/>
      </c>
      <c r="CN31" s="83" t="str">
        <f t="shared" si="44"/>
        <v/>
      </c>
      <c r="CO31" s="83" t="str">
        <f t="shared" si="45"/>
        <v/>
      </c>
      <c r="CP31" s="83" t="str">
        <f t="shared" si="46"/>
        <v/>
      </c>
      <c r="CQ31" s="83" t="str">
        <f t="shared" si="47"/>
        <v/>
      </c>
      <c r="CR31" s="83" t="str">
        <f t="shared" si="48"/>
        <v/>
      </c>
      <c r="CV31">
        <f>Overview!BO30</f>
        <v>30.917056328168513</v>
      </c>
      <c r="CW31">
        <f>Overview!BP30</f>
        <v>18</v>
      </c>
      <c r="CX31" t="e">
        <f>Overview!BQ30</f>
        <v>#N/A</v>
      </c>
      <c r="CY31" t="e">
        <f>Overview!BR30</f>
        <v>#N/A</v>
      </c>
      <c r="CZ31" t="e">
        <f>Overview!BS30</f>
        <v>#N/A</v>
      </c>
      <c r="DA31" t="e">
        <f>Overview!BT30</f>
        <v>#N/A</v>
      </c>
      <c r="DB31" t="e">
        <f>Overview!BU30</f>
        <v>#N/A</v>
      </c>
      <c r="DC31" t="e">
        <f>Overview!BV30</f>
        <v>#N/A</v>
      </c>
      <c r="DD31" t="e">
        <f>Overview!BW30</f>
        <v>#N/A</v>
      </c>
      <c r="DE31" t="e">
        <f>Overview!BX30</f>
        <v>#N/A</v>
      </c>
      <c r="DF31" t="e">
        <f>Overview!BY30</f>
        <v>#N/A</v>
      </c>
      <c r="DG31" t="e">
        <f>Overview!BZ30</f>
        <v>#N/A</v>
      </c>
      <c r="DM31">
        <f t="shared" si="28"/>
        <v>0</v>
      </c>
      <c r="DN31">
        <f t="shared" si="29"/>
        <v>0</v>
      </c>
      <c r="DP31">
        <f t="shared" ca="1" si="49"/>
        <v>1</v>
      </c>
      <c r="DQ31" t="str">
        <f t="shared" ca="1" si="30"/>
        <v/>
      </c>
      <c r="DR31" t="str">
        <f t="shared" ca="1" si="50"/>
        <v/>
      </c>
      <c r="DS31" t="str">
        <f t="shared" ca="1" si="31"/>
        <v/>
      </c>
      <c r="DT31" t="str">
        <f t="shared" ca="1" si="51"/>
        <v/>
      </c>
      <c r="DU31">
        <f t="shared" ca="1" si="52"/>
        <v>1</v>
      </c>
      <c r="DV31" t="str">
        <f t="shared" si="32"/>
        <v/>
      </c>
      <c r="DW31" t="str">
        <f t="shared" si="53"/>
        <v/>
      </c>
      <c r="DX31" t="str">
        <f t="shared" si="64"/>
        <v/>
      </c>
      <c r="DZ31" t="str">
        <f ca="1">IFERROR(IFERROR(VLOOKUP(ROW()-2,$DP$3:$DT$34,2,0),VLOOKUP(ROW()-2,$DU$3:$DX$34,2,0)),"")</f>
        <v/>
      </c>
      <c r="EA31" t="str">
        <f t="shared" ca="1" si="55"/>
        <v/>
      </c>
      <c r="EB31" s="84" t="str">
        <f t="shared" ca="1" si="56"/>
        <v/>
      </c>
      <c r="EC31" s="1" t="str">
        <f t="shared" ca="1" si="77"/>
        <v/>
      </c>
      <c r="ED31" t="str">
        <f t="shared" ca="1" si="57"/>
        <v/>
      </c>
      <c r="EE31" t="str">
        <f t="shared" ca="1" si="58"/>
        <v/>
      </c>
      <c r="EF31" t="str">
        <f t="shared" ca="1" si="59"/>
        <v/>
      </c>
      <c r="EJ31" t="str">
        <f ca="1">'538'!Q36</f>
        <v/>
      </c>
      <c r="EK31" t="str">
        <f ca="1">'538'!T36</f>
        <v/>
      </c>
    </row>
    <row r="32" spans="1:141" ht="15.75" thickBot="1" x14ac:dyDescent="0.3">
      <c r="A32" s="28" t="str">
        <f>IFERROR(INDEX(Overview!$A$3:$B$32,MATCH(Bet!$C32,Overview!$B$3:$B$32,0),1),"X")</f>
        <v>X</v>
      </c>
      <c r="B32" s="28" t="str">
        <f>IF(ISBLANK(C32),"",IFERROR(INDEX(Pitchers[],MATCH(F32,Pitchers[Player],0),MATCH(G$2,Pitchers[#Headers],0)),"X"))</f>
        <v/>
      </c>
      <c r="C32" s="4"/>
      <c r="D32" s="10"/>
      <c r="E32" s="96"/>
      <c r="F32" s="51"/>
      <c r="G32" s="48">
        <f>IFERROR(INDEX(Pitchers[],MATCH(Bet!F32,Pitchers[Player],0),MATCH(G$2,Pitchers[#Headers],0)),PlayerPitching!$AD$12)</f>
        <v>-0.13933069723404246</v>
      </c>
      <c r="H32" s="48" t="str">
        <f>IF(ISNUMBER(CODE(C32)),INDEX(Scores!$P$2:$T$33,MATCH($C32,Scores!$R$2:$R$33,0),4),"")</f>
        <v/>
      </c>
      <c r="I32" s="48" t="str">
        <f>IF(ISNUMBER(CODE(C32)),IF(INDEX(Scores!$P$2:$T$33,MATCH($C32,Scores!$R$2:$R$33,0),5)=0,1,INDEX(Scores!$P$2:$T$33,MATCH($C32,Scores!$R$2:$R$33,0),5)),"")</f>
        <v/>
      </c>
      <c r="J32" s="48">
        <f t="shared" si="90"/>
        <v>-1.9641098805067554</v>
      </c>
      <c r="K32" s="49">
        <f t="shared" si="2"/>
        <v>-9.4751509617551655</v>
      </c>
      <c r="L32" s="49">
        <f t="shared" si="79"/>
        <v>16.909645863110409</v>
      </c>
      <c r="M32" s="49">
        <f t="shared" si="80"/>
        <v>10.056673523576878</v>
      </c>
      <c r="N32" s="49">
        <f t="shared" si="81"/>
        <v>9.3029121378439612</v>
      </c>
      <c r="O32" s="49">
        <f t="shared" si="82"/>
        <v>2.0342481123324334</v>
      </c>
      <c r="P32" s="49">
        <f t="shared" si="83"/>
        <v>5.6685801250881971</v>
      </c>
      <c r="Q32" s="49" t="str">
        <f>IFERROR(_xlfn.NORM.INV(INDEX(Scores!$P$2:$U$33,MATCH($C32,Scores!$R$2:$R$33,0),6),H32,I32),"")</f>
        <v/>
      </c>
      <c r="R32" s="49" t="str">
        <f t="shared" si="84"/>
        <v/>
      </c>
      <c r="S32" s="49" t="str">
        <f t="shared" si="85"/>
        <v/>
      </c>
      <c r="T32" s="49" t="str">
        <f t="shared" si="86"/>
        <v/>
      </c>
      <c r="U32" s="96"/>
      <c r="V32" s="68" t="str">
        <f t="shared" si="11"/>
        <v/>
      </c>
      <c r="W32" s="65" t="str">
        <f t="shared" si="12"/>
        <v/>
      </c>
      <c r="X32" s="52" t="str">
        <f t="shared" si="13"/>
        <v/>
      </c>
      <c r="Y32" s="48" t="str">
        <f t="shared" si="35"/>
        <v/>
      </c>
      <c r="Z32" s="48" t="str">
        <f ca="1">IFERROR(INDEX('538'!$Q$9:$U$190,MATCH(Bet!$C32,'538'!$Q$9:$Q$190,0),5),"")</f>
        <v/>
      </c>
      <c r="AA32" t="str">
        <f t="shared" si="36"/>
        <v/>
      </c>
      <c r="AB32">
        <f t="shared" si="14"/>
        <v>0</v>
      </c>
      <c r="AC32" t="str">
        <f t="shared" ca="1" si="37"/>
        <v/>
      </c>
      <c r="AD32" t="str">
        <f t="shared" si="15"/>
        <v/>
      </c>
      <c r="AE32" t="str">
        <f>IFERROR(INDEX(Overview!$A$2:$BF$32,MATCH($A32,Overview!$A$2:$A$32,0),MATCH(AE$2,Overview!$A$2:$BF$2,0)),"")</f>
        <v/>
      </c>
      <c r="AF32" t="str">
        <f>IFERROR(INDEX(Overview!$A$2:$BF$32,MATCH($A32,Overview!$A$2:$A$32,0),MATCH(AF$2,Overview!$A$2:$BF$2,0)),"")</f>
        <v/>
      </c>
      <c r="AG32" t="str">
        <f>IFERROR(INDEX(Overview!$A$2:$BF$32,MATCH($A32,Overview!$A$2:$A$32,0),MATCH(AG$2,Overview!$A$2:$BF$2,0)),"")</f>
        <v/>
      </c>
      <c r="AH32" t="str">
        <f>IFERROR(INDEX(Overview!$A$2:$BF$32,MATCH($A32,Overview!$A$2:$A$32,0),MATCH(AH$2,Overview!$A$2:$BF$2,0)),"")</f>
        <v/>
      </c>
      <c r="AI32" t="str">
        <f>IFERROR(INDEX(Overview!$A$2:$BF$32,MATCH($A32,Overview!$A$2:$A$32,0),MATCH(AI$2,Overview!$A$2:$BF$2,0)),"")</f>
        <v/>
      </c>
      <c r="AJ32" t="str">
        <f>IFERROR(INDEX(Overview!$A$2:$BF$32,MATCH($A32,Overview!$A$2:$A$32,0),MATCH(AJ$2,Overview!$A$2:$BF$2,0)),"")</f>
        <v/>
      </c>
      <c r="AK32" t="str">
        <f>IFERROR(INDEX(Overview!$A$2:$BF$32,MATCH($A32,Overview!$A$2:$A$32,0),MATCH(AK$2,Overview!$A$2:$BF$2,0)),"")</f>
        <v/>
      </c>
      <c r="AL32" t="str">
        <f>IFERROR(INDEX(Overview!$A$2:$BF$32,MATCH($A32,Overview!$A$2:$A$32,0),MATCH(AL$2,Overview!$A$2:$BF$2,0)),"")</f>
        <v/>
      </c>
      <c r="AM32" t="str">
        <f>IFERROR(INDEX(Overview!$A$2:$BF$32,MATCH($A32,Overview!$A$2:$A$32,0),MATCH(AM$2,Overview!$A$2:$BF$2,0)),"")</f>
        <v/>
      </c>
      <c r="AN32" t="str">
        <f>IFERROR(INDEX(Overview!$A$2:$BF$32,MATCH($A32,Overview!$A$2:$A$32,0),MATCH(AN$2,Overview!$A$2:$BF$2,0)),"")</f>
        <v/>
      </c>
      <c r="AO32" t="str">
        <f>IFERROR(INDEX(Overview!$A$2:$BF$32,MATCH($A32,Overview!$A$2:$A$32,0),MATCH(AO$2,Overview!$A$2:$BF$2,0)),"")</f>
        <v/>
      </c>
      <c r="AP32" t="str">
        <f>IFERROR(INDEX(Overview!$A$2:$BM$32,MATCH($A32,Overview!$A$2:$A$32,0),MATCH(AP$2,Overview!$A$2:$BM$2,0)),"")</f>
        <v/>
      </c>
      <c r="AQ32" t="str">
        <f>IFERROR(INDEX(Overview!$A$2:$BM$32,MATCH($A32,Overview!$A$2:$A$32,0),MATCH(AQ$2,Overview!$A$2:$BM$2,0)),"")</f>
        <v/>
      </c>
      <c r="AR32" t="str">
        <f>IFERROR(INDEX(Overview!$A$2:$BM$32,MATCH($A32,Overview!$A$2:$A$32,0),MATCH(AR$2,Overview!$A$2:$BM$2,0)),"")</f>
        <v/>
      </c>
      <c r="AS32" t="str">
        <f>IFERROR(INDEX(Overview!$A$2:$BM$32,MATCH($A32,Overview!$A$2:$A$32,0),MATCH(AS$2,Overview!$A$2:$BM$2,0)),"")</f>
        <v/>
      </c>
      <c r="AT32" t="str">
        <f>IFERROR(INDEX(Overview!$A$2:$BM$32,MATCH($A32,Overview!$A$2:$A$32,0),MATCH(AT$2,Overview!$A$2:$BM$2,0)),"")</f>
        <v/>
      </c>
      <c r="AU32" t="str">
        <f>IFERROR(INDEX(Overview!$A$2:$BM$32,MATCH($A32,Overview!$A$2:$A$32,0),MATCH(AU$2,Overview!$A$2:$BM$2,0)),"")</f>
        <v/>
      </c>
      <c r="AV32" t="str">
        <f>IFERROR(INDEX(Overview!$A$2:$BM$32,MATCH($A32,Overview!$A$2:$A$32,0),MATCH(AV$2,Overview!$A$2:$BM$2,0)),"")</f>
        <v/>
      </c>
      <c r="AW32" t="str">
        <f>IFERROR(INDEX(Overview!$A$2:$BM$32,MATCH($A32,Overview!$A$2:$A$32,0),MATCH(AW$2,Overview!$A$2:$BM$2,0)),"")</f>
        <v/>
      </c>
      <c r="AX32" t="str">
        <f>IFERROR(INDEX(Overview!$A$2:$BM$32,MATCH($A32,Overview!$A$2:$A$32,0),MATCH(AX$2,Overview!$A$2:$BM$2,0)),"")</f>
        <v/>
      </c>
      <c r="AY32" t="str">
        <f>IFERROR(INDEX(Overview!$A$2:$BM$32,MATCH($A32,Overview!$A$2:$A$32,0),MATCH(AY$2,Overview!$A$2:$BM$2,0)),"")</f>
        <v/>
      </c>
      <c r="AZ32" t="str">
        <f>IFERROR(INDEX(Overview!$A$2:$BM$32,MATCH($A32,Overview!$A$2:$A$32,0),MATCH(AZ$2,Overview!$A$2:$BM$2,0)),"")</f>
        <v/>
      </c>
      <c r="BA32" s="79" t="str">
        <f>IFERROR(INDEX(Overview!$A$2:$BM$32,MATCH($A32,Overview!$A$2:$A$32,0),MATCH(BA$2,Overview!$A$2:$BM$2,0)),"")</f>
        <v/>
      </c>
      <c r="BB32" s="79" t="str">
        <f>IFERROR(INDEX(Overview!$A$2:$BM$32,MATCH($A32,Overview!$A$2:$A$32,0),MATCH(BB$2,Overview!$A$2:$BM$2,0)),"")</f>
        <v/>
      </c>
      <c r="BC32" s="79" t="str">
        <f>IFERROR(INDEX(Overview!$A$2:$BM$32,MATCH($A32,Overview!$A$2:$A$32,0),MATCH(BC$2,Overview!$A$2:$BM$2,0)),"")</f>
        <v/>
      </c>
      <c r="BD32" s="79" t="str">
        <f>IFERROR(INDEX(Overview!$A$2:$BM$32,MATCH($A32,Overview!$A$2:$A$32,0),MATCH(BD$2,Overview!$A$2:$BM$2,0)),"")</f>
        <v/>
      </c>
      <c r="BE32" s="79" t="str">
        <f>IFERROR(INDEX(Overview!$A$2:$BM$32,MATCH($A32,Overview!$A$2:$A$32,0),MATCH(BE$2,Overview!$A$2:$BM$2,0)),"")</f>
        <v/>
      </c>
      <c r="BF32" s="79" t="str">
        <f>IFERROR(INDEX(Overview!$A$2:$BM$32,MATCH($A32,Overview!$A$2:$A$32,0),MATCH(BF$2,Overview!$A$2:$BM$2,0)),"")</f>
        <v/>
      </c>
      <c r="BG32" s="79" t="str">
        <f>IFERROR(INDEX(Overview!$A$2:$BM$32,MATCH($A32,Overview!$A$2:$A$32,0),MATCH(BG$2,Overview!$A$2:$BM$2,0)),"")</f>
        <v/>
      </c>
      <c r="BH32" s="79" t="str">
        <f>IFERROR(INDEX(Overview!$A$2:$BM$32,MATCH($A32,Overview!$A$2:$A$32,0),MATCH(BH$2,Overview!$A$2:$BM$2,0)),"")</f>
        <v/>
      </c>
      <c r="BI32" s="79" t="str">
        <f>IFERROR(INDEX(Overview!$A$2:$BM$32,MATCH($A32,Overview!$A$2:$A$32,0),MATCH(BI$2,Overview!$A$2:$BM$2,0)),"")</f>
        <v/>
      </c>
      <c r="BJ32" s="79" t="str">
        <f>IFERROR(INDEX(Overview!$A$2:$BM$32,MATCH($A32,Overview!$A$2:$A$32,0),MATCH(BJ$2,Overview!$A$2:$BM$2,0)),"")</f>
        <v/>
      </c>
      <c r="BK32" s="79" t="str">
        <f>IFERROR(INDEX(Overview!$A$2:$BM$32,MATCH($A32,Overview!$A$2:$A$32,0),MATCH(BK$2,Overview!$A$2:$BM$2,0)),"")</f>
        <v/>
      </c>
      <c r="BL32" s="80" t="str">
        <f>IFERROR(INDEX(Overview!$A$2:$BM$32,MATCH($A32,Overview!$A$2:$A$32,0),MATCH(BL$2,Overview!$A$2:$BM$2,0)+11),"")</f>
        <v/>
      </c>
      <c r="BM32" s="80" t="str">
        <f>IFERROR(INDEX(Overview!$A$2:$BM$32,MATCH($A32,Overview!$A$2:$A$32,0),MATCH(BM$2,Overview!$A$2:$BM$2,0)+11),"")</f>
        <v/>
      </c>
      <c r="BN32" s="80" t="str">
        <f>IFERROR(INDEX(Overview!$A$2:$BM$32,MATCH($A32,Overview!$A$2:$A$32,0),MATCH(BN$2,Overview!$A$2:$BM$2,0)+11),"")</f>
        <v/>
      </c>
      <c r="BO32" s="80" t="str">
        <f>IFERROR(INDEX(Overview!$A$2:$BM$32,MATCH($A32,Overview!$A$2:$A$32,0),MATCH(BO$2,Overview!$A$2:$BM$2,0)+11),"")</f>
        <v/>
      </c>
      <c r="BP32" s="80" t="str">
        <f>IFERROR(INDEX(Overview!$A$2:$BM$32,MATCH($A32,Overview!$A$2:$A$32,0),MATCH(BP$2,Overview!$A$2:$BM$2,0)+11),"")</f>
        <v/>
      </c>
      <c r="BQ32" s="80" t="str">
        <f>IFERROR(INDEX(Overview!$A$2:$BM$32,MATCH($A32,Overview!$A$2:$A$32,0),MATCH(BQ$2,Overview!$A$2:$BM$2,0)+11),"")</f>
        <v/>
      </c>
      <c r="BR32" s="80" t="str">
        <f>IFERROR(INDEX(Overview!$A$2:$BM$32,MATCH($A32,Overview!$A$2:$A$32,0),MATCH(BR$2,Overview!$A$2:$BM$2,0)+11),"")</f>
        <v/>
      </c>
      <c r="BS32" s="80" t="str">
        <f>IFERROR(INDEX(Overview!$A$2:$BM$32,MATCH($A32,Overview!$A$2:$A$32,0),MATCH(BS$2,Overview!$A$2:$BM$2,0)+11),"")</f>
        <v/>
      </c>
      <c r="BT32" s="80" t="str">
        <f>IFERROR(INDEX(Overview!$A$2:$BM$32,MATCH($A32,Overview!$A$2:$A$32,0),MATCH(BT$2,Overview!$A$2:$BM$2,0)+11),"")</f>
        <v/>
      </c>
      <c r="BU32" s="80" t="str">
        <f>IFERROR(INDEX(Overview!$A$2:$BM$32,MATCH($A32,Overview!$A$2:$A$32,0),MATCH(BU$2,Overview!$A$2:$BM$2,0)+11),"")</f>
        <v/>
      </c>
      <c r="BV32" s="80" t="str">
        <f>IFERROR(INDEX(Overview!$A$2:$BM$32,MATCH($A32,Overview!$A$2:$A$32,0),MATCH(BV$2,Overview!$A$2:$BM$2,0)+11),"")</f>
        <v/>
      </c>
      <c r="BW32" s="82" t="str">
        <f t="shared" si="16"/>
        <v/>
      </c>
      <c r="BX32" s="82" t="str">
        <f t="shared" si="17"/>
        <v/>
      </c>
      <c r="BY32" s="82" t="str">
        <f t="shared" si="18"/>
        <v/>
      </c>
      <c r="BZ32" s="82" t="str">
        <f t="shared" si="19"/>
        <v/>
      </c>
      <c r="CA32" s="82" t="str">
        <f t="shared" si="20"/>
        <v/>
      </c>
      <c r="CB32" s="82" t="str">
        <f t="shared" si="21"/>
        <v/>
      </c>
      <c r="CC32" s="82" t="str">
        <f t="shared" si="22"/>
        <v/>
      </c>
      <c r="CD32" s="82" t="str">
        <f t="shared" si="23"/>
        <v/>
      </c>
      <c r="CE32" s="82" t="str">
        <f t="shared" si="24"/>
        <v/>
      </c>
      <c r="CF32" s="82" t="str">
        <f t="shared" si="25"/>
        <v/>
      </c>
      <c r="CG32" s="82" t="str">
        <f t="shared" si="26"/>
        <v/>
      </c>
      <c r="CH32" s="83" t="str">
        <f t="shared" si="38"/>
        <v/>
      </c>
      <c r="CI32" s="83" t="str">
        <f t="shared" si="39"/>
        <v/>
      </c>
      <c r="CJ32" s="83" t="str">
        <f t="shared" si="40"/>
        <v/>
      </c>
      <c r="CK32" s="83" t="str">
        <f t="shared" si="41"/>
        <v/>
      </c>
      <c r="CL32" s="83" t="str">
        <f t="shared" si="42"/>
        <v/>
      </c>
      <c r="CM32" s="83" t="str">
        <f t="shared" si="43"/>
        <v/>
      </c>
      <c r="CN32" s="83" t="str">
        <f t="shared" si="44"/>
        <v/>
      </c>
      <c r="CO32" s="83" t="str">
        <f t="shared" si="45"/>
        <v/>
      </c>
      <c r="CP32" s="83" t="str">
        <f t="shared" si="46"/>
        <v/>
      </c>
      <c r="CQ32" s="83" t="str">
        <f t="shared" si="47"/>
        <v/>
      </c>
      <c r="CR32" s="83" t="str">
        <f t="shared" si="48"/>
        <v/>
      </c>
      <c r="CV32">
        <f>Overview!BO31</f>
        <v>9.9922070915131531</v>
      </c>
      <c r="CW32">
        <f>Overview!BP31</f>
        <v>0.52886290848685025</v>
      </c>
      <c r="CX32" t="e">
        <f>Overview!BQ31</f>
        <v>#N/A</v>
      </c>
      <c r="CY32" t="e">
        <f>Overview!BR31</f>
        <v>#N/A</v>
      </c>
      <c r="CZ32" t="e">
        <f>Overview!BS31</f>
        <v>#N/A</v>
      </c>
      <c r="DA32" t="e">
        <f>Overview!BT31</f>
        <v>#N/A</v>
      </c>
      <c r="DB32" t="e">
        <f>Overview!BU31</f>
        <v>#N/A</v>
      </c>
      <c r="DC32" t="e">
        <f>Overview!BV31</f>
        <v>#N/A</v>
      </c>
      <c r="DD32" t="e">
        <f>Overview!BW31</f>
        <v>#N/A</v>
      </c>
      <c r="DE32" t="e">
        <f>Overview!BX31</f>
        <v>#N/A</v>
      </c>
      <c r="DF32" t="e">
        <f>Overview!BY31</f>
        <v>#N/A</v>
      </c>
      <c r="DG32" t="e">
        <f>Overview!BZ31</f>
        <v>#N/A</v>
      </c>
      <c r="DM32">
        <f t="shared" si="28"/>
        <v>0</v>
      </c>
      <c r="DN32">
        <f t="shared" si="29"/>
        <v>0</v>
      </c>
      <c r="DP32">
        <f t="shared" ca="1" si="49"/>
        <v>1</v>
      </c>
      <c r="DQ32" t="str">
        <f t="shared" ca="1" si="30"/>
        <v/>
      </c>
      <c r="DR32" t="str">
        <f t="shared" ca="1" si="50"/>
        <v/>
      </c>
      <c r="DS32" t="str">
        <f t="shared" ca="1" si="31"/>
        <v/>
      </c>
      <c r="DT32" t="str">
        <f t="shared" ca="1" si="51"/>
        <v/>
      </c>
      <c r="DU32">
        <f t="shared" ca="1" si="52"/>
        <v>1</v>
      </c>
      <c r="DV32" t="str">
        <f t="shared" si="32"/>
        <v/>
      </c>
      <c r="DW32" t="str">
        <f t="shared" si="53"/>
        <v/>
      </c>
      <c r="DX32" t="str">
        <f t="shared" si="64"/>
        <v/>
      </c>
      <c r="DZ32" t="str">
        <f t="shared" ca="1" si="54"/>
        <v/>
      </c>
      <c r="EA32" t="str">
        <f t="shared" ca="1" si="55"/>
        <v/>
      </c>
      <c r="EB32" s="84" t="str">
        <f t="shared" ca="1" si="56"/>
        <v/>
      </c>
      <c r="EC32" s="1" t="str">
        <f t="shared" ca="1" si="77"/>
        <v/>
      </c>
      <c r="ED32" t="str">
        <f t="shared" ca="1" si="57"/>
        <v/>
      </c>
      <c r="EE32" t="str">
        <f t="shared" ca="1" si="58"/>
        <v/>
      </c>
      <c r="EF32" t="str">
        <f t="shared" ca="1" si="59"/>
        <v/>
      </c>
      <c r="EJ32" t="str">
        <f ca="1">'538'!Q37</f>
        <v/>
      </c>
      <c r="EK32" t="str">
        <f ca="1">'538'!T37</f>
        <v/>
      </c>
    </row>
    <row r="33" spans="1:141" x14ac:dyDescent="0.25">
      <c r="A33" s="28" t="str">
        <f>IFERROR(INDEX(Overview!$A$3:$B$32,MATCH(Bet!$C33,Overview!$B$3:$B$32,0),1),"X")</f>
        <v>X</v>
      </c>
      <c r="B33" s="28" t="str">
        <f>IF(ISBLANK(C33),"",IFERROR(INDEX(Pitchers[],MATCH(F33,Pitchers[Player],0),MATCH(G$2,Pitchers[#Headers],0)),"X"))</f>
        <v/>
      </c>
      <c r="C33" s="2"/>
      <c r="D33" s="3"/>
      <c r="E33" s="95"/>
      <c r="F33" s="50"/>
      <c r="G33" s="48">
        <f>IFERROR(INDEX(Pitchers[],MATCH(Bet!F33,Pitchers[Player],0),MATCH(G$2,Pitchers[#Headers],0)),PlayerPitching!$AD$12)</f>
        <v>-0.13933069723404246</v>
      </c>
      <c r="H33" s="48" t="str">
        <f>IF(ISNUMBER(CODE(C33)),INDEX(Scores!$P$2:$T$33,MATCH($C33,Scores!$R$2:$R$33,0),4),"")</f>
        <v/>
      </c>
      <c r="I33" s="48" t="str">
        <f>IF(ISNUMBER(CODE(C33)),IF(INDEX(Scores!$P$2:$T$33,MATCH($C33,Scores!$R$2:$R$33,0),5)=0,1,INDEX(Scores!$P$2:$T$33,MATCH($C33,Scores!$R$2:$R$33,0),5)),"")</f>
        <v/>
      </c>
      <c r="J33" s="48">
        <f t="shared" si="90"/>
        <v>-1.9641098805067554</v>
      </c>
      <c r="K33" s="49">
        <f t="shared" si="2"/>
        <v>-9.4751509617551655</v>
      </c>
      <c r="L33" s="49">
        <f t="shared" si="79"/>
        <v>16.909645863110409</v>
      </c>
      <c r="M33" s="49">
        <f t="shared" si="80"/>
        <v>10.056673523576878</v>
      </c>
      <c r="N33" s="49">
        <f t="shared" si="81"/>
        <v>9.3029121378439612</v>
      </c>
      <c r="O33" s="49">
        <f t="shared" si="82"/>
        <v>2.0342481123324334</v>
      </c>
      <c r="P33" s="49">
        <f t="shared" si="83"/>
        <v>5.6685801250881971</v>
      </c>
      <c r="Q33" s="49" t="str">
        <f>IFERROR(_xlfn.NORM.INV(INDEX(Scores!$P$2:$U$33,MATCH($C33,Scores!$R$2:$R$33,0),6),H33,I33),"")</f>
        <v/>
      </c>
      <c r="R33" s="49" t="str">
        <f t="shared" ref="R33:R34" si="91">IFERROR(IF(ISODD(ROW()),($P$1*P33+$Q$1*Q33)+G34,($P$1*P33+$Q$1*Q33)+G32),"")</f>
        <v/>
      </c>
      <c r="S33" s="49" t="str">
        <f t="shared" ref="S33:S34" si="92">IFERROR(IF(ISODD(ROW()),_xlfn.NORM.DIST(R33-R34,0,I33+I34,1),_xlfn.NORM.DIST(R33-R32,0,I32+I33,1)),"")</f>
        <v/>
      </c>
      <c r="T33" s="49" t="str">
        <f t="shared" ref="T33:T34" si="93">IFERROR(IF(ISODD(ROW()),_xlfn.NORM.DIST(U33,E33,I33+I34,1),1-T32),"")</f>
        <v/>
      </c>
      <c r="U33" s="95" t="str">
        <f t="shared" si="78"/>
        <v/>
      </c>
      <c r="V33" s="67" t="str">
        <f t="shared" si="11"/>
        <v/>
      </c>
      <c r="W33" s="64" t="str">
        <f t="shared" si="12"/>
        <v/>
      </c>
      <c r="X33" s="50" t="str">
        <f t="shared" si="13"/>
        <v/>
      </c>
      <c r="Y33" s="48" t="str">
        <f t="shared" si="35"/>
        <v/>
      </c>
      <c r="Z33" s="48" t="str">
        <f ca="1">IFERROR(INDEX('538'!$Q$9:$U$190,MATCH(Bet!$C33,'538'!$Q$9:$Q$190,0),5),"")</f>
        <v/>
      </c>
      <c r="AA33" t="str">
        <f t="shared" si="36"/>
        <v/>
      </c>
      <c r="AB33">
        <f t="shared" si="14"/>
        <v>0</v>
      </c>
      <c r="AC33" t="str">
        <f t="shared" ca="1" si="37"/>
        <v/>
      </c>
      <c r="AD33" t="str">
        <f t="shared" si="15"/>
        <v/>
      </c>
      <c r="AE33" t="str">
        <f>IFERROR(INDEX(Overview!$A$2:$BF$32,MATCH($A33,Overview!$A$2:$A$32,0),MATCH(AE$2,Overview!$A$2:$BF$2,0)),"")</f>
        <v/>
      </c>
      <c r="AF33" t="str">
        <f>IFERROR(INDEX(Overview!$A$2:$BF$32,MATCH($A33,Overview!$A$2:$A$32,0),MATCH(AF$2,Overview!$A$2:$BF$2,0)),"")</f>
        <v/>
      </c>
      <c r="AG33" t="str">
        <f>IFERROR(INDEX(Overview!$A$2:$BF$32,MATCH($A33,Overview!$A$2:$A$32,0),MATCH(AG$2,Overview!$A$2:$BF$2,0)),"")</f>
        <v/>
      </c>
      <c r="AH33" t="str">
        <f>IFERROR(INDEX(Overview!$A$2:$BF$32,MATCH($A33,Overview!$A$2:$A$32,0),MATCH(AH$2,Overview!$A$2:$BF$2,0)),"")</f>
        <v/>
      </c>
      <c r="AI33" t="str">
        <f>IFERROR(INDEX(Overview!$A$2:$BF$32,MATCH($A33,Overview!$A$2:$A$32,0),MATCH(AI$2,Overview!$A$2:$BF$2,0)),"")</f>
        <v/>
      </c>
      <c r="AJ33" t="str">
        <f>IFERROR(INDEX(Overview!$A$2:$BF$32,MATCH($A33,Overview!$A$2:$A$32,0),MATCH(AJ$2,Overview!$A$2:$BF$2,0)),"")</f>
        <v/>
      </c>
      <c r="AK33" t="str">
        <f>IFERROR(INDEX(Overview!$A$2:$BF$32,MATCH($A33,Overview!$A$2:$A$32,0),MATCH(AK$2,Overview!$A$2:$BF$2,0)),"")</f>
        <v/>
      </c>
      <c r="AL33" t="str">
        <f>IFERROR(INDEX(Overview!$A$2:$BF$32,MATCH($A33,Overview!$A$2:$A$32,0),MATCH(AL$2,Overview!$A$2:$BF$2,0)),"")</f>
        <v/>
      </c>
      <c r="AM33" t="str">
        <f>IFERROR(INDEX(Overview!$A$2:$BF$32,MATCH($A33,Overview!$A$2:$A$32,0),MATCH(AM$2,Overview!$A$2:$BF$2,0)),"")</f>
        <v/>
      </c>
      <c r="AN33" t="str">
        <f>IFERROR(INDEX(Overview!$A$2:$BF$32,MATCH($A33,Overview!$A$2:$A$32,0),MATCH(AN$2,Overview!$A$2:$BF$2,0)),"")</f>
        <v/>
      </c>
      <c r="AO33" t="str">
        <f>IFERROR(INDEX(Overview!$A$2:$BF$32,MATCH($A33,Overview!$A$2:$A$32,0),MATCH(AO$2,Overview!$A$2:$BF$2,0)),"")</f>
        <v/>
      </c>
      <c r="AP33" t="str">
        <f>IFERROR(INDEX(Overview!$A$2:$BM$32,MATCH($A33,Overview!$A$2:$A$32,0),MATCH(AP$2,Overview!$A$2:$BM$2,0)),"")</f>
        <v/>
      </c>
      <c r="AQ33" t="str">
        <f>IFERROR(INDEX(Overview!$A$2:$BM$32,MATCH($A33,Overview!$A$2:$A$32,0),MATCH(AQ$2,Overview!$A$2:$BM$2,0)),"")</f>
        <v/>
      </c>
      <c r="AR33" t="str">
        <f>IFERROR(INDEX(Overview!$A$2:$BM$32,MATCH($A33,Overview!$A$2:$A$32,0),MATCH(AR$2,Overview!$A$2:$BM$2,0)),"")</f>
        <v/>
      </c>
      <c r="AS33" t="str">
        <f>IFERROR(INDEX(Overview!$A$2:$BM$32,MATCH($A33,Overview!$A$2:$A$32,0),MATCH(AS$2,Overview!$A$2:$BM$2,0)),"")</f>
        <v/>
      </c>
      <c r="AT33" t="str">
        <f>IFERROR(INDEX(Overview!$A$2:$BM$32,MATCH($A33,Overview!$A$2:$A$32,0),MATCH(AT$2,Overview!$A$2:$BM$2,0)),"")</f>
        <v/>
      </c>
      <c r="AU33" t="str">
        <f>IFERROR(INDEX(Overview!$A$2:$BM$32,MATCH($A33,Overview!$A$2:$A$32,0),MATCH(AU$2,Overview!$A$2:$BM$2,0)),"")</f>
        <v/>
      </c>
      <c r="AV33" t="str">
        <f>IFERROR(INDEX(Overview!$A$2:$BM$32,MATCH($A33,Overview!$A$2:$A$32,0),MATCH(AV$2,Overview!$A$2:$BM$2,0)),"")</f>
        <v/>
      </c>
      <c r="AW33" t="str">
        <f>IFERROR(INDEX(Overview!$A$2:$BM$32,MATCH($A33,Overview!$A$2:$A$32,0),MATCH(AW$2,Overview!$A$2:$BM$2,0)),"")</f>
        <v/>
      </c>
      <c r="AX33" t="str">
        <f>IFERROR(INDEX(Overview!$A$2:$BM$32,MATCH($A33,Overview!$A$2:$A$32,0),MATCH(AX$2,Overview!$A$2:$BM$2,0)),"")</f>
        <v/>
      </c>
      <c r="AY33" t="str">
        <f>IFERROR(INDEX(Overview!$A$2:$BM$32,MATCH($A33,Overview!$A$2:$A$32,0),MATCH(AY$2,Overview!$A$2:$BM$2,0)),"")</f>
        <v/>
      </c>
      <c r="AZ33" t="str">
        <f>IFERROR(INDEX(Overview!$A$2:$BM$32,MATCH($A33,Overview!$A$2:$A$32,0),MATCH(AZ$2,Overview!$A$2:$BM$2,0)),"")</f>
        <v/>
      </c>
      <c r="BA33" s="79" t="str">
        <f>IFERROR(INDEX(Overview!$A$2:$BM$32,MATCH($A33,Overview!$A$2:$A$32,0),MATCH(BA$2,Overview!$A$2:$BM$2,0)),"")</f>
        <v/>
      </c>
      <c r="BB33" s="79" t="str">
        <f>IFERROR(INDEX(Overview!$A$2:$BM$32,MATCH($A33,Overview!$A$2:$A$32,0),MATCH(BB$2,Overview!$A$2:$BM$2,0)),"")</f>
        <v/>
      </c>
      <c r="BC33" s="79" t="str">
        <f>IFERROR(INDEX(Overview!$A$2:$BM$32,MATCH($A33,Overview!$A$2:$A$32,0),MATCH(BC$2,Overview!$A$2:$BM$2,0)),"")</f>
        <v/>
      </c>
      <c r="BD33" s="79" t="str">
        <f>IFERROR(INDEX(Overview!$A$2:$BM$32,MATCH($A33,Overview!$A$2:$A$32,0),MATCH(BD$2,Overview!$A$2:$BM$2,0)),"")</f>
        <v/>
      </c>
      <c r="BE33" s="79" t="str">
        <f>IFERROR(INDEX(Overview!$A$2:$BM$32,MATCH($A33,Overview!$A$2:$A$32,0),MATCH(BE$2,Overview!$A$2:$BM$2,0)),"")</f>
        <v/>
      </c>
      <c r="BF33" s="79" t="str">
        <f>IFERROR(INDEX(Overview!$A$2:$BM$32,MATCH($A33,Overview!$A$2:$A$32,0),MATCH(BF$2,Overview!$A$2:$BM$2,0)),"")</f>
        <v/>
      </c>
      <c r="BG33" s="79" t="str">
        <f>IFERROR(INDEX(Overview!$A$2:$BM$32,MATCH($A33,Overview!$A$2:$A$32,0),MATCH(BG$2,Overview!$A$2:$BM$2,0)),"")</f>
        <v/>
      </c>
      <c r="BH33" s="79" t="str">
        <f>IFERROR(INDEX(Overview!$A$2:$BM$32,MATCH($A33,Overview!$A$2:$A$32,0),MATCH(BH$2,Overview!$A$2:$BM$2,0)),"")</f>
        <v/>
      </c>
      <c r="BI33" s="79" t="str">
        <f>IFERROR(INDEX(Overview!$A$2:$BM$32,MATCH($A33,Overview!$A$2:$A$32,0),MATCH(BI$2,Overview!$A$2:$BM$2,0)),"")</f>
        <v/>
      </c>
      <c r="BJ33" s="79" t="str">
        <f>IFERROR(INDEX(Overview!$A$2:$BM$32,MATCH($A33,Overview!$A$2:$A$32,0),MATCH(BJ$2,Overview!$A$2:$BM$2,0)),"")</f>
        <v/>
      </c>
      <c r="BK33" s="79" t="str">
        <f>IFERROR(INDEX(Overview!$A$2:$BM$32,MATCH($A33,Overview!$A$2:$A$32,0),MATCH(BK$2,Overview!$A$2:$BM$2,0)),"")</f>
        <v/>
      </c>
      <c r="BL33" s="80" t="str">
        <f>IFERROR(INDEX(Overview!$A$2:$BM$32,MATCH($A33,Overview!$A$2:$A$32,0),MATCH(BL$2,Overview!$A$2:$BM$2,0)+11),"")</f>
        <v/>
      </c>
      <c r="BM33" s="80" t="str">
        <f>IFERROR(INDEX(Overview!$A$2:$BM$32,MATCH($A33,Overview!$A$2:$A$32,0),MATCH(BM$2,Overview!$A$2:$BM$2,0)+11),"")</f>
        <v/>
      </c>
      <c r="BN33" s="80" t="str">
        <f>IFERROR(INDEX(Overview!$A$2:$BM$32,MATCH($A33,Overview!$A$2:$A$32,0),MATCH(BN$2,Overview!$A$2:$BM$2,0)+11),"")</f>
        <v/>
      </c>
      <c r="BO33" s="80" t="str">
        <f>IFERROR(INDEX(Overview!$A$2:$BM$32,MATCH($A33,Overview!$A$2:$A$32,0),MATCH(BO$2,Overview!$A$2:$BM$2,0)+11),"")</f>
        <v/>
      </c>
      <c r="BP33" s="80" t="str">
        <f>IFERROR(INDEX(Overview!$A$2:$BM$32,MATCH($A33,Overview!$A$2:$A$32,0),MATCH(BP$2,Overview!$A$2:$BM$2,0)+11),"")</f>
        <v/>
      </c>
      <c r="BQ33" s="80" t="str">
        <f>IFERROR(INDEX(Overview!$A$2:$BM$32,MATCH($A33,Overview!$A$2:$A$32,0),MATCH(BQ$2,Overview!$A$2:$BM$2,0)+11),"")</f>
        <v/>
      </c>
      <c r="BR33" s="80" t="str">
        <f>IFERROR(INDEX(Overview!$A$2:$BM$32,MATCH($A33,Overview!$A$2:$A$32,0),MATCH(BR$2,Overview!$A$2:$BM$2,0)+11),"")</f>
        <v/>
      </c>
      <c r="BS33" s="80" t="str">
        <f>IFERROR(INDEX(Overview!$A$2:$BM$32,MATCH($A33,Overview!$A$2:$A$32,0),MATCH(BS$2,Overview!$A$2:$BM$2,0)+11),"")</f>
        <v/>
      </c>
      <c r="BT33" s="80" t="str">
        <f>IFERROR(INDEX(Overview!$A$2:$BM$32,MATCH($A33,Overview!$A$2:$A$32,0),MATCH(BT$2,Overview!$A$2:$BM$2,0)+11),"")</f>
        <v/>
      </c>
      <c r="BU33" s="80" t="str">
        <f>IFERROR(INDEX(Overview!$A$2:$BM$32,MATCH($A33,Overview!$A$2:$A$32,0),MATCH(BU$2,Overview!$A$2:$BM$2,0)+11),"")</f>
        <v/>
      </c>
      <c r="BV33" s="80" t="str">
        <f>IFERROR(INDEX(Overview!$A$2:$BM$32,MATCH($A33,Overview!$A$2:$A$32,0),MATCH(BV$2,Overview!$A$2:$BM$2,0)+11),"")</f>
        <v/>
      </c>
      <c r="BW33" s="82" t="str">
        <f t="shared" si="16"/>
        <v/>
      </c>
      <c r="BX33" s="82" t="str">
        <f t="shared" si="17"/>
        <v/>
      </c>
      <c r="BY33" s="82" t="str">
        <f t="shared" si="18"/>
        <v/>
      </c>
      <c r="BZ33" s="82" t="str">
        <f t="shared" si="19"/>
        <v/>
      </c>
      <c r="CA33" s="82" t="str">
        <f t="shared" si="20"/>
        <v/>
      </c>
      <c r="CB33" s="82" t="str">
        <f t="shared" si="21"/>
        <v/>
      </c>
      <c r="CC33" s="82" t="str">
        <f t="shared" si="22"/>
        <v/>
      </c>
      <c r="CD33" s="82" t="str">
        <f t="shared" si="23"/>
        <v/>
      </c>
      <c r="CE33" s="82" t="str">
        <f t="shared" si="24"/>
        <v/>
      </c>
      <c r="CF33" s="82" t="str">
        <f t="shared" si="25"/>
        <v/>
      </c>
      <c r="CG33" s="82" t="str">
        <f t="shared" si="26"/>
        <v/>
      </c>
      <c r="CH33" s="83" t="str">
        <f t="shared" si="38"/>
        <v/>
      </c>
      <c r="CI33" s="83" t="str">
        <f t="shared" si="39"/>
        <v/>
      </c>
      <c r="CJ33" s="83" t="str">
        <f t="shared" si="40"/>
        <v/>
      </c>
      <c r="CK33" s="83" t="str">
        <f t="shared" si="41"/>
        <v/>
      </c>
      <c r="CL33" s="83" t="str">
        <f t="shared" si="42"/>
        <v/>
      </c>
      <c r="CM33" s="83" t="str">
        <f t="shared" si="43"/>
        <v/>
      </c>
      <c r="CN33" s="83" t="str">
        <f t="shared" si="44"/>
        <v/>
      </c>
      <c r="CO33" s="83" t="str">
        <f t="shared" si="45"/>
        <v/>
      </c>
      <c r="CP33" s="83" t="str">
        <f t="shared" si="46"/>
        <v/>
      </c>
      <c r="CQ33" s="83" t="str">
        <f t="shared" si="47"/>
        <v/>
      </c>
      <c r="CR33" s="83" t="str">
        <f t="shared" si="48"/>
        <v/>
      </c>
      <c r="DM33">
        <f t="shared" si="28"/>
        <v>0</v>
      </c>
      <c r="DN33">
        <f t="shared" si="29"/>
        <v>0</v>
      </c>
      <c r="DP33">
        <f t="shared" ca="1" si="49"/>
        <v>1</v>
      </c>
      <c r="DQ33" t="str">
        <f t="shared" ca="1" si="30"/>
        <v/>
      </c>
      <c r="DR33" t="str">
        <f t="shared" ca="1" si="50"/>
        <v/>
      </c>
      <c r="DS33" t="str">
        <f t="shared" ca="1" si="31"/>
        <v/>
      </c>
      <c r="DT33" t="str">
        <f t="shared" ca="1" si="51"/>
        <v/>
      </c>
      <c r="DU33">
        <f t="shared" ca="1" si="52"/>
        <v>1</v>
      </c>
      <c r="DV33" t="str">
        <f t="shared" si="32"/>
        <v/>
      </c>
      <c r="DW33" t="str">
        <f t="shared" si="53"/>
        <v/>
      </c>
      <c r="DX33" t="str">
        <f t="shared" si="64"/>
        <v/>
      </c>
      <c r="DZ33" t="str">
        <f t="shared" ca="1" si="54"/>
        <v/>
      </c>
      <c r="EA33" t="str">
        <f t="shared" ca="1" si="55"/>
        <v/>
      </c>
      <c r="EB33" s="84" t="str">
        <f t="shared" ca="1" si="56"/>
        <v/>
      </c>
      <c r="EC33" s="1" t="str">
        <f t="shared" ca="1" si="77"/>
        <v/>
      </c>
      <c r="ED33" t="str">
        <f t="shared" ca="1" si="57"/>
        <v/>
      </c>
      <c r="EE33" t="str">
        <f t="shared" ca="1" si="58"/>
        <v/>
      </c>
      <c r="EF33" t="str">
        <f t="shared" ca="1" si="59"/>
        <v/>
      </c>
      <c r="EJ33" t="str">
        <f ca="1">'538'!Q38</f>
        <v/>
      </c>
      <c r="EK33" t="str">
        <f ca="1">'538'!T38</f>
        <v/>
      </c>
    </row>
    <row r="34" spans="1:141" ht="15.75" thickBot="1" x14ac:dyDescent="0.3">
      <c r="A34" s="28" t="str">
        <f>IFERROR(INDEX(Overview!$A$3:$B$32,MATCH(Bet!$C34,Overview!$B$3:$B$32,0),1),"X")</f>
        <v>X</v>
      </c>
      <c r="B34" s="28" t="str">
        <f>IF(ISBLANK(C34),"",IFERROR(INDEX(Pitchers[],MATCH(F34,Pitchers[Player],0),MATCH(G$2,Pitchers[#Headers],0)),"X"))</f>
        <v/>
      </c>
      <c r="C34" s="4"/>
      <c r="D34" s="5"/>
      <c r="E34" s="96"/>
      <c r="F34" s="51"/>
      <c r="G34" s="48">
        <f>IFERROR(INDEX(Pitchers[],MATCH(Bet!F34,Pitchers[Player],0),MATCH(G$2,Pitchers[#Headers],0)),PlayerPitching!$AD$12)</f>
        <v>-0.13933069723404246</v>
      </c>
      <c r="H34" s="48" t="str">
        <f>IF(ISNUMBER(CODE(C34)),INDEX(Scores!$P$2:$T$33,MATCH($C34,Scores!$R$2:$R$33,0),4),"")</f>
        <v/>
      </c>
      <c r="I34" s="48" t="str">
        <f>IF(ISNUMBER(CODE(C34)),IF(INDEX(Scores!$P$2:$T$33,MATCH($C34,Scores!$R$2:$R$33,0),5)=0,1,INDEX(Scores!$P$2:$T$33,MATCH($C34,Scores!$R$2:$R$33,0),5)),"")</f>
        <v/>
      </c>
      <c r="J34" s="48">
        <f t="shared" si="90"/>
        <v>-1.9641098805067554</v>
      </c>
      <c r="K34" s="49">
        <f t="shared" si="2"/>
        <v>-9.4751509617551655</v>
      </c>
      <c r="L34" s="49">
        <f t="shared" si="79"/>
        <v>16.909645863110409</v>
      </c>
      <c r="M34" s="49">
        <f t="shared" si="80"/>
        <v>10.056673523576878</v>
      </c>
      <c r="N34" s="49">
        <f t="shared" si="81"/>
        <v>9.3029121378439612</v>
      </c>
      <c r="O34" s="49">
        <f t="shared" si="82"/>
        <v>2.0342481123324334</v>
      </c>
      <c r="P34" s="49">
        <f t="shared" si="83"/>
        <v>5.6685801250881971</v>
      </c>
      <c r="Q34" s="49" t="str">
        <f>IFERROR(_xlfn.NORM.INV(INDEX(Scores!$P$2:$U$33,MATCH($C34,Scores!$R$2:$R$33,0),6),H34,I34),"")</f>
        <v/>
      </c>
      <c r="R34" s="49" t="str">
        <f t="shared" si="91"/>
        <v/>
      </c>
      <c r="S34" s="49" t="str">
        <f t="shared" si="92"/>
        <v/>
      </c>
      <c r="T34" s="49" t="str">
        <f t="shared" si="93"/>
        <v/>
      </c>
      <c r="U34" s="96"/>
      <c r="V34" s="68" t="str">
        <f t="shared" si="11"/>
        <v/>
      </c>
      <c r="W34" s="65" t="str">
        <f t="shared" si="12"/>
        <v/>
      </c>
      <c r="X34" s="51" t="str">
        <f t="shared" si="13"/>
        <v/>
      </c>
      <c r="Y34" s="48" t="str">
        <f t="shared" si="35"/>
        <v/>
      </c>
      <c r="Z34" s="48" t="str">
        <f ca="1">IFERROR(INDEX('538'!$Q$9:$U$190,MATCH(Bet!$C34,'538'!$Q$9:$Q$190,0),5),"")</f>
        <v/>
      </c>
      <c r="AA34" t="str">
        <f t="shared" si="36"/>
        <v/>
      </c>
      <c r="AB34">
        <f t="shared" si="14"/>
        <v>0</v>
      </c>
      <c r="AC34" t="str">
        <f t="shared" ca="1" si="37"/>
        <v/>
      </c>
      <c r="AD34" t="str">
        <f t="shared" si="15"/>
        <v/>
      </c>
      <c r="AE34" t="str">
        <f>IFERROR(INDEX(Overview!$A$2:$BF$32,MATCH($A34,Overview!$A$2:$A$32,0),MATCH(AE$2,Overview!$A$2:$BF$2,0)),"")</f>
        <v/>
      </c>
      <c r="AF34" t="str">
        <f>IFERROR(INDEX(Overview!$A$2:$BF$32,MATCH($A34,Overview!$A$2:$A$32,0),MATCH(AF$2,Overview!$A$2:$BF$2,0)),"")</f>
        <v/>
      </c>
      <c r="AG34" t="str">
        <f>IFERROR(INDEX(Overview!$A$2:$BF$32,MATCH($A34,Overview!$A$2:$A$32,0),MATCH(AG$2,Overview!$A$2:$BF$2,0)),"")</f>
        <v/>
      </c>
      <c r="AH34" t="str">
        <f>IFERROR(INDEX(Overview!$A$2:$BF$32,MATCH($A34,Overview!$A$2:$A$32,0),MATCH(AH$2,Overview!$A$2:$BF$2,0)),"")</f>
        <v/>
      </c>
      <c r="AI34" t="str">
        <f>IFERROR(INDEX(Overview!$A$2:$BF$32,MATCH($A34,Overview!$A$2:$A$32,0),MATCH(AI$2,Overview!$A$2:$BF$2,0)),"")</f>
        <v/>
      </c>
      <c r="AJ34" t="str">
        <f>IFERROR(INDEX(Overview!$A$2:$BF$32,MATCH($A34,Overview!$A$2:$A$32,0),MATCH(AJ$2,Overview!$A$2:$BF$2,0)),"")</f>
        <v/>
      </c>
      <c r="AK34" t="str">
        <f>IFERROR(INDEX(Overview!$A$2:$BF$32,MATCH($A34,Overview!$A$2:$A$32,0),MATCH(AK$2,Overview!$A$2:$BF$2,0)),"")</f>
        <v/>
      </c>
      <c r="AL34" t="str">
        <f>IFERROR(INDEX(Overview!$A$2:$BF$32,MATCH($A34,Overview!$A$2:$A$32,0),MATCH(AL$2,Overview!$A$2:$BF$2,0)),"")</f>
        <v/>
      </c>
      <c r="AM34" t="str">
        <f>IFERROR(INDEX(Overview!$A$2:$BF$32,MATCH($A34,Overview!$A$2:$A$32,0),MATCH(AM$2,Overview!$A$2:$BF$2,0)),"")</f>
        <v/>
      </c>
      <c r="AN34" t="str">
        <f>IFERROR(INDEX(Overview!$A$2:$BF$32,MATCH($A34,Overview!$A$2:$A$32,0),MATCH(AN$2,Overview!$A$2:$BF$2,0)),"")</f>
        <v/>
      </c>
      <c r="AO34" t="str">
        <f>IFERROR(INDEX(Overview!$A$2:$BF$32,MATCH($A34,Overview!$A$2:$A$32,0),MATCH(AO$2,Overview!$A$2:$BF$2,0)),"")</f>
        <v/>
      </c>
      <c r="AP34" t="str">
        <f>IFERROR(INDEX(Overview!$A$2:$BM$32,MATCH($A34,Overview!$A$2:$A$32,0),MATCH(AP$2,Overview!$A$2:$BM$2,0)),"")</f>
        <v/>
      </c>
      <c r="AQ34" t="str">
        <f>IFERROR(INDEX(Overview!$A$2:$BM$32,MATCH($A34,Overview!$A$2:$A$32,0),MATCH(AQ$2,Overview!$A$2:$BM$2,0)),"")</f>
        <v/>
      </c>
      <c r="AR34" t="str">
        <f>IFERROR(INDEX(Overview!$A$2:$BM$32,MATCH($A34,Overview!$A$2:$A$32,0),MATCH(AR$2,Overview!$A$2:$BM$2,0)),"")</f>
        <v/>
      </c>
      <c r="AS34" t="str">
        <f>IFERROR(INDEX(Overview!$A$2:$BM$32,MATCH($A34,Overview!$A$2:$A$32,0),MATCH(AS$2,Overview!$A$2:$BM$2,0)),"")</f>
        <v/>
      </c>
      <c r="AT34" t="str">
        <f>IFERROR(INDEX(Overview!$A$2:$BM$32,MATCH($A34,Overview!$A$2:$A$32,0),MATCH(AT$2,Overview!$A$2:$BM$2,0)),"")</f>
        <v/>
      </c>
      <c r="AU34" t="str">
        <f>IFERROR(INDEX(Overview!$A$2:$BM$32,MATCH($A34,Overview!$A$2:$A$32,0),MATCH(AU$2,Overview!$A$2:$BM$2,0)),"")</f>
        <v/>
      </c>
      <c r="AV34" t="str">
        <f>IFERROR(INDEX(Overview!$A$2:$BM$32,MATCH($A34,Overview!$A$2:$A$32,0),MATCH(AV$2,Overview!$A$2:$BM$2,0)),"")</f>
        <v/>
      </c>
      <c r="AW34" t="str">
        <f>IFERROR(INDEX(Overview!$A$2:$BM$32,MATCH($A34,Overview!$A$2:$A$32,0),MATCH(AW$2,Overview!$A$2:$BM$2,0)),"")</f>
        <v/>
      </c>
      <c r="AX34" t="str">
        <f>IFERROR(INDEX(Overview!$A$2:$BM$32,MATCH($A34,Overview!$A$2:$A$32,0),MATCH(AX$2,Overview!$A$2:$BM$2,0)),"")</f>
        <v/>
      </c>
      <c r="AY34" t="str">
        <f>IFERROR(INDEX(Overview!$A$2:$BM$32,MATCH($A34,Overview!$A$2:$A$32,0),MATCH(AY$2,Overview!$A$2:$BM$2,0)),"")</f>
        <v/>
      </c>
      <c r="AZ34" t="str">
        <f>IFERROR(INDEX(Overview!$A$2:$BM$32,MATCH($A34,Overview!$A$2:$A$32,0),MATCH(AZ$2,Overview!$A$2:$BM$2,0)),"")</f>
        <v/>
      </c>
      <c r="BA34" s="79" t="str">
        <f>IFERROR(INDEX(Overview!$A$2:$BM$32,MATCH($A34,Overview!$A$2:$A$32,0),MATCH(BA$2,Overview!$A$2:$BM$2,0)),"")</f>
        <v/>
      </c>
      <c r="BB34" s="79" t="str">
        <f>IFERROR(INDEX(Overview!$A$2:$BM$32,MATCH($A34,Overview!$A$2:$A$32,0),MATCH(BB$2,Overview!$A$2:$BM$2,0)),"")</f>
        <v/>
      </c>
      <c r="BC34" s="79" t="str">
        <f>IFERROR(INDEX(Overview!$A$2:$BM$32,MATCH($A34,Overview!$A$2:$A$32,0),MATCH(BC$2,Overview!$A$2:$BM$2,0)),"")</f>
        <v/>
      </c>
      <c r="BD34" s="79" t="str">
        <f>IFERROR(INDEX(Overview!$A$2:$BM$32,MATCH($A34,Overview!$A$2:$A$32,0),MATCH(BD$2,Overview!$A$2:$BM$2,0)),"")</f>
        <v/>
      </c>
      <c r="BE34" s="79" t="str">
        <f>IFERROR(INDEX(Overview!$A$2:$BM$32,MATCH($A34,Overview!$A$2:$A$32,0),MATCH(BE$2,Overview!$A$2:$BM$2,0)),"")</f>
        <v/>
      </c>
      <c r="BF34" s="79" t="str">
        <f>IFERROR(INDEX(Overview!$A$2:$BM$32,MATCH($A34,Overview!$A$2:$A$32,0),MATCH(BF$2,Overview!$A$2:$BM$2,0)),"")</f>
        <v/>
      </c>
      <c r="BG34" s="79" t="str">
        <f>IFERROR(INDEX(Overview!$A$2:$BM$32,MATCH($A34,Overview!$A$2:$A$32,0),MATCH(BG$2,Overview!$A$2:$BM$2,0)),"")</f>
        <v/>
      </c>
      <c r="BH34" s="79" t="str">
        <f>IFERROR(INDEX(Overview!$A$2:$BM$32,MATCH($A34,Overview!$A$2:$A$32,0),MATCH(BH$2,Overview!$A$2:$BM$2,0)),"")</f>
        <v/>
      </c>
      <c r="BI34" s="79" t="str">
        <f>IFERROR(INDEX(Overview!$A$2:$BM$32,MATCH($A34,Overview!$A$2:$A$32,0),MATCH(BI$2,Overview!$A$2:$BM$2,0)),"")</f>
        <v/>
      </c>
      <c r="BJ34" s="79" t="str">
        <f>IFERROR(INDEX(Overview!$A$2:$BM$32,MATCH($A34,Overview!$A$2:$A$32,0),MATCH(BJ$2,Overview!$A$2:$BM$2,0)),"")</f>
        <v/>
      </c>
      <c r="BK34" s="79" t="str">
        <f>IFERROR(INDEX(Overview!$A$2:$BM$32,MATCH($A34,Overview!$A$2:$A$32,0),MATCH(BK$2,Overview!$A$2:$BM$2,0)),"")</f>
        <v/>
      </c>
      <c r="BL34" s="80" t="str">
        <f>IFERROR(INDEX(Overview!$A$2:$BM$32,MATCH($A34,Overview!$A$2:$A$32,0),MATCH(BL$2,Overview!$A$2:$BM$2,0)+11),"")</f>
        <v/>
      </c>
      <c r="BM34" s="80" t="str">
        <f>IFERROR(INDEX(Overview!$A$2:$BM$32,MATCH($A34,Overview!$A$2:$A$32,0),MATCH(BM$2,Overview!$A$2:$BM$2,0)+11),"")</f>
        <v/>
      </c>
      <c r="BN34" s="80" t="str">
        <f>IFERROR(INDEX(Overview!$A$2:$BM$32,MATCH($A34,Overview!$A$2:$A$32,0),MATCH(BN$2,Overview!$A$2:$BM$2,0)+11),"")</f>
        <v/>
      </c>
      <c r="BO34" s="80" t="str">
        <f>IFERROR(INDEX(Overview!$A$2:$BM$32,MATCH($A34,Overview!$A$2:$A$32,0),MATCH(BO$2,Overview!$A$2:$BM$2,0)+11),"")</f>
        <v/>
      </c>
      <c r="BP34" s="80" t="str">
        <f>IFERROR(INDEX(Overview!$A$2:$BM$32,MATCH($A34,Overview!$A$2:$A$32,0),MATCH(BP$2,Overview!$A$2:$BM$2,0)+11),"")</f>
        <v/>
      </c>
      <c r="BQ34" s="80" t="str">
        <f>IFERROR(INDEX(Overview!$A$2:$BM$32,MATCH($A34,Overview!$A$2:$A$32,0),MATCH(BQ$2,Overview!$A$2:$BM$2,0)+11),"")</f>
        <v/>
      </c>
      <c r="BR34" s="80" t="str">
        <f>IFERROR(INDEX(Overview!$A$2:$BM$32,MATCH($A34,Overview!$A$2:$A$32,0),MATCH(BR$2,Overview!$A$2:$BM$2,0)+11),"")</f>
        <v/>
      </c>
      <c r="BS34" s="80" t="str">
        <f>IFERROR(INDEX(Overview!$A$2:$BM$32,MATCH($A34,Overview!$A$2:$A$32,0),MATCH(BS$2,Overview!$A$2:$BM$2,0)+11),"")</f>
        <v/>
      </c>
      <c r="BT34" s="80" t="str">
        <f>IFERROR(INDEX(Overview!$A$2:$BM$32,MATCH($A34,Overview!$A$2:$A$32,0),MATCH(BT$2,Overview!$A$2:$BM$2,0)+11),"")</f>
        <v/>
      </c>
      <c r="BU34" s="80" t="str">
        <f>IFERROR(INDEX(Overview!$A$2:$BM$32,MATCH($A34,Overview!$A$2:$A$32,0),MATCH(BU$2,Overview!$A$2:$BM$2,0)+11),"")</f>
        <v/>
      </c>
      <c r="BV34" s="80" t="str">
        <f>IFERROR(INDEX(Overview!$A$2:$BM$32,MATCH($A34,Overview!$A$2:$A$32,0),MATCH(BV$2,Overview!$A$2:$BM$2,0)+11),"")</f>
        <v/>
      </c>
      <c r="BW34" s="82" t="str">
        <f t="shared" si="16"/>
        <v/>
      </c>
      <c r="BX34" s="82" t="str">
        <f t="shared" si="17"/>
        <v/>
      </c>
      <c r="BY34" s="82" t="str">
        <f t="shared" si="18"/>
        <v/>
      </c>
      <c r="BZ34" s="82" t="str">
        <f t="shared" si="19"/>
        <v/>
      </c>
      <c r="CA34" s="82" t="str">
        <f t="shared" si="20"/>
        <v/>
      </c>
      <c r="CB34" s="82" t="str">
        <f t="shared" si="21"/>
        <v/>
      </c>
      <c r="CC34" s="82" t="str">
        <f t="shared" si="22"/>
        <v/>
      </c>
      <c r="CD34" s="82" t="str">
        <f t="shared" si="23"/>
        <v/>
      </c>
      <c r="CE34" s="82" t="str">
        <f t="shared" si="24"/>
        <v/>
      </c>
      <c r="CF34" s="82" t="str">
        <f t="shared" si="25"/>
        <v/>
      </c>
      <c r="CG34" s="82" t="str">
        <f t="shared" si="26"/>
        <v/>
      </c>
      <c r="CH34" s="83" t="str">
        <f t="shared" si="38"/>
        <v/>
      </c>
      <c r="CI34" s="83" t="str">
        <f t="shared" si="39"/>
        <v/>
      </c>
      <c r="CJ34" s="83" t="str">
        <f t="shared" si="40"/>
        <v/>
      </c>
      <c r="CK34" s="83" t="str">
        <f t="shared" si="41"/>
        <v/>
      </c>
      <c r="CL34" s="83" t="str">
        <f t="shared" si="42"/>
        <v/>
      </c>
      <c r="CM34" s="83" t="str">
        <f t="shared" si="43"/>
        <v/>
      </c>
      <c r="CN34" s="83" t="str">
        <f t="shared" si="44"/>
        <v/>
      </c>
      <c r="CO34" s="83" t="str">
        <f t="shared" si="45"/>
        <v/>
      </c>
      <c r="CP34" s="83" t="str">
        <f t="shared" si="46"/>
        <v/>
      </c>
      <c r="CQ34" s="83" t="str">
        <f t="shared" si="47"/>
        <v/>
      </c>
      <c r="CR34" s="83" t="str">
        <f t="shared" si="48"/>
        <v/>
      </c>
      <c r="DM34">
        <f t="shared" si="28"/>
        <v>0</v>
      </c>
      <c r="DN34">
        <f t="shared" si="29"/>
        <v>0</v>
      </c>
      <c r="DP34">
        <f t="shared" ca="1" si="49"/>
        <v>1</v>
      </c>
      <c r="DQ34" t="str">
        <f t="shared" ca="1" si="30"/>
        <v/>
      </c>
      <c r="DR34" t="str">
        <f t="shared" ca="1" si="50"/>
        <v/>
      </c>
      <c r="DS34" t="str">
        <f t="shared" ca="1" si="31"/>
        <v/>
      </c>
      <c r="DT34" t="str">
        <f t="shared" ca="1" si="51"/>
        <v/>
      </c>
      <c r="DU34">
        <f t="shared" ca="1" si="52"/>
        <v>1</v>
      </c>
      <c r="DV34" t="str">
        <f t="shared" si="32"/>
        <v/>
      </c>
      <c r="DW34" t="str">
        <f t="shared" si="53"/>
        <v/>
      </c>
      <c r="DX34" t="str">
        <f t="shared" si="64"/>
        <v/>
      </c>
      <c r="DZ34" t="str">
        <f t="shared" ca="1" si="54"/>
        <v/>
      </c>
      <c r="EA34" t="str">
        <f t="shared" ca="1" si="55"/>
        <v/>
      </c>
      <c r="EB34" s="84" t="str">
        <f t="shared" ca="1" si="56"/>
        <v/>
      </c>
      <c r="EC34" s="1" t="str">
        <f t="shared" ca="1" si="77"/>
        <v/>
      </c>
      <c r="ED34" t="str">
        <f t="shared" ca="1" si="57"/>
        <v/>
      </c>
      <c r="EE34" t="str">
        <f t="shared" ca="1" si="58"/>
        <v/>
      </c>
      <c r="EF34" t="str">
        <f t="shared" ca="1" si="59"/>
        <v/>
      </c>
      <c r="EJ34" t="str">
        <f ca="1">'538'!Q39</f>
        <v/>
      </c>
      <c r="EK34" t="str">
        <f ca="1">'538'!T39</f>
        <v/>
      </c>
    </row>
    <row r="35" spans="1:141" x14ac:dyDescent="0.25">
      <c r="DZ35" t="str">
        <f t="shared" ca="1" si="54"/>
        <v/>
      </c>
      <c r="EA35" t="str">
        <f t="shared" ca="1" si="55"/>
        <v/>
      </c>
      <c r="EB35" s="84" t="str">
        <f t="shared" ca="1" si="56"/>
        <v/>
      </c>
      <c r="EC35" s="1" t="str">
        <f t="shared" ca="1" si="77"/>
        <v/>
      </c>
      <c r="ED35" t="str">
        <f t="shared" ca="1" si="57"/>
        <v/>
      </c>
      <c r="EE35" t="str">
        <f t="shared" ca="1" si="58"/>
        <v/>
      </c>
      <c r="EF35" t="str">
        <f t="shared" ca="1" si="59"/>
        <v/>
      </c>
      <c r="EJ35" t="str">
        <f ca="1">'538'!Q40</f>
        <v/>
      </c>
      <c r="EK35" t="str">
        <f ca="1">'538'!T40</f>
        <v/>
      </c>
    </row>
    <row r="36" spans="1:141" x14ac:dyDescent="0.25">
      <c r="DZ36" t="str">
        <f ca="1">IFERROR(IFERROR(VLOOKUP(ROW()-2,$DP$3:$DT$34,2,0),VLOOKUP(ROW()-2,$DU$3:$DX$34,2,0)),"")</f>
        <v/>
      </c>
      <c r="EA36" t="str">
        <f t="shared" ca="1" si="55"/>
        <v/>
      </c>
      <c r="EB36" s="84" t="str">
        <f t="shared" ca="1" si="56"/>
        <v/>
      </c>
      <c r="EC36" s="1" t="str">
        <f t="shared" ca="1" si="77"/>
        <v/>
      </c>
      <c r="ED36" t="str">
        <f t="shared" ca="1" si="57"/>
        <v/>
      </c>
      <c r="EE36" t="str">
        <f t="shared" ca="1" si="58"/>
        <v/>
      </c>
      <c r="EF36" t="str">
        <f t="shared" ca="1" si="59"/>
        <v/>
      </c>
      <c r="EJ36" t="str">
        <f ca="1">'538'!Q41</f>
        <v/>
      </c>
      <c r="EK36" t="str">
        <f ca="1">'538'!T41</f>
        <v/>
      </c>
    </row>
    <row r="37" spans="1:141" x14ac:dyDescent="0.25">
      <c r="DZ37" t="str">
        <f t="shared" ca="1" si="54"/>
        <v/>
      </c>
      <c r="EA37" t="str">
        <f t="shared" ca="1" si="55"/>
        <v/>
      </c>
      <c r="EB37" s="84" t="str">
        <f t="shared" ca="1" si="56"/>
        <v/>
      </c>
      <c r="EC37" s="1" t="str">
        <f t="shared" ca="1" si="77"/>
        <v/>
      </c>
      <c r="ED37" t="str">
        <f t="shared" ca="1" si="57"/>
        <v/>
      </c>
      <c r="EE37" t="str">
        <f t="shared" ca="1" si="58"/>
        <v/>
      </c>
      <c r="EF37" t="str">
        <f t="shared" ca="1" si="59"/>
        <v/>
      </c>
    </row>
    <row r="38" spans="1:141" x14ac:dyDescent="0.25">
      <c r="DZ38" t="str">
        <f t="shared" ca="1" si="54"/>
        <v/>
      </c>
      <c r="EA38" t="str">
        <f t="shared" ca="1" si="55"/>
        <v/>
      </c>
      <c r="EB38" s="84" t="str">
        <f t="shared" ca="1" si="56"/>
        <v/>
      </c>
      <c r="EC38" s="1" t="str">
        <f t="shared" ca="1" si="77"/>
        <v/>
      </c>
      <c r="ED38" t="str">
        <f t="shared" ca="1" si="57"/>
        <v/>
      </c>
      <c r="EE38" t="str">
        <f t="shared" ca="1" si="58"/>
        <v/>
      </c>
      <c r="EF38" t="str">
        <f t="shared" ca="1" si="59"/>
        <v/>
      </c>
    </row>
    <row r="39" spans="1:141" x14ac:dyDescent="0.25">
      <c r="DZ39" t="str">
        <f t="shared" ca="1" si="54"/>
        <v/>
      </c>
      <c r="EA39" t="str">
        <f t="shared" ca="1" si="55"/>
        <v/>
      </c>
      <c r="EB39" s="84" t="str">
        <f t="shared" ca="1" si="56"/>
        <v/>
      </c>
      <c r="EC39" s="1" t="str">
        <f t="shared" ca="1" si="77"/>
        <v/>
      </c>
      <c r="ED39" t="str">
        <f t="shared" ca="1" si="57"/>
        <v/>
      </c>
      <c r="EE39" t="str">
        <f t="shared" ca="1" si="58"/>
        <v/>
      </c>
      <c r="EF39" t="str">
        <f t="shared" ca="1" si="59"/>
        <v/>
      </c>
    </row>
    <row r="40" spans="1:141" x14ac:dyDescent="0.25">
      <c r="DZ40" t="str">
        <f t="shared" ca="1" si="54"/>
        <v/>
      </c>
      <c r="EA40" t="str">
        <f t="shared" ca="1" si="55"/>
        <v/>
      </c>
      <c r="EB40" s="84" t="str">
        <f t="shared" ca="1" si="56"/>
        <v/>
      </c>
      <c r="EC40" s="1" t="str">
        <f t="shared" ca="1" si="77"/>
        <v/>
      </c>
      <c r="ED40" t="str">
        <f t="shared" ca="1" si="57"/>
        <v/>
      </c>
      <c r="EE40" t="str">
        <f t="shared" ca="1" si="58"/>
        <v/>
      </c>
      <c r="EF40" t="str">
        <f t="shared" ca="1" si="59"/>
        <v/>
      </c>
    </row>
    <row r="41" spans="1:141" x14ac:dyDescent="0.25">
      <c r="DZ41" t="str">
        <f t="shared" ca="1" si="54"/>
        <v/>
      </c>
      <c r="EA41" t="str">
        <f t="shared" ca="1" si="55"/>
        <v/>
      </c>
      <c r="EB41" s="84" t="str">
        <f t="shared" ca="1" si="56"/>
        <v/>
      </c>
      <c r="EC41" s="1" t="str">
        <f t="shared" ca="1" si="77"/>
        <v/>
      </c>
      <c r="ED41" t="str">
        <f t="shared" ca="1" si="57"/>
        <v/>
      </c>
      <c r="EE41" t="str">
        <f t="shared" ca="1" si="58"/>
        <v/>
      </c>
      <c r="EF41" t="str">
        <f t="shared" ca="1" si="59"/>
        <v/>
      </c>
    </row>
    <row r="42" spans="1:141" x14ac:dyDescent="0.25">
      <c r="DZ42" t="str">
        <f t="shared" ca="1" si="54"/>
        <v/>
      </c>
      <c r="EA42" t="str">
        <f t="shared" ca="1" si="55"/>
        <v/>
      </c>
      <c r="EB42" s="84" t="str">
        <f t="shared" ca="1" si="56"/>
        <v/>
      </c>
      <c r="EC42" s="1" t="str">
        <f t="shared" ca="1" si="77"/>
        <v/>
      </c>
      <c r="ED42" t="str">
        <f t="shared" ca="1" si="57"/>
        <v/>
      </c>
      <c r="EE42" t="str">
        <f t="shared" ca="1" si="58"/>
        <v/>
      </c>
      <c r="EF42" t="str">
        <f t="shared" ca="1" si="59"/>
        <v/>
      </c>
    </row>
    <row r="43" spans="1:141" x14ac:dyDescent="0.25">
      <c r="DZ43" t="str">
        <f t="shared" ca="1" si="54"/>
        <v/>
      </c>
      <c r="EA43" t="str">
        <f t="shared" ca="1" si="55"/>
        <v/>
      </c>
      <c r="EB43" s="84" t="str">
        <f t="shared" ca="1" si="56"/>
        <v/>
      </c>
      <c r="EC43" s="1" t="str">
        <f t="shared" ca="1" si="77"/>
        <v/>
      </c>
      <c r="ED43" t="str">
        <f t="shared" ca="1" si="57"/>
        <v/>
      </c>
      <c r="EE43" t="str">
        <f t="shared" ca="1" si="58"/>
        <v/>
      </c>
      <c r="EF43" t="str">
        <f t="shared" ca="1" si="59"/>
        <v/>
      </c>
    </row>
    <row r="44" spans="1:141" x14ac:dyDescent="0.25">
      <c r="DZ44" t="str">
        <f t="shared" ca="1" si="54"/>
        <v/>
      </c>
      <c r="EA44" t="str">
        <f t="shared" ca="1" si="55"/>
        <v/>
      </c>
      <c r="EB44" s="84" t="str">
        <f t="shared" ca="1" si="56"/>
        <v/>
      </c>
      <c r="EC44" s="1" t="str">
        <f t="shared" ca="1" si="77"/>
        <v/>
      </c>
      <c r="ED44" t="str">
        <f t="shared" ca="1" si="57"/>
        <v/>
      </c>
      <c r="EE44" t="str">
        <f t="shared" ca="1" si="58"/>
        <v/>
      </c>
      <c r="EF44" t="str">
        <f t="shared" ca="1" si="59"/>
        <v/>
      </c>
    </row>
    <row r="45" spans="1:141" x14ac:dyDescent="0.25">
      <c r="DZ45" t="str">
        <f t="shared" ca="1" si="54"/>
        <v/>
      </c>
      <c r="EA45" t="str">
        <f t="shared" ca="1" si="55"/>
        <v/>
      </c>
      <c r="EB45" s="84" t="str">
        <f t="shared" ca="1" si="56"/>
        <v/>
      </c>
      <c r="EC45" s="1" t="str">
        <f t="shared" ca="1" si="77"/>
        <v/>
      </c>
      <c r="ED45" t="str">
        <f t="shared" ca="1" si="57"/>
        <v/>
      </c>
      <c r="EE45" t="str">
        <f t="shared" ca="1" si="58"/>
        <v/>
      </c>
      <c r="EF45" t="str">
        <f t="shared" ca="1" si="59"/>
        <v/>
      </c>
    </row>
    <row r="46" spans="1:141" x14ac:dyDescent="0.25">
      <c r="DZ46" t="str">
        <f t="shared" ca="1" si="54"/>
        <v/>
      </c>
      <c r="EA46" t="str">
        <f t="shared" ca="1" si="55"/>
        <v/>
      </c>
      <c r="EB46" s="84" t="str">
        <f t="shared" ca="1" si="56"/>
        <v/>
      </c>
      <c r="EC46" s="1" t="str">
        <f t="shared" ca="1" si="77"/>
        <v/>
      </c>
      <c r="ED46" t="str">
        <f t="shared" ca="1" si="57"/>
        <v/>
      </c>
      <c r="EE46" t="str">
        <f t="shared" ca="1" si="58"/>
        <v/>
      </c>
      <c r="EF46" t="str">
        <f t="shared" ca="1" si="59"/>
        <v/>
      </c>
    </row>
    <row r="47" spans="1:141" x14ac:dyDescent="0.25">
      <c r="DZ47" t="str">
        <f t="shared" ca="1" si="54"/>
        <v/>
      </c>
      <c r="EA47" t="str">
        <f t="shared" ca="1" si="55"/>
        <v/>
      </c>
      <c r="EB47" s="84" t="str">
        <f t="shared" ca="1" si="56"/>
        <v/>
      </c>
      <c r="EC47" s="1" t="str">
        <f t="shared" ca="1" si="77"/>
        <v/>
      </c>
      <c r="ED47" t="str">
        <f t="shared" ca="1" si="57"/>
        <v/>
      </c>
      <c r="EE47" t="str">
        <f t="shared" ca="1" si="58"/>
        <v/>
      </c>
      <c r="EF47" t="str">
        <f t="shared" ca="1" si="59"/>
        <v/>
      </c>
    </row>
    <row r="48" spans="1:141" x14ac:dyDescent="0.25">
      <c r="DZ48" t="str">
        <f t="shared" ca="1" si="54"/>
        <v/>
      </c>
      <c r="EA48" t="str">
        <f t="shared" ca="1" si="55"/>
        <v/>
      </c>
      <c r="EB48" s="84" t="str">
        <f t="shared" ca="1" si="56"/>
        <v/>
      </c>
      <c r="EC48" s="1" t="str">
        <f t="shared" ca="1" si="77"/>
        <v/>
      </c>
      <c r="ED48" t="str">
        <f t="shared" ca="1" si="57"/>
        <v/>
      </c>
      <c r="EE48" t="str">
        <f t="shared" ca="1" si="58"/>
        <v/>
      </c>
      <c r="EF48" t="str">
        <f t="shared" ca="1" si="59"/>
        <v/>
      </c>
    </row>
    <row r="49" spans="2:136" x14ac:dyDescent="0.25">
      <c r="DZ49" t="str">
        <f t="shared" ca="1" si="54"/>
        <v/>
      </c>
      <c r="EA49" t="str">
        <f t="shared" ca="1" si="55"/>
        <v/>
      </c>
      <c r="EB49" s="84" t="str">
        <f t="shared" ca="1" si="56"/>
        <v/>
      </c>
      <c r="EC49" s="1" t="str">
        <f t="shared" ca="1" si="77"/>
        <v/>
      </c>
      <c r="ED49" t="str">
        <f t="shared" ca="1" si="57"/>
        <v/>
      </c>
      <c r="EE49" t="str">
        <f t="shared" ca="1" si="58"/>
        <v/>
      </c>
      <c r="EF49" t="str">
        <f t="shared" ca="1" si="59"/>
        <v/>
      </c>
    </row>
    <row r="50" spans="2:136" x14ac:dyDescent="0.25">
      <c r="DZ50" t="str">
        <f t="shared" ca="1" si="54"/>
        <v/>
      </c>
      <c r="EA50" t="str">
        <f t="shared" ca="1" si="55"/>
        <v/>
      </c>
      <c r="EB50" s="84" t="str">
        <f t="shared" ca="1" si="56"/>
        <v/>
      </c>
      <c r="EC50" s="1" t="str">
        <f t="shared" ca="1" si="77"/>
        <v/>
      </c>
      <c r="ED50" t="str">
        <f t="shared" ca="1" si="57"/>
        <v/>
      </c>
      <c r="EE50" t="str">
        <f t="shared" ca="1" si="58"/>
        <v/>
      </c>
      <c r="EF50" t="str">
        <f t="shared" ca="1" si="59"/>
        <v/>
      </c>
    </row>
    <row r="51" spans="2:136" x14ac:dyDescent="0.25">
      <c r="DZ51" t="str">
        <f ca="1">IFERROR(IFERROR(VLOOKUP(ROW()-2,$DP$3:$DT$34,2,0),VLOOKUP(ROW()-2,$DU$3:$DX$34,2,0)),"")</f>
        <v/>
      </c>
      <c r="EA51" t="str">
        <f t="shared" ca="1" si="55"/>
        <v/>
      </c>
      <c r="EB51" s="84" t="str">
        <f t="shared" ca="1" si="56"/>
        <v/>
      </c>
      <c r="EC51" s="1" t="str">
        <f t="shared" ca="1" si="77"/>
        <v/>
      </c>
      <c r="ED51" t="str">
        <f t="shared" ca="1" si="57"/>
        <v/>
      </c>
      <c r="EE51" t="str">
        <f t="shared" ca="1" si="58"/>
        <v/>
      </c>
      <c r="EF51" t="str">
        <f t="shared" ca="1" si="59"/>
        <v/>
      </c>
    </row>
    <row r="52" spans="2:136" x14ac:dyDescent="0.25">
      <c r="DZ52" t="str">
        <f t="shared" ca="1" si="54"/>
        <v/>
      </c>
      <c r="EA52" t="str">
        <f t="shared" ca="1" si="55"/>
        <v/>
      </c>
      <c r="EB52" s="84" t="str">
        <f t="shared" ca="1" si="56"/>
        <v/>
      </c>
      <c r="EC52" s="1" t="str">
        <f t="shared" ca="1" si="77"/>
        <v/>
      </c>
      <c r="ED52" t="str">
        <f t="shared" ca="1" si="57"/>
        <v/>
      </c>
      <c r="EE52" t="str">
        <f t="shared" ca="1" si="58"/>
        <v/>
      </c>
      <c r="EF52" t="str">
        <f t="shared" ca="1" si="59"/>
        <v/>
      </c>
    </row>
    <row r="53" spans="2:136" x14ac:dyDescent="0.25">
      <c r="DZ53" t="str">
        <f t="shared" ca="1" si="54"/>
        <v/>
      </c>
      <c r="EA53" t="str">
        <f t="shared" ca="1" si="55"/>
        <v/>
      </c>
      <c r="EB53" s="84" t="str">
        <f t="shared" ca="1" si="56"/>
        <v/>
      </c>
      <c r="EC53" s="1" t="str">
        <f t="shared" ca="1" si="77"/>
        <v/>
      </c>
      <c r="ED53" t="str">
        <f t="shared" ca="1" si="57"/>
        <v/>
      </c>
      <c r="EE53" t="str">
        <f t="shared" ca="1" si="58"/>
        <v/>
      </c>
      <c r="EF53" t="str">
        <f t="shared" ca="1" si="59"/>
        <v/>
      </c>
    </row>
    <row r="54" spans="2:136" x14ac:dyDescent="0.25">
      <c r="DZ54" t="str">
        <f t="shared" ca="1" si="54"/>
        <v/>
      </c>
      <c r="EA54" t="str">
        <f t="shared" ca="1" si="55"/>
        <v/>
      </c>
      <c r="EB54" s="84" t="str">
        <f t="shared" ca="1" si="56"/>
        <v/>
      </c>
      <c r="EC54" s="1" t="str">
        <f t="shared" ca="1" si="77"/>
        <v/>
      </c>
      <c r="ED54" t="str">
        <f t="shared" ca="1" si="57"/>
        <v/>
      </c>
      <c r="EE54" t="str">
        <f t="shared" ca="1" si="58"/>
        <v/>
      </c>
      <c r="EF54" t="str">
        <f t="shared" ca="1" si="59"/>
        <v/>
      </c>
    </row>
    <row r="55" spans="2:136" x14ac:dyDescent="0.25">
      <c r="DZ55" t="str">
        <f t="shared" ca="1" si="54"/>
        <v/>
      </c>
      <c r="EA55" t="str">
        <f t="shared" ca="1" si="55"/>
        <v/>
      </c>
      <c r="EB55" s="84" t="str">
        <f t="shared" ca="1" si="56"/>
        <v/>
      </c>
      <c r="EC55" s="1" t="str">
        <f t="shared" ca="1" si="77"/>
        <v/>
      </c>
      <c r="ED55" t="str">
        <f t="shared" ca="1" si="57"/>
        <v/>
      </c>
      <c r="EE55" t="str">
        <f t="shared" ca="1" si="58"/>
        <v/>
      </c>
      <c r="EF55" t="str">
        <f t="shared" ca="1" si="59"/>
        <v/>
      </c>
    </row>
    <row r="56" spans="2:136" x14ac:dyDescent="0.25">
      <c r="DZ56" t="str">
        <f t="shared" ca="1" si="54"/>
        <v/>
      </c>
      <c r="EA56" t="str">
        <f t="shared" ca="1" si="55"/>
        <v/>
      </c>
      <c r="EB56" s="84" t="str">
        <f t="shared" ca="1" si="56"/>
        <v/>
      </c>
      <c r="EC56" s="1" t="str">
        <f t="shared" ca="1" si="77"/>
        <v/>
      </c>
      <c r="ED56" t="str">
        <f t="shared" ca="1" si="57"/>
        <v/>
      </c>
      <c r="EE56" t="str">
        <f t="shared" ca="1" si="58"/>
        <v/>
      </c>
      <c r="EF56" t="str">
        <f t="shared" ca="1" si="59"/>
        <v/>
      </c>
    </row>
    <row r="57" spans="2:136" x14ac:dyDescent="0.25">
      <c r="DZ57" t="str">
        <f t="shared" ca="1" si="54"/>
        <v/>
      </c>
      <c r="EA57" t="str">
        <f t="shared" ca="1" si="55"/>
        <v/>
      </c>
      <c r="EB57" s="84" t="str">
        <f t="shared" ca="1" si="56"/>
        <v/>
      </c>
      <c r="EC57" s="1" t="str">
        <f t="shared" ca="1" si="77"/>
        <v/>
      </c>
      <c r="ED57" t="str">
        <f t="shared" ca="1" si="57"/>
        <v/>
      </c>
      <c r="EE57" t="str">
        <f t="shared" ca="1" si="58"/>
        <v/>
      </c>
      <c r="EF57" t="str">
        <f t="shared" ca="1" si="59"/>
        <v/>
      </c>
    </row>
    <row r="58" spans="2:136" x14ac:dyDescent="0.25">
      <c r="DZ58" t="str">
        <f t="shared" ca="1" si="54"/>
        <v/>
      </c>
      <c r="EA58" t="str">
        <f t="shared" ca="1" si="55"/>
        <v/>
      </c>
      <c r="EB58" s="84" t="str">
        <f t="shared" ca="1" si="56"/>
        <v/>
      </c>
      <c r="EC58" s="1" t="str">
        <f t="shared" ca="1" si="77"/>
        <v/>
      </c>
      <c r="ED58" t="str">
        <f t="shared" ca="1" si="57"/>
        <v/>
      </c>
      <c r="EE58" t="str">
        <f t="shared" ca="1" si="58"/>
        <v/>
      </c>
      <c r="EF58" t="str">
        <f t="shared" ca="1" si="59"/>
        <v/>
      </c>
    </row>
    <row r="59" spans="2:136" x14ac:dyDescent="0.25">
      <c r="DZ59" t="str">
        <f ca="1">IFERROR(IFERROR(VLOOKUP(ROW()-2,$DP$3:$DT$34,2,0),VLOOKUP(ROW()-2,$DU$3:$DX$34,2,0)),"")</f>
        <v/>
      </c>
      <c r="EA59" t="str">
        <f t="shared" ca="1" si="55"/>
        <v/>
      </c>
      <c r="EB59" s="84" t="str">
        <f t="shared" ca="1" si="56"/>
        <v/>
      </c>
      <c r="EC59" s="1" t="str">
        <f t="shared" ca="1" si="77"/>
        <v/>
      </c>
      <c r="ED59" t="str">
        <f t="shared" ca="1" si="57"/>
        <v/>
      </c>
      <c r="EE59" t="str">
        <f t="shared" ca="1" si="58"/>
        <v/>
      </c>
      <c r="EF59" t="str">
        <f t="shared" ca="1" si="59"/>
        <v/>
      </c>
    </row>
    <row r="60" spans="2:136" x14ac:dyDescent="0.25">
      <c r="B60" s="13" t="s">
        <v>252</v>
      </c>
      <c r="C60" t="str">
        <f>C3</f>
        <v>Brewers</v>
      </c>
      <c r="DZ60" t="str">
        <f t="shared" ca="1" si="54"/>
        <v/>
      </c>
      <c r="EA60" t="str">
        <f t="shared" ca="1" si="55"/>
        <v/>
      </c>
      <c r="EB60" s="84" t="str">
        <f t="shared" ca="1" si="56"/>
        <v/>
      </c>
      <c r="EC60" s="1" t="str">
        <f t="shared" ca="1" si="77"/>
        <v/>
      </c>
      <c r="ED60" t="str">
        <f t="shared" ca="1" si="57"/>
        <v/>
      </c>
      <c r="EE60" t="str">
        <f t="shared" ca="1" si="58"/>
        <v/>
      </c>
      <c r="EF60" t="str">
        <f t="shared" ca="1" si="59"/>
        <v/>
      </c>
    </row>
    <row r="61" spans="2:136" x14ac:dyDescent="0.25">
      <c r="B61" s="13" t="s">
        <v>3372</v>
      </c>
      <c r="C61" t="str">
        <f t="shared" ref="C61:C89" si="94">C4</f>
        <v>Nationals</v>
      </c>
      <c r="DZ61" t="str">
        <f t="shared" ca="1" si="54"/>
        <v/>
      </c>
      <c r="EA61" t="str">
        <f t="shared" ca="1" si="55"/>
        <v/>
      </c>
      <c r="EB61" s="84" t="str">
        <f t="shared" ca="1" si="56"/>
        <v/>
      </c>
      <c r="EC61" s="1" t="str">
        <f t="shared" ca="1" si="77"/>
        <v/>
      </c>
      <c r="ED61" t="str">
        <f t="shared" ca="1" si="57"/>
        <v/>
      </c>
      <c r="EE61" t="str">
        <f t="shared" ca="1" si="58"/>
        <v/>
      </c>
      <c r="EF61" t="str">
        <f t="shared" ca="1" si="59"/>
        <v/>
      </c>
    </row>
    <row r="62" spans="2:136" x14ac:dyDescent="0.25">
      <c r="B62" s="13" t="s">
        <v>252</v>
      </c>
      <c r="C62">
        <f t="shared" si="94"/>
        <v>0</v>
      </c>
      <c r="DZ62" t="str">
        <f t="shared" ca="1" si="54"/>
        <v/>
      </c>
      <c r="EA62" t="str">
        <f t="shared" ca="1" si="55"/>
        <v/>
      </c>
      <c r="EB62" s="84" t="str">
        <f t="shared" ca="1" si="56"/>
        <v/>
      </c>
      <c r="EC62" s="1" t="str">
        <f t="shared" ca="1" si="77"/>
        <v/>
      </c>
      <c r="ED62" t="str">
        <f t="shared" ca="1" si="57"/>
        <v/>
      </c>
      <c r="EE62" t="str">
        <f t="shared" ca="1" si="58"/>
        <v/>
      </c>
      <c r="EF62" t="str">
        <f t="shared" ca="1" si="59"/>
        <v/>
      </c>
    </row>
    <row r="63" spans="2:136" x14ac:dyDescent="0.25">
      <c r="B63" s="13" t="s">
        <v>3372</v>
      </c>
      <c r="C63">
        <f t="shared" si="94"/>
        <v>0</v>
      </c>
    </row>
    <row r="64" spans="2:136" x14ac:dyDescent="0.25">
      <c r="B64" s="13" t="s">
        <v>252</v>
      </c>
      <c r="C64">
        <f t="shared" si="94"/>
        <v>0</v>
      </c>
    </row>
    <row r="65" spans="2:3" x14ac:dyDescent="0.25">
      <c r="B65" s="13" t="s">
        <v>3372</v>
      </c>
      <c r="C65">
        <f t="shared" si="94"/>
        <v>0</v>
      </c>
    </row>
    <row r="66" spans="2:3" x14ac:dyDescent="0.25">
      <c r="B66" s="13" t="s">
        <v>252</v>
      </c>
      <c r="C66">
        <f t="shared" si="94"/>
        <v>0</v>
      </c>
    </row>
    <row r="67" spans="2:3" x14ac:dyDescent="0.25">
      <c r="B67" s="13" t="s">
        <v>3372</v>
      </c>
      <c r="C67">
        <f t="shared" si="94"/>
        <v>0</v>
      </c>
    </row>
    <row r="68" spans="2:3" x14ac:dyDescent="0.25">
      <c r="B68" s="13" t="s">
        <v>252</v>
      </c>
      <c r="C68">
        <f t="shared" si="94"/>
        <v>0</v>
      </c>
    </row>
    <row r="69" spans="2:3" x14ac:dyDescent="0.25">
      <c r="B69" s="13" t="s">
        <v>3372</v>
      </c>
      <c r="C69">
        <f t="shared" si="94"/>
        <v>0</v>
      </c>
    </row>
    <row r="70" spans="2:3" x14ac:dyDescent="0.25">
      <c r="B70" s="13" t="s">
        <v>252</v>
      </c>
      <c r="C70">
        <f t="shared" si="94"/>
        <v>0</v>
      </c>
    </row>
    <row r="71" spans="2:3" x14ac:dyDescent="0.25">
      <c r="B71" s="13" t="s">
        <v>3372</v>
      </c>
      <c r="C71">
        <f t="shared" si="94"/>
        <v>0</v>
      </c>
    </row>
    <row r="72" spans="2:3" x14ac:dyDescent="0.25">
      <c r="B72" s="13" t="s">
        <v>252</v>
      </c>
      <c r="C72">
        <f t="shared" si="94"/>
        <v>0</v>
      </c>
    </row>
    <row r="73" spans="2:3" x14ac:dyDescent="0.25">
      <c r="B73" s="13" t="s">
        <v>3372</v>
      </c>
      <c r="C73">
        <f t="shared" si="94"/>
        <v>0</v>
      </c>
    </row>
    <row r="74" spans="2:3" x14ac:dyDescent="0.25">
      <c r="B74" s="13" t="s">
        <v>252</v>
      </c>
      <c r="C74">
        <f t="shared" si="94"/>
        <v>0</v>
      </c>
    </row>
    <row r="75" spans="2:3" x14ac:dyDescent="0.25">
      <c r="B75" s="13" t="s">
        <v>3372</v>
      </c>
      <c r="C75">
        <f t="shared" si="94"/>
        <v>0</v>
      </c>
    </row>
    <row r="76" spans="2:3" x14ac:dyDescent="0.25">
      <c r="B76" s="13" t="s">
        <v>252</v>
      </c>
      <c r="C76">
        <f t="shared" si="94"/>
        <v>0</v>
      </c>
    </row>
    <row r="77" spans="2:3" x14ac:dyDescent="0.25">
      <c r="B77" s="13" t="s">
        <v>3372</v>
      </c>
      <c r="C77">
        <f t="shared" si="94"/>
        <v>0</v>
      </c>
    </row>
    <row r="78" spans="2:3" x14ac:dyDescent="0.25">
      <c r="B78" s="13" t="s">
        <v>252</v>
      </c>
      <c r="C78">
        <f t="shared" si="94"/>
        <v>0</v>
      </c>
    </row>
    <row r="79" spans="2:3" x14ac:dyDescent="0.25">
      <c r="B79" s="13" t="s">
        <v>3372</v>
      </c>
      <c r="C79">
        <f t="shared" si="94"/>
        <v>0</v>
      </c>
    </row>
    <row r="80" spans="2:3" x14ac:dyDescent="0.25">
      <c r="B80" s="13" t="s">
        <v>252</v>
      </c>
      <c r="C80">
        <f t="shared" si="94"/>
        <v>0</v>
      </c>
    </row>
    <row r="81" spans="2:3" x14ac:dyDescent="0.25">
      <c r="B81" s="13" t="s">
        <v>3372</v>
      </c>
      <c r="C81">
        <f t="shared" si="94"/>
        <v>0</v>
      </c>
    </row>
    <row r="82" spans="2:3" x14ac:dyDescent="0.25">
      <c r="B82" s="13" t="s">
        <v>252</v>
      </c>
      <c r="C82">
        <f t="shared" si="94"/>
        <v>0</v>
      </c>
    </row>
    <row r="83" spans="2:3" x14ac:dyDescent="0.25">
      <c r="B83" s="13" t="s">
        <v>3372</v>
      </c>
      <c r="C83">
        <f t="shared" si="94"/>
        <v>0</v>
      </c>
    </row>
    <row r="84" spans="2:3" x14ac:dyDescent="0.25">
      <c r="B84" s="13" t="s">
        <v>252</v>
      </c>
      <c r="C84">
        <f t="shared" si="94"/>
        <v>0</v>
      </c>
    </row>
    <row r="85" spans="2:3" x14ac:dyDescent="0.25">
      <c r="B85" s="13" t="s">
        <v>3372</v>
      </c>
      <c r="C85">
        <f t="shared" si="94"/>
        <v>0</v>
      </c>
    </row>
    <row r="86" spans="2:3" x14ac:dyDescent="0.25">
      <c r="B86" s="13" t="s">
        <v>252</v>
      </c>
      <c r="C86">
        <f t="shared" si="94"/>
        <v>0</v>
      </c>
    </row>
    <row r="87" spans="2:3" x14ac:dyDescent="0.25">
      <c r="B87" s="13" t="s">
        <v>3372</v>
      </c>
      <c r="C87">
        <f t="shared" si="94"/>
        <v>0</v>
      </c>
    </row>
    <row r="88" spans="2:3" x14ac:dyDescent="0.25">
      <c r="B88" s="13" t="s">
        <v>252</v>
      </c>
      <c r="C88">
        <f t="shared" si="94"/>
        <v>0</v>
      </c>
    </row>
    <row r="89" spans="2:3" x14ac:dyDescent="0.25">
      <c r="B89" s="13" t="s">
        <v>3372</v>
      </c>
      <c r="C89">
        <f t="shared" si="94"/>
        <v>0</v>
      </c>
    </row>
  </sheetData>
  <mergeCells count="39">
    <mergeCell ref="U33:U34"/>
    <mergeCell ref="U23:U24"/>
    <mergeCell ref="U27:U28"/>
    <mergeCell ref="U29:U30"/>
    <mergeCell ref="U31:U32"/>
    <mergeCell ref="U25:U26"/>
    <mergeCell ref="U13:U14"/>
    <mergeCell ref="U15:U16"/>
    <mergeCell ref="U17:U18"/>
    <mergeCell ref="U19:U20"/>
    <mergeCell ref="U21:U22"/>
    <mergeCell ref="U3:U4"/>
    <mergeCell ref="U5:U6"/>
    <mergeCell ref="U7:U8"/>
    <mergeCell ref="U9:U10"/>
    <mergeCell ref="U11:U12"/>
    <mergeCell ref="CW26:DG26"/>
    <mergeCell ref="CV18:DG18"/>
    <mergeCell ref="BA1:BK1"/>
    <mergeCell ref="BL1:BV1"/>
    <mergeCell ref="BW1:CG1"/>
    <mergeCell ref="CH1:CR1"/>
    <mergeCell ref="CV2:DF2"/>
    <mergeCell ref="E3:E4"/>
    <mergeCell ref="E5:E6"/>
    <mergeCell ref="E7:E8"/>
    <mergeCell ref="E9:E10"/>
    <mergeCell ref="E11:E12"/>
    <mergeCell ref="E33:E34"/>
    <mergeCell ref="E21:E22"/>
    <mergeCell ref="E23:E24"/>
    <mergeCell ref="E29:E30"/>
    <mergeCell ref="E13:E14"/>
    <mergeCell ref="E15:E16"/>
    <mergeCell ref="E17:E18"/>
    <mergeCell ref="E19:E20"/>
    <mergeCell ref="E31:E32"/>
    <mergeCell ref="E27:E28"/>
    <mergeCell ref="E25:E26"/>
  </mergeCells>
  <conditionalFormatting sqref="F13:F34">
    <cfRule type="expression" dxfId="7" priority="3">
      <formula>IF($B13="X",1,0)</formula>
    </cfRule>
  </conditionalFormatting>
  <conditionalFormatting sqref="F3:F14">
    <cfRule type="expression" dxfId="6" priority="1">
      <formula>IF($B3="X",1,0)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225"/>
  <sheetViews>
    <sheetView topLeftCell="A217" workbookViewId="0">
      <selection activeCell="AT3" sqref="AT3:BM32"/>
    </sheetView>
  </sheetViews>
  <sheetFormatPr defaultRowHeight="15" x14ac:dyDescent="0.25"/>
  <sheetData>
    <row r="1" spans="1:1" x14ac:dyDescent="0.25">
      <c r="A1" t="s">
        <v>36</v>
      </c>
    </row>
    <row r="2" spans="1:1" x14ac:dyDescent="0.25">
      <c r="A2" t="s">
        <v>37</v>
      </c>
    </row>
    <row r="3" spans="1:1" x14ac:dyDescent="0.25">
      <c r="A3" t="s">
        <v>38</v>
      </c>
    </row>
    <row r="4" spans="1:1" x14ac:dyDescent="0.25">
      <c r="A4" t="s">
        <v>39</v>
      </c>
    </row>
    <row r="5" spans="1:1" x14ac:dyDescent="0.25">
      <c r="A5" t="s">
        <v>40</v>
      </c>
    </row>
    <row r="6" spans="1:1" x14ac:dyDescent="0.25">
      <c r="A6" t="s">
        <v>41</v>
      </c>
    </row>
    <row r="7" spans="1:1" x14ac:dyDescent="0.25">
      <c r="A7" t="s">
        <v>42</v>
      </c>
    </row>
    <row r="8" spans="1:1" x14ac:dyDescent="0.25">
      <c r="A8" t="s">
        <v>43</v>
      </c>
    </row>
    <row r="9" spans="1:1" x14ac:dyDescent="0.25">
      <c r="A9" t="s">
        <v>44</v>
      </c>
    </row>
    <row r="10" spans="1:1" x14ac:dyDescent="0.25">
      <c r="A10" t="s">
        <v>45</v>
      </c>
    </row>
    <row r="11" spans="1:1" x14ac:dyDescent="0.25">
      <c r="A11" t="s">
        <v>46</v>
      </c>
    </row>
    <row r="12" spans="1:1" x14ac:dyDescent="0.25">
      <c r="A12" t="s">
        <v>47</v>
      </c>
    </row>
    <row r="13" spans="1:1" x14ac:dyDescent="0.25">
      <c r="A13" t="s">
        <v>48</v>
      </c>
    </row>
    <row r="14" spans="1:1" x14ac:dyDescent="0.25">
      <c r="A14" t="s">
        <v>49</v>
      </c>
    </row>
    <row r="15" spans="1:1" x14ac:dyDescent="0.25">
      <c r="A15" t="s">
        <v>50</v>
      </c>
    </row>
    <row r="16" spans="1:1" x14ac:dyDescent="0.25">
      <c r="A16" t="s">
        <v>51</v>
      </c>
    </row>
    <row r="17" spans="1:1" x14ac:dyDescent="0.25">
      <c r="A17" t="s">
        <v>52</v>
      </c>
    </row>
    <row r="18" spans="1:1" x14ac:dyDescent="0.25">
      <c r="A18" t="s">
        <v>53</v>
      </c>
    </row>
    <row r="19" spans="1:1" x14ac:dyDescent="0.25">
      <c r="A19" t="s">
        <v>54</v>
      </c>
    </row>
    <row r="20" spans="1:1" x14ac:dyDescent="0.25">
      <c r="A20" t="s">
        <v>55</v>
      </c>
    </row>
    <row r="21" spans="1:1" x14ac:dyDescent="0.25">
      <c r="A21" t="s">
        <v>56</v>
      </c>
    </row>
    <row r="22" spans="1:1" x14ac:dyDescent="0.25">
      <c r="A22" t="s">
        <v>57</v>
      </c>
    </row>
    <row r="23" spans="1:1" x14ac:dyDescent="0.25">
      <c r="A23" t="s">
        <v>58</v>
      </c>
    </row>
    <row r="24" spans="1:1" x14ac:dyDescent="0.25">
      <c r="A24" t="s">
        <v>59</v>
      </c>
    </row>
    <row r="25" spans="1:1" x14ac:dyDescent="0.25">
      <c r="A25" t="s">
        <v>60</v>
      </c>
    </row>
    <row r="26" spans="1:1" x14ac:dyDescent="0.25">
      <c r="A26" t="s">
        <v>61</v>
      </c>
    </row>
    <row r="27" spans="1:1" x14ac:dyDescent="0.25">
      <c r="A27" t="s">
        <v>4568</v>
      </c>
    </row>
    <row r="28" spans="1:1" x14ac:dyDescent="0.25">
      <c r="A28" t="s">
        <v>46</v>
      </c>
    </row>
    <row r="29" spans="1:1" x14ac:dyDescent="0.25">
      <c r="A29" t="s">
        <v>47</v>
      </c>
    </row>
    <row r="30" spans="1:1" x14ac:dyDescent="0.25">
      <c r="A30" t="s">
        <v>48</v>
      </c>
    </row>
    <row r="31" spans="1:1" x14ac:dyDescent="0.25">
      <c r="A31" t="s">
        <v>49</v>
      </c>
    </row>
    <row r="32" spans="1:1" x14ac:dyDescent="0.25">
      <c r="A32" t="s">
        <v>50</v>
      </c>
    </row>
    <row r="33" spans="1:1" x14ac:dyDescent="0.25">
      <c r="A33" t="s">
        <v>62</v>
      </c>
    </row>
    <row r="34" spans="1:1" x14ac:dyDescent="0.25">
      <c r="A34" t="s">
        <v>63</v>
      </c>
    </row>
    <row r="35" spans="1:1" x14ac:dyDescent="0.25">
      <c r="A35" t="s">
        <v>64</v>
      </c>
    </row>
    <row r="36" spans="1:1" x14ac:dyDescent="0.25">
      <c r="A36" t="s">
        <v>1557</v>
      </c>
    </row>
    <row r="37" spans="1:1" x14ac:dyDescent="0.25">
      <c r="A37" t="s">
        <v>65</v>
      </c>
    </row>
    <row r="38" spans="1:1" x14ac:dyDescent="0.25">
      <c r="A38" t="s">
        <v>67</v>
      </c>
    </row>
    <row r="39" spans="1:1" x14ac:dyDescent="0.25">
      <c r="A39" t="s">
        <v>68</v>
      </c>
    </row>
    <row r="40" spans="1:1" x14ac:dyDescent="0.25">
      <c r="A40" t="s">
        <v>69</v>
      </c>
    </row>
    <row r="41" spans="1:1" x14ac:dyDescent="0.25">
      <c r="A41" t="s">
        <v>70</v>
      </c>
    </row>
    <row r="43" spans="1:1" x14ac:dyDescent="0.25">
      <c r="A43" t="s">
        <v>71</v>
      </c>
    </row>
    <row r="45" spans="1:1" x14ac:dyDescent="0.25">
      <c r="A45" t="s">
        <v>72</v>
      </c>
    </row>
    <row r="47" spans="1:1" x14ac:dyDescent="0.25">
      <c r="A47" t="s">
        <v>73</v>
      </c>
    </row>
    <row r="49" spans="1:1" x14ac:dyDescent="0.25">
      <c r="A49" t="s">
        <v>74</v>
      </c>
    </row>
    <row r="51" spans="1:1" x14ac:dyDescent="0.25">
      <c r="A51" t="s">
        <v>75</v>
      </c>
    </row>
    <row r="53" spans="1:1" x14ac:dyDescent="0.25">
      <c r="A53" t="s">
        <v>35</v>
      </c>
    </row>
    <row r="55" spans="1:1" x14ac:dyDescent="0.25">
      <c r="A55" t="s">
        <v>76</v>
      </c>
    </row>
    <row r="57" spans="1:1" x14ac:dyDescent="0.25">
      <c r="A57" t="s">
        <v>74</v>
      </c>
    </row>
    <row r="60" spans="1:1" x14ac:dyDescent="0.25">
      <c r="A60" t="s">
        <v>77</v>
      </c>
    </row>
    <row r="61" spans="1:1" x14ac:dyDescent="0.25">
      <c r="A61" t="s">
        <v>78</v>
      </c>
    </row>
    <row r="62" spans="1:1" x14ac:dyDescent="0.25">
      <c r="A62" t="s">
        <v>34</v>
      </c>
    </row>
    <row r="63" spans="1:1" x14ac:dyDescent="0.25">
      <c r="A63" t="s">
        <v>79</v>
      </c>
    </row>
    <row r="64" spans="1:1" x14ac:dyDescent="0.25">
      <c r="A64" t="s">
        <v>80</v>
      </c>
    </row>
    <row r="65" spans="1:1" x14ac:dyDescent="0.25">
      <c r="A65" t="s">
        <v>81</v>
      </c>
    </row>
    <row r="66" spans="1:1" x14ac:dyDescent="0.25">
      <c r="A66" t="s">
        <v>82</v>
      </c>
    </row>
    <row r="67" spans="1:1" x14ac:dyDescent="0.25">
      <c r="A67" t="s">
        <v>83</v>
      </c>
    </row>
    <row r="68" spans="1:1" x14ac:dyDescent="0.25">
      <c r="A68" t="s">
        <v>84</v>
      </c>
    </row>
    <row r="69" spans="1:1" x14ac:dyDescent="0.25">
      <c r="A69" t="s">
        <v>85</v>
      </c>
    </row>
    <row r="70" spans="1:1" x14ac:dyDescent="0.25">
      <c r="A70" t="s">
        <v>86</v>
      </c>
    </row>
    <row r="71" spans="1:1" x14ac:dyDescent="0.25">
      <c r="A71" t="s">
        <v>87</v>
      </c>
    </row>
    <row r="73" spans="1:1" x14ac:dyDescent="0.25">
      <c r="A73" t="s">
        <v>75</v>
      </c>
    </row>
    <row r="76" spans="1:1" x14ac:dyDescent="0.25">
      <c r="A76" t="s">
        <v>88</v>
      </c>
    </row>
    <row r="77" spans="1:1" x14ac:dyDescent="0.25">
      <c r="A77" t="s">
        <v>89</v>
      </c>
    </row>
    <row r="78" spans="1:1" x14ac:dyDescent="0.25">
      <c r="A78" t="s">
        <v>90</v>
      </c>
    </row>
    <row r="79" spans="1:1" x14ac:dyDescent="0.25">
      <c r="A79" t="s">
        <v>91</v>
      </c>
    </row>
    <row r="80" spans="1:1" x14ac:dyDescent="0.25">
      <c r="A80" t="s">
        <v>92</v>
      </c>
    </row>
    <row r="81" spans="1:1" x14ac:dyDescent="0.25">
      <c r="A81" t="s">
        <v>93</v>
      </c>
    </row>
    <row r="82" spans="1:1" x14ac:dyDescent="0.25">
      <c r="A82" t="s">
        <v>94</v>
      </c>
    </row>
    <row r="83" spans="1:1" x14ac:dyDescent="0.25">
      <c r="A83" t="s">
        <v>95</v>
      </c>
    </row>
    <row r="84" spans="1:1" x14ac:dyDescent="0.25">
      <c r="A84" t="s">
        <v>96</v>
      </c>
    </row>
    <row r="85" spans="1:1" x14ac:dyDescent="0.25">
      <c r="A85" t="s">
        <v>97</v>
      </c>
    </row>
    <row r="86" spans="1:1" x14ac:dyDescent="0.25">
      <c r="A86" t="s">
        <v>98</v>
      </c>
    </row>
    <row r="87" spans="1:1" x14ac:dyDescent="0.25">
      <c r="A87" t="s">
        <v>99</v>
      </c>
    </row>
    <row r="88" spans="1:1" x14ac:dyDescent="0.25">
      <c r="A88" t="s">
        <v>100</v>
      </c>
    </row>
    <row r="89" spans="1:1" x14ac:dyDescent="0.25">
      <c r="A89" t="s">
        <v>101</v>
      </c>
    </row>
    <row r="90" spans="1:1" x14ac:dyDescent="0.25">
      <c r="A90" t="s">
        <v>102</v>
      </c>
    </row>
    <row r="92" spans="1:1" x14ac:dyDescent="0.25">
      <c r="A92" t="s">
        <v>35</v>
      </c>
    </row>
    <row r="95" spans="1:1" x14ac:dyDescent="0.25">
      <c r="A95" t="s">
        <v>103</v>
      </c>
    </row>
    <row r="96" spans="1:1" x14ac:dyDescent="0.25">
      <c r="A96" t="s">
        <v>89</v>
      </c>
    </row>
    <row r="97" spans="1:1" x14ac:dyDescent="0.25">
      <c r="A97" t="s">
        <v>92</v>
      </c>
    </row>
    <row r="98" spans="1:1" x14ac:dyDescent="0.25">
      <c r="A98" t="s">
        <v>104</v>
      </c>
    </row>
    <row r="99" spans="1:1" x14ac:dyDescent="0.25">
      <c r="A99" t="s">
        <v>91</v>
      </c>
    </row>
    <row r="100" spans="1:1" x14ac:dyDescent="0.25">
      <c r="A100" t="s">
        <v>105</v>
      </c>
    </row>
    <row r="101" spans="1:1" x14ac:dyDescent="0.25">
      <c r="A101" t="s">
        <v>106</v>
      </c>
    </row>
    <row r="102" spans="1:1" x14ac:dyDescent="0.25">
      <c r="A102" t="s">
        <v>107</v>
      </c>
    </row>
    <row r="103" spans="1:1" x14ac:dyDescent="0.25">
      <c r="A103" t="s">
        <v>108</v>
      </c>
    </row>
    <row r="104" spans="1:1" x14ac:dyDescent="0.25">
      <c r="A104" t="s">
        <v>109</v>
      </c>
    </row>
    <row r="105" spans="1:1" x14ac:dyDescent="0.25">
      <c r="A105" t="s">
        <v>110</v>
      </c>
    </row>
    <row r="106" spans="1:1" x14ac:dyDescent="0.25">
      <c r="A106" t="s">
        <v>111</v>
      </c>
    </row>
    <row r="107" spans="1:1" x14ac:dyDescent="0.25">
      <c r="A107" t="s">
        <v>100</v>
      </c>
    </row>
    <row r="108" spans="1:1" x14ac:dyDescent="0.25">
      <c r="A108" t="s">
        <v>112</v>
      </c>
    </row>
    <row r="109" spans="1:1" x14ac:dyDescent="0.25">
      <c r="A109" t="s">
        <v>102</v>
      </c>
    </row>
    <row r="111" spans="1:1" x14ac:dyDescent="0.25">
      <c r="A111" t="s">
        <v>113</v>
      </c>
    </row>
    <row r="114" spans="1:1" x14ac:dyDescent="0.25">
      <c r="A114" t="s">
        <v>75</v>
      </c>
    </row>
    <row r="115" spans="1:1" x14ac:dyDescent="0.25">
      <c r="A115" t="s">
        <v>35</v>
      </c>
    </row>
    <row r="116" spans="1:1" x14ac:dyDescent="0.25">
      <c r="A116" t="s">
        <v>74</v>
      </c>
    </row>
    <row r="117" spans="1:1" x14ac:dyDescent="0.25">
      <c r="A117" t="s">
        <v>114</v>
      </c>
    </row>
    <row r="119" spans="1:1" x14ac:dyDescent="0.25">
      <c r="A119" t="s">
        <v>115</v>
      </c>
    </row>
    <row r="122" spans="1:1" x14ac:dyDescent="0.25">
      <c r="A122" t="s">
        <v>116</v>
      </c>
    </row>
    <row r="123" spans="1:1" x14ac:dyDescent="0.25">
      <c r="A123" t="s">
        <v>117</v>
      </c>
    </row>
    <row r="124" spans="1:1" x14ac:dyDescent="0.25">
      <c r="A124" t="s">
        <v>118</v>
      </c>
    </row>
    <row r="125" spans="1:1" x14ac:dyDescent="0.25">
      <c r="A125" t="s">
        <v>119</v>
      </c>
    </row>
    <row r="126" spans="1:1" x14ac:dyDescent="0.25">
      <c r="A126" t="s">
        <v>120</v>
      </c>
    </row>
    <row r="127" spans="1:1" x14ac:dyDescent="0.25">
      <c r="A127" t="s">
        <v>121</v>
      </c>
    </row>
    <row r="128" spans="1:1" x14ac:dyDescent="0.25">
      <c r="A128" t="s">
        <v>122</v>
      </c>
    </row>
    <row r="129" spans="1:1" x14ac:dyDescent="0.25">
      <c r="A129" t="s">
        <v>123</v>
      </c>
    </row>
    <row r="130" spans="1:1" x14ac:dyDescent="0.25">
      <c r="A130" t="s">
        <v>124</v>
      </c>
    </row>
    <row r="131" spans="1:1" x14ac:dyDescent="0.25">
      <c r="A131" t="s">
        <v>125</v>
      </c>
    </row>
    <row r="132" spans="1:1" x14ac:dyDescent="0.25">
      <c r="A132" t="s">
        <v>126</v>
      </c>
    </row>
    <row r="133" spans="1:1" x14ac:dyDescent="0.25">
      <c r="A133" t="s">
        <v>127</v>
      </c>
    </row>
    <row r="134" spans="1:1" x14ac:dyDescent="0.25">
      <c r="A134" t="s">
        <v>128</v>
      </c>
    </row>
    <row r="135" spans="1:1" x14ac:dyDescent="0.25">
      <c r="A135" t="s">
        <v>129</v>
      </c>
    </row>
    <row r="136" spans="1:1" x14ac:dyDescent="0.25">
      <c r="A136" t="s">
        <v>130</v>
      </c>
    </row>
    <row r="137" spans="1:1" x14ac:dyDescent="0.25">
      <c r="A137" t="s">
        <v>1251</v>
      </c>
    </row>
    <row r="138" spans="1:1" x14ac:dyDescent="0.25">
      <c r="A138" t="s">
        <v>71</v>
      </c>
    </row>
    <row r="139" spans="1:1" x14ac:dyDescent="0.25">
      <c r="A139" t="s">
        <v>72</v>
      </c>
    </row>
    <row r="140" spans="1:1" x14ac:dyDescent="0.25">
      <c r="A140" t="s">
        <v>73</v>
      </c>
    </row>
    <row r="141" spans="1:1" x14ac:dyDescent="0.25">
      <c r="A141" t="s">
        <v>74</v>
      </c>
    </row>
    <row r="143" spans="1:1" x14ac:dyDescent="0.25">
      <c r="A143" t="s">
        <v>77</v>
      </c>
    </row>
    <row r="144" spans="1:1" x14ac:dyDescent="0.25">
      <c r="A144" t="s">
        <v>78</v>
      </c>
    </row>
    <row r="145" spans="1:1" x14ac:dyDescent="0.25">
      <c r="A145" t="s">
        <v>34</v>
      </c>
    </row>
    <row r="146" spans="1:1" x14ac:dyDescent="0.25">
      <c r="A146" t="s">
        <v>79</v>
      </c>
    </row>
    <row r="147" spans="1:1" x14ac:dyDescent="0.25">
      <c r="A147" t="s">
        <v>80</v>
      </c>
    </row>
    <row r="148" spans="1:1" x14ac:dyDescent="0.25">
      <c r="A148" t="s">
        <v>81</v>
      </c>
    </row>
    <row r="149" spans="1:1" x14ac:dyDescent="0.25">
      <c r="A149" t="s">
        <v>82</v>
      </c>
    </row>
    <row r="150" spans="1:1" x14ac:dyDescent="0.25">
      <c r="A150" t="s">
        <v>83</v>
      </c>
    </row>
    <row r="151" spans="1:1" x14ac:dyDescent="0.25">
      <c r="A151" t="s">
        <v>84</v>
      </c>
    </row>
    <row r="152" spans="1:1" x14ac:dyDescent="0.25">
      <c r="A152" t="s">
        <v>85</v>
      </c>
    </row>
    <row r="153" spans="1:1" x14ac:dyDescent="0.25">
      <c r="A153" t="s">
        <v>86</v>
      </c>
    </row>
    <row r="154" spans="1:1" x14ac:dyDescent="0.25">
      <c r="A154" t="s">
        <v>87</v>
      </c>
    </row>
    <row r="155" spans="1:1" x14ac:dyDescent="0.25">
      <c r="A155" t="s">
        <v>75</v>
      </c>
    </row>
    <row r="157" spans="1:1" x14ac:dyDescent="0.25">
      <c r="A157" t="s">
        <v>88</v>
      </c>
    </row>
    <row r="158" spans="1:1" x14ac:dyDescent="0.25">
      <c r="A158" t="s">
        <v>89</v>
      </c>
    </row>
    <row r="159" spans="1:1" x14ac:dyDescent="0.25">
      <c r="A159" t="s">
        <v>90</v>
      </c>
    </row>
    <row r="160" spans="1:1" x14ac:dyDescent="0.25">
      <c r="A160" t="s">
        <v>91</v>
      </c>
    </row>
    <row r="161" spans="1:1" x14ac:dyDescent="0.25">
      <c r="A161" t="s">
        <v>92</v>
      </c>
    </row>
    <row r="162" spans="1:1" x14ac:dyDescent="0.25">
      <c r="A162" t="s">
        <v>93</v>
      </c>
    </row>
    <row r="163" spans="1:1" x14ac:dyDescent="0.25">
      <c r="A163" t="s">
        <v>94</v>
      </c>
    </row>
    <row r="164" spans="1:1" x14ac:dyDescent="0.25">
      <c r="A164" t="s">
        <v>95</v>
      </c>
    </row>
    <row r="165" spans="1:1" x14ac:dyDescent="0.25">
      <c r="A165" t="s">
        <v>96</v>
      </c>
    </row>
    <row r="166" spans="1:1" x14ac:dyDescent="0.25">
      <c r="A166" t="s">
        <v>97</v>
      </c>
    </row>
    <row r="167" spans="1:1" x14ac:dyDescent="0.25">
      <c r="A167" t="s">
        <v>98</v>
      </c>
    </row>
    <row r="168" spans="1:1" x14ac:dyDescent="0.25">
      <c r="A168" t="s">
        <v>99</v>
      </c>
    </row>
    <row r="169" spans="1:1" x14ac:dyDescent="0.25">
      <c r="A169" t="s">
        <v>100</v>
      </c>
    </row>
    <row r="170" spans="1:1" x14ac:dyDescent="0.25">
      <c r="A170" t="s">
        <v>101</v>
      </c>
    </row>
    <row r="171" spans="1:1" x14ac:dyDescent="0.25">
      <c r="A171" t="s">
        <v>102</v>
      </c>
    </row>
    <row r="172" spans="1:1" x14ac:dyDescent="0.25">
      <c r="A172" t="s">
        <v>35</v>
      </c>
    </row>
    <row r="174" spans="1:1" x14ac:dyDescent="0.25">
      <c r="A174" t="s">
        <v>103</v>
      </c>
    </row>
    <row r="175" spans="1:1" x14ac:dyDescent="0.25">
      <c r="A175" t="s">
        <v>89</v>
      </c>
    </row>
    <row r="176" spans="1:1" x14ac:dyDescent="0.25">
      <c r="A176" t="s">
        <v>92</v>
      </c>
    </row>
    <row r="177" spans="1:1" x14ac:dyDescent="0.25">
      <c r="A177" t="s">
        <v>104</v>
      </c>
    </row>
    <row r="178" spans="1:1" x14ac:dyDescent="0.25">
      <c r="A178" t="s">
        <v>91</v>
      </c>
    </row>
    <row r="179" spans="1:1" x14ac:dyDescent="0.25">
      <c r="A179" t="s">
        <v>105</v>
      </c>
    </row>
    <row r="180" spans="1:1" x14ac:dyDescent="0.25">
      <c r="A180" t="s">
        <v>106</v>
      </c>
    </row>
    <row r="181" spans="1:1" x14ac:dyDescent="0.25">
      <c r="A181" t="s">
        <v>107</v>
      </c>
    </row>
    <row r="182" spans="1:1" x14ac:dyDescent="0.25">
      <c r="A182" t="s">
        <v>108</v>
      </c>
    </row>
    <row r="183" spans="1:1" x14ac:dyDescent="0.25">
      <c r="A183" t="s">
        <v>109</v>
      </c>
    </row>
    <row r="184" spans="1:1" x14ac:dyDescent="0.25">
      <c r="A184" t="s">
        <v>110</v>
      </c>
    </row>
    <row r="185" spans="1:1" x14ac:dyDescent="0.25">
      <c r="A185" t="s">
        <v>111</v>
      </c>
    </row>
    <row r="186" spans="1:1" x14ac:dyDescent="0.25">
      <c r="A186" t="s">
        <v>100</v>
      </c>
    </row>
    <row r="187" spans="1:1" x14ac:dyDescent="0.25">
      <c r="A187" t="s">
        <v>112</v>
      </c>
    </row>
    <row r="188" spans="1:1" x14ac:dyDescent="0.25">
      <c r="A188" t="s">
        <v>102</v>
      </c>
    </row>
    <row r="189" spans="1:1" x14ac:dyDescent="0.25">
      <c r="A189" t="s">
        <v>76</v>
      </c>
    </row>
    <row r="190" spans="1:1" x14ac:dyDescent="0.25">
      <c r="A190" t="s">
        <v>113</v>
      </c>
    </row>
    <row r="192" spans="1:1" x14ac:dyDescent="0.25">
      <c r="A192" t="s">
        <v>75</v>
      </c>
    </row>
    <row r="193" spans="1:1" x14ac:dyDescent="0.25">
      <c r="A193" t="s">
        <v>35</v>
      </c>
    </row>
    <row r="194" spans="1:1" x14ac:dyDescent="0.25">
      <c r="A194" t="s">
        <v>74</v>
      </c>
    </row>
    <row r="195" spans="1:1" x14ac:dyDescent="0.25">
      <c r="A195" t="s">
        <v>114</v>
      </c>
    </row>
    <row r="196" spans="1:1" x14ac:dyDescent="0.25">
      <c r="A196" t="s">
        <v>115</v>
      </c>
    </row>
    <row r="198" spans="1:1" x14ac:dyDescent="0.25">
      <c r="A198" t="s">
        <v>116</v>
      </c>
    </row>
    <row r="199" spans="1:1" x14ac:dyDescent="0.25">
      <c r="A199" t="s">
        <v>117</v>
      </c>
    </row>
    <row r="200" spans="1:1" x14ac:dyDescent="0.25">
      <c r="A200" t="s">
        <v>118</v>
      </c>
    </row>
    <row r="201" spans="1:1" x14ac:dyDescent="0.25">
      <c r="A201" t="s">
        <v>119</v>
      </c>
    </row>
    <row r="202" spans="1:1" x14ac:dyDescent="0.25">
      <c r="A202" t="s">
        <v>120</v>
      </c>
    </row>
    <row r="203" spans="1:1" x14ac:dyDescent="0.25">
      <c r="A203" t="s">
        <v>121</v>
      </c>
    </row>
    <row r="204" spans="1:1" x14ac:dyDescent="0.25">
      <c r="A204" t="s">
        <v>122</v>
      </c>
    </row>
    <row r="205" spans="1:1" x14ac:dyDescent="0.25">
      <c r="A205" t="s">
        <v>123</v>
      </c>
    </row>
    <row r="206" spans="1:1" x14ac:dyDescent="0.25">
      <c r="A206" t="s">
        <v>124</v>
      </c>
    </row>
    <row r="207" spans="1:1" x14ac:dyDescent="0.25">
      <c r="A207" t="s">
        <v>125</v>
      </c>
    </row>
    <row r="208" spans="1:1" x14ac:dyDescent="0.25">
      <c r="A208" t="s">
        <v>126</v>
      </c>
    </row>
    <row r="209" spans="1:13" x14ac:dyDescent="0.25">
      <c r="A209" t="s">
        <v>127</v>
      </c>
    </row>
    <row r="210" spans="1:13" x14ac:dyDescent="0.25">
      <c r="A210" t="s">
        <v>128</v>
      </c>
    </row>
    <row r="211" spans="1:13" x14ac:dyDescent="0.25">
      <c r="A211" t="s">
        <v>129</v>
      </c>
    </row>
    <row r="212" spans="1:13" x14ac:dyDescent="0.25">
      <c r="A212" t="s">
        <v>130</v>
      </c>
    </row>
    <row r="213" spans="1:13" x14ac:dyDescent="0.25">
      <c r="A213" t="s">
        <v>1251</v>
      </c>
    </row>
    <row r="215" spans="1:13" x14ac:dyDescent="0.25">
      <c r="A215" t="s">
        <v>4569</v>
      </c>
    </row>
    <row r="217" spans="1:13" x14ac:dyDescent="0.25">
      <c r="A217" t="s">
        <v>4570</v>
      </c>
    </row>
    <row r="219" spans="1:13" x14ac:dyDescent="0.25">
      <c r="A219" t="s">
        <v>4571</v>
      </c>
    </row>
    <row r="220" spans="1:13" x14ac:dyDescent="0.25">
      <c r="G220" t="s">
        <v>3329</v>
      </c>
      <c r="H220" t="s">
        <v>3330</v>
      </c>
      <c r="I220" t="s">
        <v>3331</v>
      </c>
      <c r="J220" t="s">
        <v>3332</v>
      </c>
      <c r="K220" t="s">
        <v>3333</v>
      </c>
      <c r="L220" t="s">
        <v>3334</v>
      </c>
      <c r="M220" t="s">
        <v>3335</v>
      </c>
    </row>
    <row r="221" spans="1:13" x14ac:dyDescent="0.25">
      <c r="A221" t="s">
        <v>73</v>
      </c>
    </row>
    <row r="222" spans="1:13" x14ac:dyDescent="0.25">
      <c r="A222" t="s">
        <v>1558</v>
      </c>
    </row>
    <row r="223" spans="1:13" x14ac:dyDescent="0.25">
      <c r="A223" t="s">
        <v>1559</v>
      </c>
    </row>
    <row r="224" spans="1:13" x14ac:dyDescent="0.25">
      <c r="G224" t="s">
        <v>786</v>
      </c>
      <c r="H224" t="s">
        <v>3327</v>
      </c>
      <c r="I224" t="s">
        <v>947</v>
      </c>
      <c r="J224" t="s">
        <v>3328</v>
      </c>
      <c r="K224" t="s">
        <v>947</v>
      </c>
    </row>
    <row r="225" spans="1:7" x14ac:dyDescent="0.25">
      <c r="A225" t="s">
        <v>1560</v>
      </c>
      <c r="G225" t="str">
        <f>IF(ISNUMBER(MATCH(IFERROR(LEFT(A225,SEARCH(",",A225)-1),""),$G$220:$M$220,0)),TEXT(MID(A225,SEARCH(",",A225)+2,LEN(A225)),"mm/dd/yy"),G224)</f>
        <v>03/20/19</v>
      </c>
    </row>
    <row r="226" spans="1:7" x14ac:dyDescent="0.25">
      <c r="G226" t="str">
        <f t="shared" ref="G226:G289" si="0">IF(ISNUMBER(MATCH(IFERROR(LEFT(A226,SEARCH(",",A226)-1),""),$G$220:$M$220,0)),TEXT(MID(A226,SEARCH(",",A226)+2,LEN(A226)),"mm/dd/yy"),G225)</f>
        <v>03/20/19</v>
      </c>
    </row>
    <row r="227" spans="1:7" x14ac:dyDescent="0.25">
      <c r="A227" t="s">
        <v>1561</v>
      </c>
      <c r="G227" t="str">
        <f t="shared" si="0"/>
        <v>03/20/19</v>
      </c>
    </row>
    <row r="228" spans="1:7" x14ac:dyDescent="0.25">
      <c r="G228" t="str">
        <f t="shared" si="0"/>
        <v>03/20/19</v>
      </c>
    </row>
    <row r="229" spans="1:7" x14ac:dyDescent="0.25">
      <c r="A229" t="s">
        <v>1562</v>
      </c>
      <c r="G229" t="str">
        <f t="shared" si="0"/>
        <v>03/20/19</v>
      </c>
    </row>
    <row r="230" spans="1:7" x14ac:dyDescent="0.25">
      <c r="G230" t="str">
        <f t="shared" si="0"/>
        <v>03/20/19</v>
      </c>
    </row>
    <row r="231" spans="1:7" x14ac:dyDescent="0.25">
      <c r="A231" t="s">
        <v>1563</v>
      </c>
      <c r="G231" t="str">
        <f t="shared" si="0"/>
        <v>03/21/19</v>
      </c>
    </row>
    <row r="232" spans="1:7" x14ac:dyDescent="0.25">
      <c r="G232" t="str">
        <f t="shared" si="0"/>
        <v>03/21/19</v>
      </c>
    </row>
    <row r="233" spans="1:7" x14ac:dyDescent="0.25">
      <c r="A233" t="s">
        <v>1564</v>
      </c>
      <c r="G233" t="str">
        <f t="shared" si="0"/>
        <v>03/21/19</v>
      </c>
    </row>
    <row r="234" spans="1:7" x14ac:dyDescent="0.25">
      <c r="G234" t="str">
        <f t="shared" si="0"/>
        <v>03/21/19</v>
      </c>
    </row>
    <row r="235" spans="1:7" x14ac:dyDescent="0.25">
      <c r="A235" t="s">
        <v>1565</v>
      </c>
      <c r="G235" t="str">
        <f t="shared" si="0"/>
        <v>03/21/19</v>
      </c>
    </row>
    <row r="236" spans="1:7" x14ac:dyDescent="0.25">
      <c r="G236" t="str">
        <f t="shared" si="0"/>
        <v>03/21/19</v>
      </c>
    </row>
    <row r="237" spans="1:7" x14ac:dyDescent="0.25">
      <c r="A237" t="s">
        <v>1566</v>
      </c>
      <c r="G237" t="str">
        <f t="shared" si="0"/>
        <v>03/22/19</v>
      </c>
    </row>
    <row r="238" spans="1:7" x14ac:dyDescent="0.25">
      <c r="G238" t="str">
        <f t="shared" si="0"/>
        <v>03/22/19</v>
      </c>
    </row>
    <row r="239" spans="1:7" x14ac:dyDescent="0.25">
      <c r="A239" t="s">
        <v>1567</v>
      </c>
      <c r="G239" t="str">
        <f t="shared" si="0"/>
        <v>03/22/19</v>
      </c>
    </row>
    <row r="240" spans="1:7" x14ac:dyDescent="0.25">
      <c r="G240" t="str">
        <f t="shared" si="0"/>
        <v>03/22/19</v>
      </c>
    </row>
    <row r="241" spans="1:7" x14ac:dyDescent="0.25">
      <c r="A241" t="s">
        <v>1568</v>
      </c>
      <c r="G241" t="str">
        <f t="shared" si="0"/>
        <v>03/22/19</v>
      </c>
    </row>
    <row r="242" spans="1:7" x14ac:dyDescent="0.25">
      <c r="G242" t="str">
        <f t="shared" si="0"/>
        <v>03/22/19</v>
      </c>
    </row>
    <row r="243" spans="1:7" x14ac:dyDescent="0.25">
      <c r="A243" t="s">
        <v>1569</v>
      </c>
      <c r="G243" t="str">
        <f t="shared" si="0"/>
        <v>03/22/19</v>
      </c>
    </row>
    <row r="244" spans="1:7" x14ac:dyDescent="0.25">
      <c r="G244" t="str">
        <f t="shared" si="0"/>
        <v>03/22/19</v>
      </c>
    </row>
    <row r="245" spans="1:7" x14ac:dyDescent="0.25">
      <c r="A245" t="s">
        <v>1570</v>
      </c>
      <c r="G245" t="str">
        <f t="shared" si="0"/>
        <v>03/22/19</v>
      </c>
    </row>
    <row r="246" spans="1:7" x14ac:dyDescent="0.25">
      <c r="G246" t="str">
        <f t="shared" si="0"/>
        <v>03/22/19</v>
      </c>
    </row>
    <row r="247" spans="1:7" x14ac:dyDescent="0.25">
      <c r="A247" t="s">
        <v>1571</v>
      </c>
      <c r="G247" t="str">
        <f t="shared" si="0"/>
        <v>03/22/19</v>
      </c>
    </row>
    <row r="248" spans="1:7" x14ac:dyDescent="0.25">
      <c r="G248" t="str">
        <f t="shared" si="0"/>
        <v>03/22/19</v>
      </c>
    </row>
    <row r="249" spans="1:7" x14ac:dyDescent="0.25">
      <c r="A249" t="s">
        <v>1572</v>
      </c>
      <c r="G249" t="str">
        <f t="shared" si="0"/>
        <v>03/22/19</v>
      </c>
    </row>
    <row r="250" spans="1:7" x14ac:dyDescent="0.25">
      <c r="G250" t="str">
        <f t="shared" si="0"/>
        <v>03/22/19</v>
      </c>
    </row>
    <row r="251" spans="1:7" x14ac:dyDescent="0.25">
      <c r="A251" t="s">
        <v>1573</v>
      </c>
      <c r="G251" t="str">
        <f t="shared" si="0"/>
        <v>03/22/19</v>
      </c>
    </row>
    <row r="252" spans="1:7" x14ac:dyDescent="0.25">
      <c r="G252" t="str">
        <f t="shared" si="0"/>
        <v>03/22/19</v>
      </c>
    </row>
    <row r="253" spans="1:7" x14ac:dyDescent="0.25">
      <c r="A253" t="s">
        <v>1574</v>
      </c>
      <c r="G253" t="str">
        <f t="shared" si="0"/>
        <v>03/22/19</v>
      </c>
    </row>
    <row r="254" spans="1:7" x14ac:dyDescent="0.25">
      <c r="G254" t="str">
        <f t="shared" si="0"/>
        <v>03/22/19</v>
      </c>
    </row>
    <row r="255" spans="1:7" x14ac:dyDescent="0.25">
      <c r="A255" t="s">
        <v>1575</v>
      </c>
      <c r="G255" t="str">
        <f t="shared" si="0"/>
        <v>03/22/19</v>
      </c>
    </row>
    <row r="256" spans="1:7" x14ac:dyDescent="0.25">
      <c r="G256" t="str">
        <f t="shared" si="0"/>
        <v>03/22/19</v>
      </c>
    </row>
    <row r="257" spans="1:7" x14ac:dyDescent="0.25">
      <c r="A257" t="s">
        <v>1576</v>
      </c>
      <c r="G257" t="str">
        <f t="shared" si="0"/>
        <v>03/22/19</v>
      </c>
    </row>
    <row r="258" spans="1:7" x14ac:dyDescent="0.25">
      <c r="G258" t="str">
        <f t="shared" si="0"/>
        <v>03/22/19</v>
      </c>
    </row>
    <row r="259" spans="1:7" x14ac:dyDescent="0.25">
      <c r="A259" t="s">
        <v>1577</v>
      </c>
      <c r="G259" t="str">
        <f t="shared" si="0"/>
        <v>03/22/19</v>
      </c>
    </row>
    <row r="260" spans="1:7" x14ac:dyDescent="0.25">
      <c r="G260" t="str">
        <f t="shared" si="0"/>
        <v>03/22/19</v>
      </c>
    </row>
    <row r="261" spans="1:7" x14ac:dyDescent="0.25">
      <c r="A261" t="s">
        <v>1578</v>
      </c>
      <c r="G261" t="str">
        <f t="shared" si="0"/>
        <v>03/22/19</v>
      </c>
    </row>
    <row r="262" spans="1:7" x14ac:dyDescent="0.25">
      <c r="G262" t="str">
        <f t="shared" si="0"/>
        <v>03/22/19</v>
      </c>
    </row>
    <row r="263" spans="1:7" x14ac:dyDescent="0.25">
      <c r="A263" t="s">
        <v>1579</v>
      </c>
      <c r="G263" t="str">
        <f t="shared" si="0"/>
        <v>03/22/19</v>
      </c>
    </row>
    <row r="264" spans="1:7" x14ac:dyDescent="0.25">
      <c r="G264" t="str">
        <f t="shared" si="0"/>
        <v>03/22/19</v>
      </c>
    </row>
    <row r="265" spans="1:7" x14ac:dyDescent="0.25">
      <c r="A265" t="s">
        <v>1580</v>
      </c>
      <c r="G265" t="str">
        <f t="shared" si="0"/>
        <v>03/22/19</v>
      </c>
    </row>
    <row r="266" spans="1:7" x14ac:dyDescent="0.25">
      <c r="G266" t="str">
        <f t="shared" si="0"/>
        <v>03/22/19</v>
      </c>
    </row>
    <row r="267" spans="1:7" x14ac:dyDescent="0.25">
      <c r="A267" t="s">
        <v>1581</v>
      </c>
      <c r="G267" t="str">
        <f t="shared" si="0"/>
        <v>03/22/19</v>
      </c>
    </row>
    <row r="268" spans="1:7" x14ac:dyDescent="0.25">
      <c r="G268" t="str">
        <f t="shared" si="0"/>
        <v>03/22/19</v>
      </c>
    </row>
    <row r="269" spans="1:7" x14ac:dyDescent="0.25">
      <c r="A269" t="s">
        <v>1582</v>
      </c>
      <c r="G269" t="str">
        <f t="shared" si="0"/>
        <v>03/22/19</v>
      </c>
    </row>
    <row r="270" spans="1:7" x14ac:dyDescent="0.25">
      <c r="G270" t="str">
        <f t="shared" si="0"/>
        <v>03/22/19</v>
      </c>
    </row>
    <row r="271" spans="1:7" x14ac:dyDescent="0.25">
      <c r="A271" t="s">
        <v>1583</v>
      </c>
      <c r="G271" t="str">
        <f t="shared" si="0"/>
        <v>03/22/19</v>
      </c>
    </row>
    <row r="272" spans="1:7" x14ac:dyDescent="0.25">
      <c r="G272" t="str">
        <f t="shared" si="0"/>
        <v>03/22/19</v>
      </c>
    </row>
    <row r="273" spans="1:7" x14ac:dyDescent="0.25">
      <c r="A273" t="s">
        <v>1584</v>
      </c>
      <c r="G273" t="str">
        <f t="shared" si="0"/>
        <v>03/22/19</v>
      </c>
    </row>
    <row r="274" spans="1:7" x14ac:dyDescent="0.25">
      <c r="G274" t="str">
        <f t="shared" si="0"/>
        <v>03/22/19</v>
      </c>
    </row>
    <row r="275" spans="1:7" x14ac:dyDescent="0.25">
      <c r="A275" t="s">
        <v>1585</v>
      </c>
      <c r="G275" t="str">
        <f t="shared" si="0"/>
        <v>03/23/19</v>
      </c>
    </row>
    <row r="276" spans="1:7" x14ac:dyDescent="0.25">
      <c r="G276" t="str">
        <f t="shared" si="0"/>
        <v>03/23/19</v>
      </c>
    </row>
    <row r="277" spans="1:7" x14ac:dyDescent="0.25">
      <c r="A277" t="s">
        <v>1586</v>
      </c>
      <c r="G277" t="str">
        <f t="shared" si="0"/>
        <v>03/23/19</v>
      </c>
    </row>
    <row r="278" spans="1:7" x14ac:dyDescent="0.25">
      <c r="G278" t="str">
        <f t="shared" si="0"/>
        <v>03/23/19</v>
      </c>
    </row>
    <row r="279" spans="1:7" x14ac:dyDescent="0.25">
      <c r="A279" t="s">
        <v>1587</v>
      </c>
      <c r="G279" t="str">
        <f t="shared" si="0"/>
        <v>03/23/19</v>
      </c>
    </row>
    <row r="280" spans="1:7" x14ac:dyDescent="0.25">
      <c r="G280" t="str">
        <f t="shared" si="0"/>
        <v>03/23/19</v>
      </c>
    </row>
    <row r="281" spans="1:7" x14ac:dyDescent="0.25">
      <c r="A281" t="s">
        <v>1588</v>
      </c>
      <c r="G281" t="str">
        <f t="shared" si="0"/>
        <v>03/23/19</v>
      </c>
    </row>
    <row r="282" spans="1:7" x14ac:dyDescent="0.25">
      <c r="G282" t="str">
        <f t="shared" si="0"/>
        <v>03/23/19</v>
      </c>
    </row>
    <row r="283" spans="1:7" x14ac:dyDescent="0.25">
      <c r="A283" t="s">
        <v>1589</v>
      </c>
      <c r="G283" t="str">
        <f t="shared" si="0"/>
        <v>03/23/19</v>
      </c>
    </row>
    <row r="284" spans="1:7" x14ac:dyDescent="0.25">
      <c r="G284" t="str">
        <f t="shared" si="0"/>
        <v>03/23/19</v>
      </c>
    </row>
    <row r="285" spans="1:7" x14ac:dyDescent="0.25">
      <c r="A285" t="s">
        <v>1590</v>
      </c>
      <c r="G285" t="str">
        <f t="shared" si="0"/>
        <v>03/23/19</v>
      </c>
    </row>
    <row r="286" spans="1:7" x14ac:dyDescent="0.25">
      <c r="G286" t="str">
        <f t="shared" si="0"/>
        <v>03/23/19</v>
      </c>
    </row>
    <row r="287" spans="1:7" x14ac:dyDescent="0.25">
      <c r="A287" t="s">
        <v>1591</v>
      </c>
      <c r="G287" t="str">
        <f t="shared" si="0"/>
        <v>03/23/19</v>
      </c>
    </row>
    <row r="288" spans="1:7" x14ac:dyDescent="0.25">
      <c r="G288" t="str">
        <f t="shared" si="0"/>
        <v>03/23/19</v>
      </c>
    </row>
    <row r="289" spans="1:7" x14ac:dyDescent="0.25">
      <c r="A289" t="s">
        <v>1592</v>
      </c>
      <c r="G289" t="str">
        <f t="shared" si="0"/>
        <v>03/23/19</v>
      </c>
    </row>
    <row r="290" spans="1:7" x14ac:dyDescent="0.25">
      <c r="G290" t="str">
        <f t="shared" ref="G290:G353" si="1">IF(ISNUMBER(MATCH(IFERROR(LEFT(A290,SEARCH(",",A290)-1),""),$G$220:$M$220,0)),TEXT(MID(A290,SEARCH(",",A290)+2,LEN(A290)),"mm/dd/yy"),G289)</f>
        <v>03/23/19</v>
      </c>
    </row>
    <row r="291" spans="1:7" x14ac:dyDescent="0.25">
      <c r="A291" t="s">
        <v>1593</v>
      </c>
      <c r="G291" t="str">
        <f t="shared" si="1"/>
        <v>03/23/19</v>
      </c>
    </row>
    <row r="292" spans="1:7" x14ac:dyDescent="0.25">
      <c r="G292" t="str">
        <f t="shared" si="1"/>
        <v>03/23/19</v>
      </c>
    </row>
    <row r="293" spans="1:7" x14ac:dyDescent="0.25">
      <c r="A293" t="s">
        <v>1594</v>
      </c>
      <c r="G293" t="str">
        <f t="shared" si="1"/>
        <v>03/23/19</v>
      </c>
    </row>
    <row r="294" spans="1:7" x14ac:dyDescent="0.25">
      <c r="G294" t="str">
        <f t="shared" si="1"/>
        <v>03/23/19</v>
      </c>
    </row>
    <row r="295" spans="1:7" x14ac:dyDescent="0.25">
      <c r="A295" t="s">
        <v>1595</v>
      </c>
      <c r="G295" t="str">
        <f t="shared" si="1"/>
        <v>03/23/19</v>
      </c>
    </row>
    <row r="296" spans="1:7" x14ac:dyDescent="0.25">
      <c r="G296" t="str">
        <f t="shared" si="1"/>
        <v>03/23/19</v>
      </c>
    </row>
    <row r="297" spans="1:7" x14ac:dyDescent="0.25">
      <c r="A297" t="s">
        <v>1596</v>
      </c>
      <c r="G297" t="str">
        <f t="shared" si="1"/>
        <v>03/23/19</v>
      </c>
    </row>
    <row r="298" spans="1:7" x14ac:dyDescent="0.25">
      <c r="G298" t="str">
        <f t="shared" si="1"/>
        <v>03/23/19</v>
      </c>
    </row>
    <row r="299" spans="1:7" x14ac:dyDescent="0.25">
      <c r="A299" t="s">
        <v>1597</v>
      </c>
      <c r="G299" t="str">
        <f t="shared" si="1"/>
        <v>03/23/19</v>
      </c>
    </row>
    <row r="300" spans="1:7" x14ac:dyDescent="0.25">
      <c r="G300" t="str">
        <f t="shared" si="1"/>
        <v>03/23/19</v>
      </c>
    </row>
    <row r="301" spans="1:7" x14ac:dyDescent="0.25">
      <c r="A301" t="s">
        <v>1598</v>
      </c>
      <c r="G301" t="str">
        <f t="shared" si="1"/>
        <v>03/23/19</v>
      </c>
    </row>
    <row r="302" spans="1:7" x14ac:dyDescent="0.25">
      <c r="G302" t="str">
        <f t="shared" si="1"/>
        <v>03/23/19</v>
      </c>
    </row>
    <row r="303" spans="1:7" x14ac:dyDescent="0.25">
      <c r="A303" t="s">
        <v>1599</v>
      </c>
      <c r="G303" t="str">
        <f t="shared" si="1"/>
        <v>03/23/19</v>
      </c>
    </row>
    <row r="304" spans="1:7" x14ac:dyDescent="0.25">
      <c r="G304" t="str">
        <f t="shared" si="1"/>
        <v>03/23/19</v>
      </c>
    </row>
    <row r="305" spans="1:7" x14ac:dyDescent="0.25">
      <c r="A305" t="s">
        <v>1600</v>
      </c>
      <c r="G305" t="str">
        <f t="shared" si="1"/>
        <v>03/23/19</v>
      </c>
    </row>
    <row r="306" spans="1:7" x14ac:dyDescent="0.25">
      <c r="G306" t="str">
        <f t="shared" si="1"/>
        <v>03/23/19</v>
      </c>
    </row>
    <row r="307" spans="1:7" x14ac:dyDescent="0.25">
      <c r="A307" t="s">
        <v>1601</v>
      </c>
      <c r="G307" t="str">
        <f t="shared" si="1"/>
        <v>03/23/19</v>
      </c>
    </row>
    <row r="308" spans="1:7" x14ac:dyDescent="0.25">
      <c r="G308" t="str">
        <f t="shared" si="1"/>
        <v>03/23/19</v>
      </c>
    </row>
    <row r="309" spans="1:7" x14ac:dyDescent="0.25">
      <c r="A309" t="s">
        <v>1602</v>
      </c>
      <c r="G309" t="str">
        <f t="shared" si="1"/>
        <v>03/24/19</v>
      </c>
    </row>
    <row r="310" spans="1:7" x14ac:dyDescent="0.25">
      <c r="G310" t="str">
        <f t="shared" si="1"/>
        <v>03/24/19</v>
      </c>
    </row>
    <row r="311" spans="1:7" x14ac:dyDescent="0.25">
      <c r="A311" t="s">
        <v>1603</v>
      </c>
      <c r="G311" t="str">
        <f t="shared" si="1"/>
        <v>03/24/19</v>
      </c>
    </row>
    <row r="312" spans="1:7" x14ac:dyDescent="0.25">
      <c r="G312" t="str">
        <f t="shared" si="1"/>
        <v>03/24/19</v>
      </c>
    </row>
    <row r="313" spans="1:7" x14ac:dyDescent="0.25">
      <c r="A313" t="s">
        <v>1604</v>
      </c>
      <c r="G313" t="str">
        <f t="shared" si="1"/>
        <v>03/24/19</v>
      </c>
    </row>
    <row r="314" spans="1:7" x14ac:dyDescent="0.25">
      <c r="G314" t="str">
        <f t="shared" si="1"/>
        <v>03/24/19</v>
      </c>
    </row>
    <row r="315" spans="1:7" x14ac:dyDescent="0.25">
      <c r="A315" t="s">
        <v>1605</v>
      </c>
      <c r="G315" t="str">
        <f t="shared" si="1"/>
        <v>03/24/19</v>
      </c>
    </row>
    <row r="316" spans="1:7" x14ac:dyDescent="0.25">
      <c r="G316" t="str">
        <f t="shared" si="1"/>
        <v>03/24/19</v>
      </c>
    </row>
    <row r="317" spans="1:7" x14ac:dyDescent="0.25">
      <c r="A317" t="s">
        <v>1606</v>
      </c>
      <c r="G317" t="str">
        <f t="shared" si="1"/>
        <v>03/24/19</v>
      </c>
    </row>
    <row r="318" spans="1:7" x14ac:dyDescent="0.25">
      <c r="G318" t="str">
        <f t="shared" si="1"/>
        <v>03/24/19</v>
      </c>
    </row>
    <row r="319" spans="1:7" x14ac:dyDescent="0.25">
      <c r="A319" t="s">
        <v>1607</v>
      </c>
      <c r="G319" t="str">
        <f t="shared" si="1"/>
        <v>03/24/19</v>
      </c>
    </row>
    <row r="320" spans="1:7" x14ac:dyDescent="0.25">
      <c r="G320" t="str">
        <f t="shared" si="1"/>
        <v>03/24/19</v>
      </c>
    </row>
    <row r="321" spans="1:7" x14ac:dyDescent="0.25">
      <c r="A321" t="s">
        <v>1608</v>
      </c>
      <c r="G321" t="str">
        <f t="shared" si="1"/>
        <v>03/24/19</v>
      </c>
    </row>
    <row r="322" spans="1:7" x14ac:dyDescent="0.25">
      <c r="G322" t="str">
        <f t="shared" si="1"/>
        <v>03/24/19</v>
      </c>
    </row>
    <row r="323" spans="1:7" x14ac:dyDescent="0.25">
      <c r="A323" t="s">
        <v>1609</v>
      </c>
      <c r="G323" t="str">
        <f t="shared" si="1"/>
        <v>03/24/19</v>
      </c>
    </row>
    <row r="324" spans="1:7" x14ac:dyDescent="0.25">
      <c r="G324" t="str">
        <f t="shared" si="1"/>
        <v>03/24/19</v>
      </c>
    </row>
    <row r="325" spans="1:7" x14ac:dyDescent="0.25">
      <c r="A325" t="s">
        <v>1610</v>
      </c>
      <c r="G325" t="str">
        <f t="shared" si="1"/>
        <v>03/24/19</v>
      </c>
    </row>
    <row r="326" spans="1:7" x14ac:dyDescent="0.25">
      <c r="G326" t="str">
        <f t="shared" si="1"/>
        <v>03/24/19</v>
      </c>
    </row>
    <row r="327" spans="1:7" x14ac:dyDescent="0.25">
      <c r="A327" t="s">
        <v>1611</v>
      </c>
      <c r="G327" t="str">
        <f t="shared" si="1"/>
        <v>03/24/19</v>
      </c>
    </row>
    <row r="328" spans="1:7" x14ac:dyDescent="0.25">
      <c r="G328" t="str">
        <f t="shared" si="1"/>
        <v>03/24/19</v>
      </c>
    </row>
    <row r="329" spans="1:7" x14ac:dyDescent="0.25">
      <c r="A329" t="s">
        <v>1612</v>
      </c>
      <c r="G329" t="str">
        <f t="shared" si="1"/>
        <v>03/24/19</v>
      </c>
    </row>
    <row r="330" spans="1:7" x14ac:dyDescent="0.25">
      <c r="G330" t="str">
        <f t="shared" si="1"/>
        <v>03/24/19</v>
      </c>
    </row>
    <row r="331" spans="1:7" x14ac:dyDescent="0.25">
      <c r="A331" t="s">
        <v>1613</v>
      </c>
      <c r="G331" t="str">
        <f t="shared" si="1"/>
        <v>03/24/19</v>
      </c>
    </row>
    <row r="332" spans="1:7" x14ac:dyDescent="0.25">
      <c r="G332" t="str">
        <f t="shared" si="1"/>
        <v>03/24/19</v>
      </c>
    </row>
    <row r="333" spans="1:7" x14ac:dyDescent="0.25">
      <c r="A333" t="s">
        <v>1614</v>
      </c>
      <c r="G333" t="str">
        <f t="shared" si="1"/>
        <v>03/24/19</v>
      </c>
    </row>
    <row r="334" spans="1:7" x14ac:dyDescent="0.25">
      <c r="G334" t="str">
        <f t="shared" si="1"/>
        <v>03/24/19</v>
      </c>
    </row>
    <row r="335" spans="1:7" x14ac:dyDescent="0.25">
      <c r="A335" t="s">
        <v>1615</v>
      </c>
      <c r="G335" t="str">
        <f t="shared" si="1"/>
        <v>03/24/19</v>
      </c>
    </row>
    <row r="336" spans="1:7" x14ac:dyDescent="0.25">
      <c r="G336" t="str">
        <f t="shared" si="1"/>
        <v>03/24/19</v>
      </c>
    </row>
    <row r="337" spans="1:7" x14ac:dyDescent="0.25">
      <c r="A337" t="s">
        <v>1616</v>
      </c>
      <c r="G337" t="str">
        <f t="shared" si="1"/>
        <v>03/24/19</v>
      </c>
    </row>
    <row r="338" spans="1:7" x14ac:dyDescent="0.25">
      <c r="G338" t="str">
        <f t="shared" si="1"/>
        <v>03/24/19</v>
      </c>
    </row>
    <row r="339" spans="1:7" x14ac:dyDescent="0.25">
      <c r="A339" t="s">
        <v>1617</v>
      </c>
      <c r="G339" t="str">
        <f t="shared" si="1"/>
        <v>03/24/19</v>
      </c>
    </row>
    <row r="340" spans="1:7" x14ac:dyDescent="0.25">
      <c r="G340" t="str">
        <f t="shared" si="1"/>
        <v>03/24/19</v>
      </c>
    </row>
    <row r="341" spans="1:7" x14ac:dyDescent="0.25">
      <c r="A341" t="s">
        <v>1618</v>
      </c>
      <c r="G341" t="str">
        <f t="shared" si="1"/>
        <v>03/24/19</v>
      </c>
    </row>
    <row r="342" spans="1:7" x14ac:dyDescent="0.25">
      <c r="G342" t="str">
        <f t="shared" si="1"/>
        <v>03/24/19</v>
      </c>
    </row>
    <row r="343" spans="1:7" x14ac:dyDescent="0.25">
      <c r="A343" t="s">
        <v>1619</v>
      </c>
      <c r="G343" t="str">
        <f t="shared" si="1"/>
        <v>03/25/19</v>
      </c>
    </row>
    <row r="344" spans="1:7" x14ac:dyDescent="0.25">
      <c r="G344" t="str">
        <f t="shared" si="1"/>
        <v>03/25/19</v>
      </c>
    </row>
    <row r="345" spans="1:7" x14ac:dyDescent="0.25">
      <c r="A345" t="s">
        <v>1620</v>
      </c>
      <c r="G345" t="str">
        <f t="shared" si="1"/>
        <v>03/25/19</v>
      </c>
    </row>
    <row r="346" spans="1:7" x14ac:dyDescent="0.25">
      <c r="G346" t="str">
        <f t="shared" si="1"/>
        <v>03/25/19</v>
      </c>
    </row>
    <row r="347" spans="1:7" x14ac:dyDescent="0.25">
      <c r="A347" t="s">
        <v>1621</v>
      </c>
      <c r="G347" t="str">
        <f t="shared" si="1"/>
        <v>03/25/19</v>
      </c>
    </row>
    <row r="348" spans="1:7" x14ac:dyDescent="0.25">
      <c r="G348" t="str">
        <f t="shared" si="1"/>
        <v>03/25/19</v>
      </c>
    </row>
    <row r="349" spans="1:7" x14ac:dyDescent="0.25">
      <c r="A349" t="s">
        <v>1622</v>
      </c>
      <c r="G349" t="str">
        <f t="shared" si="1"/>
        <v>03/25/19</v>
      </c>
    </row>
    <row r="350" spans="1:7" x14ac:dyDescent="0.25">
      <c r="G350" t="str">
        <f t="shared" si="1"/>
        <v>03/25/19</v>
      </c>
    </row>
    <row r="351" spans="1:7" x14ac:dyDescent="0.25">
      <c r="A351" t="s">
        <v>1623</v>
      </c>
      <c r="G351" t="str">
        <f t="shared" si="1"/>
        <v>03/25/19</v>
      </c>
    </row>
    <row r="352" spans="1:7" x14ac:dyDescent="0.25">
      <c r="G352" t="str">
        <f t="shared" si="1"/>
        <v>03/25/19</v>
      </c>
    </row>
    <row r="353" spans="1:7" x14ac:dyDescent="0.25">
      <c r="A353" t="s">
        <v>1624</v>
      </c>
      <c r="G353" t="str">
        <f t="shared" si="1"/>
        <v>03/25/19</v>
      </c>
    </row>
    <row r="354" spans="1:7" x14ac:dyDescent="0.25">
      <c r="G354" t="str">
        <f t="shared" ref="G354:G417" si="2">IF(ISNUMBER(MATCH(IFERROR(LEFT(A354,SEARCH(",",A354)-1),""),$G$220:$M$220,0)),TEXT(MID(A354,SEARCH(",",A354)+2,LEN(A354)),"mm/dd/yy"),G353)</f>
        <v>03/25/19</v>
      </c>
    </row>
    <row r="355" spans="1:7" x14ac:dyDescent="0.25">
      <c r="A355" t="s">
        <v>1625</v>
      </c>
      <c r="G355" t="str">
        <f t="shared" si="2"/>
        <v>03/25/19</v>
      </c>
    </row>
    <row r="356" spans="1:7" x14ac:dyDescent="0.25">
      <c r="G356" t="str">
        <f t="shared" si="2"/>
        <v>03/25/19</v>
      </c>
    </row>
    <row r="357" spans="1:7" x14ac:dyDescent="0.25">
      <c r="A357" t="s">
        <v>1626</v>
      </c>
      <c r="G357" t="str">
        <f t="shared" si="2"/>
        <v>03/25/19</v>
      </c>
    </row>
    <row r="358" spans="1:7" x14ac:dyDescent="0.25">
      <c r="G358" t="str">
        <f t="shared" si="2"/>
        <v>03/25/19</v>
      </c>
    </row>
    <row r="359" spans="1:7" x14ac:dyDescent="0.25">
      <c r="A359" t="s">
        <v>1627</v>
      </c>
      <c r="G359" t="str">
        <f t="shared" si="2"/>
        <v>03/25/19</v>
      </c>
    </row>
    <row r="360" spans="1:7" x14ac:dyDescent="0.25">
      <c r="G360" t="str">
        <f t="shared" si="2"/>
        <v>03/25/19</v>
      </c>
    </row>
    <row r="361" spans="1:7" x14ac:dyDescent="0.25">
      <c r="A361" t="s">
        <v>1628</v>
      </c>
      <c r="G361" t="str">
        <f t="shared" si="2"/>
        <v>03/25/19</v>
      </c>
    </row>
    <row r="362" spans="1:7" x14ac:dyDescent="0.25">
      <c r="G362" t="str">
        <f t="shared" si="2"/>
        <v>03/25/19</v>
      </c>
    </row>
    <row r="363" spans="1:7" x14ac:dyDescent="0.25">
      <c r="A363" t="s">
        <v>1629</v>
      </c>
      <c r="G363" t="str">
        <f t="shared" si="2"/>
        <v>03/25/19</v>
      </c>
    </row>
    <row r="364" spans="1:7" x14ac:dyDescent="0.25">
      <c r="G364" t="str">
        <f t="shared" si="2"/>
        <v>03/25/19</v>
      </c>
    </row>
    <row r="365" spans="1:7" x14ac:dyDescent="0.25">
      <c r="A365" t="s">
        <v>1630</v>
      </c>
      <c r="G365" t="str">
        <f t="shared" si="2"/>
        <v>03/25/19</v>
      </c>
    </row>
    <row r="366" spans="1:7" x14ac:dyDescent="0.25">
      <c r="G366" t="str">
        <f t="shared" si="2"/>
        <v>03/25/19</v>
      </c>
    </row>
    <row r="367" spans="1:7" x14ac:dyDescent="0.25">
      <c r="A367" t="s">
        <v>1631</v>
      </c>
      <c r="G367" t="str">
        <f t="shared" si="2"/>
        <v>03/25/19</v>
      </c>
    </row>
    <row r="368" spans="1:7" x14ac:dyDescent="0.25">
      <c r="G368" t="str">
        <f t="shared" si="2"/>
        <v>03/25/19</v>
      </c>
    </row>
    <row r="369" spans="1:7" x14ac:dyDescent="0.25">
      <c r="A369" t="s">
        <v>1632</v>
      </c>
      <c r="G369" t="str">
        <f t="shared" si="2"/>
        <v>03/25/19</v>
      </c>
    </row>
    <row r="370" spans="1:7" x14ac:dyDescent="0.25">
      <c r="G370" t="str">
        <f t="shared" si="2"/>
        <v>03/25/19</v>
      </c>
    </row>
    <row r="371" spans="1:7" x14ac:dyDescent="0.25">
      <c r="A371" t="s">
        <v>1633</v>
      </c>
      <c r="G371" t="str">
        <f t="shared" si="2"/>
        <v>03/26/19</v>
      </c>
    </row>
    <row r="372" spans="1:7" x14ac:dyDescent="0.25">
      <c r="G372" t="str">
        <f t="shared" si="2"/>
        <v>03/26/19</v>
      </c>
    </row>
    <row r="373" spans="1:7" x14ac:dyDescent="0.25">
      <c r="A373" t="s">
        <v>1634</v>
      </c>
      <c r="G373" t="str">
        <f t="shared" si="2"/>
        <v>03/26/19</v>
      </c>
    </row>
    <row r="374" spans="1:7" x14ac:dyDescent="0.25">
      <c r="G374" t="str">
        <f t="shared" si="2"/>
        <v>03/26/19</v>
      </c>
    </row>
    <row r="375" spans="1:7" x14ac:dyDescent="0.25">
      <c r="A375" t="s">
        <v>1635</v>
      </c>
      <c r="G375" t="str">
        <f t="shared" si="2"/>
        <v>03/26/19</v>
      </c>
    </row>
    <row r="376" spans="1:7" x14ac:dyDescent="0.25">
      <c r="G376" t="str">
        <f t="shared" si="2"/>
        <v>03/26/19</v>
      </c>
    </row>
    <row r="377" spans="1:7" x14ac:dyDescent="0.25">
      <c r="A377" t="s">
        <v>1636</v>
      </c>
      <c r="G377" t="str">
        <f t="shared" si="2"/>
        <v>03/26/19</v>
      </c>
    </row>
    <row r="378" spans="1:7" x14ac:dyDescent="0.25">
      <c r="G378" t="str">
        <f t="shared" si="2"/>
        <v>03/26/19</v>
      </c>
    </row>
    <row r="379" spans="1:7" x14ac:dyDescent="0.25">
      <c r="A379" t="s">
        <v>1637</v>
      </c>
      <c r="G379" t="str">
        <f t="shared" si="2"/>
        <v>03/26/19</v>
      </c>
    </row>
    <row r="380" spans="1:7" x14ac:dyDescent="0.25">
      <c r="G380" t="str">
        <f t="shared" si="2"/>
        <v>03/26/19</v>
      </c>
    </row>
    <row r="381" spans="1:7" x14ac:dyDescent="0.25">
      <c r="A381" t="s">
        <v>1638</v>
      </c>
      <c r="G381" t="str">
        <f t="shared" si="2"/>
        <v>03/26/19</v>
      </c>
    </row>
    <row r="382" spans="1:7" x14ac:dyDescent="0.25">
      <c r="G382" t="str">
        <f t="shared" si="2"/>
        <v>03/26/19</v>
      </c>
    </row>
    <row r="383" spans="1:7" x14ac:dyDescent="0.25">
      <c r="A383" t="s">
        <v>1639</v>
      </c>
      <c r="G383" t="str">
        <f t="shared" si="2"/>
        <v>03/26/19</v>
      </c>
    </row>
    <row r="384" spans="1:7" x14ac:dyDescent="0.25">
      <c r="G384" t="str">
        <f t="shared" si="2"/>
        <v>03/26/19</v>
      </c>
    </row>
    <row r="385" spans="1:14" x14ac:dyDescent="0.25">
      <c r="A385" t="s">
        <v>1640</v>
      </c>
      <c r="G385" t="str">
        <f t="shared" si="2"/>
        <v>03/26/19</v>
      </c>
    </row>
    <row r="386" spans="1:14" x14ac:dyDescent="0.25">
      <c r="G386" t="str">
        <f t="shared" si="2"/>
        <v>03/26/19</v>
      </c>
    </row>
    <row r="387" spans="1:14" x14ac:dyDescent="0.25">
      <c r="A387" t="s">
        <v>1641</v>
      </c>
      <c r="G387" t="str">
        <f t="shared" si="2"/>
        <v>03/26/19</v>
      </c>
    </row>
    <row r="388" spans="1:14" x14ac:dyDescent="0.25">
      <c r="G388" t="str">
        <f t="shared" si="2"/>
        <v>03/26/19</v>
      </c>
    </row>
    <row r="389" spans="1:14" x14ac:dyDescent="0.25">
      <c r="A389" t="s">
        <v>1623</v>
      </c>
      <c r="G389" t="str">
        <f t="shared" si="2"/>
        <v>03/26/19</v>
      </c>
    </row>
    <row r="390" spans="1:14" x14ac:dyDescent="0.25">
      <c r="G390" t="str">
        <f t="shared" si="2"/>
        <v>03/26/19</v>
      </c>
    </row>
    <row r="391" spans="1:14" x14ac:dyDescent="0.25">
      <c r="A391" t="s">
        <v>1629</v>
      </c>
      <c r="G391" t="str">
        <f t="shared" si="2"/>
        <v>03/26/19</v>
      </c>
    </row>
    <row r="392" spans="1:14" x14ac:dyDescent="0.25">
      <c r="G392" t="str">
        <f t="shared" si="2"/>
        <v>03/26/19</v>
      </c>
    </row>
    <row r="393" spans="1:14" x14ac:dyDescent="0.25">
      <c r="A393" t="s">
        <v>1642</v>
      </c>
      <c r="G393" t="str">
        <f t="shared" si="2"/>
        <v>03/26/19</v>
      </c>
    </row>
    <row r="394" spans="1:14" x14ac:dyDescent="0.25">
      <c r="G394" t="str">
        <f t="shared" si="2"/>
        <v>03/26/19</v>
      </c>
    </row>
    <row r="395" spans="1:14" x14ac:dyDescent="0.25">
      <c r="A395" t="s">
        <v>1643</v>
      </c>
      <c r="G395" t="str">
        <f t="shared" si="2"/>
        <v>03/26/19</v>
      </c>
    </row>
    <row r="396" spans="1:14" x14ac:dyDescent="0.25">
      <c r="G396" t="str">
        <f t="shared" si="2"/>
        <v>03/26/19</v>
      </c>
    </row>
    <row r="397" spans="1:14" x14ac:dyDescent="0.25">
      <c r="A397" t="s">
        <v>1644</v>
      </c>
      <c r="G397" t="str">
        <f t="shared" si="2"/>
        <v>03/28/19</v>
      </c>
      <c r="I397" s="7"/>
    </row>
    <row r="398" spans="1:14" x14ac:dyDescent="0.25">
      <c r="G398" t="str">
        <f t="shared" si="2"/>
        <v>03/28/19</v>
      </c>
      <c r="I398" s="7"/>
    </row>
    <row r="399" spans="1:14" x14ac:dyDescent="0.25">
      <c r="A399" t="s">
        <v>1645</v>
      </c>
      <c r="G399" t="str">
        <f t="shared" si="2"/>
        <v>03/28/19</v>
      </c>
      <c r="H399" t="str">
        <f>IFERROR(LEFT(MID(A399,1,SEARCH("@",A399)-2),SEARCH("(",A399)-2),"")</f>
        <v>Pittsburgh Pirates</v>
      </c>
      <c r="I399" s="60">
        <f>IFERROR(VALUE(MID(A399,SEARCH("(",A399)+1,SEARCH(")",A399)-SEARCH("(",A399)-1)),"")</f>
        <v>3</v>
      </c>
      <c r="J399" t="str">
        <f>IFERROR(MID(A399,SEARCH("@",A399)+2,SEARCH("(",A399,SEARCH("@",A399))-SEARCH("@",A399)-3),"")</f>
        <v>Cincinnati Reds</v>
      </c>
      <c r="K399" s="60">
        <f>IFERROR(VALUE(MID(A399,SEARCH(J399,A399)+LEN(J399)+2,(SEARCH(")",A399,SEARCH("@",A399))-SEARCH("(",A399,SEARCH("@",A399))-1))),"")</f>
        <v>5</v>
      </c>
      <c r="L399">
        <f>IFERROR(I399-K399,"")</f>
        <v>-2</v>
      </c>
      <c r="N399" s="7"/>
    </row>
    <row r="400" spans="1:14" x14ac:dyDescent="0.25">
      <c r="G400" t="str">
        <f t="shared" si="2"/>
        <v>03/28/19</v>
      </c>
      <c r="H400" t="str">
        <f t="shared" ref="H400:H463" si="3">IFERROR(LEFT(MID(A400,1,SEARCH("@",A400)-2),SEARCH("(",A400)-2),"")</f>
        <v/>
      </c>
      <c r="I400" s="60" t="str">
        <f t="shared" ref="I400:I463" si="4">IFERROR(VALUE(MID(A400,SEARCH("(",A400)+1,SEARCH(")",A400)-SEARCH("(",A400)-1)),"")</f>
        <v/>
      </c>
      <c r="J400" t="str">
        <f t="shared" ref="J400:J463" si="5">IFERROR(MID(A400,SEARCH("@",A400)+2,SEARCH("(",A400,SEARCH("@",A400))-SEARCH("@",A400)-3),"")</f>
        <v/>
      </c>
      <c r="K400" s="60" t="str">
        <f t="shared" ref="K400:K463" si="6">IFERROR(VALUE(MID(A400,SEARCH(J400,A400)+LEN(J400)+2,(SEARCH(")",A400,SEARCH("@",A400))-SEARCH("(",A400,SEARCH("@",A400))-1))),"")</f>
        <v/>
      </c>
      <c r="L400" t="str">
        <f t="shared" ref="L400:L463" si="7">IFERROR(I400-K400,"")</f>
        <v/>
      </c>
    </row>
    <row r="401" spans="1:12" x14ac:dyDescent="0.25">
      <c r="A401" t="s">
        <v>1646</v>
      </c>
      <c r="G401" t="str">
        <f t="shared" si="2"/>
        <v>03/28/19</v>
      </c>
      <c r="H401" t="str">
        <f t="shared" si="3"/>
        <v>Chicago White Sox</v>
      </c>
      <c r="I401" s="60">
        <f t="shared" si="4"/>
        <v>3</v>
      </c>
      <c r="J401" t="str">
        <f t="shared" si="5"/>
        <v>Kansas City Royals</v>
      </c>
      <c r="K401" s="60">
        <f t="shared" si="6"/>
        <v>5</v>
      </c>
      <c r="L401">
        <f t="shared" si="7"/>
        <v>-2</v>
      </c>
    </row>
    <row r="402" spans="1:12" x14ac:dyDescent="0.25">
      <c r="G402" t="str">
        <f t="shared" si="2"/>
        <v>03/28/19</v>
      </c>
      <c r="H402" t="str">
        <f t="shared" si="3"/>
        <v/>
      </c>
      <c r="I402" s="60" t="str">
        <f t="shared" si="4"/>
        <v/>
      </c>
      <c r="J402" t="str">
        <f t="shared" si="5"/>
        <v/>
      </c>
      <c r="K402" s="60" t="str">
        <f t="shared" si="6"/>
        <v/>
      </c>
      <c r="L402" t="str">
        <f t="shared" si="7"/>
        <v/>
      </c>
    </row>
    <row r="403" spans="1:12" x14ac:dyDescent="0.25">
      <c r="A403" t="s">
        <v>1647</v>
      </c>
      <c r="G403" t="str">
        <f t="shared" si="2"/>
        <v>03/28/19</v>
      </c>
      <c r="H403" t="str">
        <f t="shared" si="3"/>
        <v>Arizona D'Backs</v>
      </c>
      <c r="I403" s="60">
        <f t="shared" si="4"/>
        <v>5</v>
      </c>
      <c r="J403" t="str">
        <f t="shared" si="5"/>
        <v>Los Angeles Dodgers</v>
      </c>
      <c r="K403" s="60">
        <f t="shared" si="6"/>
        <v>12</v>
      </c>
      <c r="L403">
        <f t="shared" si="7"/>
        <v>-7</v>
      </c>
    </row>
    <row r="404" spans="1:12" x14ac:dyDescent="0.25">
      <c r="G404" t="str">
        <f t="shared" si="2"/>
        <v>03/28/19</v>
      </c>
      <c r="H404" t="str">
        <f t="shared" si="3"/>
        <v/>
      </c>
      <c r="I404" s="60" t="str">
        <f t="shared" si="4"/>
        <v/>
      </c>
      <c r="J404" t="str">
        <f t="shared" si="5"/>
        <v/>
      </c>
      <c r="K404" s="60" t="str">
        <f t="shared" si="6"/>
        <v/>
      </c>
      <c r="L404" t="str">
        <f t="shared" si="7"/>
        <v/>
      </c>
    </row>
    <row r="405" spans="1:12" x14ac:dyDescent="0.25">
      <c r="A405" t="s">
        <v>1648</v>
      </c>
      <c r="G405" t="str">
        <f t="shared" si="2"/>
        <v>03/28/19</v>
      </c>
      <c r="H405" t="str">
        <f t="shared" si="3"/>
        <v>Colorado Rockies</v>
      </c>
      <c r="I405" s="60">
        <f t="shared" si="4"/>
        <v>6</v>
      </c>
      <c r="J405" t="str">
        <f t="shared" si="5"/>
        <v>Miami Marlins</v>
      </c>
      <c r="K405" s="60">
        <f t="shared" si="6"/>
        <v>3</v>
      </c>
      <c r="L405">
        <f t="shared" si="7"/>
        <v>3</v>
      </c>
    </row>
    <row r="406" spans="1:12" x14ac:dyDescent="0.25">
      <c r="G406" t="str">
        <f t="shared" si="2"/>
        <v>03/28/19</v>
      </c>
      <c r="H406" t="str">
        <f t="shared" si="3"/>
        <v/>
      </c>
      <c r="I406" s="60" t="str">
        <f t="shared" si="4"/>
        <v/>
      </c>
      <c r="J406" t="str">
        <f t="shared" si="5"/>
        <v/>
      </c>
      <c r="K406" s="60" t="str">
        <f t="shared" si="6"/>
        <v/>
      </c>
      <c r="L406" t="str">
        <f t="shared" si="7"/>
        <v/>
      </c>
    </row>
    <row r="407" spans="1:12" x14ac:dyDescent="0.25">
      <c r="A407" t="s">
        <v>1649</v>
      </c>
      <c r="G407" t="str">
        <f t="shared" si="2"/>
        <v>03/28/19</v>
      </c>
      <c r="H407" t="str">
        <f t="shared" si="3"/>
        <v>St. Louis Cardinals</v>
      </c>
      <c r="I407" s="60">
        <f t="shared" si="4"/>
        <v>4</v>
      </c>
      <c r="J407" t="str">
        <f t="shared" si="5"/>
        <v>Milwaukee Brewers</v>
      </c>
      <c r="K407" s="60">
        <f t="shared" si="6"/>
        <v>5</v>
      </c>
      <c r="L407">
        <f t="shared" si="7"/>
        <v>-1</v>
      </c>
    </row>
    <row r="408" spans="1:12" x14ac:dyDescent="0.25">
      <c r="G408" t="str">
        <f t="shared" si="2"/>
        <v>03/28/19</v>
      </c>
      <c r="H408" t="str">
        <f t="shared" si="3"/>
        <v/>
      </c>
      <c r="I408" s="60" t="str">
        <f t="shared" si="4"/>
        <v/>
      </c>
      <c r="J408" t="str">
        <f t="shared" si="5"/>
        <v/>
      </c>
      <c r="K408" s="60" t="str">
        <f t="shared" si="6"/>
        <v/>
      </c>
      <c r="L408" t="str">
        <f t="shared" si="7"/>
        <v/>
      </c>
    </row>
    <row r="409" spans="1:12" x14ac:dyDescent="0.25">
      <c r="A409" t="s">
        <v>1650</v>
      </c>
      <c r="G409" t="str">
        <f t="shared" si="2"/>
        <v>03/28/19</v>
      </c>
      <c r="H409" t="str">
        <f t="shared" si="3"/>
        <v>Cleveland Indians</v>
      </c>
      <c r="I409" s="60">
        <f t="shared" si="4"/>
        <v>0</v>
      </c>
      <c r="J409" t="str">
        <f t="shared" si="5"/>
        <v>Minnesota Twins</v>
      </c>
      <c r="K409" s="60">
        <f t="shared" si="6"/>
        <v>2</v>
      </c>
      <c r="L409">
        <f t="shared" si="7"/>
        <v>-2</v>
      </c>
    </row>
    <row r="410" spans="1:12" x14ac:dyDescent="0.25">
      <c r="G410" t="str">
        <f t="shared" si="2"/>
        <v>03/28/19</v>
      </c>
      <c r="H410" t="str">
        <f t="shared" si="3"/>
        <v/>
      </c>
      <c r="I410" s="60" t="str">
        <f t="shared" si="4"/>
        <v/>
      </c>
      <c r="J410" t="str">
        <f t="shared" si="5"/>
        <v/>
      </c>
      <c r="K410" s="60" t="str">
        <f t="shared" si="6"/>
        <v/>
      </c>
      <c r="L410" t="str">
        <f t="shared" si="7"/>
        <v/>
      </c>
    </row>
    <row r="411" spans="1:12" x14ac:dyDescent="0.25">
      <c r="A411" t="s">
        <v>1651</v>
      </c>
      <c r="G411" t="str">
        <f t="shared" si="2"/>
        <v>03/28/19</v>
      </c>
      <c r="H411" t="str">
        <f t="shared" si="3"/>
        <v>Baltimore Orioles</v>
      </c>
      <c r="I411" s="60">
        <f t="shared" si="4"/>
        <v>2</v>
      </c>
      <c r="J411" t="str">
        <f t="shared" si="5"/>
        <v>New York Yankees</v>
      </c>
      <c r="K411" s="60">
        <f t="shared" si="6"/>
        <v>7</v>
      </c>
      <c r="L411">
        <f t="shared" si="7"/>
        <v>-5</v>
      </c>
    </row>
    <row r="412" spans="1:12" x14ac:dyDescent="0.25">
      <c r="G412" t="str">
        <f t="shared" si="2"/>
        <v>03/28/19</v>
      </c>
      <c r="H412" t="str">
        <f t="shared" si="3"/>
        <v/>
      </c>
      <c r="I412" s="60" t="str">
        <f t="shared" si="4"/>
        <v/>
      </c>
      <c r="J412" t="str">
        <f t="shared" si="5"/>
        <v/>
      </c>
      <c r="K412" s="60" t="str">
        <f t="shared" si="6"/>
        <v/>
      </c>
      <c r="L412" t="str">
        <f t="shared" si="7"/>
        <v/>
      </c>
    </row>
    <row r="413" spans="1:12" x14ac:dyDescent="0.25">
      <c r="A413" t="s">
        <v>1652</v>
      </c>
      <c r="G413" t="str">
        <f t="shared" si="2"/>
        <v>03/28/19</v>
      </c>
      <c r="H413" t="str">
        <f t="shared" si="3"/>
        <v>Los Angeles Angels</v>
      </c>
      <c r="I413" s="60">
        <f t="shared" si="4"/>
        <v>0</v>
      </c>
      <c r="J413" t="str">
        <f t="shared" si="5"/>
        <v>Oakland Athletics</v>
      </c>
      <c r="K413" s="60">
        <f t="shared" si="6"/>
        <v>4</v>
      </c>
      <c r="L413">
        <f t="shared" si="7"/>
        <v>-4</v>
      </c>
    </row>
    <row r="414" spans="1:12" x14ac:dyDescent="0.25">
      <c r="G414" t="str">
        <f t="shared" si="2"/>
        <v>03/28/19</v>
      </c>
      <c r="H414" t="str">
        <f t="shared" si="3"/>
        <v/>
      </c>
      <c r="I414" s="60" t="str">
        <f t="shared" si="4"/>
        <v/>
      </c>
      <c r="J414" t="str">
        <f t="shared" si="5"/>
        <v/>
      </c>
      <c r="K414" s="60" t="str">
        <f t="shared" si="6"/>
        <v/>
      </c>
      <c r="L414" t="str">
        <f t="shared" si="7"/>
        <v/>
      </c>
    </row>
    <row r="415" spans="1:12" x14ac:dyDescent="0.25">
      <c r="A415" t="s">
        <v>1653</v>
      </c>
      <c r="G415" t="str">
        <f t="shared" si="2"/>
        <v>03/28/19</v>
      </c>
      <c r="H415" t="str">
        <f t="shared" si="3"/>
        <v>Atlanta Braves</v>
      </c>
      <c r="I415" s="60">
        <f t="shared" si="4"/>
        <v>4</v>
      </c>
      <c r="J415" t="str">
        <f t="shared" si="5"/>
        <v>Philadelphia Phillies</v>
      </c>
      <c r="K415" s="60">
        <f t="shared" si="6"/>
        <v>10</v>
      </c>
      <c r="L415">
        <f t="shared" si="7"/>
        <v>-6</v>
      </c>
    </row>
    <row r="416" spans="1:12" x14ac:dyDescent="0.25">
      <c r="G416" t="str">
        <f t="shared" si="2"/>
        <v>03/28/19</v>
      </c>
      <c r="H416" t="str">
        <f t="shared" si="3"/>
        <v/>
      </c>
      <c r="I416" s="60" t="str">
        <f t="shared" si="4"/>
        <v/>
      </c>
      <c r="J416" t="str">
        <f t="shared" si="5"/>
        <v/>
      </c>
      <c r="K416" s="60" t="str">
        <f t="shared" si="6"/>
        <v/>
      </c>
      <c r="L416" t="str">
        <f t="shared" si="7"/>
        <v/>
      </c>
    </row>
    <row r="417" spans="1:12" x14ac:dyDescent="0.25">
      <c r="A417" t="s">
        <v>1654</v>
      </c>
      <c r="G417" t="str">
        <f t="shared" si="2"/>
        <v>03/28/19</v>
      </c>
      <c r="H417" t="str">
        <f t="shared" si="3"/>
        <v>San Francisco Giants</v>
      </c>
      <c r="I417" s="60">
        <f t="shared" si="4"/>
        <v>0</v>
      </c>
      <c r="J417" t="str">
        <f t="shared" si="5"/>
        <v>San Diego Padres</v>
      </c>
      <c r="K417" s="60">
        <f t="shared" si="6"/>
        <v>2</v>
      </c>
      <c r="L417">
        <f t="shared" si="7"/>
        <v>-2</v>
      </c>
    </row>
    <row r="418" spans="1:12" x14ac:dyDescent="0.25">
      <c r="G418" t="str">
        <f t="shared" ref="G418:G481" si="8">IF(ISNUMBER(MATCH(IFERROR(LEFT(A418,SEARCH(",",A418)-1),""),$G$220:$M$220,0)),TEXT(MID(A418,SEARCH(",",A418)+2,LEN(A418)),"mm/dd/yy"),G417)</f>
        <v>03/28/19</v>
      </c>
      <c r="H418" t="str">
        <f t="shared" si="3"/>
        <v/>
      </c>
      <c r="I418" s="60" t="str">
        <f t="shared" si="4"/>
        <v/>
      </c>
      <c r="J418" t="str">
        <f t="shared" si="5"/>
        <v/>
      </c>
      <c r="K418" s="60" t="str">
        <f t="shared" si="6"/>
        <v/>
      </c>
      <c r="L418" t="str">
        <f t="shared" si="7"/>
        <v/>
      </c>
    </row>
    <row r="419" spans="1:12" x14ac:dyDescent="0.25">
      <c r="A419" t="s">
        <v>1655</v>
      </c>
      <c r="G419" t="str">
        <f t="shared" si="8"/>
        <v>03/28/19</v>
      </c>
      <c r="H419" t="str">
        <f t="shared" si="3"/>
        <v>Boston Red Sox</v>
      </c>
      <c r="I419" s="60">
        <f t="shared" si="4"/>
        <v>4</v>
      </c>
      <c r="J419" t="str">
        <f t="shared" si="5"/>
        <v>Seattle Mariners</v>
      </c>
      <c r="K419" s="60">
        <f t="shared" si="6"/>
        <v>12</v>
      </c>
      <c r="L419">
        <f t="shared" si="7"/>
        <v>-8</v>
      </c>
    </row>
    <row r="420" spans="1:12" x14ac:dyDescent="0.25">
      <c r="G420" t="str">
        <f t="shared" si="8"/>
        <v>03/28/19</v>
      </c>
      <c r="H420" t="str">
        <f t="shared" si="3"/>
        <v/>
      </c>
      <c r="I420" s="60" t="str">
        <f t="shared" si="4"/>
        <v/>
      </c>
      <c r="J420" t="str">
        <f t="shared" si="5"/>
        <v/>
      </c>
      <c r="K420" s="60" t="str">
        <f t="shared" si="6"/>
        <v/>
      </c>
      <c r="L420" t="str">
        <f t="shared" si="7"/>
        <v/>
      </c>
    </row>
    <row r="421" spans="1:12" x14ac:dyDescent="0.25">
      <c r="A421" t="s">
        <v>1656</v>
      </c>
      <c r="G421" t="str">
        <f t="shared" si="8"/>
        <v>03/28/19</v>
      </c>
      <c r="H421" t="str">
        <f t="shared" si="3"/>
        <v>Houston Astros</v>
      </c>
      <c r="I421" s="60">
        <f t="shared" si="4"/>
        <v>5</v>
      </c>
      <c r="J421" t="str">
        <f t="shared" si="5"/>
        <v>Tampa Bay Rays</v>
      </c>
      <c r="K421" s="60">
        <f t="shared" si="6"/>
        <v>1</v>
      </c>
      <c r="L421">
        <f t="shared" si="7"/>
        <v>4</v>
      </c>
    </row>
    <row r="422" spans="1:12" x14ac:dyDescent="0.25">
      <c r="G422" t="str">
        <f t="shared" si="8"/>
        <v>03/28/19</v>
      </c>
      <c r="H422" t="str">
        <f t="shared" si="3"/>
        <v/>
      </c>
      <c r="I422" s="60" t="str">
        <f t="shared" si="4"/>
        <v/>
      </c>
      <c r="J422" t="str">
        <f t="shared" si="5"/>
        <v/>
      </c>
      <c r="K422" s="60" t="str">
        <f t="shared" si="6"/>
        <v/>
      </c>
      <c r="L422" t="str">
        <f t="shared" si="7"/>
        <v/>
      </c>
    </row>
    <row r="423" spans="1:12" x14ac:dyDescent="0.25">
      <c r="A423" t="s">
        <v>1657</v>
      </c>
      <c r="G423" t="str">
        <f t="shared" si="8"/>
        <v>03/28/19</v>
      </c>
      <c r="H423" t="str">
        <f t="shared" si="3"/>
        <v>Chicago Cubs</v>
      </c>
      <c r="I423" s="60">
        <f t="shared" si="4"/>
        <v>12</v>
      </c>
      <c r="J423" t="str">
        <f t="shared" si="5"/>
        <v>Texas Rangers</v>
      </c>
      <c r="K423" s="60">
        <f t="shared" si="6"/>
        <v>4</v>
      </c>
      <c r="L423">
        <f t="shared" si="7"/>
        <v>8</v>
      </c>
    </row>
    <row r="424" spans="1:12" x14ac:dyDescent="0.25">
      <c r="G424" t="str">
        <f t="shared" si="8"/>
        <v>03/28/19</v>
      </c>
      <c r="H424" t="str">
        <f t="shared" si="3"/>
        <v/>
      </c>
      <c r="I424" s="60" t="str">
        <f t="shared" si="4"/>
        <v/>
      </c>
      <c r="J424" t="str">
        <f t="shared" si="5"/>
        <v/>
      </c>
      <c r="K424" s="60" t="str">
        <f t="shared" si="6"/>
        <v/>
      </c>
      <c r="L424" t="str">
        <f t="shared" si="7"/>
        <v/>
      </c>
    </row>
    <row r="425" spans="1:12" x14ac:dyDescent="0.25">
      <c r="A425" t="s">
        <v>1658</v>
      </c>
      <c r="G425" t="str">
        <f t="shared" si="8"/>
        <v>03/28/19</v>
      </c>
      <c r="H425" t="str">
        <f t="shared" si="3"/>
        <v>Detroit Tigers</v>
      </c>
      <c r="I425" s="60">
        <f t="shared" si="4"/>
        <v>2</v>
      </c>
      <c r="J425" t="str">
        <f t="shared" si="5"/>
        <v>Toronto Blue Jays</v>
      </c>
      <c r="K425" s="60">
        <f t="shared" si="6"/>
        <v>0</v>
      </c>
      <c r="L425">
        <f t="shared" si="7"/>
        <v>2</v>
      </c>
    </row>
    <row r="426" spans="1:12" x14ac:dyDescent="0.25">
      <c r="G426" t="str">
        <f t="shared" si="8"/>
        <v>03/28/19</v>
      </c>
      <c r="H426" t="str">
        <f t="shared" si="3"/>
        <v/>
      </c>
      <c r="I426" s="60" t="str">
        <f t="shared" si="4"/>
        <v/>
      </c>
      <c r="J426" t="str">
        <f t="shared" si="5"/>
        <v/>
      </c>
      <c r="K426" s="60" t="str">
        <f t="shared" si="6"/>
        <v/>
      </c>
      <c r="L426" t="str">
        <f t="shared" si="7"/>
        <v/>
      </c>
    </row>
    <row r="427" spans="1:12" x14ac:dyDescent="0.25">
      <c r="A427" t="s">
        <v>1659</v>
      </c>
      <c r="G427" t="str">
        <f t="shared" si="8"/>
        <v>03/28/19</v>
      </c>
      <c r="H427" t="str">
        <f t="shared" si="3"/>
        <v>New York Mets</v>
      </c>
      <c r="I427" s="60">
        <f t="shared" si="4"/>
        <v>2</v>
      </c>
      <c r="J427" t="str">
        <f t="shared" si="5"/>
        <v>Washington Nationals</v>
      </c>
      <c r="K427" s="60">
        <f t="shared" si="6"/>
        <v>0</v>
      </c>
      <c r="L427">
        <f t="shared" si="7"/>
        <v>2</v>
      </c>
    </row>
    <row r="428" spans="1:12" x14ac:dyDescent="0.25">
      <c r="G428" t="str">
        <f t="shared" si="8"/>
        <v>03/28/19</v>
      </c>
      <c r="H428" t="str">
        <f t="shared" si="3"/>
        <v/>
      </c>
      <c r="I428" s="60" t="str">
        <f t="shared" si="4"/>
        <v/>
      </c>
      <c r="J428" t="str">
        <f t="shared" si="5"/>
        <v/>
      </c>
      <c r="K428" s="60" t="str">
        <f t="shared" si="6"/>
        <v/>
      </c>
      <c r="L428" t="str">
        <f t="shared" si="7"/>
        <v/>
      </c>
    </row>
    <row r="429" spans="1:12" x14ac:dyDescent="0.25">
      <c r="A429" t="s">
        <v>1660</v>
      </c>
      <c r="G429" t="str">
        <f t="shared" si="8"/>
        <v>03/28/19</v>
      </c>
      <c r="H429" t="str">
        <f t="shared" si="3"/>
        <v/>
      </c>
      <c r="I429" s="60" t="str">
        <f t="shared" si="4"/>
        <v/>
      </c>
      <c r="J429" t="str">
        <f t="shared" si="5"/>
        <v/>
      </c>
      <c r="K429" s="60" t="str">
        <f t="shared" si="6"/>
        <v/>
      </c>
      <c r="L429" t="str">
        <f t="shared" si="7"/>
        <v/>
      </c>
    </row>
    <row r="430" spans="1:12" x14ac:dyDescent="0.25">
      <c r="G430" t="str">
        <f t="shared" si="8"/>
        <v>03/28/19</v>
      </c>
      <c r="H430" t="str">
        <f t="shared" si="3"/>
        <v/>
      </c>
      <c r="I430" s="60" t="str">
        <f t="shared" si="4"/>
        <v/>
      </c>
      <c r="J430" t="str">
        <f t="shared" si="5"/>
        <v/>
      </c>
      <c r="K430" s="60" t="str">
        <f t="shared" si="6"/>
        <v/>
      </c>
      <c r="L430" t="str">
        <f t="shared" si="7"/>
        <v/>
      </c>
    </row>
    <row r="431" spans="1:12" x14ac:dyDescent="0.25">
      <c r="A431" t="s">
        <v>1661</v>
      </c>
      <c r="G431" t="str">
        <f t="shared" si="8"/>
        <v>03/29/19</v>
      </c>
      <c r="H431" t="str">
        <f t="shared" si="3"/>
        <v/>
      </c>
      <c r="I431" s="60" t="str">
        <f t="shared" si="4"/>
        <v/>
      </c>
      <c r="J431" t="str">
        <f t="shared" si="5"/>
        <v/>
      </c>
      <c r="K431" s="60" t="str">
        <f t="shared" si="6"/>
        <v/>
      </c>
      <c r="L431" t="str">
        <f t="shared" si="7"/>
        <v/>
      </c>
    </row>
    <row r="432" spans="1:12" x14ac:dyDescent="0.25">
      <c r="G432" t="str">
        <f t="shared" si="8"/>
        <v>03/29/19</v>
      </c>
      <c r="H432" t="str">
        <f t="shared" si="3"/>
        <v/>
      </c>
      <c r="I432" s="60" t="str">
        <f t="shared" si="4"/>
        <v/>
      </c>
      <c r="J432" t="str">
        <f t="shared" si="5"/>
        <v/>
      </c>
      <c r="K432" s="60" t="str">
        <f t="shared" si="6"/>
        <v/>
      </c>
      <c r="L432" t="str">
        <f t="shared" si="7"/>
        <v/>
      </c>
    </row>
    <row r="433" spans="1:12" x14ac:dyDescent="0.25">
      <c r="A433" t="s">
        <v>1662</v>
      </c>
      <c r="G433" t="str">
        <f t="shared" si="8"/>
        <v>03/29/19</v>
      </c>
      <c r="H433" t="str">
        <f t="shared" si="3"/>
        <v>Arizona D'Backs</v>
      </c>
      <c r="I433" s="60">
        <f t="shared" si="4"/>
        <v>5</v>
      </c>
      <c r="J433" t="str">
        <f t="shared" si="5"/>
        <v>Los Angeles Dodgers</v>
      </c>
      <c r="K433" s="60">
        <f t="shared" si="6"/>
        <v>4</v>
      </c>
      <c r="L433">
        <f t="shared" si="7"/>
        <v>1</v>
      </c>
    </row>
    <row r="434" spans="1:12" x14ac:dyDescent="0.25">
      <c r="G434" t="str">
        <f t="shared" si="8"/>
        <v>03/29/19</v>
      </c>
      <c r="H434" t="str">
        <f t="shared" si="3"/>
        <v/>
      </c>
      <c r="I434" s="60" t="str">
        <f t="shared" si="4"/>
        <v/>
      </c>
      <c r="J434" t="str">
        <f t="shared" si="5"/>
        <v/>
      </c>
      <c r="K434" s="60" t="str">
        <f t="shared" si="6"/>
        <v/>
      </c>
      <c r="L434" t="str">
        <f t="shared" si="7"/>
        <v/>
      </c>
    </row>
    <row r="435" spans="1:12" x14ac:dyDescent="0.25">
      <c r="A435" t="s">
        <v>1663</v>
      </c>
      <c r="G435" t="str">
        <f t="shared" si="8"/>
        <v>03/29/19</v>
      </c>
      <c r="H435" t="str">
        <f t="shared" si="3"/>
        <v>Colorado Rockies</v>
      </c>
      <c r="I435" s="60">
        <f t="shared" si="4"/>
        <v>6</v>
      </c>
      <c r="J435" t="str">
        <f t="shared" si="5"/>
        <v>Miami Marlins</v>
      </c>
      <c r="K435" s="60">
        <f t="shared" si="6"/>
        <v>1</v>
      </c>
      <c r="L435">
        <f t="shared" si="7"/>
        <v>5</v>
      </c>
    </row>
    <row r="436" spans="1:12" x14ac:dyDescent="0.25">
      <c r="G436" t="str">
        <f t="shared" si="8"/>
        <v>03/29/19</v>
      </c>
      <c r="H436" t="str">
        <f t="shared" si="3"/>
        <v/>
      </c>
      <c r="I436" s="60" t="str">
        <f t="shared" si="4"/>
        <v/>
      </c>
      <c r="J436" t="str">
        <f t="shared" si="5"/>
        <v/>
      </c>
      <c r="K436" s="60" t="str">
        <f t="shared" si="6"/>
        <v/>
      </c>
      <c r="L436" t="str">
        <f t="shared" si="7"/>
        <v/>
      </c>
    </row>
    <row r="437" spans="1:12" x14ac:dyDescent="0.25">
      <c r="A437" t="s">
        <v>1664</v>
      </c>
      <c r="G437" t="str">
        <f t="shared" si="8"/>
        <v>03/29/19</v>
      </c>
      <c r="H437" t="str">
        <f t="shared" si="3"/>
        <v>St. Louis Cardinals</v>
      </c>
      <c r="I437" s="60">
        <f t="shared" si="4"/>
        <v>9</v>
      </c>
      <c r="J437" t="str">
        <f t="shared" si="5"/>
        <v>Milwaukee Brewers</v>
      </c>
      <c r="K437" s="60">
        <f t="shared" si="6"/>
        <v>5</v>
      </c>
      <c r="L437">
        <f t="shared" si="7"/>
        <v>4</v>
      </c>
    </row>
    <row r="438" spans="1:12" x14ac:dyDescent="0.25">
      <c r="G438" t="str">
        <f t="shared" si="8"/>
        <v>03/29/19</v>
      </c>
      <c r="H438" t="str">
        <f t="shared" si="3"/>
        <v/>
      </c>
      <c r="I438" s="60" t="str">
        <f t="shared" si="4"/>
        <v/>
      </c>
      <c r="J438" t="str">
        <f t="shared" si="5"/>
        <v/>
      </c>
      <c r="K438" s="60" t="str">
        <f t="shared" si="6"/>
        <v/>
      </c>
      <c r="L438" t="str">
        <f t="shared" si="7"/>
        <v/>
      </c>
    </row>
    <row r="439" spans="1:12" x14ac:dyDescent="0.25">
      <c r="A439" t="s">
        <v>1665</v>
      </c>
      <c r="G439" t="str">
        <f t="shared" si="8"/>
        <v>03/29/19</v>
      </c>
      <c r="H439" t="str">
        <f t="shared" si="3"/>
        <v>Los Angeles Angels</v>
      </c>
      <c r="I439" s="60">
        <f t="shared" si="4"/>
        <v>6</v>
      </c>
      <c r="J439" t="str">
        <f t="shared" si="5"/>
        <v>Oakland Athletics</v>
      </c>
      <c r="K439" s="60">
        <f t="shared" si="6"/>
        <v>2</v>
      </c>
      <c r="L439">
        <f t="shared" si="7"/>
        <v>4</v>
      </c>
    </row>
    <row r="440" spans="1:12" x14ac:dyDescent="0.25">
      <c r="G440" t="str">
        <f t="shared" si="8"/>
        <v>03/29/19</v>
      </c>
      <c r="H440" t="str">
        <f t="shared" si="3"/>
        <v/>
      </c>
      <c r="I440" s="60" t="str">
        <f t="shared" si="4"/>
        <v/>
      </c>
      <c r="J440" t="str">
        <f t="shared" si="5"/>
        <v/>
      </c>
      <c r="K440" s="60" t="str">
        <f t="shared" si="6"/>
        <v/>
      </c>
      <c r="L440" t="str">
        <f t="shared" si="7"/>
        <v/>
      </c>
    </row>
    <row r="441" spans="1:12" x14ac:dyDescent="0.25">
      <c r="A441" t="s">
        <v>1666</v>
      </c>
      <c r="G441" t="str">
        <f t="shared" si="8"/>
        <v>03/29/19</v>
      </c>
      <c r="H441" t="str">
        <f t="shared" si="3"/>
        <v>San Francisco Giants</v>
      </c>
      <c r="I441" s="60">
        <f t="shared" si="4"/>
        <v>1</v>
      </c>
      <c r="J441" t="str">
        <f t="shared" si="5"/>
        <v>San Diego Padres</v>
      </c>
      <c r="K441" s="60">
        <f t="shared" si="6"/>
        <v>4</v>
      </c>
      <c r="L441">
        <f t="shared" si="7"/>
        <v>-3</v>
      </c>
    </row>
    <row r="442" spans="1:12" x14ac:dyDescent="0.25">
      <c r="G442" t="str">
        <f t="shared" si="8"/>
        <v>03/29/19</v>
      </c>
      <c r="H442" t="str">
        <f t="shared" si="3"/>
        <v/>
      </c>
      <c r="I442" s="60" t="str">
        <f t="shared" si="4"/>
        <v/>
      </c>
      <c r="J442" t="str">
        <f t="shared" si="5"/>
        <v/>
      </c>
      <c r="K442" s="60" t="str">
        <f t="shared" si="6"/>
        <v/>
      </c>
      <c r="L442" t="str">
        <f t="shared" si="7"/>
        <v/>
      </c>
    </row>
    <row r="443" spans="1:12" x14ac:dyDescent="0.25">
      <c r="A443" t="s">
        <v>1667</v>
      </c>
      <c r="G443" t="str">
        <f t="shared" si="8"/>
        <v>03/29/19</v>
      </c>
      <c r="H443" t="str">
        <f t="shared" si="3"/>
        <v>Boston Red Sox</v>
      </c>
      <c r="I443" s="60">
        <f t="shared" si="4"/>
        <v>7</v>
      </c>
      <c r="J443" t="str">
        <f t="shared" si="5"/>
        <v>Seattle Mariners</v>
      </c>
      <c r="K443" s="60">
        <f t="shared" si="6"/>
        <v>6</v>
      </c>
      <c r="L443">
        <f t="shared" si="7"/>
        <v>1</v>
      </c>
    </row>
    <row r="444" spans="1:12" x14ac:dyDescent="0.25">
      <c r="G444" t="str">
        <f t="shared" si="8"/>
        <v>03/29/19</v>
      </c>
      <c r="H444" t="str">
        <f t="shared" si="3"/>
        <v/>
      </c>
      <c r="I444" s="60" t="str">
        <f t="shared" si="4"/>
        <v/>
      </c>
      <c r="J444" t="str">
        <f t="shared" si="5"/>
        <v/>
      </c>
      <c r="K444" s="60" t="str">
        <f t="shared" si="6"/>
        <v/>
      </c>
      <c r="L444" t="str">
        <f t="shared" si="7"/>
        <v/>
      </c>
    </row>
    <row r="445" spans="1:12" x14ac:dyDescent="0.25">
      <c r="A445" t="s">
        <v>1668</v>
      </c>
      <c r="G445" t="str">
        <f t="shared" si="8"/>
        <v>03/29/19</v>
      </c>
      <c r="H445" t="str">
        <f t="shared" si="3"/>
        <v>Houston Astros</v>
      </c>
      <c r="I445" s="60">
        <f t="shared" si="4"/>
        <v>2</v>
      </c>
      <c r="J445" t="str">
        <f t="shared" si="5"/>
        <v>Tampa Bay Rays</v>
      </c>
      <c r="K445" s="60">
        <f t="shared" si="6"/>
        <v>4</v>
      </c>
      <c r="L445">
        <f t="shared" si="7"/>
        <v>-2</v>
      </c>
    </row>
    <row r="446" spans="1:12" x14ac:dyDescent="0.25">
      <c r="G446" t="str">
        <f t="shared" si="8"/>
        <v>03/29/19</v>
      </c>
      <c r="H446" t="str">
        <f t="shared" si="3"/>
        <v/>
      </c>
      <c r="I446" s="60" t="str">
        <f t="shared" si="4"/>
        <v/>
      </c>
      <c r="J446" t="str">
        <f t="shared" si="5"/>
        <v/>
      </c>
      <c r="K446" s="60" t="str">
        <f t="shared" si="6"/>
        <v/>
      </c>
      <c r="L446" t="str">
        <f t="shared" si="7"/>
        <v/>
      </c>
    </row>
    <row r="447" spans="1:12" x14ac:dyDescent="0.25">
      <c r="A447" t="s">
        <v>1669</v>
      </c>
      <c r="G447" t="str">
        <f t="shared" si="8"/>
        <v>03/29/19</v>
      </c>
      <c r="H447" t="str">
        <f t="shared" si="3"/>
        <v>Detroit Tigers</v>
      </c>
      <c r="I447" s="60">
        <f t="shared" si="4"/>
        <v>0</v>
      </c>
      <c r="J447" t="str">
        <f t="shared" si="5"/>
        <v>Toronto Blue Jays</v>
      </c>
      <c r="K447" s="60">
        <f t="shared" si="6"/>
        <v>6</v>
      </c>
      <c r="L447">
        <f t="shared" si="7"/>
        <v>-6</v>
      </c>
    </row>
    <row r="448" spans="1:12" x14ac:dyDescent="0.25">
      <c r="G448" t="str">
        <f t="shared" si="8"/>
        <v>03/29/19</v>
      </c>
      <c r="H448" t="str">
        <f t="shared" si="3"/>
        <v/>
      </c>
      <c r="I448" s="60" t="str">
        <f t="shared" si="4"/>
        <v/>
      </c>
      <c r="J448" t="str">
        <f t="shared" si="5"/>
        <v/>
      </c>
      <c r="K448" s="60" t="str">
        <f t="shared" si="6"/>
        <v/>
      </c>
      <c r="L448" t="str">
        <f t="shared" si="7"/>
        <v/>
      </c>
    </row>
    <row r="449" spans="1:12" x14ac:dyDescent="0.25">
      <c r="A449" t="s">
        <v>1670</v>
      </c>
      <c r="G449" t="str">
        <f t="shared" si="8"/>
        <v>03/29/19</v>
      </c>
      <c r="H449" t="str">
        <f t="shared" si="3"/>
        <v/>
      </c>
      <c r="I449" s="60" t="str">
        <f t="shared" si="4"/>
        <v/>
      </c>
      <c r="J449" t="str">
        <f t="shared" si="5"/>
        <v/>
      </c>
      <c r="K449" s="60" t="str">
        <f t="shared" si="6"/>
        <v/>
      </c>
      <c r="L449" t="str">
        <f t="shared" si="7"/>
        <v/>
      </c>
    </row>
    <row r="450" spans="1:12" x14ac:dyDescent="0.25">
      <c r="G450" t="str">
        <f t="shared" si="8"/>
        <v>03/29/19</v>
      </c>
      <c r="H450" t="str">
        <f t="shared" si="3"/>
        <v/>
      </c>
      <c r="I450" s="60" t="str">
        <f t="shared" si="4"/>
        <v/>
      </c>
      <c r="J450" t="str">
        <f t="shared" si="5"/>
        <v/>
      </c>
      <c r="K450" s="60" t="str">
        <f t="shared" si="6"/>
        <v/>
      </c>
      <c r="L450" t="str">
        <f t="shared" si="7"/>
        <v/>
      </c>
    </row>
    <row r="451" spans="1:12" x14ac:dyDescent="0.25">
      <c r="A451" t="s">
        <v>1671</v>
      </c>
      <c r="G451" t="str">
        <f t="shared" si="8"/>
        <v>03/30/19</v>
      </c>
      <c r="H451" t="str">
        <f t="shared" si="3"/>
        <v/>
      </c>
      <c r="I451" s="60" t="str">
        <f t="shared" si="4"/>
        <v/>
      </c>
      <c r="J451" t="str">
        <f t="shared" si="5"/>
        <v/>
      </c>
      <c r="K451" s="60" t="str">
        <f t="shared" si="6"/>
        <v/>
      </c>
      <c r="L451" t="str">
        <f t="shared" si="7"/>
        <v/>
      </c>
    </row>
    <row r="452" spans="1:12" x14ac:dyDescent="0.25">
      <c r="G452" t="str">
        <f t="shared" si="8"/>
        <v>03/30/19</v>
      </c>
      <c r="H452" t="str">
        <f t="shared" si="3"/>
        <v/>
      </c>
      <c r="I452" s="60" t="str">
        <f t="shared" si="4"/>
        <v/>
      </c>
      <c r="J452" t="str">
        <f t="shared" si="5"/>
        <v/>
      </c>
      <c r="K452" s="60" t="str">
        <f t="shared" si="6"/>
        <v/>
      </c>
      <c r="L452" t="str">
        <f t="shared" si="7"/>
        <v/>
      </c>
    </row>
    <row r="453" spans="1:12" x14ac:dyDescent="0.25">
      <c r="A453" t="s">
        <v>1672</v>
      </c>
      <c r="G453" t="str">
        <f t="shared" si="8"/>
        <v>03/30/19</v>
      </c>
      <c r="H453" t="str">
        <f t="shared" si="3"/>
        <v>Chicago White Sox</v>
      </c>
      <c r="I453" s="60">
        <f t="shared" si="4"/>
        <v>6</v>
      </c>
      <c r="J453" t="str">
        <f t="shared" si="5"/>
        <v>Kansas City Royals</v>
      </c>
      <c r="K453" s="60">
        <f t="shared" si="6"/>
        <v>8</v>
      </c>
      <c r="L453">
        <f t="shared" si="7"/>
        <v>-2</v>
      </c>
    </row>
    <row r="454" spans="1:12" x14ac:dyDescent="0.25">
      <c r="G454" t="str">
        <f t="shared" si="8"/>
        <v>03/30/19</v>
      </c>
      <c r="H454" t="str">
        <f t="shared" si="3"/>
        <v/>
      </c>
      <c r="I454" s="60" t="str">
        <f t="shared" si="4"/>
        <v/>
      </c>
      <c r="J454" t="str">
        <f t="shared" si="5"/>
        <v/>
      </c>
      <c r="K454" s="60" t="str">
        <f t="shared" si="6"/>
        <v/>
      </c>
      <c r="L454" t="str">
        <f t="shared" si="7"/>
        <v/>
      </c>
    </row>
    <row r="455" spans="1:12" x14ac:dyDescent="0.25">
      <c r="A455" t="s">
        <v>1673</v>
      </c>
      <c r="G455" t="str">
        <f t="shared" si="8"/>
        <v>03/30/19</v>
      </c>
      <c r="H455" t="str">
        <f t="shared" si="3"/>
        <v>Arizona D'Backs</v>
      </c>
      <c r="I455" s="60">
        <f t="shared" si="4"/>
        <v>5</v>
      </c>
      <c r="J455" t="str">
        <f t="shared" si="5"/>
        <v>Los Angeles Dodgers</v>
      </c>
      <c r="K455" s="60">
        <f t="shared" si="6"/>
        <v>18</v>
      </c>
      <c r="L455">
        <f t="shared" si="7"/>
        <v>-13</v>
      </c>
    </row>
    <row r="456" spans="1:12" x14ac:dyDescent="0.25">
      <c r="G456" t="str">
        <f t="shared" si="8"/>
        <v>03/30/19</v>
      </c>
      <c r="H456" t="str">
        <f t="shared" si="3"/>
        <v/>
      </c>
      <c r="I456" s="60" t="str">
        <f t="shared" si="4"/>
        <v/>
      </c>
      <c r="J456" t="str">
        <f t="shared" si="5"/>
        <v/>
      </c>
      <c r="K456" s="60" t="str">
        <f t="shared" si="6"/>
        <v/>
      </c>
      <c r="L456" t="str">
        <f t="shared" si="7"/>
        <v/>
      </c>
    </row>
    <row r="457" spans="1:12" x14ac:dyDescent="0.25">
      <c r="A457" t="s">
        <v>1674</v>
      </c>
      <c r="G457" t="str">
        <f t="shared" si="8"/>
        <v>03/30/19</v>
      </c>
      <c r="H457" t="str">
        <f t="shared" si="3"/>
        <v>Colorado Rockies</v>
      </c>
      <c r="I457" s="60">
        <f t="shared" si="4"/>
        <v>3</v>
      </c>
      <c r="J457" t="str">
        <f t="shared" si="5"/>
        <v>Miami Marlins</v>
      </c>
      <c r="K457" s="60">
        <f t="shared" si="6"/>
        <v>7</v>
      </c>
      <c r="L457">
        <f t="shared" si="7"/>
        <v>-4</v>
      </c>
    </row>
    <row r="458" spans="1:12" x14ac:dyDescent="0.25">
      <c r="G458" t="str">
        <f t="shared" si="8"/>
        <v>03/30/19</v>
      </c>
      <c r="H458" t="str">
        <f t="shared" si="3"/>
        <v/>
      </c>
      <c r="I458" s="60" t="str">
        <f t="shared" si="4"/>
        <v/>
      </c>
      <c r="J458" t="str">
        <f t="shared" si="5"/>
        <v/>
      </c>
      <c r="K458" s="60" t="str">
        <f t="shared" si="6"/>
        <v/>
      </c>
      <c r="L458" t="str">
        <f t="shared" si="7"/>
        <v/>
      </c>
    </row>
    <row r="459" spans="1:12" x14ac:dyDescent="0.25">
      <c r="A459" t="s">
        <v>1675</v>
      </c>
      <c r="G459" t="str">
        <f t="shared" si="8"/>
        <v>03/30/19</v>
      </c>
      <c r="H459" t="str">
        <f t="shared" si="3"/>
        <v>St. Louis Cardinals</v>
      </c>
      <c r="I459" s="60">
        <f t="shared" si="4"/>
        <v>2</v>
      </c>
      <c r="J459" t="str">
        <f t="shared" si="5"/>
        <v>Milwaukee Brewers</v>
      </c>
      <c r="K459" s="60">
        <f t="shared" si="6"/>
        <v>4</v>
      </c>
      <c r="L459">
        <f t="shared" si="7"/>
        <v>-2</v>
      </c>
    </row>
    <row r="460" spans="1:12" x14ac:dyDescent="0.25">
      <c r="G460" t="str">
        <f t="shared" si="8"/>
        <v>03/30/19</v>
      </c>
      <c r="H460" t="str">
        <f t="shared" si="3"/>
        <v/>
      </c>
      <c r="I460" s="60" t="str">
        <f t="shared" si="4"/>
        <v/>
      </c>
      <c r="J460" t="str">
        <f t="shared" si="5"/>
        <v/>
      </c>
      <c r="K460" s="60" t="str">
        <f t="shared" si="6"/>
        <v/>
      </c>
      <c r="L460" t="str">
        <f t="shared" si="7"/>
        <v/>
      </c>
    </row>
    <row r="461" spans="1:12" x14ac:dyDescent="0.25">
      <c r="A461" t="s">
        <v>1676</v>
      </c>
      <c r="G461" t="str">
        <f t="shared" si="8"/>
        <v>03/30/19</v>
      </c>
      <c r="H461" t="str">
        <f t="shared" si="3"/>
        <v>Cleveland Indians</v>
      </c>
      <c r="I461" s="60">
        <f t="shared" si="4"/>
        <v>2</v>
      </c>
      <c r="J461" t="str">
        <f t="shared" si="5"/>
        <v>Minnesota Twins</v>
      </c>
      <c r="K461" s="60">
        <f t="shared" si="6"/>
        <v>1</v>
      </c>
      <c r="L461">
        <f t="shared" si="7"/>
        <v>1</v>
      </c>
    </row>
    <row r="462" spans="1:12" x14ac:dyDescent="0.25">
      <c r="G462" t="str">
        <f t="shared" si="8"/>
        <v>03/30/19</v>
      </c>
      <c r="H462" t="str">
        <f t="shared" si="3"/>
        <v/>
      </c>
      <c r="I462" s="60" t="str">
        <f t="shared" si="4"/>
        <v/>
      </c>
      <c r="J462" t="str">
        <f t="shared" si="5"/>
        <v/>
      </c>
      <c r="K462" s="60" t="str">
        <f t="shared" si="6"/>
        <v/>
      </c>
      <c r="L462" t="str">
        <f t="shared" si="7"/>
        <v/>
      </c>
    </row>
    <row r="463" spans="1:12" x14ac:dyDescent="0.25">
      <c r="A463" t="s">
        <v>1677</v>
      </c>
      <c r="G463" t="str">
        <f t="shared" si="8"/>
        <v>03/30/19</v>
      </c>
      <c r="H463" t="str">
        <f t="shared" si="3"/>
        <v>Baltimore Orioles</v>
      </c>
      <c r="I463" s="60">
        <f t="shared" si="4"/>
        <v>5</v>
      </c>
      <c r="J463" t="str">
        <f t="shared" si="5"/>
        <v>New York Yankees</v>
      </c>
      <c r="K463" s="60">
        <f t="shared" si="6"/>
        <v>3</v>
      </c>
      <c r="L463">
        <f t="shared" si="7"/>
        <v>2</v>
      </c>
    </row>
    <row r="464" spans="1:12" x14ac:dyDescent="0.25">
      <c r="G464" t="str">
        <f t="shared" si="8"/>
        <v>03/30/19</v>
      </c>
      <c r="H464" t="str">
        <f t="shared" ref="H464:H527" si="9">IFERROR(LEFT(MID(A464,1,SEARCH("@",A464)-2),SEARCH("(",A464)-2),"")</f>
        <v/>
      </c>
      <c r="I464" s="60" t="str">
        <f t="shared" ref="I464:I527" si="10">IFERROR(VALUE(MID(A464,SEARCH("(",A464)+1,SEARCH(")",A464)-SEARCH("(",A464)-1)),"")</f>
        <v/>
      </c>
      <c r="J464" t="str">
        <f t="shared" ref="J464:J527" si="11">IFERROR(MID(A464,SEARCH("@",A464)+2,SEARCH("(",A464,SEARCH("@",A464))-SEARCH("@",A464)-3),"")</f>
        <v/>
      </c>
      <c r="K464" s="60" t="str">
        <f t="shared" ref="K464:K527" si="12">IFERROR(VALUE(MID(A464,SEARCH(J464,A464)+LEN(J464)+2,(SEARCH(")",A464,SEARCH("@",A464))-SEARCH("(",A464,SEARCH("@",A464))-1))),"")</f>
        <v/>
      </c>
      <c r="L464" t="str">
        <f t="shared" ref="L464:L527" si="13">IFERROR(I464-K464,"")</f>
        <v/>
      </c>
    </row>
    <row r="465" spans="1:12" x14ac:dyDescent="0.25">
      <c r="A465" t="s">
        <v>1678</v>
      </c>
      <c r="G465" t="str">
        <f t="shared" si="8"/>
        <v>03/30/19</v>
      </c>
      <c r="H465" t="str">
        <f t="shared" si="9"/>
        <v>Los Angeles Angels</v>
      </c>
      <c r="I465" s="60">
        <f t="shared" si="10"/>
        <v>2</v>
      </c>
      <c r="J465" t="str">
        <f t="shared" si="11"/>
        <v>Oakland Athletics</v>
      </c>
      <c r="K465" s="60">
        <f t="shared" si="12"/>
        <v>4</v>
      </c>
      <c r="L465">
        <f t="shared" si="13"/>
        <v>-2</v>
      </c>
    </row>
    <row r="466" spans="1:12" x14ac:dyDescent="0.25">
      <c r="G466" t="str">
        <f t="shared" si="8"/>
        <v>03/30/19</v>
      </c>
      <c r="H466" t="str">
        <f t="shared" si="9"/>
        <v/>
      </c>
      <c r="I466" s="60" t="str">
        <f t="shared" si="10"/>
        <v/>
      </c>
      <c r="J466" t="str">
        <f t="shared" si="11"/>
        <v/>
      </c>
      <c r="K466" s="60" t="str">
        <f t="shared" si="12"/>
        <v/>
      </c>
      <c r="L466" t="str">
        <f t="shared" si="13"/>
        <v/>
      </c>
    </row>
    <row r="467" spans="1:12" x14ac:dyDescent="0.25">
      <c r="A467" t="s">
        <v>1679</v>
      </c>
      <c r="G467" t="str">
        <f t="shared" si="8"/>
        <v>03/30/19</v>
      </c>
      <c r="H467" t="str">
        <f t="shared" si="9"/>
        <v>Atlanta Braves</v>
      </c>
      <c r="I467" s="60">
        <f t="shared" si="10"/>
        <v>6</v>
      </c>
      <c r="J467" t="str">
        <f t="shared" si="11"/>
        <v>Philadelphia Phillies</v>
      </c>
      <c r="K467" s="60">
        <f t="shared" si="12"/>
        <v>8</v>
      </c>
      <c r="L467">
        <f t="shared" si="13"/>
        <v>-2</v>
      </c>
    </row>
    <row r="468" spans="1:12" x14ac:dyDescent="0.25">
      <c r="G468" t="str">
        <f t="shared" si="8"/>
        <v>03/30/19</v>
      </c>
      <c r="H468" t="str">
        <f t="shared" si="9"/>
        <v/>
      </c>
      <c r="I468" s="60" t="str">
        <f t="shared" si="10"/>
        <v/>
      </c>
      <c r="J468" t="str">
        <f t="shared" si="11"/>
        <v/>
      </c>
      <c r="K468" s="60" t="str">
        <f t="shared" si="12"/>
        <v/>
      </c>
      <c r="L468" t="str">
        <f t="shared" si="13"/>
        <v/>
      </c>
    </row>
    <row r="469" spans="1:12" x14ac:dyDescent="0.25">
      <c r="A469" t="s">
        <v>1680</v>
      </c>
      <c r="G469" t="str">
        <f t="shared" si="8"/>
        <v>03/30/19</v>
      </c>
      <c r="H469" t="str">
        <f t="shared" si="9"/>
        <v>San Francisco Giants</v>
      </c>
      <c r="I469" s="60">
        <f t="shared" si="10"/>
        <v>3</v>
      </c>
      <c r="J469" t="str">
        <f t="shared" si="11"/>
        <v>San Diego Padres</v>
      </c>
      <c r="K469" s="60">
        <f t="shared" si="12"/>
        <v>2</v>
      </c>
      <c r="L469">
        <f t="shared" si="13"/>
        <v>1</v>
      </c>
    </row>
    <row r="470" spans="1:12" x14ac:dyDescent="0.25">
      <c r="G470" t="str">
        <f t="shared" si="8"/>
        <v>03/30/19</v>
      </c>
      <c r="H470" t="str">
        <f t="shared" si="9"/>
        <v/>
      </c>
      <c r="I470" s="60" t="str">
        <f t="shared" si="10"/>
        <v/>
      </c>
      <c r="J470" t="str">
        <f t="shared" si="11"/>
        <v/>
      </c>
      <c r="K470" s="60" t="str">
        <f t="shared" si="12"/>
        <v/>
      </c>
      <c r="L470" t="str">
        <f t="shared" si="13"/>
        <v/>
      </c>
    </row>
    <row r="471" spans="1:12" x14ac:dyDescent="0.25">
      <c r="A471" t="s">
        <v>1681</v>
      </c>
      <c r="G471" t="str">
        <f t="shared" si="8"/>
        <v>03/30/19</v>
      </c>
      <c r="H471" t="str">
        <f t="shared" si="9"/>
        <v>Boston Red Sox</v>
      </c>
      <c r="I471" s="60">
        <f t="shared" si="10"/>
        <v>5</v>
      </c>
      <c r="J471" t="str">
        <f t="shared" si="11"/>
        <v>Seattle Mariners</v>
      </c>
      <c r="K471" s="60">
        <f t="shared" si="12"/>
        <v>6</v>
      </c>
      <c r="L471">
        <f t="shared" si="13"/>
        <v>-1</v>
      </c>
    </row>
    <row r="472" spans="1:12" x14ac:dyDescent="0.25">
      <c r="G472" t="str">
        <f t="shared" si="8"/>
        <v>03/30/19</v>
      </c>
      <c r="H472" t="str">
        <f t="shared" si="9"/>
        <v/>
      </c>
      <c r="I472" s="60" t="str">
        <f t="shared" si="10"/>
        <v/>
      </c>
      <c r="J472" t="str">
        <f t="shared" si="11"/>
        <v/>
      </c>
      <c r="K472" s="60" t="str">
        <f t="shared" si="12"/>
        <v/>
      </c>
      <c r="L472" t="str">
        <f t="shared" si="13"/>
        <v/>
      </c>
    </row>
    <row r="473" spans="1:12" x14ac:dyDescent="0.25">
      <c r="A473" t="s">
        <v>1682</v>
      </c>
      <c r="G473" t="str">
        <f t="shared" si="8"/>
        <v>03/30/19</v>
      </c>
      <c r="H473" t="str">
        <f t="shared" si="9"/>
        <v>Houston Astros</v>
      </c>
      <c r="I473" s="60">
        <f t="shared" si="10"/>
        <v>1</v>
      </c>
      <c r="J473" t="str">
        <f t="shared" si="11"/>
        <v>Tampa Bay Rays</v>
      </c>
      <c r="K473" s="60">
        <f t="shared" si="12"/>
        <v>3</v>
      </c>
      <c r="L473">
        <f t="shared" si="13"/>
        <v>-2</v>
      </c>
    </row>
    <row r="474" spans="1:12" x14ac:dyDescent="0.25">
      <c r="G474" t="str">
        <f t="shared" si="8"/>
        <v>03/30/19</v>
      </c>
      <c r="H474" t="str">
        <f t="shared" si="9"/>
        <v/>
      </c>
      <c r="I474" s="60" t="str">
        <f t="shared" si="10"/>
        <v/>
      </c>
      <c r="J474" t="str">
        <f t="shared" si="11"/>
        <v/>
      </c>
      <c r="K474" s="60" t="str">
        <f t="shared" si="12"/>
        <v/>
      </c>
      <c r="L474" t="str">
        <f t="shared" si="13"/>
        <v/>
      </c>
    </row>
    <row r="475" spans="1:12" x14ac:dyDescent="0.25">
      <c r="A475" t="s">
        <v>1683</v>
      </c>
      <c r="G475" t="str">
        <f t="shared" si="8"/>
        <v>03/30/19</v>
      </c>
      <c r="H475" t="str">
        <f t="shared" si="9"/>
        <v>Chicago Cubs</v>
      </c>
      <c r="I475" s="60">
        <f t="shared" si="10"/>
        <v>6</v>
      </c>
      <c r="J475" t="str">
        <f t="shared" si="11"/>
        <v>Texas Rangers</v>
      </c>
      <c r="K475" s="60">
        <f t="shared" si="12"/>
        <v>8</v>
      </c>
      <c r="L475">
        <f t="shared" si="13"/>
        <v>-2</v>
      </c>
    </row>
    <row r="476" spans="1:12" x14ac:dyDescent="0.25">
      <c r="G476" t="str">
        <f t="shared" si="8"/>
        <v>03/30/19</v>
      </c>
      <c r="H476" t="str">
        <f t="shared" si="9"/>
        <v/>
      </c>
      <c r="I476" s="60" t="str">
        <f t="shared" si="10"/>
        <v/>
      </c>
      <c r="J476" t="str">
        <f t="shared" si="11"/>
        <v/>
      </c>
      <c r="K476" s="60" t="str">
        <f t="shared" si="12"/>
        <v/>
      </c>
      <c r="L476" t="str">
        <f t="shared" si="13"/>
        <v/>
      </c>
    </row>
    <row r="477" spans="1:12" x14ac:dyDescent="0.25">
      <c r="A477" t="s">
        <v>1684</v>
      </c>
      <c r="G477" t="str">
        <f t="shared" si="8"/>
        <v>03/30/19</v>
      </c>
      <c r="H477" t="str">
        <f t="shared" si="9"/>
        <v>Detroit Tigers</v>
      </c>
      <c r="I477" s="60">
        <f t="shared" si="10"/>
        <v>0</v>
      </c>
      <c r="J477" t="str">
        <f t="shared" si="11"/>
        <v>Toronto Blue Jays</v>
      </c>
      <c r="K477" s="60">
        <f t="shared" si="12"/>
        <v>3</v>
      </c>
      <c r="L477">
        <f t="shared" si="13"/>
        <v>-3</v>
      </c>
    </row>
    <row r="478" spans="1:12" x14ac:dyDescent="0.25">
      <c r="G478" t="str">
        <f t="shared" si="8"/>
        <v>03/30/19</v>
      </c>
      <c r="H478" t="str">
        <f t="shared" si="9"/>
        <v/>
      </c>
      <c r="I478" s="60" t="str">
        <f t="shared" si="10"/>
        <v/>
      </c>
      <c r="J478" t="str">
        <f t="shared" si="11"/>
        <v/>
      </c>
      <c r="K478" s="60" t="str">
        <f t="shared" si="12"/>
        <v/>
      </c>
      <c r="L478" t="str">
        <f t="shared" si="13"/>
        <v/>
      </c>
    </row>
    <row r="479" spans="1:12" x14ac:dyDescent="0.25">
      <c r="A479" t="s">
        <v>1685</v>
      </c>
      <c r="G479" t="str">
        <f t="shared" si="8"/>
        <v>03/30/19</v>
      </c>
      <c r="H479" t="str">
        <f t="shared" si="9"/>
        <v>New York Mets</v>
      </c>
      <c r="I479" s="60">
        <f t="shared" si="10"/>
        <v>11</v>
      </c>
      <c r="J479" t="str">
        <f t="shared" si="11"/>
        <v>Washington Nationals</v>
      </c>
      <c r="K479" s="60">
        <f t="shared" si="12"/>
        <v>8</v>
      </c>
      <c r="L479">
        <f t="shared" si="13"/>
        <v>3</v>
      </c>
    </row>
    <row r="480" spans="1:12" x14ac:dyDescent="0.25">
      <c r="G480" t="str">
        <f t="shared" si="8"/>
        <v>03/30/19</v>
      </c>
      <c r="H480" t="str">
        <f t="shared" si="9"/>
        <v/>
      </c>
      <c r="I480" s="60" t="str">
        <f t="shared" si="10"/>
        <v/>
      </c>
      <c r="J480" t="str">
        <f t="shared" si="11"/>
        <v/>
      </c>
      <c r="K480" s="60" t="str">
        <f t="shared" si="12"/>
        <v/>
      </c>
      <c r="L480" t="str">
        <f t="shared" si="13"/>
        <v/>
      </c>
    </row>
    <row r="481" spans="1:12" x14ac:dyDescent="0.25">
      <c r="A481" t="s">
        <v>1686</v>
      </c>
      <c r="G481" t="str">
        <f t="shared" si="8"/>
        <v>03/30/19</v>
      </c>
      <c r="H481" t="str">
        <f t="shared" si="9"/>
        <v/>
      </c>
      <c r="I481" s="60" t="str">
        <f t="shared" si="10"/>
        <v/>
      </c>
      <c r="J481" t="str">
        <f t="shared" si="11"/>
        <v/>
      </c>
      <c r="K481" s="60" t="str">
        <f t="shared" si="12"/>
        <v/>
      </c>
      <c r="L481" t="str">
        <f t="shared" si="13"/>
        <v/>
      </c>
    </row>
    <row r="482" spans="1:12" x14ac:dyDescent="0.25">
      <c r="G482" t="str">
        <f t="shared" ref="G482:G545" si="14">IF(ISNUMBER(MATCH(IFERROR(LEFT(A482,SEARCH(",",A482)-1),""),$G$220:$M$220,0)),TEXT(MID(A482,SEARCH(",",A482)+2,LEN(A482)),"mm/dd/yy"),G481)</f>
        <v>03/30/19</v>
      </c>
      <c r="H482" t="str">
        <f t="shared" si="9"/>
        <v/>
      </c>
      <c r="I482" s="60" t="str">
        <f t="shared" si="10"/>
        <v/>
      </c>
      <c r="J482" t="str">
        <f t="shared" si="11"/>
        <v/>
      </c>
      <c r="K482" s="60" t="str">
        <f t="shared" si="12"/>
        <v/>
      </c>
      <c r="L482" t="str">
        <f t="shared" si="13"/>
        <v/>
      </c>
    </row>
    <row r="483" spans="1:12" x14ac:dyDescent="0.25">
      <c r="A483" t="s">
        <v>1687</v>
      </c>
      <c r="G483" t="str">
        <f t="shared" si="14"/>
        <v>03/31/19</v>
      </c>
      <c r="H483" t="str">
        <f t="shared" si="9"/>
        <v/>
      </c>
      <c r="I483" s="60" t="str">
        <f t="shared" si="10"/>
        <v/>
      </c>
      <c r="J483" t="str">
        <f t="shared" si="11"/>
        <v/>
      </c>
      <c r="K483" s="60" t="str">
        <f t="shared" si="12"/>
        <v/>
      </c>
      <c r="L483" t="str">
        <f t="shared" si="13"/>
        <v/>
      </c>
    </row>
    <row r="484" spans="1:12" x14ac:dyDescent="0.25">
      <c r="G484" t="str">
        <f t="shared" si="14"/>
        <v>03/31/19</v>
      </c>
      <c r="H484" t="str">
        <f t="shared" si="9"/>
        <v/>
      </c>
      <c r="I484" s="60" t="str">
        <f t="shared" si="10"/>
        <v/>
      </c>
      <c r="J484" t="str">
        <f t="shared" si="11"/>
        <v/>
      </c>
      <c r="K484" s="60" t="str">
        <f t="shared" si="12"/>
        <v/>
      </c>
      <c r="L484" t="str">
        <f t="shared" si="13"/>
        <v/>
      </c>
    </row>
    <row r="485" spans="1:12" x14ac:dyDescent="0.25">
      <c r="A485" t="s">
        <v>1688</v>
      </c>
      <c r="G485" t="str">
        <f t="shared" si="14"/>
        <v>03/31/19</v>
      </c>
      <c r="H485" t="str">
        <f t="shared" si="9"/>
        <v>Pittsburgh Pirates</v>
      </c>
      <c r="I485" s="60">
        <f t="shared" si="10"/>
        <v>5</v>
      </c>
      <c r="J485" t="str">
        <f t="shared" si="11"/>
        <v>Cincinnati Reds</v>
      </c>
      <c r="K485" s="60">
        <f t="shared" si="12"/>
        <v>0</v>
      </c>
      <c r="L485">
        <f t="shared" si="13"/>
        <v>5</v>
      </c>
    </row>
    <row r="486" spans="1:12" x14ac:dyDescent="0.25">
      <c r="G486" t="str">
        <f t="shared" si="14"/>
        <v>03/31/19</v>
      </c>
      <c r="H486" t="str">
        <f t="shared" si="9"/>
        <v/>
      </c>
      <c r="I486" s="60" t="str">
        <f t="shared" si="10"/>
        <v/>
      </c>
      <c r="J486" t="str">
        <f t="shared" si="11"/>
        <v/>
      </c>
      <c r="K486" s="60" t="str">
        <f t="shared" si="12"/>
        <v/>
      </c>
      <c r="L486" t="str">
        <f t="shared" si="13"/>
        <v/>
      </c>
    </row>
    <row r="487" spans="1:12" x14ac:dyDescent="0.25">
      <c r="A487" t="s">
        <v>1689</v>
      </c>
      <c r="G487" t="str">
        <f t="shared" si="14"/>
        <v>03/31/19</v>
      </c>
      <c r="H487" t="str">
        <f t="shared" si="9"/>
        <v>Chicago White Sox</v>
      </c>
      <c r="I487" s="60">
        <f t="shared" si="10"/>
        <v>6</v>
      </c>
      <c r="J487" t="str">
        <f t="shared" si="11"/>
        <v>Kansas City Royals</v>
      </c>
      <c r="K487" s="60">
        <f t="shared" si="12"/>
        <v>3</v>
      </c>
      <c r="L487">
        <f t="shared" si="13"/>
        <v>3</v>
      </c>
    </row>
    <row r="488" spans="1:12" x14ac:dyDescent="0.25">
      <c r="G488" t="str">
        <f t="shared" si="14"/>
        <v>03/31/19</v>
      </c>
      <c r="H488" t="str">
        <f t="shared" si="9"/>
        <v/>
      </c>
      <c r="I488" s="60" t="str">
        <f t="shared" si="10"/>
        <v/>
      </c>
      <c r="J488" t="str">
        <f t="shared" si="11"/>
        <v/>
      </c>
      <c r="K488" s="60" t="str">
        <f t="shared" si="12"/>
        <v/>
      </c>
      <c r="L488" t="str">
        <f t="shared" si="13"/>
        <v/>
      </c>
    </row>
    <row r="489" spans="1:12" x14ac:dyDescent="0.25">
      <c r="A489" t="s">
        <v>1690</v>
      </c>
      <c r="G489" t="str">
        <f t="shared" si="14"/>
        <v>03/31/19</v>
      </c>
      <c r="H489" t="str">
        <f t="shared" si="9"/>
        <v>Arizona D'Backs</v>
      </c>
      <c r="I489" s="60">
        <f t="shared" si="10"/>
        <v>7</v>
      </c>
      <c r="J489" t="str">
        <f t="shared" si="11"/>
        <v>Los Angeles Dodgers</v>
      </c>
      <c r="K489" s="60">
        <f t="shared" si="12"/>
        <v>8</v>
      </c>
      <c r="L489">
        <f t="shared" si="13"/>
        <v>-1</v>
      </c>
    </row>
    <row r="490" spans="1:12" x14ac:dyDescent="0.25">
      <c r="G490" t="str">
        <f t="shared" si="14"/>
        <v>03/31/19</v>
      </c>
      <c r="H490" t="str">
        <f t="shared" si="9"/>
        <v/>
      </c>
      <c r="I490" s="60" t="str">
        <f t="shared" si="10"/>
        <v/>
      </c>
      <c r="J490" t="str">
        <f t="shared" si="11"/>
        <v/>
      </c>
      <c r="K490" s="60" t="str">
        <f t="shared" si="12"/>
        <v/>
      </c>
      <c r="L490" t="str">
        <f t="shared" si="13"/>
        <v/>
      </c>
    </row>
    <row r="491" spans="1:12" x14ac:dyDescent="0.25">
      <c r="A491" t="s">
        <v>1691</v>
      </c>
      <c r="G491" t="str">
        <f t="shared" si="14"/>
        <v>03/31/19</v>
      </c>
      <c r="H491" t="str">
        <f t="shared" si="9"/>
        <v>Colorado Rockies</v>
      </c>
      <c r="I491" s="60">
        <f t="shared" si="10"/>
        <v>0</v>
      </c>
      <c r="J491" t="str">
        <f t="shared" si="11"/>
        <v>Miami Marlins</v>
      </c>
      <c r="K491" s="60">
        <f t="shared" si="12"/>
        <v>3</v>
      </c>
      <c r="L491">
        <f t="shared" si="13"/>
        <v>-3</v>
      </c>
    </row>
    <row r="492" spans="1:12" x14ac:dyDescent="0.25">
      <c r="G492" t="str">
        <f t="shared" si="14"/>
        <v>03/31/19</v>
      </c>
      <c r="H492" t="str">
        <f t="shared" si="9"/>
        <v/>
      </c>
      <c r="I492" s="60" t="str">
        <f t="shared" si="10"/>
        <v/>
      </c>
      <c r="J492" t="str">
        <f t="shared" si="11"/>
        <v/>
      </c>
      <c r="K492" s="60" t="str">
        <f t="shared" si="12"/>
        <v/>
      </c>
      <c r="L492" t="str">
        <f t="shared" si="13"/>
        <v/>
      </c>
    </row>
    <row r="493" spans="1:12" x14ac:dyDescent="0.25">
      <c r="A493" t="s">
        <v>1649</v>
      </c>
      <c r="G493" t="str">
        <f t="shared" si="14"/>
        <v>03/31/19</v>
      </c>
      <c r="H493" t="str">
        <f t="shared" si="9"/>
        <v>St. Louis Cardinals</v>
      </c>
      <c r="I493" s="60">
        <f t="shared" si="10"/>
        <v>4</v>
      </c>
      <c r="J493" t="str">
        <f t="shared" si="11"/>
        <v>Milwaukee Brewers</v>
      </c>
      <c r="K493" s="60">
        <f t="shared" si="12"/>
        <v>5</v>
      </c>
      <c r="L493">
        <f t="shared" si="13"/>
        <v>-1</v>
      </c>
    </row>
    <row r="494" spans="1:12" x14ac:dyDescent="0.25">
      <c r="G494" t="str">
        <f t="shared" si="14"/>
        <v>03/31/19</v>
      </c>
      <c r="H494" t="str">
        <f t="shared" si="9"/>
        <v/>
      </c>
      <c r="I494" s="60" t="str">
        <f t="shared" si="10"/>
        <v/>
      </c>
      <c r="J494" t="str">
        <f t="shared" si="11"/>
        <v/>
      </c>
      <c r="K494" s="60" t="str">
        <f t="shared" si="12"/>
        <v/>
      </c>
      <c r="L494" t="str">
        <f t="shared" si="13"/>
        <v/>
      </c>
    </row>
    <row r="495" spans="1:12" x14ac:dyDescent="0.25">
      <c r="A495" t="s">
        <v>1692</v>
      </c>
      <c r="G495" t="str">
        <f t="shared" si="14"/>
        <v>03/31/19</v>
      </c>
      <c r="H495" t="str">
        <f t="shared" si="9"/>
        <v>Cleveland Indians</v>
      </c>
      <c r="I495" s="60">
        <f t="shared" si="10"/>
        <v>3</v>
      </c>
      <c r="J495" t="str">
        <f t="shared" si="11"/>
        <v>Minnesota Twins</v>
      </c>
      <c r="K495" s="60">
        <f t="shared" si="12"/>
        <v>9</v>
      </c>
      <c r="L495">
        <f t="shared" si="13"/>
        <v>-6</v>
      </c>
    </row>
    <row r="496" spans="1:12" x14ac:dyDescent="0.25">
      <c r="G496" t="str">
        <f t="shared" si="14"/>
        <v>03/31/19</v>
      </c>
      <c r="H496" t="str">
        <f t="shared" si="9"/>
        <v/>
      </c>
      <c r="I496" s="60" t="str">
        <f t="shared" si="10"/>
        <v/>
      </c>
      <c r="J496" t="str">
        <f t="shared" si="11"/>
        <v/>
      </c>
      <c r="K496" s="60" t="str">
        <f t="shared" si="12"/>
        <v/>
      </c>
      <c r="L496" t="str">
        <f t="shared" si="13"/>
        <v/>
      </c>
    </row>
    <row r="497" spans="1:12" x14ac:dyDescent="0.25">
      <c r="A497" t="s">
        <v>1693</v>
      </c>
      <c r="G497" t="str">
        <f t="shared" si="14"/>
        <v>03/31/19</v>
      </c>
      <c r="H497" t="str">
        <f t="shared" si="9"/>
        <v>Baltimore Orioles</v>
      </c>
      <c r="I497" s="60">
        <f t="shared" si="10"/>
        <v>7</v>
      </c>
      <c r="J497" t="str">
        <f t="shared" si="11"/>
        <v>New York Yankees</v>
      </c>
      <c r="K497" s="60">
        <f t="shared" si="12"/>
        <v>5</v>
      </c>
      <c r="L497">
        <f t="shared" si="13"/>
        <v>2</v>
      </c>
    </row>
    <row r="498" spans="1:12" x14ac:dyDescent="0.25">
      <c r="G498" t="str">
        <f t="shared" si="14"/>
        <v>03/31/19</v>
      </c>
      <c r="H498" t="str">
        <f t="shared" si="9"/>
        <v/>
      </c>
      <c r="I498" s="60" t="str">
        <f t="shared" si="10"/>
        <v/>
      </c>
      <c r="J498" t="str">
        <f t="shared" si="11"/>
        <v/>
      </c>
      <c r="K498" s="60" t="str">
        <f t="shared" si="12"/>
        <v/>
      </c>
      <c r="L498" t="str">
        <f t="shared" si="13"/>
        <v/>
      </c>
    </row>
    <row r="499" spans="1:12" x14ac:dyDescent="0.25">
      <c r="A499" t="s">
        <v>1694</v>
      </c>
      <c r="G499" t="str">
        <f t="shared" si="14"/>
        <v>03/31/19</v>
      </c>
      <c r="H499" t="str">
        <f t="shared" si="9"/>
        <v>Los Angeles Angels</v>
      </c>
      <c r="I499" s="60">
        <f t="shared" si="10"/>
        <v>1</v>
      </c>
      <c r="J499" t="str">
        <f t="shared" si="11"/>
        <v>Oakland Athletics</v>
      </c>
      <c r="K499" s="60">
        <f t="shared" si="12"/>
        <v>2</v>
      </c>
      <c r="L499">
        <f t="shared" si="13"/>
        <v>-1</v>
      </c>
    </row>
    <row r="500" spans="1:12" x14ac:dyDescent="0.25">
      <c r="G500" t="str">
        <f t="shared" si="14"/>
        <v>03/31/19</v>
      </c>
      <c r="H500" t="str">
        <f t="shared" si="9"/>
        <v/>
      </c>
      <c r="I500" s="60" t="str">
        <f t="shared" si="10"/>
        <v/>
      </c>
      <c r="J500" t="str">
        <f t="shared" si="11"/>
        <v/>
      </c>
      <c r="K500" s="60" t="str">
        <f t="shared" si="12"/>
        <v/>
      </c>
      <c r="L500" t="str">
        <f t="shared" si="13"/>
        <v/>
      </c>
    </row>
    <row r="501" spans="1:12" x14ac:dyDescent="0.25">
      <c r="A501" t="s">
        <v>1695</v>
      </c>
      <c r="G501" t="str">
        <f t="shared" si="14"/>
        <v>03/31/19</v>
      </c>
      <c r="H501" t="str">
        <f t="shared" si="9"/>
        <v>Atlanta Braves</v>
      </c>
      <c r="I501" s="60">
        <f t="shared" si="10"/>
        <v>1</v>
      </c>
      <c r="J501" t="str">
        <f t="shared" si="11"/>
        <v>Philadelphia Phillies</v>
      </c>
      <c r="K501" s="60">
        <f t="shared" si="12"/>
        <v>5</v>
      </c>
      <c r="L501">
        <f t="shared" si="13"/>
        <v>-4</v>
      </c>
    </row>
    <row r="502" spans="1:12" x14ac:dyDescent="0.25">
      <c r="G502" t="str">
        <f t="shared" si="14"/>
        <v>03/31/19</v>
      </c>
      <c r="H502" t="str">
        <f t="shared" si="9"/>
        <v/>
      </c>
      <c r="I502" s="60" t="str">
        <f t="shared" si="10"/>
        <v/>
      </c>
      <c r="J502" t="str">
        <f t="shared" si="11"/>
        <v/>
      </c>
      <c r="K502" s="60" t="str">
        <f t="shared" si="12"/>
        <v/>
      </c>
      <c r="L502" t="str">
        <f t="shared" si="13"/>
        <v/>
      </c>
    </row>
    <row r="503" spans="1:12" x14ac:dyDescent="0.25">
      <c r="A503" t="s">
        <v>1696</v>
      </c>
      <c r="G503" t="str">
        <f t="shared" si="14"/>
        <v>03/31/19</v>
      </c>
      <c r="H503" t="str">
        <f t="shared" si="9"/>
        <v>San Francisco Giants</v>
      </c>
      <c r="I503" s="60">
        <f t="shared" si="10"/>
        <v>1</v>
      </c>
      <c r="J503" t="str">
        <f t="shared" si="11"/>
        <v>San Diego Padres</v>
      </c>
      <c r="K503" s="60">
        <f t="shared" si="12"/>
        <v>3</v>
      </c>
      <c r="L503">
        <f t="shared" si="13"/>
        <v>-2</v>
      </c>
    </row>
    <row r="504" spans="1:12" x14ac:dyDescent="0.25">
      <c r="G504" t="str">
        <f t="shared" si="14"/>
        <v>03/31/19</v>
      </c>
      <c r="H504" t="str">
        <f t="shared" si="9"/>
        <v/>
      </c>
      <c r="I504" s="60" t="str">
        <f t="shared" si="10"/>
        <v/>
      </c>
      <c r="J504" t="str">
        <f t="shared" si="11"/>
        <v/>
      </c>
      <c r="K504" s="60" t="str">
        <f t="shared" si="12"/>
        <v/>
      </c>
      <c r="L504" t="str">
        <f t="shared" si="13"/>
        <v/>
      </c>
    </row>
    <row r="505" spans="1:12" x14ac:dyDescent="0.25">
      <c r="A505" t="s">
        <v>1697</v>
      </c>
      <c r="G505" t="str">
        <f t="shared" si="14"/>
        <v>03/31/19</v>
      </c>
      <c r="H505" t="str">
        <f t="shared" si="9"/>
        <v>Boston Red Sox</v>
      </c>
      <c r="I505" s="60">
        <f t="shared" si="10"/>
        <v>8</v>
      </c>
      <c r="J505" t="str">
        <f t="shared" si="11"/>
        <v>Seattle Mariners</v>
      </c>
      <c r="K505" s="60">
        <f t="shared" si="12"/>
        <v>10</v>
      </c>
      <c r="L505">
        <f t="shared" si="13"/>
        <v>-2</v>
      </c>
    </row>
    <row r="506" spans="1:12" x14ac:dyDescent="0.25">
      <c r="G506" t="str">
        <f t="shared" si="14"/>
        <v>03/31/19</v>
      </c>
      <c r="H506" t="str">
        <f t="shared" si="9"/>
        <v/>
      </c>
      <c r="I506" s="60" t="str">
        <f t="shared" si="10"/>
        <v/>
      </c>
      <c r="J506" t="str">
        <f t="shared" si="11"/>
        <v/>
      </c>
      <c r="K506" s="60" t="str">
        <f t="shared" si="12"/>
        <v/>
      </c>
      <c r="L506" t="str">
        <f t="shared" si="13"/>
        <v/>
      </c>
    </row>
    <row r="507" spans="1:12" x14ac:dyDescent="0.25">
      <c r="A507" t="s">
        <v>1682</v>
      </c>
      <c r="G507" t="str">
        <f t="shared" si="14"/>
        <v>03/31/19</v>
      </c>
      <c r="H507" t="str">
        <f t="shared" si="9"/>
        <v>Houston Astros</v>
      </c>
      <c r="I507" s="60">
        <f t="shared" si="10"/>
        <v>1</v>
      </c>
      <c r="J507" t="str">
        <f t="shared" si="11"/>
        <v>Tampa Bay Rays</v>
      </c>
      <c r="K507" s="60">
        <f t="shared" si="12"/>
        <v>3</v>
      </c>
      <c r="L507">
        <f t="shared" si="13"/>
        <v>-2</v>
      </c>
    </row>
    <row r="508" spans="1:12" x14ac:dyDescent="0.25">
      <c r="G508" t="str">
        <f t="shared" si="14"/>
        <v>03/31/19</v>
      </c>
      <c r="H508" t="str">
        <f t="shared" si="9"/>
        <v/>
      </c>
      <c r="I508" s="60" t="str">
        <f t="shared" si="10"/>
        <v/>
      </c>
      <c r="J508" t="str">
        <f t="shared" si="11"/>
        <v/>
      </c>
      <c r="K508" s="60" t="str">
        <f t="shared" si="12"/>
        <v/>
      </c>
      <c r="L508" t="str">
        <f t="shared" si="13"/>
        <v/>
      </c>
    </row>
    <row r="509" spans="1:12" x14ac:dyDescent="0.25">
      <c r="A509" t="s">
        <v>1698</v>
      </c>
      <c r="G509" t="str">
        <f t="shared" si="14"/>
        <v>03/31/19</v>
      </c>
      <c r="H509" t="str">
        <f t="shared" si="9"/>
        <v>Chicago Cubs</v>
      </c>
      <c r="I509" s="60">
        <f t="shared" si="10"/>
        <v>10</v>
      </c>
      <c r="J509" t="str">
        <f t="shared" si="11"/>
        <v>Texas Rangers</v>
      </c>
      <c r="K509" s="60">
        <f t="shared" si="12"/>
        <v>11</v>
      </c>
      <c r="L509">
        <f t="shared" si="13"/>
        <v>-1</v>
      </c>
    </row>
    <row r="510" spans="1:12" x14ac:dyDescent="0.25">
      <c r="G510" t="str">
        <f t="shared" si="14"/>
        <v>03/31/19</v>
      </c>
      <c r="H510" t="str">
        <f t="shared" si="9"/>
        <v/>
      </c>
      <c r="I510" s="60" t="str">
        <f t="shared" si="10"/>
        <v/>
      </c>
      <c r="J510" t="str">
        <f t="shared" si="11"/>
        <v/>
      </c>
      <c r="K510" s="60" t="str">
        <f t="shared" si="12"/>
        <v/>
      </c>
      <c r="L510" t="str">
        <f t="shared" si="13"/>
        <v/>
      </c>
    </row>
    <row r="511" spans="1:12" x14ac:dyDescent="0.25">
      <c r="A511" t="s">
        <v>1699</v>
      </c>
      <c r="G511" t="str">
        <f t="shared" si="14"/>
        <v>03/31/19</v>
      </c>
      <c r="H511" t="str">
        <f t="shared" si="9"/>
        <v>Detroit Tigers</v>
      </c>
      <c r="I511" s="60">
        <f t="shared" si="10"/>
        <v>4</v>
      </c>
      <c r="J511" t="str">
        <f t="shared" si="11"/>
        <v>Toronto Blue Jays</v>
      </c>
      <c r="K511" s="60">
        <f t="shared" si="12"/>
        <v>3</v>
      </c>
      <c r="L511">
        <f t="shared" si="13"/>
        <v>1</v>
      </c>
    </row>
    <row r="512" spans="1:12" x14ac:dyDescent="0.25">
      <c r="G512" t="str">
        <f t="shared" si="14"/>
        <v>03/31/19</v>
      </c>
      <c r="H512" t="str">
        <f t="shared" si="9"/>
        <v/>
      </c>
      <c r="I512" s="60" t="str">
        <f t="shared" si="10"/>
        <v/>
      </c>
      <c r="J512" t="str">
        <f t="shared" si="11"/>
        <v/>
      </c>
      <c r="K512" s="60" t="str">
        <f t="shared" si="12"/>
        <v/>
      </c>
      <c r="L512" t="str">
        <f t="shared" si="13"/>
        <v/>
      </c>
    </row>
    <row r="513" spans="1:12" x14ac:dyDescent="0.25">
      <c r="A513" t="s">
        <v>1700</v>
      </c>
      <c r="G513" t="str">
        <f t="shared" si="14"/>
        <v>03/31/19</v>
      </c>
      <c r="H513" t="str">
        <f t="shared" si="9"/>
        <v>New York Mets</v>
      </c>
      <c r="I513" s="60">
        <f t="shared" si="10"/>
        <v>5</v>
      </c>
      <c r="J513" t="str">
        <f t="shared" si="11"/>
        <v>Washington Nationals</v>
      </c>
      <c r="K513" s="60">
        <f t="shared" si="12"/>
        <v>6</v>
      </c>
      <c r="L513">
        <f t="shared" si="13"/>
        <v>-1</v>
      </c>
    </row>
    <row r="514" spans="1:12" x14ac:dyDescent="0.25">
      <c r="G514" t="str">
        <f t="shared" si="14"/>
        <v>03/31/19</v>
      </c>
      <c r="H514" t="str">
        <f t="shared" si="9"/>
        <v/>
      </c>
      <c r="I514" s="60" t="str">
        <f t="shared" si="10"/>
        <v/>
      </c>
      <c r="J514" t="str">
        <f t="shared" si="11"/>
        <v/>
      </c>
      <c r="K514" s="60" t="str">
        <f t="shared" si="12"/>
        <v/>
      </c>
      <c r="L514" t="str">
        <f t="shared" si="13"/>
        <v/>
      </c>
    </row>
    <row r="515" spans="1:12" x14ac:dyDescent="0.25">
      <c r="A515" t="s">
        <v>1701</v>
      </c>
      <c r="G515" t="str">
        <f t="shared" si="14"/>
        <v>03/31/19</v>
      </c>
      <c r="H515" t="str">
        <f t="shared" si="9"/>
        <v/>
      </c>
      <c r="I515" s="60" t="str">
        <f t="shared" si="10"/>
        <v/>
      </c>
      <c r="J515" t="str">
        <f t="shared" si="11"/>
        <v/>
      </c>
      <c r="K515" s="60" t="str">
        <f t="shared" si="12"/>
        <v/>
      </c>
      <c r="L515" t="str">
        <f t="shared" si="13"/>
        <v/>
      </c>
    </row>
    <row r="516" spans="1:12" x14ac:dyDescent="0.25">
      <c r="G516" t="str">
        <f t="shared" si="14"/>
        <v>03/31/19</v>
      </c>
      <c r="H516" t="str">
        <f t="shared" si="9"/>
        <v/>
      </c>
      <c r="I516" s="60" t="str">
        <f t="shared" si="10"/>
        <v/>
      </c>
      <c r="J516" t="str">
        <f t="shared" si="11"/>
        <v/>
      </c>
      <c r="K516" s="60" t="str">
        <f t="shared" si="12"/>
        <v/>
      </c>
      <c r="L516" t="str">
        <f t="shared" si="13"/>
        <v/>
      </c>
    </row>
    <row r="517" spans="1:12" x14ac:dyDescent="0.25">
      <c r="A517" t="s">
        <v>1702</v>
      </c>
      <c r="G517" t="str">
        <f t="shared" si="14"/>
        <v>04/01/19</v>
      </c>
      <c r="H517" t="str">
        <f t="shared" si="9"/>
        <v/>
      </c>
      <c r="I517" s="60" t="str">
        <f t="shared" si="10"/>
        <v/>
      </c>
      <c r="J517" t="str">
        <f t="shared" si="11"/>
        <v/>
      </c>
      <c r="K517" s="60" t="str">
        <f t="shared" si="12"/>
        <v/>
      </c>
      <c r="L517" t="str">
        <f t="shared" si="13"/>
        <v/>
      </c>
    </row>
    <row r="518" spans="1:12" x14ac:dyDescent="0.25">
      <c r="G518" t="str">
        <f t="shared" si="14"/>
        <v>04/01/19</v>
      </c>
      <c r="H518" t="str">
        <f t="shared" si="9"/>
        <v/>
      </c>
      <c r="I518" s="60" t="str">
        <f t="shared" si="10"/>
        <v/>
      </c>
      <c r="J518" t="str">
        <f t="shared" si="11"/>
        <v/>
      </c>
      <c r="K518" s="60" t="str">
        <f t="shared" si="12"/>
        <v/>
      </c>
      <c r="L518" t="str">
        <f t="shared" si="13"/>
        <v/>
      </c>
    </row>
    <row r="519" spans="1:12" x14ac:dyDescent="0.25">
      <c r="A519" t="s">
        <v>1703</v>
      </c>
      <c r="G519" t="str">
        <f t="shared" si="14"/>
        <v>04/01/19</v>
      </c>
      <c r="H519" t="str">
        <f t="shared" si="9"/>
        <v>Chicago Cubs</v>
      </c>
      <c r="I519" s="60">
        <f t="shared" si="10"/>
        <v>0</v>
      </c>
      <c r="J519" t="str">
        <f t="shared" si="11"/>
        <v>Atlanta Braves</v>
      </c>
      <c r="K519" s="60">
        <f t="shared" si="12"/>
        <v>8</v>
      </c>
      <c r="L519">
        <f t="shared" si="13"/>
        <v>-8</v>
      </c>
    </row>
    <row r="520" spans="1:12" x14ac:dyDescent="0.25">
      <c r="G520" t="str">
        <f t="shared" si="14"/>
        <v>04/01/19</v>
      </c>
      <c r="H520" t="str">
        <f t="shared" si="9"/>
        <v/>
      </c>
      <c r="I520" s="60" t="str">
        <f t="shared" si="10"/>
        <v/>
      </c>
      <c r="J520" t="str">
        <f t="shared" si="11"/>
        <v/>
      </c>
      <c r="K520" s="60" t="str">
        <f t="shared" si="12"/>
        <v/>
      </c>
      <c r="L520" t="str">
        <f t="shared" si="13"/>
        <v/>
      </c>
    </row>
    <row r="521" spans="1:12" x14ac:dyDescent="0.25">
      <c r="A521" t="s">
        <v>1704</v>
      </c>
      <c r="G521" t="str">
        <f t="shared" si="14"/>
        <v>04/01/19</v>
      </c>
      <c r="H521" t="str">
        <f t="shared" si="9"/>
        <v>Milwaukee Brewers</v>
      </c>
      <c r="I521" s="60">
        <f t="shared" si="10"/>
        <v>4</v>
      </c>
      <c r="J521" t="str">
        <f t="shared" si="11"/>
        <v>Cincinnati Reds</v>
      </c>
      <c r="K521" s="60">
        <f t="shared" si="12"/>
        <v>3</v>
      </c>
      <c r="L521">
        <f t="shared" si="13"/>
        <v>1</v>
      </c>
    </row>
    <row r="522" spans="1:12" x14ac:dyDescent="0.25">
      <c r="G522" t="str">
        <f t="shared" si="14"/>
        <v>04/01/19</v>
      </c>
      <c r="H522" t="str">
        <f t="shared" si="9"/>
        <v/>
      </c>
      <c r="I522" s="60" t="str">
        <f t="shared" si="10"/>
        <v/>
      </c>
      <c r="J522" t="str">
        <f t="shared" si="11"/>
        <v/>
      </c>
      <c r="K522" s="60" t="str">
        <f t="shared" si="12"/>
        <v/>
      </c>
      <c r="L522" t="str">
        <f t="shared" si="13"/>
        <v/>
      </c>
    </row>
    <row r="523" spans="1:12" x14ac:dyDescent="0.25">
      <c r="A523" t="s">
        <v>1705</v>
      </c>
      <c r="G523" t="str">
        <f t="shared" si="14"/>
        <v>04/01/19</v>
      </c>
      <c r="H523" t="str">
        <f t="shared" si="9"/>
        <v>Chicago White Sox</v>
      </c>
      <c r="I523" s="60">
        <f t="shared" si="10"/>
        <v>3</v>
      </c>
      <c r="J523" t="str">
        <f t="shared" si="11"/>
        <v>Cleveland Indians</v>
      </c>
      <c r="K523" s="60">
        <f t="shared" si="12"/>
        <v>5</v>
      </c>
      <c r="L523">
        <f t="shared" si="13"/>
        <v>-2</v>
      </c>
    </row>
    <row r="524" spans="1:12" x14ac:dyDescent="0.25">
      <c r="G524" t="str">
        <f t="shared" si="14"/>
        <v>04/01/19</v>
      </c>
      <c r="H524" t="str">
        <f t="shared" si="9"/>
        <v/>
      </c>
      <c r="I524" s="60" t="str">
        <f t="shared" si="10"/>
        <v/>
      </c>
      <c r="J524" t="str">
        <f t="shared" si="11"/>
        <v/>
      </c>
      <c r="K524" s="60" t="str">
        <f t="shared" si="12"/>
        <v/>
      </c>
      <c r="L524" t="str">
        <f t="shared" si="13"/>
        <v/>
      </c>
    </row>
    <row r="525" spans="1:12" x14ac:dyDescent="0.25">
      <c r="A525" t="s">
        <v>1706</v>
      </c>
      <c r="G525" t="str">
        <f t="shared" si="14"/>
        <v>04/01/19</v>
      </c>
      <c r="H525" t="str">
        <f t="shared" si="9"/>
        <v>San Francisco Giants</v>
      </c>
      <c r="I525" s="60">
        <f t="shared" si="10"/>
        <v>4</v>
      </c>
      <c r="J525" t="str">
        <f t="shared" si="11"/>
        <v>Los Angeles Dodgers</v>
      </c>
      <c r="K525" s="60">
        <f t="shared" si="12"/>
        <v>2</v>
      </c>
      <c r="L525">
        <f t="shared" si="13"/>
        <v>2</v>
      </c>
    </row>
    <row r="526" spans="1:12" x14ac:dyDescent="0.25">
      <c r="G526" t="str">
        <f t="shared" si="14"/>
        <v>04/01/19</v>
      </c>
      <c r="H526" t="str">
        <f t="shared" si="9"/>
        <v/>
      </c>
      <c r="I526" s="60" t="str">
        <f t="shared" si="10"/>
        <v/>
      </c>
      <c r="J526" t="str">
        <f t="shared" si="11"/>
        <v/>
      </c>
      <c r="K526" s="60" t="str">
        <f t="shared" si="12"/>
        <v/>
      </c>
      <c r="L526" t="str">
        <f t="shared" si="13"/>
        <v/>
      </c>
    </row>
    <row r="527" spans="1:12" x14ac:dyDescent="0.25">
      <c r="A527" t="s">
        <v>1707</v>
      </c>
      <c r="G527" t="str">
        <f t="shared" si="14"/>
        <v>04/01/19</v>
      </c>
      <c r="H527" t="str">
        <f t="shared" si="9"/>
        <v>New York Mets</v>
      </c>
      <c r="I527" s="60">
        <f t="shared" si="10"/>
        <v>7</v>
      </c>
      <c r="J527" t="str">
        <f t="shared" si="11"/>
        <v>Miami Marlins</v>
      </c>
      <c r="K527" s="60">
        <f t="shared" si="12"/>
        <v>3</v>
      </c>
      <c r="L527">
        <f t="shared" si="13"/>
        <v>4</v>
      </c>
    </row>
    <row r="528" spans="1:12" x14ac:dyDescent="0.25">
      <c r="G528" t="str">
        <f t="shared" si="14"/>
        <v>04/01/19</v>
      </c>
      <c r="H528" t="str">
        <f t="shared" ref="H528:H591" si="15">IFERROR(LEFT(MID(A528,1,SEARCH("@",A528)-2),SEARCH("(",A528)-2),"")</f>
        <v/>
      </c>
      <c r="I528" s="60" t="str">
        <f t="shared" ref="I528:I591" si="16">IFERROR(VALUE(MID(A528,SEARCH("(",A528)+1,SEARCH(")",A528)-SEARCH("(",A528)-1)),"")</f>
        <v/>
      </c>
      <c r="J528" t="str">
        <f t="shared" ref="J528:J591" si="17">IFERROR(MID(A528,SEARCH("@",A528)+2,SEARCH("(",A528,SEARCH("@",A528))-SEARCH("@",A528)-3),"")</f>
        <v/>
      </c>
      <c r="K528" s="60" t="str">
        <f t="shared" ref="K528:K591" si="18">IFERROR(VALUE(MID(A528,SEARCH(J528,A528)+LEN(J528)+2,(SEARCH(")",A528,SEARCH("@",A528))-SEARCH("(",A528,SEARCH("@",A528))-1))),"")</f>
        <v/>
      </c>
      <c r="L528" t="str">
        <f t="shared" ref="L528:L591" si="19">IFERROR(I528-K528,"")</f>
        <v/>
      </c>
    </row>
    <row r="529" spans="1:12" x14ac:dyDescent="0.25">
      <c r="A529" t="s">
        <v>1708</v>
      </c>
      <c r="G529" t="str">
        <f t="shared" si="14"/>
        <v>04/01/19</v>
      </c>
      <c r="H529" t="str">
        <f t="shared" si="15"/>
        <v>Detroit Tigers</v>
      </c>
      <c r="I529" s="60">
        <f t="shared" si="16"/>
        <v>1</v>
      </c>
      <c r="J529" t="str">
        <f t="shared" si="17"/>
        <v>New York Yankees</v>
      </c>
      <c r="K529" s="60">
        <f t="shared" si="18"/>
        <v>3</v>
      </c>
      <c r="L529">
        <f t="shared" si="19"/>
        <v>-2</v>
      </c>
    </row>
    <row r="530" spans="1:12" x14ac:dyDescent="0.25">
      <c r="G530" t="str">
        <f t="shared" si="14"/>
        <v>04/01/19</v>
      </c>
      <c r="H530" t="str">
        <f t="shared" si="15"/>
        <v/>
      </c>
      <c r="I530" s="60" t="str">
        <f t="shared" si="16"/>
        <v/>
      </c>
      <c r="J530" t="str">
        <f t="shared" si="17"/>
        <v/>
      </c>
      <c r="K530" s="60" t="str">
        <f t="shared" si="18"/>
        <v/>
      </c>
      <c r="L530" t="str">
        <f t="shared" si="19"/>
        <v/>
      </c>
    </row>
    <row r="531" spans="1:12" x14ac:dyDescent="0.25">
      <c r="A531" t="s">
        <v>1709</v>
      </c>
      <c r="G531" t="str">
        <f t="shared" si="14"/>
        <v>04/01/19</v>
      </c>
      <c r="H531" t="str">
        <f t="shared" si="15"/>
        <v>Boston Red Sox</v>
      </c>
      <c r="I531" s="60">
        <f t="shared" si="16"/>
        <v>0</v>
      </c>
      <c r="J531" t="str">
        <f t="shared" si="17"/>
        <v>Oakland Athletics</v>
      </c>
      <c r="K531" s="60">
        <f t="shared" si="18"/>
        <v>7</v>
      </c>
      <c r="L531">
        <f t="shared" si="19"/>
        <v>-7</v>
      </c>
    </row>
    <row r="532" spans="1:12" x14ac:dyDescent="0.25">
      <c r="G532" t="str">
        <f t="shared" si="14"/>
        <v>04/01/19</v>
      </c>
      <c r="H532" t="str">
        <f t="shared" si="15"/>
        <v/>
      </c>
      <c r="I532" s="60" t="str">
        <f t="shared" si="16"/>
        <v/>
      </c>
      <c r="J532" t="str">
        <f t="shared" si="17"/>
        <v/>
      </c>
      <c r="K532" s="60" t="str">
        <f t="shared" si="18"/>
        <v/>
      </c>
      <c r="L532" t="str">
        <f t="shared" si="19"/>
        <v/>
      </c>
    </row>
    <row r="533" spans="1:12" x14ac:dyDescent="0.25">
      <c r="A533" t="s">
        <v>1710</v>
      </c>
      <c r="G533" t="str">
        <f t="shared" si="14"/>
        <v>04/01/19</v>
      </c>
      <c r="H533" t="str">
        <f t="shared" si="15"/>
        <v>St. Louis Cardinals</v>
      </c>
      <c r="I533" s="60">
        <f t="shared" si="16"/>
        <v>6</v>
      </c>
      <c r="J533" t="str">
        <f t="shared" si="17"/>
        <v>Pittsburgh Pirates</v>
      </c>
      <c r="K533" s="60">
        <f t="shared" si="18"/>
        <v>5</v>
      </c>
      <c r="L533">
        <f t="shared" si="19"/>
        <v>1</v>
      </c>
    </row>
    <row r="534" spans="1:12" x14ac:dyDescent="0.25">
      <c r="G534" t="str">
        <f t="shared" si="14"/>
        <v>04/01/19</v>
      </c>
      <c r="H534" t="str">
        <f t="shared" si="15"/>
        <v/>
      </c>
      <c r="I534" s="60" t="str">
        <f t="shared" si="16"/>
        <v/>
      </c>
      <c r="J534" t="str">
        <f t="shared" si="17"/>
        <v/>
      </c>
      <c r="K534" s="60" t="str">
        <f t="shared" si="18"/>
        <v/>
      </c>
      <c r="L534" t="str">
        <f t="shared" si="19"/>
        <v/>
      </c>
    </row>
    <row r="535" spans="1:12" x14ac:dyDescent="0.25">
      <c r="A535" t="s">
        <v>1711</v>
      </c>
      <c r="G535" t="str">
        <f t="shared" si="14"/>
        <v>04/01/19</v>
      </c>
      <c r="H535" t="str">
        <f t="shared" si="15"/>
        <v>Arizona D'Backs</v>
      </c>
      <c r="I535" s="60">
        <f t="shared" si="16"/>
        <v>10</v>
      </c>
      <c r="J535" t="str">
        <f t="shared" si="17"/>
        <v>San Diego Padres</v>
      </c>
      <c r="K535" s="60">
        <f t="shared" si="18"/>
        <v>3</v>
      </c>
      <c r="L535">
        <f t="shared" si="19"/>
        <v>7</v>
      </c>
    </row>
    <row r="536" spans="1:12" x14ac:dyDescent="0.25">
      <c r="G536" t="str">
        <f t="shared" si="14"/>
        <v>04/01/19</v>
      </c>
      <c r="H536" t="str">
        <f t="shared" si="15"/>
        <v/>
      </c>
      <c r="I536" s="60" t="str">
        <f t="shared" si="16"/>
        <v/>
      </c>
      <c r="J536" t="str">
        <f t="shared" si="17"/>
        <v/>
      </c>
      <c r="K536" s="60" t="str">
        <f t="shared" si="18"/>
        <v/>
      </c>
      <c r="L536" t="str">
        <f t="shared" si="19"/>
        <v/>
      </c>
    </row>
    <row r="537" spans="1:12" x14ac:dyDescent="0.25">
      <c r="A537" t="s">
        <v>1712</v>
      </c>
      <c r="G537" t="str">
        <f t="shared" si="14"/>
        <v>04/01/19</v>
      </c>
      <c r="H537" t="str">
        <f t="shared" si="15"/>
        <v>Los Angeles Angels</v>
      </c>
      <c r="I537" s="60">
        <f t="shared" si="16"/>
        <v>3</v>
      </c>
      <c r="J537" t="str">
        <f t="shared" si="17"/>
        <v>Seattle Mariners</v>
      </c>
      <c r="K537" s="60">
        <f t="shared" si="18"/>
        <v>6</v>
      </c>
      <c r="L537">
        <f t="shared" si="19"/>
        <v>-3</v>
      </c>
    </row>
    <row r="538" spans="1:12" x14ac:dyDescent="0.25">
      <c r="G538" t="str">
        <f t="shared" si="14"/>
        <v>04/01/19</v>
      </c>
      <c r="H538" t="str">
        <f t="shared" si="15"/>
        <v/>
      </c>
      <c r="I538" s="60" t="str">
        <f t="shared" si="16"/>
        <v/>
      </c>
      <c r="J538" t="str">
        <f t="shared" si="17"/>
        <v/>
      </c>
      <c r="K538" s="60" t="str">
        <f t="shared" si="18"/>
        <v/>
      </c>
      <c r="L538" t="str">
        <f t="shared" si="19"/>
        <v/>
      </c>
    </row>
    <row r="539" spans="1:12" x14ac:dyDescent="0.25">
      <c r="A539" t="s">
        <v>1713</v>
      </c>
      <c r="G539" t="str">
        <f t="shared" si="14"/>
        <v>04/01/19</v>
      </c>
      <c r="H539" t="str">
        <f t="shared" si="15"/>
        <v>Colorado Rockies</v>
      </c>
      <c r="I539" s="60">
        <f t="shared" si="16"/>
        <v>1</v>
      </c>
      <c r="J539" t="str">
        <f t="shared" si="17"/>
        <v>Tampa Bay Rays</v>
      </c>
      <c r="K539" s="60">
        <f t="shared" si="18"/>
        <v>7</v>
      </c>
      <c r="L539">
        <f t="shared" si="19"/>
        <v>-6</v>
      </c>
    </row>
    <row r="540" spans="1:12" x14ac:dyDescent="0.25">
      <c r="G540" t="str">
        <f t="shared" si="14"/>
        <v>04/01/19</v>
      </c>
      <c r="H540" t="str">
        <f t="shared" si="15"/>
        <v/>
      </c>
      <c r="I540" s="60" t="str">
        <f t="shared" si="16"/>
        <v/>
      </c>
      <c r="J540" t="str">
        <f t="shared" si="17"/>
        <v/>
      </c>
      <c r="K540" s="60" t="str">
        <f t="shared" si="18"/>
        <v/>
      </c>
      <c r="L540" t="str">
        <f t="shared" si="19"/>
        <v/>
      </c>
    </row>
    <row r="541" spans="1:12" x14ac:dyDescent="0.25">
      <c r="A541" t="s">
        <v>1714</v>
      </c>
      <c r="G541" t="str">
        <f t="shared" si="14"/>
        <v>04/01/19</v>
      </c>
      <c r="H541" t="str">
        <f t="shared" si="15"/>
        <v>Houston Astros</v>
      </c>
      <c r="I541" s="60">
        <f t="shared" si="16"/>
        <v>2</v>
      </c>
      <c r="J541" t="str">
        <f t="shared" si="17"/>
        <v>Texas Rangers</v>
      </c>
      <c r="K541" s="60">
        <f t="shared" si="18"/>
        <v>1</v>
      </c>
      <c r="L541">
        <f t="shared" si="19"/>
        <v>1</v>
      </c>
    </row>
    <row r="542" spans="1:12" x14ac:dyDescent="0.25">
      <c r="G542" t="str">
        <f t="shared" si="14"/>
        <v>04/01/19</v>
      </c>
      <c r="H542" t="str">
        <f t="shared" si="15"/>
        <v/>
      </c>
      <c r="I542" s="60" t="str">
        <f t="shared" si="16"/>
        <v/>
      </c>
      <c r="J542" t="str">
        <f t="shared" si="17"/>
        <v/>
      </c>
      <c r="K542" s="60" t="str">
        <f t="shared" si="18"/>
        <v/>
      </c>
      <c r="L542" t="str">
        <f t="shared" si="19"/>
        <v/>
      </c>
    </row>
    <row r="543" spans="1:12" x14ac:dyDescent="0.25">
      <c r="A543" t="s">
        <v>1715</v>
      </c>
      <c r="G543" t="str">
        <f t="shared" si="14"/>
        <v>04/01/19</v>
      </c>
      <c r="H543" t="str">
        <f t="shared" si="15"/>
        <v>Baltimore Orioles</v>
      </c>
      <c r="I543" s="60">
        <f t="shared" si="16"/>
        <v>6</v>
      </c>
      <c r="J543" t="str">
        <f t="shared" si="17"/>
        <v>Toronto Blue Jays</v>
      </c>
      <c r="K543" s="60">
        <f t="shared" si="18"/>
        <v>5</v>
      </c>
      <c r="L543">
        <f t="shared" si="19"/>
        <v>1</v>
      </c>
    </row>
    <row r="544" spans="1:12" x14ac:dyDescent="0.25">
      <c r="G544" t="str">
        <f t="shared" si="14"/>
        <v>04/01/19</v>
      </c>
      <c r="H544" t="str">
        <f t="shared" si="15"/>
        <v/>
      </c>
      <c r="I544" s="60" t="str">
        <f t="shared" si="16"/>
        <v/>
      </c>
      <c r="J544" t="str">
        <f t="shared" si="17"/>
        <v/>
      </c>
      <c r="K544" s="60" t="str">
        <f t="shared" si="18"/>
        <v/>
      </c>
      <c r="L544" t="str">
        <f t="shared" si="19"/>
        <v/>
      </c>
    </row>
    <row r="545" spans="1:12" x14ac:dyDescent="0.25">
      <c r="A545" t="s">
        <v>1716</v>
      </c>
      <c r="G545" t="str">
        <f t="shared" si="14"/>
        <v>04/01/19</v>
      </c>
      <c r="H545" t="str">
        <f t="shared" si="15"/>
        <v/>
      </c>
      <c r="I545" s="60" t="str">
        <f t="shared" si="16"/>
        <v/>
      </c>
      <c r="J545" t="str">
        <f t="shared" si="17"/>
        <v/>
      </c>
      <c r="K545" s="60" t="str">
        <f t="shared" si="18"/>
        <v/>
      </c>
      <c r="L545" t="str">
        <f t="shared" si="19"/>
        <v/>
      </c>
    </row>
    <row r="546" spans="1:12" x14ac:dyDescent="0.25">
      <c r="G546" t="str">
        <f t="shared" ref="G546:G609" si="20">IF(ISNUMBER(MATCH(IFERROR(LEFT(A546,SEARCH(",",A546)-1),""),$G$220:$M$220,0)),TEXT(MID(A546,SEARCH(",",A546)+2,LEN(A546)),"mm/dd/yy"),G545)</f>
        <v>04/01/19</v>
      </c>
      <c r="H546" t="str">
        <f t="shared" si="15"/>
        <v/>
      </c>
      <c r="I546" s="60" t="str">
        <f t="shared" si="16"/>
        <v/>
      </c>
      <c r="J546" t="str">
        <f t="shared" si="17"/>
        <v/>
      </c>
      <c r="K546" s="60" t="str">
        <f t="shared" si="18"/>
        <v/>
      </c>
      <c r="L546" t="str">
        <f t="shared" si="19"/>
        <v/>
      </c>
    </row>
    <row r="547" spans="1:12" x14ac:dyDescent="0.25">
      <c r="A547" t="s">
        <v>1717</v>
      </c>
      <c r="G547" t="str">
        <f t="shared" si="20"/>
        <v>04/02/19</v>
      </c>
      <c r="H547" t="str">
        <f t="shared" si="15"/>
        <v/>
      </c>
      <c r="I547" s="60" t="str">
        <f t="shared" si="16"/>
        <v/>
      </c>
      <c r="J547" t="str">
        <f t="shared" si="17"/>
        <v/>
      </c>
      <c r="K547" s="60" t="str">
        <f t="shared" si="18"/>
        <v/>
      </c>
      <c r="L547" t="str">
        <f t="shared" si="19"/>
        <v/>
      </c>
    </row>
    <row r="548" spans="1:12" x14ac:dyDescent="0.25">
      <c r="G548" t="str">
        <f t="shared" si="20"/>
        <v>04/02/19</v>
      </c>
      <c r="H548" t="str">
        <f t="shared" si="15"/>
        <v/>
      </c>
      <c r="I548" s="60" t="str">
        <f t="shared" si="16"/>
        <v/>
      </c>
      <c r="J548" t="str">
        <f t="shared" si="17"/>
        <v/>
      </c>
      <c r="K548" s="60" t="str">
        <f t="shared" si="18"/>
        <v/>
      </c>
      <c r="L548" t="str">
        <f t="shared" si="19"/>
        <v/>
      </c>
    </row>
    <row r="549" spans="1:12" x14ac:dyDescent="0.25">
      <c r="A549" t="s">
        <v>1704</v>
      </c>
      <c r="G549" t="str">
        <f t="shared" si="20"/>
        <v>04/02/19</v>
      </c>
      <c r="H549" t="str">
        <f t="shared" si="15"/>
        <v>Milwaukee Brewers</v>
      </c>
      <c r="I549" s="60">
        <f t="shared" si="16"/>
        <v>4</v>
      </c>
      <c r="J549" t="str">
        <f t="shared" si="17"/>
        <v>Cincinnati Reds</v>
      </c>
      <c r="K549" s="60">
        <f t="shared" si="18"/>
        <v>3</v>
      </c>
      <c r="L549">
        <f t="shared" si="19"/>
        <v>1</v>
      </c>
    </row>
    <row r="550" spans="1:12" x14ac:dyDescent="0.25">
      <c r="G550" t="str">
        <f t="shared" si="20"/>
        <v>04/02/19</v>
      </c>
      <c r="H550" t="str">
        <f t="shared" si="15"/>
        <v/>
      </c>
      <c r="I550" s="60" t="str">
        <f t="shared" si="16"/>
        <v/>
      </c>
      <c r="J550" t="str">
        <f t="shared" si="17"/>
        <v/>
      </c>
      <c r="K550" s="60" t="str">
        <f t="shared" si="18"/>
        <v/>
      </c>
      <c r="L550" t="str">
        <f t="shared" si="19"/>
        <v/>
      </c>
    </row>
    <row r="551" spans="1:12" x14ac:dyDescent="0.25">
      <c r="A551" t="s">
        <v>1718</v>
      </c>
      <c r="G551" t="str">
        <f t="shared" si="20"/>
        <v>04/02/19</v>
      </c>
      <c r="H551" t="str">
        <f t="shared" si="15"/>
        <v>Minnesota Twins</v>
      </c>
      <c r="I551" s="60">
        <f t="shared" si="16"/>
        <v>5</v>
      </c>
      <c r="J551" t="str">
        <f t="shared" si="17"/>
        <v>Kansas City Royals</v>
      </c>
      <c r="K551" s="60">
        <f t="shared" si="18"/>
        <v>4</v>
      </c>
      <c r="L551">
        <f t="shared" si="19"/>
        <v>1</v>
      </c>
    </row>
    <row r="552" spans="1:12" x14ac:dyDescent="0.25">
      <c r="G552" t="str">
        <f t="shared" si="20"/>
        <v>04/02/19</v>
      </c>
      <c r="H552" t="str">
        <f t="shared" si="15"/>
        <v/>
      </c>
      <c r="I552" s="60" t="str">
        <f t="shared" si="16"/>
        <v/>
      </c>
      <c r="J552" t="str">
        <f t="shared" si="17"/>
        <v/>
      </c>
      <c r="K552" s="60" t="str">
        <f t="shared" si="18"/>
        <v/>
      </c>
      <c r="L552" t="str">
        <f t="shared" si="19"/>
        <v/>
      </c>
    </row>
    <row r="553" spans="1:12" x14ac:dyDescent="0.25">
      <c r="A553" t="s">
        <v>1719</v>
      </c>
      <c r="G553" t="str">
        <f t="shared" si="20"/>
        <v>04/02/19</v>
      </c>
      <c r="H553" t="str">
        <f t="shared" si="15"/>
        <v>San Francisco Giants</v>
      </c>
      <c r="I553" s="60">
        <f t="shared" si="16"/>
        <v>5</v>
      </c>
      <c r="J553" t="str">
        <f t="shared" si="17"/>
        <v>Los Angeles Dodgers</v>
      </c>
      <c r="K553" s="60">
        <f t="shared" si="18"/>
        <v>6</v>
      </c>
      <c r="L553">
        <f t="shared" si="19"/>
        <v>-1</v>
      </c>
    </row>
    <row r="554" spans="1:12" x14ac:dyDescent="0.25">
      <c r="G554" t="str">
        <f t="shared" si="20"/>
        <v>04/02/19</v>
      </c>
      <c r="H554" t="str">
        <f t="shared" si="15"/>
        <v/>
      </c>
      <c r="I554" s="60" t="str">
        <f t="shared" si="16"/>
        <v/>
      </c>
      <c r="J554" t="str">
        <f t="shared" si="17"/>
        <v/>
      </c>
      <c r="K554" s="60" t="str">
        <f t="shared" si="18"/>
        <v/>
      </c>
      <c r="L554" t="str">
        <f t="shared" si="19"/>
        <v/>
      </c>
    </row>
    <row r="555" spans="1:12" x14ac:dyDescent="0.25">
      <c r="A555" t="s">
        <v>1720</v>
      </c>
      <c r="G555" t="str">
        <f t="shared" si="20"/>
        <v>04/02/19</v>
      </c>
      <c r="H555" t="str">
        <f t="shared" si="15"/>
        <v>New York Mets</v>
      </c>
      <c r="I555" s="60">
        <f t="shared" si="16"/>
        <v>6</v>
      </c>
      <c r="J555" t="str">
        <f t="shared" si="17"/>
        <v>Miami Marlins</v>
      </c>
      <c r="K555" s="60">
        <f t="shared" si="18"/>
        <v>5</v>
      </c>
      <c r="L555">
        <f t="shared" si="19"/>
        <v>1</v>
      </c>
    </row>
    <row r="556" spans="1:12" x14ac:dyDescent="0.25">
      <c r="G556" t="str">
        <f t="shared" si="20"/>
        <v>04/02/19</v>
      </c>
      <c r="H556" t="str">
        <f t="shared" si="15"/>
        <v/>
      </c>
      <c r="I556" s="60" t="str">
        <f t="shared" si="16"/>
        <v/>
      </c>
      <c r="J556" t="str">
        <f t="shared" si="17"/>
        <v/>
      </c>
      <c r="K556" s="60" t="str">
        <f t="shared" si="18"/>
        <v/>
      </c>
      <c r="L556" t="str">
        <f t="shared" si="19"/>
        <v/>
      </c>
    </row>
    <row r="557" spans="1:12" x14ac:dyDescent="0.25">
      <c r="A557" t="s">
        <v>1721</v>
      </c>
      <c r="G557" t="str">
        <f t="shared" si="20"/>
        <v>04/02/19</v>
      </c>
      <c r="H557" t="str">
        <f t="shared" si="15"/>
        <v>Detroit Tigers</v>
      </c>
      <c r="I557" s="60">
        <f t="shared" si="16"/>
        <v>3</v>
      </c>
      <c r="J557" t="str">
        <f t="shared" si="17"/>
        <v>New York Yankees</v>
      </c>
      <c r="K557" s="60">
        <f t="shared" si="18"/>
        <v>1</v>
      </c>
      <c r="L557">
        <f t="shared" si="19"/>
        <v>2</v>
      </c>
    </row>
    <row r="558" spans="1:12" x14ac:dyDescent="0.25">
      <c r="G558" t="str">
        <f t="shared" si="20"/>
        <v>04/02/19</v>
      </c>
      <c r="H558" t="str">
        <f t="shared" si="15"/>
        <v/>
      </c>
      <c r="I558" s="60" t="str">
        <f t="shared" si="16"/>
        <v/>
      </c>
      <c r="J558" t="str">
        <f t="shared" si="17"/>
        <v/>
      </c>
      <c r="K558" s="60" t="str">
        <f t="shared" si="18"/>
        <v/>
      </c>
      <c r="L558" t="str">
        <f t="shared" si="19"/>
        <v/>
      </c>
    </row>
    <row r="559" spans="1:12" x14ac:dyDescent="0.25">
      <c r="A559" t="s">
        <v>1722</v>
      </c>
      <c r="G559" t="str">
        <f t="shared" si="20"/>
        <v>04/02/19</v>
      </c>
      <c r="H559" t="str">
        <f t="shared" si="15"/>
        <v>Boston Red Sox</v>
      </c>
      <c r="I559" s="60">
        <f t="shared" si="16"/>
        <v>0</v>
      </c>
      <c r="J559" t="str">
        <f t="shared" si="17"/>
        <v>Oakland Athletics</v>
      </c>
      <c r="K559" s="60">
        <f t="shared" si="18"/>
        <v>1</v>
      </c>
      <c r="L559">
        <f t="shared" si="19"/>
        <v>-1</v>
      </c>
    </row>
    <row r="560" spans="1:12" x14ac:dyDescent="0.25">
      <c r="G560" t="str">
        <f t="shared" si="20"/>
        <v>04/02/19</v>
      </c>
      <c r="H560" t="str">
        <f t="shared" si="15"/>
        <v/>
      </c>
      <c r="I560" s="60" t="str">
        <f t="shared" si="16"/>
        <v/>
      </c>
      <c r="J560" t="str">
        <f t="shared" si="17"/>
        <v/>
      </c>
      <c r="K560" s="60" t="str">
        <f t="shared" si="18"/>
        <v/>
      </c>
      <c r="L560" t="str">
        <f t="shared" si="19"/>
        <v/>
      </c>
    </row>
    <row r="561" spans="1:12" x14ac:dyDescent="0.25">
      <c r="A561" t="s">
        <v>1723</v>
      </c>
      <c r="G561" t="str">
        <f t="shared" si="20"/>
        <v>04/02/19</v>
      </c>
      <c r="H561" t="str">
        <f t="shared" si="15"/>
        <v>Arizona D'Backs</v>
      </c>
      <c r="I561" s="60">
        <f t="shared" si="16"/>
        <v>8</v>
      </c>
      <c r="J561" t="str">
        <f t="shared" si="17"/>
        <v>San Diego Padres</v>
      </c>
      <c r="K561" s="60">
        <f t="shared" si="18"/>
        <v>5</v>
      </c>
      <c r="L561">
        <f t="shared" si="19"/>
        <v>3</v>
      </c>
    </row>
    <row r="562" spans="1:12" x14ac:dyDescent="0.25">
      <c r="G562" t="str">
        <f t="shared" si="20"/>
        <v>04/02/19</v>
      </c>
      <c r="H562" t="str">
        <f t="shared" si="15"/>
        <v/>
      </c>
      <c r="I562" s="60" t="str">
        <f t="shared" si="16"/>
        <v/>
      </c>
      <c r="J562" t="str">
        <f t="shared" si="17"/>
        <v/>
      </c>
      <c r="K562" s="60" t="str">
        <f t="shared" si="18"/>
        <v/>
      </c>
      <c r="L562" t="str">
        <f t="shared" si="19"/>
        <v/>
      </c>
    </row>
    <row r="563" spans="1:12" x14ac:dyDescent="0.25">
      <c r="A563" t="s">
        <v>1724</v>
      </c>
      <c r="G563" t="str">
        <f t="shared" si="20"/>
        <v>04/02/19</v>
      </c>
      <c r="H563" t="str">
        <f t="shared" si="15"/>
        <v>Los Angeles Angels</v>
      </c>
      <c r="I563" s="60">
        <f t="shared" si="16"/>
        <v>1</v>
      </c>
      <c r="J563" t="str">
        <f t="shared" si="17"/>
        <v>Seattle Mariners</v>
      </c>
      <c r="K563" s="60">
        <f t="shared" si="18"/>
        <v>2</v>
      </c>
      <c r="L563">
        <f t="shared" si="19"/>
        <v>-1</v>
      </c>
    </row>
    <row r="564" spans="1:12" x14ac:dyDescent="0.25">
      <c r="G564" t="str">
        <f t="shared" si="20"/>
        <v>04/02/19</v>
      </c>
      <c r="H564" t="str">
        <f t="shared" si="15"/>
        <v/>
      </c>
      <c r="I564" s="60" t="str">
        <f t="shared" si="16"/>
        <v/>
      </c>
      <c r="J564" t="str">
        <f t="shared" si="17"/>
        <v/>
      </c>
      <c r="K564" s="60" t="str">
        <f t="shared" si="18"/>
        <v/>
      </c>
      <c r="L564" t="str">
        <f t="shared" si="19"/>
        <v/>
      </c>
    </row>
    <row r="565" spans="1:12" x14ac:dyDescent="0.25">
      <c r="A565" t="s">
        <v>1725</v>
      </c>
      <c r="G565" t="str">
        <f t="shared" si="20"/>
        <v>04/02/19</v>
      </c>
      <c r="H565" t="str">
        <f t="shared" si="15"/>
        <v>Colorado Rockies</v>
      </c>
      <c r="I565" s="60">
        <f t="shared" si="16"/>
        <v>0</v>
      </c>
      <c r="J565" t="str">
        <f t="shared" si="17"/>
        <v>Tampa Bay Rays</v>
      </c>
      <c r="K565" s="60">
        <f t="shared" si="18"/>
        <v>4</v>
      </c>
      <c r="L565">
        <f t="shared" si="19"/>
        <v>-4</v>
      </c>
    </row>
    <row r="566" spans="1:12" x14ac:dyDescent="0.25">
      <c r="G566" t="str">
        <f t="shared" si="20"/>
        <v>04/02/19</v>
      </c>
      <c r="H566" t="str">
        <f t="shared" si="15"/>
        <v/>
      </c>
      <c r="I566" s="60" t="str">
        <f t="shared" si="16"/>
        <v/>
      </c>
      <c r="J566" t="str">
        <f t="shared" si="17"/>
        <v/>
      </c>
      <c r="K566" s="60" t="str">
        <f t="shared" si="18"/>
        <v/>
      </c>
      <c r="L566" t="str">
        <f t="shared" si="19"/>
        <v/>
      </c>
    </row>
    <row r="567" spans="1:12" x14ac:dyDescent="0.25">
      <c r="A567" t="s">
        <v>1726</v>
      </c>
      <c r="G567" t="str">
        <f t="shared" si="20"/>
        <v>04/02/19</v>
      </c>
      <c r="H567" t="str">
        <f t="shared" si="15"/>
        <v>Houston Astros</v>
      </c>
      <c r="I567" s="60">
        <f t="shared" si="16"/>
        <v>4</v>
      </c>
      <c r="J567" t="str">
        <f t="shared" si="17"/>
        <v>Texas Rangers</v>
      </c>
      <c r="K567" s="60">
        <f t="shared" si="18"/>
        <v>6</v>
      </c>
      <c r="L567">
        <f t="shared" si="19"/>
        <v>-2</v>
      </c>
    </row>
    <row r="568" spans="1:12" x14ac:dyDescent="0.25">
      <c r="G568" t="str">
        <f t="shared" si="20"/>
        <v>04/02/19</v>
      </c>
      <c r="H568" t="str">
        <f t="shared" si="15"/>
        <v/>
      </c>
      <c r="I568" s="60" t="str">
        <f t="shared" si="16"/>
        <v/>
      </c>
      <c r="J568" t="str">
        <f t="shared" si="17"/>
        <v/>
      </c>
      <c r="K568" s="60" t="str">
        <f t="shared" si="18"/>
        <v/>
      </c>
      <c r="L568" t="str">
        <f t="shared" si="19"/>
        <v/>
      </c>
    </row>
    <row r="569" spans="1:12" x14ac:dyDescent="0.25">
      <c r="A569" t="s">
        <v>1727</v>
      </c>
      <c r="G569" t="str">
        <f t="shared" si="20"/>
        <v>04/02/19</v>
      </c>
      <c r="H569" t="str">
        <f t="shared" si="15"/>
        <v>Baltimore Orioles</v>
      </c>
      <c r="I569" s="60">
        <f t="shared" si="16"/>
        <v>2</v>
      </c>
      <c r="J569" t="str">
        <f t="shared" si="17"/>
        <v>Toronto Blue Jays</v>
      </c>
      <c r="K569" s="60">
        <f t="shared" si="18"/>
        <v>1</v>
      </c>
      <c r="L569">
        <f t="shared" si="19"/>
        <v>1</v>
      </c>
    </row>
    <row r="570" spans="1:12" x14ac:dyDescent="0.25">
      <c r="G570" t="str">
        <f t="shared" si="20"/>
        <v>04/02/19</v>
      </c>
      <c r="H570" t="str">
        <f t="shared" si="15"/>
        <v/>
      </c>
      <c r="I570" s="60" t="str">
        <f t="shared" si="16"/>
        <v/>
      </c>
      <c r="J570" t="str">
        <f t="shared" si="17"/>
        <v/>
      </c>
      <c r="K570" s="60" t="str">
        <f t="shared" si="18"/>
        <v/>
      </c>
      <c r="L570" t="str">
        <f t="shared" si="19"/>
        <v/>
      </c>
    </row>
    <row r="571" spans="1:12" x14ac:dyDescent="0.25">
      <c r="A571" t="s">
        <v>1728</v>
      </c>
      <c r="G571" t="str">
        <f t="shared" si="20"/>
        <v>04/02/19</v>
      </c>
      <c r="H571" t="str">
        <f t="shared" si="15"/>
        <v>Philadelphia Phillies</v>
      </c>
      <c r="I571" s="60">
        <f t="shared" si="16"/>
        <v>8</v>
      </c>
      <c r="J571" t="str">
        <f t="shared" si="17"/>
        <v>Washington Nationals</v>
      </c>
      <c r="K571" s="60">
        <f t="shared" si="18"/>
        <v>2</v>
      </c>
      <c r="L571">
        <f t="shared" si="19"/>
        <v>6</v>
      </c>
    </row>
    <row r="572" spans="1:12" x14ac:dyDescent="0.25">
      <c r="G572" t="str">
        <f t="shared" si="20"/>
        <v>04/02/19</v>
      </c>
      <c r="H572" t="str">
        <f t="shared" si="15"/>
        <v/>
      </c>
      <c r="I572" s="60" t="str">
        <f t="shared" si="16"/>
        <v/>
      </c>
      <c r="J572" t="str">
        <f t="shared" si="17"/>
        <v/>
      </c>
      <c r="K572" s="60" t="str">
        <f t="shared" si="18"/>
        <v/>
      </c>
      <c r="L572" t="str">
        <f t="shared" si="19"/>
        <v/>
      </c>
    </row>
    <row r="573" spans="1:12" x14ac:dyDescent="0.25">
      <c r="A573" t="s">
        <v>1729</v>
      </c>
      <c r="G573" t="str">
        <f t="shared" si="20"/>
        <v>04/02/19</v>
      </c>
      <c r="H573" t="str">
        <f t="shared" si="15"/>
        <v/>
      </c>
      <c r="I573" s="60" t="str">
        <f t="shared" si="16"/>
        <v/>
      </c>
      <c r="J573" t="str">
        <f t="shared" si="17"/>
        <v/>
      </c>
      <c r="K573" s="60" t="str">
        <f t="shared" si="18"/>
        <v/>
      </c>
      <c r="L573" t="str">
        <f t="shared" si="19"/>
        <v/>
      </c>
    </row>
    <row r="574" spans="1:12" x14ac:dyDescent="0.25">
      <c r="G574" t="str">
        <f t="shared" si="20"/>
        <v>04/02/19</v>
      </c>
      <c r="H574" t="str">
        <f t="shared" si="15"/>
        <v/>
      </c>
      <c r="I574" s="60" t="str">
        <f t="shared" si="16"/>
        <v/>
      </c>
      <c r="J574" t="str">
        <f t="shared" si="17"/>
        <v/>
      </c>
      <c r="K574" s="60" t="str">
        <f t="shared" si="18"/>
        <v/>
      </c>
      <c r="L574" t="str">
        <f t="shared" si="19"/>
        <v/>
      </c>
    </row>
    <row r="575" spans="1:12" x14ac:dyDescent="0.25">
      <c r="A575" t="s">
        <v>1730</v>
      </c>
      <c r="G575" t="str">
        <f t="shared" si="20"/>
        <v>04/03/19</v>
      </c>
      <c r="H575" t="str">
        <f t="shared" si="15"/>
        <v/>
      </c>
      <c r="I575" s="60" t="str">
        <f t="shared" si="16"/>
        <v/>
      </c>
      <c r="J575" t="str">
        <f t="shared" si="17"/>
        <v/>
      </c>
      <c r="K575" s="60" t="str">
        <f t="shared" si="18"/>
        <v/>
      </c>
      <c r="L575" t="str">
        <f t="shared" si="19"/>
        <v/>
      </c>
    </row>
    <row r="576" spans="1:12" x14ac:dyDescent="0.25">
      <c r="G576" t="str">
        <f t="shared" si="20"/>
        <v>04/03/19</v>
      </c>
      <c r="H576" t="str">
        <f t="shared" si="15"/>
        <v/>
      </c>
      <c r="I576" s="60" t="str">
        <f t="shared" si="16"/>
        <v/>
      </c>
      <c r="J576" t="str">
        <f t="shared" si="17"/>
        <v/>
      </c>
      <c r="K576" s="60" t="str">
        <f t="shared" si="18"/>
        <v/>
      </c>
      <c r="L576" t="str">
        <f t="shared" si="19"/>
        <v/>
      </c>
    </row>
    <row r="577" spans="1:12" x14ac:dyDescent="0.25">
      <c r="A577" t="s">
        <v>1731</v>
      </c>
      <c r="G577" t="str">
        <f t="shared" si="20"/>
        <v>04/03/19</v>
      </c>
      <c r="H577" t="str">
        <f t="shared" si="15"/>
        <v>Chicago Cubs</v>
      </c>
      <c r="I577" s="60">
        <f t="shared" si="16"/>
        <v>4</v>
      </c>
      <c r="J577" t="str">
        <f t="shared" si="17"/>
        <v>Atlanta Braves</v>
      </c>
      <c r="K577" s="60">
        <f t="shared" si="18"/>
        <v>6</v>
      </c>
      <c r="L577">
        <f t="shared" si="19"/>
        <v>-2</v>
      </c>
    </row>
    <row r="578" spans="1:12" x14ac:dyDescent="0.25">
      <c r="G578" t="str">
        <f t="shared" si="20"/>
        <v>04/03/19</v>
      </c>
      <c r="H578" t="str">
        <f t="shared" si="15"/>
        <v/>
      </c>
      <c r="I578" s="60" t="str">
        <f t="shared" si="16"/>
        <v/>
      </c>
      <c r="J578" t="str">
        <f t="shared" si="17"/>
        <v/>
      </c>
      <c r="K578" s="60" t="str">
        <f t="shared" si="18"/>
        <v/>
      </c>
      <c r="L578" t="str">
        <f t="shared" si="19"/>
        <v/>
      </c>
    </row>
    <row r="579" spans="1:12" x14ac:dyDescent="0.25">
      <c r="A579" t="s">
        <v>1732</v>
      </c>
      <c r="G579" t="str">
        <f t="shared" si="20"/>
        <v>04/03/19</v>
      </c>
      <c r="H579" t="str">
        <f t="shared" si="15"/>
        <v>Milwaukee Brewers</v>
      </c>
      <c r="I579" s="60">
        <f t="shared" si="16"/>
        <v>1</v>
      </c>
      <c r="J579" t="str">
        <f t="shared" si="17"/>
        <v>Cincinnati Reds</v>
      </c>
      <c r="K579" s="60">
        <f t="shared" si="18"/>
        <v>0</v>
      </c>
      <c r="L579">
        <f t="shared" si="19"/>
        <v>1</v>
      </c>
    </row>
    <row r="580" spans="1:12" x14ac:dyDescent="0.25">
      <c r="G580" t="str">
        <f t="shared" si="20"/>
        <v>04/03/19</v>
      </c>
      <c r="H580" t="str">
        <f t="shared" si="15"/>
        <v/>
      </c>
      <c r="I580" s="60" t="str">
        <f t="shared" si="16"/>
        <v/>
      </c>
      <c r="J580" t="str">
        <f t="shared" si="17"/>
        <v/>
      </c>
      <c r="K580" s="60" t="str">
        <f t="shared" si="18"/>
        <v/>
      </c>
      <c r="L580" t="str">
        <f t="shared" si="19"/>
        <v/>
      </c>
    </row>
    <row r="581" spans="1:12" x14ac:dyDescent="0.25">
      <c r="A581" t="s">
        <v>1733</v>
      </c>
      <c r="G581" t="str">
        <f t="shared" si="20"/>
        <v>04/03/19</v>
      </c>
      <c r="H581" t="str">
        <f t="shared" si="15"/>
        <v>Chicago White Sox</v>
      </c>
      <c r="I581" s="60">
        <f t="shared" si="16"/>
        <v>8</v>
      </c>
      <c r="J581" t="str">
        <f t="shared" si="17"/>
        <v>Cleveland Indians</v>
      </c>
      <c r="K581" s="60">
        <f t="shared" si="18"/>
        <v>3</v>
      </c>
      <c r="L581">
        <f t="shared" si="19"/>
        <v>5</v>
      </c>
    </row>
    <row r="582" spans="1:12" x14ac:dyDescent="0.25">
      <c r="G582" t="str">
        <f t="shared" si="20"/>
        <v>04/03/19</v>
      </c>
      <c r="H582" t="str">
        <f t="shared" si="15"/>
        <v/>
      </c>
      <c r="I582" s="60" t="str">
        <f t="shared" si="16"/>
        <v/>
      </c>
      <c r="J582" t="str">
        <f t="shared" si="17"/>
        <v/>
      </c>
      <c r="K582" s="60" t="str">
        <f t="shared" si="18"/>
        <v/>
      </c>
      <c r="L582" t="str">
        <f t="shared" si="19"/>
        <v/>
      </c>
    </row>
    <row r="583" spans="1:12" x14ac:dyDescent="0.25">
      <c r="A583" t="s">
        <v>1734</v>
      </c>
      <c r="G583" t="str">
        <f t="shared" si="20"/>
        <v>04/03/19</v>
      </c>
      <c r="H583" t="str">
        <f t="shared" si="15"/>
        <v>Minnesota Twins</v>
      </c>
      <c r="I583" s="60">
        <f t="shared" si="16"/>
        <v>7</v>
      </c>
      <c r="J583" t="str">
        <f t="shared" si="17"/>
        <v>Kansas City Royals</v>
      </c>
      <c r="K583" s="60">
        <f t="shared" si="18"/>
        <v>6</v>
      </c>
      <c r="L583">
        <f t="shared" si="19"/>
        <v>1</v>
      </c>
    </row>
    <row r="584" spans="1:12" x14ac:dyDescent="0.25">
      <c r="G584" t="str">
        <f t="shared" si="20"/>
        <v>04/03/19</v>
      </c>
      <c r="H584" t="str">
        <f t="shared" si="15"/>
        <v/>
      </c>
      <c r="I584" s="60" t="str">
        <f t="shared" si="16"/>
        <v/>
      </c>
      <c r="J584" t="str">
        <f t="shared" si="17"/>
        <v/>
      </c>
      <c r="K584" s="60" t="str">
        <f t="shared" si="18"/>
        <v/>
      </c>
      <c r="L584" t="str">
        <f t="shared" si="19"/>
        <v/>
      </c>
    </row>
    <row r="585" spans="1:12" x14ac:dyDescent="0.25">
      <c r="A585" t="s">
        <v>1735</v>
      </c>
      <c r="G585" t="str">
        <f t="shared" si="20"/>
        <v>04/03/19</v>
      </c>
      <c r="H585" t="str">
        <f t="shared" si="15"/>
        <v>San Francisco Giants</v>
      </c>
      <c r="I585" s="60">
        <f t="shared" si="16"/>
        <v>3</v>
      </c>
      <c r="J585" t="str">
        <f t="shared" si="17"/>
        <v>Los Angeles Dodgers</v>
      </c>
      <c r="K585" s="60">
        <f t="shared" si="18"/>
        <v>5</v>
      </c>
      <c r="L585">
        <f t="shared" si="19"/>
        <v>-2</v>
      </c>
    </row>
    <row r="586" spans="1:12" x14ac:dyDescent="0.25">
      <c r="G586" t="str">
        <f t="shared" si="20"/>
        <v>04/03/19</v>
      </c>
      <c r="H586" t="str">
        <f t="shared" si="15"/>
        <v/>
      </c>
      <c r="I586" s="60" t="str">
        <f t="shared" si="16"/>
        <v/>
      </c>
      <c r="J586" t="str">
        <f t="shared" si="17"/>
        <v/>
      </c>
      <c r="K586" s="60" t="str">
        <f t="shared" si="18"/>
        <v/>
      </c>
      <c r="L586" t="str">
        <f t="shared" si="19"/>
        <v/>
      </c>
    </row>
    <row r="587" spans="1:12" x14ac:dyDescent="0.25">
      <c r="A587" t="s">
        <v>1736</v>
      </c>
      <c r="G587" t="str">
        <f t="shared" si="20"/>
        <v>04/03/19</v>
      </c>
      <c r="H587" t="str">
        <f t="shared" si="15"/>
        <v>New York Mets</v>
      </c>
      <c r="I587" s="60">
        <f t="shared" si="16"/>
        <v>6</v>
      </c>
      <c r="J587" t="str">
        <f t="shared" si="17"/>
        <v>Miami Marlins</v>
      </c>
      <c r="K587" s="60">
        <f t="shared" si="18"/>
        <v>4</v>
      </c>
      <c r="L587">
        <f t="shared" si="19"/>
        <v>2</v>
      </c>
    </row>
    <row r="588" spans="1:12" x14ac:dyDescent="0.25">
      <c r="G588" t="str">
        <f t="shared" si="20"/>
        <v>04/03/19</v>
      </c>
      <c r="H588" t="str">
        <f t="shared" si="15"/>
        <v/>
      </c>
      <c r="I588" s="60" t="str">
        <f t="shared" si="16"/>
        <v/>
      </c>
      <c r="J588" t="str">
        <f t="shared" si="17"/>
        <v/>
      </c>
      <c r="K588" s="60" t="str">
        <f t="shared" si="18"/>
        <v/>
      </c>
      <c r="L588" t="str">
        <f t="shared" si="19"/>
        <v/>
      </c>
    </row>
    <row r="589" spans="1:12" x14ac:dyDescent="0.25">
      <c r="A589" t="s">
        <v>1737</v>
      </c>
      <c r="G589" t="str">
        <f t="shared" si="20"/>
        <v>04/03/19</v>
      </c>
      <c r="H589" t="str">
        <f t="shared" si="15"/>
        <v>Detroit Tigers</v>
      </c>
      <c r="I589" s="60">
        <f t="shared" si="16"/>
        <v>2</v>
      </c>
      <c r="J589" t="str">
        <f t="shared" si="17"/>
        <v>New York Yankees</v>
      </c>
      <c r="K589" s="60">
        <f t="shared" si="18"/>
        <v>1</v>
      </c>
      <c r="L589">
        <f t="shared" si="19"/>
        <v>1</v>
      </c>
    </row>
    <row r="590" spans="1:12" x14ac:dyDescent="0.25">
      <c r="G590" t="str">
        <f t="shared" si="20"/>
        <v>04/03/19</v>
      </c>
      <c r="H590" t="str">
        <f t="shared" si="15"/>
        <v/>
      </c>
      <c r="I590" s="60" t="str">
        <f t="shared" si="16"/>
        <v/>
      </c>
      <c r="J590" t="str">
        <f t="shared" si="17"/>
        <v/>
      </c>
      <c r="K590" s="60" t="str">
        <f t="shared" si="18"/>
        <v/>
      </c>
      <c r="L590" t="str">
        <f t="shared" si="19"/>
        <v/>
      </c>
    </row>
    <row r="591" spans="1:12" x14ac:dyDescent="0.25">
      <c r="A591" t="s">
        <v>1738</v>
      </c>
      <c r="G591" t="str">
        <f t="shared" si="20"/>
        <v>04/03/19</v>
      </c>
      <c r="H591" t="str">
        <f t="shared" si="15"/>
        <v>Boston Red Sox</v>
      </c>
      <c r="I591" s="60">
        <f t="shared" si="16"/>
        <v>6</v>
      </c>
      <c r="J591" t="str">
        <f t="shared" si="17"/>
        <v>Oakland Athletics</v>
      </c>
      <c r="K591" s="60">
        <f t="shared" si="18"/>
        <v>3</v>
      </c>
      <c r="L591">
        <f t="shared" si="19"/>
        <v>3</v>
      </c>
    </row>
    <row r="592" spans="1:12" x14ac:dyDescent="0.25">
      <c r="G592" t="str">
        <f t="shared" si="20"/>
        <v>04/03/19</v>
      </c>
      <c r="H592" t="str">
        <f t="shared" ref="H592:H655" si="21">IFERROR(LEFT(MID(A592,1,SEARCH("@",A592)-2),SEARCH("(",A592)-2),"")</f>
        <v/>
      </c>
      <c r="I592" s="60" t="str">
        <f t="shared" ref="I592:I655" si="22">IFERROR(VALUE(MID(A592,SEARCH("(",A592)+1,SEARCH(")",A592)-SEARCH("(",A592)-1)),"")</f>
        <v/>
      </c>
      <c r="J592" t="str">
        <f t="shared" ref="J592:J655" si="23">IFERROR(MID(A592,SEARCH("@",A592)+2,SEARCH("(",A592,SEARCH("@",A592))-SEARCH("@",A592)-3),"")</f>
        <v/>
      </c>
      <c r="K592" s="60" t="str">
        <f t="shared" ref="K592:K655" si="24">IFERROR(VALUE(MID(A592,SEARCH(J592,A592)+LEN(J592)+2,(SEARCH(")",A592,SEARCH("@",A592))-SEARCH("(",A592,SEARCH("@",A592))-1))),"")</f>
        <v/>
      </c>
      <c r="L592" t="str">
        <f t="shared" ref="L592:L655" si="25">IFERROR(I592-K592,"")</f>
        <v/>
      </c>
    </row>
    <row r="593" spans="1:12" x14ac:dyDescent="0.25">
      <c r="A593" t="s">
        <v>1739</v>
      </c>
      <c r="G593" t="str">
        <f t="shared" si="20"/>
        <v>04/03/19</v>
      </c>
      <c r="H593" t="str">
        <f t="shared" si="21"/>
        <v>St. Louis Cardinals</v>
      </c>
      <c r="I593" s="60">
        <f t="shared" si="22"/>
        <v>5</v>
      </c>
      <c r="J593" t="str">
        <f t="shared" si="23"/>
        <v>Pittsburgh Pirates</v>
      </c>
      <c r="K593" s="60">
        <f t="shared" si="24"/>
        <v>4</v>
      </c>
      <c r="L593">
        <f t="shared" si="25"/>
        <v>1</v>
      </c>
    </row>
    <row r="594" spans="1:12" x14ac:dyDescent="0.25">
      <c r="G594" t="str">
        <f t="shared" si="20"/>
        <v>04/03/19</v>
      </c>
      <c r="H594" t="str">
        <f t="shared" si="21"/>
        <v/>
      </c>
      <c r="I594" s="60" t="str">
        <f t="shared" si="22"/>
        <v/>
      </c>
      <c r="J594" t="str">
        <f t="shared" si="23"/>
        <v/>
      </c>
      <c r="K594" s="60" t="str">
        <f t="shared" si="24"/>
        <v/>
      </c>
      <c r="L594" t="str">
        <f t="shared" si="25"/>
        <v/>
      </c>
    </row>
    <row r="595" spans="1:12" x14ac:dyDescent="0.25">
      <c r="A595" t="s">
        <v>1740</v>
      </c>
      <c r="G595" t="str">
        <f t="shared" si="20"/>
        <v>04/03/19</v>
      </c>
      <c r="H595" t="str">
        <f t="shared" si="21"/>
        <v>Arizona D'Backs</v>
      </c>
      <c r="I595" s="60">
        <f t="shared" si="22"/>
        <v>1</v>
      </c>
      <c r="J595" t="str">
        <f t="shared" si="23"/>
        <v>San Diego Padres</v>
      </c>
      <c r="K595" s="60">
        <f t="shared" si="24"/>
        <v>4</v>
      </c>
      <c r="L595">
        <f t="shared" si="25"/>
        <v>-3</v>
      </c>
    </row>
    <row r="596" spans="1:12" x14ac:dyDescent="0.25">
      <c r="G596" t="str">
        <f t="shared" si="20"/>
        <v>04/03/19</v>
      </c>
      <c r="H596" t="str">
        <f t="shared" si="21"/>
        <v/>
      </c>
      <c r="I596" s="60" t="str">
        <f t="shared" si="22"/>
        <v/>
      </c>
      <c r="J596" t="str">
        <f t="shared" si="23"/>
        <v/>
      </c>
      <c r="K596" s="60" t="str">
        <f t="shared" si="24"/>
        <v/>
      </c>
      <c r="L596" t="str">
        <f t="shared" si="25"/>
        <v/>
      </c>
    </row>
    <row r="597" spans="1:12" x14ac:dyDescent="0.25">
      <c r="A597" t="s">
        <v>1741</v>
      </c>
      <c r="G597" t="str">
        <f t="shared" si="20"/>
        <v>04/03/19</v>
      </c>
      <c r="H597" t="str">
        <f t="shared" si="21"/>
        <v>Colorado Rockies</v>
      </c>
      <c r="I597" s="60">
        <f t="shared" si="22"/>
        <v>1</v>
      </c>
      <c r="J597" t="str">
        <f t="shared" si="23"/>
        <v>Tampa Bay Rays</v>
      </c>
      <c r="K597" s="60">
        <f t="shared" si="24"/>
        <v>0</v>
      </c>
      <c r="L597">
        <f t="shared" si="25"/>
        <v>1</v>
      </c>
    </row>
    <row r="598" spans="1:12" x14ac:dyDescent="0.25">
      <c r="G598" t="str">
        <f t="shared" si="20"/>
        <v>04/03/19</v>
      </c>
      <c r="H598" t="str">
        <f t="shared" si="21"/>
        <v/>
      </c>
      <c r="I598" s="60" t="str">
        <f t="shared" si="22"/>
        <v/>
      </c>
      <c r="J598" t="str">
        <f t="shared" si="23"/>
        <v/>
      </c>
      <c r="K598" s="60" t="str">
        <f t="shared" si="24"/>
        <v/>
      </c>
      <c r="L598" t="str">
        <f t="shared" si="25"/>
        <v/>
      </c>
    </row>
    <row r="599" spans="1:12" x14ac:dyDescent="0.25">
      <c r="A599" t="s">
        <v>1742</v>
      </c>
      <c r="G599" t="str">
        <f t="shared" si="20"/>
        <v>04/03/19</v>
      </c>
      <c r="H599" t="str">
        <f t="shared" si="21"/>
        <v>Houston Astros</v>
      </c>
      <c r="I599" s="60">
        <f t="shared" si="22"/>
        <v>0</v>
      </c>
      <c r="J599" t="str">
        <f t="shared" si="23"/>
        <v>Texas Rangers</v>
      </c>
      <c r="K599" s="60">
        <f t="shared" si="24"/>
        <v>4</v>
      </c>
      <c r="L599">
        <f t="shared" si="25"/>
        <v>-4</v>
      </c>
    </row>
    <row r="600" spans="1:12" x14ac:dyDescent="0.25">
      <c r="G600" t="str">
        <f t="shared" si="20"/>
        <v>04/03/19</v>
      </c>
      <c r="H600" t="str">
        <f t="shared" si="21"/>
        <v/>
      </c>
      <c r="I600" s="60" t="str">
        <f t="shared" si="22"/>
        <v/>
      </c>
      <c r="J600" t="str">
        <f t="shared" si="23"/>
        <v/>
      </c>
      <c r="K600" s="60" t="str">
        <f t="shared" si="24"/>
        <v/>
      </c>
      <c r="L600" t="str">
        <f t="shared" si="25"/>
        <v/>
      </c>
    </row>
    <row r="601" spans="1:12" x14ac:dyDescent="0.25">
      <c r="A601" t="s">
        <v>1743</v>
      </c>
      <c r="G601" t="str">
        <f t="shared" si="20"/>
        <v>04/03/19</v>
      </c>
      <c r="H601" t="str">
        <f t="shared" si="21"/>
        <v>Baltimore Orioles</v>
      </c>
      <c r="I601" s="60">
        <f t="shared" si="22"/>
        <v>3</v>
      </c>
      <c r="J601" t="str">
        <f t="shared" si="23"/>
        <v>Toronto Blue Jays</v>
      </c>
      <c r="K601" s="60">
        <f t="shared" si="24"/>
        <v>5</v>
      </c>
      <c r="L601">
        <f t="shared" si="25"/>
        <v>-2</v>
      </c>
    </row>
    <row r="602" spans="1:12" x14ac:dyDescent="0.25">
      <c r="G602" t="str">
        <f t="shared" si="20"/>
        <v>04/03/19</v>
      </c>
      <c r="H602" t="str">
        <f t="shared" si="21"/>
        <v/>
      </c>
      <c r="I602" s="60" t="str">
        <f t="shared" si="22"/>
        <v/>
      </c>
      <c r="J602" t="str">
        <f t="shared" si="23"/>
        <v/>
      </c>
      <c r="K602" s="60" t="str">
        <f t="shared" si="24"/>
        <v/>
      </c>
      <c r="L602" t="str">
        <f t="shared" si="25"/>
        <v/>
      </c>
    </row>
    <row r="603" spans="1:12" x14ac:dyDescent="0.25">
      <c r="A603" t="s">
        <v>1744</v>
      </c>
      <c r="G603" t="str">
        <f t="shared" si="20"/>
        <v>04/03/19</v>
      </c>
      <c r="H603" t="str">
        <f t="shared" si="21"/>
        <v>Philadelphia Phillies</v>
      </c>
      <c r="I603" s="60">
        <f t="shared" si="22"/>
        <v>8</v>
      </c>
      <c r="J603" t="str">
        <f t="shared" si="23"/>
        <v>Washington Nationals</v>
      </c>
      <c r="K603" s="60">
        <f t="shared" si="24"/>
        <v>9</v>
      </c>
      <c r="L603">
        <f t="shared" si="25"/>
        <v>-1</v>
      </c>
    </row>
    <row r="604" spans="1:12" x14ac:dyDescent="0.25">
      <c r="G604" t="str">
        <f t="shared" si="20"/>
        <v>04/03/19</v>
      </c>
      <c r="H604" t="str">
        <f t="shared" si="21"/>
        <v/>
      </c>
      <c r="I604" s="60" t="str">
        <f t="shared" si="22"/>
        <v/>
      </c>
      <c r="J604" t="str">
        <f t="shared" si="23"/>
        <v/>
      </c>
      <c r="K604" s="60" t="str">
        <f t="shared" si="24"/>
        <v/>
      </c>
      <c r="L604" t="str">
        <f t="shared" si="25"/>
        <v/>
      </c>
    </row>
    <row r="605" spans="1:12" x14ac:dyDescent="0.25">
      <c r="A605" t="s">
        <v>1745</v>
      </c>
      <c r="G605" t="str">
        <f t="shared" si="20"/>
        <v>04/03/19</v>
      </c>
      <c r="H605" t="str">
        <f t="shared" si="21"/>
        <v/>
      </c>
      <c r="I605" s="60" t="str">
        <f t="shared" si="22"/>
        <v/>
      </c>
      <c r="J605" t="str">
        <f t="shared" si="23"/>
        <v/>
      </c>
      <c r="K605" s="60" t="str">
        <f t="shared" si="24"/>
        <v/>
      </c>
      <c r="L605" t="str">
        <f t="shared" si="25"/>
        <v/>
      </c>
    </row>
    <row r="606" spans="1:12" x14ac:dyDescent="0.25">
      <c r="G606" t="str">
        <f t="shared" si="20"/>
        <v>04/03/19</v>
      </c>
      <c r="H606" t="str">
        <f t="shared" si="21"/>
        <v/>
      </c>
      <c r="I606" s="60" t="str">
        <f t="shared" si="22"/>
        <v/>
      </c>
      <c r="J606" t="str">
        <f t="shared" si="23"/>
        <v/>
      </c>
      <c r="K606" s="60" t="str">
        <f t="shared" si="24"/>
        <v/>
      </c>
      <c r="L606" t="str">
        <f t="shared" si="25"/>
        <v/>
      </c>
    </row>
    <row r="607" spans="1:12" x14ac:dyDescent="0.25">
      <c r="A607" t="s">
        <v>1746</v>
      </c>
      <c r="G607" t="str">
        <f t="shared" si="20"/>
        <v>04/04/19</v>
      </c>
      <c r="H607" t="str">
        <f t="shared" si="21"/>
        <v/>
      </c>
      <c r="I607" s="60" t="str">
        <f t="shared" si="22"/>
        <v/>
      </c>
      <c r="J607" t="str">
        <f t="shared" si="23"/>
        <v/>
      </c>
      <c r="K607" s="60" t="str">
        <f t="shared" si="24"/>
        <v/>
      </c>
      <c r="L607" t="str">
        <f t="shared" si="25"/>
        <v/>
      </c>
    </row>
    <row r="608" spans="1:12" x14ac:dyDescent="0.25">
      <c r="G608" t="str">
        <f t="shared" si="20"/>
        <v>04/04/19</v>
      </c>
      <c r="H608" t="str">
        <f t="shared" si="21"/>
        <v/>
      </c>
      <c r="I608" s="60" t="str">
        <f t="shared" si="22"/>
        <v/>
      </c>
      <c r="J608" t="str">
        <f t="shared" si="23"/>
        <v/>
      </c>
      <c r="K608" s="60" t="str">
        <f t="shared" si="24"/>
        <v/>
      </c>
      <c r="L608" t="str">
        <f t="shared" si="25"/>
        <v/>
      </c>
    </row>
    <row r="609" spans="1:12" x14ac:dyDescent="0.25">
      <c r="A609" t="s">
        <v>1747</v>
      </c>
      <c r="G609" t="str">
        <f t="shared" si="20"/>
        <v>04/04/19</v>
      </c>
      <c r="H609" t="str">
        <f t="shared" si="21"/>
        <v>Texas Rangers</v>
      </c>
      <c r="I609" s="60">
        <f t="shared" si="22"/>
        <v>11</v>
      </c>
      <c r="J609" t="str">
        <f t="shared" si="23"/>
        <v>Los Angeles Angels</v>
      </c>
      <c r="K609" s="60">
        <f t="shared" si="24"/>
        <v>4</v>
      </c>
      <c r="L609">
        <f t="shared" si="25"/>
        <v>7</v>
      </c>
    </row>
    <row r="610" spans="1:12" x14ac:dyDescent="0.25">
      <c r="G610" t="str">
        <f t="shared" ref="G610:G673" si="26">IF(ISNUMBER(MATCH(IFERROR(LEFT(A610,SEARCH(",",A610)-1),""),$G$220:$M$220,0)),TEXT(MID(A610,SEARCH(",",A610)+2,LEN(A610)),"mm/dd/yy"),G609)</f>
        <v>04/04/19</v>
      </c>
      <c r="H610" t="str">
        <f t="shared" si="21"/>
        <v/>
      </c>
      <c r="I610" s="60" t="str">
        <f t="shared" si="22"/>
        <v/>
      </c>
      <c r="J610" t="str">
        <f t="shared" si="23"/>
        <v/>
      </c>
      <c r="K610" s="60" t="str">
        <f t="shared" si="24"/>
        <v/>
      </c>
      <c r="L610" t="str">
        <f t="shared" si="25"/>
        <v/>
      </c>
    </row>
    <row r="611" spans="1:12" x14ac:dyDescent="0.25">
      <c r="A611" t="s">
        <v>1748</v>
      </c>
      <c r="G611" t="str">
        <f t="shared" si="26"/>
        <v>04/04/19</v>
      </c>
      <c r="H611" t="str">
        <f t="shared" si="21"/>
        <v>Chicago Cubs</v>
      </c>
      <c r="I611" s="60">
        <f t="shared" si="22"/>
        <v>4</v>
      </c>
      <c r="J611" t="str">
        <f t="shared" si="23"/>
        <v>Atlanta Braves</v>
      </c>
      <c r="K611" s="60">
        <f t="shared" si="24"/>
        <v>9</v>
      </c>
      <c r="L611">
        <f t="shared" si="25"/>
        <v>-5</v>
      </c>
    </row>
    <row r="612" spans="1:12" x14ac:dyDescent="0.25">
      <c r="G612" t="str">
        <f t="shared" si="26"/>
        <v>04/04/19</v>
      </c>
      <c r="H612" t="str">
        <f t="shared" si="21"/>
        <v/>
      </c>
      <c r="I612" s="60" t="str">
        <f t="shared" si="22"/>
        <v/>
      </c>
      <c r="J612" t="str">
        <f t="shared" si="23"/>
        <v/>
      </c>
      <c r="K612" s="60" t="str">
        <f t="shared" si="24"/>
        <v/>
      </c>
      <c r="L612" t="str">
        <f t="shared" si="25"/>
        <v/>
      </c>
    </row>
    <row r="613" spans="1:12" x14ac:dyDescent="0.25">
      <c r="A613" t="s">
        <v>1749</v>
      </c>
      <c r="G613" t="str">
        <f t="shared" si="26"/>
        <v>04/04/19</v>
      </c>
      <c r="H613" t="str">
        <f t="shared" si="21"/>
        <v>New York Yankees</v>
      </c>
      <c r="I613" s="60">
        <f t="shared" si="22"/>
        <v>8</v>
      </c>
      <c r="J613" t="str">
        <f t="shared" si="23"/>
        <v>Baltimore Orioles</v>
      </c>
      <c r="K613" s="60">
        <f t="shared" si="24"/>
        <v>4</v>
      </c>
      <c r="L613">
        <f t="shared" si="25"/>
        <v>4</v>
      </c>
    </row>
    <row r="614" spans="1:12" x14ac:dyDescent="0.25">
      <c r="G614" t="str">
        <f t="shared" si="26"/>
        <v>04/04/19</v>
      </c>
      <c r="H614" t="str">
        <f t="shared" si="21"/>
        <v/>
      </c>
      <c r="I614" s="60" t="str">
        <f t="shared" si="22"/>
        <v/>
      </c>
      <c r="J614" t="str">
        <f t="shared" si="23"/>
        <v/>
      </c>
      <c r="K614" s="60" t="str">
        <f t="shared" si="24"/>
        <v/>
      </c>
      <c r="L614" t="str">
        <f t="shared" si="25"/>
        <v/>
      </c>
    </row>
    <row r="615" spans="1:12" x14ac:dyDescent="0.25">
      <c r="A615" t="s">
        <v>1750</v>
      </c>
      <c r="G615" t="str">
        <f t="shared" si="26"/>
        <v>04/04/19</v>
      </c>
      <c r="H615" t="str">
        <f t="shared" si="21"/>
        <v>Toronto Blue Jays</v>
      </c>
      <c r="I615" s="60">
        <f t="shared" si="22"/>
        <v>1</v>
      </c>
      <c r="J615" t="str">
        <f t="shared" si="23"/>
        <v>Cleveland Indians</v>
      </c>
      <c r="K615" s="60">
        <f t="shared" si="24"/>
        <v>4</v>
      </c>
      <c r="L615">
        <f t="shared" si="25"/>
        <v>-3</v>
      </c>
    </row>
    <row r="616" spans="1:12" x14ac:dyDescent="0.25">
      <c r="G616" t="str">
        <f t="shared" si="26"/>
        <v>04/04/19</v>
      </c>
      <c r="H616" t="str">
        <f t="shared" si="21"/>
        <v/>
      </c>
      <c r="I616" s="60" t="str">
        <f t="shared" si="22"/>
        <v/>
      </c>
      <c r="J616" t="str">
        <f t="shared" si="23"/>
        <v/>
      </c>
      <c r="K616" s="60" t="str">
        <f t="shared" si="24"/>
        <v/>
      </c>
      <c r="L616" t="str">
        <f t="shared" si="25"/>
        <v/>
      </c>
    </row>
    <row r="617" spans="1:12" x14ac:dyDescent="0.25">
      <c r="A617" t="s">
        <v>1751</v>
      </c>
      <c r="G617" t="str">
        <f t="shared" si="26"/>
        <v>04/04/19</v>
      </c>
      <c r="H617" t="str">
        <f t="shared" si="21"/>
        <v>Kansas City Royals</v>
      </c>
      <c r="I617" s="60">
        <f t="shared" si="22"/>
        <v>4</v>
      </c>
      <c r="J617" t="str">
        <f t="shared" si="23"/>
        <v>Detroit Tigers</v>
      </c>
      <c r="K617" s="60">
        <f t="shared" si="24"/>
        <v>5</v>
      </c>
      <c r="L617">
        <f t="shared" si="25"/>
        <v>-1</v>
      </c>
    </row>
    <row r="618" spans="1:12" x14ac:dyDescent="0.25">
      <c r="G618" t="str">
        <f t="shared" si="26"/>
        <v>04/04/19</v>
      </c>
      <c r="H618" t="str">
        <f t="shared" si="21"/>
        <v/>
      </c>
      <c r="I618" s="60" t="str">
        <f t="shared" si="22"/>
        <v/>
      </c>
      <c r="J618" t="str">
        <f t="shared" si="23"/>
        <v/>
      </c>
      <c r="K618" s="60" t="str">
        <f t="shared" si="24"/>
        <v/>
      </c>
      <c r="L618" t="str">
        <f t="shared" si="25"/>
        <v/>
      </c>
    </row>
    <row r="619" spans="1:12" x14ac:dyDescent="0.25">
      <c r="A619" t="s">
        <v>1752</v>
      </c>
      <c r="G619" t="str">
        <f t="shared" si="26"/>
        <v>04/04/19</v>
      </c>
      <c r="H619" t="str">
        <f t="shared" si="21"/>
        <v>Washington Nationals</v>
      </c>
      <c r="I619" s="60">
        <f t="shared" si="22"/>
        <v>4</v>
      </c>
      <c r="J619" t="str">
        <f t="shared" si="23"/>
        <v>New York Mets</v>
      </c>
      <c r="K619" s="60">
        <f t="shared" si="24"/>
        <v>0</v>
      </c>
      <c r="L619">
        <f t="shared" si="25"/>
        <v>4</v>
      </c>
    </row>
    <row r="620" spans="1:12" x14ac:dyDescent="0.25">
      <c r="G620" t="str">
        <f t="shared" si="26"/>
        <v>04/04/19</v>
      </c>
      <c r="H620" t="str">
        <f t="shared" si="21"/>
        <v/>
      </c>
      <c r="I620" s="60" t="str">
        <f t="shared" si="22"/>
        <v/>
      </c>
      <c r="J620" t="str">
        <f t="shared" si="23"/>
        <v/>
      </c>
      <c r="K620" s="60" t="str">
        <f t="shared" si="24"/>
        <v/>
      </c>
      <c r="L620" t="str">
        <f t="shared" si="25"/>
        <v/>
      </c>
    </row>
    <row r="621" spans="1:12" x14ac:dyDescent="0.25">
      <c r="A621" t="s">
        <v>1753</v>
      </c>
      <c r="G621" t="str">
        <f t="shared" si="26"/>
        <v>04/04/19</v>
      </c>
      <c r="H621" t="str">
        <f t="shared" si="21"/>
        <v>Boston Red Sox</v>
      </c>
      <c r="I621" s="60">
        <f t="shared" si="22"/>
        <v>3</v>
      </c>
      <c r="J621" t="str">
        <f t="shared" si="23"/>
        <v>Oakland Athletics</v>
      </c>
      <c r="K621" s="60">
        <f t="shared" si="24"/>
        <v>7</v>
      </c>
      <c r="L621">
        <f t="shared" si="25"/>
        <v>-4</v>
      </c>
    </row>
    <row r="622" spans="1:12" x14ac:dyDescent="0.25">
      <c r="G622" t="str">
        <f t="shared" si="26"/>
        <v>04/04/19</v>
      </c>
      <c r="H622" t="str">
        <f t="shared" si="21"/>
        <v/>
      </c>
      <c r="I622" s="60" t="str">
        <f t="shared" si="22"/>
        <v/>
      </c>
      <c r="J622" t="str">
        <f t="shared" si="23"/>
        <v/>
      </c>
      <c r="K622" s="60" t="str">
        <f t="shared" si="24"/>
        <v/>
      </c>
      <c r="L622" t="str">
        <f t="shared" si="25"/>
        <v/>
      </c>
    </row>
    <row r="623" spans="1:12" x14ac:dyDescent="0.25">
      <c r="A623" t="s">
        <v>1754</v>
      </c>
      <c r="G623" t="str">
        <f t="shared" si="26"/>
        <v>04/04/19</v>
      </c>
      <c r="H623" t="str">
        <f t="shared" si="21"/>
        <v>Cincinnati Reds</v>
      </c>
      <c r="I623" s="60">
        <f t="shared" si="22"/>
        <v>0</v>
      </c>
      <c r="J623" t="str">
        <f t="shared" si="23"/>
        <v>Pittsburgh Pirates</v>
      </c>
      <c r="K623" s="60">
        <f t="shared" si="24"/>
        <v>2</v>
      </c>
      <c r="L623">
        <f t="shared" si="25"/>
        <v>-2</v>
      </c>
    </row>
    <row r="624" spans="1:12" x14ac:dyDescent="0.25">
      <c r="G624" t="str">
        <f t="shared" si="26"/>
        <v>04/04/19</v>
      </c>
      <c r="H624" t="str">
        <f t="shared" si="21"/>
        <v/>
      </c>
      <c r="I624" s="60" t="str">
        <f t="shared" si="22"/>
        <v/>
      </c>
      <c r="J624" t="str">
        <f t="shared" si="23"/>
        <v/>
      </c>
      <c r="K624" s="60" t="str">
        <f t="shared" si="24"/>
        <v/>
      </c>
      <c r="L624" t="str">
        <f t="shared" si="25"/>
        <v/>
      </c>
    </row>
    <row r="625" spans="1:12" x14ac:dyDescent="0.25">
      <c r="A625" t="s">
        <v>1755</v>
      </c>
      <c r="G625" t="str">
        <f t="shared" si="26"/>
        <v>04/04/19</v>
      </c>
      <c r="H625" t="str">
        <f t="shared" si="21"/>
        <v/>
      </c>
      <c r="I625" s="60" t="str">
        <f t="shared" si="22"/>
        <v/>
      </c>
      <c r="J625" t="str">
        <f t="shared" si="23"/>
        <v/>
      </c>
      <c r="K625" s="60" t="str">
        <f t="shared" si="24"/>
        <v/>
      </c>
      <c r="L625" t="str">
        <f t="shared" si="25"/>
        <v/>
      </c>
    </row>
    <row r="626" spans="1:12" x14ac:dyDescent="0.25">
      <c r="G626" t="str">
        <f t="shared" si="26"/>
        <v>04/04/19</v>
      </c>
      <c r="H626" t="str">
        <f t="shared" si="21"/>
        <v/>
      </c>
      <c r="I626" s="60" t="str">
        <f t="shared" si="22"/>
        <v/>
      </c>
      <c r="J626" t="str">
        <f t="shared" si="23"/>
        <v/>
      </c>
      <c r="K626" s="60" t="str">
        <f t="shared" si="24"/>
        <v/>
      </c>
      <c r="L626" t="str">
        <f t="shared" si="25"/>
        <v/>
      </c>
    </row>
    <row r="627" spans="1:12" x14ac:dyDescent="0.25">
      <c r="A627" t="s">
        <v>1756</v>
      </c>
      <c r="G627" t="str">
        <f t="shared" si="26"/>
        <v>04/05/19</v>
      </c>
      <c r="H627" t="str">
        <f t="shared" si="21"/>
        <v/>
      </c>
      <c r="I627" s="60" t="str">
        <f t="shared" si="22"/>
        <v/>
      </c>
      <c r="J627" t="str">
        <f t="shared" si="23"/>
        <v/>
      </c>
      <c r="K627" s="60" t="str">
        <f t="shared" si="24"/>
        <v/>
      </c>
      <c r="L627" t="str">
        <f t="shared" si="25"/>
        <v/>
      </c>
    </row>
    <row r="628" spans="1:12" x14ac:dyDescent="0.25">
      <c r="G628" t="str">
        <f t="shared" si="26"/>
        <v>04/05/19</v>
      </c>
      <c r="H628" t="str">
        <f t="shared" si="21"/>
        <v/>
      </c>
      <c r="I628" s="60" t="str">
        <f t="shared" si="22"/>
        <v/>
      </c>
      <c r="J628" t="str">
        <f t="shared" si="23"/>
        <v/>
      </c>
      <c r="K628" s="60" t="str">
        <f t="shared" si="24"/>
        <v/>
      </c>
      <c r="L628" t="str">
        <f t="shared" si="25"/>
        <v/>
      </c>
    </row>
    <row r="629" spans="1:12" x14ac:dyDescent="0.25">
      <c r="A629" t="s">
        <v>1757</v>
      </c>
      <c r="G629" t="str">
        <f t="shared" si="26"/>
        <v>04/05/19</v>
      </c>
      <c r="H629" t="str">
        <f t="shared" si="21"/>
        <v>Texas Rangers</v>
      </c>
      <c r="I629" s="60">
        <f t="shared" si="22"/>
        <v>1</v>
      </c>
      <c r="J629" t="str">
        <f t="shared" si="23"/>
        <v>Los Angeles Angels</v>
      </c>
      <c r="K629" s="60">
        <f t="shared" si="24"/>
        <v>3</v>
      </c>
      <c r="L629">
        <f t="shared" si="25"/>
        <v>-2</v>
      </c>
    </row>
    <row r="630" spans="1:12" x14ac:dyDescent="0.25">
      <c r="G630" t="str">
        <f t="shared" si="26"/>
        <v>04/05/19</v>
      </c>
      <c r="H630" t="str">
        <f t="shared" si="21"/>
        <v/>
      </c>
      <c r="I630" s="60" t="str">
        <f t="shared" si="22"/>
        <v/>
      </c>
      <c r="J630" t="str">
        <f t="shared" si="23"/>
        <v/>
      </c>
      <c r="K630" s="60" t="str">
        <f t="shared" si="24"/>
        <v/>
      </c>
      <c r="L630" t="str">
        <f t="shared" si="25"/>
        <v/>
      </c>
    </row>
    <row r="631" spans="1:12" x14ac:dyDescent="0.25">
      <c r="A631" t="s">
        <v>1758</v>
      </c>
      <c r="G631" t="str">
        <f t="shared" si="26"/>
        <v>04/05/19</v>
      </c>
      <c r="H631" t="str">
        <f t="shared" si="21"/>
        <v>Boston Red Sox</v>
      </c>
      <c r="I631" s="60">
        <f t="shared" si="22"/>
        <v>8</v>
      </c>
      <c r="J631" t="str">
        <f t="shared" si="23"/>
        <v>Arizona D'Backs</v>
      </c>
      <c r="K631" s="60">
        <f t="shared" si="24"/>
        <v>15</v>
      </c>
      <c r="L631">
        <f t="shared" si="25"/>
        <v>-7</v>
      </c>
    </row>
    <row r="632" spans="1:12" x14ac:dyDescent="0.25">
      <c r="G632" t="str">
        <f t="shared" si="26"/>
        <v>04/05/19</v>
      </c>
      <c r="H632" t="str">
        <f t="shared" si="21"/>
        <v/>
      </c>
      <c r="I632" s="60" t="str">
        <f t="shared" si="22"/>
        <v/>
      </c>
      <c r="J632" t="str">
        <f t="shared" si="23"/>
        <v/>
      </c>
      <c r="K632" s="60" t="str">
        <f t="shared" si="24"/>
        <v/>
      </c>
      <c r="L632" t="str">
        <f t="shared" si="25"/>
        <v/>
      </c>
    </row>
    <row r="633" spans="1:12" x14ac:dyDescent="0.25">
      <c r="A633" t="s">
        <v>1759</v>
      </c>
      <c r="G633" t="str">
        <f t="shared" si="26"/>
        <v>04/05/19</v>
      </c>
      <c r="H633" t="str">
        <f t="shared" si="21"/>
        <v>Miami Marlins</v>
      </c>
      <c r="I633" s="60">
        <f t="shared" si="22"/>
        <v>0</v>
      </c>
      <c r="J633" t="str">
        <f t="shared" si="23"/>
        <v>Atlanta Braves</v>
      </c>
      <c r="K633" s="60">
        <f t="shared" si="24"/>
        <v>4</v>
      </c>
      <c r="L633">
        <f t="shared" si="25"/>
        <v>-4</v>
      </c>
    </row>
    <row r="634" spans="1:12" x14ac:dyDescent="0.25">
      <c r="G634" t="str">
        <f t="shared" si="26"/>
        <v>04/05/19</v>
      </c>
      <c r="H634" t="str">
        <f t="shared" si="21"/>
        <v/>
      </c>
      <c r="I634" s="60" t="str">
        <f t="shared" si="22"/>
        <v/>
      </c>
      <c r="J634" t="str">
        <f t="shared" si="23"/>
        <v/>
      </c>
      <c r="K634" s="60" t="str">
        <f t="shared" si="24"/>
        <v/>
      </c>
      <c r="L634" t="str">
        <f t="shared" si="25"/>
        <v/>
      </c>
    </row>
    <row r="635" spans="1:12" x14ac:dyDescent="0.25">
      <c r="A635" t="s">
        <v>1760</v>
      </c>
      <c r="G635" t="str">
        <f t="shared" si="26"/>
        <v>04/05/19</v>
      </c>
      <c r="H635" t="str">
        <f t="shared" si="21"/>
        <v>Seattle Mariners</v>
      </c>
      <c r="I635" s="60">
        <f t="shared" si="22"/>
        <v>8</v>
      </c>
      <c r="J635" t="str">
        <f t="shared" si="23"/>
        <v>Chicago White Sox</v>
      </c>
      <c r="K635" s="60">
        <f t="shared" si="24"/>
        <v>10</v>
      </c>
      <c r="L635">
        <f t="shared" si="25"/>
        <v>-2</v>
      </c>
    </row>
    <row r="636" spans="1:12" x14ac:dyDescent="0.25">
      <c r="G636" t="str">
        <f t="shared" si="26"/>
        <v>04/05/19</v>
      </c>
      <c r="H636" t="str">
        <f t="shared" si="21"/>
        <v/>
      </c>
      <c r="I636" s="60" t="str">
        <f t="shared" si="22"/>
        <v/>
      </c>
      <c r="J636" t="str">
        <f t="shared" si="23"/>
        <v/>
      </c>
      <c r="K636" s="60" t="str">
        <f t="shared" si="24"/>
        <v/>
      </c>
      <c r="L636" t="str">
        <f t="shared" si="25"/>
        <v/>
      </c>
    </row>
    <row r="637" spans="1:12" x14ac:dyDescent="0.25">
      <c r="A637" t="s">
        <v>1761</v>
      </c>
      <c r="G637" t="str">
        <f t="shared" si="26"/>
        <v>04/05/19</v>
      </c>
      <c r="H637" t="str">
        <f t="shared" si="21"/>
        <v>Toronto Blue Jays</v>
      </c>
      <c r="I637" s="60">
        <f t="shared" si="22"/>
        <v>2</v>
      </c>
      <c r="J637" t="str">
        <f t="shared" si="23"/>
        <v>Cleveland Indians</v>
      </c>
      <c r="K637" s="60">
        <f t="shared" si="24"/>
        <v>3</v>
      </c>
      <c r="L637">
        <f t="shared" si="25"/>
        <v>-1</v>
      </c>
    </row>
    <row r="638" spans="1:12" x14ac:dyDescent="0.25">
      <c r="G638" t="str">
        <f t="shared" si="26"/>
        <v>04/05/19</v>
      </c>
      <c r="H638" t="str">
        <f t="shared" si="21"/>
        <v/>
      </c>
      <c r="I638" s="60" t="str">
        <f t="shared" si="22"/>
        <v/>
      </c>
      <c r="J638" t="str">
        <f t="shared" si="23"/>
        <v/>
      </c>
      <c r="K638" s="60" t="str">
        <f t="shared" si="24"/>
        <v/>
      </c>
      <c r="L638" t="str">
        <f t="shared" si="25"/>
        <v/>
      </c>
    </row>
    <row r="639" spans="1:12" x14ac:dyDescent="0.25">
      <c r="A639" t="s">
        <v>1762</v>
      </c>
      <c r="G639" t="str">
        <f t="shared" si="26"/>
        <v>04/05/19</v>
      </c>
      <c r="H639" t="str">
        <f t="shared" si="21"/>
        <v>Los Angeles Dodgers</v>
      </c>
      <c r="I639" s="60">
        <f t="shared" si="22"/>
        <v>10</v>
      </c>
      <c r="J639" t="str">
        <f t="shared" si="23"/>
        <v>Colorado Rockies</v>
      </c>
      <c r="K639" s="60">
        <f t="shared" si="24"/>
        <v>6</v>
      </c>
      <c r="L639">
        <f t="shared" si="25"/>
        <v>4</v>
      </c>
    </row>
    <row r="640" spans="1:12" x14ac:dyDescent="0.25">
      <c r="G640" t="str">
        <f t="shared" si="26"/>
        <v>04/05/19</v>
      </c>
      <c r="H640" t="str">
        <f t="shared" si="21"/>
        <v/>
      </c>
      <c r="I640" s="60" t="str">
        <f t="shared" si="22"/>
        <v/>
      </c>
      <c r="J640" t="str">
        <f t="shared" si="23"/>
        <v/>
      </c>
      <c r="K640" s="60" t="str">
        <f t="shared" si="24"/>
        <v/>
      </c>
      <c r="L640" t="str">
        <f t="shared" si="25"/>
        <v/>
      </c>
    </row>
    <row r="641" spans="1:12" x14ac:dyDescent="0.25">
      <c r="A641" t="s">
        <v>1763</v>
      </c>
      <c r="G641" t="str">
        <f t="shared" si="26"/>
        <v>04/05/19</v>
      </c>
      <c r="H641" t="str">
        <f t="shared" si="21"/>
        <v>Oakland Athletics</v>
      </c>
      <c r="I641" s="60">
        <f t="shared" si="22"/>
        <v>2</v>
      </c>
      <c r="J641" t="str">
        <f t="shared" si="23"/>
        <v>Houston Astros</v>
      </c>
      <c r="K641" s="60">
        <f t="shared" si="24"/>
        <v>3</v>
      </c>
      <c r="L641">
        <f t="shared" si="25"/>
        <v>-1</v>
      </c>
    </row>
    <row r="642" spans="1:12" x14ac:dyDescent="0.25">
      <c r="G642" t="str">
        <f t="shared" si="26"/>
        <v>04/05/19</v>
      </c>
      <c r="H642" t="str">
        <f t="shared" si="21"/>
        <v/>
      </c>
      <c r="I642" s="60" t="str">
        <f t="shared" si="22"/>
        <v/>
      </c>
      <c r="J642" t="str">
        <f t="shared" si="23"/>
        <v/>
      </c>
      <c r="K642" s="60" t="str">
        <f t="shared" si="24"/>
        <v/>
      </c>
      <c r="L642" t="str">
        <f t="shared" si="25"/>
        <v/>
      </c>
    </row>
    <row r="643" spans="1:12" x14ac:dyDescent="0.25">
      <c r="A643" t="s">
        <v>1764</v>
      </c>
      <c r="G643" t="str">
        <f t="shared" si="26"/>
        <v>04/05/19</v>
      </c>
      <c r="H643" t="str">
        <f t="shared" si="21"/>
        <v>Chicago Cubs</v>
      </c>
      <c r="I643" s="60">
        <f t="shared" si="22"/>
        <v>10</v>
      </c>
      <c r="J643" t="str">
        <f t="shared" si="23"/>
        <v>Milwaukee Brewers</v>
      </c>
      <c r="K643" s="60">
        <f t="shared" si="24"/>
        <v>13</v>
      </c>
      <c r="L643">
        <f t="shared" si="25"/>
        <v>-3</v>
      </c>
    </row>
    <row r="644" spans="1:12" x14ac:dyDescent="0.25">
      <c r="G644" t="str">
        <f t="shared" si="26"/>
        <v>04/05/19</v>
      </c>
      <c r="H644" t="str">
        <f t="shared" si="21"/>
        <v/>
      </c>
      <c r="I644" s="60" t="str">
        <f t="shared" si="22"/>
        <v/>
      </c>
      <c r="J644" t="str">
        <f t="shared" si="23"/>
        <v/>
      </c>
      <c r="K644" s="60" t="str">
        <f t="shared" si="24"/>
        <v/>
      </c>
      <c r="L644" t="str">
        <f t="shared" si="25"/>
        <v/>
      </c>
    </row>
    <row r="645" spans="1:12" x14ac:dyDescent="0.25">
      <c r="A645" t="s">
        <v>1765</v>
      </c>
      <c r="G645" t="str">
        <f t="shared" si="26"/>
        <v>04/05/19</v>
      </c>
      <c r="H645" t="str">
        <f t="shared" si="21"/>
        <v>Minnesota Twins</v>
      </c>
      <c r="I645" s="60">
        <f t="shared" si="22"/>
        <v>4</v>
      </c>
      <c r="J645" t="str">
        <f t="shared" si="23"/>
        <v>Philadelphia Phillies</v>
      </c>
      <c r="K645" s="60">
        <f t="shared" si="24"/>
        <v>10</v>
      </c>
      <c r="L645">
        <f t="shared" si="25"/>
        <v>-6</v>
      </c>
    </row>
    <row r="646" spans="1:12" x14ac:dyDescent="0.25">
      <c r="G646" t="str">
        <f t="shared" si="26"/>
        <v>04/05/19</v>
      </c>
      <c r="H646" t="str">
        <f t="shared" si="21"/>
        <v/>
      </c>
      <c r="I646" s="60" t="str">
        <f t="shared" si="22"/>
        <v/>
      </c>
      <c r="J646" t="str">
        <f t="shared" si="23"/>
        <v/>
      </c>
      <c r="K646" s="60" t="str">
        <f t="shared" si="24"/>
        <v/>
      </c>
      <c r="L646" t="str">
        <f t="shared" si="25"/>
        <v/>
      </c>
    </row>
    <row r="647" spans="1:12" x14ac:dyDescent="0.25">
      <c r="A647" t="s">
        <v>1754</v>
      </c>
      <c r="G647" t="str">
        <f t="shared" si="26"/>
        <v>04/05/19</v>
      </c>
      <c r="H647" t="str">
        <f t="shared" si="21"/>
        <v>Cincinnati Reds</v>
      </c>
      <c r="I647" s="60">
        <f t="shared" si="22"/>
        <v>0</v>
      </c>
      <c r="J647" t="str">
        <f t="shared" si="23"/>
        <v>Pittsburgh Pirates</v>
      </c>
      <c r="K647" s="60">
        <f t="shared" si="24"/>
        <v>2</v>
      </c>
      <c r="L647">
        <f t="shared" si="25"/>
        <v>-2</v>
      </c>
    </row>
    <row r="648" spans="1:12" x14ac:dyDescent="0.25">
      <c r="G648" t="str">
        <f t="shared" si="26"/>
        <v>04/05/19</v>
      </c>
      <c r="H648" t="str">
        <f t="shared" si="21"/>
        <v/>
      </c>
      <c r="I648" s="60" t="str">
        <f t="shared" si="22"/>
        <v/>
      </c>
      <c r="J648" t="str">
        <f t="shared" si="23"/>
        <v/>
      </c>
      <c r="K648" s="60" t="str">
        <f t="shared" si="24"/>
        <v/>
      </c>
      <c r="L648" t="str">
        <f t="shared" si="25"/>
        <v/>
      </c>
    </row>
    <row r="649" spans="1:12" x14ac:dyDescent="0.25">
      <c r="A649" t="s">
        <v>1766</v>
      </c>
      <c r="G649" t="str">
        <f t="shared" si="26"/>
        <v>04/05/19</v>
      </c>
      <c r="H649" t="str">
        <f t="shared" si="21"/>
        <v>Tampa Bay Rays</v>
      </c>
      <c r="I649" s="60">
        <f t="shared" si="22"/>
        <v>5</v>
      </c>
      <c r="J649" t="str">
        <f t="shared" si="23"/>
        <v>San Francisco Giants</v>
      </c>
      <c r="K649" s="60">
        <f t="shared" si="24"/>
        <v>2</v>
      </c>
      <c r="L649">
        <f t="shared" si="25"/>
        <v>3</v>
      </c>
    </row>
    <row r="650" spans="1:12" x14ac:dyDescent="0.25">
      <c r="G650" t="str">
        <f t="shared" si="26"/>
        <v>04/05/19</v>
      </c>
      <c r="H650" t="str">
        <f t="shared" si="21"/>
        <v/>
      </c>
      <c r="I650" s="60" t="str">
        <f t="shared" si="22"/>
        <v/>
      </c>
      <c r="J650" t="str">
        <f t="shared" si="23"/>
        <v/>
      </c>
      <c r="K650" s="60" t="str">
        <f t="shared" si="24"/>
        <v/>
      </c>
      <c r="L650" t="str">
        <f t="shared" si="25"/>
        <v/>
      </c>
    </row>
    <row r="651" spans="1:12" x14ac:dyDescent="0.25">
      <c r="A651" t="s">
        <v>1767</v>
      </c>
      <c r="G651" t="str">
        <f t="shared" si="26"/>
        <v>04/05/19</v>
      </c>
      <c r="H651" t="str">
        <f t="shared" si="21"/>
        <v>San Diego Padres</v>
      </c>
      <c r="I651" s="60">
        <f t="shared" si="22"/>
        <v>5</v>
      </c>
      <c r="J651" t="str">
        <f t="shared" si="23"/>
        <v>St. Louis Cardinals</v>
      </c>
      <c r="K651" s="60">
        <f t="shared" si="24"/>
        <v>3</v>
      </c>
      <c r="L651">
        <f t="shared" si="25"/>
        <v>2</v>
      </c>
    </row>
    <row r="652" spans="1:12" x14ac:dyDescent="0.25">
      <c r="G652" t="str">
        <f t="shared" si="26"/>
        <v>04/05/19</v>
      </c>
      <c r="H652" t="str">
        <f t="shared" si="21"/>
        <v/>
      </c>
      <c r="I652" s="60" t="str">
        <f t="shared" si="22"/>
        <v/>
      </c>
      <c r="J652" t="str">
        <f t="shared" si="23"/>
        <v/>
      </c>
      <c r="K652" s="60" t="str">
        <f t="shared" si="24"/>
        <v/>
      </c>
      <c r="L652" t="str">
        <f t="shared" si="25"/>
        <v/>
      </c>
    </row>
    <row r="653" spans="1:12" x14ac:dyDescent="0.25">
      <c r="A653" t="s">
        <v>1768</v>
      </c>
      <c r="G653" t="str">
        <f t="shared" si="26"/>
        <v>04/05/19</v>
      </c>
      <c r="H653" t="str">
        <f t="shared" si="21"/>
        <v/>
      </c>
      <c r="I653" s="60" t="str">
        <f t="shared" si="22"/>
        <v/>
      </c>
      <c r="J653" t="str">
        <f t="shared" si="23"/>
        <v/>
      </c>
      <c r="K653" s="60" t="str">
        <f t="shared" si="24"/>
        <v/>
      </c>
      <c r="L653" t="str">
        <f t="shared" si="25"/>
        <v/>
      </c>
    </row>
    <row r="654" spans="1:12" x14ac:dyDescent="0.25">
      <c r="G654" t="str">
        <f t="shared" si="26"/>
        <v>04/05/19</v>
      </c>
      <c r="H654" t="str">
        <f t="shared" si="21"/>
        <v/>
      </c>
      <c r="I654" s="60" t="str">
        <f t="shared" si="22"/>
        <v/>
      </c>
      <c r="J654" t="str">
        <f t="shared" si="23"/>
        <v/>
      </c>
      <c r="K654" s="60" t="str">
        <f t="shared" si="24"/>
        <v/>
      </c>
      <c r="L654" t="str">
        <f t="shared" si="25"/>
        <v/>
      </c>
    </row>
    <row r="655" spans="1:12" x14ac:dyDescent="0.25">
      <c r="A655" t="s">
        <v>1769</v>
      </c>
      <c r="G655" t="str">
        <f t="shared" si="26"/>
        <v>04/06/19</v>
      </c>
      <c r="H655" t="str">
        <f t="shared" si="21"/>
        <v/>
      </c>
      <c r="I655" s="60" t="str">
        <f t="shared" si="22"/>
        <v/>
      </c>
      <c r="J655" t="str">
        <f t="shared" si="23"/>
        <v/>
      </c>
      <c r="K655" s="60" t="str">
        <f t="shared" si="24"/>
        <v/>
      </c>
      <c r="L655" t="str">
        <f t="shared" si="25"/>
        <v/>
      </c>
    </row>
    <row r="656" spans="1:12" x14ac:dyDescent="0.25">
      <c r="G656" t="str">
        <f t="shared" si="26"/>
        <v>04/06/19</v>
      </c>
      <c r="H656" t="str">
        <f t="shared" ref="H656:H719" si="27">IFERROR(LEFT(MID(A656,1,SEARCH("@",A656)-2),SEARCH("(",A656)-2),"")</f>
        <v/>
      </c>
      <c r="I656" s="60" t="str">
        <f t="shared" ref="I656:I719" si="28">IFERROR(VALUE(MID(A656,SEARCH("(",A656)+1,SEARCH(")",A656)-SEARCH("(",A656)-1)),"")</f>
        <v/>
      </c>
      <c r="J656" t="str">
        <f t="shared" ref="J656:J719" si="29">IFERROR(MID(A656,SEARCH("@",A656)+2,SEARCH("(",A656,SEARCH("@",A656))-SEARCH("@",A656)-3),"")</f>
        <v/>
      </c>
      <c r="K656" s="60" t="str">
        <f t="shared" ref="K656:K719" si="30">IFERROR(VALUE(MID(A656,SEARCH(J656,A656)+LEN(J656)+2,(SEARCH(")",A656,SEARCH("@",A656))-SEARCH("(",A656,SEARCH("@",A656))-1))),"")</f>
        <v/>
      </c>
      <c r="L656" t="str">
        <f t="shared" ref="L656:L719" si="31">IFERROR(I656-K656,"")</f>
        <v/>
      </c>
    </row>
    <row r="657" spans="1:12" x14ac:dyDescent="0.25">
      <c r="A657" t="s">
        <v>1770</v>
      </c>
      <c r="G657" t="str">
        <f t="shared" si="26"/>
        <v>04/06/19</v>
      </c>
      <c r="H657" t="str">
        <f t="shared" si="27"/>
        <v>Texas Rangers</v>
      </c>
      <c r="I657" s="60">
        <f t="shared" si="28"/>
        <v>1</v>
      </c>
      <c r="J657" t="str">
        <f t="shared" si="29"/>
        <v>Los Angeles Angels</v>
      </c>
      <c r="K657" s="60">
        <f t="shared" si="30"/>
        <v>5</v>
      </c>
      <c r="L657">
        <f t="shared" si="31"/>
        <v>-4</v>
      </c>
    </row>
    <row r="658" spans="1:12" x14ac:dyDescent="0.25">
      <c r="G658" t="str">
        <f t="shared" si="26"/>
        <v>04/06/19</v>
      </c>
      <c r="H658" t="str">
        <f t="shared" si="27"/>
        <v/>
      </c>
      <c r="I658" s="60" t="str">
        <f t="shared" si="28"/>
        <v/>
      </c>
      <c r="J658" t="str">
        <f t="shared" si="29"/>
        <v/>
      </c>
      <c r="K658" s="60" t="str">
        <f t="shared" si="30"/>
        <v/>
      </c>
      <c r="L658" t="str">
        <f t="shared" si="31"/>
        <v/>
      </c>
    </row>
    <row r="659" spans="1:12" x14ac:dyDescent="0.25">
      <c r="A659" t="s">
        <v>1771</v>
      </c>
      <c r="G659" t="str">
        <f t="shared" si="26"/>
        <v>04/06/19</v>
      </c>
      <c r="H659" t="str">
        <f t="shared" si="27"/>
        <v>Boston Red Sox</v>
      </c>
      <c r="I659" s="60">
        <f t="shared" si="28"/>
        <v>4</v>
      </c>
      <c r="J659" t="str">
        <f t="shared" si="29"/>
        <v>Arizona D'Backs</v>
      </c>
      <c r="K659" s="60">
        <f t="shared" si="30"/>
        <v>5</v>
      </c>
      <c r="L659">
        <f t="shared" si="31"/>
        <v>-1</v>
      </c>
    </row>
    <row r="660" spans="1:12" x14ac:dyDescent="0.25">
      <c r="G660" t="str">
        <f t="shared" si="26"/>
        <v>04/06/19</v>
      </c>
      <c r="H660" t="str">
        <f t="shared" si="27"/>
        <v/>
      </c>
      <c r="I660" s="60" t="str">
        <f t="shared" si="28"/>
        <v/>
      </c>
      <c r="J660" t="str">
        <f t="shared" si="29"/>
        <v/>
      </c>
      <c r="K660" s="60" t="str">
        <f t="shared" si="30"/>
        <v/>
      </c>
      <c r="L660" t="str">
        <f t="shared" si="31"/>
        <v/>
      </c>
    </row>
    <row r="661" spans="1:12" x14ac:dyDescent="0.25">
      <c r="A661" t="s">
        <v>1772</v>
      </c>
      <c r="G661" t="str">
        <f t="shared" si="26"/>
        <v>04/06/19</v>
      </c>
      <c r="H661" t="str">
        <f t="shared" si="27"/>
        <v>Miami Marlins</v>
      </c>
      <c r="I661" s="60">
        <f t="shared" si="28"/>
        <v>4</v>
      </c>
      <c r="J661" t="str">
        <f t="shared" si="29"/>
        <v>Atlanta Braves</v>
      </c>
      <c r="K661" s="60">
        <f t="shared" si="30"/>
        <v>2</v>
      </c>
      <c r="L661">
        <f t="shared" si="31"/>
        <v>2</v>
      </c>
    </row>
    <row r="662" spans="1:12" x14ac:dyDescent="0.25">
      <c r="G662" t="str">
        <f t="shared" si="26"/>
        <v>04/06/19</v>
      </c>
      <c r="H662" t="str">
        <f t="shared" si="27"/>
        <v/>
      </c>
      <c r="I662" s="60" t="str">
        <f t="shared" si="28"/>
        <v/>
      </c>
      <c r="J662" t="str">
        <f t="shared" si="29"/>
        <v/>
      </c>
      <c r="K662" s="60" t="str">
        <f t="shared" si="30"/>
        <v/>
      </c>
      <c r="L662" t="str">
        <f t="shared" si="31"/>
        <v/>
      </c>
    </row>
    <row r="663" spans="1:12" x14ac:dyDescent="0.25">
      <c r="A663" t="s">
        <v>1773</v>
      </c>
      <c r="G663" t="str">
        <f t="shared" si="26"/>
        <v>04/06/19</v>
      </c>
      <c r="H663" t="str">
        <f t="shared" si="27"/>
        <v>New York Yankees</v>
      </c>
      <c r="I663" s="60">
        <f t="shared" si="28"/>
        <v>6</v>
      </c>
      <c r="J663" t="str">
        <f t="shared" si="29"/>
        <v>Baltimore Orioles</v>
      </c>
      <c r="K663" s="60">
        <f t="shared" si="30"/>
        <v>4</v>
      </c>
      <c r="L663">
        <f t="shared" si="31"/>
        <v>2</v>
      </c>
    </row>
    <row r="664" spans="1:12" x14ac:dyDescent="0.25">
      <c r="G664" t="str">
        <f t="shared" si="26"/>
        <v>04/06/19</v>
      </c>
      <c r="H664" t="str">
        <f t="shared" si="27"/>
        <v/>
      </c>
      <c r="I664" s="60" t="str">
        <f t="shared" si="28"/>
        <v/>
      </c>
      <c r="J664" t="str">
        <f t="shared" si="29"/>
        <v/>
      </c>
      <c r="K664" s="60" t="str">
        <f t="shared" si="30"/>
        <v/>
      </c>
      <c r="L664" t="str">
        <f t="shared" si="31"/>
        <v/>
      </c>
    </row>
    <row r="665" spans="1:12" x14ac:dyDescent="0.25">
      <c r="A665" t="s">
        <v>1774</v>
      </c>
      <c r="G665" t="str">
        <f t="shared" si="26"/>
        <v>04/06/19</v>
      </c>
      <c r="H665" t="str">
        <f t="shared" si="27"/>
        <v>Seattle Mariners</v>
      </c>
      <c r="I665" s="60">
        <f t="shared" si="28"/>
        <v>9</v>
      </c>
      <c r="J665" t="str">
        <f t="shared" si="29"/>
        <v>Chicago White Sox</v>
      </c>
      <c r="K665" s="60">
        <f t="shared" si="30"/>
        <v>2</v>
      </c>
      <c r="L665">
        <f t="shared" si="31"/>
        <v>7</v>
      </c>
    </row>
    <row r="666" spans="1:12" x14ac:dyDescent="0.25">
      <c r="G666" t="str">
        <f t="shared" si="26"/>
        <v>04/06/19</v>
      </c>
      <c r="H666" t="str">
        <f t="shared" si="27"/>
        <v/>
      </c>
      <c r="I666" s="60" t="str">
        <f t="shared" si="28"/>
        <v/>
      </c>
      <c r="J666" t="str">
        <f t="shared" si="29"/>
        <v/>
      </c>
      <c r="K666" s="60" t="str">
        <f t="shared" si="30"/>
        <v/>
      </c>
      <c r="L666" t="str">
        <f t="shared" si="31"/>
        <v/>
      </c>
    </row>
    <row r="667" spans="1:12" x14ac:dyDescent="0.25">
      <c r="A667" t="s">
        <v>1775</v>
      </c>
      <c r="G667" t="str">
        <f t="shared" si="26"/>
        <v>04/06/19</v>
      </c>
      <c r="H667" t="str">
        <f t="shared" si="27"/>
        <v>Toronto Blue Jays</v>
      </c>
      <c r="I667" s="60">
        <f t="shared" si="28"/>
        <v>2</v>
      </c>
      <c r="J667" t="str">
        <f t="shared" si="29"/>
        <v>Cleveland Indians</v>
      </c>
      <c r="K667" s="60">
        <f t="shared" si="30"/>
        <v>7</v>
      </c>
      <c r="L667">
        <f t="shared" si="31"/>
        <v>-5</v>
      </c>
    </row>
    <row r="668" spans="1:12" x14ac:dyDescent="0.25">
      <c r="G668" t="str">
        <f t="shared" si="26"/>
        <v>04/06/19</v>
      </c>
      <c r="H668" t="str">
        <f t="shared" si="27"/>
        <v/>
      </c>
      <c r="I668" s="60" t="str">
        <f t="shared" si="28"/>
        <v/>
      </c>
      <c r="J668" t="str">
        <f t="shared" si="29"/>
        <v/>
      </c>
      <c r="K668" s="60" t="str">
        <f t="shared" si="30"/>
        <v/>
      </c>
      <c r="L668" t="str">
        <f t="shared" si="31"/>
        <v/>
      </c>
    </row>
    <row r="669" spans="1:12" x14ac:dyDescent="0.25">
      <c r="A669" t="s">
        <v>1776</v>
      </c>
      <c r="G669" t="str">
        <f t="shared" si="26"/>
        <v>04/06/19</v>
      </c>
      <c r="H669" t="str">
        <f t="shared" si="27"/>
        <v>Los Angeles Dodgers</v>
      </c>
      <c r="I669" s="60">
        <f t="shared" si="28"/>
        <v>7</v>
      </c>
      <c r="J669" t="str">
        <f t="shared" si="29"/>
        <v>Colorado Rockies</v>
      </c>
      <c r="K669" s="60">
        <f t="shared" si="30"/>
        <v>2</v>
      </c>
      <c r="L669">
        <f t="shared" si="31"/>
        <v>5</v>
      </c>
    </row>
    <row r="670" spans="1:12" x14ac:dyDescent="0.25">
      <c r="G670" t="str">
        <f t="shared" si="26"/>
        <v>04/06/19</v>
      </c>
      <c r="H670" t="str">
        <f t="shared" si="27"/>
        <v/>
      </c>
      <c r="I670" s="60" t="str">
        <f t="shared" si="28"/>
        <v/>
      </c>
      <c r="J670" t="str">
        <f t="shared" si="29"/>
        <v/>
      </c>
      <c r="K670" s="60" t="str">
        <f t="shared" si="30"/>
        <v/>
      </c>
      <c r="L670" t="str">
        <f t="shared" si="31"/>
        <v/>
      </c>
    </row>
    <row r="671" spans="1:12" x14ac:dyDescent="0.25">
      <c r="A671" t="s">
        <v>1777</v>
      </c>
      <c r="G671" t="str">
        <f t="shared" si="26"/>
        <v>04/06/19</v>
      </c>
      <c r="H671" t="str">
        <f t="shared" si="27"/>
        <v>Kansas City Royals</v>
      </c>
      <c r="I671" s="60">
        <f t="shared" si="28"/>
        <v>4</v>
      </c>
      <c r="J671" t="str">
        <f t="shared" si="29"/>
        <v>Detroit Tigers</v>
      </c>
      <c r="K671" s="60">
        <f t="shared" si="30"/>
        <v>7</v>
      </c>
      <c r="L671">
        <f t="shared" si="31"/>
        <v>-3</v>
      </c>
    </row>
    <row r="672" spans="1:12" x14ac:dyDescent="0.25">
      <c r="G672" t="str">
        <f t="shared" si="26"/>
        <v>04/06/19</v>
      </c>
      <c r="H672" t="str">
        <f t="shared" si="27"/>
        <v/>
      </c>
      <c r="I672" s="60" t="str">
        <f t="shared" si="28"/>
        <v/>
      </c>
      <c r="J672" t="str">
        <f t="shared" si="29"/>
        <v/>
      </c>
      <c r="K672" s="60" t="str">
        <f t="shared" si="30"/>
        <v/>
      </c>
      <c r="L672" t="str">
        <f t="shared" si="31"/>
        <v/>
      </c>
    </row>
    <row r="673" spans="1:12" x14ac:dyDescent="0.25">
      <c r="A673" t="s">
        <v>1778</v>
      </c>
      <c r="G673" t="str">
        <f t="shared" si="26"/>
        <v>04/06/19</v>
      </c>
      <c r="H673" t="str">
        <f t="shared" si="27"/>
        <v>Oakland Athletics</v>
      </c>
      <c r="I673" s="60">
        <f t="shared" si="28"/>
        <v>0</v>
      </c>
      <c r="J673" t="str">
        <f t="shared" si="29"/>
        <v>Houston Astros</v>
      </c>
      <c r="K673" s="60">
        <f t="shared" si="30"/>
        <v>6</v>
      </c>
      <c r="L673">
        <f t="shared" si="31"/>
        <v>-6</v>
      </c>
    </row>
    <row r="674" spans="1:12" x14ac:dyDescent="0.25">
      <c r="G674" t="str">
        <f t="shared" ref="G674:G737" si="32">IF(ISNUMBER(MATCH(IFERROR(LEFT(A674,SEARCH(",",A674)-1),""),$G$220:$M$220,0)),TEXT(MID(A674,SEARCH(",",A674)+2,LEN(A674)),"mm/dd/yy"),G673)</f>
        <v>04/06/19</v>
      </c>
      <c r="H674" t="str">
        <f t="shared" si="27"/>
        <v/>
      </c>
      <c r="I674" s="60" t="str">
        <f t="shared" si="28"/>
        <v/>
      </c>
      <c r="J674" t="str">
        <f t="shared" si="29"/>
        <v/>
      </c>
      <c r="K674" s="60" t="str">
        <f t="shared" si="30"/>
        <v/>
      </c>
      <c r="L674" t="str">
        <f t="shared" si="31"/>
        <v/>
      </c>
    </row>
    <row r="675" spans="1:12" x14ac:dyDescent="0.25">
      <c r="A675" t="s">
        <v>1779</v>
      </c>
      <c r="G675" t="str">
        <f t="shared" si="32"/>
        <v>04/06/19</v>
      </c>
      <c r="H675" t="str">
        <f t="shared" si="27"/>
        <v>Chicago Cubs</v>
      </c>
      <c r="I675" s="60">
        <f t="shared" si="28"/>
        <v>14</v>
      </c>
      <c r="J675" t="str">
        <f t="shared" si="29"/>
        <v>Milwaukee Brewers</v>
      </c>
      <c r="K675" s="60">
        <f t="shared" si="30"/>
        <v>8</v>
      </c>
      <c r="L675">
        <f t="shared" si="31"/>
        <v>6</v>
      </c>
    </row>
    <row r="676" spans="1:12" x14ac:dyDescent="0.25">
      <c r="G676" t="str">
        <f t="shared" si="32"/>
        <v>04/06/19</v>
      </c>
      <c r="H676" t="str">
        <f t="shared" si="27"/>
        <v/>
      </c>
      <c r="I676" s="60" t="str">
        <f t="shared" si="28"/>
        <v/>
      </c>
      <c r="J676" t="str">
        <f t="shared" si="29"/>
        <v/>
      </c>
      <c r="K676" s="60" t="str">
        <f t="shared" si="30"/>
        <v/>
      </c>
      <c r="L676" t="str">
        <f t="shared" si="31"/>
        <v/>
      </c>
    </row>
    <row r="677" spans="1:12" x14ac:dyDescent="0.25">
      <c r="A677" t="s">
        <v>1780</v>
      </c>
      <c r="G677" t="str">
        <f t="shared" si="32"/>
        <v>04/06/19</v>
      </c>
      <c r="H677" t="str">
        <f t="shared" si="27"/>
        <v>Washington Nationals</v>
      </c>
      <c r="I677" s="60">
        <f t="shared" si="28"/>
        <v>5</v>
      </c>
      <c r="J677" t="str">
        <f t="shared" si="29"/>
        <v>New York Mets</v>
      </c>
      <c r="K677" s="60">
        <f t="shared" si="30"/>
        <v>6</v>
      </c>
      <c r="L677">
        <f t="shared" si="31"/>
        <v>-1</v>
      </c>
    </row>
    <row r="678" spans="1:12" x14ac:dyDescent="0.25">
      <c r="G678" t="str">
        <f t="shared" si="32"/>
        <v>04/06/19</v>
      </c>
      <c r="H678" t="str">
        <f t="shared" si="27"/>
        <v/>
      </c>
      <c r="I678" s="60" t="str">
        <f t="shared" si="28"/>
        <v/>
      </c>
      <c r="J678" t="str">
        <f t="shared" si="29"/>
        <v/>
      </c>
      <c r="K678" s="60" t="str">
        <f t="shared" si="30"/>
        <v/>
      </c>
      <c r="L678" t="str">
        <f t="shared" si="31"/>
        <v/>
      </c>
    </row>
    <row r="679" spans="1:12" x14ac:dyDescent="0.25">
      <c r="A679" t="s">
        <v>1781</v>
      </c>
      <c r="G679" t="str">
        <f t="shared" si="32"/>
        <v>04/06/19</v>
      </c>
      <c r="H679" t="str">
        <f t="shared" si="27"/>
        <v>Minnesota Twins</v>
      </c>
      <c r="I679" s="60">
        <f t="shared" si="28"/>
        <v>6</v>
      </c>
      <c r="J679" t="str">
        <f t="shared" si="29"/>
        <v>Philadelphia Phillies</v>
      </c>
      <c r="K679" s="60">
        <f t="shared" si="30"/>
        <v>2</v>
      </c>
      <c r="L679">
        <f t="shared" si="31"/>
        <v>4</v>
      </c>
    </row>
    <row r="680" spans="1:12" x14ac:dyDescent="0.25">
      <c r="G680" t="str">
        <f t="shared" si="32"/>
        <v>04/06/19</v>
      </c>
      <c r="H680" t="str">
        <f t="shared" si="27"/>
        <v/>
      </c>
      <c r="I680" s="60" t="str">
        <f t="shared" si="28"/>
        <v/>
      </c>
      <c r="J680" t="str">
        <f t="shared" si="29"/>
        <v/>
      </c>
      <c r="K680" s="60" t="str">
        <f t="shared" si="30"/>
        <v/>
      </c>
      <c r="L680" t="str">
        <f t="shared" si="31"/>
        <v/>
      </c>
    </row>
    <row r="681" spans="1:12" x14ac:dyDescent="0.25">
      <c r="A681" t="s">
        <v>1782</v>
      </c>
      <c r="G681" t="str">
        <f t="shared" si="32"/>
        <v>04/06/19</v>
      </c>
      <c r="H681" t="str">
        <f t="shared" si="27"/>
        <v>Cincinnati Reds</v>
      </c>
      <c r="I681" s="60">
        <f t="shared" si="28"/>
        <v>5</v>
      </c>
      <c r="J681" t="str">
        <f t="shared" si="29"/>
        <v>Pittsburgh Pirates</v>
      </c>
      <c r="K681" s="60">
        <f t="shared" si="30"/>
        <v>6</v>
      </c>
      <c r="L681">
        <f t="shared" si="31"/>
        <v>-1</v>
      </c>
    </row>
    <row r="682" spans="1:12" x14ac:dyDescent="0.25">
      <c r="G682" t="str">
        <f t="shared" si="32"/>
        <v>04/06/19</v>
      </c>
      <c r="H682" t="str">
        <f t="shared" si="27"/>
        <v/>
      </c>
      <c r="I682" s="60" t="str">
        <f t="shared" si="28"/>
        <v/>
      </c>
      <c r="J682" t="str">
        <f t="shared" si="29"/>
        <v/>
      </c>
      <c r="K682" s="60" t="str">
        <f t="shared" si="30"/>
        <v/>
      </c>
      <c r="L682" t="str">
        <f t="shared" si="31"/>
        <v/>
      </c>
    </row>
    <row r="683" spans="1:12" x14ac:dyDescent="0.25">
      <c r="A683" t="s">
        <v>1783</v>
      </c>
      <c r="G683" t="str">
        <f t="shared" si="32"/>
        <v>04/06/19</v>
      </c>
      <c r="H683" t="str">
        <f t="shared" si="27"/>
        <v>Tampa Bay Rays</v>
      </c>
      <c r="I683" s="60">
        <f t="shared" si="28"/>
        <v>4</v>
      </c>
      <c r="J683" t="str">
        <f t="shared" si="29"/>
        <v>San Francisco Giants</v>
      </c>
      <c r="K683" s="60">
        <f t="shared" si="30"/>
        <v>6</v>
      </c>
      <c r="L683">
        <f t="shared" si="31"/>
        <v>-2</v>
      </c>
    </row>
    <row r="684" spans="1:12" x14ac:dyDescent="0.25">
      <c r="G684" t="str">
        <f t="shared" si="32"/>
        <v>04/06/19</v>
      </c>
      <c r="H684" t="str">
        <f t="shared" si="27"/>
        <v/>
      </c>
      <c r="I684" s="60" t="str">
        <f t="shared" si="28"/>
        <v/>
      </c>
      <c r="J684" t="str">
        <f t="shared" si="29"/>
        <v/>
      </c>
      <c r="K684" s="60" t="str">
        <f t="shared" si="30"/>
        <v/>
      </c>
      <c r="L684" t="str">
        <f t="shared" si="31"/>
        <v/>
      </c>
    </row>
    <row r="685" spans="1:12" x14ac:dyDescent="0.25">
      <c r="A685" t="s">
        <v>1784</v>
      </c>
      <c r="G685" t="str">
        <f t="shared" si="32"/>
        <v>04/06/19</v>
      </c>
      <c r="H685" t="str">
        <f t="shared" si="27"/>
        <v>San Diego Padres</v>
      </c>
      <c r="I685" s="60">
        <f t="shared" si="28"/>
        <v>6</v>
      </c>
      <c r="J685" t="str">
        <f t="shared" si="29"/>
        <v>St. Louis Cardinals</v>
      </c>
      <c r="K685" s="60">
        <f t="shared" si="30"/>
        <v>4</v>
      </c>
      <c r="L685">
        <f t="shared" si="31"/>
        <v>2</v>
      </c>
    </row>
    <row r="686" spans="1:12" x14ac:dyDescent="0.25">
      <c r="G686" t="str">
        <f t="shared" si="32"/>
        <v>04/06/19</v>
      </c>
      <c r="H686" t="str">
        <f t="shared" si="27"/>
        <v/>
      </c>
      <c r="I686" s="60" t="str">
        <f t="shared" si="28"/>
        <v/>
      </c>
      <c r="J686" t="str">
        <f t="shared" si="29"/>
        <v/>
      </c>
      <c r="K686" s="60" t="str">
        <f t="shared" si="30"/>
        <v/>
      </c>
      <c r="L686" t="str">
        <f t="shared" si="31"/>
        <v/>
      </c>
    </row>
    <row r="687" spans="1:12" x14ac:dyDescent="0.25">
      <c r="A687" t="s">
        <v>1785</v>
      </c>
      <c r="G687" t="str">
        <f t="shared" si="32"/>
        <v>04/06/19</v>
      </c>
      <c r="H687" t="str">
        <f t="shared" si="27"/>
        <v/>
      </c>
      <c r="I687" s="60" t="str">
        <f t="shared" si="28"/>
        <v/>
      </c>
      <c r="J687" t="str">
        <f t="shared" si="29"/>
        <v/>
      </c>
      <c r="K687" s="60" t="str">
        <f t="shared" si="30"/>
        <v/>
      </c>
      <c r="L687" t="str">
        <f t="shared" si="31"/>
        <v/>
      </c>
    </row>
    <row r="688" spans="1:12" x14ac:dyDescent="0.25">
      <c r="G688" t="str">
        <f t="shared" si="32"/>
        <v>04/06/19</v>
      </c>
      <c r="H688" t="str">
        <f t="shared" si="27"/>
        <v/>
      </c>
      <c r="I688" s="60" t="str">
        <f t="shared" si="28"/>
        <v/>
      </c>
      <c r="J688" t="str">
        <f t="shared" si="29"/>
        <v/>
      </c>
      <c r="K688" s="60" t="str">
        <f t="shared" si="30"/>
        <v/>
      </c>
      <c r="L688" t="str">
        <f t="shared" si="31"/>
        <v/>
      </c>
    </row>
    <row r="689" spans="1:12" x14ac:dyDescent="0.25">
      <c r="A689" t="s">
        <v>1786</v>
      </c>
      <c r="G689" t="str">
        <f t="shared" si="32"/>
        <v>04/07/19</v>
      </c>
      <c r="H689" t="str">
        <f t="shared" si="27"/>
        <v/>
      </c>
      <c r="I689" s="60" t="str">
        <f t="shared" si="28"/>
        <v/>
      </c>
      <c r="J689" t="str">
        <f t="shared" si="29"/>
        <v/>
      </c>
      <c r="K689" s="60" t="str">
        <f t="shared" si="30"/>
        <v/>
      </c>
      <c r="L689" t="str">
        <f t="shared" si="31"/>
        <v/>
      </c>
    </row>
    <row r="690" spans="1:12" x14ac:dyDescent="0.25">
      <c r="G690" t="str">
        <f t="shared" si="32"/>
        <v>04/07/19</v>
      </c>
      <c r="H690" t="str">
        <f t="shared" si="27"/>
        <v/>
      </c>
      <c r="I690" s="60" t="str">
        <f t="shared" si="28"/>
        <v/>
      </c>
      <c r="J690" t="str">
        <f t="shared" si="29"/>
        <v/>
      </c>
      <c r="K690" s="60" t="str">
        <f t="shared" si="30"/>
        <v/>
      </c>
      <c r="L690" t="str">
        <f t="shared" si="31"/>
        <v/>
      </c>
    </row>
    <row r="691" spans="1:12" x14ac:dyDescent="0.25">
      <c r="A691" t="s">
        <v>1787</v>
      </c>
      <c r="G691" t="str">
        <f t="shared" si="32"/>
        <v>04/07/19</v>
      </c>
      <c r="H691" t="str">
        <f t="shared" si="27"/>
        <v>Texas Rangers</v>
      </c>
      <c r="I691" s="60">
        <f t="shared" si="28"/>
        <v>2</v>
      </c>
      <c r="J691" t="str">
        <f t="shared" si="29"/>
        <v>Los Angeles Angels</v>
      </c>
      <c r="K691" s="60">
        <f t="shared" si="30"/>
        <v>7</v>
      </c>
      <c r="L691">
        <f t="shared" si="31"/>
        <v>-5</v>
      </c>
    </row>
    <row r="692" spans="1:12" x14ac:dyDescent="0.25">
      <c r="G692" t="str">
        <f t="shared" si="32"/>
        <v>04/07/19</v>
      </c>
      <c r="H692" t="str">
        <f t="shared" si="27"/>
        <v/>
      </c>
      <c r="I692" s="60" t="str">
        <f t="shared" si="28"/>
        <v/>
      </c>
      <c r="J692" t="str">
        <f t="shared" si="29"/>
        <v/>
      </c>
      <c r="K692" s="60" t="str">
        <f t="shared" si="30"/>
        <v/>
      </c>
      <c r="L692" t="str">
        <f t="shared" si="31"/>
        <v/>
      </c>
    </row>
    <row r="693" spans="1:12" x14ac:dyDescent="0.25">
      <c r="A693" t="s">
        <v>1788</v>
      </c>
      <c r="G693" t="str">
        <f t="shared" si="32"/>
        <v>04/07/19</v>
      </c>
      <c r="H693" t="str">
        <f t="shared" si="27"/>
        <v>Boston Red Sox</v>
      </c>
      <c r="I693" s="60">
        <f t="shared" si="28"/>
        <v>1</v>
      </c>
      <c r="J693" t="str">
        <f t="shared" si="29"/>
        <v>Arizona D'Backs</v>
      </c>
      <c r="K693" s="60">
        <f t="shared" si="30"/>
        <v>0</v>
      </c>
      <c r="L693">
        <f t="shared" si="31"/>
        <v>1</v>
      </c>
    </row>
    <row r="694" spans="1:12" x14ac:dyDescent="0.25">
      <c r="G694" t="str">
        <f t="shared" si="32"/>
        <v>04/07/19</v>
      </c>
      <c r="H694" t="str">
        <f t="shared" si="27"/>
        <v/>
      </c>
      <c r="I694" s="60" t="str">
        <f t="shared" si="28"/>
        <v/>
      </c>
      <c r="J694" t="str">
        <f t="shared" si="29"/>
        <v/>
      </c>
      <c r="K694" s="60" t="str">
        <f t="shared" si="30"/>
        <v/>
      </c>
      <c r="L694" t="str">
        <f t="shared" si="31"/>
        <v/>
      </c>
    </row>
    <row r="695" spans="1:12" x14ac:dyDescent="0.25">
      <c r="A695" t="s">
        <v>1789</v>
      </c>
      <c r="G695" t="str">
        <f t="shared" si="32"/>
        <v>04/07/19</v>
      </c>
      <c r="H695" t="str">
        <f t="shared" si="27"/>
        <v>Miami Marlins</v>
      </c>
      <c r="I695" s="60">
        <f t="shared" si="28"/>
        <v>3</v>
      </c>
      <c r="J695" t="str">
        <f t="shared" si="29"/>
        <v>Atlanta Braves</v>
      </c>
      <c r="K695" s="60">
        <f t="shared" si="30"/>
        <v>4</v>
      </c>
      <c r="L695">
        <f t="shared" si="31"/>
        <v>-1</v>
      </c>
    </row>
    <row r="696" spans="1:12" x14ac:dyDescent="0.25">
      <c r="G696" t="str">
        <f t="shared" si="32"/>
        <v>04/07/19</v>
      </c>
      <c r="H696" t="str">
        <f t="shared" si="27"/>
        <v/>
      </c>
      <c r="I696" s="60" t="str">
        <f t="shared" si="28"/>
        <v/>
      </c>
      <c r="J696" t="str">
        <f t="shared" si="29"/>
        <v/>
      </c>
      <c r="K696" s="60" t="str">
        <f t="shared" si="30"/>
        <v/>
      </c>
      <c r="L696" t="str">
        <f t="shared" si="31"/>
        <v/>
      </c>
    </row>
    <row r="697" spans="1:12" x14ac:dyDescent="0.25">
      <c r="A697" t="s">
        <v>1790</v>
      </c>
      <c r="G697" t="str">
        <f t="shared" si="32"/>
        <v>04/07/19</v>
      </c>
      <c r="H697" t="str">
        <f t="shared" si="27"/>
        <v>New York Yankees</v>
      </c>
      <c r="I697" s="60">
        <f t="shared" si="28"/>
        <v>15</v>
      </c>
      <c r="J697" t="str">
        <f t="shared" si="29"/>
        <v>Baltimore Orioles</v>
      </c>
      <c r="K697" s="60">
        <f t="shared" si="30"/>
        <v>3</v>
      </c>
      <c r="L697">
        <f t="shared" si="31"/>
        <v>12</v>
      </c>
    </row>
    <row r="698" spans="1:12" x14ac:dyDescent="0.25">
      <c r="G698" t="str">
        <f t="shared" si="32"/>
        <v>04/07/19</v>
      </c>
      <c r="H698" t="str">
        <f t="shared" si="27"/>
        <v/>
      </c>
      <c r="I698" s="60" t="str">
        <f t="shared" si="28"/>
        <v/>
      </c>
      <c r="J698" t="str">
        <f t="shared" si="29"/>
        <v/>
      </c>
      <c r="K698" s="60" t="str">
        <f t="shared" si="30"/>
        <v/>
      </c>
      <c r="L698" t="str">
        <f t="shared" si="31"/>
        <v/>
      </c>
    </row>
    <row r="699" spans="1:12" x14ac:dyDescent="0.25">
      <c r="A699" t="s">
        <v>1791</v>
      </c>
      <c r="G699" t="str">
        <f t="shared" si="32"/>
        <v>04/07/19</v>
      </c>
      <c r="H699" t="str">
        <f t="shared" si="27"/>
        <v>Seattle Mariners</v>
      </c>
      <c r="I699" s="60">
        <f t="shared" si="28"/>
        <v>12</v>
      </c>
      <c r="J699" t="str">
        <f t="shared" si="29"/>
        <v>Chicago White Sox</v>
      </c>
      <c r="K699" s="60">
        <f t="shared" si="30"/>
        <v>5</v>
      </c>
      <c r="L699">
        <f t="shared" si="31"/>
        <v>7</v>
      </c>
    </row>
    <row r="700" spans="1:12" x14ac:dyDescent="0.25">
      <c r="G700" t="str">
        <f t="shared" si="32"/>
        <v>04/07/19</v>
      </c>
      <c r="H700" t="str">
        <f t="shared" si="27"/>
        <v/>
      </c>
      <c r="I700" s="60" t="str">
        <f t="shared" si="28"/>
        <v/>
      </c>
      <c r="J700" t="str">
        <f t="shared" si="29"/>
        <v/>
      </c>
      <c r="K700" s="60" t="str">
        <f t="shared" si="30"/>
        <v/>
      </c>
      <c r="L700" t="str">
        <f t="shared" si="31"/>
        <v/>
      </c>
    </row>
    <row r="701" spans="1:12" x14ac:dyDescent="0.25">
      <c r="A701" t="s">
        <v>1792</v>
      </c>
      <c r="G701" t="str">
        <f t="shared" si="32"/>
        <v>04/07/19</v>
      </c>
      <c r="H701" t="str">
        <f t="shared" si="27"/>
        <v>Toronto Blue Jays</v>
      </c>
      <c r="I701" s="60">
        <f t="shared" si="28"/>
        <v>1</v>
      </c>
      <c r="J701" t="str">
        <f t="shared" si="29"/>
        <v>Cleveland Indians</v>
      </c>
      <c r="K701" s="60">
        <f t="shared" si="30"/>
        <v>3</v>
      </c>
      <c r="L701">
        <f t="shared" si="31"/>
        <v>-2</v>
      </c>
    </row>
    <row r="702" spans="1:12" x14ac:dyDescent="0.25">
      <c r="G702" t="str">
        <f t="shared" si="32"/>
        <v>04/07/19</v>
      </c>
      <c r="H702" t="str">
        <f t="shared" si="27"/>
        <v/>
      </c>
      <c r="I702" s="60" t="str">
        <f t="shared" si="28"/>
        <v/>
      </c>
      <c r="J702" t="str">
        <f t="shared" si="29"/>
        <v/>
      </c>
      <c r="K702" s="60" t="str">
        <f t="shared" si="30"/>
        <v/>
      </c>
      <c r="L702" t="str">
        <f t="shared" si="31"/>
        <v/>
      </c>
    </row>
    <row r="703" spans="1:12" x14ac:dyDescent="0.25">
      <c r="A703" t="s">
        <v>1793</v>
      </c>
      <c r="G703" t="str">
        <f t="shared" si="32"/>
        <v>04/07/19</v>
      </c>
      <c r="H703" t="str">
        <f t="shared" si="27"/>
        <v>Los Angeles Dodgers</v>
      </c>
      <c r="I703" s="60">
        <f t="shared" si="28"/>
        <v>12</v>
      </c>
      <c r="J703" t="str">
        <f t="shared" si="29"/>
        <v>Colorado Rockies</v>
      </c>
      <c r="K703" s="60">
        <f t="shared" si="30"/>
        <v>6</v>
      </c>
      <c r="L703">
        <f t="shared" si="31"/>
        <v>6</v>
      </c>
    </row>
    <row r="704" spans="1:12" x14ac:dyDescent="0.25">
      <c r="G704" t="str">
        <f t="shared" si="32"/>
        <v>04/07/19</v>
      </c>
      <c r="H704" t="str">
        <f t="shared" si="27"/>
        <v/>
      </c>
      <c r="I704" s="60" t="str">
        <f t="shared" si="28"/>
        <v/>
      </c>
      <c r="J704" t="str">
        <f t="shared" si="29"/>
        <v/>
      </c>
      <c r="K704" s="60" t="str">
        <f t="shared" si="30"/>
        <v/>
      </c>
      <c r="L704" t="str">
        <f t="shared" si="31"/>
        <v/>
      </c>
    </row>
    <row r="705" spans="1:12" x14ac:dyDescent="0.25">
      <c r="A705" t="s">
        <v>1794</v>
      </c>
      <c r="G705" t="str">
        <f t="shared" si="32"/>
        <v>04/07/19</v>
      </c>
      <c r="H705" t="str">
        <f t="shared" si="27"/>
        <v>Kansas City Royals</v>
      </c>
      <c r="I705" s="60">
        <f t="shared" si="28"/>
        <v>1</v>
      </c>
      <c r="J705" t="str">
        <f t="shared" si="29"/>
        <v>Detroit Tigers</v>
      </c>
      <c r="K705" s="60">
        <f t="shared" si="30"/>
        <v>3</v>
      </c>
      <c r="L705">
        <f t="shared" si="31"/>
        <v>-2</v>
      </c>
    </row>
    <row r="706" spans="1:12" x14ac:dyDescent="0.25">
      <c r="G706" t="str">
        <f t="shared" si="32"/>
        <v>04/07/19</v>
      </c>
      <c r="H706" t="str">
        <f t="shared" si="27"/>
        <v/>
      </c>
      <c r="I706" s="60" t="str">
        <f t="shared" si="28"/>
        <v/>
      </c>
      <c r="J706" t="str">
        <f t="shared" si="29"/>
        <v/>
      </c>
      <c r="K706" s="60" t="str">
        <f t="shared" si="30"/>
        <v/>
      </c>
      <c r="L706" t="str">
        <f t="shared" si="31"/>
        <v/>
      </c>
    </row>
    <row r="707" spans="1:12" x14ac:dyDescent="0.25">
      <c r="A707" t="s">
        <v>1795</v>
      </c>
      <c r="G707" t="str">
        <f t="shared" si="32"/>
        <v>04/07/19</v>
      </c>
      <c r="H707" t="str">
        <f t="shared" si="27"/>
        <v>Oakland Athletics</v>
      </c>
      <c r="I707" s="60">
        <f t="shared" si="28"/>
        <v>8</v>
      </c>
      <c r="J707" t="str">
        <f t="shared" si="29"/>
        <v>Houston Astros</v>
      </c>
      <c r="K707" s="60">
        <f t="shared" si="30"/>
        <v>9</v>
      </c>
      <c r="L707">
        <f t="shared" si="31"/>
        <v>-1</v>
      </c>
    </row>
    <row r="708" spans="1:12" x14ac:dyDescent="0.25">
      <c r="G708" t="str">
        <f t="shared" si="32"/>
        <v>04/07/19</v>
      </c>
      <c r="H708" t="str">
        <f t="shared" si="27"/>
        <v/>
      </c>
      <c r="I708" s="60" t="str">
        <f t="shared" si="28"/>
        <v/>
      </c>
      <c r="J708" t="str">
        <f t="shared" si="29"/>
        <v/>
      </c>
      <c r="K708" s="60" t="str">
        <f t="shared" si="30"/>
        <v/>
      </c>
      <c r="L708" t="str">
        <f t="shared" si="31"/>
        <v/>
      </c>
    </row>
    <row r="709" spans="1:12" x14ac:dyDescent="0.25">
      <c r="A709" t="s">
        <v>1796</v>
      </c>
      <c r="G709" t="str">
        <f t="shared" si="32"/>
        <v>04/07/19</v>
      </c>
      <c r="H709" t="str">
        <f t="shared" si="27"/>
        <v>Chicago Cubs</v>
      </c>
      <c r="I709" s="60">
        <f t="shared" si="28"/>
        <v>2</v>
      </c>
      <c r="J709" t="str">
        <f t="shared" si="29"/>
        <v>Milwaukee Brewers</v>
      </c>
      <c r="K709" s="60">
        <f t="shared" si="30"/>
        <v>4</v>
      </c>
      <c r="L709">
        <f t="shared" si="31"/>
        <v>-2</v>
      </c>
    </row>
    <row r="710" spans="1:12" x14ac:dyDescent="0.25">
      <c r="G710" t="str">
        <f t="shared" si="32"/>
        <v>04/07/19</v>
      </c>
      <c r="H710" t="str">
        <f t="shared" si="27"/>
        <v/>
      </c>
      <c r="I710" s="60" t="str">
        <f t="shared" si="28"/>
        <v/>
      </c>
      <c r="J710" t="str">
        <f t="shared" si="29"/>
        <v/>
      </c>
      <c r="K710" s="60" t="str">
        <f t="shared" si="30"/>
        <v/>
      </c>
      <c r="L710" t="str">
        <f t="shared" si="31"/>
        <v/>
      </c>
    </row>
    <row r="711" spans="1:12" x14ac:dyDescent="0.25">
      <c r="A711" t="s">
        <v>1797</v>
      </c>
      <c r="G711" t="str">
        <f t="shared" si="32"/>
        <v>04/07/19</v>
      </c>
      <c r="H711" t="str">
        <f t="shared" si="27"/>
        <v>Washington Nationals</v>
      </c>
      <c r="I711" s="60">
        <f t="shared" si="28"/>
        <v>12</v>
      </c>
      <c r="J711" t="str">
        <f t="shared" si="29"/>
        <v>New York Mets</v>
      </c>
      <c r="K711" s="60">
        <f t="shared" si="30"/>
        <v>9</v>
      </c>
      <c r="L711">
        <f t="shared" si="31"/>
        <v>3</v>
      </c>
    </row>
    <row r="712" spans="1:12" x14ac:dyDescent="0.25">
      <c r="G712" t="str">
        <f t="shared" si="32"/>
        <v>04/07/19</v>
      </c>
      <c r="H712" t="str">
        <f t="shared" si="27"/>
        <v/>
      </c>
      <c r="I712" s="60" t="str">
        <f t="shared" si="28"/>
        <v/>
      </c>
      <c r="J712" t="str">
        <f t="shared" si="29"/>
        <v/>
      </c>
      <c r="K712" s="60" t="str">
        <f t="shared" si="30"/>
        <v/>
      </c>
      <c r="L712" t="str">
        <f t="shared" si="31"/>
        <v/>
      </c>
    </row>
    <row r="713" spans="1:12" x14ac:dyDescent="0.25">
      <c r="A713" t="s">
        <v>1798</v>
      </c>
      <c r="G713" t="str">
        <f t="shared" si="32"/>
        <v>04/07/19</v>
      </c>
      <c r="H713" t="str">
        <f t="shared" si="27"/>
        <v>Minnesota Twins</v>
      </c>
      <c r="I713" s="60">
        <f t="shared" si="28"/>
        <v>1</v>
      </c>
      <c r="J713" t="str">
        <f t="shared" si="29"/>
        <v>Philadelphia Phillies</v>
      </c>
      <c r="K713" s="60">
        <f t="shared" si="30"/>
        <v>2</v>
      </c>
      <c r="L713">
        <f t="shared" si="31"/>
        <v>-1</v>
      </c>
    </row>
    <row r="714" spans="1:12" x14ac:dyDescent="0.25">
      <c r="G714" t="str">
        <f t="shared" si="32"/>
        <v>04/07/19</v>
      </c>
      <c r="H714" t="str">
        <f t="shared" si="27"/>
        <v/>
      </c>
      <c r="I714" s="60" t="str">
        <f t="shared" si="28"/>
        <v/>
      </c>
      <c r="J714" t="str">
        <f t="shared" si="29"/>
        <v/>
      </c>
      <c r="K714" s="60" t="str">
        <f t="shared" si="30"/>
        <v/>
      </c>
      <c r="L714" t="str">
        <f t="shared" si="31"/>
        <v/>
      </c>
    </row>
    <row r="715" spans="1:12" x14ac:dyDescent="0.25">
      <c r="A715" t="s">
        <v>1799</v>
      </c>
      <c r="G715" t="str">
        <f t="shared" si="32"/>
        <v>04/07/19</v>
      </c>
      <c r="H715" t="str">
        <f t="shared" si="27"/>
        <v>Cincinnati Reds</v>
      </c>
      <c r="I715" s="60">
        <f t="shared" si="28"/>
        <v>5</v>
      </c>
      <c r="J715" t="str">
        <f t="shared" si="29"/>
        <v>Pittsburgh Pirates</v>
      </c>
      <c r="K715" s="60">
        <f t="shared" si="30"/>
        <v>7</v>
      </c>
      <c r="L715">
        <f t="shared" si="31"/>
        <v>-2</v>
      </c>
    </row>
    <row r="716" spans="1:12" x14ac:dyDescent="0.25">
      <c r="G716" t="str">
        <f t="shared" si="32"/>
        <v>04/07/19</v>
      </c>
      <c r="H716" t="str">
        <f t="shared" si="27"/>
        <v/>
      </c>
      <c r="I716" s="60" t="str">
        <f t="shared" si="28"/>
        <v/>
      </c>
      <c r="J716" t="str">
        <f t="shared" si="29"/>
        <v/>
      </c>
      <c r="K716" s="60" t="str">
        <f t="shared" si="30"/>
        <v/>
      </c>
      <c r="L716" t="str">
        <f t="shared" si="31"/>
        <v/>
      </c>
    </row>
    <row r="717" spans="1:12" x14ac:dyDescent="0.25">
      <c r="A717" t="s">
        <v>1800</v>
      </c>
      <c r="G717" t="str">
        <f t="shared" si="32"/>
        <v>04/07/19</v>
      </c>
      <c r="H717" t="str">
        <f t="shared" si="27"/>
        <v>Tampa Bay Rays</v>
      </c>
      <c r="I717" s="60">
        <f t="shared" si="28"/>
        <v>3</v>
      </c>
      <c r="J717" t="str">
        <f t="shared" si="29"/>
        <v>San Francisco Giants</v>
      </c>
      <c r="K717" s="60">
        <f t="shared" si="30"/>
        <v>0</v>
      </c>
      <c r="L717">
        <f t="shared" si="31"/>
        <v>3</v>
      </c>
    </row>
    <row r="718" spans="1:12" x14ac:dyDescent="0.25">
      <c r="G718" t="str">
        <f t="shared" si="32"/>
        <v>04/07/19</v>
      </c>
      <c r="H718" t="str">
        <f t="shared" si="27"/>
        <v/>
      </c>
      <c r="I718" s="60" t="str">
        <f t="shared" si="28"/>
        <v/>
      </c>
      <c r="J718" t="str">
        <f t="shared" si="29"/>
        <v/>
      </c>
      <c r="K718" s="60" t="str">
        <f t="shared" si="30"/>
        <v/>
      </c>
      <c r="L718" t="str">
        <f t="shared" si="31"/>
        <v/>
      </c>
    </row>
    <row r="719" spans="1:12" x14ac:dyDescent="0.25">
      <c r="A719" t="s">
        <v>1801</v>
      </c>
      <c r="G719" t="str">
        <f t="shared" si="32"/>
        <v>04/07/19</v>
      </c>
      <c r="H719" t="str">
        <f t="shared" si="27"/>
        <v>San Diego Padres</v>
      </c>
      <c r="I719" s="60">
        <f t="shared" si="28"/>
        <v>1</v>
      </c>
      <c r="J719" t="str">
        <f t="shared" si="29"/>
        <v>St. Louis Cardinals</v>
      </c>
      <c r="K719" s="60">
        <f t="shared" si="30"/>
        <v>4</v>
      </c>
      <c r="L719">
        <f t="shared" si="31"/>
        <v>-3</v>
      </c>
    </row>
    <row r="720" spans="1:12" x14ac:dyDescent="0.25">
      <c r="G720" t="str">
        <f t="shared" si="32"/>
        <v>04/07/19</v>
      </c>
      <c r="H720" t="str">
        <f t="shared" ref="H720:H783" si="33">IFERROR(LEFT(MID(A720,1,SEARCH("@",A720)-2),SEARCH("(",A720)-2),"")</f>
        <v/>
      </c>
      <c r="I720" s="60" t="str">
        <f t="shared" ref="I720:I783" si="34">IFERROR(VALUE(MID(A720,SEARCH("(",A720)+1,SEARCH(")",A720)-SEARCH("(",A720)-1)),"")</f>
        <v/>
      </c>
      <c r="J720" t="str">
        <f t="shared" ref="J720:J783" si="35">IFERROR(MID(A720,SEARCH("@",A720)+2,SEARCH("(",A720,SEARCH("@",A720))-SEARCH("@",A720)-3),"")</f>
        <v/>
      </c>
      <c r="K720" s="60" t="str">
        <f t="shared" ref="K720:K783" si="36">IFERROR(VALUE(MID(A720,SEARCH(J720,A720)+LEN(J720)+2,(SEARCH(")",A720,SEARCH("@",A720))-SEARCH("(",A720,SEARCH("@",A720))-1))),"")</f>
        <v/>
      </c>
      <c r="L720" t="str">
        <f t="shared" ref="L720:L783" si="37">IFERROR(I720-K720,"")</f>
        <v/>
      </c>
    </row>
    <row r="721" spans="1:12" x14ac:dyDescent="0.25">
      <c r="A721" t="s">
        <v>1802</v>
      </c>
      <c r="G721" t="str">
        <f t="shared" si="32"/>
        <v>04/07/19</v>
      </c>
      <c r="H721" t="str">
        <f t="shared" si="33"/>
        <v/>
      </c>
      <c r="I721" s="60" t="str">
        <f t="shared" si="34"/>
        <v/>
      </c>
      <c r="J721" t="str">
        <f t="shared" si="35"/>
        <v/>
      </c>
      <c r="K721" s="60" t="str">
        <f t="shared" si="36"/>
        <v/>
      </c>
      <c r="L721" t="str">
        <f t="shared" si="37"/>
        <v/>
      </c>
    </row>
    <row r="722" spans="1:12" x14ac:dyDescent="0.25">
      <c r="G722" t="str">
        <f t="shared" si="32"/>
        <v>04/07/19</v>
      </c>
      <c r="H722" t="str">
        <f t="shared" si="33"/>
        <v/>
      </c>
      <c r="I722" s="60" t="str">
        <f t="shared" si="34"/>
        <v/>
      </c>
      <c r="J722" t="str">
        <f t="shared" si="35"/>
        <v/>
      </c>
      <c r="K722" s="60" t="str">
        <f t="shared" si="36"/>
        <v/>
      </c>
      <c r="L722" t="str">
        <f t="shared" si="37"/>
        <v/>
      </c>
    </row>
    <row r="723" spans="1:12" x14ac:dyDescent="0.25">
      <c r="A723" t="s">
        <v>1803</v>
      </c>
      <c r="G723" t="str">
        <f t="shared" si="32"/>
        <v>04/08/19</v>
      </c>
      <c r="H723" t="str">
        <f t="shared" si="33"/>
        <v/>
      </c>
      <c r="I723" s="60" t="str">
        <f t="shared" si="34"/>
        <v/>
      </c>
      <c r="J723" t="str">
        <f t="shared" si="35"/>
        <v/>
      </c>
      <c r="K723" s="60" t="str">
        <f t="shared" si="36"/>
        <v/>
      </c>
      <c r="L723" t="str">
        <f t="shared" si="37"/>
        <v/>
      </c>
    </row>
    <row r="724" spans="1:12" x14ac:dyDescent="0.25">
      <c r="G724" t="str">
        <f t="shared" si="32"/>
        <v>04/08/19</v>
      </c>
      <c r="H724" t="str">
        <f t="shared" si="33"/>
        <v/>
      </c>
      <c r="I724" s="60" t="str">
        <f t="shared" si="34"/>
        <v/>
      </c>
      <c r="J724" t="str">
        <f t="shared" si="35"/>
        <v/>
      </c>
      <c r="K724" s="60" t="str">
        <f t="shared" si="36"/>
        <v/>
      </c>
      <c r="L724" t="str">
        <f t="shared" si="37"/>
        <v/>
      </c>
    </row>
    <row r="725" spans="1:12" x14ac:dyDescent="0.25">
      <c r="A725" t="s">
        <v>1804</v>
      </c>
      <c r="G725" t="str">
        <f t="shared" si="32"/>
        <v>04/08/19</v>
      </c>
      <c r="H725" t="str">
        <f t="shared" si="33"/>
        <v>Milwaukee Brewers</v>
      </c>
      <c r="I725" s="60">
        <f t="shared" si="34"/>
        <v>2</v>
      </c>
      <c r="J725" t="str">
        <f t="shared" si="35"/>
        <v>Los Angeles Angels</v>
      </c>
      <c r="K725" s="60">
        <f t="shared" si="36"/>
        <v>5</v>
      </c>
      <c r="L725">
        <f t="shared" si="37"/>
        <v>-3</v>
      </c>
    </row>
    <row r="726" spans="1:12" x14ac:dyDescent="0.25">
      <c r="G726" t="str">
        <f t="shared" si="32"/>
        <v>04/08/19</v>
      </c>
      <c r="H726" t="str">
        <f t="shared" si="33"/>
        <v/>
      </c>
      <c r="I726" s="60" t="str">
        <f t="shared" si="34"/>
        <v/>
      </c>
      <c r="J726" t="str">
        <f t="shared" si="35"/>
        <v/>
      </c>
      <c r="K726" s="60" t="str">
        <f t="shared" si="36"/>
        <v/>
      </c>
      <c r="L726" t="str">
        <f t="shared" si="37"/>
        <v/>
      </c>
    </row>
    <row r="727" spans="1:12" x14ac:dyDescent="0.25">
      <c r="A727" t="s">
        <v>1805</v>
      </c>
      <c r="G727" t="str">
        <f t="shared" si="32"/>
        <v>04/08/19</v>
      </c>
      <c r="H727" t="str">
        <f t="shared" si="33"/>
        <v>Oakland Athletics</v>
      </c>
      <c r="I727" s="60">
        <f t="shared" si="34"/>
        <v>4</v>
      </c>
      <c r="J727" t="str">
        <f t="shared" si="35"/>
        <v>Baltimore Orioles</v>
      </c>
      <c r="K727" s="60">
        <f t="shared" si="36"/>
        <v>12</v>
      </c>
      <c r="L727">
        <f t="shared" si="37"/>
        <v>-8</v>
      </c>
    </row>
    <row r="728" spans="1:12" x14ac:dyDescent="0.25">
      <c r="G728" t="str">
        <f t="shared" si="32"/>
        <v>04/08/19</v>
      </c>
      <c r="H728" t="str">
        <f t="shared" si="33"/>
        <v/>
      </c>
      <c r="I728" s="60" t="str">
        <f t="shared" si="34"/>
        <v/>
      </c>
      <c r="J728" t="str">
        <f t="shared" si="35"/>
        <v/>
      </c>
      <c r="K728" s="60" t="str">
        <f t="shared" si="36"/>
        <v/>
      </c>
      <c r="L728" t="str">
        <f t="shared" si="37"/>
        <v/>
      </c>
    </row>
    <row r="729" spans="1:12" x14ac:dyDescent="0.25">
      <c r="A729" t="s">
        <v>1806</v>
      </c>
      <c r="G729" t="str">
        <f t="shared" si="32"/>
        <v>04/08/19</v>
      </c>
      <c r="H729" t="str">
        <f t="shared" si="33"/>
        <v>Tampa Bay Rays</v>
      </c>
      <c r="I729" s="60">
        <f t="shared" si="34"/>
        <v>5</v>
      </c>
      <c r="J729" t="str">
        <f t="shared" si="35"/>
        <v>Chicago White Sox</v>
      </c>
      <c r="K729" s="60">
        <f t="shared" si="36"/>
        <v>1</v>
      </c>
      <c r="L729">
        <f t="shared" si="37"/>
        <v>4</v>
      </c>
    </row>
    <row r="730" spans="1:12" x14ac:dyDescent="0.25">
      <c r="G730" t="str">
        <f t="shared" si="32"/>
        <v>04/08/19</v>
      </c>
      <c r="H730" t="str">
        <f t="shared" si="33"/>
        <v/>
      </c>
      <c r="I730" s="60" t="str">
        <f t="shared" si="34"/>
        <v/>
      </c>
      <c r="J730" t="str">
        <f t="shared" si="35"/>
        <v/>
      </c>
      <c r="K730" s="60" t="str">
        <f t="shared" si="36"/>
        <v/>
      </c>
      <c r="L730" t="str">
        <f t="shared" si="37"/>
        <v/>
      </c>
    </row>
    <row r="731" spans="1:12" x14ac:dyDescent="0.25">
      <c r="A731" t="s">
        <v>1807</v>
      </c>
      <c r="G731" t="str">
        <f t="shared" si="32"/>
        <v>04/08/19</v>
      </c>
      <c r="H731" t="str">
        <f t="shared" si="33"/>
        <v>Pittsburgh Pirates</v>
      </c>
      <c r="I731" s="60">
        <f t="shared" si="34"/>
        <v>0</v>
      </c>
      <c r="J731" t="str">
        <f t="shared" si="35"/>
        <v>Chicago Cubs</v>
      </c>
      <c r="K731" s="60">
        <f t="shared" si="36"/>
        <v>10</v>
      </c>
      <c r="L731">
        <f t="shared" si="37"/>
        <v>-10</v>
      </c>
    </row>
    <row r="732" spans="1:12" x14ac:dyDescent="0.25">
      <c r="G732" t="str">
        <f t="shared" si="32"/>
        <v>04/08/19</v>
      </c>
      <c r="H732" t="str">
        <f t="shared" si="33"/>
        <v/>
      </c>
      <c r="I732" s="60" t="str">
        <f t="shared" si="34"/>
        <v/>
      </c>
      <c r="J732" t="str">
        <f t="shared" si="35"/>
        <v/>
      </c>
      <c r="K732" s="60" t="str">
        <f t="shared" si="36"/>
        <v/>
      </c>
      <c r="L732" t="str">
        <f t="shared" si="37"/>
        <v/>
      </c>
    </row>
    <row r="733" spans="1:12" x14ac:dyDescent="0.25">
      <c r="A733" t="s">
        <v>1808</v>
      </c>
      <c r="G733" t="str">
        <f t="shared" si="32"/>
        <v>04/08/19</v>
      </c>
      <c r="H733" t="str">
        <f t="shared" si="33"/>
        <v>Atlanta Braves</v>
      </c>
      <c r="I733" s="60">
        <f t="shared" si="34"/>
        <v>8</v>
      </c>
      <c r="J733" t="str">
        <f t="shared" si="35"/>
        <v>Colorado Rockies</v>
      </c>
      <c r="K733" s="60">
        <f t="shared" si="36"/>
        <v>6</v>
      </c>
      <c r="L733">
        <f t="shared" si="37"/>
        <v>2</v>
      </c>
    </row>
    <row r="734" spans="1:12" x14ac:dyDescent="0.25">
      <c r="G734" t="str">
        <f t="shared" si="32"/>
        <v>04/08/19</v>
      </c>
      <c r="H734" t="str">
        <f t="shared" si="33"/>
        <v/>
      </c>
      <c r="I734" s="60" t="str">
        <f t="shared" si="34"/>
        <v/>
      </c>
      <c r="J734" t="str">
        <f t="shared" si="35"/>
        <v/>
      </c>
      <c r="K734" s="60" t="str">
        <f t="shared" si="36"/>
        <v/>
      </c>
      <c r="L734" t="str">
        <f t="shared" si="37"/>
        <v/>
      </c>
    </row>
    <row r="735" spans="1:12" x14ac:dyDescent="0.25">
      <c r="A735" t="s">
        <v>1809</v>
      </c>
      <c r="G735" t="str">
        <f t="shared" si="32"/>
        <v>04/08/19</v>
      </c>
      <c r="H735" t="str">
        <f t="shared" si="33"/>
        <v>New York Yankees</v>
      </c>
      <c r="I735" s="60">
        <f t="shared" si="34"/>
        <v>3</v>
      </c>
      <c r="J735" t="str">
        <f t="shared" si="35"/>
        <v>Houston Astros</v>
      </c>
      <c r="K735" s="60">
        <f t="shared" si="36"/>
        <v>4</v>
      </c>
      <c r="L735">
        <f t="shared" si="37"/>
        <v>-1</v>
      </c>
    </row>
    <row r="736" spans="1:12" x14ac:dyDescent="0.25">
      <c r="G736" t="str">
        <f t="shared" si="32"/>
        <v>04/08/19</v>
      </c>
      <c r="H736" t="str">
        <f t="shared" si="33"/>
        <v/>
      </c>
      <c r="I736" s="60" t="str">
        <f t="shared" si="34"/>
        <v/>
      </c>
      <c r="J736" t="str">
        <f t="shared" si="35"/>
        <v/>
      </c>
      <c r="K736" s="60" t="str">
        <f t="shared" si="36"/>
        <v/>
      </c>
      <c r="L736" t="str">
        <f t="shared" si="37"/>
        <v/>
      </c>
    </row>
    <row r="737" spans="1:12" x14ac:dyDescent="0.25">
      <c r="A737" t="s">
        <v>1810</v>
      </c>
      <c r="G737" t="str">
        <f t="shared" si="32"/>
        <v>04/08/19</v>
      </c>
      <c r="H737" t="str">
        <f t="shared" si="33"/>
        <v>Seattle Mariners</v>
      </c>
      <c r="I737" s="60">
        <f t="shared" si="34"/>
        <v>13</v>
      </c>
      <c r="J737" t="str">
        <f t="shared" si="35"/>
        <v>Kansas City Royals</v>
      </c>
      <c r="K737" s="60">
        <f t="shared" si="36"/>
        <v>5</v>
      </c>
      <c r="L737">
        <f t="shared" si="37"/>
        <v>8</v>
      </c>
    </row>
    <row r="738" spans="1:12" x14ac:dyDescent="0.25">
      <c r="G738" t="str">
        <f t="shared" ref="G738:G801" si="38">IF(ISNUMBER(MATCH(IFERROR(LEFT(A738,SEARCH(",",A738)-1),""),$G$220:$M$220,0)),TEXT(MID(A738,SEARCH(",",A738)+2,LEN(A738)),"mm/dd/yy"),G737)</f>
        <v>04/08/19</v>
      </c>
      <c r="H738" t="str">
        <f t="shared" si="33"/>
        <v/>
      </c>
      <c r="I738" s="60" t="str">
        <f t="shared" si="34"/>
        <v/>
      </c>
      <c r="J738" t="str">
        <f t="shared" si="35"/>
        <v/>
      </c>
      <c r="K738" s="60" t="str">
        <f t="shared" si="36"/>
        <v/>
      </c>
      <c r="L738" t="str">
        <f t="shared" si="37"/>
        <v/>
      </c>
    </row>
    <row r="739" spans="1:12" x14ac:dyDescent="0.25">
      <c r="A739" t="s">
        <v>1811</v>
      </c>
      <c r="G739" t="str">
        <f t="shared" si="38"/>
        <v>04/08/19</v>
      </c>
      <c r="H739" t="str">
        <f t="shared" si="33"/>
        <v>Washington Nationals</v>
      </c>
      <c r="I739" s="60">
        <f t="shared" si="34"/>
        <v>3</v>
      </c>
      <c r="J739" t="str">
        <f t="shared" si="35"/>
        <v>Philadelphia Phillies</v>
      </c>
      <c r="K739" s="60">
        <f t="shared" si="36"/>
        <v>4</v>
      </c>
      <c r="L739">
        <f t="shared" si="37"/>
        <v>-1</v>
      </c>
    </row>
    <row r="740" spans="1:12" x14ac:dyDescent="0.25">
      <c r="G740" t="str">
        <f t="shared" si="38"/>
        <v>04/08/19</v>
      </c>
      <c r="H740" t="str">
        <f t="shared" si="33"/>
        <v/>
      </c>
      <c r="I740" s="60" t="str">
        <f t="shared" si="34"/>
        <v/>
      </c>
      <c r="J740" t="str">
        <f t="shared" si="35"/>
        <v/>
      </c>
      <c r="K740" s="60" t="str">
        <f t="shared" si="36"/>
        <v/>
      </c>
      <c r="L740" t="str">
        <f t="shared" si="37"/>
        <v/>
      </c>
    </row>
    <row r="741" spans="1:12" x14ac:dyDescent="0.25">
      <c r="A741" t="s">
        <v>1812</v>
      </c>
      <c r="G741" t="str">
        <f t="shared" si="38"/>
        <v>04/08/19</v>
      </c>
      <c r="H741" t="str">
        <f t="shared" si="33"/>
        <v>San Diego Padres</v>
      </c>
      <c r="I741" s="60">
        <f t="shared" si="34"/>
        <v>6</v>
      </c>
      <c r="J741" t="str">
        <f t="shared" si="35"/>
        <v>San Francisco Giants</v>
      </c>
      <c r="K741" s="60">
        <f t="shared" si="36"/>
        <v>5</v>
      </c>
      <c r="L741">
        <f t="shared" si="37"/>
        <v>1</v>
      </c>
    </row>
    <row r="742" spans="1:12" x14ac:dyDescent="0.25">
      <c r="G742" t="str">
        <f t="shared" si="38"/>
        <v>04/08/19</v>
      </c>
      <c r="H742" t="str">
        <f t="shared" si="33"/>
        <v/>
      </c>
      <c r="I742" s="60" t="str">
        <f t="shared" si="34"/>
        <v/>
      </c>
      <c r="J742" t="str">
        <f t="shared" si="35"/>
        <v/>
      </c>
      <c r="K742" s="60" t="str">
        <f t="shared" si="36"/>
        <v/>
      </c>
      <c r="L742" t="str">
        <f t="shared" si="37"/>
        <v/>
      </c>
    </row>
    <row r="743" spans="1:12" x14ac:dyDescent="0.25">
      <c r="A743" t="s">
        <v>1813</v>
      </c>
      <c r="G743" t="str">
        <f t="shared" si="38"/>
        <v>04/08/19</v>
      </c>
      <c r="H743" t="str">
        <f t="shared" si="33"/>
        <v>Los Angeles Dodgers</v>
      </c>
      <c r="I743" s="60">
        <f t="shared" si="34"/>
        <v>3</v>
      </c>
      <c r="J743" t="str">
        <f t="shared" si="35"/>
        <v>St. Louis Cardinals</v>
      </c>
      <c r="K743" s="60">
        <f t="shared" si="36"/>
        <v>4</v>
      </c>
      <c r="L743">
        <f t="shared" si="37"/>
        <v>-1</v>
      </c>
    </row>
    <row r="744" spans="1:12" x14ac:dyDescent="0.25">
      <c r="G744" t="str">
        <f t="shared" si="38"/>
        <v>04/08/19</v>
      </c>
      <c r="H744" t="str">
        <f t="shared" si="33"/>
        <v/>
      </c>
      <c r="I744" s="60" t="str">
        <f t="shared" si="34"/>
        <v/>
      </c>
      <c r="J744" t="str">
        <f t="shared" si="35"/>
        <v/>
      </c>
      <c r="K744" s="60" t="str">
        <f t="shared" si="36"/>
        <v/>
      </c>
      <c r="L744" t="str">
        <f t="shared" si="37"/>
        <v/>
      </c>
    </row>
    <row r="745" spans="1:12" x14ac:dyDescent="0.25">
      <c r="A745" t="s">
        <v>1814</v>
      </c>
      <c r="G745" t="str">
        <f t="shared" si="38"/>
        <v>04/08/19</v>
      </c>
      <c r="H745" t="str">
        <f t="shared" si="33"/>
        <v/>
      </c>
      <c r="I745" s="60" t="str">
        <f t="shared" si="34"/>
        <v/>
      </c>
      <c r="J745" t="str">
        <f t="shared" si="35"/>
        <v/>
      </c>
      <c r="K745" s="60" t="str">
        <f t="shared" si="36"/>
        <v/>
      </c>
      <c r="L745" t="str">
        <f t="shared" si="37"/>
        <v/>
      </c>
    </row>
    <row r="746" spans="1:12" x14ac:dyDescent="0.25">
      <c r="G746" t="str">
        <f t="shared" si="38"/>
        <v>04/08/19</v>
      </c>
      <c r="H746" t="str">
        <f t="shared" si="33"/>
        <v/>
      </c>
      <c r="I746" s="60" t="str">
        <f t="shared" si="34"/>
        <v/>
      </c>
      <c r="J746" t="str">
        <f t="shared" si="35"/>
        <v/>
      </c>
      <c r="K746" s="60" t="str">
        <f t="shared" si="36"/>
        <v/>
      </c>
      <c r="L746" t="str">
        <f t="shared" si="37"/>
        <v/>
      </c>
    </row>
    <row r="747" spans="1:12" x14ac:dyDescent="0.25">
      <c r="A747" t="s">
        <v>1815</v>
      </c>
      <c r="G747" t="str">
        <f t="shared" si="38"/>
        <v>04/09/19</v>
      </c>
      <c r="H747" t="str">
        <f t="shared" si="33"/>
        <v/>
      </c>
      <c r="I747" s="60" t="str">
        <f t="shared" si="34"/>
        <v/>
      </c>
      <c r="J747" t="str">
        <f t="shared" si="35"/>
        <v/>
      </c>
      <c r="K747" s="60" t="str">
        <f t="shared" si="36"/>
        <v/>
      </c>
      <c r="L747" t="str">
        <f t="shared" si="37"/>
        <v/>
      </c>
    </row>
    <row r="748" spans="1:12" x14ac:dyDescent="0.25">
      <c r="G748" t="str">
        <f t="shared" si="38"/>
        <v>04/09/19</v>
      </c>
      <c r="H748" t="str">
        <f t="shared" si="33"/>
        <v/>
      </c>
      <c r="I748" s="60" t="str">
        <f t="shared" si="34"/>
        <v/>
      </c>
      <c r="J748" t="str">
        <f t="shared" si="35"/>
        <v/>
      </c>
      <c r="K748" s="60" t="str">
        <f t="shared" si="36"/>
        <v/>
      </c>
      <c r="L748" t="str">
        <f t="shared" si="37"/>
        <v/>
      </c>
    </row>
    <row r="749" spans="1:12" x14ac:dyDescent="0.25">
      <c r="A749" t="s">
        <v>1816</v>
      </c>
      <c r="G749" t="str">
        <f t="shared" si="38"/>
        <v>04/09/19</v>
      </c>
      <c r="H749" t="str">
        <f t="shared" si="33"/>
        <v>Milwaukee Brewers</v>
      </c>
      <c r="I749" s="60">
        <f t="shared" si="34"/>
        <v>8</v>
      </c>
      <c r="J749" t="str">
        <f t="shared" si="35"/>
        <v>Los Angeles Angels</v>
      </c>
      <c r="K749" s="60">
        <f t="shared" si="36"/>
        <v>11</v>
      </c>
      <c r="L749">
        <f t="shared" si="37"/>
        <v>-3</v>
      </c>
    </row>
    <row r="750" spans="1:12" x14ac:dyDescent="0.25">
      <c r="G750" t="str">
        <f t="shared" si="38"/>
        <v>04/09/19</v>
      </c>
      <c r="H750" t="str">
        <f t="shared" si="33"/>
        <v/>
      </c>
      <c r="I750" s="60" t="str">
        <f t="shared" si="34"/>
        <v/>
      </c>
      <c r="J750" t="str">
        <f t="shared" si="35"/>
        <v/>
      </c>
      <c r="K750" s="60" t="str">
        <f t="shared" si="36"/>
        <v/>
      </c>
      <c r="L750" t="str">
        <f t="shared" si="37"/>
        <v/>
      </c>
    </row>
    <row r="751" spans="1:12" x14ac:dyDescent="0.25">
      <c r="A751" t="s">
        <v>1817</v>
      </c>
      <c r="G751" t="str">
        <f t="shared" si="38"/>
        <v>04/09/19</v>
      </c>
      <c r="H751" t="str">
        <f t="shared" si="33"/>
        <v>Texas Rangers</v>
      </c>
      <c r="I751" s="60">
        <f t="shared" si="34"/>
        <v>4</v>
      </c>
      <c r="J751" t="str">
        <f t="shared" si="35"/>
        <v>Arizona D'Backs</v>
      </c>
      <c r="K751" s="60">
        <f t="shared" si="36"/>
        <v>5</v>
      </c>
      <c r="L751">
        <f t="shared" si="37"/>
        <v>-1</v>
      </c>
    </row>
    <row r="752" spans="1:12" x14ac:dyDescent="0.25">
      <c r="G752" t="str">
        <f t="shared" si="38"/>
        <v>04/09/19</v>
      </c>
      <c r="H752" t="str">
        <f t="shared" si="33"/>
        <v/>
      </c>
      <c r="I752" s="60" t="str">
        <f t="shared" si="34"/>
        <v/>
      </c>
      <c r="J752" t="str">
        <f t="shared" si="35"/>
        <v/>
      </c>
      <c r="K752" s="60" t="str">
        <f t="shared" si="36"/>
        <v/>
      </c>
      <c r="L752" t="str">
        <f t="shared" si="37"/>
        <v/>
      </c>
    </row>
    <row r="753" spans="1:12" x14ac:dyDescent="0.25">
      <c r="A753" t="s">
        <v>1818</v>
      </c>
      <c r="G753" t="str">
        <f t="shared" si="38"/>
        <v>04/09/19</v>
      </c>
      <c r="H753" t="str">
        <f t="shared" si="33"/>
        <v>Oakland Athletics</v>
      </c>
      <c r="I753" s="60">
        <f t="shared" si="34"/>
        <v>13</v>
      </c>
      <c r="J753" t="str">
        <f t="shared" si="35"/>
        <v>Baltimore Orioles</v>
      </c>
      <c r="K753" s="60">
        <f t="shared" si="36"/>
        <v>2</v>
      </c>
      <c r="L753">
        <f t="shared" si="37"/>
        <v>11</v>
      </c>
    </row>
    <row r="754" spans="1:12" x14ac:dyDescent="0.25">
      <c r="G754" t="str">
        <f t="shared" si="38"/>
        <v>04/09/19</v>
      </c>
      <c r="H754" t="str">
        <f t="shared" si="33"/>
        <v/>
      </c>
      <c r="I754" s="60" t="str">
        <f t="shared" si="34"/>
        <v/>
      </c>
      <c r="J754" t="str">
        <f t="shared" si="35"/>
        <v/>
      </c>
      <c r="K754" s="60" t="str">
        <f t="shared" si="36"/>
        <v/>
      </c>
      <c r="L754" t="str">
        <f t="shared" si="37"/>
        <v/>
      </c>
    </row>
    <row r="755" spans="1:12" x14ac:dyDescent="0.25">
      <c r="A755" t="s">
        <v>1819</v>
      </c>
      <c r="G755" t="str">
        <f t="shared" si="38"/>
        <v>04/09/19</v>
      </c>
      <c r="H755" t="str">
        <f t="shared" si="33"/>
        <v>Toronto Blue Jays</v>
      </c>
      <c r="I755" s="60">
        <f t="shared" si="34"/>
        <v>7</v>
      </c>
      <c r="J755" t="str">
        <f t="shared" si="35"/>
        <v>Boston Red Sox</v>
      </c>
      <c r="K755" s="60">
        <f t="shared" si="36"/>
        <v>5</v>
      </c>
      <c r="L755">
        <f t="shared" si="37"/>
        <v>2</v>
      </c>
    </row>
    <row r="756" spans="1:12" x14ac:dyDescent="0.25">
      <c r="G756" t="str">
        <f t="shared" si="38"/>
        <v>04/09/19</v>
      </c>
      <c r="H756" t="str">
        <f t="shared" si="33"/>
        <v/>
      </c>
      <c r="I756" s="60" t="str">
        <f t="shared" si="34"/>
        <v/>
      </c>
      <c r="J756" t="str">
        <f t="shared" si="35"/>
        <v/>
      </c>
      <c r="K756" s="60" t="str">
        <f t="shared" si="36"/>
        <v/>
      </c>
      <c r="L756" t="str">
        <f t="shared" si="37"/>
        <v/>
      </c>
    </row>
    <row r="757" spans="1:12" x14ac:dyDescent="0.25">
      <c r="A757" t="s">
        <v>1820</v>
      </c>
      <c r="G757" t="str">
        <f t="shared" si="38"/>
        <v>04/09/19</v>
      </c>
      <c r="H757" t="str">
        <f t="shared" si="33"/>
        <v>Tampa Bay Rays</v>
      </c>
      <c r="I757" s="60">
        <f t="shared" si="34"/>
        <v>10</v>
      </c>
      <c r="J757" t="str">
        <f t="shared" si="35"/>
        <v>Chicago White Sox</v>
      </c>
      <c r="K757" s="60">
        <f t="shared" si="36"/>
        <v>5</v>
      </c>
      <c r="L757">
        <f t="shared" si="37"/>
        <v>5</v>
      </c>
    </row>
    <row r="758" spans="1:12" x14ac:dyDescent="0.25">
      <c r="G758" t="str">
        <f t="shared" si="38"/>
        <v>04/09/19</v>
      </c>
      <c r="H758" t="str">
        <f t="shared" si="33"/>
        <v/>
      </c>
      <c r="I758" s="60" t="str">
        <f t="shared" si="34"/>
        <v/>
      </c>
      <c r="J758" t="str">
        <f t="shared" si="35"/>
        <v/>
      </c>
      <c r="K758" s="60" t="str">
        <f t="shared" si="36"/>
        <v/>
      </c>
      <c r="L758" t="str">
        <f t="shared" si="37"/>
        <v/>
      </c>
    </row>
    <row r="759" spans="1:12" x14ac:dyDescent="0.25">
      <c r="A759" t="s">
        <v>1821</v>
      </c>
      <c r="G759" t="str">
        <f t="shared" si="38"/>
        <v>04/09/19</v>
      </c>
      <c r="H759" t="str">
        <f t="shared" si="33"/>
        <v>Miami Marlins</v>
      </c>
      <c r="I759" s="60">
        <f t="shared" si="34"/>
        <v>0</v>
      </c>
      <c r="J759" t="str">
        <f t="shared" si="35"/>
        <v>Cincinnati Reds</v>
      </c>
      <c r="K759" s="60">
        <f t="shared" si="36"/>
        <v>14</v>
      </c>
      <c r="L759">
        <f t="shared" si="37"/>
        <v>-14</v>
      </c>
    </row>
    <row r="760" spans="1:12" x14ac:dyDescent="0.25">
      <c r="G760" t="str">
        <f t="shared" si="38"/>
        <v>04/09/19</v>
      </c>
      <c r="H760" t="str">
        <f t="shared" si="33"/>
        <v/>
      </c>
      <c r="I760" s="60" t="str">
        <f t="shared" si="34"/>
        <v/>
      </c>
      <c r="J760" t="str">
        <f t="shared" si="35"/>
        <v/>
      </c>
      <c r="K760" s="60" t="str">
        <f t="shared" si="36"/>
        <v/>
      </c>
      <c r="L760" t="str">
        <f t="shared" si="37"/>
        <v/>
      </c>
    </row>
    <row r="761" spans="1:12" x14ac:dyDescent="0.25">
      <c r="A761" t="s">
        <v>1822</v>
      </c>
      <c r="G761" t="str">
        <f t="shared" si="38"/>
        <v>04/09/19</v>
      </c>
      <c r="H761" t="str">
        <f t="shared" si="33"/>
        <v>Atlanta Braves</v>
      </c>
      <c r="I761" s="60">
        <f t="shared" si="34"/>
        <v>7</v>
      </c>
      <c r="J761" t="str">
        <f t="shared" si="35"/>
        <v>Colorado Rockies</v>
      </c>
      <c r="K761" s="60">
        <f t="shared" si="36"/>
        <v>1</v>
      </c>
      <c r="L761">
        <f t="shared" si="37"/>
        <v>6</v>
      </c>
    </row>
    <row r="762" spans="1:12" x14ac:dyDescent="0.25">
      <c r="G762" t="str">
        <f t="shared" si="38"/>
        <v>04/09/19</v>
      </c>
      <c r="H762" t="str">
        <f t="shared" si="33"/>
        <v/>
      </c>
      <c r="I762" s="60" t="str">
        <f t="shared" si="34"/>
        <v/>
      </c>
      <c r="J762" t="str">
        <f t="shared" si="35"/>
        <v/>
      </c>
      <c r="K762" s="60" t="str">
        <f t="shared" si="36"/>
        <v/>
      </c>
      <c r="L762" t="str">
        <f t="shared" si="37"/>
        <v/>
      </c>
    </row>
    <row r="763" spans="1:12" x14ac:dyDescent="0.25">
      <c r="A763" t="s">
        <v>1823</v>
      </c>
      <c r="G763" t="str">
        <f t="shared" si="38"/>
        <v>04/09/19</v>
      </c>
      <c r="H763" t="str">
        <f t="shared" si="33"/>
        <v>Cleveland Indians</v>
      </c>
      <c r="I763" s="60">
        <f t="shared" si="34"/>
        <v>8</v>
      </c>
      <c r="J763" t="str">
        <f t="shared" si="35"/>
        <v>Detroit Tigers</v>
      </c>
      <c r="K763" s="60">
        <f t="shared" si="36"/>
        <v>2</v>
      </c>
      <c r="L763">
        <f t="shared" si="37"/>
        <v>6</v>
      </c>
    </row>
    <row r="764" spans="1:12" x14ac:dyDescent="0.25">
      <c r="G764" t="str">
        <f t="shared" si="38"/>
        <v>04/09/19</v>
      </c>
      <c r="H764" t="str">
        <f t="shared" si="33"/>
        <v/>
      </c>
      <c r="I764" s="60" t="str">
        <f t="shared" si="34"/>
        <v/>
      </c>
      <c r="J764" t="str">
        <f t="shared" si="35"/>
        <v/>
      </c>
      <c r="K764" s="60" t="str">
        <f t="shared" si="36"/>
        <v/>
      </c>
      <c r="L764" t="str">
        <f t="shared" si="37"/>
        <v/>
      </c>
    </row>
    <row r="765" spans="1:12" x14ac:dyDescent="0.25">
      <c r="A765" t="s">
        <v>1824</v>
      </c>
      <c r="G765" t="str">
        <f t="shared" si="38"/>
        <v>04/09/19</v>
      </c>
      <c r="H765" t="str">
        <f t="shared" si="33"/>
        <v>New York Yankees</v>
      </c>
      <c r="I765" s="60">
        <f t="shared" si="34"/>
        <v>3</v>
      </c>
      <c r="J765" t="str">
        <f t="shared" si="35"/>
        <v>Houston Astros</v>
      </c>
      <c r="K765" s="60">
        <f t="shared" si="36"/>
        <v>6</v>
      </c>
      <c r="L765">
        <f t="shared" si="37"/>
        <v>-3</v>
      </c>
    </row>
    <row r="766" spans="1:12" x14ac:dyDescent="0.25">
      <c r="G766" t="str">
        <f t="shared" si="38"/>
        <v>04/09/19</v>
      </c>
      <c r="H766" t="str">
        <f t="shared" si="33"/>
        <v/>
      </c>
      <c r="I766" s="60" t="str">
        <f t="shared" si="34"/>
        <v/>
      </c>
      <c r="J766" t="str">
        <f t="shared" si="35"/>
        <v/>
      </c>
      <c r="K766" s="60" t="str">
        <f t="shared" si="36"/>
        <v/>
      </c>
      <c r="L766" t="str">
        <f t="shared" si="37"/>
        <v/>
      </c>
    </row>
    <row r="767" spans="1:12" x14ac:dyDescent="0.25">
      <c r="A767" t="s">
        <v>1825</v>
      </c>
      <c r="G767" t="str">
        <f t="shared" si="38"/>
        <v>04/09/19</v>
      </c>
      <c r="H767" t="str">
        <f t="shared" si="33"/>
        <v>Seattle Mariners</v>
      </c>
      <c r="I767" s="60">
        <f t="shared" si="34"/>
        <v>6</v>
      </c>
      <c r="J767" t="str">
        <f t="shared" si="35"/>
        <v>Kansas City Royals</v>
      </c>
      <c r="K767" s="60">
        <f t="shared" si="36"/>
        <v>3</v>
      </c>
      <c r="L767">
        <f t="shared" si="37"/>
        <v>3</v>
      </c>
    </row>
    <row r="768" spans="1:12" x14ac:dyDescent="0.25">
      <c r="G768" t="str">
        <f t="shared" si="38"/>
        <v>04/09/19</v>
      </c>
      <c r="H768" t="str">
        <f t="shared" si="33"/>
        <v/>
      </c>
      <c r="I768" s="60" t="str">
        <f t="shared" si="34"/>
        <v/>
      </c>
      <c r="J768" t="str">
        <f t="shared" si="35"/>
        <v/>
      </c>
      <c r="K768" s="60" t="str">
        <f t="shared" si="36"/>
        <v/>
      </c>
      <c r="L768" t="str">
        <f t="shared" si="37"/>
        <v/>
      </c>
    </row>
    <row r="769" spans="1:12" x14ac:dyDescent="0.25">
      <c r="A769" t="s">
        <v>1826</v>
      </c>
      <c r="G769" t="str">
        <f t="shared" si="38"/>
        <v>04/09/19</v>
      </c>
      <c r="H769" t="str">
        <f t="shared" si="33"/>
        <v>Minnesota Twins</v>
      </c>
      <c r="I769" s="60">
        <f t="shared" si="34"/>
        <v>14</v>
      </c>
      <c r="J769" t="str">
        <f t="shared" si="35"/>
        <v>New York Mets</v>
      </c>
      <c r="K769" s="60">
        <f t="shared" si="36"/>
        <v>8</v>
      </c>
      <c r="L769">
        <f t="shared" si="37"/>
        <v>6</v>
      </c>
    </row>
    <row r="770" spans="1:12" x14ac:dyDescent="0.25">
      <c r="G770" t="str">
        <f t="shared" si="38"/>
        <v>04/09/19</v>
      </c>
      <c r="H770" t="str">
        <f t="shared" si="33"/>
        <v/>
      </c>
      <c r="I770" s="60" t="str">
        <f t="shared" si="34"/>
        <v/>
      </c>
      <c r="J770" t="str">
        <f t="shared" si="35"/>
        <v/>
      </c>
      <c r="K770" s="60" t="str">
        <f t="shared" si="36"/>
        <v/>
      </c>
      <c r="L770" t="str">
        <f t="shared" si="37"/>
        <v/>
      </c>
    </row>
    <row r="771" spans="1:12" x14ac:dyDescent="0.25">
      <c r="A771" t="s">
        <v>1827</v>
      </c>
      <c r="G771" t="str">
        <f t="shared" si="38"/>
        <v>04/09/19</v>
      </c>
      <c r="H771" t="str">
        <f t="shared" si="33"/>
        <v>Washington Nationals</v>
      </c>
      <c r="I771" s="60">
        <f t="shared" si="34"/>
        <v>10</v>
      </c>
      <c r="J771" t="str">
        <f t="shared" si="35"/>
        <v>Philadelphia Phillies</v>
      </c>
      <c r="K771" s="60">
        <f t="shared" si="36"/>
        <v>6</v>
      </c>
      <c r="L771">
        <f t="shared" si="37"/>
        <v>4</v>
      </c>
    </row>
    <row r="772" spans="1:12" x14ac:dyDescent="0.25">
      <c r="G772" t="str">
        <f t="shared" si="38"/>
        <v>04/09/19</v>
      </c>
      <c r="H772" t="str">
        <f t="shared" si="33"/>
        <v/>
      </c>
      <c r="I772" s="60" t="str">
        <f t="shared" si="34"/>
        <v/>
      </c>
      <c r="J772" t="str">
        <f t="shared" si="35"/>
        <v/>
      </c>
      <c r="K772" s="60" t="str">
        <f t="shared" si="36"/>
        <v/>
      </c>
      <c r="L772" t="str">
        <f t="shared" si="37"/>
        <v/>
      </c>
    </row>
    <row r="773" spans="1:12" x14ac:dyDescent="0.25">
      <c r="A773" t="s">
        <v>1828</v>
      </c>
      <c r="G773" t="str">
        <f t="shared" si="38"/>
        <v>04/09/19</v>
      </c>
      <c r="H773" t="str">
        <f t="shared" si="33"/>
        <v>San Diego Padres</v>
      </c>
      <c r="I773" s="60">
        <f t="shared" si="34"/>
        <v>2</v>
      </c>
      <c r="J773" t="str">
        <f t="shared" si="35"/>
        <v>San Francisco Giants</v>
      </c>
      <c r="K773" s="60">
        <f t="shared" si="36"/>
        <v>7</v>
      </c>
      <c r="L773">
        <f t="shared" si="37"/>
        <v>-5</v>
      </c>
    </row>
    <row r="774" spans="1:12" x14ac:dyDescent="0.25">
      <c r="G774" t="str">
        <f t="shared" si="38"/>
        <v>04/09/19</v>
      </c>
      <c r="H774" t="str">
        <f t="shared" si="33"/>
        <v/>
      </c>
      <c r="I774" s="60" t="str">
        <f t="shared" si="34"/>
        <v/>
      </c>
      <c r="J774" t="str">
        <f t="shared" si="35"/>
        <v/>
      </c>
      <c r="K774" s="60" t="str">
        <f t="shared" si="36"/>
        <v/>
      </c>
      <c r="L774" t="str">
        <f t="shared" si="37"/>
        <v/>
      </c>
    </row>
    <row r="775" spans="1:12" x14ac:dyDescent="0.25">
      <c r="A775" t="s">
        <v>1829</v>
      </c>
      <c r="G775" t="str">
        <f t="shared" si="38"/>
        <v>04/09/19</v>
      </c>
      <c r="H775" t="str">
        <f t="shared" si="33"/>
        <v>Los Angeles Dodgers</v>
      </c>
      <c r="I775" s="60">
        <f t="shared" si="34"/>
        <v>0</v>
      </c>
      <c r="J775" t="str">
        <f t="shared" si="35"/>
        <v>St. Louis Cardinals</v>
      </c>
      <c r="K775" s="60">
        <f t="shared" si="36"/>
        <v>4</v>
      </c>
      <c r="L775">
        <f t="shared" si="37"/>
        <v>-4</v>
      </c>
    </row>
    <row r="776" spans="1:12" x14ac:dyDescent="0.25">
      <c r="G776" t="str">
        <f t="shared" si="38"/>
        <v>04/09/19</v>
      </c>
      <c r="H776" t="str">
        <f t="shared" si="33"/>
        <v/>
      </c>
      <c r="I776" s="60" t="str">
        <f t="shared" si="34"/>
        <v/>
      </c>
      <c r="J776" t="str">
        <f t="shared" si="35"/>
        <v/>
      </c>
      <c r="K776" s="60" t="str">
        <f t="shared" si="36"/>
        <v/>
      </c>
      <c r="L776" t="str">
        <f t="shared" si="37"/>
        <v/>
      </c>
    </row>
    <row r="777" spans="1:12" x14ac:dyDescent="0.25">
      <c r="A777" t="s">
        <v>1830</v>
      </c>
      <c r="G777" t="str">
        <f t="shared" si="38"/>
        <v>04/09/19</v>
      </c>
      <c r="H777" t="str">
        <f t="shared" si="33"/>
        <v/>
      </c>
      <c r="I777" s="60" t="str">
        <f t="shared" si="34"/>
        <v/>
      </c>
      <c r="J777" t="str">
        <f t="shared" si="35"/>
        <v/>
      </c>
      <c r="K777" s="60" t="str">
        <f t="shared" si="36"/>
        <v/>
      </c>
      <c r="L777" t="str">
        <f t="shared" si="37"/>
        <v/>
      </c>
    </row>
    <row r="778" spans="1:12" x14ac:dyDescent="0.25">
      <c r="G778" t="str">
        <f t="shared" si="38"/>
        <v>04/09/19</v>
      </c>
      <c r="H778" t="str">
        <f t="shared" si="33"/>
        <v/>
      </c>
      <c r="I778" s="60" t="str">
        <f t="shared" si="34"/>
        <v/>
      </c>
      <c r="J778" t="str">
        <f t="shared" si="35"/>
        <v/>
      </c>
      <c r="K778" s="60" t="str">
        <f t="shared" si="36"/>
        <v/>
      </c>
      <c r="L778" t="str">
        <f t="shared" si="37"/>
        <v/>
      </c>
    </row>
    <row r="779" spans="1:12" x14ac:dyDescent="0.25">
      <c r="A779" t="s">
        <v>1831</v>
      </c>
      <c r="G779" t="str">
        <f t="shared" si="38"/>
        <v>04/10/19</v>
      </c>
      <c r="H779" t="str">
        <f t="shared" si="33"/>
        <v/>
      </c>
      <c r="I779" s="60" t="str">
        <f t="shared" si="34"/>
        <v/>
      </c>
      <c r="J779" t="str">
        <f t="shared" si="35"/>
        <v/>
      </c>
      <c r="K779" s="60" t="str">
        <f t="shared" si="36"/>
        <v/>
      </c>
      <c r="L779" t="str">
        <f t="shared" si="37"/>
        <v/>
      </c>
    </row>
    <row r="780" spans="1:12" x14ac:dyDescent="0.25">
      <c r="G780" t="str">
        <f t="shared" si="38"/>
        <v>04/10/19</v>
      </c>
      <c r="H780" t="str">
        <f t="shared" si="33"/>
        <v/>
      </c>
      <c r="I780" s="60" t="str">
        <f t="shared" si="34"/>
        <v/>
      </c>
      <c r="J780" t="str">
        <f t="shared" si="35"/>
        <v/>
      </c>
      <c r="K780" s="60" t="str">
        <f t="shared" si="36"/>
        <v/>
      </c>
      <c r="L780" t="str">
        <f t="shared" si="37"/>
        <v/>
      </c>
    </row>
    <row r="781" spans="1:12" x14ac:dyDescent="0.25">
      <c r="A781" t="s">
        <v>1832</v>
      </c>
      <c r="G781" t="str">
        <f t="shared" si="38"/>
        <v>04/10/19</v>
      </c>
      <c r="H781" t="str">
        <f t="shared" si="33"/>
        <v>Milwaukee Brewers</v>
      </c>
      <c r="I781" s="60">
        <f t="shared" si="34"/>
        <v>2</v>
      </c>
      <c r="J781" t="str">
        <f t="shared" si="35"/>
        <v>Los Angeles Angels</v>
      </c>
      <c r="K781" s="60">
        <f t="shared" si="36"/>
        <v>4</v>
      </c>
      <c r="L781">
        <f t="shared" si="37"/>
        <v>-2</v>
      </c>
    </row>
    <row r="782" spans="1:12" x14ac:dyDescent="0.25">
      <c r="G782" t="str">
        <f t="shared" si="38"/>
        <v>04/10/19</v>
      </c>
      <c r="H782" t="str">
        <f t="shared" si="33"/>
        <v/>
      </c>
      <c r="I782" s="60" t="str">
        <f t="shared" si="34"/>
        <v/>
      </c>
      <c r="J782" t="str">
        <f t="shared" si="35"/>
        <v/>
      </c>
      <c r="K782" s="60" t="str">
        <f t="shared" si="36"/>
        <v/>
      </c>
      <c r="L782" t="str">
        <f t="shared" si="37"/>
        <v/>
      </c>
    </row>
    <row r="783" spans="1:12" x14ac:dyDescent="0.25">
      <c r="A783" t="s">
        <v>1833</v>
      </c>
      <c r="G783" t="str">
        <f t="shared" si="38"/>
        <v>04/10/19</v>
      </c>
      <c r="H783" t="str">
        <f t="shared" si="33"/>
        <v>Texas Rangers</v>
      </c>
      <c r="I783" s="60">
        <f t="shared" si="34"/>
        <v>5</v>
      </c>
      <c r="J783" t="str">
        <f t="shared" si="35"/>
        <v>Arizona D'Backs</v>
      </c>
      <c r="K783" s="60">
        <f t="shared" si="36"/>
        <v>2</v>
      </c>
      <c r="L783">
        <f t="shared" si="37"/>
        <v>3</v>
      </c>
    </row>
    <row r="784" spans="1:12" x14ac:dyDescent="0.25">
      <c r="G784" t="str">
        <f t="shared" si="38"/>
        <v>04/10/19</v>
      </c>
      <c r="H784" t="str">
        <f t="shared" ref="H784:H847" si="39">IFERROR(LEFT(MID(A784,1,SEARCH("@",A784)-2),SEARCH("(",A784)-2),"")</f>
        <v/>
      </c>
      <c r="I784" s="60" t="str">
        <f t="shared" ref="I784:I847" si="40">IFERROR(VALUE(MID(A784,SEARCH("(",A784)+1,SEARCH(")",A784)-SEARCH("(",A784)-1)),"")</f>
        <v/>
      </c>
      <c r="J784" t="str">
        <f t="shared" ref="J784:J847" si="41">IFERROR(MID(A784,SEARCH("@",A784)+2,SEARCH("(",A784,SEARCH("@",A784))-SEARCH("@",A784)-3),"")</f>
        <v/>
      </c>
      <c r="K784" s="60" t="str">
        <f t="shared" ref="K784:K847" si="42">IFERROR(VALUE(MID(A784,SEARCH(J784,A784)+LEN(J784)+2,(SEARCH(")",A784,SEARCH("@",A784))-SEARCH("(",A784,SEARCH("@",A784))-1))),"")</f>
        <v/>
      </c>
      <c r="L784" t="str">
        <f t="shared" ref="L784:L847" si="43">IFERROR(I784-K784,"")</f>
        <v/>
      </c>
    </row>
    <row r="785" spans="1:12" x14ac:dyDescent="0.25">
      <c r="A785" t="s">
        <v>1834</v>
      </c>
      <c r="G785" t="str">
        <f t="shared" si="38"/>
        <v>04/10/19</v>
      </c>
      <c r="H785" t="str">
        <f t="shared" si="39"/>
        <v>Oakland Athletics</v>
      </c>
      <c r="I785" s="60">
        <f t="shared" si="40"/>
        <v>10</v>
      </c>
      <c r="J785" t="str">
        <f t="shared" si="41"/>
        <v>Baltimore Orioles</v>
      </c>
      <c r="K785" s="60">
        <f t="shared" si="42"/>
        <v>3</v>
      </c>
      <c r="L785">
        <f t="shared" si="43"/>
        <v>7</v>
      </c>
    </row>
    <row r="786" spans="1:12" x14ac:dyDescent="0.25">
      <c r="G786" t="str">
        <f t="shared" si="38"/>
        <v>04/10/19</v>
      </c>
      <c r="H786" t="str">
        <f t="shared" si="39"/>
        <v/>
      </c>
      <c r="I786" s="60" t="str">
        <f t="shared" si="40"/>
        <v/>
      </c>
      <c r="J786" t="str">
        <f t="shared" si="41"/>
        <v/>
      </c>
      <c r="K786" s="60" t="str">
        <f t="shared" si="42"/>
        <v/>
      </c>
      <c r="L786" t="str">
        <f t="shared" si="43"/>
        <v/>
      </c>
    </row>
    <row r="787" spans="1:12" x14ac:dyDescent="0.25">
      <c r="A787" t="s">
        <v>1835</v>
      </c>
      <c r="G787" t="str">
        <f t="shared" si="38"/>
        <v>04/10/19</v>
      </c>
      <c r="H787" t="str">
        <f t="shared" si="39"/>
        <v>Tampa Bay Rays</v>
      </c>
      <c r="I787" s="60">
        <f t="shared" si="40"/>
        <v>9</v>
      </c>
      <c r="J787" t="str">
        <f t="shared" si="41"/>
        <v>Chicago White Sox</v>
      </c>
      <c r="K787" s="60">
        <f t="shared" si="42"/>
        <v>1</v>
      </c>
      <c r="L787">
        <f t="shared" si="43"/>
        <v>8</v>
      </c>
    </row>
    <row r="788" spans="1:12" x14ac:dyDescent="0.25">
      <c r="G788" t="str">
        <f t="shared" si="38"/>
        <v>04/10/19</v>
      </c>
      <c r="H788" t="str">
        <f t="shared" si="39"/>
        <v/>
      </c>
      <c r="I788" s="60" t="str">
        <f t="shared" si="40"/>
        <v/>
      </c>
      <c r="J788" t="str">
        <f t="shared" si="41"/>
        <v/>
      </c>
      <c r="K788" s="60" t="str">
        <f t="shared" si="42"/>
        <v/>
      </c>
      <c r="L788" t="str">
        <f t="shared" si="43"/>
        <v/>
      </c>
    </row>
    <row r="789" spans="1:12" x14ac:dyDescent="0.25">
      <c r="A789" t="s">
        <v>1836</v>
      </c>
      <c r="G789" t="str">
        <f t="shared" si="38"/>
        <v>04/10/19</v>
      </c>
      <c r="H789" t="str">
        <f t="shared" si="39"/>
        <v>Pittsburgh Pirates</v>
      </c>
      <c r="I789" s="60">
        <f t="shared" si="40"/>
        <v>5</v>
      </c>
      <c r="J789" t="str">
        <f t="shared" si="41"/>
        <v>Chicago Cubs</v>
      </c>
      <c r="K789" s="60">
        <f t="shared" si="42"/>
        <v>2</v>
      </c>
      <c r="L789">
        <f t="shared" si="43"/>
        <v>3</v>
      </c>
    </row>
    <row r="790" spans="1:12" x14ac:dyDescent="0.25">
      <c r="G790" t="str">
        <f t="shared" si="38"/>
        <v>04/10/19</v>
      </c>
      <c r="H790" t="str">
        <f t="shared" si="39"/>
        <v/>
      </c>
      <c r="I790" s="60" t="str">
        <f t="shared" si="40"/>
        <v/>
      </c>
      <c r="J790" t="str">
        <f t="shared" si="41"/>
        <v/>
      </c>
      <c r="K790" s="60" t="str">
        <f t="shared" si="42"/>
        <v/>
      </c>
      <c r="L790" t="str">
        <f t="shared" si="43"/>
        <v/>
      </c>
    </row>
    <row r="791" spans="1:12" x14ac:dyDescent="0.25">
      <c r="A791" t="s">
        <v>1837</v>
      </c>
      <c r="G791" t="str">
        <f t="shared" si="38"/>
        <v>04/10/19</v>
      </c>
      <c r="H791" t="str">
        <f t="shared" si="39"/>
        <v>Miami Marlins</v>
      </c>
      <c r="I791" s="60">
        <f t="shared" si="40"/>
        <v>1</v>
      </c>
      <c r="J791" t="str">
        <f t="shared" si="41"/>
        <v>Cincinnati Reds</v>
      </c>
      <c r="K791" s="60">
        <f t="shared" si="42"/>
        <v>2</v>
      </c>
      <c r="L791">
        <f t="shared" si="43"/>
        <v>-1</v>
      </c>
    </row>
    <row r="792" spans="1:12" x14ac:dyDescent="0.25">
      <c r="G792" t="str">
        <f t="shared" si="38"/>
        <v>04/10/19</v>
      </c>
      <c r="H792" t="str">
        <f t="shared" si="39"/>
        <v/>
      </c>
      <c r="I792" s="60" t="str">
        <f t="shared" si="40"/>
        <v/>
      </c>
      <c r="J792" t="str">
        <f t="shared" si="41"/>
        <v/>
      </c>
      <c r="K792" s="60" t="str">
        <f t="shared" si="42"/>
        <v/>
      </c>
      <c r="L792" t="str">
        <f t="shared" si="43"/>
        <v/>
      </c>
    </row>
    <row r="793" spans="1:12" x14ac:dyDescent="0.25">
      <c r="A793" t="s">
        <v>1838</v>
      </c>
      <c r="G793" t="str">
        <f t="shared" si="38"/>
        <v>04/10/19</v>
      </c>
      <c r="H793" t="str">
        <f t="shared" si="39"/>
        <v>Cleveland Indians</v>
      </c>
      <c r="I793" s="60">
        <f t="shared" si="40"/>
        <v>1</v>
      </c>
      <c r="J793" t="str">
        <f t="shared" si="41"/>
        <v>Detroit Tigers</v>
      </c>
      <c r="K793" s="60">
        <f t="shared" si="42"/>
        <v>4</v>
      </c>
      <c r="L793">
        <f t="shared" si="43"/>
        <v>-3</v>
      </c>
    </row>
    <row r="794" spans="1:12" x14ac:dyDescent="0.25">
      <c r="G794" t="str">
        <f t="shared" si="38"/>
        <v>04/10/19</v>
      </c>
      <c r="H794" t="str">
        <f t="shared" si="39"/>
        <v/>
      </c>
      <c r="I794" s="60" t="str">
        <f t="shared" si="40"/>
        <v/>
      </c>
      <c r="J794" t="str">
        <f t="shared" si="41"/>
        <v/>
      </c>
      <c r="K794" s="60" t="str">
        <f t="shared" si="42"/>
        <v/>
      </c>
      <c r="L794" t="str">
        <f t="shared" si="43"/>
        <v/>
      </c>
    </row>
    <row r="795" spans="1:12" x14ac:dyDescent="0.25">
      <c r="A795" t="s">
        <v>1839</v>
      </c>
      <c r="G795" t="str">
        <f t="shared" si="38"/>
        <v>04/10/19</v>
      </c>
      <c r="H795" t="str">
        <f t="shared" si="39"/>
        <v>New York Yankees</v>
      </c>
      <c r="I795" s="60">
        <f t="shared" si="40"/>
        <v>6</v>
      </c>
      <c r="J795" t="str">
        <f t="shared" si="41"/>
        <v>Houston Astros</v>
      </c>
      <c r="K795" s="60">
        <f t="shared" si="42"/>
        <v>8</v>
      </c>
      <c r="L795">
        <f t="shared" si="43"/>
        <v>-2</v>
      </c>
    </row>
    <row r="796" spans="1:12" x14ac:dyDescent="0.25">
      <c r="G796" t="str">
        <f t="shared" si="38"/>
        <v>04/10/19</v>
      </c>
      <c r="H796" t="str">
        <f t="shared" si="39"/>
        <v/>
      </c>
      <c r="I796" s="60" t="str">
        <f t="shared" si="40"/>
        <v/>
      </c>
      <c r="J796" t="str">
        <f t="shared" si="41"/>
        <v/>
      </c>
      <c r="K796" s="60" t="str">
        <f t="shared" si="42"/>
        <v/>
      </c>
      <c r="L796" t="str">
        <f t="shared" si="43"/>
        <v/>
      </c>
    </row>
    <row r="797" spans="1:12" x14ac:dyDescent="0.25">
      <c r="A797" t="s">
        <v>1840</v>
      </c>
      <c r="G797" t="str">
        <f t="shared" si="38"/>
        <v>04/10/19</v>
      </c>
      <c r="H797" t="str">
        <f t="shared" si="39"/>
        <v>Seattle Mariners</v>
      </c>
      <c r="I797" s="60">
        <f t="shared" si="40"/>
        <v>6</v>
      </c>
      <c r="J797" t="str">
        <f t="shared" si="41"/>
        <v>Kansas City Royals</v>
      </c>
      <c r="K797" s="60">
        <f t="shared" si="42"/>
        <v>5</v>
      </c>
      <c r="L797">
        <f t="shared" si="43"/>
        <v>1</v>
      </c>
    </row>
    <row r="798" spans="1:12" x14ac:dyDescent="0.25">
      <c r="G798" t="str">
        <f t="shared" si="38"/>
        <v>04/10/19</v>
      </c>
      <c r="H798" t="str">
        <f t="shared" si="39"/>
        <v/>
      </c>
      <c r="I798" s="60" t="str">
        <f t="shared" si="40"/>
        <v/>
      </c>
      <c r="J798" t="str">
        <f t="shared" si="41"/>
        <v/>
      </c>
      <c r="K798" s="60" t="str">
        <f t="shared" si="42"/>
        <v/>
      </c>
      <c r="L798" t="str">
        <f t="shared" si="43"/>
        <v/>
      </c>
    </row>
    <row r="799" spans="1:12" x14ac:dyDescent="0.25">
      <c r="A799" t="s">
        <v>1841</v>
      </c>
      <c r="G799" t="str">
        <f t="shared" si="38"/>
        <v>04/10/19</v>
      </c>
      <c r="H799" t="str">
        <f t="shared" si="39"/>
        <v>Minnesota Twins</v>
      </c>
      <c r="I799" s="60">
        <f t="shared" si="40"/>
        <v>6</v>
      </c>
      <c r="J799" t="str">
        <f t="shared" si="41"/>
        <v>New York Mets</v>
      </c>
      <c r="K799" s="60">
        <f t="shared" si="42"/>
        <v>9</v>
      </c>
      <c r="L799">
        <f t="shared" si="43"/>
        <v>-3</v>
      </c>
    </row>
    <row r="800" spans="1:12" x14ac:dyDescent="0.25">
      <c r="G800" t="str">
        <f t="shared" si="38"/>
        <v>04/10/19</v>
      </c>
      <c r="H800" t="str">
        <f t="shared" si="39"/>
        <v/>
      </c>
      <c r="I800" s="60" t="str">
        <f t="shared" si="40"/>
        <v/>
      </c>
      <c r="J800" t="str">
        <f t="shared" si="41"/>
        <v/>
      </c>
      <c r="K800" s="60" t="str">
        <f t="shared" si="42"/>
        <v/>
      </c>
      <c r="L800" t="str">
        <f t="shared" si="43"/>
        <v/>
      </c>
    </row>
    <row r="801" spans="1:12" x14ac:dyDescent="0.25">
      <c r="A801" t="s">
        <v>1842</v>
      </c>
      <c r="G801" t="str">
        <f t="shared" si="38"/>
        <v>04/10/19</v>
      </c>
      <c r="H801" t="str">
        <f t="shared" si="39"/>
        <v>Washington Nationals</v>
      </c>
      <c r="I801" s="60">
        <f t="shared" si="40"/>
        <v>15</v>
      </c>
      <c r="J801" t="str">
        <f t="shared" si="41"/>
        <v>Philadelphia Phillies</v>
      </c>
      <c r="K801" s="60">
        <f t="shared" si="42"/>
        <v>1</v>
      </c>
      <c r="L801">
        <f t="shared" si="43"/>
        <v>14</v>
      </c>
    </row>
    <row r="802" spans="1:12" x14ac:dyDescent="0.25">
      <c r="G802" t="str">
        <f t="shared" ref="G802:G865" si="44">IF(ISNUMBER(MATCH(IFERROR(LEFT(A802,SEARCH(",",A802)-1),""),$G$220:$M$220,0)),TEXT(MID(A802,SEARCH(",",A802)+2,LEN(A802)),"mm/dd/yy"),G801)</f>
        <v>04/10/19</v>
      </c>
      <c r="H802" t="str">
        <f t="shared" si="39"/>
        <v/>
      </c>
      <c r="I802" s="60" t="str">
        <f t="shared" si="40"/>
        <v/>
      </c>
      <c r="J802" t="str">
        <f t="shared" si="41"/>
        <v/>
      </c>
      <c r="K802" s="60" t="str">
        <f t="shared" si="42"/>
        <v/>
      </c>
      <c r="L802" t="str">
        <f t="shared" si="43"/>
        <v/>
      </c>
    </row>
    <row r="803" spans="1:12" x14ac:dyDescent="0.25">
      <c r="A803" t="s">
        <v>1843</v>
      </c>
      <c r="G803" t="str">
        <f t="shared" si="44"/>
        <v>04/10/19</v>
      </c>
      <c r="H803" t="str">
        <f t="shared" si="39"/>
        <v>San Diego Padres</v>
      </c>
      <c r="I803" s="60">
        <f t="shared" si="40"/>
        <v>3</v>
      </c>
      <c r="J803" t="str">
        <f t="shared" si="41"/>
        <v>San Francisco Giants</v>
      </c>
      <c r="K803" s="60">
        <f t="shared" si="42"/>
        <v>1</v>
      </c>
      <c r="L803">
        <f t="shared" si="43"/>
        <v>2</v>
      </c>
    </row>
    <row r="804" spans="1:12" x14ac:dyDescent="0.25">
      <c r="G804" t="str">
        <f t="shared" si="44"/>
        <v>04/10/19</v>
      </c>
      <c r="H804" t="str">
        <f t="shared" si="39"/>
        <v/>
      </c>
      <c r="I804" s="60" t="str">
        <f t="shared" si="40"/>
        <v/>
      </c>
      <c r="J804" t="str">
        <f t="shared" si="41"/>
        <v/>
      </c>
      <c r="K804" s="60" t="str">
        <f t="shared" si="42"/>
        <v/>
      </c>
      <c r="L804" t="str">
        <f t="shared" si="43"/>
        <v/>
      </c>
    </row>
    <row r="805" spans="1:12" x14ac:dyDescent="0.25">
      <c r="A805" t="s">
        <v>1844</v>
      </c>
      <c r="G805" t="str">
        <f t="shared" si="44"/>
        <v>04/10/19</v>
      </c>
      <c r="H805" t="str">
        <f t="shared" si="39"/>
        <v>Los Angeles Dodgers</v>
      </c>
      <c r="I805" s="60">
        <f t="shared" si="40"/>
        <v>2</v>
      </c>
      <c r="J805" t="str">
        <f t="shared" si="41"/>
        <v>St. Louis Cardinals</v>
      </c>
      <c r="K805" s="60">
        <f t="shared" si="42"/>
        <v>7</v>
      </c>
      <c r="L805">
        <f t="shared" si="43"/>
        <v>-5</v>
      </c>
    </row>
    <row r="806" spans="1:12" x14ac:dyDescent="0.25">
      <c r="G806" t="str">
        <f t="shared" si="44"/>
        <v>04/10/19</v>
      </c>
      <c r="H806" t="str">
        <f t="shared" si="39"/>
        <v/>
      </c>
      <c r="I806" s="60" t="str">
        <f t="shared" si="40"/>
        <v/>
      </c>
      <c r="J806" t="str">
        <f t="shared" si="41"/>
        <v/>
      </c>
      <c r="K806" s="60" t="str">
        <f t="shared" si="42"/>
        <v/>
      </c>
      <c r="L806" t="str">
        <f t="shared" si="43"/>
        <v/>
      </c>
    </row>
    <row r="807" spans="1:12" x14ac:dyDescent="0.25">
      <c r="A807" t="s">
        <v>1845</v>
      </c>
      <c r="G807" t="str">
        <f t="shared" si="44"/>
        <v>04/10/19</v>
      </c>
      <c r="H807" t="str">
        <f t="shared" si="39"/>
        <v/>
      </c>
      <c r="I807" s="60" t="str">
        <f t="shared" si="40"/>
        <v/>
      </c>
      <c r="J807" t="str">
        <f t="shared" si="41"/>
        <v/>
      </c>
      <c r="K807" s="60" t="str">
        <f t="shared" si="42"/>
        <v/>
      </c>
      <c r="L807" t="str">
        <f t="shared" si="43"/>
        <v/>
      </c>
    </row>
    <row r="808" spans="1:12" x14ac:dyDescent="0.25">
      <c r="G808" t="str">
        <f t="shared" si="44"/>
        <v>04/10/19</v>
      </c>
      <c r="H808" t="str">
        <f t="shared" si="39"/>
        <v/>
      </c>
      <c r="I808" s="60" t="str">
        <f t="shared" si="40"/>
        <v/>
      </c>
      <c r="J808" t="str">
        <f t="shared" si="41"/>
        <v/>
      </c>
      <c r="K808" s="60" t="str">
        <f t="shared" si="42"/>
        <v/>
      </c>
      <c r="L808" t="str">
        <f t="shared" si="43"/>
        <v/>
      </c>
    </row>
    <row r="809" spans="1:12" x14ac:dyDescent="0.25">
      <c r="A809" t="s">
        <v>1846</v>
      </c>
      <c r="G809" t="str">
        <f t="shared" si="44"/>
        <v>04/11/19</v>
      </c>
      <c r="H809" t="str">
        <f t="shared" si="39"/>
        <v/>
      </c>
      <c r="I809" s="60" t="str">
        <f t="shared" si="40"/>
        <v/>
      </c>
      <c r="J809" t="str">
        <f t="shared" si="41"/>
        <v/>
      </c>
      <c r="K809" s="60" t="str">
        <f t="shared" si="42"/>
        <v/>
      </c>
      <c r="L809" t="str">
        <f t="shared" si="43"/>
        <v/>
      </c>
    </row>
    <row r="810" spans="1:12" x14ac:dyDescent="0.25">
      <c r="G810" t="str">
        <f t="shared" si="44"/>
        <v>04/11/19</v>
      </c>
      <c r="H810" t="str">
        <f t="shared" si="39"/>
        <v/>
      </c>
      <c r="I810" s="60" t="str">
        <f t="shared" si="40"/>
        <v/>
      </c>
      <c r="J810" t="str">
        <f t="shared" si="41"/>
        <v/>
      </c>
      <c r="K810" s="60" t="str">
        <f t="shared" si="42"/>
        <v/>
      </c>
      <c r="L810" t="str">
        <f t="shared" si="43"/>
        <v/>
      </c>
    </row>
    <row r="811" spans="1:12" x14ac:dyDescent="0.25">
      <c r="A811" t="s">
        <v>1847</v>
      </c>
      <c r="G811" t="str">
        <f t="shared" si="44"/>
        <v>04/11/19</v>
      </c>
      <c r="H811" t="str">
        <f t="shared" si="39"/>
        <v>San Diego Padres</v>
      </c>
      <c r="I811" s="60">
        <f t="shared" si="40"/>
        <v>7</v>
      </c>
      <c r="J811" t="str">
        <f t="shared" si="41"/>
        <v>Arizona D'Backs</v>
      </c>
      <c r="K811" s="60">
        <f t="shared" si="42"/>
        <v>6</v>
      </c>
      <c r="L811">
        <f t="shared" si="43"/>
        <v>1</v>
      </c>
    </row>
    <row r="812" spans="1:12" x14ac:dyDescent="0.25">
      <c r="G812" t="str">
        <f t="shared" si="44"/>
        <v>04/11/19</v>
      </c>
      <c r="H812" t="str">
        <f t="shared" si="39"/>
        <v/>
      </c>
      <c r="I812" s="60" t="str">
        <f t="shared" si="40"/>
        <v/>
      </c>
      <c r="J812" t="str">
        <f t="shared" si="41"/>
        <v/>
      </c>
      <c r="K812" s="60" t="str">
        <f t="shared" si="42"/>
        <v/>
      </c>
      <c r="L812" t="str">
        <f t="shared" si="43"/>
        <v/>
      </c>
    </row>
    <row r="813" spans="1:12" x14ac:dyDescent="0.25">
      <c r="A813" t="s">
        <v>1848</v>
      </c>
      <c r="G813" t="str">
        <f t="shared" si="44"/>
        <v>04/11/19</v>
      </c>
      <c r="H813" t="str">
        <f t="shared" si="39"/>
        <v>New York Mets</v>
      </c>
      <c r="I813" s="60">
        <f t="shared" si="40"/>
        <v>6</v>
      </c>
      <c r="J813" t="str">
        <f t="shared" si="41"/>
        <v>Atlanta Braves</v>
      </c>
      <c r="K813" s="60">
        <f t="shared" si="42"/>
        <v>3</v>
      </c>
      <c r="L813">
        <f t="shared" si="43"/>
        <v>3</v>
      </c>
    </row>
    <row r="814" spans="1:12" x14ac:dyDescent="0.25">
      <c r="G814" t="str">
        <f t="shared" si="44"/>
        <v>04/11/19</v>
      </c>
      <c r="H814" t="str">
        <f t="shared" si="39"/>
        <v/>
      </c>
      <c r="I814" s="60" t="str">
        <f t="shared" si="40"/>
        <v/>
      </c>
      <c r="J814" t="str">
        <f t="shared" si="41"/>
        <v/>
      </c>
      <c r="K814" s="60" t="str">
        <f t="shared" si="42"/>
        <v/>
      </c>
      <c r="L814" t="str">
        <f t="shared" si="43"/>
        <v/>
      </c>
    </row>
    <row r="815" spans="1:12" x14ac:dyDescent="0.25">
      <c r="A815" t="s">
        <v>1849</v>
      </c>
      <c r="G815" t="str">
        <f t="shared" si="44"/>
        <v>04/11/19</v>
      </c>
      <c r="H815" t="str">
        <f t="shared" si="39"/>
        <v>Oakland Athletics</v>
      </c>
      <c r="I815" s="60">
        <f t="shared" si="40"/>
        <v>8</v>
      </c>
      <c r="J815" t="str">
        <f t="shared" si="41"/>
        <v>Baltimore Orioles</v>
      </c>
      <c r="K815" s="60">
        <f t="shared" si="42"/>
        <v>5</v>
      </c>
      <c r="L815">
        <f t="shared" si="43"/>
        <v>3</v>
      </c>
    </row>
    <row r="816" spans="1:12" x14ac:dyDescent="0.25">
      <c r="G816" t="str">
        <f t="shared" si="44"/>
        <v>04/11/19</v>
      </c>
      <c r="H816" t="str">
        <f t="shared" si="39"/>
        <v/>
      </c>
      <c r="I816" s="60" t="str">
        <f t="shared" si="40"/>
        <v/>
      </c>
      <c r="J816" t="str">
        <f t="shared" si="41"/>
        <v/>
      </c>
      <c r="K816" s="60" t="str">
        <f t="shared" si="42"/>
        <v/>
      </c>
      <c r="L816" t="str">
        <f t="shared" si="43"/>
        <v/>
      </c>
    </row>
    <row r="817" spans="1:12" x14ac:dyDescent="0.25">
      <c r="A817" t="s">
        <v>1850</v>
      </c>
      <c r="G817" t="str">
        <f t="shared" si="44"/>
        <v>04/11/19</v>
      </c>
      <c r="H817" t="str">
        <f t="shared" si="39"/>
        <v>Toronto Blue Jays</v>
      </c>
      <c r="I817" s="60">
        <f t="shared" si="40"/>
        <v>6</v>
      </c>
      <c r="J817" t="str">
        <f t="shared" si="41"/>
        <v>Boston Red Sox</v>
      </c>
      <c r="K817" s="60">
        <f t="shared" si="42"/>
        <v>7</v>
      </c>
      <c r="L817">
        <f t="shared" si="43"/>
        <v>-1</v>
      </c>
    </row>
    <row r="818" spans="1:12" x14ac:dyDescent="0.25">
      <c r="G818" t="str">
        <f t="shared" si="44"/>
        <v>04/11/19</v>
      </c>
      <c r="H818" t="str">
        <f t="shared" si="39"/>
        <v/>
      </c>
      <c r="I818" s="60" t="str">
        <f t="shared" si="40"/>
        <v/>
      </c>
      <c r="J818" t="str">
        <f t="shared" si="41"/>
        <v/>
      </c>
      <c r="K818" s="60" t="str">
        <f t="shared" si="42"/>
        <v/>
      </c>
      <c r="L818" t="str">
        <f t="shared" si="43"/>
        <v/>
      </c>
    </row>
    <row r="819" spans="1:12" x14ac:dyDescent="0.25">
      <c r="A819" t="s">
        <v>1851</v>
      </c>
      <c r="G819" t="str">
        <f t="shared" si="44"/>
        <v>04/11/19</v>
      </c>
      <c r="H819" t="str">
        <f t="shared" si="39"/>
        <v>Pittsburgh Pirates</v>
      </c>
      <c r="I819" s="60">
        <f t="shared" si="40"/>
        <v>0</v>
      </c>
      <c r="J819" t="str">
        <f t="shared" si="41"/>
        <v>Chicago Cubs</v>
      </c>
      <c r="K819" s="60">
        <f t="shared" si="42"/>
        <v>2</v>
      </c>
      <c r="L819">
        <f t="shared" si="43"/>
        <v>-2</v>
      </c>
    </row>
    <row r="820" spans="1:12" x14ac:dyDescent="0.25">
      <c r="G820" t="str">
        <f t="shared" si="44"/>
        <v>04/11/19</v>
      </c>
      <c r="H820" t="str">
        <f t="shared" si="39"/>
        <v/>
      </c>
      <c r="I820" s="60" t="str">
        <f t="shared" si="40"/>
        <v/>
      </c>
      <c r="J820" t="str">
        <f t="shared" si="41"/>
        <v/>
      </c>
      <c r="K820" s="60" t="str">
        <f t="shared" si="42"/>
        <v/>
      </c>
      <c r="L820" t="str">
        <f t="shared" si="43"/>
        <v/>
      </c>
    </row>
    <row r="821" spans="1:12" x14ac:dyDescent="0.25">
      <c r="A821" t="s">
        <v>1852</v>
      </c>
      <c r="G821" t="str">
        <f t="shared" si="44"/>
        <v>04/11/19</v>
      </c>
      <c r="H821" t="str">
        <f t="shared" si="39"/>
        <v>Miami Marlins</v>
      </c>
      <c r="I821" s="60">
        <f t="shared" si="40"/>
        <v>0</v>
      </c>
      <c r="J821" t="str">
        <f t="shared" si="41"/>
        <v>Cincinnati Reds</v>
      </c>
      <c r="K821" s="60">
        <f t="shared" si="42"/>
        <v>5</v>
      </c>
      <c r="L821">
        <f t="shared" si="43"/>
        <v>-5</v>
      </c>
    </row>
    <row r="822" spans="1:12" x14ac:dyDescent="0.25">
      <c r="G822" t="str">
        <f t="shared" si="44"/>
        <v>04/11/19</v>
      </c>
      <c r="H822" t="str">
        <f t="shared" si="39"/>
        <v/>
      </c>
      <c r="I822" s="60" t="str">
        <f t="shared" si="40"/>
        <v/>
      </c>
      <c r="J822" t="str">
        <f t="shared" si="41"/>
        <v/>
      </c>
      <c r="K822" s="60" t="str">
        <f t="shared" si="42"/>
        <v/>
      </c>
      <c r="L822" t="str">
        <f t="shared" si="43"/>
        <v/>
      </c>
    </row>
    <row r="823" spans="1:12" x14ac:dyDescent="0.25">
      <c r="A823" t="s">
        <v>1853</v>
      </c>
      <c r="G823" t="str">
        <f t="shared" si="44"/>
        <v>04/11/19</v>
      </c>
      <c r="H823" t="str">
        <f t="shared" si="39"/>
        <v>Cleveland Indians</v>
      </c>
      <c r="I823" s="60">
        <f t="shared" si="40"/>
        <v>4</v>
      </c>
      <c r="J823" t="str">
        <f t="shared" si="41"/>
        <v>Detroit Tigers</v>
      </c>
      <c r="K823" s="60">
        <f t="shared" si="42"/>
        <v>0</v>
      </c>
      <c r="L823">
        <f t="shared" si="43"/>
        <v>4</v>
      </c>
    </row>
    <row r="824" spans="1:12" x14ac:dyDescent="0.25">
      <c r="G824" t="str">
        <f t="shared" si="44"/>
        <v>04/11/19</v>
      </c>
      <c r="H824" t="str">
        <f t="shared" si="39"/>
        <v/>
      </c>
      <c r="I824" s="60" t="str">
        <f t="shared" si="40"/>
        <v/>
      </c>
      <c r="J824" t="str">
        <f t="shared" si="41"/>
        <v/>
      </c>
      <c r="K824" s="60" t="str">
        <f t="shared" si="42"/>
        <v/>
      </c>
      <c r="L824" t="str">
        <f t="shared" si="43"/>
        <v/>
      </c>
    </row>
    <row r="825" spans="1:12" x14ac:dyDescent="0.25">
      <c r="A825" t="s">
        <v>1854</v>
      </c>
      <c r="G825" t="str">
        <f t="shared" si="44"/>
        <v>04/11/19</v>
      </c>
      <c r="H825" t="str">
        <f t="shared" si="39"/>
        <v>Seattle Mariners</v>
      </c>
      <c r="I825" s="60">
        <f t="shared" si="40"/>
        <v>7</v>
      </c>
      <c r="J825" t="str">
        <f t="shared" si="41"/>
        <v>Kansas City Royals</v>
      </c>
      <c r="K825" s="60">
        <f t="shared" si="42"/>
        <v>6</v>
      </c>
      <c r="L825">
        <f t="shared" si="43"/>
        <v>1</v>
      </c>
    </row>
    <row r="826" spans="1:12" x14ac:dyDescent="0.25">
      <c r="G826" t="str">
        <f t="shared" si="44"/>
        <v>04/11/19</v>
      </c>
      <c r="H826" t="str">
        <f t="shared" si="39"/>
        <v/>
      </c>
      <c r="I826" s="60" t="str">
        <f t="shared" si="40"/>
        <v/>
      </c>
      <c r="J826" t="str">
        <f t="shared" si="41"/>
        <v/>
      </c>
      <c r="K826" s="60" t="str">
        <f t="shared" si="42"/>
        <v/>
      </c>
      <c r="L826" t="str">
        <f t="shared" si="43"/>
        <v/>
      </c>
    </row>
    <row r="827" spans="1:12" x14ac:dyDescent="0.25">
      <c r="A827" t="s">
        <v>1855</v>
      </c>
      <c r="G827" t="str">
        <f t="shared" si="44"/>
        <v>04/11/19</v>
      </c>
      <c r="H827" t="str">
        <f t="shared" si="39"/>
        <v>Colorado Rockies</v>
      </c>
      <c r="I827" s="60">
        <f t="shared" si="40"/>
        <v>0</v>
      </c>
      <c r="J827" t="str">
        <f t="shared" si="41"/>
        <v>San Francisco Giants</v>
      </c>
      <c r="K827" s="60">
        <f t="shared" si="42"/>
        <v>1</v>
      </c>
      <c r="L827">
        <f t="shared" si="43"/>
        <v>-1</v>
      </c>
    </row>
    <row r="828" spans="1:12" x14ac:dyDescent="0.25">
      <c r="G828" t="str">
        <f t="shared" si="44"/>
        <v>04/11/19</v>
      </c>
      <c r="H828" t="str">
        <f t="shared" si="39"/>
        <v/>
      </c>
      <c r="I828" s="60" t="str">
        <f t="shared" si="40"/>
        <v/>
      </c>
      <c r="J828" t="str">
        <f t="shared" si="41"/>
        <v/>
      </c>
      <c r="K828" s="60" t="str">
        <f t="shared" si="42"/>
        <v/>
      </c>
      <c r="L828" t="str">
        <f t="shared" si="43"/>
        <v/>
      </c>
    </row>
    <row r="829" spans="1:12" x14ac:dyDescent="0.25">
      <c r="A829" t="s">
        <v>1856</v>
      </c>
      <c r="G829" t="str">
        <f t="shared" si="44"/>
        <v>04/11/19</v>
      </c>
      <c r="H829" t="str">
        <f t="shared" si="39"/>
        <v>Los Angeles Dodgers</v>
      </c>
      <c r="I829" s="60">
        <f t="shared" si="40"/>
        <v>7</v>
      </c>
      <c r="J829" t="str">
        <f t="shared" si="41"/>
        <v>St. Louis Cardinals</v>
      </c>
      <c r="K829" s="60">
        <f t="shared" si="42"/>
        <v>11</v>
      </c>
      <c r="L829">
        <f t="shared" si="43"/>
        <v>-4</v>
      </c>
    </row>
    <row r="830" spans="1:12" x14ac:dyDescent="0.25">
      <c r="G830" t="str">
        <f t="shared" si="44"/>
        <v>04/11/19</v>
      </c>
      <c r="H830" t="str">
        <f t="shared" si="39"/>
        <v/>
      </c>
      <c r="I830" s="60" t="str">
        <f t="shared" si="40"/>
        <v/>
      </c>
      <c r="J830" t="str">
        <f t="shared" si="41"/>
        <v/>
      </c>
      <c r="K830" s="60" t="str">
        <f t="shared" si="42"/>
        <v/>
      </c>
      <c r="L830" t="str">
        <f t="shared" si="43"/>
        <v/>
      </c>
    </row>
    <row r="831" spans="1:12" x14ac:dyDescent="0.25">
      <c r="A831" t="s">
        <v>1857</v>
      </c>
      <c r="G831" t="str">
        <f t="shared" si="44"/>
        <v>04/11/19</v>
      </c>
      <c r="H831" t="str">
        <f t="shared" si="39"/>
        <v/>
      </c>
      <c r="I831" s="60" t="str">
        <f t="shared" si="40"/>
        <v/>
      </c>
      <c r="J831" t="str">
        <f t="shared" si="41"/>
        <v/>
      </c>
      <c r="K831" s="60" t="str">
        <f t="shared" si="42"/>
        <v/>
      </c>
      <c r="L831" t="str">
        <f t="shared" si="43"/>
        <v/>
      </c>
    </row>
    <row r="832" spans="1:12" x14ac:dyDescent="0.25">
      <c r="G832" t="str">
        <f t="shared" si="44"/>
        <v>04/11/19</v>
      </c>
      <c r="H832" t="str">
        <f t="shared" si="39"/>
        <v/>
      </c>
      <c r="I832" s="60" t="str">
        <f t="shared" si="40"/>
        <v/>
      </c>
      <c r="J832" t="str">
        <f t="shared" si="41"/>
        <v/>
      </c>
      <c r="K832" s="60" t="str">
        <f t="shared" si="42"/>
        <v/>
      </c>
      <c r="L832" t="str">
        <f t="shared" si="43"/>
        <v/>
      </c>
    </row>
    <row r="833" spans="1:12" x14ac:dyDescent="0.25">
      <c r="A833" t="s">
        <v>1858</v>
      </c>
      <c r="G833" t="str">
        <f t="shared" si="44"/>
        <v>04/12/19</v>
      </c>
      <c r="H833" t="str">
        <f t="shared" si="39"/>
        <v/>
      </c>
      <c r="I833" s="60" t="str">
        <f t="shared" si="40"/>
        <v/>
      </c>
      <c r="J833" t="str">
        <f t="shared" si="41"/>
        <v/>
      </c>
      <c r="K833" s="60" t="str">
        <f t="shared" si="42"/>
        <v/>
      </c>
      <c r="L833" t="str">
        <f t="shared" si="43"/>
        <v/>
      </c>
    </row>
    <row r="834" spans="1:12" x14ac:dyDescent="0.25">
      <c r="G834" t="str">
        <f t="shared" si="44"/>
        <v>04/12/19</v>
      </c>
      <c r="H834" t="str">
        <f t="shared" si="39"/>
        <v/>
      </c>
      <c r="I834" s="60" t="str">
        <f t="shared" si="40"/>
        <v/>
      </c>
      <c r="J834" t="str">
        <f t="shared" si="41"/>
        <v/>
      </c>
      <c r="K834" s="60" t="str">
        <f t="shared" si="42"/>
        <v/>
      </c>
      <c r="L834" t="str">
        <f t="shared" si="43"/>
        <v/>
      </c>
    </row>
    <row r="835" spans="1:12" x14ac:dyDescent="0.25">
      <c r="A835" t="s">
        <v>1859</v>
      </c>
      <c r="G835" t="str">
        <f t="shared" si="44"/>
        <v>04/12/19</v>
      </c>
      <c r="H835" t="str">
        <f t="shared" si="39"/>
        <v>San Diego Padres</v>
      </c>
      <c r="I835" s="60">
        <f t="shared" si="40"/>
        <v>2</v>
      </c>
      <c r="J835" t="str">
        <f t="shared" si="41"/>
        <v>Arizona D'Backs</v>
      </c>
      <c r="K835" s="60">
        <f t="shared" si="42"/>
        <v>1</v>
      </c>
      <c r="L835">
        <f t="shared" si="43"/>
        <v>1</v>
      </c>
    </row>
    <row r="836" spans="1:12" x14ac:dyDescent="0.25">
      <c r="G836" t="str">
        <f t="shared" si="44"/>
        <v>04/12/19</v>
      </c>
      <c r="H836" t="str">
        <f t="shared" si="39"/>
        <v/>
      </c>
      <c r="I836" s="60" t="str">
        <f t="shared" si="40"/>
        <v/>
      </c>
      <c r="J836" t="str">
        <f t="shared" si="41"/>
        <v/>
      </c>
      <c r="K836" s="60" t="str">
        <f t="shared" si="42"/>
        <v/>
      </c>
      <c r="L836" t="str">
        <f t="shared" si="43"/>
        <v/>
      </c>
    </row>
    <row r="837" spans="1:12" x14ac:dyDescent="0.25">
      <c r="A837" t="s">
        <v>1860</v>
      </c>
      <c r="G837" t="str">
        <f t="shared" si="44"/>
        <v>04/12/19</v>
      </c>
      <c r="H837" t="str">
        <f t="shared" si="39"/>
        <v>New York Mets</v>
      </c>
      <c r="I837" s="60">
        <f t="shared" si="40"/>
        <v>6</v>
      </c>
      <c r="J837" t="str">
        <f t="shared" si="41"/>
        <v>Atlanta Braves</v>
      </c>
      <c r="K837" s="60">
        <f t="shared" si="42"/>
        <v>2</v>
      </c>
      <c r="L837">
        <f t="shared" si="43"/>
        <v>4</v>
      </c>
    </row>
    <row r="838" spans="1:12" x14ac:dyDescent="0.25">
      <c r="G838" t="str">
        <f t="shared" si="44"/>
        <v>04/12/19</v>
      </c>
      <c r="H838" t="str">
        <f t="shared" si="39"/>
        <v/>
      </c>
      <c r="I838" s="60" t="str">
        <f t="shared" si="40"/>
        <v/>
      </c>
      <c r="J838" t="str">
        <f t="shared" si="41"/>
        <v/>
      </c>
      <c r="K838" s="60" t="str">
        <f t="shared" si="42"/>
        <v/>
      </c>
      <c r="L838" t="str">
        <f t="shared" si="43"/>
        <v/>
      </c>
    </row>
    <row r="839" spans="1:12" x14ac:dyDescent="0.25">
      <c r="A839" t="s">
        <v>1861</v>
      </c>
      <c r="G839" t="str">
        <f t="shared" si="44"/>
        <v>04/12/19</v>
      </c>
      <c r="H839" t="str">
        <f t="shared" si="39"/>
        <v>Baltimore Orioles</v>
      </c>
      <c r="I839" s="60">
        <f t="shared" si="40"/>
        <v>4</v>
      </c>
      <c r="J839" t="str">
        <f t="shared" si="41"/>
        <v>Boston Red Sox</v>
      </c>
      <c r="K839" s="60">
        <f t="shared" si="42"/>
        <v>6</v>
      </c>
      <c r="L839">
        <f t="shared" si="43"/>
        <v>-2</v>
      </c>
    </row>
    <row r="840" spans="1:12" x14ac:dyDescent="0.25">
      <c r="G840" t="str">
        <f t="shared" si="44"/>
        <v>04/12/19</v>
      </c>
      <c r="H840" t="str">
        <f t="shared" si="39"/>
        <v/>
      </c>
      <c r="I840" s="60" t="str">
        <f t="shared" si="40"/>
        <v/>
      </c>
      <c r="J840" t="str">
        <f t="shared" si="41"/>
        <v/>
      </c>
      <c r="K840" s="60" t="str">
        <f t="shared" si="42"/>
        <v/>
      </c>
      <c r="L840" t="str">
        <f t="shared" si="43"/>
        <v/>
      </c>
    </row>
    <row r="841" spans="1:12" x14ac:dyDescent="0.25">
      <c r="A841" t="s">
        <v>1862</v>
      </c>
      <c r="G841" t="str">
        <f t="shared" si="44"/>
        <v>04/12/19</v>
      </c>
      <c r="H841" t="str">
        <f t="shared" si="39"/>
        <v>Los Angeles Angels</v>
      </c>
      <c r="I841" s="60">
        <f t="shared" si="40"/>
        <v>1</v>
      </c>
      <c r="J841" t="str">
        <f t="shared" si="41"/>
        <v>Chicago Cubs</v>
      </c>
      <c r="K841" s="60">
        <f t="shared" si="42"/>
        <v>5</v>
      </c>
      <c r="L841">
        <f t="shared" si="43"/>
        <v>-4</v>
      </c>
    </row>
    <row r="842" spans="1:12" x14ac:dyDescent="0.25">
      <c r="G842" t="str">
        <f t="shared" si="44"/>
        <v>04/12/19</v>
      </c>
      <c r="H842" t="str">
        <f t="shared" si="39"/>
        <v/>
      </c>
      <c r="I842" s="60" t="str">
        <f t="shared" si="40"/>
        <v/>
      </c>
      <c r="J842" t="str">
        <f t="shared" si="41"/>
        <v/>
      </c>
      <c r="K842" s="60" t="str">
        <f t="shared" si="42"/>
        <v/>
      </c>
      <c r="L842" t="str">
        <f t="shared" si="43"/>
        <v/>
      </c>
    </row>
    <row r="843" spans="1:12" x14ac:dyDescent="0.25">
      <c r="A843" t="s">
        <v>1863</v>
      </c>
      <c r="G843" t="str">
        <f t="shared" si="44"/>
        <v>04/12/19</v>
      </c>
      <c r="H843" t="str">
        <f t="shared" si="39"/>
        <v>Cleveland Indians</v>
      </c>
      <c r="I843" s="60">
        <f t="shared" si="40"/>
        <v>1</v>
      </c>
      <c r="J843" t="str">
        <f t="shared" si="41"/>
        <v>Kansas City Royals</v>
      </c>
      <c r="K843" s="60">
        <f t="shared" si="42"/>
        <v>8</v>
      </c>
      <c r="L843">
        <f t="shared" si="43"/>
        <v>-7</v>
      </c>
    </row>
    <row r="844" spans="1:12" x14ac:dyDescent="0.25">
      <c r="G844" t="str">
        <f t="shared" si="44"/>
        <v>04/12/19</v>
      </c>
      <c r="H844" t="str">
        <f t="shared" si="39"/>
        <v/>
      </c>
      <c r="I844" s="60" t="str">
        <f t="shared" si="40"/>
        <v/>
      </c>
      <c r="J844" t="str">
        <f t="shared" si="41"/>
        <v/>
      </c>
      <c r="K844" s="60" t="str">
        <f t="shared" si="42"/>
        <v/>
      </c>
      <c r="L844" t="str">
        <f t="shared" si="43"/>
        <v/>
      </c>
    </row>
    <row r="845" spans="1:12" x14ac:dyDescent="0.25">
      <c r="A845" t="s">
        <v>1864</v>
      </c>
      <c r="G845" t="str">
        <f t="shared" si="44"/>
        <v>04/12/19</v>
      </c>
      <c r="H845" t="str">
        <f t="shared" si="39"/>
        <v>Milwaukee Brewers</v>
      </c>
      <c r="I845" s="60">
        <f t="shared" si="40"/>
        <v>8</v>
      </c>
      <c r="J845" t="str">
        <f t="shared" si="41"/>
        <v>Los Angeles Dodgers</v>
      </c>
      <c r="K845" s="60">
        <f t="shared" si="42"/>
        <v>5</v>
      </c>
      <c r="L845">
        <f t="shared" si="43"/>
        <v>3</v>
      </c>
    </row>
    <row r="846" spans="1:12" x14ac:dyDescent="0.25">
      <c r="G846" t="str">
        <f t="shared" si="44"/>
        <v>04/12/19</v>
      </c>
      <c r="H846" t="str">
        <f t="shared" si="39"/>
        <v/>
      </c>
      <c r="I846" s="60" t="str">
        <f t="shared" si="40"/>
        <v/>
      </c>
      <c r="J846" t="str">
        <f t="shared" si="41"/>
        <v/>
      </c>
      <c r="K846" s="60" t="str">
        <f t="shared" si="42"/>
        <v/>
      </c>
      <c r="L846" t="str">
        <f t="shared" si="43"/>
        <v/>
      </c>
    </row>
    <row r="847" spans="1:12" x14ac:dyDescent="0.25">
      <c r="A847" t="s">
        <v>1865</v>
      </c>
      <c r="G847" t="str">
        <f t="shared" si="44"/>
        <v>04/12/19</v>
      </c>
      <c r="H847" t="str">
        <f t="shared" si="39"/>
        <v>Philadelphia Phillies</v>
      </c>
      <c r="I847" s="60">
        <f t="shared" si="40"/>
        <v>9</v>
      </c>
      <c r="J847" t="str">
        <f t="shared" si="41"/>
        <v>Miami Marlins</v>
      </c>
      <c r="K847" s="60">
        <f t="shared" si="42"/>
        <v>1</v>
      </c>
      <c r="L847">
        <f t="shared" si="43"/>
        <v>8</v>
      </c>
    </row>
    <row r="848" spans="1:12" x14ac:dyDescent="0.25">
      <c r="G848" t="str">
        <f t="shared" si="44"/>
        <v>04/12/19</v>
      </c>
      <c r="H848" t="str">
        <f t="shared" ref="H848:H911" si="45">IFERROR(LEFT(MID(A848,1,SEARCH("@",A848)-2),SEARCH("(",A848)-2),"")</f>
        <v/>
      </c>
      <c r="I848" s="60" t="str">
        <f t="shared" ref="I848:I911" si="46">IFERROR(VALUE(MID(A848,SEARCH("(",A848)+1,SEARCH(")",A848)-SEARCH("(",A848)-1)),"")</f>
        <v/>
      </c>
      <c r="J848" t="str">
        <f t="shared" ref="J848:J911" si="47">IFERROR(MID(A848,SEARCH("@",A848)+2,SEARCH("(",A848,SEARCH("@",A848))-SEARCH("@",A848)-3),"")</f>
        <v/>
      </c>
      <c r="K848" s="60" t="str">
        <f t="shared" ref="K848:K911" si="48">IFERROR(VALUE(MID(A848,SEARCH(J848,A848)+LEN(J848)+2,(SEARCH(")",A848,SEARCH("@",A848))-SEARCH("(",A848,SEARCH("@",A848))-1))),"")</f>
        <v/>
      </c>
      <c r="L848" t="str">
        <f t="shared" ref="L848:L911" si="49">IFERROR(I848-K848,"")</f>
        <v/>
      </c>
    </row>
    <row r="849" spans="1:12" x14ac:dyDescent="0.25">
      <c r="A849" t="s">
        <v>1866</v>
      </c>
      <c r="G849" t="str">
        <f t="shared" si="44"/>
        <v>04/12/19</v>
      </c>
      <c r="H849" t="str">
        <f t="shared" si="45"/>
        <v>Chicago White Sox</v>
      </c>
      <c r="I849" s="60">
        <f t="shared" si="46"/>
        <v>9</v>
      </c>
      <c r="J849" t="str">
        <f t="shared" si="47"/>
        <v>New York Yankees</v>
      </c>
      <c r="K849" s="60">
        <f t="shared" si="48"/>
        <v>6</v>
      </c>
      <c r="L849">
        <f t="shared" si="49"/>
        <v>3</v>
      </c>
    </row>
    <row r="850" spans="1:12" x14ac:dyDescent="0.25">
      <c r="G850" t="str">
        <f t="shared" si="44"/>
        <v>04/12/19</v>
      </c>
      <c r="H850" t="str">
        <f t="shared" si="45"/>
        <v/>
      </c>
      <c r="I850" s="60" t="str">
        <f t="shared" si="46"/>
        <v/>
      </c>
      <c r="J850" t="str">
        <f t="shared" si="47"/>
        <v/>
      </c>
      <c r="K850" s="60" t="str">
        <f t="shared" si="48"/>
        <v/>
      </c>
      <c r="L850" t="str">
        <f t="shared" si="49"/>
        <v/>
      </c>
    </row>
    <row r="851" spans="1:12" x14ac:dyDescent="0.25">
      <c r="A851" t="s">
        <v>1867</v>
      </c>
      <c r="G851" t="str">
        <f t="shared" si="44"/>
        <v>04/12/19</v>
      </c>
      <c r="H851" t="str">
        <f t="shared" si="45"/>
        <v>Houston Astros</v>
      </c>
      <c r="I851" s="60">
        <f t="shared" si="46"/>
        <v>10</v>
      </c>
      <c r="J851" t="str">
        <f t="shared" si="47"/>
        <v>Seattle Mariners</v>
      </c>
      <c r="K851" s="60">
        <f t="shared" si="48"/>
        <v>6</v>
      </c>
      <c r="L851">
        <f t="shared" si="49"/>
        <v>4</v>
      </c>
    </row>
    <row r="852" spans="1:12" x14ac:dyDescent="0.25">
      <c r="G852" t="str">
        <f t="shared" si="44"/>
        <v>04/12/19</v>
      </c>
      <c r="H852" t="str">
        <f t="shared" si="45"/>
        <v/>
      </c>
      <c r="I852" s="60" t="str">
        <f t="shared" si="46"/>
        <v/>
      </c>
      <c r="J852" t="str">
        <f t="shared" si="47"/>
        <v/>
      </c>
      <c r="K852" s="60" t="str">
        <f t="shared" si="48"/>
        <v/>
      </c>
      <c r="L852" t="str">
        <f t="shared" si="49"/>
        <v/>
      </c>
    </row>
    <row r="853" spans="1:12" x14ac:dyDescent="0.25">
      <c r="A853" t="s">
        <v>1868</v>
      </c>
      <c r="G853" t="str">
        <f t="shared" si="44"/>
        <v>04/12/19</v>
      </c>
      <c r="H853" t="str">
        <f t="shared" si="45"/>
        <v>Colorado Rockies</v>
      </c>
      <c r="I853" s="60">
        <f t="shared" si="46"/>
        <v>2</v>
      </c>
      <c r="J853" t="str">
        <f t="shared" si="47"/>
        <v>San Francisco Giants</v>
      </c>
      <c r="K853" s="60">
        <f t="shared" si="48"/>
        <v>3</v>
      </c>
      <c r="L853">
        <f t="shared" si="49"/>
        <v>-1</v>
      </c>
    </row>
    <row r="854" spans="1:12" x14ac:dyDescent="0.25">
      <c r="G854" t="str">
        <f t="shared" si="44"/>
        <v>04/12/19</v>
      </c>
      <c r="H854" t="str">
        <f t="shared" si="45"/>
        <v/>
      </c>
      <c r="I854" s="60" t="str">
        <f t="shared" si="46"/>
        <v/>
      </c>
      <c r="J854" t="str">
        <f t="shared" si="47"/>
        <v/>
      </c>
      <c r="K854" s="60" t="str">
        <f t="shared" si="48"/>
        <v/>
      </c>
      <c r="L854" t="str">
        <f t="shared" si="49"/>
        <v/>
      </c>
    </row>
    <row r="855" spans="1:12" x14ac:dyDescent="0.25">
      <c r="A855" t="s">
        <v>1869</v>
      </c>
      <c r="G855" t="str">
        <f t="shared" si="44"/>
        <v>04/12/19</v>
      </c>
      <c r="H855" t="str">
        <f t="shared" si="45"/>
        <v>Oakland Athletics</v>
      </c>
      <c r="I855" s="60">
        <f t="shared" si="46"/>
        <v>8</v>
      </c>
      <c r="J855" t="str">
        <f t="shared" si="47"/>
        <v>Texas Rangers</v>
      </c>
      <c r="K855" s="60">
        <f t="shared" si="48"/>
        <v>6</v>
      </c>
      <c r="L855">
        <f t="shared" si="49"/>
        <v>2</v>
      </c>
    </row>
    <row r="856" spans="1:12" x14ac:dyDescent="0.25">
      <c r="G856" t="str">
        <f t="shared" si="44"/>
        <v>04/12/19</v>
      </c>
      <c r="H856" t="str">
        <f t="shared" si="45"/>
        <v/>
      </c>
      <c r="I856" s="60" t="str">
        <f t="shared" si="46"/>
        <v/>
      </c>
      <c r="J856" t="str">
        <f t="shared" si="47"/>
        <v/>
      </c>
      <c r="K856" s="60" t="str">
        <f t="shared" si="48"/>
        <v/>
      </c>
      <c r="L856" t="str">
        <f t="shared" si="49"/>
        <v/>
      </c>
    </row>
    <row r="857" spans="1:12" x14ac:dyDescent="0.25">
      <c r="A857" t="s">
        <v>1870</v>
      </c>
      <c r="G857" t="str">
        <f t="shared" si="44"/>
        <v>04/12/19</v>
      </c>
      <c r="H857" t="str">
        <f t="shared" si="45"/>
        <v>Tampa Bay Rays</v>
      </c>
      <c r="I857" s="60">
        <f t="shared" si="46"/>
        <v>11</v>
      </c>
      <c r="J857" t="str">
        <f t="shared" si="47"/>
        <v>Toronto Blue Jays</v>
      </c>
      <c r="K857" s="60">
        <f t="shared" si="48"/>
        <v>7</v>
      </c>
      <c r="L857">
        <f t="shared" si="49"/>
        <v>4</v>
      </c>
    </row>
    <row r="858" spans="1:12" x14ac:dyDescent="0.25">
      <c r="G858" t="str">
        <f t="shared" si="44"/>
        <v>04/12/19</v>
      </c>
      <c r="H858" t="str">
        <f t="shared" si="45"/>
        <v/>
      </c>
      <c r="I858" s="60" t="str">
        <f t="shared" si="46"/>
        <v/>
      </c>
      <c r="J858" t="str">
        <f t="shared" si="47"/>
        <v/>
      </c>
      <c r="K858" s="60" t="str">
        <f t="shared" si="48"/>
        <v/>
      </c>
      <c r="L858" t="str">
        <f t="shared" si="49"/>
        <v/>
      </c>
    </row>
    <row r="859" spans="1:12" x14ac:dyDescent="0.25">
      <c r="A859" t="s">
        <v>1871</v>
      </c>
      <c r="G859" t="str">
        <f t="shared" si="44"/>
        <v>04/12/19</v>
      </c>
      <c r="H859" t="str">
        <f t="shared" si="45"/>
        <v>Pittsburgh Pirates</v>
      </c>
      <c r="I859" s="60">
        <f t="shared" si="46"/>
        <v>6</v>
      </c>
      <c r="J859" t="str">
        <f t="shared" si="47"/>
        <v>Washington Nationals</v>
      </c>
      <c r="K859" s="60">
        <f t="shared" si="48"/>
        <v>3</v>
      </c>
      <c r="L859">
        <f t="shared" si="49"/>
        <v>3</v>
      </c>
    </row>
    <row r="860" spans="1:12" x14ac:dyDescent="0.25">
      <c r="G860" t="str">
        <f t="shared" si="44"/>
        <v>04/12/19</v>
      </c>
      <c r="H860" t="str">
        <f t="shared" si="45"/>
        <v/>
      </c>
      <c r="I860" s="60" t="str">
        <f t="shared" si="46"/>
        <v/>
      </c>
      <c r="J860" t="str">
        <f t="shared" si="47"/>
        <v/>
      </c>
      <c r="K860" s="60" t="str">
        <f t="shared" si="48"/>
        <v/>
      </c>
      <c r="L860" t="str">
        <f t="shared" si="49"/>
        <v/>
      </c>
    </row>
    <row r="861" spans="1:12" x14ac:dyDescent="0.25">
      <c r="A861" t="s">
        <v>1872</v>
      </c>
      <c r="G861" t="str">
        <f t="shared" si="44"/>
        <v>04/12/19</v>
      </c>
      <c r="H861" t="str">
        <f t="shared" si="45"/>
        <v/>
      </c>
      <c r="I861" s="60" t="str">
        <f t="shared" si="46"/>
        <v/>
      </c>
      <c r="J861" t="str">
        <f t="shared" si="47"/>
        <v/>
      </c>
      <c r="K861" s="60" t="str">
        <f t="shared" si="48"/>
        <v/>
      </c>
      <c r="L861" t="str">
        <f t="shared" si="49"/>
        <v/>
      </c>
    </row>
    <row r="862" spans="1:12" x14ac:dyDescent="0.25">
      <c r="G862" t="str">
        <f t="shared" si="44"/>
        <v>04/12/19</v>
      </c>
      <c r="H862" t="str">
        <f t="shared" si="45"/>
        <v/>
      </c>
      <c r="I862" s="60" t="str">
        <f t="shared" si="46"/>
        <v/>
      </c>
      <c r="J862" t="str">
        <f t="shared" si="47"/>
        <v/>
      </c>
      <c r="K862" s="60" t="str">
        <f t="shared" si="48"/>
        <v/>
      </c>
      <c r="L862" t="str">
        <f t="shared" si="49"/>
        <v/>
      </c>
    </row>
    <row r="863" spans="1:12" x14ac:dyDescent="0.25">
      <c r="A863" t="s">
        <v>1873</v>
      </c>
      <c r="G863" t="str">
        <f t="shared" si="44"/>
        <v>04/13/19</v>
      </c>
      <c r="H863" t="str">
        <f t="shared" si="45"/>
        <v/>
      </c>
      <c r="I863" s="60" t="str">
        <f t="shared" si="46"/>
        <v/>
      </c>
      <c r="J863" t="str">
        <f t="shared" si="47"/>
        <v/>
      </c>
      <c r="K863" s="60" t="str">
        <f t="shared" si="48"/>
        <v/>
      </c>
      <c r="L863" t="str">
        <f t="shared" si="49"/>
        <v/>
      </c>
    </row>
    <row r="864" spans="1:12" x14ac:dyDescent="0.25">
      <c r="G864" t="str">
        <f t="shared" si="44"/>
        <v>04/13/19</v>
      </c>
      <c r="H864" t="str">
        <f t="shared" si="45"/>
        <v/>
      </c>
      <c r="I864" s="60" t="str">
        <f t="shared" si="46"/>
        <v/>
      </c>
      <c r="J864" t="str">
        <f t="shared" si="47"/>
        <v/>
      </c>
      <c r="K864" s="60" t="str">
        <f t="shared" si="48"/>
        <v/>
      </c>
      <c r="L864" t="str">
        <f t="shared" si="49"/>
        <v/>
      </c>
    </row>
    <row r="865" spans="1:12" x14ac:dyDescent="0.25">
      <c r="A865" t="s">
        <v>1874</v>
      </c>
      <c r="G865" t="str">
        <f t="shared" si="44"/>
        <v>04/13/19</v>
      </c>
      <c r="H865" t="str">
        <f t="shared" si="45"/>
        <v>San Diego Padres</v>
      </c>
      <c r="I865" s="60">
        <f t="shared" si="46"/>
        <v>5</v>
      </c>
      <c r="J865" t="str">
        <f t="shared" si="47"/>
        <v>Arizona D'Backs</v>
      </c>
      <c r="K865" s="60">
        <f t="shared" si="48"/>
        <v>4</v>
      </c>
      <c r="L865">
        <f t="shared" si="49"/>
        <v>1</v>
      </c>
    </row>
    <row r="866" spans="1:12" x14ac:dyDescent="0.25">
      <c r="G866" t="str">
        <f t="shared" ref="G866:G929" si="50">IF(ISNUMBER(MATCH(IFERROR(LEFT(A866,SEARCH(",",A866)-1),""),$G$220:$M$220,0)),TEXT(MID(A866,SEARCH(",",A866)+2,LEN(A866)),"mm/dd/yy"),G865)</f>
        <v>04/13/19</v>
      </c>
      <c r="H866" t="str">
        <f t="shared" si="45"/>
        <v/>
      </c>
      <c r="I866" s="60" t="str">
        <f t="shared" si="46"/>
        <v/>
      </c>
      <c r="J866" t="str">
        <f t="shared" si="47"/>
        <v/>
      </c>
      <c r="K866" s="60" t="str">
        <f t="shared" si="48"/>
        <v/>
      </c>
      <c r="L866" t="str">
        <f t="shared" si="49"/>
        <v/>
      </c>
    </row>
    <row r="867" spans="1:12" x14ac:dyDescent="0.25">
      <c r="A867" t="s">
        <v>1875</v>
      </c>
      <c r="G867" t="str">
        <f t="shared" si="50"/>
        <v>04/13/19</v>
      </c>
      <c r="H867" t="str">
        <f t="shared" si="45"/>
        <v>New York Mets</v>
      </c>
      <c r="I867" s="60">
        <f t="shared" si="46"/>
        <v>7</v>
      </c>
      <c r="J867" t="str">
        <f t="shared" si="47"/>
        <v>Atlanta Braves</v>
      </c>
      <c r="K867" s="60">
        <f t="shared" si="48"/>
        <v>11</v>
      </c>
      <c r="L867">
        <f t="shared" si="49"/>
        <v>-4</v>
      </c>
    </row>
    <row r="868" spans="1:12" x14ac:dyDescent="0.25">
      <c r="G868" t="str">
        <f t="shared" si="50"/>
        <v>04/13/19</v>
      </c>
      <c r="H868" t="str">
        <f t="shared" si="45"/>
        <v/>
      </c>
      <c r="I868" s="60" t="str">
        <f t="shared" si="46"/>
        <v/>
      </c>
      <c r="J868" t="str">
        <f t="shared" si="47"/>
        <v/>
      </c>
      <c r="K868" s="60" t="str">
        <f t="shared" si="48"/>
        <v/>
      </c>
      <c r="L868" t="str">
        <f t="shared" si="49"/>
        <v/>
      </c>
    </row>
    <row r="869" spans="1:12" x14ac:dyDescent="0.25">
      <c r="A869" t="s">
        <v>1876</v>
      </c>
      <c r="G869" t="str">
        <f t="shared" si="50"/>
        <v>04/13/19</v>
      </c>
      <c r="H869" t="str">
        <f t="shared" si="45"/>
        <v>Baltimore Orioles</v>
      </c>
      <c r="I869" s="60">
        <f t="shared" si="46"/>
        <v>9</v>
      </c>
      <c r="J869" t="str">
        <f t="shared" si="47"/>
        <v>Boston Red Sox</v>
      </c>
      <c r="K869" s="60">
        <f t="shared" si="48"/>
        <v>5</v>
      </c>
      <c r="L869">
        <f t="shared" si="49"/>
        <v>4</v>
      </c>
    </row>
    <row r="870" spans="1:12" x14ac:dyDescent="0.25">
      <c r="G870" t="str">
        <f t="shared" si="50"/>
        <v>04/13/19</v>
      </c>
      <c r="H870" t="str">
        <f t="shared" si="45"/>
        <v/>
      </c>
      <c r="I870" s="60" t="str">
        <f t="shared" si="46"/>
        <v/>
      </c>
      <c r="J870" t="str">
        <f t="shared" si="47"/>
        <v/>
      </c>
      <c r="K870" s="60" t="str">
        <f t="shared" si="48"/>
        <v/>
      </c>
      <c r="L870" t="str">
        <f t="shared" si="49"/>
        <v/>
      </c>
    </row>
    <row r="871" spans="1:12" x14ac:dyDescent="0.25">
      <c r="A871" t="s">
        <v>1877</v>
      </c>
      <c r="G871" t="str">
        <f t="shared" si="50"/>
        <v>04/13/19</v>
      </c>
      <c r="H871" t="str">
        <f t="shared" si="45"/>
        <v>Los Angeles Angels</v>
      </c>
      <c r="I871" s="60">
        <f t="shared" si="46"/>
        <v>6</v>
      </c>
      <c r="J871" t="str">
        <f t="shared" si="47"/>
        <v>Chicago Cubs</v>
      </c>
      <c r="K871" s="60">
        <f t="shared" si="48"/>
        <v>5</v>
      </c>
      <c r="L871">
        <f t="shared" si="49"/>
        <v>1</v>
      </c>
    </row>
    <row r="872" spans="1:12" x14ac:dyDescent="0.25">
      <c r="G872" t="str">
        <f t="shared" si="50"/>
        <v>04/13/19</v>
      </c>
      <c r="H872" t="str">
        <f t="shared" si="45"/>
        <v/>
      </c>
      <c r="I872" s="60" t="str">
        <f t="shared" si="46"/>
        <v/>
      </c>
      <c r="J872" t="str">
        <f t="shared" si="47"/>
        <v/>
      </c>
      <c r="K872" s="60" t="str">
        <f t="shared" si="48"/>
        <v/>
      </c>
      <c r="L872" t="str">
        <f t="shared" si="49"/>
        <v/>
      </c>
    </row>
    <row r="873" spans="1:12" x14ac:dyDescent="0.25">
      <c r="A873" t="s">
        <v>1878</v>
      </c>
      <c r="G873" t="str">
        <f t="shared" si="50"/>
        <v>04/13/19</v>
      </c>
      <c r="H873" t="str">
        <f t="shared" si="45"/>
        <v>St. Louis Cardinals</v>
      </c>
      <c r="I873" s="60">
        <f t="shared" si="46"/>
        <v>2</v>
      </c>
      <c r="J873" t="str">
        <f t="shared" si="47"/>
        <v>Cincinnati Reds</v>
      </c>
      <c r="K873" s="60">
        <f t="shared" si="48"/>
        <v>5</v>
      </c>
      <c r="L873">
        <f t="shared" si="49"/>
        <v>-3</v>
      </c>
    </row>
    <row r="874" spans="1:12" x14ac:dyDescent="0.25">
      <c r="G874" t="str">
        <f t="shared" si="50"/>
        <v>04/13/19</v>
      </c>
      <c r="H874" t="str">
        <f t="shared" si="45"/>
        <v/>
      </c>
      <c r="I874" s="60" t="str">
        <f t="shared" si="46"/>
        <v/>
      </c>
      <c r="J874" t="str">
        <f t="shared" si="47"/>
        <v/>
      </c>
      <c r="K874" s="60" t="str">
        <f t="shared" si="48"/>
        <v/>
      </c>
      <c r="L874" t="str">
        <f t="shared" si="49"/>
        <v/>
      </c>
    </row>
    <row r="875" spans="1:12" x14ac:dyDescent="0.25">
      <c r="A875" t="s">
        <v>1879</v>
      </c>
      <c r="G875" t="str">
        <f t="shared" si="50"/>
        <v>04/13/19</v>
      </c>
      <c r="H875" t="str">
        <f t="shared" si="45"/>
        <v>Cleveland Indians</v>
      </c>
      <c r="I875" s="60">
        <f t="shared" si="46"/>
        <v>0</v>
      </c>
      <c r="J875" t="str">
        <f t="shared" si="47"/>
        <v>Kansas City Royals</v>
      </c>
      <c r="K875" s="60">
        <f t="shared" si="48"/>
        <v>3</v>
      </c>
      <c r="L875">
        <f t="shared" si="49"/>
        <v>-3</v>
      </c>
    </row>
    <row r="876" spans="1:12" x14ac:dyDescent="0.25">
      <c r="G876" t="str">
        <f t="shared" si="50"/>
        <v>04/13/19</v>
      </c>
      <c r="H876" t="str">
        <f t="shared" si="45"/>
        <v/>
      </c>
      <c r="I876" s="60" t="str">
        <f t="shared" si="46"/>
        <v/>
      </c>
      <c r="J876" t="str">
        <f t="shared" si="47"/>
        <v/>
      </c>
      <c r="K876" s="60" t="str">
        <f t="shared" si="48"/>
        <v/>
      </c>
      <c r="L876" t="str">
        <f t="shared" si="49"/>
        <v/>
      </c>
    </row>
    <row r="877" spans="1:12" x14ac:dyDescent="0.25">
      <c r="A877" t="s">
        <v>1880</v>
      </c>
      <c r="G877" t="str">
        <f t="shared" si="50"/>
        <v>04/13/19</v>
      </c>
      <c r="H877" t="str">
        <f t="shared" si="45"/>
        <v>Milwaukee Brewers</v>
      </c>
      <c r="I877" s="60">
        <f t="shared" si="46"/>
        <v>4</v>
      </c>
      <c r="J877" t="str">
        <f t="shared" si="47"/>
        <v>Los Angeles Dodgers</v>
      </c>
      <c r="K877" s="60">
        <f t="shared" si="48"/>
        <v>1</v>
      </c>
      <c r="L877">
        <f t="shared" si="49"/>
        <v>3</v>
      </c>
    </row>
    <row r="878" spans="1:12" x14ac:dyDescent="0.25">
      <c r="G878" t="str">
        <f t="shared" si="50"/>
        <v>04/13/19</v>
      </c>
      <c r="H878" t="str">
        <f t="shared" si="45"/>
        <v/>
      </c>
      <c r="I878" s="60" t="str">
        <f t="shared" si="46"/>
        <v/>
      </c>
      <c r="J878" t="str">
        <f t="shared" si="47"/>
        <v/>
      </c>
      <c r="K878" s="60" t="str">
        <f t="shared" si="48"/>
        <v/>
      </c>
      <c r="L878" t="str">
        <f t="shared" si="49"/>
        <v/>
      </c>
    </row>
    <row r="879" spans="1:12" x14ac:dyDescent="0.25">
      <c r="A879" t="s">
        <v>1881</v>
      </c>
      <c r="G879" t="str">
        <f t="shared" si="50"/>
        <v>04/13/19</v>
      </c>
      <c r="H879" t="str">
        <f t="shared" si="45"/>
        <v>Philadelphia Phillies</v>
      </c>
      <c r="I879" s="60">
        <f t="shared" si="46"/>
        <v>3</v>
      </c>
      <c r="J879" t="str">
        <f t="shared" si="47"/>
        <v>Miami Marlins</v>
      </c>
      <c r="K879" s="60">
        <f t="shared" si="48"/>
        <v>10</v>
      </c>
      <c r="L879">
        <f t="shared" si="49"/>
        <v>-7</v>
      </c>
    </row>
    <row r="880" spans="1:12" x14ac:dyDescent="0.25">
      <c r="G880" t="str">
        <f t="shared" si="50"/>
        <v>04/13/19</v>
      </c>
      <c r="H880" t="str">
        <f t="shared" si="45"/>
        <v/>
      </c>
      <c r="I880" s="60" t="str">
        <f t="shared" si="46"/>
        <v/>
      </c>
      <c r="J880" t="str">
        <f t="shared" si="47"/>
        <v/>
      </c>
      <c r="K880" s="60" t="str">
        <f t="shared" si="48"/>
        <v/>
      </c>
      <c r="L880" t="str">
        <f t="shared" si="49"/>
        <v/>
      </c>
    </row>
    <row r="881" spans="1:12" x14ac:dyDescent="0.25">
      <c r="A881" t="s">
        <v>1882</v>
      </c>
      <c r="G881" t="str">
        <f t="shared" si="50"/>
        <v>04/13/19</v>
      </c>
      <c r="H881" t="str">
        <f t="shared" si="45"/>
        <v>Detroit Tigers</v>
      </c>
      <c r="I881" s="60">
        <f t="shared" si="46"/>
        <v>3</v>
      </c>
      <c r="J881" t="str">
        <f t="shared" si="47"/>
        <v>Minnesota Twins</v>
      </c>
      <c r="K881" s="60">
        <f t="shared" si="48"/>
        <v>4</v>
      </c>
      <c r="L881">
        <f t="shared" si="49"/>
        <v>-1</v>
      </c>
    </row>
    <row r="882" spans="1:12" x14ac:dyDescent="0.25">
      <c r="G882" t="str">
        <f t="shared" si="50"/>
        <v>04/13/19</v>
      </c>
      <c r="H882" t="str">
        <f t="shared" si="45"/>
        <v/>
      </c>
      <c r="I882" s="60" t="str">
        <f t="shared" si="46"/>
        <v/>
      </c>
      <c r="J882" t="str">
        <f t="shared" si="47"/>
        <v/>
      </c>
      <c r="K882" s="60" t="str">
        <f t="shared" si="48"/>
        <v/>
      </c>
      <c r="L882" t="str">
        <f t="shared" si="49"/>
        <v/>
      </c>
    </row>
    <row r="883" spans="1:12" x14ac:dyDescent="0.25">
      <c r="A883" t="s">
        <v>1883</v>
      </c>
      <c r="G883" t="str">
        <f t="shared" si="50"/>
        <v>04/13/19</v>
      </c>
      <c r="H883" t="str">
        <f t="shared" si="45"/>
        <v>Chicago White Sox</v>
      </c>
      <c r="I883" s="60">
        <f t="shared" si="46"/>
        <v>0</v>
      </c>
      <c r="J883" t="str">
        <f t="shared" si="47"/>
        <v>New York Yankees</v>
      </c>
      <c r="K883" s="60">
        <f t="shared" si="48"/>
        <v>4</v>
      </c>
      <c r="L883">
        <f t="shared" si="49"/>
        <v>-4</v>
      </c>
    </row>
    <row r="884" spans="1:12" x14ac:dyDescent="0.25">
      <c r="G884" t="str">
        <f t="shared" si="50"/>
        <v>04/13/19</v>
      </c>
      <c r="H884" t="str">
        <f t="shared" si="45"/>
        <v/>
      </c>
      <c r="I884" s="60" t="str">
        <f t="shared" si="46"/>
        <v/>
      </c>
      <c r="J884" t="str">
        <f t="shared" si="47"/>
        <v/>
      </c>
      <c r="K884" s="60" t="str">
        <f t="shared" si="48"/>
        <v/>
      </c>
      <c r="L884" t="str">
        <f t="shared" si="49"/>
        <v/>
      </c>
    </row>
    <row r="885" spans="1:12" x14ac:dyDescent="0.25">
      <c r="A885" t="s">
        <v>1884</v>
      </c>
      <c r="G885" t="str">
        <f t="shared" si="50"/>
        <v>04/13/19</v>
      </c>
      <c r="H885" t="str">
        <f t="shared" si="45"/>
        <v>Houston Astros</v>
      </c>
      <c r="I885" s="60">
        <f t="shared" si="46"/>
        <v>3</v>
      </c>
      <c r="J885" t="str">
        <f t="shared" si="47"/>
        <v>Seattle Mariners</v>
      </c>
      <c r="K885" s="60">
        <f t="shared" si="48"/>
        <v>1</v>
      </c>
      <c r="L885">
        <f t="shared" si="49"/>
        <v>2</v>
      </c>
    </row>
    <row r="886" spans="1:12" x14ac:dyDescent="0.25">
      <c r="G886" t="str">
        <f t="shared" si="50"/>
        <v>04/13/19</v>
      </c>
      <c r="H886" t="str">
        <f t="shared" si="45"/>
        <v/>
      </c>
      <c r="I886" s="60" t="str">
        <f t="shared" si="46"/>
        <v/>
      </c>
      <c r="J886" t="str">
        <f t="shared" si="47"/>
        <v/>
      </c>
      <c r="K886" s="60" t="str">
        <f t="shared" si="48"/>
        <v/>
      </c>
      <c r="L886" t="str">
        <f t="shared" si="49"/>
        <v/>
      </c>
    </row>
    <row r="887" spans="1:12" x14ac:dyDescent="0.25">
      <c r="A887" t="s">
        <v>1885</v>
      </c>
      <c r="G887" t="str">
        <f t="shared" si="50"/>
        <v>04/13/19</v>
      </c>
      <c r="H887" t="str">
        <f t="shared" si="45"/>
        <v>Colorado Rockies</v>
      </c>
      <c r="I887" s="60">
        <f t="shared" si="46"/>
        <v>2</v>
      </c>
      <c r="J887" t="str">
        <f t="shared" si="47"/>
        <v>San Francisco Giants</v>
      </c>
      <c r="K887" s="60">
        <f t="shared" si="48"/>
        <v>5</v>
      </c>
      <c r="L887">
        <f t="shared" si="49"/>
        <v>-3</v>
      </c>
    </row>
    <row r="888" spans="1:12" x14ac:dyDescent="0.25">
      <c r="G888" t="str">
        <f t="shared" si="50"/>
        <v>04/13/19</v>
      </c>
      <c r="H888" t="str">
        <f t="shared" si="45"/>
        <v/>
      </c>
      <c r="I888" s="60" t="str">
        <f t="shared" si="46"/>
        <v/>
      </c>
      <c r="J888" t="str">
        <f t="shared" si="47"/>
        <v/>
      </c>
      <c r="K888" s="60" t="str">
        <f t="shared" si="48"/>
        <v/>
      </c>
      <c r="L888" t="str">
        <f t="shared" si="49"/>
        <v/>
      </c>
    </row>
    <row r="889" spans="1:12" x14ac:dyDescent="0.25">
      <c r="A889" t="s">
        <v>1886</v>
      </c>
      <c r="G889" t="str">
        <f t="shared" si="50"/>
        <v>04/13/19</v>
      </c>
      <c r="H889" t="str">
        <f t="shared" si="45"/>
        <v>Tampa Bay Rays</v>
      </c>
      <c r="I889" s="60">
        <f t="shared" si="46"/>
        <v>1</v>
      </c>
      <c r="J889" t="str">
        <f t="shared" si="47"/>
        <v>Toronto Blue Jays</v>
      </c>
      <c r="K889" s="60">
        <f t="shared" si="48"/>
        <v>3</v>
      </c>
      <c r="L889">
        <f t="shared" si="49"/>
        <v>-2</v>
      </c>
    </row>
    <row r="890" spans="1:12" x14ac:dyDescent="0.25">
      <c r="G890" t="str">
        <f t="shared" si="50"/>
        <v>04/13/19</v>
      </c>
      <c r="H890" t="str">
        <f t="shared" si="45"/>
        <v/>
      </c>
      <c r="I890" s="60" t="str">
        <f t="shared" si="46"/>
        <v/>
      </c>
      <c r="J890" t="str">
        <f t="shared" si="47"/>
        <v/>
      </c>
      <c r="K890" s="60" t="str">
        <f t="shared" si="48"/>
        <v/>
      </c>
      <c r="L890" t="str">
        <f t="shared" si="49"/>
        <v/>
      </c>
    </row>
    <row r="891" spans="1:12" x14ac:dyDescent="0.25">
      <c r="A891" t="s">
        <v>1887</v>
      </c>
      <c r="G891" t="str">
        <f t="shared" si="50"/>
        <v>04/13/19</v>
      </c>
      <c r="H891" t="str">
        <f t="shared" si="45"/>
        <v>Pittsburgh Pirates</v>
      </c>
      <c r="I891" s="60">
        <f t="shared" si="46"/>
        <v>2</v>
      </c>
      <c r="J891" t="str">
        <f t="shared" si="47"/>
        <v>Washington Nationals</v>
      </c>
      <c r="K891" s="60">
        <f t="shared" si="48"/>
        <v>3</v>
      </c>
      <c r="L891">
        <f t="shared" si="49"/>
        <v>-1</v>
      </c>
    </row>
    <row r="892" spans="1:12" x14ac:dyDescent="0.25">
      <c r="G892" t="str">
        <f t="shared" si="50"/>
        <v>04/13/19</v>
      </c>
      <c r="H892" t="str">
        <f t="shared" si="45"/>
        <v/>
      </c>
      <c r="I892" s="60" t="str">
        <f t="shared" si="46"/>
        <v/>
      </c>
      <c r="J892" t="str">
        <f t="shared" si="47"/>
        <v/>
      </c>
      <c r="K892" s="60" t="str">
        <f t="shared" si="48"/>
        <v/>
      </c>
      <c r="L892" t="str">
        <f t="shared" si="49"/>
        <v/>
      </c>
    </row>
    <row r="893" spans="1:12" x14ac:dyDescent="0.25">
      <c r="A893" t="s">
        <v>1888</v>
      </c>
      <c r="G893" t="str">
        <f t="shared" si="50"/>
        <v>04/13/19</v>
      </c>
      <c r="H893" t="str">
        <f t="shared" si="45"/>
        <v/>
      </c>
      <c r="I893" s="60" t="str">
        <f t="shared" si="46"/>
        <v/>
      </c>
      <c r="J893" t="str">
        <f t="shared" si="47"/>
        <v/>
      </c>
      <c r="K893" s="60" t="str">
        <f t="shared" si="48"/>
        <v/>
      </c>
      <c r="L893" t="str">
        <f t="shared" si="49"/>
        <v/>
      </c>
    </row>
    <row r="894" spans="1:12" x14ac:dyDescent="0.25">
      <c r="G894" t="str">
        <f t="shared" si="50"/>
        <v>04/13/19</v>
      </c>
      <c r="H894" t="str">
        <f t="shared" si="45"/>
        <v/>
      </c>
      <c r="I894" s="60" t="str">
        <f t="shared" si="46"/>
        <v/>
      </c>
      <c r="J894" t="str">
        <f t="shared" si="47"/>
        <v/>
      </c>
      <c r="K894" s="60" t="str">
        <f t="shared" si="48"/>
        <v/>
      </c>
      <c r="L894" t="str">
        <f t="shared" si="49"/>
        <v/>
      </c>
    </row>
    <row r="895" spans="1:12" x14ac:dyDescent="0.25">
      <c r="A895" t="s">
        <v>1889</v>
      </c>
      <c r="G895" t="str">
        <f t="shared" si="50"/>
        <v>04/14/19</v>
      </c>
      <c r="H895" t="str">
        <f t="shared" si="45"/>
        <v/>
      </c>
      <c r="I895" s="60" t="str">
        <f t="shared" si="46"/>
        <v/>
      </c>
      <c r="J895" t="str">
        <f t="shared" si="47"/>
        <v/>
      </c>
      <c r="K895" s="60" t="str">
        <f t="shared" si="48"/>
        <v/>
      </c>
      <c r="L895" t="str">
        <f t="shared" si="49"/>
        <v/>
      </c>
    </row>
    <row r="896" spans="1:12" x14ac:dyDescent="0.25">
      <c r="G896" t="str">
        <f t="shared" si="50"/>
        <v>04/14/19</v>
      </c>
      <c r="H896" t="str">
        <f t="shared" si="45"/>
        <v/>
      </c>
      <c r="I896" s="60" t="str">
        <f t="shared" si="46"/>
        <v/>
      </c>
      <c r="J896" t="str">
        <f t="shared" si="47"/>
        <v/>
      </c>
      <c r="K896" s="60" t="str">
        <f t="shared" si="48"/>
        <v/>
      </c>
      <c r="L896" t="str">
        <f t="shared" si="49"/>
        <v/>
      </c>
    </row>
    <row r="897" spans="1:12" x14ac:dyDescent="0.25">
      <c r="A897" t="s">
        <v>1890</v>
      </c>
      <c r="G897" t="str">
        <f t="shared" si="50"/>
        <v>04/14/19</v>
      </c>
      <c r="H897" t="str">
        <f t="shared" si="45"/>
        <v>San Diego Padres</v>
      </c>
      <c r="I897" s="60">
        <f t="shared" si="46"/>
        <v>4</v>
      </c>
      <c r="J897" t="str">
        <f t="shared" si="47"/>
        <v>Arizona D'Backs</v>
      </c>
      <c r="K897" s="60">
        <f t="shared" si="48"/>
        <v>8</v>
      </c>
      <c r="L897">
        <f t="shared" si="49"/>
        <v>-4</v>
      </c>
    </row>
    <row r="898" spans="1:12" x14ac:dyDescent="0.25">
      <c r="G898" t="str">
        <f t="shared" si="50"/>
        <v>04/14/19</v>
      </c>
      <c r="H898" t="str">
        <f t="shared" si="45"/>
        <v/>
      </c>
      <c r="I898" s="60" t="str">
        <f t="shared" si="46"/>
        <v/>
      </c>
      <c r="J898" t="str">
        <f t="shared" si="47"/>
        <v/>
      </c>
      <c r="K898" s="60" t="str">
        <f t="shared" si="48"/>
        <v/>
      </c>
      <c r="L898" t="str">
        <f t="shared" si="49"/>
        <v/>
      </c>
    </row>
    <row r="899" spans="1:12" x14ac:dyDescent="0.25">
      <c r="A899" t="s">
        <v>1891</v>
      </c>
      <c r="G899" t="str">
        <f t="shared" si="50"/>
        <v>04/14/19</v>
      </c>
      <c r="H899" t="str">
        <f t="shared" si="45"/>
        <v>New York Mets</v>
      </c>
      <c r="I899" s="60">
        <f t="shared" si="46"/>
        <v>3</v>
      </c>
      <c r="J899" t="str">
        <f t="shared" si="47"/>
        <v>Atlanta Braves</v>
      </c>
      <c r="K899" s="60">
        <f t="shared" si="48"/>
        <v>7</v>
      </c>
      <c r="L899">
        <f t="shared" si="49"/>
        <v>-4</v>
      </c>
    </row>
    <row r="900" spans="1:12" x14ac:dyDescent="0.25">
      <c r="G900" t="str">
        <f t="shared" si="50"/>
        <v>04/14/19</v>
      </c>
      <c r="H900" t="str">
        <f t="shared" si="45"/>
        <v/>
      </c>
      <c r="I900" s="60" t="str">
        <f t="shared" si="46"/>
        <v/>
      </c>
      <c r="J900" t="str">
        <f t="shared" si="47"/>
        <v/>
      </c>
      <c r="K900" s="60" t="str">
        <f t="shared" si="48"/>
        <v/>
      </c>
      <c r="L900" t="str">
        <f t="shared" si="49"/>
        <v/>
      </c>
    </row>
    <row r="901" spans="1:12" x14ac:dyDescent="0.25">
      <c r="A901" t="s">
        <v>1892</v>
      </c>
      <c r="G901" t="str">
        <f t="shared" si="50"/>
        <v>04/14/19</v>
      </c>
      <c r="H901" t="str">
        <f t="shared" si="45"/>
        <v>Baltimore Orioles</v>
      </c>
      <c r="I901" s="60">
        <f t="shared" si="46"/>
        <v>0</v>
      </c>
      <c r="J901" t="str">
        <f t="shared" si="47"/>
        <v>Boston Red Sox</v>
      </c>
      <c r="K901" s="60">
        <f t="shared" si="48"/>
        <v>4</v>
      </c>
      <c r="L901">
        <f t="shared" si="49"/>
        <v>-4</v>
      </c>
    </row>
    <row r="902" spans="1:12" x14ac:dyDescent="0.25">
      <c r="G902" t="str">
        <f t="shared" si="50"/>
        <v>04/14/19</v>
      </c>
      <c r="H902" t="str">
        <f t="shared" si="45"/>
        <v/>
      </c>
      <c r="I902" s="60" t="str">
        <f t="shared" si="46"/>
        <v/>
      </c>
      <c r="J902" t="str">
        <f t="shared" si="47"/>
        <v/>
      </c>
      <c r="K902" s="60" t="str">
        <f t="shared" si="48"/>
        <v/>
      </c>
      <c r="L902" t="str">
        <f t="shared" si="49"/>
        <v/>
      </c>
    </row>
    <row r="903" spans="1:12" x14ac:dyDescent="0.25">
      <c r="A903" t="s">
        <v>1893</v>
      </c>
      <c r="G903" t="str">
        <f t="shared" si="50"/>
        <v>04/14/19</v>
      </c>
      <c r="H903" t="str">
        <f t="shared" si="45"/>
        <v>St. Louis Cardinals</v>
      </c>
      <c r="I903" s="60">
        <f t="shared" si="46"/>
        <v>9</v>
      </c>
      <c r="J903" t="str">
        <f t="shared" si="47"/>
        <v>Cincinnati Reds</v>
      </c>
      <c r="K903" s="60">
        <f t="shared" si="48"/>
        <v>5</v>
      </c>
      <c r="L903">
        <f t="shared" si="49"/>
        <v>4</v>
      </c>
    </row>
    <row r="904" spans="1:12" x14ac:dyDescent="0.25">
      <c r="G904" t="str">
        <f t="shared" si="50"/>
        <v>04/14/19</v>
      </c>
      <c r="H904" t="str">
        <f t="shared" si="45"/>
        <v/>
      </c>
      <c r="I904" s="60" t="str">
        <f t="shared" si="46"/>
        <v/>
      </c>
      <c r="J904" t="str">
        <f t="shared" si="47"/>
        <v/>
      </c>
      <c r="K904" s="60" t="str">
        <f t="shared" si="48"/>
        <v/>
      </c>
      <c r="L904" t="str">
        <f t="shared" si="49"/>
        <v/>
      </c>
    </row>
    <row r="905" spans="1:12" x14ac:dyDescent="0.25">
      <c r="A905" t="s">
        <v>1894</v>
      </c>
      <c r="G905" t="str">
        <f t="shared" si="50"/>
        <v>04/14/19</v>
      </c>
      <c r="H905" t="str">
        <f t="shared" si="45"/>
        <v>Cleveland Indians</v>
      </c>
      <c r="I905" s="60">
        <f t="shared" si="46"/>
        <v>8</v>
      </c>
      <c r="J905" t="str">
        <f t="shared" si="47"/>
        <v>Kansas City Royals</v>
      </c>
      <c r="K905" s="60">
        <f t="shared" si="48"/>
        <v>9</v>
      </c>
      <c r="L905">
        <f t="shared" si="49"/>
        <v>-1</v>
      </c>
    </row>
    <row r="906" spans="1:12" x14ac:dyDescent="0.25">
      <c r="G906" t="str">
        <f t="shared" si="50"/>
        <v>04/14/19</v>
      </c>
      <c r="H906" t="str">
        <f t="shared" si="45"/>
        <v/>
      </c>
      <c r="I906" s="60" t="str">
        <f t="shared" si="46"/>
        <v/>
      </c>
      <c r="J906" t="str">
        <f t="shared" si="47"/>
        <v/>
      </c>
      <c r="K906" s="60" t="str">
        <f t="shared" si="48"/>
        <v/>
      </c>
      <c r="L906" t="str">
        <f t="shared" si="49"/>
        <v/>
      </c>
    </row>
    <row r="907" spans="1:12" x14ac:dyDescent="0.25">
      <c r="A907" t="s">
        <v>1895</v>
      </c>
      <c r="G907" t="str">
        <f t="shared" si="50"/>
        <v>04/14/19</v>
      </c>
      <c r="H907" t="str">
        <f t="shared" si="45"/>
        <v>Milwaukee Brewers</v>
      </c>
      <c r="I907" s="60">
        <f t="shared" si="46"/>
        <v>1</v>
      </c>
      <c r="J907" t="str">
        <f t="shared" si="47"/>
        <v>Los Angeles Dodgers</v>
      </c>
      <c r="K907" s="60">
        <f t="shared" si="48"/>
        <v>7</v>
      </c>
      <c r="L907">
        <f t="shared" si="49"/>
        <v>-6</v>
      </c>
    </row>
    <row r="908" spans="1:12" x14ac:dyDescent="0.25">
      <c r="G908" t="str">
        <f t="shared" si="50"/>
        <v>04/14/19</v>
      </c>
      <c r="H908" t="str">
        <f t="shared" si="45"/>
        <v/>
      </c>
      <c r="I908" s="60" t="str">
        <f t="shared" si="46"/>
        <v/>
      </c>
      <c r="J908" t="str">
        <f t="shared" si="47"/>
        <v/>
      </c>
      <c r="K908" s="60" t="str">
        <f t="shared" si="48"/>
        <v/>
      </c>
      <c r="L908" t="str">
        <f t="shared" si="49"/>
        <v/>
      </c>
    </row>
    <row r="909" spans="1:12" x14ac:dyDescent="0.25">
      <c r="A909" t="s">
        <v>1896</v>
      </c>
      <c r="G909" t="str">
        <f t="shared" si="50"/>
        <v>04/14/19</v>
      </c>
      <c r="H909" t="str">
        <f t="shared" si="45"/>
        <v>Philadelphia Phillies</v>
      </c>
      <c r="I909" s="60">
        <f t="shared" si="46"/>
        <v>3</v>
      </c>
      <c r="J909" t="str">
        <f t="shared" si="47"/>
        <v>Miami Marlins</v>
      </c>
      <c r="K909" s="60">
        <f t="shared" si="48"/>
        <v>1</v>
      </c>
      <c r="L909">
        <f t="shared" si="49"/>
        <v>2</v>
      </c>
    </row>
    <row r="910" spans="1:12" x14ac:dyDescent="0.25">
      <c r="G910" t="str">
        <f t="shared" si="50"/>
        <v>04/14/19</v>
      </c>
      <c r="H910" t="str">
        <f t="shared" si="45"/>
        <v/>
      </c>
      <c r="I910" s="60" t="str">
        <f t="shared" si="46"/>
        <v/>
      </c>
      <c r="J910" t="str">
        <f t="shared" si="47"/>
        <v/>
      </c>
      <c r="K910" s="60" t="str">
        <f t="shared" si="48"/>
        <v/>
      </c>
      <c r="L910" t="str">
        <f t="shared" si="49"/>
        <v/>
      </c>
    </row>
    <row r="911" spans="1:12" x14ac:dyDescent="0.25">
      <c r="A911" t="s">
        <v>1897</v>
      </c>
      <c r="G911" t="str">
        <f t="shared" si="50"/>
        <v>04/14/19</v>
      </c>
      <c r="H911" t="str">
        <f t="shared" si="45"/>
        <v>Detroit Tigers</v>
      </c>
      <c r="I911" s="60">
        <f t="shared" si="46"/>
        <v>4</v>
      </c>
      <c r="J911" t="str">
        <f t="shared" si="47"/>
        <v>Minnesota Twins</v>
      </c>
      <c r="K911" s="60">
        <f t="shared" si="48"/>
        <v>6</v>
      </c>
      <c r="L911">
        <f t="shared" si="49"/>
        <v>-2</v>
      </c>
    </row>
    <row r="912" spans="1:12" x14ac:dyDescent="0.25">
      <c r="G912" t="str">
        <f t="shared" si="50"/>
        <v>04/14/19</v>
      </c>
      <c r="H912" t="str">
        <f t="shared" ref="H912:H975" si="51">IFERROR(LEFT(MID(A912,1,SEARCH("@",A912)-2),SEARCH("(",A912)-2),"")</f>
        <v/>
      </c>
      <c r="I912" s="60" t="str">
        <f t="shared" ref="I912:I975" si="52">IFERROR(VALUE(MID(A912,SEARCH("(",A912)+1,SEARCH(")",A912)-SEARCH("(",A912)-1)),"")</f>
        <v/>
      </c>
      <c r="J912" t="str">
        <f t="shared" ref="J912:J975" si="53">IFERROR(MID(A912,SEARCH("@",A912)+2,SEARCH("(",A912,SEARCH("@",A912))-SEARCH("@",A912)-3),"")</f>
        <v/>
      </c>
      <c r="K912" s="60" t="str">
        <f t="shared" ref="K912:K975" si="54">IFERROR(VALUE(MID(A912,SEARCH(J912,A912)+LEN(J912)+2,(SEARCH(")",A912,SEARCH("@",A912))-SEARCH("(",A912,SEARCH("@",A912))-1))),"")</f>
        <v/>
      </c>
      <c r="L912" t="str">
        <f t="shared" ref="L912:L975" si="55">IFERROR(I912-K912,"")</f>
        <v/>
      </c>
    </row>
    <row r="913" spans="1:12" x14ac:dyDescent="0.25">
      <c r="A913" t="s">
        <v>1898</v>
      </c>
      <c r="G913" t="str">
        <f t="shared" si="50"/>
        <v>04/14/19</v>
      </c>
      <c r="H913" t="str">
        <f t="shared" si="51"/>
        <v>Chicago White Sox</v>
      </c>
      <c r="I913" s="60">
        <f t="shared" si="52"/>
        <v>5</v>
      </c>
      <c r="J913" t="str">
        <f t="shared" si="53"/>
        <v>New York Yankees</v>
      </c>
      <c r="K913" s="60">
        <f t="shared" si="54"/>
        <v>2</v>
      </c>
      <c r="L913">
        <f t="shared" si="55"/>
        <v>3</v>
      </c>
    </row>
    <row r="914" spans="1:12" x14ac:dyDescent="0.25">
      <c r="G914" t="str">
        <f t="shared" si="50"/>
        <v>04/14/19</v>
      </c>
      <c r="H914" t="str">
        <f t="shared" si="51"/>
        <v/>
      </c>
      <c r="I914" s="60" t="str">
        <f t="shared" si="52"/>
        <v/>
      </c>
      <c r="J914" t="str">
        <f t="shared" si="53"/>
        <v/>
      </c>
      <c r="K914" s="60" t="str">
        <f t="shared" si="54"/>
        <v/>
      </c>
      <c r="L914" t="str">
        <f t="shared" si="55"/>
        <v/>
      </c>
    </row>
    <row r="915" spans="1:12" x14ac:dyDescent="0.25">
      <c r="A915" t="s">
        <v>1899</v>
      </c>
      <c r="G915" t="str">
        <f t="shared" si="50"/>
        <v>04/14/19</v>
      </c>
      <c r="H915" t="str">
        <f t="shared" si="51"/>
        <v>Houston Astros</v>
      </c>
      <c r="I915" s="60">
        <f t="shared" si="52"/>
        <v>3</v>
      </c>
      <c r="J915" t="str">
        <f t="shared" si="53"/>
        <v>Seattle Mariners</v>
      </c>
      <c r="K915" s="60">
        <f t="shared" si="54"/>
        <v>2</v>
      </c>
      <c r="L915">
        <f t="shared" si="55"/>
        <v>1</v>
      </c>
    </row>
    <row r="916" spans="1:12" x14ac:dyDescent="0.25">
      <c r="G916" t="str">
        <f t="shared" si="50"/>
        <v>04/14/19</v>
      </c>
      <c r="H916" t="str">
        <f t="shared" si="51"/>
        <v/>
      </c>
      <c r="I916" s="60" t="str">
        <f t="shared" si="52"/>
        <v/>
      </c>
      <c r="J916" t="str">
        <f t="shared" si="53"/>
        <v/>
      </c>
      <c r="K916" s="60" t="str">
        <f t="shared" si="54"/>
        <v/>
      </c>
      <c r="L916" t="str">
        <f t="shared" si="55"/>
        <v/>
      </c>
    </row>
    <row r="917" spans="1:12" x14ac:dyDescent="0.25">
      <c r="A917" t="s">
        <v>1900</v>
      </c>
      <c r="G917" t="str">
        <f t="shared" si="50"/>
        <v>04/14/19</v>
      </c>
      <c r="H917" t="str">
        <f t="shared" si="51"/>
        <v>Colorado Rockies</v>
      </c>
      <c r="I917" s="60">
        <f t="shared" si="52"/>
        <v>4</v>
      </c>
      <c r="J917" t="str">
        <f t="shared" si="53"/>
        <v>San Francisco Giants</v>
      </c>
      <c r="K917" s="60">
        <f t="shared" si="54"/>
        <v>0</v>
      </c>
      <c r="L917">
        <f t="shared" si="55"/>
        <v>4</v>
      </c>
    </row>
    <row r="918" spans="1:12" x14ac:dyDescent="0.25">
      <c r="G918" t="str">
        <f t="shared" si="50"/>
        <v>04/14/19</v>
      </c>
      <c r="H918" t="str">
        <f t="shared" si="51"/>
        <v/>
      </c>
      <c r="I918" s="60" t="str">
        <f t="shared" si="52"/>
        <v/>
      </c>
      <c r="J918" t="str">
        <f t="shared" si="53"/>
        <v/>
      </c>
      <c r="K918" s="60" t="str">
        <f t="shared" si="54"/>
        <v/>
      </c>
      <c r="L918" t="str">
        <f t="shared" si="55"/>
        <v/>
      </c>
    </row>
    <row r="919" spans="1:12" x14ac:dyDescent="0.25">
      <c r="A919" t="s">
        <v>1901</v>
      </c>
      <c r="G919" t="str">
        <f t="shared" si="50"/>
        <v>04/14/19</v>
      </c>
      <c r="H919" t="str">
        <f t="shared" si="51"/>
        <v>Oakland Athletics</v>
      </c>
      <c r="I919" s="60">
        <f t="shared" si="52"/>
        <v>7</v>
      </c>
      <c r="J919" t="str">
        <f t="shared" si="53"/>
        <v>Texas Rangers</v>
      </c>
      <c r="K919" s="60">
        <f t="shared" si="54"/>
        <v>8</v>
      </c>
      <c r="L919">
        <f t="shared" si="55"/>
        <v>-1</v>
      </c>
    </row>
    <row r="920" spans="1:12" x14ac:dyDescent="0.25">
      <c r="G920" t="str">
        <f t="shared" si="50"/>
        <v>04/14/19</v>
      </c>
      <c r="H920" t="str">
        <f t="shared" si="51"/>
        <v/>
      </c>
      <c r="I920" s="60" t="str">
        <f t="shared" si="52"/>
        <v/>
      </c>
      <c r="J920" t="str">
        <f t="shared" si="53"/>
        <v/>
      </c>
      <c r="K920" s="60" t="str">
        <f t="shared" si="54"/>
        <v/>
      </c>
      <c r="L920" t="str">
        <f t="shared" si="55"/>
        <v/>
      </c>
    </row>
    <row r="921" spans="1:12" x14ac:dyDescent="0.25">
      <c r="A921" t="s">
        <v>1902</v>
      </c>
      <c r="G921" t="str">
        <f t="shared" si="50"/>
        <v>04/14/19</v>
      </c>
      <c r="H921" t="str">
        <f t="shared" si="51"/>
        <v>Tampa Bay Rays</v>
      </c>
      <c r="I921" s="60">
        <f t="shared" si="52"/>
        <v>8</v>
      </c>
      <c r="J921" t="str">
        <f t="shared" si="53"/>
        <v>Toronto Blue Jays</v>
      </c>
      <c r="K921" s="60">
        <f t="shared" si="54"/>
        <v>4</v>
      </c>
      <c r="L921">
        <f t="shared" si="55"/>
        <v>4</v>
      </c>
    </row>
    <row r="922" spans="1:12" x14ac:dyDescent="0.25">
      <c r="G922" t="str">
        <f t="shared" si="50"/>
        <v>04/14/19</v>
      </c>
      <c r="H922" t="str">
        <f t="shared" si="51"/>
        <v/>
      </c>
      <c r="I922" s="60" t="str">
        <f t="shared" si="52"/>
        <v/>
      </c>
      <c r="J922" t="str">
        <f t="shared" si="53"/>
        <v/>
      </c>
      <c r="K922" s="60" t="str">
        <f t="shared" si="54"/>
        <v/>
      </c>
      <c r="L922" t="str">
        <f t="shared" si="55"/>
        <v/>
      </c>
    </row>
    <row r="923" spans="1:12" x14ac:dyDescent="0.25">
      <c r="A923" t="s">
        <v>1903</v>
      </c>
      <c r="G923" t="str">
        <f t="shared" si="50"/>
        <v>04/14/19</v>
      </c>
      <c r="H923" t="str">
        <f t="shared" si="51"/>
        <v>Pittsburgh Pirates</v>
      </c>
      <c r="I923" s="60">
        <f t="shared" si="52"/>
        <v>4</v>
      </c>
      <c r="J923" t="str">
        <f t="shared" si="53"/>
        <v>Washington Nationals</v>
      </c>
      <c r="K923" s="60">
        <f t="shared" si="54"/>
        <v>3</v>
      </c>
      <c r="L923">
        <f t="shared" si="55"/>
        <v>1</v>
      </c>
    </row>
    <row r="924" spans="1:12" x14ac:dyDescent="0.25">
      <c r="G924" t="str">
        <f t="shared" si="50"/>
        <v>04/14/19</v>
      </c>
      <c r="H924" t="str">
        <f t="shared" si="51"/>
        <v/>
      </c>
      <c r="I924" s="60" t="str">
        <f t="shared" si="52"/>
        <v/>
      </c>
      <c r="J924" t="str">
        <f t="shared" si="53"/>
        <v/>
      </c>
      <c r="K924" s="60" t="str">
        <f t="shared" si="54"/>
        <v/>
      </c>
      <c r="L924" t="str">
        <f t="shared" si="55"/>
        <v/>
      </c>
    </row>
    <row r="925" spans="1:12" x14ac:dyDescent="0.25">
      <c r="A925" t="s">
        <v>1904</v>
      </c>
      <c r="G925" t="str">
        <f t="shared" si="50"/>
        <v>04/14/19</v>
      </c>
      <c r="H925" t="str">
        <f t="shared" si="51"/>
        <v/>
      </c>
      <c r="I925" s="60" t="str">
        <f t="shared" si="52"/>
        <v/>
      </c>
      <c r="J925" t="str">
        <f t="shared" si="53"/>
        <v/>
      </c>
      <c r="K925" s="60" t="str">
        <f t="shared" si="54"/>
        <v/>
      </c>
      <c r="L925" t="str">
        <f t="shared" si="55"/>
        <v/>
      </c>
    </row>
    <row r="926" spans="1:12" x14ac:dyDescent="0.25">
      <c r="G926" t="str">
        <f t="shared" si="50"/>
        <v>04/14/19</v>
      </c>
      <c r="H926" t="str">
        <f t="shared" si="51"/>
        <v/>
      </c>
      <c r="I926" s="60" t="str">
        <f t="shared" si="52"/>
        <v/>
      </c>
      <c r="J926" t="str">
        <f t="shared" si="53"/>
        <v/>
      </c>
      <c r="K926" s="60" t="str">
        <f t="shared" si="54"/>
        <v/>
      </c>
      <c r="L926" t="str">
        <f t="shared" si="55"/>
        <v/>
      </c>
    </row>
    <row r="927" spans="1:12" x14ac:dyDescent="0.25">
      <c r="A927" t="s">
        <v>1905</v>
      </c>
      <c r="G927" t="str">
        <f t="shared" si="50"/>
        <v>04/15/19</v>
      </c>
      <c r="H927" t="str">
        <f t="shared" si="51"/>
        <v/>
      </c>
      <c r="I927" s="60" t="str">
        <f t="shared" si="52"/>
        <v/>
      </c>
      <c r="J927" t="str">
        <f t="shared" si="53"/>
        <v/>
      </c>
      <c r="K927" s="60" t="str">
        <f t="shared" si="54"/>
        <v/>
      </c>
      <c r="L927" t="str">
        <f t="shared" si="55"/>
        <v/>
      </c>
    </row>
    <row r="928" spans="1:12" x14ac:dyDescent="0.25">
      <c r="G928" t="str">
        <f t="shared" si="50"/>
        <v>04/15/19</v>
      </c>
      <c r="H928" t="str">
        <f t="shared" si="51"/>
        <v/>
      </c>
      <c r="I928" s="60" t="str">
        <f t="shared" si="52"/>
        <v/>
      </c>
      <c r="J928" t="str">
        <f t="shared" si="53"/>
        <v/>
      </c>
      <c r="K928" s="60" t="str">
        <f t="shared" si="54"/>
        <v/>
      </c>
      <c r="L928" t="str">
        <f t="shared" si="55"/>
        <v/>
      </c>
    </row>
    <row r="929" spans="1:12" x14ac:dyDescent="0.25">
      <c r="A929" t="s">
        <v>1906</v>
      </c>
      <c r="G929" t="str">
        <f t="shared" si="50"/>
        <v>04/15/19</v>
      </c>
      <c r="H929" t="str">
        <f t="shared" si="51"/>
        <v>Baltimore Orioles</v>
      </c>
      <c r="I929" s="60">
        <f t="shared" si="52"/>
        <v>8</v>
      </c>
      <c r="J929" t="str">
        <f t="shared" si="53"/>
        <v>Boston Red Sox</v>
      </c>
      <c r="K929" s="60">
        <f t="shared" si="54"/>
        <v>1</v>
      </c>
      <c r="L929">
        <f t="shared" si="55"/>
        <v>7</v>
      </c>
    </row>
    <row r="930" spans="1:12" x14ac:dyDescent="0.25">
      <c r="G930" t="str">
        <f t="shared" ref="G930:G993" si="56">IF(ISNUMBER(MATCH(IFERROR(LEFT(A930,SEARCH(",",A930)-1),""),$G$220:$M$220,0)),TEXT(MID(A930,SEARCH(",",A930)+2,LEN(A930)),"mm/dd/yy"),G929)</f>
        <v>04/15/19</v>
      </c>
      <c r="H930" t="str">
        <f t="shared" si="51"/>
        <v/>
      </c>
      <c r="I930" s="60" t="str">
        <f t="shared" si="52"/>
        <v/>
      </c>
      <c r="J930" t="str">
        <f t="shared" si="53"/>
        <v/>
      </c>
      <c r="K930" s="60" t="str">
        <f t="shared" si="54"/>
        <v/>
      </c>
      <c r="L930" t="str">
        <f t="shared" si="55"/>
        <v/>
      </c>
    </row>
    <row r="931" spans="1:12" x14ac:dyDescent="0.25">
      <c r="A931" t="s">
        <v>1907</v>
      </c>
      <c r="G931" t="str">
        <f t="shared" si="56"/>
        <v>04/15/19</v>
      </c>
      <c r="H931" t="str">
        <f t="shared" si="51"/>
        <v>Kansas City Royals</v>
      </c>
      <c r="I931" s="60">
        <f t="shared" si="52"/>
        <v>4</v>
      </c>
      <c r="J931" t="str">
        <f t="shared" si="53"/>
        <v>Chicago White Sox</v>
      </c>
      <c r="K931" s="60">
        <f t="shared" si="54"/>
        <v>5</v>
      </c>
      <c r="L931">
        <f t="shared" si="55"/>
        <v>-1</v>
      </c>
    </row>
    <row r="932" spans="1:12" x14ac:dyDescent="0.25">
      <c r="G932" t="str">
        <f t="shared" si="56"/>
        <v>04/15/19</v>
      </c>
      <c r="H932" t="str">
        <f t="shared" si="51"/>
        <v/>
      </c>
      <c r="I932" s="60" t="str">
        <f t="shared" si="52"/>
        <v/>
      </c>
      <c r="J932" t="str">
        <f t="shared" si="53"/>
        <v/>
      </c>
      <c r="K932" s="60" t="str">
        <f t="shared" si="54"/>
        <v/>
      </c>
      <c r="L932" t="str">
        <f t="shared" si="55"/>
        <v/>
      </c>
    </row>
    <row r="933" spans="1:12" x14ac:dyDescent="0.25">
      <c r="A933" t="s">
        <v>1908</v>
      </c>
      <c r="G933" t="str">
        <f t="shared" si="56"/>
        <v>04/15/19</v>
      </c>
      <c r="H933" t="str">
        <f t="shared" si="51"/>
        <v>Cincinnati Reds</v>
      </c>
      <c r="I933" s="60">
        <f t="shared" si="52"/>
        <v>3</v>
      </c>
      <c r="J933" t="str">
        <f t="shared" si="53"/>
        <v>Los Angeles Dodgers</v>
      </c>
      <c r="K933" s="60">
        <f t="shared" si="54"/>
        <v>4</v>
      </c>
      <c r="L933">
        <f t="shared" si="55"/>
        <v>-1</v>
      </c>
    </row>
    <row r="934" spans="1:12" x14ac:dyDescent="0.25">
      <c r="G934" t="str">
        <f t="shared" si="56"/>
        <v>04/15/19</v>
      </c>
      <c r="H934" t="str">
        <f t="shared" si="51"/>
        <v/>
      </c>
      <c r="I934" s="60" t="str">
        <f t="shared" si="52"/>
        <v/>
      </c>
      <c r="J934" t="str">
        <f t="shared" si="53"/>
        <v/>
      </c>
      <c r="K934" s="60" t="str">
        <f t="shared" si="54"/>
        <v/>
      </c>
      <c r="L934" t="str">
        <f t="shared" si="55"/>
        <v/>
      </c>
    </row>
    <row r="935" spans="1:12" x14ac:dyDescent="0.25">
      <c r="A935" t="s">
        <v>1909</v>
      </c>
      <c r="G935" t="str">
        <f t="shared" si="56"/>
        <v>04/15/19</v>
      </c>
      <c r="H935" t="str">
        <f t="shared" si="51"/>
        <v>Chicago Cubs</v>
      </c>
      <c r="I935" s="60">
        <f t="shared" si="52"/>
        <v>7</v>
      </c>
      <c r="J935" t="str">
        <f t="shared" si="53"/>
        <v>Miami Marlins</v>
      </c>
      <c r="K935" s="60">
        <f t="shared" si="54"/>
        <v>2</v>
      </c>
      <c r="L935">
        <f t="shared" si="55"/>
        <v>5</v>
      </c>
    </row>
    <row r="936" spans="1:12" x14ac:dyDescent="0.25">
      <c r="G936" t="str">
        <f t="shared" si="56"/>
        <v>04/15/19</v>
      </c>
      <c r="H936" t="str">
        <f t="shared" si="51"/>
        <v/>
      </c>
      <c r="I936" s="60" t="str">
        <f t="shared" si="52"/>
        <v/>
      </c>
      <c r="J936" t="str">
        <f t="shared" si="53"/>
        <v/>
      </c>
      <c r="K936" s="60" t="str">
        <f t="shared" si="54"/>
        <v/>
      </c>
      <c r="L936" t="str">
        <f t="shared" si="55"/>
        <v/>
      </c>
    </row>
    <row r="937" spans="1:12" x14ac:dyDescent="0.25">
      <c r="A937" t="s">
        <v>1910</v>
      </c>
      <c r="G937" t="str">
        <f t="shared" si="56"/>
        <v>04/15/19</v>
      </c>
      <c r="H937" t="str">
        <f t="shared" si="51"/>
        <v>St. Louis Cardinals</v>
      </c>
      <c r="I937" s="60">
        <f t="shared" si="52"/>
        <v>7</v>
      </c>
      <c r="J937" t="str">
        <f t="shared" si="53"/>
        <v>Milwaukee Brewers</v>
      </c>
      <c r="K937" s="60">
        <f t="shared" si="54"/>
        <v>10</v>
      </c>
      <c r="L937">
        <f t="shared" si="55"/>
        <v>-3</v>
      </c>
    </row>
    <row r="938" spans="1:12" x14ac:dyDescent="0.25">
      <c r="G938" t="str">
        <f t="shared" si="56"/>
        <v>04/15/19</v>
      </c>
      <c r="H938" t="str">
        <f t="shared" si="51"/>
        <v/>
      </c>
      <c r="I938" s="60" t="str">
        <f t="shared" si="52"/>
        <v/>
      </c>
      <c r="J938" t="str">
        <f t="shared" si="53"/>
        <v/>
      </c>
      <c r="K938" s="60" t="str">
        <f t="shared" si="54"/>
        <v/>
      </c>
      <c r="L938" t="str">
        <f t="shared" si="55"/>
        <v/>
      </c>
    </row>
    <row r="939" spans="1:12" x14ac:dyDescent="0.25">
      <c r="A939" t="s">
        <v>1911</v>
      </c>
      <c r="G939" t="str">
        <f t="shared" si="56"/>
        <v>04/15/19</v>
      </c>
      <c r="H939" t="str">
        <f t="shared" si="51"/>
        <v>Toronto Blue Jays</v>
      </c>
      <c r="I939" s="60">
        <f t="shared" si="52"/>
        <v>5</v>
      </c>
      <c r="J939" t="str">
        <f t="shared" si="53"/>
        <v>Minnesota Twins</v>
      </c>
      <c r="K939" s="60">
        <f t="shared" si="54"/>
        <v>3</v>
      </c>
      <c r="L939">
        <f t="shared" si="55"/>
        <v>2</v>
      </c>
    </row>
    <row r="940" spans="1:12" x14ac:dyDescent="0.25">
      <c r="G940" t="str">
        <f t="shared" si="56"/>
        <v>04/15/19</v>
      </c>
      <c r="H940" t="str">
        <f t="shared" si="51"/>
        <v/>
      </c>
      <c r="I940" s="60" t="str">
        <f t="shared" si="52"/>
        <v/>
      </c>
      <c r="J940" t="str">
        <f t="shared" si="53"/>
        <v/>
      </c>
      <c r="K940" s="60" t="str">
        <f t="shared" si="54"/>
        <v/>
      </c>
      <c r="L940" t="str">
        <f t="shared" si="55"/>
        <v/>
      </c>
    </row>
    <row r="941" spans="1:12" x14ac:dyDescent="0.25">
      <c r="A941" t="s">
        <v>1912</v>
      </c>
      <c r="G941" t="str">
        <f t="shared" si="56"/>
        <v>04/15/19</v>
      </c>
      <c r="H941" t="str">
        <f t="shared" si="51"/>
        <v>New York Mets</v>
      </c>
      <c r="I941" s="60">
        <f t="shared" si="52"/>
        <v>7</v>
      </c>
      <c r="J941" t="str">
        <f t="shared" si="53"/>
        <v>Philadelphia Phillies</v>
      </c>
      <c r="K941" s="60">
        <f t="shared" si="54"/>
        <v>6</v>
      </c>
      <c r="L941">
        <f t="shared" si="55"/>
        <v>1</v>
      </c>
    </row>
    <row r="942" spans="1:12" x14ac:dyDescent="0.25">
      <c r="G942" t="str">
        <f t="shared" si="56"/>
        <v>04/15/19</v>
      </c>
      <c r="H942" t="str">
        <f t="shared" si="51"/>
        <v/>
      </c>
      <c r="I942" s="60" t="str">
        <f t="shared" si="52"/>
        <v/>
      </c>
      <c r="J942" t="str">
        <f t="shared" si="53"/>
        <v/>
      </c>
      <c r="K942" s="60" t="str">
        <f t="shared" si="54"/>
        <v/>
      </c>
      <c r="L942" t="str">
        <f t="shared" si="55"/>
        <v/>
      </c>
    </row>
    <row r="943" spans="1:12" x14ac:dyDescent="0.25">
      <c r="A943" t="s">
        <v>1913</v>
      </c>
      <c r="G943" t="str">
        <f t="shared" si="56"/>
        <v>04/15/19</v>
      </c>
      <c r="H943" t="str">
        <f t="shared" si="51"/>
        <v>Colorado Rockies</v>
      </c>
      <c r="I943" s="60">
        <f t="shared" si="52"/>
        <v>5</v>
      </c>
      <c r="J943" t="str">
        <f t="shared" si="53"/>
        <v>San Diego Padres</v>
      </c>
      <c r="K943" s="60">
        <f t="shared" si="54"/>
        <v>2</v>
      </c>
      <c r="L943">
        <f t="shared" si="55"/>
        <v>3</v>
      </c>
    </row>
    <row r="944" spans="1:12" x14ac:dyDescent="0.25">
      <c r="G944" t="str">
        <f t="shared" si="56"/>
        <v>04/15/19</v>
      </c>
      <c r="H944" t="str">
        <f t="shared" si="51"/>
        <v/>
      </c>
      <c r="I944" s="60" t="str">
        <f t="shared" si="52"/>
        <v/>
      </c>
      <c r="J944" t="str">
        <f t="shared" si="53"/>
        <v/>
      </c>
      <c r="K944" s="60" t="str">
        <f t="shared" si="54"/>
        <v/>
      </c>
      <c r="L944" t="str">
        <f t="shared" si="55"/>
        <v/>
      </c>
    </row>
    <row r="945" spans="1:12" x14ac:dyDescent="0.25">
      <c r="A945" t="s">
        <v>1914</v>
      </c>
      <c r="G945" t="str">
        <f t="shared" si="56"/>
        <v>04/15/19</v>
      </c>
      <c r="H945" t="str">
        <f t="shared" si="51"/>
        <v>Cleveland Indians</v>
      </c>
      <c r="I945" s="60">
        <f t="shared" si="52"/>
        <v>6</v>
      </c>
      <c r="J945" t="str">
        <f t="shared" si="53"/>
        <v>Seattle Mariners</v>
      </c>
      <c r="K945" s="60">
        <f t="shared" si="54"/>
        <v>4</v>
      </c>
      <c r="L945">
        <f t="shared" si="55"/>
        <v>2</v>
      </c>
    </row>
    <row r="946" spans="1:12" x14ac:dyDescent="0.25">
      <c r="G946" t="str">
        <f t="shared" si="56"/>
        <v>04/15/19</v>
      </c>
      <c r="H946" t="str">
        <f t="shared" si="51"/>
        <v/>
      </c>
      <c r="I946" s="60" t="str">
        <f t="shared" si="52"/>
        <v/>
      </c>
      <c r="J946" t="str">
        <f t="shared" si="53"/>
        <v/>
      </c>
      <c r="K946" s="60" t="str">
        <f t="shared" si="54"/>
        <v/>
      </c>
      <c r="L946" t="str">
        <f t="shared" si="55"/>
        <v/>
      </c>
    </row>
    <row r="947" spans="1:12" x14ac:dyDescent="0.25">
      <c r="A947" t="s">
        <v>1915</v>
      </c>
      <c r="G947" t="str">
        <f t="shared" si="56"/>
        <v>04/15/19</v>
      </c>
      <c r="H947" t="str">
        <f t="shared" si="51"/>
        <v>Los Angeles Angels</v>
      </c>
      <c r="I947" s="60">
        <f t="shared" si="52"/>
        <v>7</v>
      </c>
      <c r="J947" t="str">
        <f t="shared" si="53"/>
        <v>Texas Rangers</v>
      </c>
      <c r="K947" s="60">
        <f t="shared" si="54"/>
        <v>12</v>
      </c>
      <c r="L947">
        <f t="shared" si="55"/>
        <v>-5</v>
      </c>
    </row>
    <row r="948" spans="1:12" x14ac:dyDescent="0.25">
      <c r="G948" t="str">
        <f t="shared" si="56"/>
        <v>04/15/19</v>
      </c>
      <c r="H948" t="str">
        <f t="shared" si="51"/>
        <v/>
      </c>
      <c r="I948" s="60" t="str">
        <f t="shared" si="52"/>
        <v/>
      </c>
      <c r="J948" t="str">
        <f t="shared" si="53"/>
        <v/>
      </c>
      <c r="K948" s="60" t="str">
        <f t="shared" si="54"/>
        <v/>
      </c>
      <c r="L948" t="str">
        <f t="shared" si="55"/>
        <v/>
      </c>
    </row>
    <row r="949" spans="1:12" x14ac:dyDescent="0.25">
      <c r="A949" t="s">
        <v>1916</v>
      </c>
      <c r="G949" t="str">
        <f t="shared" si="56"/>
        <v>04/15/19</v>
      </c>
      <c r="H949" t="str">
        <f t="shared" si="51"/>
        <v/>
      </c>
      <c r="I949" s="60" t="str">
        <f t="shared" si="52"/>
        <v/>
      </c>
      <c r="J949" t="str">
        <f t="shared" si="53"/>
        <v/>
      </c>
      <c r="K949" s="60" t="str">
        <f t="shared" si="54"/>
        <v/>
      </c>
      <c r="L949" t="str">
        <f t="shared" si="55"/>
        <v/>
      </c>
    </row>
    <row r="950" spans="1:12" x14ac:dyDescent="0.25">
      <c r="G950" t="str">
        <f t="shared" si="56"/>
        <v>04/15/19</v>
      </c>
      <c r="H950" t="str">
        <f t="shared" si="51"/>
        <v/>
      </c>
      <c r="I950" s="60" t="str">
        <f t="shared" si="52"/>
        <v/>
      </c>
      <c r="J950" t="str">
        <f t="shared" si="53"/>
        <v/>
      </c>
      <c r="K950" s="60" t="str">
        <f t="shared" si="54"/>
        <v/>
      </c>
      <c r="L950" t="str">
        <f t="shared" si="55"/>
        <v/>
      </c>
    </row>
    <row r="951" spans="1:12" x14ac:dyDescent="0.25">
      <c r="A951" t="s">
        <v>1917</v>
      </c>
      <c r="G951" t="str">
        <f t="shared" si="56"/>
        <v>04/16/19</v>
      </c>
      <c r="H951" t="str">
        <f t="shared" si="51"/>
        <v/>
      </c>
      <c r="I951" s="60" t="str">
        <f t="shared" si="52"/>
        <v/>
      </c>
      <c r="J951" t="str">
        <f t="shared" si="53"/>
        <v/>
      </c>
      <c r="K951" s="60" t="str">
        <f t="shared" si="54"/>
        <v/>
      </c>
      <c r="L951" t="str">
        <f t="shared" si="55"/>
        <v/>
      </c>
    </row>
    <row r="952" spans="1:12" x14ac:dyDescent="0.25">
      <c r="G952" t="str">
        <f t="shared" si="56"/>
        <v>04/16/19</v>
      </c>
      <c r="H952" t="str">
        <f t="shared" si="51"/>
        <v/>
      </c>
      <c r="I952" s="60" t="str">
        <f t="shared" si="52"/>
        <v/>
      </c>
      <c r="J952" t="str">
        <f t="shared" si="53"/>
        <v/>
      </c>
      <c r="K952" s="60" t="str">
        <f t="shared" si="54"/>
        <v/>
      </c>
      <c r="L952" t="str">
        <f t="shared" si="55"/>
        <v/>
      </c>
    </row>
    <row r="953" spans="1:12" x14ac:dyDescent="0.25">
      <c r="A953" t="s">
        <v>1918</v>
      </c>
      <c r="G953" t="str">
        <f t="shared" si="56"/>
        <v>04/16/19</v>
      </c>
      <c r="H953" t="str">
        <f t="shared" si="51"/>
        <v>Arizona D'Backs</v>
      </c>
      <c r="I953" s="60">
        <f t="shared" si="52"/>
        <v>9</v>
      </c>
      <c r="J953" t="str">
        <f t="shared" si="53"/>
        <v>Atlanta Braves</v>
      </c>
      <c r="K953" s="60">
        <f t="shared" si="54"/>
        <v>6</v>
      </c>
      <c r="L953">
        <f t="shared" si="55"/>
        <v>3</v>
      </c>
    </row>
    <row r="954" spans="1:12" x14ac:dyDescent="0.25">
      <c r="G954" t="str">
        <f t="shared" si="56"/>
        <v>04/16/19</v>
      </c>
      <c r="H954" t="str">
        <f t="shared" si="51"/>
        <v/>
      </c>
      <c r="I954" s="60" t="str">
        <f t="shared" si="52"/>
        <v/>
      </c>
      <c r="J954" t="str">
        <f t="shared" si="53"/>
        <v/>
      </c>
      <c r="K954" s="60" t="str">
        <f t="shared" si="54"/>
        <v/>
      </c>
      <c r="L954" t="str">
        <f t="shared" si="55"/>
        <v/>
      </c>
    </row>
    <row r="955" spans="1:12" x14ac:dyDescent="0.25">
      <c r="A955" t="s">
        <v>1919</v>
      </c>
      <c r="G955" t="str">
        <f t="shared" si="56"/>
        <v>04/16/19</v>
      </c>
      <c r="H955" t="str">
        <f t="shared" si="51"/>
        <v>Kansas City Royals</v>
      </c>
      <c r="I955" s="60">
        <f t="shared" si="52"/>
        <v>1</v>
      </c>
      <c r="J955" t="str">
        <f t="shared" si="53"/>
        <v>Chicago White Sox</v>
      </c>
      <c r="K955" s="60">
        <f t="shared" si="54"/>
        <v>5</v>
      </c>
      <c r="L955">
        <f t="shared" si="55"/>
        <v>-4</v>
      </c>
    </row>
    <row r="956" spans="1:12" x14ac:dyDescent="0.25">
      <c r="G956" t="str">
        <f t="shared" si="56"/>
        <v>04/16/19</v>
      </c>
      <c r="H956" t="str">
        <f t="shared" si="51"/>
        <v/>
      </c>
      <c r="I956" s="60" t="str">
        <f t="shared" si="52"/>
        <v/>
      </c>
      <c r="J956" t="str">
        <f t="shared" si="53"/>
        <v/>
      </c>
      <c r="K956" s="60" t="str">
        <f t="shared" si="54"/>
        <v/>
      </c>
      <c r="L956" t="str">
        <f t="shared" si="55"/>
        <v/>
      </c>
    </row>
    <row r="957" spans="1:12" x14ac:dyDescent="0.25">
      <c r="A957" t="s">
        <v>1920</v>
      </c>
      <c r="G957" t="str">
        <f t="shared" si="56"/>
        <v>04/16/19</v>
      </c>
      <c r="H957" t="str">
        <f t="shared" si="51"/>
        <v>Pittsburgh Pirates</v>
      </c>
      <c r="I957" s="60">
        <f t="shared" si="52"/>
        <v>5</v>
      </c>
      <c r="J957" t="str">
        <f t="shared" si="53"/>
        <v>Detroit Tigers</v>
      </c>
      <c r="K957" s="60">
        <f t="shared" si="54"/>
        <v>3</v>
      </c>
      <c r="L957">
        <f t="shared" si="55"/>
        <v>2</v>
      </c>
    </row>
    <row r="958" spans="1:12" x14ac:dyDescent="0.25">
      <c r="G958" t="str">
        <f t="shared" si="56"/>
        <v>04/16/19</v>
      </c>
      <c r="H958" t="str">
        <f t="shared" si="51"/>
        <v/>
      </c>
      <c r="I958" s="60" t="str">
        <f t="shared" si="52"/>
        <v/>
      </c>
      <c r="J958" t="str">
        <f t="shared" si="53"/>
        <v/>
      </c>
      <c r="K958" s="60" t="str">
        <f t="shared" si="54"/>
        <v/>
      </c>
      <c r="L958" t="str">
        <f t="shared" si="55"/>
        <v/>
      </c>
    </row>
    <row r="959" spans="1:12" x14ac:dyDescent="0.25">
      <c r="A959" t="s">
        <v>1921</v>
      </c>
      <c r="G959" t="str">
        <f t="shared" si="56"/>
        <v>04/16/19</v>
      </c>
      <c r="H959" t="str">
        <f t="shared" si="51"/>
        <v>Cincinnati Reds</v>
      </c>
      <c r="I959" s="60">
        <f t="shared" si="52"/>
        <v>1</v>
      </c>
      <c r="J959" t="str">
        <f t="shared" si="53"/>
        <v>Los Angeles Dodgers</v>
      </c>
      <c r="K959" s="60">
        <f t="shared" si="54"/>
        <v>6</v>
      </c>
      <c r="L959">
        <f t="shared" si="55"/>
        <v>-5</v>
      </c>
    </row>
    <row r="960" spans="1:12" x14ac:dyDescent="0.25">
      <c r="G960" t="str">
        <f t="shared" si="56"/>
        <v>04/16/19</v>
      </c>
      <c r="H960" t="str">
        <f t="shared" si="51"/>
        <v/>
      </c>
      <c r="I960" s="60" t="str">
        <f t="shared" si="52"/>
        <v/>
      </c>
      <c r="J960" t="str">
        <f t="shared" si="53"/>
        <v/>
      </c>
      <c r="K960" s="60" t="str">
        <f t="shared" si="54"/>
        <v/>
      </c>
      <c r="L960" t="str">
        <f t="shared" si="55"/>
        <v/>
      </c>
    </row>
    <row r="961" spans="1:12" x14ac:dyDescent="0.25">
      <c r="A961" t="s">
        <v>1922</v>
      </c>
      <c r="G961" t="str">
        <f t="shared" si="56"/>
        <v>04/16/19</v>
      </c>
      <c r="H961" t="str">
        <f t="shared" si="51"/>
        <v>Chicago Cubs</v>
      </c>
      <c r="I961" s="60">
        <f t="shared" si="52"/>
        <v>4</v>
      </c>
      <c r="J961" t="str">
        <f t="shared" si="53"/>
        <v>Miami Marlins</v>
      </c>
      <c r="K961" s="60">
        <f t="shared" si="54"/>
        <v>0</v>
      </c>
      <c r="L961">
        <f t="shared" si="55"/>
        <v>4</v>
      </c>
    </row>
    <row r="962" spans="1:12" x14ac:dyDescent="0.25">
      <c r="G962" t="str">
        <f t="shared" si="56"/>
        <v>04/16/19</v>
      </c>
      <c r="H962" t="str">
        <f t="shared" si="51"/>
        <v/>
      </c>
      <c r="I962" s="60" t="str">
        <f t="shared" si="52"/>
        <v/>
      </c>
      <c r="J962" t="str">
        <f t="shared" si="53"/>
        <v/>
      </c>
      <c r="K962" s="60" t="str">
        <f t="shared" si="54"/>
        <v/>
      </c>
      <c r="L962" t="str">
        <f t="shared" si="55"/>
        <v/>
      </c>
    </row>
    <row r="963" spans="1:12" x14ac:dyDescent="0.25">
      <c r="A963" t="s">
        <v>1923</v>
      </c>
      <c r="G963" t="str">
        <f t="shared" si="56"/>
        <v>04/16/19</v>
      </c>
      <c r="H963" t="str">
        <f t="shared" si="51"/>
        <v>St. Louis Cardinals</v>
      </c>
      <c r="I963" s="60">
        <f t="shared" si="52"/>
        <v>4</v>
      </c>
      <c r="J963" t="str">
        <f t="shared" si="53"/>
        <v>Milwaukee Brewers</v>
      </c>
      <c r="K963" s="60">
        <f t="shared" si="54"/>
        <v>8</v>
      </c>
      <c r="L963">
        <f t="shared" si="55"/>
        <v>-4</v>
      </c>
    </row>
    <row r="964" spans="1:12" x14ac:dyDescent="0.25">
      <c r="G964" t="str">
        <f t="shared" si="56"/>
        <v>04/16/19</v>
      </c>
      <c r="H964" t="str">
        <f t="shared" si="51"/>
        <v/>
      </c>
      <c r="I964" s="60" t="str">
        <f t="shared" si="52"/>
        <v/>
      </c>
      <c r="J964" t="str">
        <f t="shared" si="53"/>
        <v/>
      </c>
      <c r="K964" s="60" t="str">
        <f t="shared" si="54"/>
        <v/>
      </c>
      <c r="L964" t="str">
        <f t="shared" si="55"/>
        <v/>
      </c>
    </row>
    <row r="965" spans="1:12" x14ac:dyDescent="0.25">
      <c r="A965" t="s">
        <v>1924</v>
      </c>
      <c r="G965" t="str">
        <f t="shared" si="56"/>
        <v>04/16/19</v>
      </c>
      <c r="H965" t="str">
        <f t="shared" si="51"/>
        <v>Toronto Blue Jays</v>
      </c>
      <c r="I965" s="60">
        <f t="shared" si="52"/>
        <v>6</v>
      </c>
      <c r="J965" t="str">
        <f t="shared" si="53"/>
        <v>Minnesota Twins</v>
      </c>
      <c r="K965" s="60">
        <f t="shared" si="54"/>
        <v>5</v>
      </c>
      <c r="L965">
        <f t="shared" si="55"/>
        <v>1</v>
      </c>
    </row>
    <row r="966" spans="1:12" x14ac:dyDescent="0.25">
      <c r="G966" t="str">
        <f t="shared" si="56"/>
        <v>04/16/19</v>
      </c>
      <c r="H966" t="str">
        <f t="shared" si="51"/>
        <v/>
      </c>
      <c r="I966" s="60" t="str">
        <f t="shared" si="52"/>
        <v/>
      </c>
      <c r="J966" t="str">
        <f t="shared" si="53"/>
        <v/>
      </c>
      <c r="K966" s="60" t="str">
        <f t="shared" si="54"/>
        <v/>
      </c>
      <c r="L966" t="str">
        <f t="shared" si="55"/>
        <v/>
      </c>
    </row>
    <row r="967" spans="1:12" x14ac:dyDescent="0.25">
      <c r="A967" t="s">
        <v>1925</v>
      </c>
      <c r="G967" t="str">
        <f t="shared" si="56"/>
        <v>04/16/19</v>
      </c>
      <c r="H967" t="str">
        <f t="shared" si="51"/>
        <v>Boston Red Sox</v>
      </c>
      <c r="I967" s="60">
        <f t="shared" si="52"/>
        <v>0</v>
      </c>
      <c r="J967" t="str">
        <f t="shared" si="53"/>
        <v>New York Yankees</v>
      </c>
      <c r="K967" s="60">
        <f t="shared" si="54"/>
        <v>8</v>
      </c>
      <c r="L967">
        <f t="shared" si="55"/>
        <v>-8</v>
      </c>
    </row>
    <row r="968" spans="1:12" x14ac:dyDescent="0.25">
      <c r="G968" t="str">
        <f t="shared" si="56"/>
        <v>04/16/19</v>
      </c>
      <c r="H968" t="str">
        <f t="shared" si="51"/>
        <v/>
      </c>
      <c r="I968" s="60" t="str">
        <f t="shared" si="52"/>
        <v/>
      </c>
      <c r="J968" t="str">
        <f t="shared" si="53"/>
        <v/>
      </c>
      <c r="K968" s="60" t="str">
        <f t="shared" si="54"/>
        <v/>
      </c>
      <c r="L968" t="str">
        <f t="shared" si="55"/>
        <v/>
      </c>
    </row>
    <row r="969" spans="1:12" x14ac:dyDescent="0.25">
      <c r="A969" t="s">
        <v>1926</v>
      </c>
      <c r="G969" t="str">
        <f t="shared" si="56"/>
        <v>04/16/19</v>
      </c>
      <c r="H969" t="str">
        <f t="shared" si="51"/>
        <v>Houston Astros</v>
      </c>
      <c r="I969" s="60">
        <f t="shared" si="52"/>
        <v>9</v>
      </c>
      <c r="J969" t="str">
        <f t="shared" si="53"/>
        <v>Oakland Athletics</v>
      </c>
      <c r="K969" s="60">
        <f t="shared" si="54"/>
        <v>1</v>
      </c>
      <c r="L969">
        <f t="shared" si="55"/>
        <v>8</v>
      </c>
    </row>
    <row r="970" spans="1:12" x14ac:dyDescent="0.25">
      <c r="G970" t="str">
        <f t="shared" si="56"/>
        <v>04/16/19</v>
      </c>
      <c r="H970" t="str">
        <f t="shared" si="51"/>
        <v/>
      </c>
      <c r="I970" s="60" t="str">
        <f t="shared" si="52"/>
        <v/>
      </c>
      <c r="J970" t="str">
        <f t="shared" si="53"/>
        <v/>
      </c>
      <c r="K970" s="60" t="str">
        <f t="shared" si="54"/>
        <v/>
      </c>
      <c r="L970" t="str">
        <f t="shared" si="55"/>
        <v/>
      </c>
    </row>
    <row r="971" spans="1:12" x14ac:dyDescent="0.25">
      <c r="A971" t="s">
        <v>1927</v>
      </c>
      <c r="G971" t="str">
        <f t="shared" si="56"/>
        <v>04/16/19</v>
      </c>
      <c r="H971" t="str">
        <f t="shared" si="51"/>
        <v>New York Mets</v>
      </c>
      <c r="I971" s="60">
        <f t="shared" si="52"/>
        <v>3</v>
      </c>
      <c r="J971" t="str">
        <f t="shared" si="53"/>
        <v>Philadelphia Phillies</v>
      </c>
      <c r="K971" s="60">
        <f t="shared" si="54"/>
        <v>14</v>
      </c>
      <c r="L971">
        <f t="shared" si="55"/>
        <v>-11</v>
      </c>
    </row>
    <row r="972" spans="1:12" x14ac:dyDescent="0.25">
      <c r="G972" t="str">
        <f t="shared" si="56"/>
        <v>04/16/19</v>
      </c>
      <c r="H972" t="str">
        <f t="shared" si="51"/>
        <v/>
      </c>
      <c r="I972" s="60" t="str">
        <f t="shared" si="52"/>
        <v/>
      </c>
      <c r="J972" t="str">
        <f t="shared" si="53"/>
        <v/>
      </c>
      <c r="K972" s="60" t="str">
        <f t="shared" si="54"/>
        <v/>
      </c>
      <c r="L972" t="str">
        <f t="shared" si="55"/>
        <v/>
      </c>
    </row>
    <row r="973" spans="1:12" x14ac:dyDescent="0.25">
      <c r="A973" t="s">
        <v>1928</v>
      </c>
      <c r="G973" t="str">
        <f t="shared" si="56"/>
        <v>04/16/19</v>
      </c>
      <c r="H973" t="str">
        <f t="shared" si="51"/>
        <v>Colorado Rockies</v>
      </c>
      <c r="I973" s="60">
        <f t="shared" si="52"/>
        <v>8</v>
      </c>
      <c r="J973" t="str">
        <f t="shared" si="53"/>
        <v>San Diego Padres</v>
      </c>
      <c r="K973" s="60">
        <f t="shared" si="54"/>
        <v>2</v>
      </c>
      <c r="L973">
        <f t="shared" si="55"/>
        <v>6</v>
      </c>
    </row>
    <row r="974" spans="1:12" x14ac:dyDescent="0.25">
      <c r="G974" t="str">
        <f t="shared" si="56"/>
        <v>04/16/19</v>
      </c>
      <c r="H974" t="str">
        <f t="shared" si="51"/>
        <v/>
      </c>
      <c r="I974" s="60" t="str">
        <f t="shared" si="52"/>
        <v/>
      </c>
      <c r="J974" t="str">
        <f t="shared" si="53"/>
        <v/>
      </c>
      <c r="K974" s="60" t="str">
        <f t="shared" si="54"/>
        <v/>
      </c>
      <c r="L974" t="str">
        <f t="shared" si="55"/>
        <v/>
      </c>
    </row>
    <row r="975" spans="1:12" x14ac:dyDescent="0.25">
      <c r="A975" t="s">
        <v>1929</v>
      </c>
      <c r="G975" t="str">
        <f t="shared" si="56"/>
        <v>04/16/19</v>
      </c>
      <c r="H975" t="str">
        <f t="shared" si="51"/>
        <v>Cleveland Indians</v>
      </c>
      <c r="I975" s="60">
        <f t="shared" si="52"/>
        <v>4</v>
      </c>
      <c r="J975" t="str">
        <f t="shared" si="53"/>
        <v>Seattle Mariners</v>
      </c>
      <c r="K975" s="60">
        <f t="shared" si="54"/>
        <v>2</v>
      </c>
      <c r="L975">
        <f t="shared" si="55"/>
        <v>2</v>
      </c>
    </row>
    <row r="976" spans="1:12" x14ac:dyDescent="0.25">
      <c r="G976" t="str">
        <f t="shared" si="56"/>
        <v>04/16/19</v>
      </c>
      <c r="H976" t="str">
        <f t="shared" ref="H976:H1039" si="57">IFERROR(LEFT(MID(A976,1,SEARCH("@",A976)-2),SEARCH("(",A976)-2),"")</f>
        <v/>
      </c>
      <c r="I976" s="60" t="str">
        <f t="shared" ref="I976:I1039" si="58">IFERROR(VALUE(MID(A976,SEARCH("(",A976)+1,SEARCH(")",A976)-SEARCH("(",A976)-1)),"")</f>
        <v/>
      </c>
      <c r="J976" t="str">
        <f t="shared" ref="J976:J1039" si="59">IFERROR(MID(A976,SEARCH("@",A976)+2,SEARCH("(",A976,SEARCH("@",A976))-SEARCH("@",A976)-3),"")</f>
        <v/>
      </c>
      <c r="K976" s="60" t="str">
        <f t="shared" ref="K976:K1039" si="60">IFERROR(VALUE(MID(A976,SEARCH(J976,A976)+LEN(J976)+2,(SEARCH(")",A976,SEARCH("@",A976))-SEARCH("(",A976,SEARCH("@",A976))-1))),"")</f>
        <v/>
      </c>
      <c r="L976" t="str">
        <f t="shared" ref="L976:L1039" si="61">IFERROR(I976-K976,"")</f>
        <v/>
      </c>
    </row>
    <row r="977" spans="1:12" x14ac:dyDescent="0.25">
      <c r="A977" t="s">
        <v>1930</v>
      </c>
      <c r="G977" t="str">
        <f t="shared" si="56"/>
        <v>04/16/19</v>
      </c>
      <c r="H977" t="str">
        <f t="shared" si="57"/>
        <v>Baltimore Orioles</v>
      </c>
      <c r="I977" s="60">
        <f t="shared" si="58"/>
        <v>2</v>
      </c>
      <c r="J977" t="str">
        <f t="shared" si="59"/>
        <v>Tampa Bay Rays</v>
      </c>
      <c r="K977" s="60">
        <f t="shared" si="60"/>
        <v>4</v>
      </c>
      <c r="L977">
        <f t="shared" si="61"/>
        <v>-2</v>
      </c>
    </row>
    <row r="978" spans="1:12" x14ac:dyDescent="0.25">
      <c r="G978" t="str">
        <f t="shared" si="56"/>
        <v>04/16/19</v>
      </c>
      <c r="H978" t="str">
        <f t="shared" si="57"/>
        <v/>
      </c>
      <c r="I978" s="60" t="str">
        <f t="shared" si="58"/>
        <v/>
      </c>
      <c r="J978" t="str">
        <f t="shared" si="59"/>
        <v/>
      </c>
      <c r="K978" s="60" t="str">
        <f t="shared" si="60"/>
        <v/>
      </c>
      <c r="L978" t="str">
        <f t="shared" si="61"/>
        <v/>
      </c>
    </row>
    <row r="979" spans="1:12" x14ac:dyDescent="0.25">
      <c r="A979" t="s">
        <v>1931</v>
      </c>
      <c r="G979" t="str">
        <f t="shared" si="56"/>
        <v>04/16/19</v>
      </c>
      <c r="H979" t="str">
        <f t="shared" si="57"/>
        <v>Los Angeles Angels</v>
      </c>
      <c r="I979" s="60">
        <f t="shared" si="58"/>
        <v>0</v>
      </c>
      <c r="J979" t="str">
        <f t="shared" si="59"/>
        <v>Texas Rangers</v>
      </c>
      <c r="K979" s="60">
        <f t="shared" si="60"/>
        <v>5</v>
      </c>
      <c r="L979">
        <f t="shared" si="61"/>
        <v>-5</v>
      </c>
    </row>
    <row r="980" spans="1:12" x14ac:dyDescent="0.25">
      <c r="G980" t="str">
        <f t="shared" si="56"/>
        <v>04/16/19</v>
      </c>
      <c r="H980" t="str">
        <f t="shared" si="57"/>
        <v/>
      </c>
      <c r="I980" s="60" t="str">
        <f t="shared" si="58"/>
        <v/>
      </c>
      <c r="J980" t="str">
        <f t="shared" si="59"/>
        <v/>
      </c>
      <c r="K980" s="60" t="str">
        <f t="shared" si="60"/>
        <v/>
      </c>
      <c r="L980" t="str">
        <f t="shared" si="61"/>
        <v/>
      </c>
    </row>
    <row r="981" spans="1:12" x14ac:dyDescent="0.25">
      <c r="A981" t="s">
        <v>1932</v>
      </c>
      <c r="G981" t="str">
        <f t="shared" si="56"/>
        <v>04/16/19</v>
      </c>
      <c r="H981" t="str">
        <f t="shared" si="57"/>
        <v>San Francisco Giants</v>
      </c>
      <c r="I981" s="60">
        <f t="shared" si="58"/>
        <v>7</v>
      </c>
      <c r="J981" t="str">
        <f t="shared" si="59"/>
        <v>Washington Nationals</v>
      </c>
      <c r="K981" s="60">
        <f t="shared" si="60"/>
        <v>3</v>
      </c>
      <c r="L981">
        <f t="shared" si="61"/>
        <v>4</v>
      </c>
    </row>
    <row r="982" spans="1:12" x14ac:dyDescent="0.25">
      <c r="G982" t="str">
        <f t="shared" si="56"/>
        <v>04/16/19</v>
      </c>
      <c r="H982" t="str">
        <f t="shared" si="57"/>
        <v/>
      </c>
      <c r="I982" s="60" t="str">
        <f t="shared" si="58"/>
        <v/>
      </c>
      <c r="J982" t="str">
        <f t="shared" si="59"/>
        <v/>
      </c>
      <c r="K982" s="60" t="str">
        <f t="shared" si="60"/>
        <v/>
      </c>
      <c r="L982" t="str">
        <f t="shared" si="61"/>
        <v/>
      </c>
    </row>
    <row r="983" spans="1:12" x14ac:dyDescent="0.25">
      <c r="A983" t="s">
        <v>1933</v>
      </c>
      <c r="G983" t="str">
        <f t="shared" si="56"/>
        <v>04/16/19</v>
      </c>
      <c r="H983" t="str">
        <f t="shared" si="57"/>
        <v/>
      </c>
      <c r="I983" s="60" t="str">
        <f t="shared" si="58"/>
        <v/>
      </c>
      <c r="J983" t="str">
        <f t="shared" si="59"/>
        <v/>
      </c>
      <c r="K983" s="60" t="str">
        <f t="shared" si="60"/>
        <v/>
      </c>
      <c r="L983" t="str">
        <f t="shared" si="61"/>
        <v/>
      </c>
    </row>
    <row r="984" spans="1:12" x14ac:dyDescent="0.25">
      <c r="G984" t="str">
        <f t="shared" si="56"/>
        <v>04/16/19</v>
      </c>
      <c r="H984" t="str">
        <f t="shared" si="57"/>
        <v/>
      </c>
      <c r="I984" s="60" t="str">
        <f t="shared" si="58"/>
        <v/>
      </c>
      <c r="J984" t="str">
        <f t="shared" si="59"/>
        <v/>
      </c>
      <c r="K984" s="60" t="str">
        <f t="shared" si="60"/>
        <v/>
      </c>
      <c r="L984" t="str">
        <f t="shared" si="61"/>
        <v/>
      </c>
    </row>
    <row r="985" spans="1:12" x14ac:dyDescent="0.25">
      <c r="A985" t="s">
        <v>1934</v>
      </c>
      <c r="G985" t="str">
        <f t="shared" si="56"/>
        <v>04/17/19</v>
      </c>
      <c r="H985" t="str">
        <f t="shared" si="57"/>
        <v/>
      </c>
      <c r="I985" s="60" t="str">
        <f t="shared" si="58"/>
        <v/>
      </c>
      <c r="J985" t="str">
        <f t="shared" si="59"/>
        <v/>
      </c>
      <c r="K985" s="60" t="str">
        <f t="shared" si="60"/>
        <v/>
      </c>
      <c r="L985" t="str">
        <f t="shared" si="61"/>
        <v/>
      </c>
    </row>
    <row r="986" spans="1:12" x14ac:dyDescent="0.25">
      <c r="G986" t="str">
        <f t="shared" si="56"/>
        <v>04/17/19</v>
      </c>
      <c r="H986" t="str">
        <f t="shared" si="57"/>
        <v/>
      </c>
      <c r="I986" s="60" t="str">
        <f t="shared" si="58"/>
        <v/>
      </c>
      <c r="J986" t="str">
        <f t="shared" si="59"/>
        <v/>
      </c>
      <c r="K986" s="60" t="str">
        <f t="shared" si="60"/>
        <v/>
      </c>
      <c r="L986" t="str">
        <f t="shared" si="61"/>
        <v/>
      </c>
    </row>
    <row r="987" spans="1:12" x14ac:dyDescent="0.25">
      <c r="A987" t="s">
        <v>1935</v>
      </c>
      <c r="G987" t="str">
        <f t="shared" si="56"/>
        <v>04/17/19</v>
      </c>
      <c r="H987" t="str">
        <f t="shared" si="57"/>
        <v>Arizona D'Backs</v>
      </c>
      <c r="I987" s="60">
        <f t="shared" si="58"/>
        <v>3</v>
      </c>
      <c r="J987" t="str">
        <f t="shared" si="59"/>
        <v>Atlanta Braves</v>
      </c>
      <c r="K987" s="60">
        <f t="shared" si="60"/>
        <v>2</v>
      </c>
      <c r="L987">
        <f t="shared" si="61"/>
        <v>1</v>
      </c>
    </row>
    <row r="988" spans="1:12" x14ac:dyDescent="0.25">
      <c r="G988" t="str">
        <f t="shared" si="56"/>
        <v>04/17/19</v>
      </c>
      <c r="H988" t="str">
        <f t="shared" si="57"/>
        <v/>
      </c>
      <c r="I988" s="60" t="str">
        <f t="shared" si="58"/>
        <v/>
      </c>
      <c r="J988" t="str">
        <f t="shared" si="59"/>
        <v/>
      </c>
      <c r="K988" s="60" t="str">
        <f t="shared" si="60"/>
        <v/>
      </c>
      <c r="L988" t="str">
        <f t="shared" si="61"/>
        <v/>
      </c>
    </row>
    <row r="989" spans="1:12" x14ac:dyDescent="0.25">
      <c r="A989" t="s">
        <v>1936</v>
      </c>
      <c r="G989" t="str">
        <f t="shared" si="56"/>
        <v>04/17/19</v>
      </c>
      <c r="H989" t="str">
        <f t="shared" si="57"/>
        <v>Kansas City Royals</v>
      </c>
      <c r="I989" s="60">
        <f t="shared" si="58"/>
        <v>4</v>
      </c>
      <c r="J989" t="str">
        <f t="shared" si="59"/>
        <v>Chicago White Sox</v>
      </c>
      <c r="K989" s="60">
        <f t="shared" si="60"/>
        <v>3</v>
      </c>
      <c r="L989">
        <f t="shared" si="61"/>
        <v>1</v>
      </c>
    </row>
    <row r="990" spans="1:12" x14ac:dyDescent="0.25">
      <c r="G990" t="str">
        <f t="shared" si="56"/>
        <v>04/17/19</v>
      </c>
      <c r="H990" t="str">
        <f t="shared" si="57"/>
        <v/>
      </c>
      <c r="I990" s="60" t="str">
        <f t="shared" si="58"/>
        <v/>
      </c>
      <c r="J990" t="str">
        <f t="shared" si="59"/>
        <v/>
      </c>
      <c r="K990" s="60" t="str">
        <f t="shared" si="60"/>
        <v/>
      </c>
      <c r="L990" t="str">
        <f t="shared" si="61"/>
        <v/>
      </c>
    </row>
    <row r="991" spans="1:12" x14ac:dyDescent="0.25">
      <c r="A991" t="s">
        <v>1937</v>
      </c>
      <c r="G991" t="str">
        <f t="shared" si="56"/>
        <v>04/17/19</v>
      </c>
      <c r="H991" t="str">
        <f t="shared" si="57"/>
        <v>Pittsburgh Pirates</v>
      </c>
      <c r="I991" s="60">
        <f t="shared" si="58"/>
        <v>3</v>
      </c>
      <c r="J991" t="str">
        <f t="shared" si="59"/>
        <v>Detroit Tigers</v>
      </c>
      <c r="K991" s="60">
        <f t="shared" si="60"/>
        <v>2</v>
      </c>
      <c r="L991">
        <f t="shared" si="61"/>
        <v>1</v>
      </c>
    </row>
    <row r="992" spans="1:12" x14ac:dyDescent="0.25">
      <c r="G992" t="str">
        <f t="shared" si="56"/>
        <v>04/17/19</v>
      </c>
      <c r="H992" t="str">
        <f t="shared" si="57"/>
        <v/>
      </c>
      <c r="I992" s="60" t="str">
        <f t="shared" si="58"/>
        <v/>
      </c>
      <c r="J992" t="str">
        <f t="shared" si="59"/>
        <v/>
      </c>
      <c r="K992" s="60" t="str">
        <f t="shared" si="60"/>
        <v/>
      </c>
      <c r="L992" t="str">
        <f t="shared" si="61"/>
        <v/>
      </c>
    </row>
    <row r="993" spans="1:12" x14ac:dyDescent="0.25">
      <c r="A993" t="s">
        <v>1938</v>
      </c>
      <c r="G993" t="str">
        <f t="shared" si="56"/>
        <v>04/17/19</v>
      </c>
      <c r="H993" t="str">
        <f t="shared" si="57"/>
        <v>Cincinnati Reds</v>
      </c>
      <c r="I993" s="60">
        <f t="shared" si="58"/>
        <v>2</v>
      </c>
      <c r="J993" t="str">
        <f t="shared" si="59"/>
        <v>Los Angeles Dodgers</v>
      </c>
      <c r="K993" s="60">
        <f t="shared" si="60"/>
        <v>3</v>
      </c>
      <c r="L993">
        <f t="shared" si="61"/>
        <v>-1</v>
      </c>
    </row>
    <row r="994" spans="1:12" x14ac:dyDescent="0.25">
      <c r="G994" t="str">
        <f t="shared" ref="G994:G1057" si="62">IF(ISNUMBER(MATCH(IFERROR(LEFT(A994,SEARCH(",",A994)-1),""),$G$220:$M$220,0)),TEXT(MID(A994,SEARCH(",",A994)+2,LEN(A994)),"mm/dd/yy"),G993)</f>
        <v>04/17/19</v>
      </c>
      <c r="H994" t="str">
        <f t="shared" si="57"/>
        <v/>
      </c>
      <c r="I994" s="60" t="str">
        <f t="shared" si="58"/>
        <v/>
      </c>
      <c r="J994" t="str">
        <f t="shared" si="59"/>
        <v/>
      </c>
      <c r="K994" s="60" t="str">
        <f t="shared" si="60"/>
        <v/>
      </c>
      <c r="L994" t="str">
        <f t="shared" si="61"/>
        <v/>
      </c>
    </row>
    <row r="995" spans="1:12" x14ac:dyDescent="0.25">
      <c r="A995" t="s">
        <v>1939</v>
      </c>
      <c r="G995" t="str">
        <f t="shared" si="62"/>
        <v>04/17/19</v>
      </c>
      <c r="H995" t="str">
        <f t="shared" si="57"/>
        <v>Chicago Cubs</v>
      </c>
      <c r="I995" s="60">
        <f t="shared" si="58"/>
        <v>6</v>
      </c>
      <c r="J995" t="str">
        <f t="shared" si="59"/>
        <v>Miami Marlins</v>
      </c>
      <c r="K995" s="60">
        <f t="shared" si="60"/>
        <v>0</v>
      </c>
      <c r="L995">
        <f t="shared" si="61"/>
        <v>6</v>
      </c>
    </row>
    <row r="996" spans="1:12" x14ac:dyDescent="0.25">
      <c r="G996" t="str">
        <f t="shared" si="62"/>
        <v>04/17/19</v>
      </c>
      <c r="H996" t="str">
        <f t="shared" si="57"/>
        <v/>
      </c>
      <c r="I996" s="60" t="str">
        <f t="shared" si="58"/>
        <v/>
      </c>
      <c r="J996" t="str">
        <f t="shared" si="59"/>
        <v/>
      </c>
      <c r="K996" s="60" t="str">
        <f t="shared" si="60"/>
        <v/>
      </c>
      <c r="L996" t="str">
        <f t="shared" si="61"/>
        <v/>
      </c>
    </row>
    <row r="997" spans="1:12" x14ac:dyDescent="0.25">
      <c r="A997" t="s">
        <v>1940</v>
      </c>
      <c r="G997" t="str">
        <f t="shared" si="62"/>
        <v>04/17/19</v>
      </c>
      <c r="H997" t="str">
        <f t="shared" si="57"/>
        <v>St. Louis Cardinals</v>
      </c>
      <c r="I997" s="60">
        <f t="shared" si="58"/>
        <v>6</v>
      </c>
      <c r="J997" t="str">
        <f t="shared" si="59"/>
        <v>Milwaukee Brewers</v>
      </c>
      <c r="K997" s="60">
        <f t="shared" si="60"/>
        <v>3</v>
      </c>
      <c r="L997">
        <f t="shared" si="61"/>
        <v>3</v>
      </c>
    </row>
    <row r="998" spans="1:12" x14ac:dyDescent="0.25">
      <c r="G998" t="str">
        <f t="shared" si="62"/>
        <v>04/17/19</v>
      </c>
      <c r="H998" t="str">
        <f t="shared" si="57"/>
        <v/>
      </c>
      <c r="I998" s="60" t="str">
        <f t="shared" si="58"/>
        <v/>
      </c>
      <c r="J998" t="str">
        <f t="shared" si="59"/>
        <v/>
      </c>
      <c r="K998" s="60" t="str">
        <f t="shared" si="60"/>
        <v/>
      </c>
      <c r="L998" t="str">
        <f t="shared" si="61"/>
        <v/>
      </c>
    </row>
    <row r="999" spans="1:12" x14ac:dyDescent="0.25">
      <c r="A999" t="s">
        <v>1941</v>
      </c>
      <c r="G999" t="str">
        <f t="shared" si="62"/>
        <v>04/17/19</v>
      </c>
      <c r="H999" t="str">
        <f t="shared" si="57"/>
        <v>Toronto Blue Jays</v>
      </c>
      <c r="I999" s="60">
        <f t="shared" si="58"/>
        <v>1</v>
      </c>
      <c r="J999" t="str">
        <f t="shared" si="59"/>
        <v>Minnesota Twins</v>
      </c>
      <c r="K999" s="60">
        <f t="shared" si="60"/>
        <v>4</v>
      </c>
      <c r="L999">
        <f t="shared" si="61"/>
        <v>-3</v>
      </c>
    </row>
    <row r="1000" spans="1:12" x14ac:dyDescent="0.25">
      <c r="G1000" t="str">
        <f t="shared" si="62"/>
        <v>04/17/19</v>
      </c>
      <c r="H1000" t="str">
        <f t="shared" si="57"/>
        <v/>
      </c>
      <c r="I1000" s="60" t="str">
        <f t="shared" si="58"/>
        <v/>
      </c>
      <c r="J1000" t="str">
        <f t="shared" si="59"/>
        <v/>
      </c>
      <c r="K1000" s="60" t="str">
        <f t="shared" si="60"/>
        <v/>
      </c>
      <c r="L1000" t="str">
        <f t="shared" si="61"/>
        <v/>
      </c>
    </row>
    <row r="1001" spans="1:12" x14ac:dyDescent="0.25">
      <c r="A1001" t="s">
        <v>1942</v>
      </c>
      <c r="G1001" t="str">
        <f t="shared" si="62"/>
        <v>04/17/19</v>
      </c>
      <c r="H1001" t="str">
        <f t="shared" si="57"/>
        <v>Boston Red Sox</v>
      </c>
      <c r="I1001" s="60">
        <f t="shared" si="58"/>
        <v>3</v>
      </c>
      <c r="J1001" t="str">
        <f t="shared" si="59"/>
        <v>New York Yankees</v>
      </c>
      <c r="K1001" s="60">
        <f t="shared" si="60"/>
        <v>5</v>
      </c>
      <c r="L1001">
        <f t="shared" si="61"/>
        <v>-2</v>
      </c>
    </row>
    <row r="1002" spans="1:12" x14ac:dyDescent="0.25">
      <c r="G1002" t="str">
        <f t="shared" si="62"/>
        <v>04/17/19</v>
      </c>
      <c r="H1002" t="str">
        <f t="shared" si="57"/>
        <v/>
      </c>
      <c r="I1002" s="60" t="str">
        <f t="shared" si="58"/>
        <v/>
      </c>
      <c r="J1002" t="str">
        <f t="shared" si="59"/>
        <v/>
      </c>
      <c r="K1002" s="60" t="str">
        <f t="shared" si="60"/>
        <v/>
      </c>
      <c r="L1002" t="str">
        <f t="shared" si="61"/>
        <v/>
      </c>
    </row>
    <row r="1003" spans="1:12" x14ac:dyDescent="0.25">
      <c r="A1003" t="s">
        <v>1943</v>
      </c>
      <c r="G1003" t="str">
        <f t="shared" si="62"/>
        <v>04/17/19</v>
      </c>
      <c r="H1003" t="str">
        <f t="shared" si="57"/>
        <v>Houston Astros</v>
      </c>
      <c r="I1003" s="60">
        <f t="shared" si="58"/>
        <v>1</v>
      </c>
      <c r="J1003" t="str">
        <f t="shared" si="59"/>
        <v>Oakland Athletics</v>
      </c>
      <c r="K1003" s="60">
        <f t="shared" si="60"/>
        <v>2</v>
      </c>
      <c r="L1003">
        <f t="shared" si="61"/>
        <v>-1</v>
      </c>
    </row>
    <row r="1004" spans="1:12" x14ac:dyDescent="0.25">
      <c r="G1004" t="str">
        <f t="shared" si="62"/>
        <v>04/17/19</v>
      </c>
      <c r="H1004" t="str">
        <f t="shared" si="57"/>
        <v/>
      </c>
      <c r="I1004" s="60" t="str">
        <f t="shared" si="58"/>
        <v/>
      </c>
      <c r="J1004" t="str">
        <f t="shared" si="59"/>
        <v/>
      </c>
      <c r="K1004" s="60" t="str">
        <f t="shared" si="60"/>
        <v/>
      </c>
      <c r="L1004" t="str">
        <f t="shared" si="61"/>
        <v/>
      </c>
    </row>
    <row r="1005" spans="1:12" x14ac:dyDescent="0.25">
      <c r="A1005" t="s">
        <v>1944</v>
      </c>
      <c r="G1005" t="str">
        <f t="shared" si="62"/>
        <v>04/17/19</v>
      </c>
      <c r="H1005" t="str">
        <f t="shared" si="57"/>
        <v>New York Mets</v>
      </c>
      <c r="I1005" s="60">
        <f t="shared" si="58"/>
        <v>2</v>
      </c>
      <c r="J1005" t="str">
        <f t="shared" si="59"/>
        <v>Philadelphia Phillies</v>
      </c>
      <c r="K1005" s="60">
        <f t="shared" si="60"/>
        <v>3</v>
      </c>
      <c r="L1005">
        <f t="shared" si="61"/>
        <v>-1</v>
      </c>
    </row>
    <row r="1006" spans="1:12" x14ac:dyDescent="0.25">
      <c r="G1006" t="str">
        <f t="shared" si="62"/>
        <v>04/17/19</v>
      </c>
      <c r="H1006" t="str">
        <f t="shared" si="57"/>
        <v/>
      </c>
      <c r="I1006" s="60" t="str">
        <f t="shared" si="58"/>
        <v/>
      </c>
      <c r="J1006" t="str">
        <f t="shared" si="59"/>
        <v/>
      </c>
      <c r="K1006" s="60" t="str">
        <f t="shared" si="60"/>
        <v/>
      </c>
      <c r="L1006" t="str">
        <f t="shared" si="61"/>
        <v/>
      </c>
    </row>
    <row r="1007" spans="1:12" x14ac:dyDescent="0.25">
      <c r="A1007" t="s">
        <v>1945</v>
      </c>
      <c r="G1007" t="str">
        <f t="shared" si="62"/>
        <v>04/17/19</v>
      </c>
      <c r="H1007" t="str">
        <f t="shared" si="57"/>
        <v>Cleveland Indians</v>
      </c>
      <c r="I1007" s="60">
        <f t="shared" si="58"/>
        <v>1</v>
      </c>
      <c r="J1007" t="str">
        <f t="shared" si="59"/>
        <v>Seattle Mariners</v>
      </c>
      <c r="K1007" s="60">
        <f t="shared" si="60"/>
        <v>0</v>
      </c>
      <c r="L1007">
        <f t="shared" si="61"/>
        <v>1</v>
      </c>
    </row>
    <row r="1008" spans="1:12" x14ac:dyDescent="0.25">
      <c r="G1008" t="str">
        <f t="shared" si="62"/>
        <v>04/17/19</v>
      </c>
      <c r="H1008" t="str">
        <f t="shared" si="57"/>
        <v/>
      </c>
      <c r="I1008" s="60" t="str">
        <f t="shared" si="58"/>
        <v/>
      </c>
      <c r="J1008" t="str">
        <f t="shared" si="59"/>
        <v/>
      </c>
      <c r="K1008" s="60" t="str">
        <f t="shared" si="60"/>
        <v/>
      </c>
      <c r="L1008" t="str">
        <f t="shared" si="61"/>
        <v/>
      </c>
    </row>
    <row r="1009" spans="1:12" x14ac:dyDescent="0.25">
      <c r="A1009" t="s">
        <v>1946</v>
      </c>
      <c r="G1009" t="str">
        <f t="shared" si="62"/>
        <v>04/17/19</v>
      </c>
      <c r="H1009" t="str">
        <f t="shared" si="57"/>
        <v>Baltimore Orioles</v>
      </c>
      <c r="I1009" s="60">
        <f t="shared" si="58"/>
        <v>1</v>
      </c>
      <c r="J1009" t="str">
        <f t="shared" si="59"/>
        <v>Tampa Bay Rays</v>
      </c>
      <c r="K1009" s="60">
        <f t="shared" si="60"/>
        <v>8</v>
      </c>
      <c r="L1009">
        <f t="shared" si="61"/>
        <v>-7</v>
      </c>
    </row>
    <row r="1010" spans="1:12" x14ac:dyDescent="0.25">
      <c r="G1010" t="str">
        <f t="shared" si="62"/>
        <v>04/17/19</v>
      </c>
      <c r="H1010" t="str">
        <f t="shared" si="57"/>
        <v/>
      </c>
      <c r="I1010" s="60" t="str">
        <f t="shared" si="58"/>
        <v/>
      </c>
      <c r="J1010" t="str">
        <f t="shared" si="59"/>
        <v/>
      </c>
      <c r="K1010" s="60" t="str">
        <f t="shared" si="60"/>
        <v/>
      </c>
      <c r="L1010" t="str">
        <f t="shared" si="61"/>
        <v/>
      </c>
    </row>
    <row r="1011" spans="1:12" x14ac:dyDescent="0.25">
      <c r="A1011" t="s">
        <v>1947</v>
      </c>
      <c r="G1011" t="str">
        <f t="shared" si="62"/>
        <v>04/17/19</v>
      </c>
      <c r="H1011" t="str">
        <f t="shared" si="57"/>
        <v>Los Angeles Angels</v>
      </c>
      <c r="I1011" s="60">
        <f t="shared" si="58"/>
        <v>4</v>
      </c>
      <c r="J1011" t="str">
        <f t="shared" si="59"/>
        <v>Texas Rangers</v>
      </c>
      <c r="K1011" s="60">
        <f t="shared" si="60"/>
        <v>5</v>
      </c>
      <c r="L1011">
        <f t="shared" si="61"/>
        <v>-1</v>
      </c>
    </row>
    <row r="1012" spans="1:12" x14ac:dyDescent="0.25">
      <c r="G1012" t="str">
        <f t="shared" si="62"/>
        <v>04/17/19</v>
      </c>
      <c r="H1012" t="str">
        <f t="shared" si="57"/>
        <v/>
      </c>
      <c r="I1012" s="60" t="str">
        <f t="shared" si="58"/>
        <v/>
      </c>
      <c r="J1012" t="str">
        <f t="shared" si="59"/>
        <v/>
      </c>
      <c r="K1012" s="60" t="str">
        <f t="shared" si="60"/>
        <v/>
      </c>
      <c r="L1012" t="str">
        <f t="shared" si="61"/>
        <v/>
      </c>
    </row>
    <row r="1013" spans="1:12" x14ac:dyDescent="0.25">
      <c r="A1013" t="s">
        <v>1948</v>
      </c>
      <c r="G1013" t="str">
        <f t="shared" si="62"/>
        <v>04/17/19</v>
      </c>
      <c r="H1013" t="str">
        <f t="shared" si="57"/>
        <v>San Francisco Giants</v>
      </c>
      <c r="I1013" s="60">
        <f t="shared" si="58"/>
        <v>6</v>
      </c>
      <c r="J1013" t="str">
        <f t="shared" si="59"/>
        <v>Washington Nationals</v>
      </c>
      <c r="K1013" s="60">
        <f t="shared" si="60"/>
        <v>9</v>
      </c>
      <c r="L1013">
        <f t="shared" si="61"/>
        <v>-3</v>
      </c>
    </row>
    <row r="1014" spans="1:12" x14ac:dyDescent="0.25">
      <c r="G1014" t="str">
        <f t="shared" si="62"/>
        <v>04/17/19</v>
      </c>
      <c r="H1014" t="str">
        <f t="shared" si="57"/>
        <v/>
      </c>
      <c r="I1014" s="60" t="str">
        <f t="shared" si="58"/>
        <v/>
      </c>
      <c r="J1014" t="str">
        <f t="shared" si="59"/>
        <v/>
      </c>
      <c r="K1014" s="60" t="str">
        <f t="shared" si="60"/>
        <v/>
      </c>
      <c r="L1014" t="str">
        <f t="shared" si="61"/>
        <v/>
      </c>
    </row>
    <row r="1015" spans="1:12" x14ac:dyDescent="0.25">
      <c r="A1015" t="s">
        <v>1949</v>
      </c>
      <c r="G1015" t="str">
        <f t="shared" si="62"/>
        <v>04/17/19</v>
      </c>
      <c r="H1015" t="str">
        <f t="shared" si="57"/>
        <v/>
      </c>
      <c r="I1015" s="60" t="str">
        <f t="shared" si="58"/>
        <v/>
      </c>
      <c r="J1015" t="str">
        <f t="shared" si="59"/>
        <v/>
      </c>
      <c r="K1015" s="60" t="str">
        <f t="shared" si="60"/>
        <v/>
      </c>
      <c r="L1015" t="str">
        <f t="shared" si="61"/>
        <v/>
      </c>
    </row>
    <row r="1016" spans="1:12" x14ac:dyDescent="0.25">
      <c r="G1016" t="str">
        <f t="shared" si="62"/>
        <v>04/17/19</v>
      </c>
      <c r="H1016" t="str">
        <f t="shared" si="57"/>
        <v/>
      </c>
      <c r="I1016" s="60" t="str">
        <f t="shared" si="58"/>
        <v/>
      </c>
      <c r="J1016" t="str">
        <f t="shared" si="59"/>
        <v/>
      </c>
      <c r="K1016" s="60" t="str">
        <f t="shared" si="60"/>
        <v/>
      </c>
      <c r="L1016" t="str">
        <f t="shared" si="61"/>
        <v/>
      </c>
    </row>
    <row r="1017" spans="1:12" x14ac:dyDescent="0.25">
      <c r="A1017" t="s">
        <v>1950</v>
      </c>
      <c r="G1017" t="str">
        <f t="shared" si="62"/>
        <v>04/18/19</v>
      </c>
      <c r="H1017" t="str">
        <f t="shared" si="57"/>
        <v/>
      </c>
      <c r="I1017" s="60" t="str">
        <f t="shared" si="58"/>
        <v/>
      </c>
      <c r="J1017" t="str">
        <f t="shared" si="59"/>
        <v/>
      </c>
      <c r="K1017" s="60" t="str">
        <f t="shared" si="60"/>
        <v/>
      </c>
      <c r="L1017" t="str">
        <f t="shared" si="61"/>
        <v/>
      </c>
    </row>
    <row r="1018" spans="1:12" x14ac:dyDescent="0.25">
      <c r="G1018" t="str">
        <f t="shared" si="62"/>
        <v>04/18/19</v>
      </c>
      <c r="H1018" t="str">
        <f t="shared" si="57"/>
        <v/>
      </c>
      <c r="I1018" s="60" t="str">
        <f t="shared" si="58"/>
        <v/>
      </c>
      <c r="J1018" t="str">
        <f t="shared" si="59"/>
        <v/>
      </c>
      <c r="K1018" s="60" t="str">
        <f t="shared" si="60"/>
        <v/>
      </c>
      <c r="L1018" t="str">
        <f t="shared" si="61"/>
        <v/>
      </c>
    </row>
    <row r="1019" spans="1:12" x14ac:dyDescent="0.25">
      <c r="A1019" t="s">
        <v>1951</v>
      </c>
      <c r="G1019" t="str">
        <f t="shared" si="62"/>
        <v>04/18/19</v>
      </c>
      <c r="H1019" t="str">
        <f t="shared" si="57"/>
        <v>Seattle Mariners</v>
      </c>
      <c r="I1019" s="60">
        <f t="shared" si="58"/>
        <v>11</v>
      </c>
      <c r="J1019" t="str">
        <f t="shared" si="59"/>
        <v>Los Angeles Angels</v>
      </c>
      <c r="K1019" s="60">
        <f t="shared" si="60"/>
        <v>10</v>
      </c>
      <c r="L1019">
        <f t="shared" si="61"/>
        <v>1</v>
      </c>
    </row>
    <row r="1020" spans="1:12" x14ac:dyDescent="0.25">
      <c r="G1020" t="str">
        <f t="shared" si="62"/>
        <v>04/18/19</v>
      </c>
      <c r="H1020" t="str">
        <f t="shared" si="57"/>
        <v/>
      </c>
      <c r="I1020" s="60" t="str">
        <f t="shared" si="58"/>
        <v/>
      </c>
      <c r="J1020" t="str">
        <f t="shared" si="59"/>
        <v/>
      </c>
      <c r="K1020" s="60" t="str">
        <f t="shared" si="60"/>
        <v/>
      </c>
      <c r="L1020" t="str">
        <f t="shared" si="61"/>
        <v/>
      </c>
    </row>
    <row r="1021" spans="1:12" x14ac:dyDescent="0.25">
      <c r="A1021" t="s">
        <v>1952</v>
      </c>
      <c r="G1021" t="str">
        <f t="shared" si="62"/>
        <v>04/18/19</v>
      </c>
      <c r="H1021" t="str">
        <f t="shared" si="57"/>
        <v>Arizona D'Backs</v>
      </c>
      <c r="I1021" s="60">
        <f t="shared" si="58"/>
        <v>4</v>
      </c>
      <c r="J1021" t="str">
        <f t="shared" si="59"/>
        <v>Atlanta Braves</v>
      </c>
      <c r="K1021" s="60">
        <f t="shared" si="60"/>
        <v>1</v>
      </c>
      <c r="L1021">
        <f t="shared" si="61"/>
        <v>3</v>
      </c>
    </row>
    <row r="1022" spans="1:12" x14ac:dyDescent="0.25">
      <c r="G1022" t="str">
        <f t="shared" si="62"/>
        <v>04/18/19</v>
      </c>
      <c r="H1022" t="str">
        <f t="shared" si="57"/>
        <v/>
      </c>
      <c r="I1022" s="60" t="str">
        <f t="shared" si="58"/>
        <v/>
      </c>
      <c r="J1022" t="str">
        <f t="shared" si="59"/>
        <v/>
      </c>
      <c r="K1022" s="60" t="str">
        <f t="shared" si="60"/>
        <v/>
      </c>
      <c r="L1022" t="str">
        <f t="shared" si="61"/>
        <v/>
      </c>
    </row>
    <row r="1023" spans="1:12" x14ac:dyDescent="0.25">
      <c r="A1023" t="s">
        <v>1953</v>
      </c>
      <c r="G1023" t="str">
        <f t="shared" si="62"/>
        <v>04/18/19</v>
      </c>
      <c r="H1023" t="str">
        <f t="shared" si="57"/>
        <v>Philadelphia Phillies</v>
      </c>
      <c r="I1023" s="60">
        <f t="shared" si="58"/>
        <v>2</v>
      </c>
      <c r="J1023" t="str">
        <f t="shared" si="59"/>
        <v>Colorado Rockies</v>
      </c>
      <c r="K1023" s="60">
        <f t="shared" si="60"/>
        <v>6</v>
      </c>
      <c r="L1023">
        <f t="shared" si="61"/>
        <v>-4</v>
      </c>
    </row>
    <row r="1024" spans="1:12" x14ac:dyDescent="0.25">
      <c r="G1024" t="str">
        <f t="shared" si="62"/>
        <v>04/18/19</v>
      </c>
      <c r="H1024" t="str">
        <f t="shared" si="57"/>
        <v/>
      </c>
      <c r="I1024" s="60" t="str">
        <f t="shared" si="58"/>
        <v/>
      </c>
      <c r="J1024" t="str">
        <f t="shared" si="59"/>
        <v/>
      </c>
      <c r="K1024" s="60" t="str">
        <f t="shared" si="60"/>
        <v/>
      </c>
      <c r="L1024" t="str">
        <f t="shared" si="61"/>
        <v/>
      </c>
    </row>
    <row r="1025" spans="1:12" x14ac:dyDescent="0.25">
      <c r="A1025" t="s">
        <v>1954</v>
      </c>
      <c r="G1025" t="str">
        <f t="shared" si="62"/>
        <v>04/18/19</v>
      </c>
      <c r="H1025" t="str">
        <f t="shared" si="57"/>
        <v>Chicago White Sox</v>
      </c>
      <c r="I1025" s="60">
        <f t="shared" si="58"/>
        <v>7</v>
      </c>
      <c r="J1025" t="str">
        <f t="shared" si="59"/>
        <v>Detroit Tigers</v>
      </c>
      <c r="K1025" s="60">
        <f t="shared" si="60"/>
        <v>9</v>
      </c>
      <c r="L1025">
        <f t="shared" si="61"/>
        <v>-2</v>
      </c>
    </row>
    <row r="1026" spans="1:12" x14ac:dyDescent="0.25">
      <c r="G1026" t="str">
        <f t="shared" si="62"/>
        <v>04/18/19</v>
      </c>
      <c r="H1026" t="str">
        <f t="shared" si="57"/>
        <v/>
      </c>
      <c r="I1026" s="60" t="str">
        <f t="shared" si="58"/>
        <v/>
      </c>
      <c r="J1026" t="str">
        <f t="shared" si="59"/>
        <v/>
      </c>
      <c r="K1026" s="60" t="str">
        <f t="shared" si="60"/>
        <v/>
      </c>
      <c r="L1026" t="str">
        <f t="shared" si="61"/>
        <v/>
      </c>
    </row>
    <row r="1027" spans="1:12" x14ac:dyDescent="0.25">
      <c r="A1027" t="s">
        <v>1955</v>
      </c>
      <c r="G1027" t="str">
        <f t="shared" si="62"/>
        <v>04/18/19</v>
      </c>
      <c r="H1027" t="str">
        <f t="shared" si="57"/>
        <v>Los Angeles Dodgers</v>
      </c>
      <c r="I1027" s="60">
        <f t="shared" si="58"/>
        <v>3</v>
      </c>
      <c r="J1027" t="str">
        <f t="shared" si="59"/>
        <v>Milwaukee Brewers</v>
      </c>
      <c r="K1027" s="60">
        <f t="shared" si="60"/>
        <v>1</v>
      </c>
      <c r="L1027">
        <f t="shared" si="61"/>
        <v>2</v>
      </c>
    </row>
    <row r="1028" spans="1:12" x14ac:dyDescent="0.25">
      <c r="G1028" t="str">
        <f t="shared" si="62"/>
        <v>04/18/19</v>
      </c>
      <c r="H1028" t="str">
        <f t="shared" si="57"/>
        <v/>
      </c>
      <c r="I1028" s="60" t="str">
        <f t="shared" si="58"/>
        <v/>
      </c>
      <c r="J1028" t="str">
        <f t="shared" si="59"/>
        <v/>
      </c>
      <c r="K1028" s="60" t="str">
        <f t="shared" si="60"/>
        <v/>
      </c>
      <c r="L1028" t="str">
        <f t="shared" si="61"/>
        <v/>
      </c>
    </row>
    <row r="1029" spans="1:12" x14ac:dyDescent="0.25">
      <c r="A1029" t="s">
        <v>1956</v>
      </c>
      <c r="G1029" t="str">
        <f t="shared" si="62"/>
        <v>04/18/19</v>
      </c>
      <c r="H1029" t="str">
        <f t="shared" si="57"/>
        <v>Toronto Blue Jays</v>
      </c>
      <c r="I1029" s="60">
        <f t="shared" si="58"/>
        <v>7</v>
      </c>
      <c r="J1029" t="str">
        <f t="shared" si="59"/>
        <v>Minnesota Twins</v>
      </c>
      <c r="K1029" s="60">
        <f t="shared" si="60"/>
        <v>4</v>
      </c>
      <c r="L1029">
        <f t="shared" si="61"/>
        <v>3</v>
      </c>
    </row>
    <row r="1030" spans="1:12" x14ac:dyDescent="0.25">
      <c r="G1030" t="str">
        <f t="shared" si="62"/>
        <v>04/18/19</v>
      </c>
      <c r="H1030" t="str">
        <f t="shared" si="57"/>
        <v/>
      </c>
      <c r="I1030" s="60" t="str">
        <f t="shared" si="58"/>
        <v/>
      </c>
      <c r="J1030" t="str">
        <f t="shared" si="59"/>
        <v/>
      </c>
      <c r="K1030" s="60" t="str">
        <f t="shared" si="60"/>
        <v/>
      </c>
      <c r="L1030" t="str">
        <f t="shared" si="61"/>
        <v/>
      </c>
    </row>
    <row r="1031" spans="1:12" x14ac:dyDescent="0.25">
      <c r="A1031" t="s">
        <v>1957</v>
      </c>
      <c r="G1031" t="str">
        <f t="shared" si="62"/>
        <v>04/18/19</v>
      </c>
      <c r="H1031" t="str">
        <f t="shared" si="57"/>
        <v>Kansas City Royals</v>
      </c>
      <c r="I1031" s="60">
        <f t="shared" si="58"/>
        <v>6</v>
      </c>
      <c r="J1031" t="str">
        <f t="shared" si="59"/>
        <v>New York Yankees</v>
      </c>
      <c r="K1031" s="60">
        <f t="shared" si="60"/>
        <v>1</v>
      </c>
      <c r="L1031">
        <f t="shared" si="61"/>
        <v>5</v>
      </c>
    </row>
    <row r="1032" spans="1:12" x14ac:dyDescent="0.25">
      <c r="G1032" t="str">
        <f t="shared" si="62"/>
        <v>04/18/19</v>
      </c>
      <c r="H1032" t="str">
        <f t="shared" si="57"/>
        <v/>
      </c>
      <c r="I1032" s="60" t="str">
        <f t="shared" si="58"/>
        <v/>
      </c>
      <c r="J1032" t="str">
        <f t="shared" si="59"/>
        <v/>
      </c>
      <c r="K1032" s="60" t="str">
        <f t="shared" si="60"/>
        <v/>
      </c>
      <c r="L1032" t="str">
        <f t="shared" si="61"/>
        <v/>
      </c>
    </row>
    <row r="1033" spans="1:12" x14ac:dyDescent="0.25">
      <c r="A1033" t="s">
        <v>1958</v>
      </c>
      <c r="G1033" t="str">
        <f t="shared" si="62"/>
        <v>04/18/19</v>
      </c>
      <c r="H1033" t="str">
        <f t="shared" si="57"/>
        <v>Cincinnati Reds</v>
      </c>
      <c r="I1033" s="60">
        <f t="shared" si="58"/>
        <v>4</v>
      </c>
      <c r="J1033" t="str">
        <f t="shared" si="59"/>
        <v>San Diego Padres</v>
      </c>
      <c r="K1033" s="60">
        <f t="shared" si="60"/>
        <v>1</v>
      </c>
      <c r="L1033">
        <f t="shared" si="61"/>
        <v>3</v>
      </c>
    </row>
    <row r="1034" spans="1:12" x14ac:dyDescent="0.25">
      <c r="G1034" t="str">
        <f t="shared" si="62"/>
        <v>04/18/19</v>
      </c>
      <c r="H1034" t="str">
        <f t="shared" si="57"/>
        <v/>
      </c>
      <c r="I1034" s="60" t="str">
        <f t="shared" si="58"/>
        <v/>
      </c>
      <c r="J1034" t="str">
        <f t="shared" si="59"/>
        <v/>
      </c>
      <c r="K1034" s="60" t="str">
        <f t="shared" si="60"/>
        <v/>
      </c>
      <c r="L1034" t="str">
        <f t="shared" si="61"/>
        <v/>
      </c>
    </row>
    <row r="1035" spans="1:12" x14ac:dyDescent="0.25">
      <c r="A1035" t="s">
        <v>1959</v>
      </c>
      <c r="G1035" t="str">
        <f t="shared" si="62"/>
        <v>04/18/19</v>
      </c>
      <c r="H1035" t="str">
        <f t="shared" si="57"/>
        <v>Baltimore Orioles</v>
      </c>
      <c r="I1035" s="60">
        <f t="shared" si="58"/>
        <v>6</v>
      </c>
      <c r="J1035" t="str">
        <f t="shared" si="59"/>
        <v>Tampa Bay Rays</v>
      </c>
      <c r="K1035" s="60">
        <f t="shared" si="60"/>
        <v>5</v>
      </c>
      <c r="L1035">
        <f t="shared" si="61"/>
        <v>1</v>
      </c>
    </row>
    <row r="1036" spans="1:12" x14ac:dyDescent="0.25">
      <c r="G1036" t="str">
        <f t="shared" si="62"/>
        <v>04/18/19</v>
      </c>
      <c r="H1036" t="str">
        <f t="shared" si="57"/>
        <v/>
      </c>
      <c r="I1036" s="60" t="str">
        <f t="shared" si="58"/>
        <v/>
      </c>
      <c r="J1036" t="str">
        <f t="shared" si="59"/>
        <v/>
      </c>
      <c r="K1036" s="60" t="str">
        <f t="shared" si="60"/>
        <v/>
      </c>
      <c r="L1036" t="str">
        <f t="shared" si="61"/>
        <v/>
      </c>
    </row>
    <row r="1037" spans="1:12" x14ac:dyDescent="0.25">
      <c r="A1037" t="s">
        <v>1960</v>
      </c>
      <c r="G1037" t="str">
        <f t="shared" si="62"/>
        <v>04/18/19</v>
      </c>
      <c r="H1037" t="str">
        <f t="shared" si="57"/>
        <v>San Francisco Giants</v>
      </c>
      <c r="I1037" s="60">
        <f t="shared" si="58"/>
        <v>2</v>
      </c>
      <c r="J1037" t="str">
        <f t="shared" si="59"/>
        <v>Washington Nationals</v>
      </c>
      <c r="K1037" s="60">
        <f t="shared" si="60"/>
        <v>4</v>
      </c>
      <c r="L1037">
        <f t="shared" si="61"/>
        <v>-2</v>
      </c>
    </row>
    <row r="1038" spans="1:12" x14ac:dyDescent="0.25">
      <c r="G1038" t="str">
        <f t="shared" si="62"/>
        <v>04/18/19</v>
      </c>
      <c r="H1038" t="str">
        <f t="shared" si="57"/>
        <v/>
      </c>
      <c r="I1038" s="60" t="str">
        <f t="shared" si="58"/>
        <v/>
      </c>
      <c r="J1038" t="str">
        <f t="shared" si="59"/>
        <v/>
      </c>
      <c r="K1038" s="60" t="str">
        <f t="shared" si="60"/>
        <v/>
      </c>
      <c r="L1038" t="str">
        <f t="shared" si="61"/>
        <v/>
      </c>
    </row>
    <row r="1039" spans="1:12" x14ac:dyDescent="0.25">
      <c r="A1039" t="s">
        <v>1961</v>
      </c>
      <c r="G1039" t="str">
        <f t="shared" si="62"/>
        <v>04/18/19</v>
      </c>
      <c r="H1039" t="str">
        <f t="shared" si="57"/>
        <v/>
      </c>
      <c r="I1039" s="60" t="str">
        <f t="shared" si="58"/>
        <v/>
      </c>
      <c r="J1039" t="str">
        <f t="shared" si="59"/>
        <v/>
      </c>
      <c r="K1039" s="60" t="str">
        <f t="shared" si="60"/>
        <v/>
      </c>
      <c r="L1039" t="str">
        <f t="shared" si="61"/>
        <v/>
      </c>
    </row>
    <row r="1040" spans="1:12" x14ac:dyDescent="0.25">
      <c r="G1040" t="str">
        <f t="shared" si="62"/>
        <v>04/18/19</v>
      </c>
      <c r="H1040" t="str">
        <f t="shared" ref="H1040:H1103" si="63">IFERROR(LEFT(MID(A1040,1,SEARCH("@",A1040)-2),SEARCH("(",A1040)-2),"")</f>
        <v/>
      </c>
      <c r="I1040" s="60" t="str">
        <f t="shared" ref="I1040:I1103" si="64">IFERROR(VALUE(MID(A1040,SEARCH("(",A1040)+1,SEARCH(")",A1040)-SEARCH("(",A1040)-1)),"")</f>
        <v/>
      </c>
      <c r="J1040" t="str">
        <f t="shared" ref="J1040:J1103" si="65">IFERROR(MID(A1040,SEARCH("@",A1040)+2,SEARCH("(",A1040,SEARCH("@",A1040))-SEARCH("@",A1040)-3),"")</f>
        <v/>
      </c>
      <c r="K1040" s="60" t="str">
        <f t="shared" ref="K1040:K1103" si="66">IFERROR(VALUE(MID(A1040,SEARCH(J1040,A1040)+LEN(J1040)+2,(SEARCH(")",A1040,SEARCH("@",A1040))-SEARCH("(",A1040,SEARCH("@",A1040))-1))),"")</f>
        <v/>
      </c>
      <c r="L1040" t="str">
        <f t="shared" ref="L1040:L1103" si="67">IFERROR(I1040-K1040,"")</f>
        <v/>
      </c>
    </row>
    <row r="1041" spans="1:12" x14ac:dyDescent="0.25">
      <c r="A1041" t="s">
        <v>1962</v>
      </c>
      <c r="G1041" t="str">
        <f t="shared" si="62"/>
        <v>04/19/19</v>
      </c>
      <c r="H1041" t="str">
        <f t="shared" si="63"/>
        <v/>
      </c>
      <c r="I1041" s="60" t="str">
        <f t="shared" si="64"/>
        <v/>
      </c>
      <c r="J1041" t="str">
        <f t="shared" si="65"/>
        <v/>
      </c>
      <c r="K1041" s="60" t="str">
        <f t="shared" si="66"/>
        <v/>
      </c>
      <c r="L1041" t="str">
        <f t="shared" si="67"/>
        <v/>
      </c>
    </row>
    <row r="1042" spans="1:12" x14ac:dyDescent="0.25">
      <c r="G1042" t="str">
        <f t="shared" si="62"/>
        <v>04/19/19</v>
      </c>
      <c r="H1042" t="str">
        <f t="shared" si="63"/>
        <v/>
      </c>
      <c r="I1042" s="60" t="str">
        <f t="shared" si="64"/>
        <v/>
      </c>
      <c r="J1042" t="str">
        <f t="shared" si="65"/>
        <v/>
      </c>
      <c r="K1042" s="60" t="str">
        <f t="shared" si="66"/>
        <v/>
      </c>
      <c r="L1042" t="str">
        <f t="shared" si="67"/>
        <v/>
      </c>
    </row>
    <row r="1043" spans="1:12" x14ac:dyDescent="0.25">
      <c r="A1043" t="s">
        <v>1963</v>
      </c>
      <c r="G1043" t="str">
        <f t="shared" si="62"/>
        <v>04/19/19</v>
      </c>
      <c r="H1043" t="str">
        <f t="shared" si="63"/>
        <v>Seattle Mariners</v>
      </c>
      <c r="I1043" s="60">
        <f t="shared" si="64"/>
        <v>5</v>
      </c>
      <c r="J1043" t="str">
        <f t="shared" si="65"/>
        <v>Los Angeles Angels</v>
      </c>
      <c r="K1043" s="60">
        <f t="shared" si="66"/>
        <v>3</v>
      </c>
      <c r="L1043">
        <f t="shared" si="67"/>
        <v>2</v>
      </c>
    </row>
    <row r="1044" spans="1:12" x14ac:dyDescent="0.25">
      <c r="G1044" t="str">
        <f t="shared" si="62"/>
        <v>04/19/19</v>
      </c>
      <c r="H1044" t="str">
        <f t="shared" si="63"/>
        <v/>
      </c>
      <c r="I1044" s="60" t="str">
        <f t="shared" si="64"/>
        <v/>
      </c>
      <c r="J1044" t="str">
        <f t="shared" si="65"/>
        <v/>
      </c>
      <c r="K1044" s="60" t="str">
        <f t="shared" si="66"/>
        <v/>
      </c>
      <c r="L1044" t="str">
        <f t="shared" si="67"/>
        <v/>
      </c>
    </row>
    <row r="1045" spans="1:12" x14ac:dyDescent="0.25">
      <c r="A1045" t="s">
        <v>1964</v>
      </c>
      <c r="G1045" t="str">
        <f t="shared" si="62"/>
        <v>04/19/19</v>
      </c>
      <c r="H1045" t="str">
        <f t="shared" si="63"/>
        <v>Arizona D'Backs</v>
      </c>
      <c r="I1045" s="60">
        <f t="shared" si="64"/>
        <v>1</v>
      </c>
      <c r="J1045" t="str">
        <f t="shared" si="65"/>
        <v>Chicago Cubs</v>
      </c>
      <c r="K1045" s="60">
        <f t="shared" si="66"/>
        <v>5</v>
      </c>
      <c r="L1045">
        <f t="shared" si="67"/>
        <v>-4</v>
      </c>
    </row>
    <row r="1046" spans="1:12" x14ac:dyDescent="0.25">
      <c r="G1046" t="str">
        <f t="shared" si="62"/>
        <v>04/19/19</v>
      </c>
      <c r="H1046" t="str">
        <f t="shared" si="63"/>
        <v/>
      </c>
      <c r="I1046" s="60" t="str">
        <f t="shared" si="64"/>
        <v/>
      </c>
      <c r="J1046" t="str">
        <f t="shared" si="65"/>
        <v/>
      </c>
      <c r="K1046" s="60" t="str">
        <f t="shared" si="66"/>
        <v/>
      </c>
      <c r="L1046" t="str">
        <f t="shared" si="67"/>
        <v/>
      </c>
    </row>
    <row r="1047" spans="1:12" x14ac:dyDescent="0.25">
      <c r="A1047" t="s">
        <v>1965</v>
      </c>
      <c r="G1047" t="str">
        <f t="shared" si="62"/>
        <v>04/19/19</v>
      </c>
      <c r="H1047" t="str">
        <f t="shared" si="63"/>
        <v>Philadelphia Phillies</v>
      </c>
      <c r="I1047" s="60">
        <f t="shared" si="64"/>
        <v>3</v>
      </c>
      <c r="J1047" t="str">
        <f t="shared" si="65"/>
        <v>Colorado Rockies</v>
      </c>
      <c r="K1047" s="60">
        <f t="shared" si="66"/>
        <v>4</v>
      </c>
      <c r="L1047">
        <f t="shared" si="67"/>
        <v>-1</v>
      </c>
    </row>
    <row r="1048" spans="1:12" x14ac:dyDescent="0.25">
      <c r="G1048" t="str">
        <f t="shared" si="62"/>
        <v>04/19/19</v>
      </c>
      <c r="H1048" t="str">
        <f t="shared" si="63"/>
        <v/>
      </c>
      <c r="I1048" s="60" t="str">
        <f t="shared" si="64"/>
        <v/>
      </c>
      <c r="J1048" t="str">
        <f t="shared" si="65"/>
        <v/>
      </c>
      <c r="K1048" s="60" t="str">
        <f t="shared" si="66"/>
        <v/>
      </c>
      <c r="L1048" t="str">
        <f t="shared" si="67"/>
        <v/>
      </c>
    </row>
    <row r="1049" spans="1:12" x14ac:dyDescent="0.25">
      <c r="A1049" t="s">
        <v>1966</v>
      </c>
      <c r="G1049" t="str">
        <f t="shared" si="62"/>
        <v>04/19/19</v>
      </c>
      <c r="H1049" t="str">
        <f t="shared" si="63"/>
        <v>Chicago White Sox</v>
      </c>
      <c r="I1049" s="60">
        <f t="shared" si="64"/>
        <v>7</v>
      </c>
      <c r="J1049" t="str">
        <f t="shared" si="65"/>
        <v>Detroit Tigers</v>
      </c>
      <c r="K1049" s="60">
        <f t="shared" si="66"/>
        <v>3</v>
      </c>
      <c r="L1049">
        <f t="shared" si="67"/>
        <v>4</v>
      </c>
    </row>
    <row r="1050" spans="1:12" x14ac:dyDescent="0.25">
      <c r="G1050" t="str">
        <f t="shared" si="62"/>
        <v>04/19/19</v>
      </c>
      <c r="H1050" t="str">
        <f t="shared" si="63"/>
        <v/>
      </c>
      <c r="I1050" s="60" t="str">
        <f t="shared" si="64"/>
        <v/>
      </c>
      <c r="J1050" t="str">
        <f t="shared" si="65"/>
        <v/>
      </c>
      <c r="K1050" s="60" t="str">
        <f t="shared" si="66"/>
        <v/>
      </c>
      <c r="L1050" t="str">
        <f t="shared" si="67"/>
        <v/>
      </c>
    </row>
    <row r="1051" spans="1:12" x14ac:dyDescent="0.25">
      <c r="A1051" t="s">
        <v>1967</v>
      </c>
      <c r="G1051" t="str">
        <f t="shared" si="62"/>
        <v>04/19/19</v>
      </c>
      <c r="H1051" t="str">
        <f t="shared" si="63"/>
        <v>Washington Nationals</v>
      </c>
      <c r="I1051" s="60">
        <f t="shared" si="64"/>
        <v>2</v>
      </c>
      <c r="J1051" t="str">
        <f t="shared" si="65"/>
        <v>Miami Marlins</v>
      </c>
      <c r="K1051" s="60">
        <f t="shared" si="66"/>
        <v>3</v>
      </c>
      <c r="L1051">
        <f t="shared" si="67"/>
        <v>-1</v>
      </c>
    </row>
    <row r="1052" spans="1:12" x14ac:dyDescent="0.25">
      <c r="G1052" t="str">
        <f t="shared" si="62"/>
        <v>04/19/19</v>
      </c>
      <c r="H1052" t="str">
        <f t="shared" si="63"/>
        <v/>
      </c>
      <c r="I1052" s="60" t="str">
        <f t="shared" si="64"/>
        <v/>
      </c>
      <c r="J1052" t="str">
        <f t="shared" si="65"/>
        <v/>
      </c>
      <c r="K1052" s="60" t="str">
        <f t="shared" si="66"/>
        <v/>
      </c>
      <c r="L1052" t="str">
        <f t="shared" si="67"/>
        <v/>
      </c>
    </row>
    <row r="1053" spans="1:12" x14ac:dyDescent="0.25">
      <c r="A1053" t="s">
        <v>1968</v>
      </c>
      <c r="G1053" t="str">
        <f t="shared" si="62"/>
        <v>04/19/19</v>
      </c>
      <c r="H1053" t="str">
        <f t="shared" si="63"/>
        <v>Los Angeles Dodgers</v>
      </c>
      <c r="I1053" s="60">
        <f t="shared" si="64"/>
        <v>5</v>
      </c>
      <c r="J1053" t="str">
        <f t="shared" si="65"/>
        <v>Milwaukee Brewers</v>
      </c>
      <c r="K1053" s="60">
        <f t="shared" si="66"/>
        <v>3</v>
      </c>
      <c r="L1053">
        <f t="shared" si="67"/>
        <v>2</v>
      </c>
    </row>
    <row r="1054" spans="1:12" x14ac:dyDescent="0.25">
      <c r="G1054" t="str">
        <f t="shared" si="62"/>
        <v>04/19/19</v>
      </c>
      <c r="H1054" t="str">
        <f t="shared" si="63"/>
        <v/>
      </c>
      <c r="I1054" s="60" t="str">
        <f t="shared" si="64"/>
        <v/>
      </c>
      <c r="J1054" t="str">
        <f t="shared" si="65"/>
        <v/>
      </c>
      <c r="K1054" s="60" t="str">
        <f t="shared" si="66"/>
        <v/>
      </c>
      <c r="L1054" t="str">
        <f t="shared" si="67"/>
        <v/>
      </c>
    </row>
    <row r="1055" spans="1:12" x14ac:dyDescent="0.25">
      <c r="A1055" t="s">
        <v>1969</v>
      </c>
      <c r="G1055" t="str">
        <f t="shared" si="62"/>
        <v>04/19/19</v>
      </c>
      <c r="H1055" t="str">
        <f t="shared" si="63"/>
        <v>Kansas City Royals</v>
      </c>
      <c r="I1055" s="60">
        <f t="shared" si="64"/>
        <v>2</v>
      </c>
      <c r="J1055" t="str">
        <f t="shared" si="65"/>
        <v>New York Yankees</v>
      </c>
      <c r="K1055" s="60">
        <f t="shared" si="66"/>
        <v>6</v>
      </c>
      <c r="L1055">
        <f t="shared" si="67"/>
        <v>-4</v>
      </c>
    </row>
    <row r="1056" spans="1:12" x14ac:dyDescent="0.25">
      <c r="G1056" t="str">
        <f t="shared" si="62"/>
        <v>04/19/19</v>
      </c>
      <c r="H1056" t="str">
        <f t="shared" si="63"/>
        <v/>
      </c>
      <c r="I1056" s="60" t="str">
        <f t="shared" si="64"/>
        <v/>
      </c>
      <c r="J1056" t="str">
        <f t="shared" si="65"/>
        <v/>
      </c>
      <c r="K1056" s="60" t="str">
        <f t="shared" si="66"/>
        <v/>
      </c>
      <c r="L1056" t="str">
        <f t="shared" si="67"/>
        <v/>
      </c>
    </row>
    <row r="1057" spans="1:12" x14ac:dyDescent="0.25">
      <c r="A1057" t="s">
        <v>1970</v>
      </c>
      <c r="G1057" t="str">
        <f t="shared" si="62"/>
        <v>04/19/19</v>
      </c>
      <c r="H1057" t="str">
        <f t="shared" si="63"/>
        <v>Toronto Blue Jays</v>
      </c>
      <c r="I1057" s="60">
        <f t="shared" si="64"/>
        <v>5</v>
      </c>
      <c r="J1057" t="str">
        <f t="shared" si="65"/>
        <v>Oakland Athletics</v>
      </c>
      <c r="K1057" s="60">
        <f t="shared" si="66"/>
        <v>1</v>
      </c>
      <c r="L1057">
        <f t="shared" si="67"/>
        <v>4</v>
      </c>
    </row>
    <row r="1058" spans="1:12" x14ac:dyDescent="0.25">
      <c r="G1058" t="str">
        <f t="shared" ref="G1058:G1121" si="68">IF(ISNUMBER(MATCH(IFERROR(LEFT(A1058,SEARCH(",",A1058)-1),""),$G$220:$M$220,0)),TEXT(MID(A1058,SEARCH(",",A1058)+2,LEN(A1058)),"mm/dd/yy"),G1057)</f>
        <v>04/19/19</v>
      </c>
      <c r="H1058" t="str">
        <f t="shared" si="63"/>
        <v/>
      </c>
      <c r="I1058" s="60" t="str">
        <f t="shared" si="64"/>
        <v/>
      </c>
      <c r="J1058" t="str">
        <f t="shared" si="65"/>
        <v/>
      </c>
      <c r="K1058" s="60" t="str">
        <f t="shared" si="66"/>
        <v/>
      </c>
      <c r="L1058" t="str">
        <f t="shared" si="67"/>
        <v/>
      </c>
    </row>
    <row r="1059" spans="1:12" x14ac:dyDescent="0.25">
      <c r="A1059" t="s">
        <v>1971</v>
      </c>
      <c r="G1059" t="str">
        <f t="shared" si="68"/>
        <v>04/19/19</v>
      </c>
      <c r="H1059" t="str">
        <f t="shared" si="63"/>
        <v>San Francisco Giants</v>
      </c>
      <c r="I1059" s="60">
        <f t="shared" si="64"/>
        <v>1</v>
      </c>
      <c r="J1059" t="str">
        <f t="shared" si="65"/>
        <v>Pittsburgh Pirates</v>
      </c>
      <c r="K1059" s="60">
        <f t="shared" si="66"/>
        <v>4</v>
      </c>
      <c r="L1059">
        <f t="shared" si="67"/>
        <v>-3</v>
      </c>
    </row>
    <row r="1060" spans="1:12" x14ac:dyDescent="0.25">
      <c r="G1060" t="str">
        <f t="shared" si="68"/>
        <v>04/19/19</v>
      </c>
      <c r="H1060" t="str">
        <f t="shared" si="63"/>
        <v/>
      </c>
      <c r="I1060" s="60" t="str">
        <f t="shared" si="64"/>
        <v/>
      </c>
      <c r="J1060" t="str">
        <f t="shared" si="65"/>
        <v/>
      </c>
      <c r="K1060" s="60" t="str">
        <f t="shared" si="66"/>
        <v/>
      </c>
      <c r="L1060" t="str">
        <f t="shared" si="67"/>
        <v/>
      </c>
    </row>
    <row r="1061" spans="1:12" x14ac:dyDescent="0.25">
      <c r="A1061" t="s">
        <v>1972</v>
      </c>
      <c r="G1061" t="str">
        <f t="shared" si="68"/>
        <v>04/19/19</v>
      </c>
      <c r="H1061" t="str">
        <f t="shared" si="63"/>
        <v>Cincinnati Reds</v>
      </c>
      <c r="I1061" s="60">
        <f t="shared" si="64"/>
        <v>3</v>
      </c>
      <c r="J1061" t="str">
        <f t="shared" si="65"/>
        <v>San Diego Padres</v>
      </c>
      <c r="K1061" s="60">
        <f t="shared" si="66"/>
        <v>2</v>
      </c>
      <c r="L1061">
        <f t="shared" si="67"/>
        <v>1</v>
      </c>
    </row>
    <row r="1062" spans="1:12" x14ac:dyDescent="0.25">
      <c r="G1062" t="str">
        <f t="shared" si="68"/>
        <v>04/19/19</v>
      </c>
      <c r="H1062" t="str">
        <f t="shared" si="63"/>
        <v/>
      </c>
      <c r="I1062" s="60" t="str">
        <f t="shared" si="64"/>
        <v/>
      </c>
      <c r="J1062" t="str">
        <f t="shared" si="65"/>
        <v/>
      </c>
      <c r="K1062" s="60" t="str">
        <f t="shared" si="66"/>
        <v/>
      </c>
      <c r="L1062" t="str">
        <f t="shared" si="67"/>
        <v/>
      </c>
    </row>
    <row r="1063" spans="1:12" x14ac:dyDescent="0.25">
      <c r="A1063" t="s">
        <v>1973</v>
      </c>
      <c r="G1063" t="str">
        <f t="shared" si="68"/>
        <v>04/19/19</v>
      </c>
      <c r="H1063" t="str">
        <f t="shared" si="63"/>
        <v>New York Mets</v>
      </c>
      <c r="I1063" s="60">
        <f t="shared" si="64"/>
        <v>5</v>
      </c>
      <c r="J1063" t="str">
        <f t="shared" si="65"/>
        <v>St. Louis Cardinals</v>
      </c>
      <c r="K1063" s="60">
        <f t="shared" si="66"/>
        <v>4</v>
      </c>
      <c r="L1063">
        <f t="shared" si="67"/>
        <v>1</v>
      </c>
    </row>
    <row r="1064" spans="1:12" x14ac:dyDescent="0.25">
      <c r="G1064" t="str">
        <f t="shared" si="68"/>
        <v>04/19/19</v>
      </c>
      <c r="H1064" t="str">
        <f t="shared" si="63"/>
        <v/>
      </c>
      <c r="I1064" s="60" t="str">
        <f t="shared" si="64"/>
        <v/>
      </c>
      <c r="J1064" t="str">
        <f t="shared" si="65"/>
        <v/>
      </c>
      <c r="K1064" s="60" t="str">
        <f t="shared" si="66"/>
        <v/>
      </c>
      <c r="L1064" t="str">
        <f t="shared" si="67"/>
        <v/>
      </c>
    </row>
    <row r="1065" spans="1:12" x14ac:dyDescent="0.25">
      <c r="A1065" t="s">
        <v>1974</v>
      </c>
      <c r="G1065" t="str">
        <f t="shared" si="68"/>
        <v>04/19/19</v>
      </c>
      <c r="H1065" t="str">
        <f t="shared" si="63"/>
        <v>Boston Red Sox</v>
      </c>
      <c r="I1065" s="60">
        <f t="shared" si="64"/>
        <v>6</v>
      </c>
      <c r="J1065" t="str">
        <f t="shared" si="65"/>
        <v>Tampa Bay Rays</v>
      </c>
      <c r="K1065" s="60">
        <f t="shared" si="66"/>
        <v>4</v>
      </c>
      <c r="L1065">
        <f t="shared" si="67"/>
        <v>2</v>
      </c>
    </row>
    <row r="1066" spans="1:12" x14ac:dyDescent="0.25">
      <c r="G1066" t="str">
        <f t="shared" si="68"/>
        <v>04/19/19</v>
      </c>
      <c r="H1066" t="str">
        <f t="shared" si="63"/>
        <v/>
      </c>
      <c r="I1066" s="60" t="str">
        <f t="shared" si="64"/>
        <v/>
      </c>
      <c r="J1066" t="str">
        <f t="shared" si="65"/>
        <v/>
      </c>
      <c r="K1066" s="60" t="str">
        <f t="shared" si="66"/>
        <v/>
      </c>
      <c r="L1066" t="str">
        <f t="shared" si="67"/>
        <v/>
      </c>
    </row>
    <row r="1067" spans="1:12" x14ac:dyDescent="0.25">
      <c r="A1067" t="s">
        <v>1975</v>
      </c>
      <c r="G1067" t="str">
        <f t="shared" si="68"/>
        <v>04/19/19</v>
      </c>
      <c r="H1067" t="str">
        <f t="shared" si="63"/>
        <v>Houston Astros</v>
      </c>
      <c r="I1067" s="60">
        <f t="shared" si="64"/>
        <v>7</v>
      </c>
      <c r="J1067" t="str">
        <f t="shared" si="65"/>
        <v>Texas Rangers</v>
      </c>
      <c r="K1067" s="60">
        <f t="shared" si="66"/>
        <v>2</v>
      </c>
      <c r="L1067">
        <f t="shared" si="67"/>
        <v>5</v>
      </c>
    </row>
    <row r="1068" spans="1:12" x14ac:dyDescent="0.25">
      <c r="G1068" t="str">
        <f t="shared" si="68"/>
        <v>04/19/19</v>
      </c>
      <c r="H1068" t="str">
        <f t="shared" si="63"/>
        <v/>
      </c>
      <c r="I1068" s="60" t="str">
        <f t="shared" si="64"/>
        <v/>
      </c>
      <c r="J1068" t="str">
        <f t="shared" si="65"/>
        <v/>
      </c>
      <c r="K1068" s="60" t="str">
        <f t="shared" si="66"/>
        <v/>
      </c>
      <c r="L1068" t="str">
        <f t="shared" si="67"/>
        <v/>
      </c>
    </row>
    <row r="1069" spans="1:12" x14ac:dyDescent="0.25">
      <c r="A1069" t="s">
        <v>1976</v>
      </c>
      <c r="G1069" t="str">
        <f t="shared" si="68"/>
        <v>04/19/19</v>
      </c>
      <c r="H1069" t="str">
        <f t="shared" si="63"/>
        <v/>
      </c>
      <c r="I1069" s="60" t="str">
        <f t="shared" si="64"/>
        <v/>
      </c>
      <c r="J1069" t="str">
        <f t="shared" si="65"/>
        <v/>
      </c>
      <c r="K1069" s="60" t="str">
        <f t="shared" si="66"/>
        <v/>
      </c>
      <c r="L1069" t="str">
        <f t="shared" si="67"/>
        <v/>
      </c>
    </row>
    <row r="1070" spans="1:12" x14ac:dyDescent="0.25">
      <c r="G1070" t="str">
        <f t="shared" si="68"/>
        <v>04/19/19</v>
      </c>
      <c r="H1070" t="str">
        <f t="shared" si="63"/>
        <v/>
      </c>
      <c r="I1070" s="60" t="str">
        <f t="shared" si="64"/>
        <v/>
      </c>
      <c r="J1070" t="str">
        <f t="shared" si="65"/>
        <v/>
      </c>
      <c r="K1070" s="60" t="str">
        <f t="shared" si="66"/>
        <v/>
      </c>
      <c r="L1070" t="str">
        <f t="shared" si="67"/>
        <v/>
      </c>
    </row>
    <row r="1071" spans="1:12" x14ac:dyDescent="0.25">
      <c r="A1071" t="s">
        <v>1977</v>
      </c>
      <c r="G1071" t="str">
        <f t="shared" si="68"/>
        <v>04/20/19</v>
      </c>
      <c r="H1071" t="str">
        <f t="shared" si="63"/>
        <v/>
      </c>
      <c r="I1071" s="60" t="str">
        <f t="shared" si="64"/>
        <v/>
      </c>
      <c r="J1071" t="str">
        <f t="shared" si="65"/>
        <v/>
      </c>
      <c r="K1071" s="60" t="str">
        <f t="shared" si="66"/>
        <v/>
      </c>
      <c r="L1071" t="str">
        <f t="shared" si="67"/>
        <v/>
      </c>
    </row>
    <row r="1072" spans="1:12" x14ac:dyDescent="0.25">
      <c r="G1072" t="str">
        <f t="shared" si="68"/>
        <v>04/20/19</v>
      </c>
      <c r="H1072" t="str">
        <f t="shared" si="63"/>
        <v/>
      </c>
      <c r="I1072" s="60" t="str">
        <f t="shared" si="64"/>
        <v/>
      </c>
      <c r="J1072" t="str">
        <f t="shared" si="65"/>
        <v/>
      </c>
      <c r="K1072" s="60" t="str">
        <f t="shared" si="66"/>
        <v/>
      </c>
      <c r="L1072" t="str">
        <f t="shared" si="67"/>
        <v/>
      </c>
    </row>
    <row r="1073" spans="1:12" x14ac:dyDescent="0.25">
      <c r="A1073" t="s">
        <v>1978</v>
      </c>
      <c r="G1073" t="str">
        <f t="shared" si="68"/>
        <v>04/20/19</v>
      </c>
      <c r="H1073" t="str">
        <f t="shared" si="63"/>
        <v>Seattle Mariners</v>
      </c>
      <c r="I1073" s="60">
        <f t="shared" si="64"/>
        <v>6</v>
      </c>
      <c r="J1073" t="str">
        <f t="shared" si="65"/>
        <v>Los Angeles Angels</v>
      </c>
      <c r="K1073" s="60">
        <f t="shared" si="66"/>
        <v>5</v>
      </c>
      <c r="L1073">
        <f t="shared" si="67"/>
        <v>1</v>
      </c>
    </row>
    <row r="1074" spans="1:12" x14ac:dyDescent="0.25">
      <c r="G1074" t="str">
        <f t="shared" si="68"/>
        <v>04/20/19</v>
      </c>
      <c r="H1074" t="str">
        <f t="shared" si="63"/>
        <v/>
      </c>
      <c r="I1074" s="60" t="str">
        <f t="shared" si="64"/>
        <v/>
      </c>
      <c r="J1074" t="str">
        <f t="shared" si="65"/>
        <v/>
      </c>
      <c r="K1074" s="60" t="str">
        <f t="shared" si="66"/>
        <v/>
      </c>
      <c r="L1074" t="str">
        <f t="shared" si="67"/>
        <v/>
      </c>
    </row>
    <row r="1075" spans="1:12" x14ac:dyDescent="0.25">
      <c r="A1075" t="s">
        <v>1979</v>
      </c>
      <c r="G1075" t="str">
        <f t="shared" si="68"/>
        <v>04/20/19</v>
      </c>
      <c r="H1075" t="str">
        <f t="shared" si="63"/>
        <v>Minnesota Twins</v>
      </c>
      <c r="I1075" s="60">
        <f t="shared" si="64"/>
        <v>6</v>
      </c>
      <c r="J1075" t="str">
        <f t="shared" si="65"/>
        <v>Baltimore Orioles</v>
      </c>
      <c r="K1075" s="60">
        <f t="shared" si="66"/>
        <v>5</v>
      </c>
      <c r="L1075">
        <f t="shared" si="67"/>
        <v>1</v>
      </c>
    </row>
    <row r="1076" spans="1:12" x14ac:dyDescent="0.25">
      <c r="G1076" t="str">
        <f t="shared" si="68"/>
        <v>04/20/19</v>
      </c>
      <c r="H1076" t="str">
        <f t="shared" si="63"/>
        <v/>
      </c>
      <c r="I1076" s="60" t="str">
        <f t="shared" si="64"/>
        <v/>
      </c>
      <c r="J1076" t="str">
        <f t="shared" si="65"/>
        <v/>
      </c>
      <c r="K1076" s="60" t="str">
        <f t="shared" si="66"/>
        <v/>
      </c>
      <c r="L1076" t="str">
        <f t="shared" si="67"/>
        <v/>
      </c>
    </row>
    <row r="1077" spans="1:12" x14ac:dyDescent="0.25">
      <c r="A1077" t="s">
        <v>1980</v>
      </c>
      <c r="G1077" t="str">
        <f t="shared" si="68"/>
        <v>04/20/19</v>
      </c>
      <c r="H1077" t="str">
        <f t="shared" si="63"/>
        <v>Minnesota Twins</v>
      </c>
      <c r="I1077" s="60">
        <f t="shared" si="64"/>
        <v>16</v>
      </c>
      <c r="J1077" t="str">
        <f t="shared" si="65"/>
        <v>Baltimore Orioles</v>
      </c>
      <c r="K1077" s="60">
        <f t="shared" si="66"/>
        <v>7</v>
      </c>
      <c r="L1077">
        <f t="shared" si="67"/>
        <v>9</v>
      </c>
    </row>
    <row r="1078" spans="1:12" x14ac:dyDescent="0.25">
      <c r="G1078" t="str">
        <f t="shared" si="68"/>
        <v>04/20/19</v>
      </c>
      <c r="H1078" t="str">
        <f t="shared" si="63"/>
        <v/>
      </c>
      <c r="I1078" s="60" t="str">
        <f t="shared" si="64"/>
        <v/>
      </c>
      <c r="J1078" t="str">
        <f t="shared" si="65"/>
        <v/>
      </c>
      <c r="K1078" s="60" t="str">
        <f t="shared" si="66"/>
        <v/>
      </c>
      <c r="L1078" t="str">
        <f t="shared" si="67"/>
        <v/>
      </c>
    </row>
    <row r="1079" spans="1:12" x14ac:dyDescent="0.25">
      <c r="A1079" t="s">
        <v>1981</v>
      </c>
      <c r="G1079" t="str">
        <f t="shared" si="68"/>
        <v>04/20/19</v>
      </c>
      <c r="H1079" t="str">
        <f t="shared" si="63"/>
        <v>Arizona D'Backs</v>
      </c>
      <c r="I1079" s="60">
        <f t="shared" si="64"/>
        <v>6</v>
      </c>
      <c r="J1079" t="str">
        <f t="shared" si="65"/>
        <v>Chicago Cubs</v>
      </c>
      <c r="K1079" s="60">
        <f t="shared" si="66"/>
        <v>0</v>
      </c>
      <c r="L1079">
        <f t="shared" si="67"/>
        <v>6</v>
      </c>
    </row>
    <row r="1080" spans="1:12" x14ac:dyDescent="0.25">
      <c r="G1080" t="str">
        <f t="shared" si="68"/>
        <v>04/20/19</v>
      </c>
      <c r="H1080" t="str">
        <f t="shared" si="63"/>
        <v/>
      </c>
      <c r="I1080" s="60" t="str">
        <f t="shared" si="64"/>
        <v/>
      </c>
      <c r="J1080" t="str">
        <f t="shared" si="65"/>
        <v/>
      </c>
      <c r="K1080" s="60" t="str">
        <f t="shared" si="66"/>
        <v/>
      </c>
      <c r="L1080" t="str">
        <f t="shared" si="67"/>
        <v/>
      </c>
    </row>
    <row r="1081" spans="1:12" x14ac:dyDescent="0.25">
      <c r="A1081" t="s">
        <v>1982</v>
      </c>
      <c r="G1081" t="str">
        <f t="shared" si="68"/>
        <v>04/20/19</v>
      </c>
      <c r="H1081" t="str">
        <f t="shared" si="63"/>
        <v>Atlanta Braves</v>
      </c>
      <c r="I1081" s="60">
        <f t="shared" si="64"/>
        <v>4</v>
      </c>
      <c r="J1081" t="str">
        <f t="shared" si="65"/>
        <v>Cleveland Indians</v>
      </c>
      <c r="K1081" s="60">
        <f t="shared" si="66"/>
        <v>8</v>
      </c>
      <c r="L1081">
        <f t="shared" si="67"/>
        <v>-4</v>
      </c>
    </row>
    <row r="1082" spans="1:12" x14ac:dyDescent="0.25">
      <c r="G1082" t="str">
        <f t="shared" si="68"/>
        <v>04/20/19</v>
      </c>
      <c r="H1082" t="str">
        <f t="shared" si="63"/>
        <v/>
      </c>
      <c r="I1082" s="60" t="str">
        <f t="shared" si="64"/>
        <v/>
      </c>
      <c r="J1082" t="str">
        <f t="shared" si="65"/>
        <v/>
      </c>
      <c r="K1082" s="60" t="str">
        <f t="shared" si="66"/>
        <v/>
      </c>
      <c r="L1082" t="str">
        <f t="shared" si="67"/>
        <v/>
      </c>
    </row>
    <row r="1083" spans="1:12" x14ac:dyDescent="0.25">
      <c r="A1083" t="s">
        <v>1983</v>
      </c>
      <c r="G1083" t="str">
        <f t="shared" si="68"/>
        <v>04/20/19</v>
      </c>
      <c r="H1083" t="str">
        <f t="shared" si="63"/>
        <v>Atlanta Braves</v>
      </c>
      <c r="I1083" s="60">
        <f t="shared" si="64"/>
        <v>8</v>
      </c>
      <c r="J1083" t="str">
        <f t="shared" si="65"/>
        <v>Cleveland Indians</v>
      </c>
      <c r="K1083" s="60">
        <f t="shared" si="66"/>
        <v>7</v>
      </c>
      <c r="L1083">
        <f t="shared" si="67"/>
        <v>1</v>
      </c>
    </row>
    <row r="1084" spans="1:12" x14ac:dyDescent="0.25">
      <c r="G1084" t="str">
        <f t="shared" si="68"/>
        <v>04/20/19</v>
      </c>
      <c r="H1084" t="str">
        <f t="shared" si="63"/>
        <v/>
      </c>
      <c r="I1084" s="60" t="str">
        <f t="shared" si="64"/>
        <v/>
      </c>
      <c r="J1084" t="str">
        <f t="shared" si="65"/>
        <v/>
      </c>
      <c r="K1084" s="60" t="str">
        <f t="shared" si="66"/>
        <v/>
      </c>
      <c r="L1084" t="str">
        <f t="shared" si="67"/>
        <v/>
      </c>
    </row>
    <row r="1085" spans="1:12" x14ac:dyDescent="0.25">
      <c r="A1085" t="s">
        <v>1984</v>
      </c>
      <c r="G1085" t="str">
        <f t="shared" si="68"/>
        <v>04/20/19</v>
      </c>
      <c r="H1085" t="str">
        <f t="shared" si="63"/>
        <v>Philadelphia Phillies</v>
      </c>
      <c r="I1085" s="60">
        <f t="shared" si="64"/>
        <v>8</v>
      </c>
      <c r="J1085" t="str">
        <f t="shared" si="65"/>
        <v>Colorado Rockies</v>
      </c>
      <c r="K1085" s="60">
        <f t="shared" si="66"/>
        <v>5</v>
      </c>
      <c r="L1085">
        <f t="shared" si="67"/>
        <v>3</v>
      </c>
    </row>
    <row r="1086" spans="1:12" x14ac:dyDescent="0.25">
      <c r="G1086" t="str">
        <f t="shared" si="68"/>
        <v>04/20/19</v>
      </c>
      <c r="H1086" t="str">
        <f t="shared" si="63"/>
        <v/>
      </c>
      <c r="I1086" s="60" t="str">
        <f t="shared" si="64"/>
        <v/>
      </c>
      <c r="J1086" t="str">
        <f t="shared" si="65"/>
        <v/>
      </c>
      <c r="K1086" s="60" t="str">
        <f t="shared" si="66"/>
        <v/>
      </c>
      <c r="L1086" t="str">
        <f t="shared" si="67"/>
        <v/>
      </c>
    </row>
    <row r="1087" spans="1:12" x14ac:dyDescent="0.25">
      <c r="A1087" t="s">
        <v>1985</v>
      </c>
      <c r="G1087" t="str">
        <f t="shared" si="68"/>
        <v>04/20/19</v>
      </c>
      <c r="H1087" t="str">
        <f t="shared" si="63"/>
        <v>Washington Nationals</v>
      </c>
      <c r="I1087" s="60">
        <f t="shared" si="64"/>
        <v>3</v>
      </c>
      <c r="J1087" t="str">
        <f t="shared" si="65"/>
        <v>Miami Marlins</v>
      </c>
      <c r="K1087" s="60">
        <f t="shared" si="66"/>
        <v>9</v>
      </c>
      <c r="L1087">
        <f t="shared" si="67"/>
        <v>-6</v>
      </c>
    </row>
    <row r="1088" spans="1:12" x14ac:dyDescent="0.25">
      <c r="G1088" t="str">
        <f t="shared" si="68"/>
        <v>04/20/19</v>
      </c>
      <c r="H1088" t="str">
        <f t="shared" si="63"/>
        <v/>
      </c>
      <c r="I1088" s="60" t="str">
        <f t="shared" si="64"/>
        <v/>
      </c>
      <c r="J1088" t="str">
        <f t="shared" si="65"/>
        <v/>
      </c>
      <c r="K1088" s="60" t="str">
        <f t="shared" si="66"/>
        <v/>
      </c>
      <c r="L1088" t="str">
        <f t="shared" si="67"/>
        <v/>
      </c>
    </row>
    <row r="1089" spans="1:12" x14ac:dyDescent="0.25">
      <c r="A1089" t="s">
        <v>1986</v>
      </c>
      <c r="G1089" t="str">
        <f t="shared" si="68"/>
        <v>04/20/19</v>
      </c>
      <c r="H1089" t="str">
        <f t="shared" si="63"/>
        <v>Los Angeles Dodgers</v>
      </c>
      <c r="I1089" s="60">
        <f t="shared" si="64"/>
        <v>0</v>
      </c>
      <c r="J1089" t="str">
        <f t="shared" si="65"/>
        <v>Milwaukee Brewers</v>
      </c>
      <c r="K1089" s="60">
        <f t="shared" si="66"/>
        <v>5</v>
      </c>
      <c r="L1089">
        <f t="shared" si="67"/>
        <v>-5</v>
      </c>
    </row>
    <row r="1090" spans="1:12" x14ac:dyDescent="0.25">
      <c r="G1090" t="str">
        <f t="shared" si="68"/>
        <v>04/20/19</v>
      </c>
      <c r="H1090" t="str">
        <f t="shared" si="63"/>
        <v/>
      </c>
      <c r="I1090" s="60" t="str">
        <f t="shared" si="64"/>
        <v/>
      </c>
      <c r="J1090" t="str">
        <f t="shared" si="65"/>
        <v/>
      </c>
      <c r="K1090" s="60" t="str">
        <f t="shared" si="66"/>
        <v/>
      </c>
      <c r="L1090" t="str">
        <f t="shared" si="67"/>
        <v/>
      </c>
    </row>
    <row r="1091" spans="1:12" x14ac:dyDescent="0.25">
      <c r="A1091" t="s">
        <v>1987</v>
      </c>
      <c r="G1091" t="str">
        <f t="shared" si="68"/>
        <v>04/20/19</v>
      </c>
      <c r="H1091" t="str">
        <f t="shared" si="63"/>
        <v>Kansas City Royals</v>
      </c>
      <c r="I1091" s="60">
        <f t="shared" si="64"/>
        <v>2</v>
      </c>
      <c r="J1091" t="str">
        <f t="shared" si="65"/>
        <v>New York Yankees</v>
      </c>
      <c r="K1091" s="60">
        <f t="shared" si="66"/>
        <v>9</v>
      </c>
      <c r="L1091">
        <f t="shared" si="67"/>
        <v>-7</v>
      </c>
    </row>
    <row r="1092" spans="1:12" x14ac:dyDescent="0.25">
      <c r="G1092" t="str">
        <f t="shared" si="68"/>
        <v>04/20/19</v>
      </c>
      <c r="H1092" t="str">
        <f t="shared" si="63"/>
        <v/>
      </c>
      <c r="I1092" s="60" t="str">
        <f t="shared" si="64"/>
        <v/>
      </c>
      <c r="J1092" t="str">
        <f t="shared" si="65"/>
        <v/>
      </c>
      <c r="K1092" s="60" t="str">
        <f t="shared" si="66"/>
        <v/>
      </c>
      <c r="L1092" t="str">
        <f t="shared" si="67"/>
        <v/>
      </c>
    </row>
    <row r="1093" spans="1:12" x14ac:dyDescent="0.25">
      <c r="A1093" t="s">
        <v>1988</v>
      </c>
      <c r="G1093" t="str">
        <f t="shared" si="68"/>
        <v>04/20/19</v>
      </c>
      <c r="H1093" t="str">
        <f t="shared" si="63"/>
        <v>Toronto Blue Jays</v>
      </c>
      <c r="I1093" s="60">
        <f t="shared" si="64"/>
        <v>10</v>
      </c>
      <c r="J1093" t="str">
        <f t="shared" si="65"/>
        <v>Oakland Athletics</v>
      </c>
      <c r="K1093" s="60">
        <f t="shared" si="66"/>
        <v>1</v>
      </c>
      <c r="L1093">
        <f t="shared" si="67"/>
        <v>9</v>
      </c>
    </row>
    <row r="1094" spans="1:12" x14ac:dyDescent="0.25">
      <c r="G1094" t="str">
        <f t="shared" si="68"/>
        <v>04/20/19</v>
      </c>
      <c r="H1094" t="str">
        <f t="shared" si="63"/>
        <v/>
      </c>
      <c r="I1094" s="60" t="str">
        <f t="shared" si="64"/>
        <v/>
      </c>
      <c r="J1094" t="str">
        <f t="shared" si="65"/>
        <v/>
      </c>
      <c r="K1094" s="60" t="str">
        <f t="shared" si="66"/>
        <v/>
      </c>
      <c r="L1094" t="str">
        <f t="shared" si="67"/>
        <v/>
      </c>
    </row>
    <row r="1095" spans="1:12" x14ac:dyDescent="0.25">
      <c r="A1095" t="s">
        <v>1989</v>
      </c>
      <c r="G1095" t="str">
        <f t="shared" si="68"/>
        <v>04/20/19</v>
      </c>
      <c r="H1095" t="str">
        <f t="shared" si="63"/>
        <v>San Francisco Giants</v>
      </c>
      <c r="I1095" s="60">
        <f t="shared" si="64"/>
        <v>1</v>
      </c>
      <c r="J1095" t="str">
        <f t="shared" si="65"/>
        <v>Pittsburgh Pirates</v>
      </c>
      <c r="K1095" s="60">
        <f t="shared" si="66"/>
        <v>3</v>
      </c>
      <c r="L1095">
        <f t="shared" si="67"/>
        <v>-2</v>
      </c>
    </row>
    <row r="1096" spans="1:12" x14ac:dyDescent="0.25">
      <c r="G1096" t="str">
        <f t="shared" si="68"/>
        <v>04/20/19</v>
      </c>
      <c r="H1096" t="str">
        <f t="shared" si="63"/>
        <v/>
      </c>
      <c r="I1096" s="60" t="str">
        <f t="shared" si="64"/>
        <v/>
      </c>
      <c r="J1096" t="str">
        <f t="shared" si="65"/>
        <v/>
      </c>
      <c r="K1096" s="60" t="str">
        <f t="shared" si="66"/>
        <v/>
      </c>
      <c r="L1096" t="str">
        <f t="shared" si="67"/>
        <v/>
      </c>
    </row>
    <row r="1097" spans="1:12" x14ac:dyDescent="0.25">
      <c r="A1097" t="s">
        <v>1990</v>
      </c>
      <c r="G1097" t="str">
        <f t="shared" si="68"/>
        <v>04/20/19</v>
      </c>
      <c r="H1097" t="str">
        <f t="shared" si="63"/>
        <v>Cincinnati Reds</v>
      </c>
      <c r="I1097" s="60">
        <f t="shared" si="64"/>
        <v>4</v>
      </c>
      <c r="J1097" t="str">
        <f t="shared" si="65"/>
        <v>San Diego Padres</v>
      </c>
      <c r="K1097" s="60">
        <f t="shared" si="66"/>
        <v>2</v>
      </c>
      <c r="L1097">
        <f t="shared" si="67"/>
        <v>2</v>
      </c>
    </row>
    <row r="1098" spans="1:12" x14ac:dyDescent="0.25">
      <c r="G1098" t="str">
        <f t="shared" si="68"/>
        <v>04/20/19</v>
      </c>
      <c r="H1098" t="str">
        <f t="shared" si="63"/>
        <v/>
      </c>
      <c r="I1098" s="60" t="str">
        <f t="shared" si="64"/>
        <v/>
      </c>
      <c r="J1098" t="str">
        <f t="shared" si="65"/>
        <v/>
      </c>
      <c r="K1098" s="60" t="str">
        <f t="shared" si="66"/>
        <v/>
      </c>
      <c r="L1098" t="str">
        <f t="shared" si="67"/>
        <v/>
      </c>
    </row>
    <row r="1099" spans="1:12" x14ac:dyDescent="0.25">
      <c r="A1099" t="s">
        <v>1991</v>
      </c>
      <c r="G1099" t="str">
        <f t="shared" si="68"/>
        <v>04/20/19</v>
      </c>
      <c r="H1099" t="str">
        <f t="shared" si="63"/>
        <v>New York Mets</v>
      </c>
      <c r="I1099" s="60">
        <f t="shared" si="64"/>
        <v>2</v>
      </c>
      <c r="J1099" t="str">
        <f t="shared" si="65"/>
        <v>St. Louis Cardinals</v>
      </c>
      <c r="K1099" s="60">
        <f t="shared" si="66"/>
        <v>10</v>
      </c>
      <c r="L1099">
        <f t="shared" si="67"/>
        <v>-8</v>
      </c>
    </row>
    <row r="1100" spans="1:12" x14ac:dyDescent="0.25">
      <c r="G1100" t="str">
        <f t="shared" si="68"/>
        <v>04/20/19</v>
      </c>
      <c r="H1100" t="str">
        <f t="shared" si="63"/>
        <v/>
      </c>
      <c r="I1100" s="60" t="str">
        <f t="shared" si="64"/>
        <v/>
      </c>
      <c r="J1100" t="str">
        <f t="shared" si="65"/>
        <v/>
      </c>
      <c r="K1100" s="60" t="str">
        <f t="shared" si="66"/>
        <v/>
      </c>
      <c r="L1100" t="str">
        <f t="shared" si="67"/>
        <v/>
      </c>
    </row>
    <row r="1101" spans="1:12" x14ac:dyDescent="0.25">
      <c r="A1101" t="s">
        <v>1992</v>
      </c>
      <c r="G1101" t="str">
        <f t="shared" si="68"/>
        <v>04/20/19</v>
      </c>
      <c r="H1101" t="str">
        <f t="shared" si="63"/>
        <v>Boston Red Sox</v>
      </c>
      <c r="I1101" s="60">
        <f t="shared" si="64"/>
        <v>6</v>
      </c>
      <c r="J1101" t="str">
        <f t="shared" si="65"/>
        <v>Tampa Bay Rays</v>
      </c>
      <c r="K1101" s="60">
        <f t="shared" si="66"/>
        <v>5</v>
      </c>
      <c r="L1101">
        <f t="shared" si="67"/>
        <v>1</v>
      </c>
    </row>
    <row r="1102" spans="1:12" x14ac:dyDescent="0.25">
      <c r="G1102" t="str">
        <f t="shared" si="68"/>
        <v>04/20/19</v>
      </c>
      <c r="H1102" t="str">
        <f t="shared" si="63"/>
        <v/>
      </c>
      <c r="I1102" s="60" t="str">
        <f t="shared" si="64"/>
        <v/>
      </c>
      <c r="J1102" t="str">
        <f t="shared" si="65"/>
        <v/>
      </c>
      <c r="K1102" s="60" t="str">
        <f t="shared" si="66"/>
        <v/>
      </c>
      <c r="L1102" t="str">
        <f t="shared" si="67"/>
        <v/>
      </c>
    </row>
    <row r="1103" spans="1:12" x14ac:dyDescent="0.25">
      <c r="A1103" t="s">
        <v>1993</v>
      </c>
      <c r="G1103" t="str">
        <f t="shared" si="68"/>
        <v>04/20/19</v>
      </c>
      <c r="H1103" t="str">
        <f t="shared" si="63"/>
        <v>Houston Astros</v>
      </c>
      <c r="I1103" s="60">
        <f t="shared" si="64"/>
        <v>4</v>
      </c>
      <c r="J1103" t="str">
        <f t="shared" si="65"/>
        <v>Texas Rangers</v>
      </c>
      <c r="K1103" s="60">
        <f t="shared" si="66"/>
        <v>9</v>
      </c>
      <c r="L1103">
        <f t="shared" si="67"/>
        <v>-5</v>
      </c>
    </row>
    <row r="1104" spans="1:12" x14ac:dyDescent="0.25">
      <c r="G1104" t="str">
        <f t="shared" si="68"/>
        <v>04/20/19</v>
      </c>
      <c r="H1104" t="str">
        <f t="shared" ref="H1104:H1167" si="69">IFERROR(LEFT(MID(A1104,1,SEARCH("@",A1104)-2),SEARCH("(",A1104)-2),"")</f>
        <v/>
      </c>
      <c r="I1104" s="60" t="str">
        <f t="shared" ref="I1104:I1167" si="70">IFERROR(VALUE(MID(A1104,SEARCH("(",A1104)+1,SEARCH(")",A1104)-SEARCH("(",A1104)-1)),"")</f>
        <v/>
      </c>
      <c r="J1104" t="str">
        <f t="shared" ref="J1104:J1167" si="71">IFERROR(MID(A1104,SEARCH("@",A1104)+2,SEARCH("(",A1104,SEARCH("@",A1104))-SEARCH("@",A1104)-3),"")</f>
        <v/>
      </c>
      <c r="K1104" s="60" t="str">
        <f t="shared" ref="K1104:K1167" si="72">IFERROR(VALUE(MID(A1104,SEARCH(J1104,A1104)+LEN(J1104)+2,(SEARCH(")",A1104,SEARCH("@",A1104))-SEARCH("(",A1104,SEARCH("@",A1104))-1))),"")</f>
        <v/>
      </c>
      <c r="L1104" t="str">
        <f t="shared" ref="L1104:L1167" si="73">IFERROR(I1104-K1104,"")</f>
        <v/>
      </c>
    </row>
    <row r="1105" spans="1:12" x14ac:dyDescent="0.25">
      <c r="A1105" t="s">
        <v>1994</v>
      </c>
      <c r="G1105" t="str">
        <f t="shared" si="68"/>
        <v>04/20/19</v>
      </c>
      <c r="H1105" t="str">
        <f t="shared" si="69"/>
        <v/>
      </c>
      <c r="I1105" s="60" t="str">
        <f t="shared" si="70"/>
        <v/>
      </c>
      <c r="J1105" t="str">
        <f t="shared" si="71"/>
        <v/>
      </c>
      <c r="K1105" s="60" t="str">
        <f t="shared" si="72"/>
        <v/>
      </c>
      <c r="L1105" t="str">
        <f t="shared" si="73"/>
        <v/>
      </c>
    </row>
    <row r="1106" spans="1:12" x14ac:dyDescent="0.25">
      <c r="G1106" t="str">
        <f t="shared" si="68"/>
        <v>04/20/19</v>
      </c>
      <c r="H1106" t="str">
        <f t="shared" si="69"/>
        <v/>
      </c>
      <c r="I1106" s="60" t="str">
        <f t="shared" si="70"/>
        <v/>
      </c>
      <c r="J1106" t="str">
        <f t="shared" si="71"/>
        <v/>
      </c>
      <c r="K1106" s="60" t="str">
        <f t="shared" si="72"/>
        <v/>
      </c>
      <c r="L1106" t="str">
        <f t="shared" si="73"/>
        <v/>
      </c>
    </row>
    <row r="1107" spans="1:12" x14ac:dyDescent="0.25">
      <c r="A1107" t="s">
        <v>1995</v>
      </c>
      <c r="G1107" t="str">
        <f t="shared" si="68"/>
        <v>04/21/19</v>
      </c>
      <c r="H1107" t="str">
        <f t="shared" si="69"/>
        <v/>
      </c>
      <c r="I1107" s="60" t="str">
        <f t="shared" si="70"/>
        <v/>
      </c>
      <c r="J1107" t="str">
        <f t="shared" si="71"/>
        <v/>
      </c>
      <c r="K1107" s="60" t="str">
        <f t="shared" si="72"/>
        <v/>
      </c>
      <c r="L1107" t="str">
        <f t="shared" si="73"/>
        <v/>
      </c>
    </row>
    <row r="1108" spans="1:12" x14ac:dyDescent="0.25">
      <c r="G1108" t="str">
        <f t="shared" si="68"/>
        <v>04/21/19</v>
      </c>
      <c r="H1108" t="str">
        <f t="shared" si="69"/>
        <v/>
      </c>
      <c r="I1108" s="60" t="str">
        <f t="shared" si="70"/>
        <v/>
      </c>
      <c r="J1108" t="str">
        <f t="shared" si="71"/>
        <v/>
      </c>
      <c r="K1108" s="60" t="str">
        <f t="shared" si="72"/>
        <v/>
      </c>
      <c r="L1108" t="str">
        <f t="shared" si="73"/>
        <v/>
      </c>
    </row>
    <row r="1109" spans="1:12" x14ac:dyDescent="0.25">
      <c r="A1109" t="s">
        <v>1996</v>
      </c>
      <c r="G1109" t="str">
        <f t="shared" si="68"/>
        <v>04/21/19</v>
      </c>
      <c r="H1109" t="str">
        <f t="shared" si="69"/>
        <v>Seattle Mariners</v>
      </c>
      <c r="I1109" s="60">
        <f t="shared" si="70"/>
        <v>6</v>
      </c>
      <c r="J1109" t="str">
        <f t="shared" si="71"/>
        <v>Los Angeles Angels</v>
      </c>
      <c r="K1109" s="60">
        <f t="shared" si="72"/>
        <v>8</v>
      </c>
      <c r="L1109">
        <f t="shared" si="73"/>
        <v>-2</v>
      </c>
    </row>
    <row r="1110" spans="1:12" x14ac:dyDescent="0.25">
      <c r="G1110" t="str">
        <f t="shared" si="68"/>
        <v>04/21/19</v>
      </c>
      <c r="H1110" t="str">
        <f t="shared" si="69"/>
        <v/>
      </c>
      <c r="I1110" s="60" t="str">
        <f t="shared" si="70"/>
        <v/>
      </c>
      <c r="J1110" t="str">
        <f t="shared" si="71"/>
        <v/>
      </c>
      <c r="K1110" s="60" t="str">
        <f t="shared" si="72"/>
        <v/>
      </c>
      <c r="L1110" t="str">
        <f t="shared" si="73"/>
        <v/>
      </c>
    </row>
    <row r="1111" spans="1:12" x14ac:dyDescent="0.25">
      <c r="A1111" t="s">
        <v>1997</v>
      </c>
      <c r="G1111" t="str">
        <f t="shared" si="68"/>
        <v>04/21/19</v>
      </c>
      <c r="H1111" t="str">
        <f t="shared" si="69"/>
        <v>Minnesota Twins</v>
      </c>
      <c r="I1111" s="60">
        <f t="shared" si="70"/>
        <v>4</v>
      </c>
      <c r="J1111" t="str">
        <f t="shared" si="71"/>
        <v>Baltimore Orioles</v>
      </c>
      <c r="K1111" s="60">
        <f t="shared" si="72"/>
        <v>3</v>
      </c>
      <c r="L1111">
        <f t="shared" si="73"/>
        <v>1</v>
      </c>
    </row>
    <row r="1112" spans="1:12" x14ac:dyDescent="0.25">
      <c r="G1112" t="str">
        <f t="shared" si="68"/>
        <v>04/21/19</v>
      </c>
      <c r="H1112" t="str">
        <f t="shared" si="69"/>
        <v/>
      </c>
      <c r="I1112" s="60" t="str">
        <f t="shared" si="70"/>
        <v/>
      </c>
      <c r="J1112" t="str">
        <f t="shared" si="71"/>
        <v/>
      </c>
      <c r="K1112" s="60" t="str">
        <f t="shared" si="72"/>
        <v/>
      </c>
      <c r="L1112" t="str">
        <f t="shared" si="73"/>
        <v/>
      </c>
    </row>
    <row r="1113" spans="1:12" x14ac:dyDescent="0.25">
      <c r="A1113" t="s">
        <v>1998</v>
      </c>
      <c r="G1113" t="str">
        <f t="shared" si="68"/>
        <v>04/21/19</v>
      </c>
      <c r="H1113" t="str">
        <f t="shared" si="69"/>
        <v>Arizona D'Backs</v>
      </c>
      <c r="I1113" s="60">
        <f t="shared" si="70"/>
        <v>1</v>
      </c>
      <c r="J1113" t="str">
        <f t="shared" si="71"/>
        <v>Chicago Cubs</v>
      </c>
      <c r="K1113" s="60">
        <f t="shared" si="72"/>
        <v>2</v>
      </c>
      <c r="L1113">
        <f t="shared" si="73"/>
        <v>-1</v>
      </c>
    </row>
    <row r="1114" spans="1:12" x14ac:dyDescent="0.25">
      <c r="G1114" t="str">
        <f t="shared" si="68"/>
        <v>04/21/19</v>
      </c>
      <c r="H1114" t="str">
        <f t="shared" si="69"/>
        <v/>
      </c>
      <c r="I1114" s="60" t="str">
        <f t="shared" si="70"/>
        <v/>
      </c>
      <c r="J1114" t="str">
        <f t="shared" si="71"/>
        <v/>
      </c>
      <c r="K1114" s="60" t="str">
        <f t="shared" si="72"/>
        <v/>
      </c>
      <c r="L1114" t="str">
        <f t="shared" si="73"/>
        <v/>
      </c>
    </row>
    <row r="1115" spans="1:12" x14ac:dyDescent="0.25">
      <c r="A1115" t="s">
        <v>1999</v>
      </c>
      <c r="G1115" t="str">
        <f t="shared" si="68"/>
        <v>04/21/19</v>
      </c>
      <c r="H1115" t="str">
        <f t="shared" si="69"/>
        <v>Atlanta Braves</v>
      </c>
      <c r="I1115" s="60">
        <f t="shared" si="70"/>
        <v>11</v>
      </c>
      <c r="J1115" t="str">
        <f t="shared" si="71"/>
        <v>Cleveland Indians</v>
      </c>
      <c r="K1115" s="60">
        <f t="shared" si="72"/>
        <v>5</v>
      </c>
      <c r="L1115">
        <f t="shared" si="73"/>
        <v>6</v>
      </c>
    </row>
    <row r="1116" spans="1:12" x14ac:dyDescent="0.25">
      <c r="G1116" t="str">
        <f t="shared" si="68"/>
        <v>04/21/19</v>
      </c>
      <c r="H1116" t="str">
        <f t="shared" si="69"/>
        <v/>
      </c>
      <c r="I1116" s="60" t="str">
        <f t="shared" si="70"/>
        <v/>
      </c>
      <c r="J1116" t="str">
        <f t="shared" si="71"/>
        <v/>
      </c>
      <c r="K1116" s="60" t="str">
        <f t="shared" si="72"/>
        <v/>
      </c>
      <c r="L1116" t="str">
        <f t="shared" si="73"/>
        <v/>
      </c>
    </row>
    <row r="1117" spans="1:12" x14ac:dyDescent="0.25">
      <c r="A1117" t="s">
        <v>2000</v>
      </c>
      <c r="G1117" t="str">
        <f t="shared" si="68"/>
        <v>04/21/19</v>
      </c>
      <c r="H1117" t="str">
        <f t="shared" si="69"/>
        <v>Philadelphia Phillies</v>
      </c>
      <c r="I1117" s="60">
        <f t="shared" si="70"/>
        <v>1</v>
      </c>
      <c r="J1117" t="str">
        <f t="shared" si="71"/>
        <v>Colorado Rockies</v>
      </c>
      <c r="K1117" s="60">
        <f t="shared" si="72"/>
        <v>4</v>
      </c>
      <c r="L1117">
        <f t="shared" si="73"/>
        <v>-3</v>
      </c>
    </row>
    <row r="1118" spans="1:12" x14ac:dyDescent="0.25">
      <c r="G1118" t="str">
        <f t="shared" si="68"/>
        <v>04/21/19</v>
      </c>
      <c r="H1118" t="str">
        <f t="shared" si="69"/>
        <v/>
      </c>
      <c r="I1118" s="60" t="str">
        <f t="shared" si="70"/>
        <v/>
      </c>
      <c r="J1118" t="str">
        <f t="shared" si="71"/>
        <v/>
      </c>
      <c r="K1118" s="60" t="str">
        <f t="shared" si="72"/>
        <v/>
      </c>
      <c r="L1118" t="str">
        <f t="shared" si="73"/>
        <v/>
      </c>
    </row>
    <row r="1119" spans="1:12" x14ac:dyDescent="0.25">
      <c r="A1119" t="s">
        <v>2001</v>
      </c>
      <c r="G1119" t="str">
        <f t="shared" si="68"/>
        <v>04/21/19</v>
      </c>
      <c r="H1119" t="str">
        <f t="shared" si="69"/>
        <v>Chicago White Sox</v>
      </c>
      <c r="I1119" s="60">
        <f t="shared" si="70"/>
        <v>3</v>
      </c>
      <c r="J1119" t="str">
        <f t="shared" si="71"/>
        <v>Detroit Tigers</v>
      </c>
      <c r="K1119" s="60">
        <f t="shared" si="72"/>
        <v>4</v>
      </c>
      <c r="L1119">
        <f t="shared" si="73"/>
        <v>-1</v>
      </c>
    </row>
    <row r="1120" spans="1:12" x14ac:dyDescent="0.25">
      <c r="G1120" t="str">
        <f t="shared" si="68"/>
        <v>04/21/19</v>
      </c>
      <c r="H1120" t="str">
        <f t="shared" si="69"/>
        <v/>
      </c>
      <c r="I1120" s="60" t="str">
        <f t="shared" si="70"/>
        <v/>
      </c>
      <c r="J1120" t="str">
        <f t="shared" si="71"/>
        <v/>
      </c>
      <c r="K1120" s="60" t="str">
        <f t="shared" si="72"/>
        <v/>
      </c>
      <c r="L1120" t="str">
        <f t="shared" si="73"/>
        <v/>
      </c>
    </row>
    <row r="1121" spans="1:12" x14ac:dyDescent="0.25">
      <c r="A1121" t="s">
        <v>2002</v>
      </c>
      <c r="G1121" t="str">
        <f t="shared" si="68"/>
        <v>04/21/19</v>
      </c>
      <c r="H1121" t="str">
        <f t="shared" si="69"/>
        <v>Washington Nationals</v>
      </c>
      <c r="I1121" s="60">
        <f t="shared" si="70"/>
        <v>5</v>
      </c>
      <c r="J1121" t="str">
        <f t="shared" si="71"/>
        <v>Miami Marlins</v>
      </c>
      <c r="K1121" s="60">
        <f t="shared" si="72"/>
        <v>0</v>
      </c>
      <c r="L1121">
        <f t="shared" si="73"/>
        <v>5</v>
      </c>
    </row>
    <row r="1122" spans="1:12" x14ac:dyDescent="0.25">
      <c r="G1122" t="str">
        <f t="shared" ref="G1122:G1185" si="74">IF(ISNUMBER(MATCH(IFERROR(LEFT(A1122,SEARCH(",",A1122)-1),""),$G$220:$M$220,0)),TEXT(MID(A1122,SEARCH(",",A1122)+2,LEN(A1122)),"mm/dd/yy"),G1121)</f>
        <v>04/21/19</v>
      </c>
      <c r="H1122" t="str">
        <f t="shared" si="69"/>
        <v/>
      </c>
      <c r="I1122" s="60" t="str">
        <f t="shared" si="70"/>
        <v/>
      </c>
      <c r="J1122" t="str">
        <f t="shared" si="71"/>
        <v/>
      </c>
      <c r="K1122" s="60" t="str">
        <f t="shared" si="72"/>
        <v/>
      </c>
      <c r="L1122" t="str">
        <f t="shared" si="73"/>
        <v/>
      </c>
    </row>
    <row r="1123" spans="1:12" x14ac:dyDescent="0.25">
      <c r="A1123" t="s">
        <v>2003</v>
      </c>
      <c r="G1123" t="str">
        <f t="shared" si="74"/>
        <v>04/21/19</v>
      </c>
      <c r="H1123" t="str">
        <f t="shared" si="69"/>
        <v>Los Angeles Dodgers</v>
      </c>
      <c r="I1123" s="60">
        <f t="shared" si="70"/>
        <v>6</v>
      </c>
      <c r="J1123" t="str">
        <f t="shared" si="71"/>
        <v>Milwaukee Brewers</v>
      </c>
      <c r="K1123" s="60">
        <f t="shared" si="72"/>
        <v>5</v>
      </c>
      <c r="L1123">
        <f t="shared" si="73"/>
        <v>1</v>
      </c>
    </row>
    <row r="1124" spans="1:12" x14ac:dyDescent="0.25">
      <c r="G1124" t="str">
        <f t="shared" si="74"/>
        <v>04/21/19</v>
      </c>
      <c r="H1124" t="str">
        <f t="shared" si="69"/>
        <v/>
      </c>
      <c r="I1124" s="60" t="str">
        <f t="shared" si="70"/>
        <v/>
      </c>
      <c r="J1124" t="str">
        <f t="shared" si="71"/>
        <v/>
      </c>
      <c r="K1124" s="60" t="str">
        <f t="shared" si="72"/>
        <v/>
      </c>
      <c r="L1124" t="str">
        <f t="shared" si="73"/>
        <v/>
      </c>
    </row>
    <row r="1125" spans="1:12" x14ac:dyDescent="0.25">
      <c r="A1125" t="s">
        <v>2004</v>
      </c>
      <c r="G1125" t="str">
        <f t="shared" si="74"/>
        <v>04/21/19</v>
      </c>
      <c r="H1125" t="str">
        <f t="shared" si="69"/>
        <v>Kansas City Royals</v>
      </c>
      <c r="I1125" s="60">
        <f t="shared" si="70"/>
        <v>6</v>
      </c>
      <c r="J1125" t="str">
        <f t="shared" si="71"/>
        <v>New York Yankees</v>
      </c>
      <c r="K1125" s="60">
        <f t="shared" si="72"/>
        <v>7</v>
      </c>
      <c r="L1125">
        <f t="shared" si="73"/>
        <v>-1</v>
      </c>
    </row>
    <row r="1126" spans="1:12" x14ac:dyDescent="0.25">
      <c r="G1126" t="str">
        <f t="shared" si="74"/>
        <v>04/21/19</v>
      </c>
      <c r="H1126" t="str">
        <f t="shared" si="69"/>
        <v/>
      </c>
      <c r="I1126" s="60" t="str">
        <f t="shared" si="70"/>
        <v/>
      </c>
      <c r="J1126" t="str">
        <f t="shared" si="71"/>
        <v/>
      </c>
      <c r="K1126" s="60" t="str">
        <f t="shared" si="72"/>
        <v/>
      </c>
      <c r="L1126" t="str">
        <f t="shared" si="73"/>
        <v/>
      </c>
    </row>
    <row r="1127" spans="1:12" x14ac:dyDescent="0.25">
      <c r="A1127" t="s">
        <v>2005</v>
      </c>
      <c r="G1127" t="str">
        <f t="shared" si="74"/>
        <v>04/21/19</v>
      </c>
      <c r="H1127" t="str">
        <f t="shared" si="69"/>
        <v>Toronto Blue Jays</v>
      </c>
      <c r="I1127" s="60">
        <f t="shared" si="70"/>
        <v>5</v>
      </c>
      <c r="J1127" t="str">
        <f t="shared" si="71"/>
        <v>Oakland Athletics</v>
      </c>
      <c r="K1127" s="60">
        <f t="shared" si="72"/>
        <v>4</v>
      </c>
      <c r="L1127">
        <f t="shared" si="73"/>
        <v>1</v>
      </c>
    </row>
    <row r="1128" spans="1:12" x14ac:dyDescent="0.25">
      <c r="G1128" t="str">
        <f t="shared" si="74"/>
        <v>04/21/19</v>
      </c>
      <c r="H1128" t="str">
        <f t="shared" si="69"/>
        <v/>
      </c>
      <c r="I1128" s="60" t="str">
        <f t="shared" si="70"/>
        <v/>
      </c>
      <c r="J1128" t="str">
        <f t="shared" si="71"/>
        <v/>
      </c>
      <c r="K1128" s="60" t="str">
        <f t="shared" si="72"/>
        <v/>
      </c>
      <c r="L1128" t="str">
        <f t="shared" si="73"/>
        <v/>
      </c>
    </row>
    <row r="1129" spans="1:12" x14ac:dyDescent="0.25">
      <c r="A1129" t="s">
        <v>2006</v>
      </c>
      <c r="G1129" t="str">
        <f t="shared" si="74"/>
        <v>04/21/19</v>
      </c>
      <c r="H1129" t="str">
        <f t="shared" si="69"/>
        <v>San Francisco Giants</v>
      </c>
      <c r="I1129" s="60">
        <f t="shared" si="70"/>
        <v>3</v>
      </c>
      <c r="J1129" t="str">
        <f t="shared" si="71"/>
        <v>Pittsburgh Pirates</v>
      </c>
      <c r="K1129" s="60">
        <f t="shared" si="72"/>
        <v>2</v>
      </c>
      <c r="L1129">
        <f t="shared" si="73"/>
        <v>1</v>
      </c>
    </row>
    <row r="1130" spans="1:12" x14ac:dyDescent="0.25">
      <c r="G1130" t="str">
        <f t="shared" si="74"/>
        <v>04/21/19</v>
      </c>
      <c r="H1130" t="str">
        <f t="shared" si="69"/>
        <v/>
      </c>
      <c r="I1130" s="60" t="str">
        <f t="shared" si="70"/>
        <v/>
      </c>
      <c r="J1130" t="str">
        <f t="shared" si="71"/>
        <v/>
      </c>
      <c r="K1130" s="60" t="str">
        <f t="shared" si="72"/>
        <v/>
      </c>
      <c r="L1130" t="str">
        <f t="shared" si="73"/>
        <v/>
      </c>
    </row>
    <row r="1131" spans="1:12" x14ac:dyDescent="0.25">
      <c r="A1131" t="s">
        <v>2007</v>
      </c>
      <c r="G1131" t="str">
        <f t="shared" si="74"/>
        <v>04/21/19</v>
      </c>
      <c r="H1131" t="str">
        <f t="shared" si="69"/>
        <v>Cincinnati Reds</v>
      </c>
      <c r="I1131" s="60">
        <f t="shared" si="70"/>
        <v>3</v>
      </c>
      <c r="J1131" t="str">
        <f t="shared" si="71"/>
        <v>San Diego Padres</v>
      </c>
      <c r="K1131" s="60">
        <f t="shared" si="72"/>
        <v>4</v>
      </c>
      <c r="L1131">
        <f t="shared" si="73"/>
        <v>-1</v>
      </c>
    </row>
    <row r="1132" spans="1:12" x14ac:dyDescent="0.25">
      <c r="G1132" t="str">
        <f t="shared" si="74"/>
        <v>04/21/19</v>
      </c>
      <c r="H1132" t="str">
        <f t="shared" si="69"/>
        <v/>
      </c>
      <c r="I1132" s="60" t="str">
        <f t="shared" si="70"/>
        <v/>
      </c>
      <c r="J1132" t="str">
        <f t="shared" si="71"/>
        <v/>
      </c>
      <c r="K1132" s="60" t="str">
        <f t="shared" si="72"/>
        <v/>
      </c>
      <c r="L1132" t="str">
        <f t="shared" si="73"/>
        <v/>
      </c>
    </row>
    <row r="1133" spans="1:12" x14ac:dyDescent="0.25">
      <c r="A1133" t="s">
        <v>2008</v>
      </c>
      <c r="G1133" t="str">
        <f t="shared" si="74"/>
        <v>04/21/19</v>
      </c>
      <c r="H1133" t="str">
        <f t="shared" si="69"/>
        <v>New York Mets</v>
      </c>
      <c r="I1133" s="60">
        <f t="shared" si="70"/>
        <v>4</v>
      </c>
      <c r="J1133" t="str">
        <f t="shared" si="71"/>
        <v>St. Louis Cardinals</v>
      </c>
      <c r="K1133" s="60">
        <f t="shared" si="72"/>
        <v>6</v>
      </c>
      <c r="L1133">
        <f t="shared" si="73"/>
        <v>-2</v>
      </c>
    </row>
    <row r="1134" spans="1:12" x14ac:dyDescent="0.25">
      <c r="G1134" t="str">
        <f t="shared" si="74"/>
        <v>04/21/19</v>
      </c>
      <c r="H1134" t="str">
        <f t="shared" si="69"/>
        <v/>
      </c>
      <c r="I1134" s="60" t="str">
        <f t="shared" si="70"/>
        <v/>
      </c>
      <c r="J1134" t="str">
        <f t="shared" si="71"/>
        <v/>
      </c>
      <c r="K1134" s="60" t="str">
        <f t="shared" si="72"/>
        <v/>
      </c>
      <c r="L1134" t="str">
        <f t="shared" si="73"/>
        <v/>
      </c>
    </row>
    <row r="1135" spans="1:12" x14ac:dyDescent="0.25">
      <c r="A1135" t="s">
        <v>2009</v>
      </c>
      <c r="G1135" t="str">
        <f t="shared" si="74"/>
        <v>04/21/19</v>
      </c>
      <c r="H1135" t="str">
        <f t="shared" si="69"/>
        <v>Boston Red Sox</v>
      </c>
      <c r="I1135" s="60">
        <f t="shared" si="70"/>
        <v>4</v>
      </c>
      <c r="J1135" t="str">
        <f t="shared" si="71"/>
        <v>Tampa Bay Rays</v>
      </c>
      <c r="K1135" s="60">
        <f t="shared" si="72"/>
        <v>3</v>
      </c>
      <c r="L1135">
        <f t="shared" si="73"/>
        <v>1</v>
      </c>
    </row>
    <row r="1136" spans="1:12" x14ac:dyDescent="0.25">
      <c r="G1136" t="str">
        <f t="shared" si="74"/>
        <v>04/21/19</v>
      </c>
      <c r="H1136" t="str">
        <f t="shared" si="69"/>
        <v/>
      </c>
      <c r="I1136" s="60" t="str">
        <f t="shared" si="70"/>
        <v/>
      </c>
      <c r="J1136" t="str">
        <f t="shared" si="71"/>
        <v/>
      </c>
      <c r="K1136" s="60" t="str">
        <f t="shared" si="72"/>
        <v/>
      </c>
      <c r="L1136" t="str">
        <f t="shared" si="73"/>
        <v/>
      </c>
    </row>
    <row r="1137" spans="1:12" x14ac:dyDescent="0.25">
      <c r="A1137" t="s">
        <v>2010</v>
      </c>
      <c r="G1137" t="str">
        <f t="shared" si="74"/>
        <v>04/21/19</v>
      </c>
      <c r="H1137" t="str">
        <f t="shared" si="69"/>
        <v>Houston Astros</v>
      </c>
      <c r="I1137" s="60">
        <f t="shared" si="70"/>
        <v>10</v>
      </c>
      <c r="J1137" t="str">
        <f t="shared" si="71"/>
        <v>Texas Rangers</v>
      </c>
      <c r="K1137" s="60">
        <f t="shared" si="72"/>
        <v>11</v>
      </c>
      <c r="L1137">
        <f t="shared" si="73"/>
        <v>-1</v>
      </c>
    </row>
    <row r="1138" spans="1:12" x14ac:dyDescent="0.25">
      <c r="G1138" t="str">
        <f t="shared" si="74"/>
        <v>04/21/19</v>
      </c>
      <c r="H1138" t="str">
        <f t="shared" si="69"/>
        <v/>
      </c>
      <c r="I1138" s="60" t="str">
        <f t="shared" si="70"/>
        <v/>
      </c>
      <c r="J1138" t="str">
        <f t="shared" si="71"/>
        <v/>
      </c>
      <c r="K1138" s="60" t="str">
        <f t="shared" si="72"/>
        <v/>
      </c>
      <c r="L1138" t="str">
        <f t="shared" si="73"/>
        <v/>
      </c>
    </row>
    <row r="1139" spans="1:12" x14ac:dyDescent="0.25">
      <c r="A1139" t="s">
        <v>2011</v>
      </c>
      <c r="G1139" t="str">
        <f t="shared" si="74"/>
        <v>04/21/19</v>
      </c>
      <c r="H1139" t="str">
        <f t="shared" si="69"/>
        <v/>
      </c>
      <c r="I1139" s="60" t="str">
        <f t="shared" si="70"/>
        <v/>
      </c>
      <c r="J1139" t="str">
        <f t="shared" si="71"/>
        <v/>
      </c>
      <c r="K1139" s="60" t="str">
        <f t="shared" si="72"/>
        <v/>
      </c>
      <c r="L1139" t="str">
        <f t="shared" si="73"/>
        <v/>
      </c>
    </row>
    <row r="1140" spans="1:12" x14ac:dyDescent="0.25">
      <c r="G1140" t="str">
        <f t="shared" si="74"/>
        <v>04/21/19</v>
      </c>
      <c r="H1140" t="str">
        <f t="shared" si="69"/>
        <v/>
      </c>
      <c r="I1140" s="60" t="str">
        <f t="shared" si="70"/>
        <v/>
      </c>
      <c r="J1140" t="str">
        <f t="shared" si="71"/>
        <v/>
      </c>
      <c r="K1140" s="60" t="str">
        <f t="shared" si="72"/>
        <v/>
      </c>
      <c r="L1140" t="str">
        <f t="shared" si="73"/>
        <v/>
      </c>
    </row>
    <row r="1141" spans="1:12" x14ac:dyDescent="0.25">
      <c r="A1141" t="s">
        <v>2012</v>
      </c>
      <c r="G1141" t="str">
        <f t="shared" si="74"/>
        <v>04/22/19</v>
      </c>
      <c r="H1141" t="str">
        <f t="shared" si="69"/>
        <v/>
      </c>
      <c r="I1141" s="60" t="str">
        <f t="shared" si="70"/>
        <v/>
      </c>
      <c r="J1141" t="str">
        <f t="shared" si="71"/>
        <v/>
      </c>
      <c r="K1141" s="60" t="str">
        <f t="shared" si="72"/>
        <v/>
      </c>
      <c r="L1141" t="str">
        <f t="shared" si="73"/>
        <v/>
      </c>
    </row>
    <row r="1142" spans="1:12" x14ac:dyDescent="0.25">
      <c r="G1142" t="str">
        <f t="shared" si="74"/>
        <v>04/22/19</v>
      </c>
      <c r="H1142" t="str">
        <f t="shared" si="69"/>
        <v/>
      </c>
      <c r="I1142" s="60" t="str">
        <f t="shared" si="70"/>
        <v/>
      </c>
      <c r="J1142" t="str">
        <f t="shared" si="71"/>
        <v/>
      </c>
      <c r="K1142" s="60" t="str">
        <f t="shared" si="72"/>
        <v/>
      </c>
      <c r="L1142" t="str">
        <f t="shared" si="73"/>
        <v/>
      </c>
    </row>
    <row r="1143" spans="1:12" x14ac:dyDescent="0.25">
      <c r="A1143" t="s">
        <v>2013</v>
      </c>
      <c r="G1143" t="str">
        <f t="shared" si="74"/>
        <v>04/22/19</v>
      </c>
      <c r="H1143" t="str">
        <f t="shared" si="69"/>
        <v>New York Yankees</v>
      </c>
      <c r="I1143" s="60">
        <f t="shared" si="70"/>
        <v>4</v>
      </c>
      <c r="J1143" t="str">
        <f t="shared" si="71"/>
        <v>Los Angeles Angels</v>
      </c>
      <c r="K1143" s="60">
        <f t="shared" si="72"/>
        <v>3</v>
      </c>
      <c r="L1143">
        <f t="shared" si="73"/>
        <v>1</v>
      </c>
    </row>
    <row r="1144" spans="1:12" x14ac:dyDescent="0.25">
      <c r="G1144" t="str">
        <f t="shared" si="74"/>
        <v>04/22/19</v>
      </c>
      <c r="H1144" t="str">
        <f t="shared" si="69"/>
        <v/>
      </c>
      <c r="I1144" s="60" t="str">
        <f t="shared" si="70"/>
        <v/>
      </c>
      <c r="J1144" t="str">
        <f t="shared" si="71"/>
        <v/>
      </c>
      <c r="K1144" s="60" t="str">
        <f t="shared" si="72"/>
        <v/>
      </c>
      <c r="L1144" t="str">
        <f t="shared" si="73"/>
        <v/>
      </c>
    </row>
    <row r="1145" spans="1:12" x14ac:dyDescent="0.25">
      <c r="A1145" t="s">
        <v>2014</v>
      </c>
      <c r="G1145" t="str">
        <f t="shared" si="74"/>
        <v>04/22/19</v>
      </c>
      <c r="H1145" t="str">
        <f t="shared" si="69"/>
        <v>Chicago White Sox</v>
      </c>
      <c r="I1145" s="60">
        <f t="shared" si="70"/>
        <v>12</v>
      </c>
      <c r="J1145" t="str">
        <f t="shared" si="71"/>
        <v>Baltimore Orioles</v>
      </c>
      <c r="K1145" s="60">
        <f t="shared" si="72"/>
        <v>2</v>
      </c>
      <c r="L1145">
        <f t="shared" si="73"/>
        <v>10</v>
      </c>
    </row>
    <row r="1146" spans="1:12" x14ac:dyDescent="0.25">
      <c r="G1146" t="str">
        <f t="shared" si="74"/>
        <v>04/22/19</v>
      </c>
      <c r="H1146" t="str">
        <f t="shared" si="69"/>
        <v/>
      </c>
      <c r="I1146" s="60" t="str">
        <f t="shared" si="70"/>
        <v/>
      </c>
      <c r="J1146" t="str">
        <f t="shared" si="71"/>
        <v/>
      </c>
      <c r="K1146" s="60" t="str">
        <f t="shared" si="72"/>
        <v/>
      </c>
      <c r="L1146" t="str">
        <f t="shared" si="73"/>
        <v/>
      </c>
    </row>
    <row r="1147" spans="1:12" x14ac:dyDescent="0.25">
      <c r="A1147" t="s">
        <v>2015</v>
      </c>
      <c r="G1147" t="str">
        <f t="shared" si="74"/>
        <v>04/22/19</v>
      </c>
      <c r="H1147" t="str">
        <f t="shared" si="69"/>
        <v>Washington Nationals</v>
      </c>
      <c r="I1147" s="60">
        <f t="shared" si="70"/>
        <v>5</v>
      </c>
      <c r="J1147" t="str">
        <f t="shared" si="71"/>
        <v>Colorado Rockies</v>
      </c>
      <c r="K1147" s="60">
        <f t="shared" si="72"/>
        <v>7</v>
      </c>
      <c r="L1147">
        <f t="shared" si="73"/>
        <v>-2</v>
      </c>
    </row>
    <row r="1148" spans="1:12" x14ac:dyDescent="0.25">
      <c r="G1148" t="str">
        <f t="shared" si="74"/>
        <v>04/22/19</v>
      </c>
      <c r="H1148" t="str">
        <f t="shared" si="69"/>
        <v/>
      </c>
      <c r="I1148" s="60" t="str">
        <f t="shared" si="70"/>
        <v/>
      </c>
      <c r="J1148" t="str">
        <f t="shared" si="71"/>
        <v/>
      </c>
      <c r="K1148" s="60" t="str">
        <f t="shared" si="72"/>
        <v/>
      </c>
      <c r="L1148" t="str">
        <f t="shared" si="73"/>
        <v/>
      </c>
    </row>
    <row r="1149" spans="1:12" x14ac:dyDescent="0.25">
      <c r="A1149" t="s">
        <v>2016</v>
      </c>
      <c r="G1149" t="str">
        <f t="shared" si="74"/>
        <v>04/22/19</v>
      </c>
      <c r="H1149" t="str">
        <f t="shared" si="69"/>
        <v>Minnesota Twins</v>
      </c>
      <c r="I1149" s="60">
        <f t="shared" si="70"/>
        <v>9</v>
      </c>
      <c r="J1149" t="str">
        <f t="shared" si="71"/>
        <v>Houston Astros</v>
      </c>
      <c r="K1149" s="60">
        <f t="shared" si="72"/>
        <v>5</v>
      </c>
      <c r="L1149">
        <f t="shared" si="73"/>
        <v>4</v>
      </c>
    </row>
    <row r="1150" spans="1:12" x14ac:dyDescent="0.25">
      <c r="G1150" t="str">
        <f t="shared" si="74"/>
        <v>04/22/19</v>
      </c>
      <c r="H1150" t="str">
        <f t="shared" si="69"/>
        <v/>
      </c>
      <c r="I1150" s="60" t="str">
        <f t="shared" si="70"/>
        <v/>
      </c>
      <c r="J1150" t="str">
        <f t="shared" si="71"/>
        <v/>
      </c>
      <c r="K1150" s="60" t="str">
        <f t="shared" si="72"/>
        <v/>
      </c>
      <c r="L1150" t="str">
        <f t="shared" si="73"/>
        <v/>
      </c>
    </row>
    <row r="1151" spans="1:12" x14ac:dyDescent="0.25">
      <c r="A1151" t="s">
        <v>2017</v>
      </c>
      <c r="G1151" t="str">
        <f t="shared" si="74"/>
        <v>04/22/19</v>
      </c>
      <c r="H1151" t="str">
        <f t="shared" si="69"/>
        <v>Philadelphia Phillies</v>
      </c>
      <c r="I1151" s="60">
        <f t="shared" si="70"/>
        <v>1</v>
      </c>
      <c r="J1151" t="str">
        <f t="shared" si="71"/>
        <v>New York Mets</v>
      </c>
      <c r="K1151" s="60">
        <f t="shared" si="72"/>
        <v>5</v>
      </c>
      <c r="L1151">
        <f t="shared" si="73"/>
        <v>-4</v>
      </c>
    </row>
    <row r="1152" spans="1:12" x14ac:dyDescent="0.25">
      <c r="G1152" t="str">
        <f t="shared" si="74"/>
        <v>04/22/19</v>
      </c>
      <c r="H1152" t="str">
        <f t="shared" si="69"/>
        <v/>
      </c>
      <c r="I1152" s="60" t="str">
        <f t="shared" si="70"/>
        <v/>
      </c>
      <c r="J1152" t="str">
        <f t="shared" si="71"/>
        <v/>
      </c>
      <c r="K1152" s="60" t="str">
        <f t="shared" si="72"/>
        <v/>
      </c>
      <c r="L1152" t="str">
        <f t="shared" si="73"/>
        <v/>
      </c>
    </row>
    <row r="1153" spans="1:12" x14ac:dyDescent="0.25">
      <c r="A1153" t="s">
        <v>2018</v>
      </c>
      <c r="G1153" t="str">
        <f t="shared" si="74"/>
        <v>04/22/19</v>
      </c>
      <c r="H1153" t="str">
        <f t="shared" si="69"/>
        <v>Texas Rangers</v>
      </c>
      <c r="I1153" s="60">
        <f t="shared" si="70"/>
        <v>1</v>
      </c>
      <c r="J1153" t="str">
        <f t="shared" si="71"/>
        <v>Oakland Athletics</v>
      </c>
      <c r="K1153" s="60">
        <f t="shared" si="72"/>
        <v>6</v>
      </c>
      <c r="L1153">
        <f t="shared" si="73"/>
        <v>-5</v>
      </c>
    </row>
    <row r="1154" spans="1:12" x14ac:dyDescent="0.25">
      <c r="G1154" t="str">
        <f t="shared" si="74"/>
        <v>04/22/19</v>
      </c>
      <c r="H1154" t="str">
        <f t="shared" si="69"/>
        <v/>
      </c>
      <c r="I1154" s="60" t="str">
        <f t="shared" si="70"/>
        <v/>
      </c>
      <c r="J1154" t="str">
        <f t="shared" si="71"/>
        <v/>
      </c>
      <c r="K1154" s="60" t="str">
        <f t="shared" si="72"/>
        <v/>
      </c>
      <c r="L1154" t="str">
        <f t="shared" si="73"/>
        <v/>
      </c>
    </row>
    <row r="1155" spans="1:12" x14ac:dyDescent="0.25">
      <c r="A1155" t="s">
        <v>2019</v>
      </c>
      <c r="G1155" t="str">
        <f t="shared" si="74"/>
        <v>04/22/19</v>
      </c>
      <c r="H1155" t="str">
        <f t="shared" si="69"/>
        <v>Arizona D'Backs</v>
      </c>
      <c r="I1155" s="60">
        <f t="shared" si="70"/>
        <v>12</v>
      </c>
      <c r="J1155" t="str">
        <f t="shared" si="71"/>
        <v>Pittsburgh Pirates</v>
      </c>
      <c r="K1155" s="60">
        <f t="shared" si="72"/>
        <v>4</v>
      </c>
      <c r="L1155">
        <f t="shared" si="73"/>
        <v>8</v>
      </c>
    </row>
    <row r="1156" spans="1:12" x14ac:dyDescent="0.25">
      <c r="G1156" t="str">
        <f t="shared" si="74"/>
        <v>04/22/19</v>
      </c>
      <c r="H1156" t="str">
        <f t="shared" si="69"/>
        <v/>
      </c>
      <c r="I1156" s="60" t="str">
        <f t="shared" si="70"/>
        <v/>
      </c>
      <c r="J1156" t="str">
        <f t="shared" si="71"/>
        <v/>
      </c>
      <c r="K1156" s="60" t="str">
        <f t="shared" si="72"/>
        <v/>
      </c>
      <c r="L1156" t="str">
        <f t="shared" si="73"/>
        <v/>
      </c>
    </row>
    <row r="1157" spans="1:12" x14ac:dyDescent="0.25">
      <c r="A1157" t="s">
        <v>2020</v>
      </c>
      <c r="G1157" t="str">
        <f t="shared" si="74"/>
        <v>04/22/19</v>
      </c>
      <c r="H1157" t="str">
        <f t="shared" si="69"/>
        <v>Milwaukee Brewers</v>
      </c>
      <c r="I1157" s="60">
        <f t="shared" si="70"/>
        <v>5</v>
      </c>
      <c r="J1157" t="str">
        <f t="shared" si="71"/>
        <v>St. Louis Cardinals</v>
      </c>
      <c r="K1157" s="60">
        <f t="shared" si="72"/>
        <v>13</v>
      </c>
      <c r="L1157">
        <f t="shared" si="73"/>
        <v>-8</v>
      </c>
    </row>
    <row r="1158" spans="1:12" x14ac:dyDescent="0.25">
      <c r="G1158" t="str">
        <f t="shared" si="74"/>
        <v>04/22/19</v>
      </c>
      <c r="H1158" t="str">
        <f t="shared" si="69"/>
        <v/>
      </c>
      <c r="I1158" s="60" t="str">
        <f t="shared" si="70"/>
        <v/>
      </c>
      <c r="J1158" t="str">
        <f t="shared" si="71"/>
        <v/>
      </c>
      <c r="K1158" s="60" t="str">
        <f t="shared" si="72"/>
        <v/>
      </c>
      <c r="L1158" t="str">
        <f t="shared" si="73"/>
        <v/>
      </c>
    </row>
    <row r="1159" spans="1:12" x14ac:dyDescent="0.25">
      <c r="A1159" t="s">
        <v>2021</v>
      </c>
      <c r="G1159" t="str">
        <f t="shared" si="74"/>
        <v>04/22/19</v>
      </c>
      <c r="H1159" t="str">
        <f t="shared" si="69"/>
        <v>Kansas City Royals</v>
      </c>
      <c r="I1159" s="60">
        <f t="shared" si="70"/>
        <v>3</v>
      </c>
      <c r="J1159" t="str">
        <f t="shared" si="71"/>
        <v>Tampa Bay Rays</v>
      </c>
      <c r="K1159" s="60">
        <f t="shared" si="72"/>
        <v>6</v>
      </c>
      <c r="L1159">
        <f t="shared" si="73"/>
        <v>-3</v>
      </c>
    </row>
    <row r="1160" spans="1:12" x14ac:dyDescent="0.25">
      <c r="G1160" t="str">
        <f t="shared" si="74"/>
        <v>04/22/19</v>
      </c>
      <c r="H1160" t="str">
        <f t="shared" si="69"/>
        <v/>
      </c>
      <c r="I1160" s="60" t="str">
        <f t="shared" si="70"/>
        <v/>
      </c>
      <c r="J1160" t="str">
        <f t="shared" si="71"/>
        <v/>
      </c>
      <c r="K1160" s="60" t="str">
        <f t="shared" si="72"/>
        <v/>
      </c>
      <c r="L1160" t="str">
        <f t="shared" si="73"/>
        <v/>
      </c>
    </row>
    <row r="1161" spans="1:12" x14ac:dyDescent="0.25">
      <c r="A1161" t="s">
        <v>2022</v>
      </c>
      <c r="G1161" t="str">
        <f t="shared" si="74"/>
        <v>04/22/19</v>
      </c>
      <c r="H1161" t="str">
        <f t="shared" si="69"/>
        <v/>
      </c>
      <c r="I1161" s="60" t="str">
        <f t="shared" si="70"/>
        <v/>
      </c>
      <c r="J1161" t="str">
        <f t="shared" si="71"/>
        <v/>
      </c>
      <c r="K1161" s="60" t="str">
        <f t="shared" si="72"/>
        <v/>
      </c>
      <c r="L1161" t="str">
        <f t="shared" si="73"/>
        <v/>
      </c>
    </row>
    <row r="1162" spans="1:12" x14ac:dyDescent="0.25">
      <c r="G1162" t="str">
        <f t="shared" si="74"/>
        <v>04/22/19</v>
      </c>
      <c r="H1162" t="str">
        <f t="shared" si="69"/>
        <v/>
      </c>
      <c r="I1162" s="60" t="str">
        <f t="shared" si="70"/>
        <v/>
      </c>
      <c r="J1162" t="str">
        <f t="shared" si="71"/>
        <v/>
      </c>
      <c r="K1162" s="60" t="str">
        <f t="shared" si="72"/>
        <v/>
      </c>
      <c r="L1162" t="str">
        <f t="shared" si="73"/>
        <v/>
      </c>
    </row>
    <row r="1163" spans="1:12" x14ac:dyDescent="0.25">
      <c r="A1163" t="s">
        <v>2023</v>
      </c>
      <c r="G1163" t="str">
        <f t="shared" si="74"/>
        <v>04/23/19</v>
      </c>
      <c r="H1163" t="str">
        <f t="shared" si="69"/>
        <v/>
      </c>
      <c r="I1163" s="60" t="str">
        <f t="shared" si="70"/>
        <v/>
      </c>
      <c r="J1163" t="str">
        <f t="shared" si="71"/>
        <v/>
      </c>
      <c r="K1163" s="60" t="str">
        <f t="shared" si="72"/>
        <v/>
      </c>
      <c r="L1163" t="str">
        <f t="shared" si="73"/>
        <v/>
      </c>
    </row>
    <row r="1164" spans="1:12" x14ac:dyDescent="0.25">
      <c r="G1164" t="str">
        <f t="shared" si="74"/>
        <v>04/23/19</v>
      </c>
      <c r="H1164" t="str">
        <f t="shared" si="69"/>
        <v/>
      </c>
      <c r="I1164" s="60" t="str">
        <f t="shared" si="70"/>
        <v/>
      </c>
      <c r="J1164" t="str">
        <f t="shared" si="71"/>
        <v/>
      </c>
      <c r="K1164" s="60" t="str">
        <f t="shared" si="72"/>
        <v/>
      </c>
      <c r="L1164" t="str">
        <f t="shared" si="73"/>
        <v/>
      </c>
    </row>
    <row r="1165" spans="1:12" x14ac:dyDescent="0.25">
      <c r="A1165" t="s">
        <v>2024</v>
      </c>
      <c r="G1165" t="str">
        <f t="shared" si="74"/>
        <v>04/23/19</v>
      </c>
      <c r="H1165" t="str">
        <f t="shared" si="69"/>
        <v>New York Yankees</v>
      </c>
      <c r="I1165" s="60">
        <f t="shared" si="70"/>
        <v>7</v>
      </c>
      <c r="J1165" t="str">
        <f t="shared" si="71"/>
        <v>Los Angeles Angels</v>
      </c>
      <c r="K1165" s="60">
        <f t="shared" si="72"/>
        <v>5</v>
      </c>
      <c r="L1165">
        <f t="shared" si="73"/>
        <v>2</v>
      </c>
    </row>
    <row r="1166" spans="1:12" x14ac:dyDescent="0.25">
      <c r="G1166" t="str">
        <f t="shared" si="74"/>
        <v>04/23/19</v>
      </c>
      <c r="H1166" t="str">
        <f t="shared" si="69"/>
        <v/>
      </c>
      <c r="I1166" s="60" t="str">
        <f t="shared" si="70"/>
        <v/>
      </c>
      <c r="J1166" t="str">
        <f t="shared" si="71"/>
        <v/>
      </c>
      <c r="K1166" s="60" t="str">
        <f t="shared" si="72"/>
        <v/>
      </c>
      <c r="L1166" t="str">
        <f t="shared" si="73"/>
        <v/>
      </c>
    </row>
    <row r="1167" spans="1:12" x14ac:dyDescent="0.25">
      <c r="A1167" t="s">
        <v>2025</v>
      </c>
      <c r="G1167" t="str">
        <f t="shared" si="74"/>
        <v>04/23/19</v>
      </c>
      <c r="H1167" t="str">
        <f t="shared" si="69"/>
        <v>Chicago White Sox</v>
      </c>
      <c r="I1167" s="60">
        <f t="shared" si="70"/>
        <v>1</v>
      </c>
      <c r="J1167" t="str">
        <f t="shared" si="71"/>
        <v>Baltimore Orioles</v>
      </c>
      <c r="K1167" s="60">
        <f t="shared" si="72"/>
        <v>9</v>
      </c>
      <c r="L1167">
        <f t="shared" si="73"/>
        <v>-8</v>
      </c>
    </row>
    <row r="1168" spans="1:12" x14ac:dyDescent="0.25">
      <c r="G1168" t="str">
        <f t="shared" si="74"/>
        <v>04/23/19</v>
      </c>
      <c r="H1168" t="str">
        <f t="shared" ref="H1168:H1231" si="75">IFERROR(LEFT(MID(A1168,1,SEARCH("@",A1168)-2),SEARCH("(",A1168)-2),"")</f>
        <v/>
      </c>
      <c r="I1168" s="60" t="str">
        <f t="shared" ref="I1168:I1231" si="76">IFERROR(VALUE(MID(A1168,SEARCH("(",A1168)+1,SEARCH(")",A1168)-SEARCH("(",A1168)-1)),"")</f>
        <v/>
      </c>
      <c r="J1168" t="str">
        <f t="shared" ref="J1168:J1231" si="77">IFERROR(MID(A1168,SEARCH("@",A1168)+2,SEARCH("(",A1168,SEARCH("@",A1168))-SEARCH("@",A1168)-3),"")</f>
        <v/>
      </c>
      <c r="K1168" s="60" t="str">
        <f t="shared" ref="K1168:K1231" si="78">IFERROR(VALUE(MID(A1168,SEARCH(J1168,A1168)+LEN(J1168)+2,(SEARCH(")",A1168,SEARCH("@",A1168))-SEARCH("(",A1168,SEARCH("@",A1168))-1))),"")</f>
        <v/>
      </c>
      <c r="L1168" t="str">
        <f t="shared" ref="L1168:L1231" si="79">IFERROR(I1168-K1168,"")</f>
        <v/>
      </c>
    </row>
    <row r="1169" spans="1:12" x14ac:dyDescent="0.25">
      <c r="A1169" t="s">
        <v>2026</v>
      </c>
      <c r="G1169" t="str">
        <f t="shared" si="74"/>
        <v>04/23/19</v>
      </c>
      <c r="H1169" t="str">
        <f t="shared" si="75"/>
        <v>Detroit Tigers</v>
      </c>
      <c r="I1169" s="60">
        <f t="shared" si="76"/>
        <v>7</v>
      </c>
      <c r="J1169" t="str">
        <f t="shared" si="77"/>
        <v>Boston Red Sox</v>
      </c>
      <c r="K1169" s="60">
        <f t="shared" si="78"/>
        <v>4</v>
      </c>
      <c r="L1169">
        <f t="shared" si="79"/>
        <v>3</v>
      </c>
    </row>
    <row r="1170" spans="1:12" x14ac:dyDescent="0.25">
      <c r="G1170" t="str">
        <f t="shared" si="74"/>
        <v>04/23/19</v>
      </c>
      <c r="H1170" t="str">
        <f t="shared" si="75"/>
        <v/>
      </c>
      <c r="I1170" s="60" t="str">
        <f t="shared" si="76"/>
        <v/>
      </c>
      <c r="J1170" t="str">
        <f t="shared" si="77"/>
        <v/>
      </c>
      <c r="K1170" s="60" t="str">
        <f t="shared" si="78"/>
        <v/>
      </c>
      <c r="L1170" t="str">
        <f t="shared" si="79"/>
        <v/>
      </c>
    </row>
    <row r="1171" spans="1:12" x14ac:dyDescent="0.25">
      <c r="A1171" t="s">
        <v>2027</v>
      </c>
      <c r="G1171" t="str">
        <f t="shared" si="74"/>
        <v>04/23/19</v>
      </c>
      <c r="H1171" t="str">
        <f t="shared" si="75"/>
        <v>Detroit Tigers</v>
      </c>
      <c r="I1171" s="60">
        <f t="shared" si="76"/>
        <v>4</v>
      </c>
      <c r="J1171" t="str">
        <f t="shared" si="77"/>
        <v>Boston Red Sox</v>
      </c>
      <c r="K1171" s="60">
        <f t="shared" si="78"/>
        <v>2</v>
      </c>
      <c r="L1171">
        <f t="shared" si="79"/>
        <v>2</v>
      </c>
    </row>
    <row r="1172" spans="1:12" x14ac:dyDescent="0.25">
      <c r="G1172" t="str">
        <f t="shared" si="74"/>
        <v>04/23/19</v>
      </c>
      <c r="H1172" t="str">
        <f t="shared" si="75"/>
        <v/>
      </c>
      <c r="I1172" s="60" t="str">
        <f t="shared" si="76"/>
        <v/>
      </c>
      <c r="J1172" t="str">
        <f t="shared" si="77"/>
        <v/>
      </c>
      <c r="K1172" s="60" t="str">
        <f t="shared" si="78"/>
        <v/>
      </c>
      <c r="L1172" t="str">
        <f t="shared" si="79"/>
        <v/>
      </c>
    </row>
    <row r="1173" spans="1:12" x14ac:dyDescent="0.25">
      <c r="A1173" t="s">
        <v>2028</v>
      </c>
      <c r="G1173" t="str">
        <f t="shared" si="74"/>
        <v>04/23/19</v>
      </c>
      <c r="H1173" t="str">
        <f t="shared" si="75"/>
        <v>Los Angeles Dodgers</v>
      </c>
      <c r="I1173" s="60">
        <f t="shared" si="76"/>
        <v>2</v>
      </c>
      <c r="J1173" t="str">
        <f t="shared" si="77"/>
        <v>Chicago Cubs</v>
      </c>
      <c r="K1173" s="60">
        <f t="shared" si="78"/>
        <v>7</v>
      </c>
      <c r="L1173">
        <f t="shared" si="79"/>
        <v>-5</v>
      </c>
    </row>
    <row r="1174" spans="1:12" x14ac:dyDescent="0.25">
      <c r="G1174" t="str">
        <f t="shared" si="74"/>
        <v>04/23/19</v>
      </c>
      <c r="H1174" t="str">
        <f t="shared" si="75"/>
        <v/>
      </c>
      <c r="I1174" s="60" t="str">
        <f t="shared" si="76"/>
        <v/>
      </c>
      <c r="J1174" t="str">
        <f t="shared" si="77"/>
        <v/>
      </c>
      <c r="K1174" s="60" t="str">
        <f t="shared" si="78"/>
        <v/>
      </c>
      <c r="L1174" t="str">
        <f t="shared" si="79"/>
        <v/>
      </c>
    </row>
    <row r="1175" spans="1:12" x14ac:dyDescent="0.25">
      <c r="A1175" t="s">
        <v>2029</v>
      </c>
      <c r="G1175" t="str">
        <f t="shared" si="74"/>
        <v>04/23/19</v>
      </c>
      <c r="H1175" t="str">
        <f t="shared" si="75"/>
        <v>Atlanta Braves</v>
      </c>
      <c r="I1175" s="60">
        <f t="shared" si="76"/>
        <v>6</v>
      </c>
      <c r="J1175" t="str">
        <f t="shared" si="77"/>
        <v>Cincinnati Reds</v>
      </c>
      <c r="K1175" s="60">
        <f t="shared" si="78"/>
        <v>7</v>
      </c>
      <c r="L1175">
        <f t="shared" si="79"/>
        <v>-1</v>
      </c>
    </row>
    <row r="1176" spans="1:12" x14ac:dyDescent="0.25">
      <c r="G1176" t="str">
        <f t="shared" si="74"/>
        <v>04/23/19</v>
      </c>
      <c r="H1176" t="str">
        <f t="shared" si="75"/>
        <v/>
      </c>
      <c r="I1176" s="60" t="str">
        <f t="shared" si="76"/>
        <v/>
      </c>
      <c r="J1176" t="str">
        <f t="shared" si="77"/>
        <v/>
      </c>
      <c r="K1176" s="60" t="str">
        <f t="shared" si="78"/>
        <v/>
      </c>
      <c r="L1176" t="str">
        <f t="shared" si="79"/>
        <v/>
      </c>
    </row>
    <row r="1177" spans="1:12" x14ac:dyDescent="0.25">
      <c r="A1177" t="s">
        <v>2030</v>
      </c>
      <c r="G1177" t="str">
        <f t="shared" si="74"/>
        <v>04/23/19</v>
      </c>
      <c r="H1177" t="str">
        <f t="shared" si="75"/>
        <v>Miami Marlins</v>
      </c>
      <c r="I1177" s="60">
        <f t="shared" si="76"/>
        <v>3</v>
      </c>
      <c r="J1177" t="str">
        <f t="shared" si="77"/>
        <v>Cleveland Indians</v>
      </c>
      <c r="K1177" s="60">
        <f t="shared" si="78"/>
        <v>1</v>
      </c>
      <c r="L1177">
        <f t="shared" si="79"/>
        <v>2</v>
      </c>
    </row>
    <row r="1178" spans="1:12" x14ac:dyDescent="0.25">
      <c r="G1178" t="str">
        <f t="shared" si="74"/>
        <v>04/23/19</v>
      </c>
      <c r="H1178" t="str">
        <f t="shared" si="75"/>
        <v/>
      </c>
      <c r="I1178" s="60" t="str">
        <f t="shared" si="76"/>
        <v/>
      </c>
      <c r="J1178" t="str">
        <f t="shared" si="77"/>
        <v/>
      </c>
      <c r="K1178" s="60" t="str">
        <f t="shared" si="78"/>
        <v/>
      </c>
      <c r="L1178" t="str">
        <f t="shared" si="79"/>
        <v/>
      </c>
    </row>
    <row r="1179" spans="1:12" x14ac:dyDescent="0.25">
      <c r="A1179" t="s">
        <v>2031</v>
      </c>
      <c r="G1179" t="str">
        <f t="shared" si="74"/>
        <v>04/23/19</v>
      </c>
      <c r="H1179" t="str">
        <f t="shared" si="75"/>
        <v>Washington Nationals</v>
      </c>
      <c r="I1179" s="60">
        <f t="shared" si="76"/>
        <v>6</v>
      </c>
      <c r="J1179" t="str">
        <f t="shared" si="77"/>
        <v>Colorado Rockies</v>
      </c>
      <c r="K1179" s="60">
        <f t="shared" si="78"/>
        <v>3</v>
      </c>
      <c r="L1179">
        <f t="shared" si="79"/>
        <v>3</v>
      </c>
    </row>
    <row r="1180" spans="1:12" x14ac:dyDescent="0.25">
      <c r="G1180" t="str">
        <f t="shared" si="74"/>
        <v>04/23/19</v>
      </c>
      <c r="H1180" t="str">
        <f t="shared" si="75"/>
        <v/>
      </c>
      <c r="I1180" s="60" t="str">
        <f t="shared" si="76"/>
        <v/>
      </c>
      <c r="J1180" t="str">
        <f t="shared" si="77"/>
        <v/>
      </c>
      <c r="K1180" s="60" t="str">
        <f t="shared" si="78"/>
        <v/>
      </c>
      <c r="L1180" t="str">
        <f t="shared" si="79"/>
        <v/>
      </c>
    </row>
    <row r="1181" spans="1:12" x14ac:dyDescent="0.25">
      <c r="A1181" t="s">
        <v>2032</v>
      </c>
      <c r="G1181" t="str">
        <f t="shared" si="74"/>
        <v>04/23/19</v>
      </c>
      <c r="H1181" t="str">
        <f t="shared" si="75"/>
        <v>Minnesota Twins</v>
      </c>
      <c r="I1181" s="60">
        <f t="shared" si="76"/>
        <v>4</v>
      </c>
      <c r="J1181" t="str">
        <f t="shared" si="77"/>
        <v>Houston Astros</v>
      </c>
      <c r="K1181" s="60">
        <f t="shared" si="78"/>
        <v>10</v>
      </c>
      <c r="L1181">
        <f t="shared" si="79"/>
        <v>-6</v>
      </c>
    </row>
    <row r="1182" spans="1:12" x14ac:dyDescent="0.25">
      <c r="G1182" t="str">
        <f t="shared" si="74"/>
        <v>04/23/19</v>
      </c>
      <c r="H1182" t="str">
        <f t="shared" si="75"/>
        <v/>
      </c>
      <c r="I1182" s="60" t="str">
        <f t="shared" si="76"/>
        <v/>
      </c>
      <c r="J1182" t="str">
        <f t="shared" si="77"/>
        <v/>
      </c>
      <c r="K1182" s="60" t="str">
        <f t="shared" si="78"/>
        <v/>
      </c>
      <c r="L1182" t="str">
        <f t="shared" si="79"/>
        <v/>
      </c>
    </row>
    <row r="1183" spans="1:12" x14ac:dyDescent="0.25">
      <c r="A1183" t="s">
        <v>2033</v>
      </c>
      <c r="G1183" t="str">
        <f t="shared" si="74"/>
        <v>04/23/19</v>
      </c>
      <c r="H1183" t="str">
        <f t="shared" si="75"/>
        <v>Philadelphia Phillies</v>
      </c>
      <c r="I1183" s="60">
        <f t="shared" si="76"/>
        <v>0</v>
      </c>
      <c r="J1183" t="str">
        <f t="shared" si="77"/>
        <v>New York Mets</v>
      </c>
      <c r="K1183" s="60">
        <f t="shared" si="78"/>
        <v>9</v>
      </c>
      <c r="L1183">
        <f t="shared" si="79"/>
        <v>-9</v>
      </c>
    </row>
    <row r="1184" spans="1:12" x14ac:dyDescent="0.25">
      <c r="G1184" t="str">
        <f t="shared" si="74"/>
        <v>04/23/19</v>
      </c>
      <c r="H1184" t="str">
        <f t="shared" si="75"/>
        <v/>
      </c>
      <c r="I1184" s="60" t="str">
        <f t="shared" si="76"/>
        <v/>
      </c>
      <c r="J1184" t="str">
        <f t="shared" si="77"/>
        <v/>
      </c>
      <c r="K1184" s="60" t="str">
        <f t="shared" si="78"/>
        <v/>
      </c>
      <c r="L1184" t="str">
        <f t="shared" si="79"/>
        <v/>
      </c>
    </row>
    <row r="1185" spans="1:12" x14ac:dyDescent="0.25">
      <c r="A1185" t="s">
        <v>2034</v>
      </c>
      <c r="G1185" t="str">
        <f t="shared" si="74"/>
        <v>04/23/19</v>
      </c>
      <c r="H1185" t="str">
        <f t="shared" si="75"/>
        <v>Texas Rangers</v>
      </c>
      <c r="I1185" s="60">
        <f t="shared" si="76"/>
        <v>5</v>
      </c>
      <c r="J1185" t="str">
        <f t="shared" si="77"/>
        <v>Oakland Athletics</v>
      </c>
      <c r="K1185" s="60">
        <f t="shared" si="78"/>
        <v>11</v>
      </c>
      <c r="L1185">
        <f t="shared" si="79"/>
        <v>-6</v>
      </c>
    </row>
    <row r="1186" spans="1:12" x14ac:dyDescent="0.25">
      <c r="G1186" t="str">
        <f t="shared" ref="G1186:G1249" si="80">IF(ISNUMBER(MATCH(IFERROR(LEFT(A1186,SEARCH(",",A1186)-1),""),$G$220:$M$220,0)),TEXT(MID(A1186,SEARCH(",",A1186)+2,LEN(A1186)),"mm/dd/yy"),G1185)</f>
        <v>04/23/19</v>
      </c>
      <c r="H1186" t="str">
        <f t="shared" si="75"/>
        <v/>
      </c>
      <c r="I1186" s="60" t="str">
        <f t="shared" si="76"/>
        <v/>
      </c>
      <c r="J1186" t="str">
        <f t="shared" si="77"/>
        <v/>
      </c>
      <c r="K1186" s="60" t="str">
        <f t="shared" si="78"/>
        <v/>
      </c>
      <c r="L1186" t="str">
        <f t="shared" si="79"/>
        <v/>
      </c>
    </row>
    <row r="1187" spans="1:12" x14ac:dyDescent="0.25">
      <c r="A1187" t="s">
        <v>2035</v>
      </c>
      <c r="G1187" t="str">
        <f t="shared" si="80"/>
        <v>04/23/19</v>
      </c>
      <c r="H1187" t="str">
        <f t="shared" si="75"/>
        <v>Arizona D'Backs</v>
      </c>
      <c r="I1187" s="60">
        <f t="shared" si="76"/>
        <v>2</v>
      </c>
      <c r="J1187" t="str">
        <f t="shared" si="77"/>
        <v>Pittsburgh Pirates</v>
      </c>
      <c r="K1187" s="60">
        <f t="shared" si="78"/>
        <v>1</v>
      </c>
      <c r="L1187">
        <f t="shared" si="79"/>
        <v>1</v>
      </c>
    </row>
    <row r="1188" spans="1:12" x14ac:dyDescent="0.25">
      <c r="G1188" t="str">
        <f t="shared" si="80"/>
        <v>04/23/19</v>
      </c>
      <c r="H1188" t="str">
        <f t="shared" si="75"/>
        <v/>
      </c>
      <c r="I1188" s="60" t="str">
        <f t="shared" si="76"/>
        <v/>
      </c>
      <c r="J1188" t="str">
        <f t="shared" si="77"/>
        <v/>
      </c>
      <c r="K1188" s="60" t="str">
        <f t="shared" si="78"/>
        <v/>
      </c>
      <c r="L1188" t="str">
        <f t="shared" si="79"/>
        <v/>
      </c>
    </row>
    <row r="1189" spans="1:12" x14ac:dyDescent="0.25">
      <c r="A1189" t="s">
        <v>2036</v>
      </c>
      <c r="G1189" t="str">
        <f t="shared" si="80"/>
        <v>04/23/19</v>
      </c>
      <c r="H1189" t="str">
        <f t="shared" si="75"/>
        <v>Seattle Mariners</v>
      </c>
      <c r="I1189" s="60">
        <f t="shared" si="76"/>
        <v>3</v>
      </c>
      <c r="J1189" t="str">
        <f t="shared" si="77"/>
        <v>San Diego Padres</v>
      </c>
      <c r="K1189" s="60">
        <f t="shared" si="78"/>
        <v>6</v>
      </c>
      <c r="L1189">
        <f t="shared" si="79"/>
        <v>-3</v>
      </c>
    </row>
    <row r="1190" spans="1:12" x14ac:dyDescent="0.25">
      <c r="G1190" t="str">
        <f t="shared" si="80"/>
        <v>04/23/19</v>
      </c>
      <c r="H1190" t="str">
        <f t="shared" si="75"/>
        <v/>
      </c>
      <c r="I1190" s="60" t="str">
        <f t="shared" si="76"/>
        <v/>
      </c>
      <c r="J1190" t="str">
        <f t="shared" si="77"/>
        <v/>
      </c>
      <c r="K1190" s="60" t="str">
        <f t="shared" si="78"/>
        <v/>
      </c>
      <c r="L1190" t="str">
        <f t="shared" si="79"/>
        <v/>
      </c>
    </row>
    <row r="1191" spans="1:12" x14ac:dyDescent="0.25">
      <c r="A1191" t="s">
        <v>2037</v>
      </c>
      <c r="G1191" t="str">
        <f t="shared" si="80"/>
        <v>04/23/19</v>
      </c>
      <c r="H1191" t="str">
        <f t="shared" si="75"/>
        <v>Milwaukee Brewers</v>
      </c>
      <c r="I1191" s="60">
        <f t="shared" si="76"/>
        <v>3</v>
      </c>
      <c r="J1191" t="str">
        <f t="shared" si="77"/>
        <v>St. Louis Cardinals</v>
      </c>
      <c r="K1191" s="60">
        <f t="shared" si="78"/>
        <v>4</v>
      </c>
      <c r="L1191">
        <f t="shared" si="79"/>
        <v>-1</v>
      </c>
    </row>
    <row r="1192" spans="1:12" x14ac:dyDescent="0.25">
      <c r="G1192" t="str">
        <f t="shared" si="80"/>
        <v>04/23/19</v>
      </c>
      <c r="H1192" t="str">
        <f t="shared" si="75"/>
        <v/>
      </c>
      <c r="I1192" s="60" t="str">
        <f t="shared" si="76"/>
        <v/>
      </c>
      <c r="J1192" t="str">
        <f t="shared" si="77"/>
        <v/>
      </c>
      <c r="K1192" s="60" t="str">
        <f t="shared" si="78"/>
        <v/>
      </c>
      <c r="L1192" t="str">
        <f t="shared" si="79"/>
        <v/>
      </c>
    </row>
    <row r="1193" spans="1:12" x14ac:dyDescent="0.25">
      <c r="A1193" t="s">
        <v>2038</v>
      </c>
      <c r="G1193" t="str">
        <f t="shared" si="80"/>
        <v>04/23/19</v>
      </c>
      <c r="H1193" t="str">
        <f t="shared" si="75"/>
        <v>Kansas City Royals</v>
      </c>
      <c r="I1193" s="60">
        <f t="shared" si="76"/>
        <v>2</v>
      </c>
      <c r="J1193" t="str">
        <f t="shared" si="77"/>
        <v>Tampa Bay Rays</v>
      </c>
      <c r="K1193" s="60">
        <f t="shared" si="78"/>
        <v>5</v>
      </c>
      <c r="L1193">
        <f t="shared" si="79"/>
        <v>-3</v>
      </c>
    </row>
    <row r="1194" spans="1:12" x14ac:dyDescent="0.25">
      <c r="G1194" t="str">
        <f t="shared" si="80"/>
        <v>04/23/19</v>
      </c>
      <c r="H1194" t="str">
        <f t="shared" si="75"/>
        <v/>
      </c>
      <c r="I1194" s="60" t="str">
        <f t="shared" si="76"/>
        <v/>
      </c>
      <c r="J1194" t="str">
        <f t="shared" si="77"/>
        <v/>
      </c>
      <c r="K1194" s="60" t="str">
        <f t="shared" si="78"/>
        <v/>
      </c>
      <c r="L1194" t="str">
        <f t="shared" si="79"/>
        <v/>
      </c>
    </row>
    <row r="1195" spans="1:12" x14ac:dyDescent="0.25">
      <c r="A1195" t="s">
        <v>2039</v>
      </c>
      <c r="G1195" t="str">
        <f t="shared" si="80"/>
        <v>04/23/19</v>
      </c>
      <c r="H1195" t="str">
        <f t="shared" si="75"/>
        <v>San Francisco Giants</v>
      </c>
      <c r="I1195" s="60">
        <f t="shared" si="76"/>
        <v>7</v>
      </c>
      <c r="J1195" t="str">
        <f t="shared" si="77"/>
        <v>Toronto Blue Jays</v>
      </c>
      <c r="K1195" s="60">
        <f t="shared" si="78"/>
        <v>6</v>
      </c>
      <c r="L1195">
        <f t="shared" si="79"/>
        <v>1</v>
      </c>
    </row>
    <row r="1196" spans="1:12" x14ac:dyDescent="0.25">
      <c r="G1196" t="str">
        <f t="shared" si="80"/>
        <v>04/23/19</v>
      </c>
      <c r="H1196" t="str">
        <f t="shared" si="75"/>
        <v/>
      </c>
      <c r="I1196" s="60" t="str">
        <f t="shared" si="76"/>
        <v/>
      </c>
      <c r="J1196" t="str">
        <f t="shared" si="77"/>
        <v/>
      </c>
      <c r="K1196" s="60" t="str">
        <f t="shared" si="78"/>
        <v/>
      </c>
      <c r="L1196" t="str">
        <f t="shared" si="79"/>
        <v/>
      </c>
    </row>
    <row r="1197" spans="1:12" x14ac:dyDescent="0.25">
      <c r="A1197" t="s">
        <v>2040</v>
      </c>
      <c r="G1197" t="str">
        <f t="shared" si="80"/>
        <v>04/23/19</v>
      </c>
      <c r="H1197" t="str">
        <f t="shared" si="75"/>
        <v/>
      </c>
      <c r="I1197" s="60" t="str">
        <f t="shared" si="76"/>
        <v/>
      </c>
      <c r="J1197" t="str">
        <f t="shared" si="77"/>
        <v/>
      </c>
      <c r="K1197" s="60" t="str">
        <f t="shared" si="78"/>
        <v/>
      </c>
      <c r="L1197" t="str">
        <f t="shared" si="79"/>
        <v/>
      </c>
    </row>
    <row r="1198" spans="1:12" x14ac:dyDescent="0.25">
      <c r="G1198" t="str">
        <f t="shared" si="80"/>
        <v>04/23/19</v>
      </c>
      <c r="H1198" t="str">
        <f t="shared" si="75"/>
        <v/>
      </c>
      <c r="I1198" s="60" t="str">
        <f t="shared" si="76"/>
        <v/>
      </c>
      <c r="J1198" t="str">
        <f t="shared" si="77"/>
        <v/>
      </c>
      <c r="K1198" s="60" t="str">
        <f t="shared" si="78"/>
        <v/>
      </c>
      <c r="L1198" t="str">
        <f t="shared" si="79"/>
        <v/>
      </c>
    </row>
    <row r="1199" spans="1:12" x14ac:dyDescent="0.25">
      <c r="A1199" t="s">
        <v>2041</v>
      </c>
      <c r="G1199" t="str">
        <f t="shared" si="80"/>
        <v>04/24/19</v>
      </c>
      <c r="H1199" t="str">
        <f t="shared" si="75"/>
        <v/>
      </c>
      <c r="I1199" s="60" t="str">
        <f t="shared" si="76"/>
        <v/>
      </c>
      <c r="J1199" t="str">
        <f t="shared" si="77"/>
        <v/>
      </c>
      <c r="K1199" s="60" t="str">
        <f t="shared" si="78"/>
        <v/>
      </c>
      <c r="L1199" t="str">
        <f t="shared" si="79"/>
        <v/>
      </c>
    </row>
    <row r="1200" spans="1:12" x14ac:dyDescent="0.25">
      <c r="G1200" t="str">
        <f t="shared" si="80"/>
        <v>04/24/19</v>
      </c>
      <c r="H1200" t="str">
        <f t="shared" si="75"/>
        <v/>
      </c>
      <c r="I1200" s="60" t="str">
        <f t="shared" si="76"/>
        <v/>
      </c>
      <c r="J1200" t="str">
        <f t="shared" si="77"/>
        <v/>
      </c>
      <c r="K1200" s="60" t="str">
        <f t="shared" si="78"/>
        <v/>
      </c>
      <c r="L1200" t="str">
        <f t="shared" si="79"/>
        <v/>
      </c>
    </row>
    <row r="1201" spans="1:12" x14ac:dyDescent="0.25">
      <c r="A1201" t="s">
        <v>2042</v>
      </c>
      <c r="G1201" t="str">
        <f t="shared" si="80"/>
        <v>04/24/19</v>
      </c>
      <c r="H1201" t="str">
        <f t="shared" si="75"/>
        <v>New York Yankees</v>
      </c>
      <c r="I1201" s="60">
        <f t="shared" si="76"/>
        <v>6</v>
      </c>
      <c r="J1201" t="str">
        <f t="shared" si="77"/>
        <v>Los Angeles Angels</v>
      </c>
      <c r="K1201" s="60">
        <f t="shared" si="78"/>
        <v>5</v>
      </c>
      <c r="L1201">
        <f t="shared" si="79"/>
        <v>1</v>
      </c>
    </row>
    <row r="1202" spans="1:12" x14ac:dyDescent="0.25">
      <c r="G1202" t="str">
        <f t="shared" si="80"/>
        <v>04/24/19</v>
      </c>
      <c r="H1202" t="str">
        <f t="shared" si="75"/>
        <v/>
      </c>
      <c r="I1202" s="60" t="str">
        <f t="shared" si="76"/>
        <v/>
      </c>
      <c r="J1202" t="str">
        <f t="shared" si="77"/>
        <v/>
      </c>
      <c r="K1202" s="60" t="str">
        <f t="shared" si="78"/>
        <v/>
      </c>
      <c r="L1202" t="str">
        <f t="shared" si="79"/>
        <v/>
      </c>
    </row>
    <row r="1203" spans="1:12" x14ac:dyDescent="0.25">
      <c r="A1203" t="s">
        <v>2043</v>
      </c>
      <c r="G1203" t="str">
        <f t="shared" si="80"/>
        <v>04/24/19</v>
      </c>
      <c r="H1203" t="str">
        <f t="shared" si="75"/>
        <v>Chicago White Sox</v>
      </c>
      <c r="I1203" s="60">
        <f t="shared" si="76"/>
        <v>3</v>
      </c>
      <c r="J1203" t="str">
        <f t="shared" si="77"/>
        <v>Baltimore Orioles</v>
      </c>
      <c r="K1203" s="60">
        <f t="shared" si="78"/>
        <v>4</v>
      </c>
      <c r="L1203">
        <f t="shared" si="79"/>
        <v>-1</v>
      </c>
    </row>
    <row r="1204" spans="1:12" x14ac:dyDescent="0.25">
      <c r="G1204" t="str">
        <f t="shared" si="80"/>
        <v>04/24/19</v>
      </c>
      <c r="H1204" t="str">
        <f t="shared" si="75"/>
        <v/>
      </c>
      <c r="I1204" s="60" t="str">
        <f t="shared" si="76"/>
        <v/>
      </c>
      <c r="J1204" t="str">
        <f t="shared" si="77"/>
        <v/>
      </c>
      <c r="K1204" s="60" t="str">
        <f t="shared" si="78"/>
        <v/>
      </c>
      <c r="L1204" t="str">
        <f t="shared" si="79"/>
        <v/>
      </c>
    </row>
    <row r="1205" spans="1:12" x14ac:dyDescent="0.25">
      <c r="A1205" t="s">
        <v>2044</v>
      </c>
      <c r="G1205" t="str">
        <f t="shared" si="80"/>
        <v>04/24/19</v>
      </c>
      <c r="H1205" t="str">
        <f t="shared" si="75"/>
        <v>Detroit Tigers</v>
      </c>
      <c r="I1205" s="60">
        <f t="shared" si="76"/>
        <v>4</v>
      </c>
      <c r="J1205" t="str">
        <f t="shared" si="77"/>
        <v>Boston Red Sox</v>
      </c>
      <c r="K1205" s="60">
        <f t="shared" si="78"/>
        <v>11</v>
      </c>
      <c r="L1205">
        <f t="shared" si="79"/>
        <v>-7</v>
      </c>
    </row>
    <row r="1206" spans="1:12" x14ac:dyDescent="0.25">
      <c r="G1206" t="str">
        <f t="shared" si="80"/>
        <v>04/24/19</v>
      </c>
      <c r="H1206" t="str">
        <f t="shared" si="75"/>
        <v/>
      </c>
      <c r="I1206" s="60" t="str">
        <f t="shared" si="76"/>
        <v/>
      </c>
      <c r="J1206" t="str">
        <f t="shared" si="77"/>
        <v/>
      </c>
      <c r="K1206" s="60" t="str">
        <f t="shared" si="78"/>
        <v/>
      </c>
      <c r="L1206" t="str">
        <f t="shared" si="79"/>
        <v/>
      </c>
    </row>
    <row r="1207" spans="1:12" x14ac:dyDescent="0.25">
      <c r="A1207" t="s">
        <v>2045</v>
      </c>
      <c r="G1207" t="str">
        <f t="shared" si="80"/>
        <v>04/24/19</v>
      </c>
      <c r="H1207" t="str">
        <f t="shared" si="75"/>
        <v>Los Angeles Dodgers</v>
      </c>
      <c r="I1207" s="60">
        <f t="shared" si="76"/>
        <v>6</v>
      </c>
      <c r="J1207" t="str">
        <f t="shared" si="77"/>
        <v>Chicago Cubs</v>
      </c>
      <c r="K1207" s="60">
        <f t="shared" si="78"/>
        <v>7</v>
      </c>
      <c r="L1207">
        <f t="shared" si="79"/>
        <v>-1</v>
      </c>
    </row>
    <row r="1208" spans="1:12" x14ac:dyDescent="0.25">
      <c r="G1208" t="str">
        <f t="shared" si="80"/>
        <v>04/24/19</v>
      </c>
      <c r="H1208" t="str">
        <f t="shared" si="75"/>
        <v/>
      </c>
      <c r="I1208" s="60" t="str">
        <f t="shared" si="76"/>
        <v/>
      </c>
      <c r="J1208" t="str">
        <f t="shared" si="77"/>
        <v/>
      </c>
      <c r="K1208" s="60" t="str">
        <f t="shared" si="78"/>
        <v/>
      </c>
      <c r="L1208" t="str">
        <f t="shared" si="79"/>
        <v/>
      </c>
    </row>
    <row r="1209" spans="1:12" x14ac:dyDescent="0.25">
      <c r="A1209" t="s">
        <v>2046</v>
      </c>
      <c r="G1209" t="str">
        <f t="shared" si="80"/>
        <v>04/24/19</v>
      </c>
      <c r="H1209" t="str">
        <f t="shared" si="75"/>
        <v>Atlanta Braves</v>
      </c>
      <c r="I1209" s="60">
        <f t="shared" si="76"/>
        <v>3</v>
      </c>
      <c r="J1209" t="str">
        <f t="shared" si="77"/>
        <v>Cincinnati Reds</v>
      </c>
      <c r="K1209" s="60">
        <f t="shared" si="78"/>
        <v>1</v>
      </c>
      <c r="L1209">
        <f t="shared" si="79"/>
        <v>2</v>
      </c>
    </row>
    <row r="1210" spans="1:12" x14ac:dyDescent="0.25">
      <c r="G1210" t="str">
        <f t="shared" si="80"/>
        <v>04/24/19</v>
      </c>
      <c r="H1210" t="str">
        <f t="shared" si="75"/>
        <v/>
      </c>
      <c r="I1210" s="60" t="str">
        <f t="shared" si="76"/>
        <v/>
      </c>
      <c r="J1210" t="str">
        <f t="shared" si="77"/>
        <v/>
      </c>
      <c r="K1210" s="60" t="str">
        <f t="shared" si="78"/>
        <v/>
      </c>
      <c r="L1210" t="str">
        <f t="shared" si="79"/>
        <v/>
      </c>
    </row>
    <row r="1211" spans="1:12" x14ac:dyDescent="0.25">
      <c r="A1211" t="s">
        <v>2047</v>
      </c>
      <c r="G1211" t="str">
        <f t="shared" si="80"/>
        <v>04/24/19</v>
      </c>
      <c r="H1211" t="str">
        <f t="shared" si="75"/>
        <v>Miami Marlins</v>
      </c>
      <c r="I1211" s="60">
        <f t="shared" si="76"/>
        <v>2</v>
      </c>
      <c r="J1211" t="str">
        <f t="shared" si="77"/>
        <v>Cleveland Indians</v>
      </c>
      <c r="K1211" s="60">
        <f t="shared" si="78"/>
        <v>6</v>
      </c>
      <c r="L1211">
        <f t="shared" si="79"/>
        <v>-4</v>
      </c>
    </row>
    <row r="1212" spans="1:12" x14ac:dyDescent="0.25">
      <c r="G1212" t="str">
        <f t="shared" si="80"/>
        <v>04/24/19</v>
      </c>
      <c r="H1212" t="str">
        <f t="shared" si="75"/>
        <v/>
      </c>
      <c r="I1212" s="60" t="str">
        <f t="shared" si="76"/>
        <v/>
      </c>
      <c r="J1212" t="str">
        <f t="shared" si="77"/>
        <v/>
      </c>
      <c r="K1212" s="60" t="str">
        <f t="shared" si="78"/>
        <v/>
      </c>
      <c r="L1212" t="str">
        <f t="shared" si="79"/>
        <v/>
      </c>
    </row>
    <row r="1213" spans="1:12" x14ac:dyDescent="0.25">
      <c r="A1213" t="s">
        <v>2048</v>
      </c>
      <c r="G1213" t="str">
        <f t="shared" si="80"/>
        <v>04/24/19</v>
      </c>
      <c r="H1213" t="str">
        <f t="shared" si="75"/>
        <v>Washington Nationals</v>
      </c>
      <c r="I1213" s="60">
        <f t="shared" si="76"/>
        <v>5</v>
      </c>
      <c r="J1213" t="str">
        <f t="shared" si="77"/>
        <v>Colorado Rockies</v>
      </c>
      <c r="K1213" s="60">
        <f t="shared" si="78"/>
        <v>9</v>
      </c>
      <c r="L1213">
        <f t="shared" si="79"/>
        <v>-4</v>
      </c>
    </row>
    <row r="1214" spans="1:12" x14ac:dyDescent="0.25">
      <c r="G1214" t="str">
        <f t="shared" si="80"/>
        <v>04/24/19</v>
      </c>
      <c r="H1214" t="str">
        <f t="shared" si="75"/>
        <v/>
      </c>
      <c r="I1214" s="60" t="str">
        <f t="shared" si="76"/>
        <v/>
      </c>
      <c r="J1214" t="str">
        <f t="shared" si="77"/>
        <v/>
      </c>
      <c r="K1214" s="60" t="str">
        <f t="shared" si="78"/>
        <v/>
      </c>
      <c r="L1214" t="str">
        <f t="shared" si="79"/>
        <v/>
      </c>
    </row>
    <row r="1215" spans="1:12" x14ac:dyDescent="0.25">
      <c r="A1215" t="s">
        <v>2049</v>
      </c>
      <c r="G1215" t="str">
        <f t="shared" si="80"/>
        <v>04/24/19</v>
      </c>
      <c r="H1215" t="str">
        <f t="shared" si="75"/>
        <v>Minnesota Twins</v>
      </c>
      <c r="I1215" s="60">
        <f t="shared" si="76"/>
        <v>1</v>
      </c>
      <c r="J1215" t="str">
        <f t="shared" si="77"/>
        <v>Houston Astros</v>
      </c>
      <c r="K1215" s="60">
        <f t="shared" si="78"/>
        <v>7</v>
      </c>
      <c r="L1215">
        <f t="shared" si="79"/>
        <v>-6</v>
      </c>
    </row>
    <row r="1216" spans="1:12" x14ac:dyDescent="0.25">
      <c r="G1216" t="str">
        <f t="shared" si="80"/>
        <v>04/24/19</v>
      </c>
      <c r="H1216" t="str">
        <f t="shared" si="75"/>
        <v/>
      </c>
      <c r="I1216" s="60" t="str">
        <f t="shared" si="76"/>
        <v/>
      </c>
      <c r="J1216" t="str">
        <f t="shared" si="77"/>
        <v/>
      </c>
      <c r="K1216" s="60" t="str">
        <f t="shared" si="78"/>
        <v/>
      </c>
      <c r="L1216" t="str">
        <f t="shared" si="79"/>
        <v/>
      </c>
    </row>
    <row r="1217" spans="1:12" x14ac:dyDescent="0.25">
      <c r="A1217" t="s">
        <v>2050</v>
      </c>
      <c r="G1217" t="str">
        <f t="shared" si="80"/>
        <v>04/24/19</v>
      </c>
      <c r="H1217" t="str">
        <f t="shared" si="75"/>
        <v>Philadelphia Phillies</v>
      </c>
      <c r="I1217" s="60">
        <f t="shared" si="76"/>
        <v>6</v>
      </c>
      <c r="J1217" t="str">
        <f t="shared" si="77"/>
        <v>New York Mets</v>
      </c>
      <c r="K1217" s="60">
        <f t="shared" si="78"/>
        <v>0</v>
      </c>
      <c r="L1217">
        <f t="shared" si="79"/>
        <v>6</v>
      </c>
    </row>
    <row r="1218" spans="1:12" x14ac:dyDescent="0.25">
      <c r="G1218" t="str">
        <f t="shared" si="80"/>
        <v>04/24/19</v>
      </c>
      <c r="H1218" t="str">
        <f t="shared" si="75"/>
        <v/>
      </c>
      <c r="I1218" s="60" t="str">
        <f t="shared" si="76"/>
        <v/>
      </c>
      <c r="J1218" t="str">
        <f t="shared" si="77"/>
        <v/>
      </c>
      <c r="K1218" s="60" t="str">
        <f t="shared" si="78"/>
        <v/>
      </c>
      <c r="L1218" t="str">
        <f t="shared" si="79"/>
        <v/>
      </c>
    </row>
    <row r="1219" spans="1:12" x14ac:dyDescent="0.25">
      <c r="A1219" t="s">
        <v>2051</v>
      </c>
      <c r="G1219" t="str">
        <f t="shared" si="80"/>
        <v>04/24/19</v>
      </c>
      <c r="H1219" t="str">
        <f t="shared" si="75"/>
        <v>Texas Rangers</v>
      </c>
      <c r="I1219" s="60">
        <f t="shared" si="76"/>
        <v>5</v>
      </c>
      <c r="J1219" t="str">
        <f t="shared" si="77"/>
        <v>Oakland Athletics</v>
      </c>
      <c r="K1219" s="60">
        <f t="shared" si="78"/>
        <v>6</v>
      </c>
      <c r="L1219">
        <f t="shared" si="79"/>
        <v>-1</v>
      </c>
    </row>
    <row r="1220" spans="1:12" x14ac:dyDescent="0.25">
      <c r="G1220" t="str">
        <f t="shared" si="80"/>
        <v>04/24/19</v>
      </c>
      <c r="H1220" t="str">
        <f t="shared" si="75"/>
        <v/>
      </c>
      <c r="I1220" s="60" t="str">
        <f t="shared" si="76"/>
        <v/>
      </c>
      <c r="J1220" t="str">
        <f t="shared" si="77"/>
        <v/>
      </c>
      <c r="K1220" s="60" t="str">
        <f t="shared" si="78"/>
        <v/>
      </c>
      <c r="L1220" t="str">
        <f t="shared" si="79"/>
        <v/>
      </c>
    </row>
    <row r="1221" spans="1:12" x14ac:dyDescent="0.25">
      <c r="A1221" t="s">
        <v>2052</v>
      </c>
      <c r="G1221" t="str">
        <f t="shared" si="80"/>
        <v>04/24/19</v>
      </c>
      <c r="H1221" t="str">
        <f t="shared" si="75"/>
        <v>Arizona D'Backs</v>
      </c>
      <c r="I1221" s="60">
        <f t="shared" si="76"/>
        <v>11</v>
      </c>
      <c r="J1221" t="str">
        <f t="shared" si="77"/>
        <v>Pittsburgh Pirates</v>
      </c>
      <c r="K1221" s="60">
        <f t="shared" si="78"/>
        <v>2</v>
      </c>
      <c r="L1221">
        <f t="shared" si="79"/>
        <v>9</v>
      </c>
    </row>
    <row r="1222" spans="1:12" x14ac:dyDescent="0.25">
      <c r="G1222" t="str">
        <f t="shared" si="80"/>
        <v>04/24/19</v>
      </c>
      <c r="H1222" t="str">
        <f t="shared" si="75"/>
        <v/>
      </c>
      <c r="I1222" s="60" t="str">
        <f t="shared" si="76"/>
        <v/>
      </c>
      <c r="J1222" t="str">
        <f t="shared" si="77"/>
        <v/>
      </c>
      <c r="K1222" s="60" t="str">
        <f t="shared" si="78"/>
        <v/>
      </c>
      <c r="L1222" t="str">
        <f t="shared" si="79"/>
        <v/>
      </c>
    </row>
    <row r="1223" spans="1:12" x14ac:dyDescent="0.25">
      <c r="A1223" t="s">
        <v>2053</v>
      </c>
      <c r="G1223" t="str">
        <f t="shared" si="80"/>
        <v>04/24/19</v>
      </c>
      <c r="H1223" t="str">
        <f t="shared" si="75"/>
        <v>Seattle Mariners</v>
      </c>
      <c r="I1223" s="60">
        <f t="shared" si="76"/>
        <v>0</v>
      </c>
      <c r="J1223" t="str">
        <f t="shared" si="77"/>
        <v>San Diego Padres</v>
      </c>
      <c r="K1223" s="60">
        <f t="shared" si="78"/>
        <v>1</v>
      </c>
      <c r="L1223">
        <f t="shared" si="79"/>
        <v>-1</v>
      </c>
    </row>
    <row r="1224" spans="1:12" x14ac:dyDescent="0.25">
      <c r="G1224" t="str">
        <f t="shared" si="80"/>
        <v>04/24/19</v>
      </c>
      <c r="H1224" t="str">
        <f t="shared" si="75"/>
        <v/>
      </c>
      <c r="I1224" s="60" t="str">
        <f t="shared" si="76"/>
        <v/>
      </c>
      <c r="J1224" t="str">
        <f t="shared" si="77"/>
        <v/>
      </c>
      <c r="K1224" s="60" t="str">
        <f t="shared" si="78"/>
        <v/>
      </c>
      <c r="L1224" t="str">
        <f t="shared" si="79"/>
        <v/>
      </c>
    </row>
    <row r="1225" spans="1:12" x14ac:dyDescent="0.25">
      <c r="A1225" t="s">
        <v>2054</v>
      </c>
      <c r="G1225" t="str">
        <f t="shared" si="80"/>
        <v>04/24/19</v>
      </c>
      <c r="H1225" t="str">
        <f t="shared" si="75"/>
        <v>Milwaukee Brewers</v>
      </c>
      <c r="I1225" s="60">
        <f t="shared" si="76"/>
        <v>2</v>
      </c>
      <c r="J1225" t="str">
        <f t="shared" si="77"/>
        <v>St. Louis Cardinals</v>
      </c>
      <c r="K1225" s="60">
        <f t="shared" si="78"/>
        <v>5</v>
      </c>
      <c r="L1225">
        <f t="shared" si="79"/>
        <v>-3</v>
      </c>
    </row>
    <row r="1226" spans="1:12" x14ac:dyDescent="0.25">
      <c r="G1226" t="str">
        <f t="shared" si="80"/>
        <v>04/24/19</v>
      </c>
      <c r="H1226" t="str">
        <f t="shared" si="75"/>
        <v/>
      </c>
      <c r="I1226" s="60" t="str">
        <f t="shared" si="76"/>
        <v/>
      </c>
      <c r="J1226" t="str">
        <f t="shared" si="77"/>
        <v/>
      </c>
      <c r="K1226" s="60" t="str">
        <f t="shared" si="78"/>
        <v/>
      </c>
      <c r="L1226" t="str">
        <f t="shared" si="79"/>
        <v/>
      </c>
    </row>
    <row r="1227" spans="1:12" x14ac:dyDescent="0.25">
      <c r="A1227" t="s">
        <v>2055</v>
      </c>
      <c r="G1227" t="str">
        <f t="shared" si="80"/>
        <v>04/24/19</v>
      </c>
      <c r="H1227" t="str">
        <f t="shared" si="75"/>
        <v>Kansas City Royals</v>
      </c>
      <c r="I1227" s="60">
        <f t="shared" si="76"/>
        <v>10</v>
      </c>
      <c r="J1227" t="str">
        <f t="shared" si="77"/>
        <v>Tampa Bay Rays</v>
      </c>
      <c r="K1227" s="60">
        <f t="shared" si="78"/>
        <v>2</v>
      </c>
      <c r="L1227">
        <f t="shared" si="79"/>
        <v>8</v>
      </c>
    </row>
    <row r="1228" spans="1:12" x14ac:dyDescent="0.25">
      <c r="G1228" t="str">
        <f t="shared" si="80"/>
        <v>04/24/19</v>
      </c>
      <c r="H1228" t="str">
        <f t="shared" si="75"/>
        <v/>
      </c>
      <c r="I1228" s="60" t="str">
        <f t="shared" si="76"/>
        <v/>
      </c>
      <c r="J1228" t="str">
        <f t="shared" si="77"/>
        <v/>
      </c>
      <c r="K1228" s="60" t="str">
        <f t="shared" si="78"/>
        <v/>
      </c>
      <c r="L1228" t="str">
        <f t="shared" si="79"/>
        <v/>
      </c>
    </row>
    <row r="1229" spans="1:12" x14ac:dyDescent="0.25">
      <c r="A1229" t="s">
        <v>2056</v>
      </c>
      <c r="G1229" t="str">
        <f t="shared" si="80"/>
        <v>04/24/19</v>
      </c>
      <c r="H1229" t="str">
        <f t="shared" si="75"/>
        <v>San Francisco Giants</v>
      </c>
      <c r="I1229" s="60">
        <f t="shared" si="76"/>
        <v>4</v>
      </c>
      <c r="J1229" t="str">
        <f t="shared" si="77"/>
        <v>Toronto Blue Jays</v>
      </c>
      <c r="K1229" s="60">
        <f t="shared" si="78"/>
        <v>0</v>
      </c>
      <c r="L1229">
        <f t="shared" si="79"/>
        <v>4</v>
      </c>
    </row>
    <row r="1230" spans="1:12" x14ac:dyDescent="0.25">
      <c r="G1230" t="str">
        <f t="shared" si="80"/>
        <v>04/24/19</v>
      </c>
      <c r="H1230" t="str">
        <f t="shared" si="75"/>
        <v/>
      </c>
      <c r="I1230" s="60" t="str">
        <f t="shared" si="76"/>
        <v/>
      </c>
      <c r="J1230" t="str">
        <f t="shared" si="77"/>
        <v/>
      </c>
      <c r="K1230" s="60" t="str">
        <f t="shared" si="78"/>
        <v/>
      </c>
      <c r="L1230" t="str">
        <f t="shared" si="79"/>
        <v/>
      </c>
    </row>
    <row r="1231" spans="1:12" x14ac:dyDescent="0.25">
      <c r="A1231" t="s">
        <v>2057</v>
      </c>
      <c r="G1231" t="str">
        <f t="shared" si="80"/>
        <v>04/24/19</v>
      </c>
      <c r="H1231" t="str">
        <f t="shared" si="75"/>
        <v/>
      </c>
      <c r="I1231" s="60" t="str">
        <f t="shared" si="76"/>
        <v/>
      </c>
      <c r="J1231" t="str">
        <f t="shared" si="77"/>
        <v/>
      </c>
      <c r="K1231" s="60" t="str">
        <f t="shared" si="78"/>
        <v/>
      </c>
      <c r="L1231" t="str">
        <f t="shared" si="79"/>
        <v/>
      </c>
    </row>
    <row r="1232" spans="1:12" x14ac:dyDescent="0.25">
      <c r="G1232" t="str">
        <f t="shared" si="80"/>
        <v>04/24/19</v>
      </c>
      <c r="H1232" t="str">
        <f t="shared" ref="H1232:H1295" si="81">IFERROR(LEFT(MID(A1232,1,SEARCH("@",A1232)-2),SEARCH("(",A1232)-2),"")</f>
        <v/>
      </c>
      <c r="I1232" s="60" t="str">
        <f t="shared" ref="I1232:I1295" si="82">IFERROR(VALUE(MID(A1232,SEARCH("(",A1232)+1,SEARCH(")",A1232)-SEARCH("(",A1232)-1)),"")</f>
        <v/>
      </c>
      <c r="J1232" t="str">
        <f t="shared" ref="J1232:J1295" si="83">IFERROR(MID(A1232,SEARCH("@",A1232)+2,SEARCH("(",A1232,SEARCH("@",A1232))-SEARCH("@",A1232)-3),"")</f>
        <v/>
      </c>
      <c r="K1232" s="60" t="str">
        <f t="shared" ref="K1232:K1295" si="84">IFERROR(VALUE(MID(A1232,SEARCH(J1232,A1232)+LEN(J1232)+2,(SEARCH(")",A1232,SEARCH("@",A1232))-SEARCH("(",A1232,SEARCH("@",A1232))-1))),"")</f>
        <v/>
      </c>
      <c r="L1232" t="str">
        <f t="shared" ref="L1232:L1295" si="85">IFERROR(I1232-K1232,"")</f>
        <v/>
      </c>
    </row>
    <row r="1233" spans="1:12" x14ac:dyDescent="0.25">
      <c r="A1233" t="s">
        <v>2058</v>
      </c>
      <c r="G1233" t="str">
        <f t="shared" si="80"/>
        <v>04/25/19</v>
      </c>
      <c r="H1233" t="str">
        <f t="shared" si="81"/>
        <v/>
      </c>
      <c r="I1233" s="60" t="str">
        <f t="shared" si="82"/>
        <v/>
      </c>
      <c r="J1233" t="str">
        <f t="shared" si="83"/>
        <v/>
      </c>
      <c r="K1233" s="60" t="str">
        <f t="shared" si="84"/>
        <v/>
      </c>
      <c r="L1233" t="str">
        <f t="shared" si="85"/>
        <v/>
      </c>
    </row>
    <row r="1234" spans="1:12" x14ac:dyDescent="0.25">
      <c r="G1234" t="str">
        <f t="shared" si="80"/>
        <v>04/25/19</v>
      </c>
      <c r="H1234" t="str">
        <f t="shared" si="81"/>
        <v/>
      </c>
      <c r="I1234" s="60" t="str">
        <f t="shared" si="82"/>
        <v/>
      </c>
      <c r="J1234" t="str">
        <f t="shared" si="83"/>
        <v/>
      </c>
      <c r="K1234" s="60" t="str">
        <f t="shared" si="84"/>
        <v/>
      </c>
      <c r="L1234" t="str">
        <f t="shared" si="85"/>
        <v/>
      </c>
    </row>
    <row r="1235" spans="1:12" x14ac:dyDescent="0.25">
      <c r="A1235" t="s">
        <v>2059</v>
      </c>
      <c r="G1235" t="str">
        <f t="shared" si="80"/>
        <v>04/25/19</v>
      </c>
      <c r="H1235" t="str">
        <f t="shared" si="81"/>
        <v>New York Yankees</v>
      </c>
      <c r="I1235" s="60">
        <f t="shared" si="82"/>
        <v>5</v>
      </c>
      <c r="J1235" t="str">
        <f t="shared" si="83"/>
        <v>Los Angeles Angels</v>
      </c>
      <c r="K1235" s="60">
        <f t="shared" si="84"/>
        <v>11</v>
      </c>
      <c r="L1235">
        <f t="shared" si="85"/>
        <v>-6</v>
      </c>
    </row>
    <row r="1236" spans="1:12" x14ac:dyDescent="0.25">
      <c r="G1236" t="str">
        <f t="shared" si="80"/>
        <v>04/25/19</v>
      </c>
      <c r="H1236" t="str">
        <f t="shared" si="81"/>
        <v/>
      </c>
      <c r="I1236" s="60" t="str">
        <f t="shared" si="82"/>
        <v/>
      </c>
      <c r="J1236" t="str">
        <f t="shared" si="83"/>
        <v/>
      </c>
      <c r="K1236" s="60" t="str">
        <f t="shared" si="84"/>
        <v/>
      </c>
      <c r="L1236" t="str">
        <f t="shared" si="85"/>
        <v/>
      </c>
    </row>
    <row r="1237" spans="1:12" x14ac:dyDescent="0.25">
      <c r="A1237" t="s">
        <v>2060</v>
      </c>
      <c r="G1237" t="str">
        <f t="shared" si="80"/>
        <v>04/25/19</v>
      </c>
      <c r="H1237" t="str">
        <f t="shared" si="81"/>
        <v>Detroit Tigers</v>
      </c>
      <c r="I1237" s="60">
        <f t="shared" si="82"/>
        <v>3</v>
      </c>
      <c r="J1237" t="str">
        <f t="shared" si="83"/>
        <v>Boston Red Sox</v>
      </c>
      <c r="K1237" s="60">
        <f t="shared" si="84"/>
        <v>7</v>
      </c>
      <c r="L1237">
        <f t="shared" si="85"/>
        <v>-4</v>
      </c>
    </row>
    <row r="1238" spans="1:12" x14ac:dyDescent="0.25">
      <c r="G1238" t="str">
        <f t="shared" si="80"/>
        <v>04/25/19</v>
      </c>
      <c r="H1238" t="str">
        <f t="shared" si="81"/>
        <v/>
      </c>
      <c r="I1238" s="60" t="str">
        <f t="shared" si="82"/>
        <v/>
      </c>
      <c r="J1238" t="str">
        <f t="shared" si="83"/>
        <v/>
      </c>
      <c r="K1238" s="60" t="str">
        <f t="shared" si="84"/>
        <v/>
      </c>
      <c r="L1238" t="str">
        <f t="shared" si="85"/>
        <v/>
      </c>
    </row>
    <row r="1239" spans="1:12" x14ac:dyDescent="0.25">
      <c r="A1239" t="s">
        <v>2061</v>
      </c>
      <c r="G1239" t="str">
        <f t="shared" si="80"/>
        <v>04/25/19</v>
      </c>
      <c r="H1239" t="str">
        <f t="shared" si="81"/>
        <v>Los Angeles Dodgers</v>
      </c>
      <c r="I1239" s="60">
        <f t="shared" si="82"/>
        <v>2</v>
      </c>
      <c r="J1239" t="str">
        <f t="shared" si="83"/>
        <v>Chicago Cubs</v>
      </c>
      <c r="K1239" s="60">
        <f t="shared" si="84"/>
        <v>1</v>
      </c>
      <c r="L1239">
        <f t="shared" si="85"/>
        <v>1</v>
      </c>
    </row>
    <row r="1240" spans="1:12" x14ac:dyDescent="0.25">
      <c r="G1240" t="str">
        <f t="shared" si="80"/>
        <v>04/25/19</v>
      </c>
      <c r="H1240" t="str">
        <f t="shared" si="81"/>
        <v/>
      </c>
      <c r="I1240" s="60" t="str">
        <f t="shared" si="82"/>
        <v/>
      </c>
      <c r="J1240" t="str">
        <f t="shared" si="83"/>
        <v/>
      </c>
      <c r="K1240" s="60" t="str">
        <f t="shared" si="84"/>
        <v/>
      </c>
      <c r="L1240" t="str">
        <f t="shared" si="85"/>
        <v/>
      </c>
    </row>
    <row r="1241" spans="1:12" x14ac:dyDescent="0.25">
      <c r="A1241" t="s">
        <v>2062</v>
      </c>
      <c r="G1241" t="str">
        <f t="shared" si="80"/>
        <v>04/25/19</v>
      </c>
      <c r="H1241" t="str">
        <f t="shared" si="81"/>
        <v>Atlanta Braves</v>
      </c>
      <c r="I1241" s="60">
        <f t="shared" si="82"/>
        <v>2</v>
      </c>
      <c r="J1241" t="str">
        <f t="shared" si="83"/>
        <v>Cincinnati Reds</v>
      </c>
      <c r="K1241" s="60">
        <f t="shared" si="84"/>
        <v>4</v>
      </c>
      <c r="L1241">
        <f t="shared" si="85"/>
        <v>-2</v>
      </c>
    </row>
    <row r="1242" spans="1:12" x14ac:dyDescent="0.25">
      <c r="G1242" t="str">
        <f t="shared" si="80"/>
        <v>04/25/19</v>
      </c>
      <c r="H1242" t="str">
        <f t="shared" si="81"/>
        <v/>
      </c>
      <c r="I1242" s="60" t="str">
        <f t="shared" si="82"/>
        <v/>
      </c>
      <c r="J1242" t="str">
        <f t="shared" si="83"/>
        <v/>
      </c>
      <c r="K1242" s="60" t="str">
        <f t="shared" si="84"/>
        <v/>
      </c>
      <c r="L1242" t="str">
        <f t="shared" si="85"/>
        <v/>
      </c>
    </row>
    <row r="1243" spans="1:12" x14ac:dyDescent="0.25">
      <c r="A1243" t="s">
        <v>2063</v>
      </c>
      <c r="G1243" t="str">
        <f t="shared" si="80"/>
        <v>04/25/19</v>
      </c>
      <c r="H1243" t="str">
        <f t="shared" si="81"/>
        <v>Cleveland Indians</v>
      </c>
      <c r="I1243" s="60">
        <f t="shared" si="82"/>
        <v>2</v>
      </c>
      <c r="J1243" t="str">
        <f t="shared" si="83"/>
        <v>Houston Astros</v>
      </c>
      <c r="K1243" s="60">
        <f t="shared" si="84"/>
        <v>1</v>
      </c>
      <c r="L1243">
        <f t="shared" si="85"/>
        <v>1</v>
      </c>
    </row>
    <row r="1244" spans="1:12" x14ac:dyDescent="0.25">
      <c r="G1244" t="str">
        <f t="shared" si="80"/>
        <v>04/25/19</v>
      </c>
      <c r="H1244" t="str">
        <f t="shared" si="81"/>
        <v/>
      </c>
      <c r="I1244" s="60" t="str">
        <f t="shared" si="82"/>
        <v/>
      </c>
      <c r="J1244" t="str">
        <f t="shared" si="83"/>
        <v/>
      </c>
      <c r="K1244" s="60" t="str">
        <f t="shared" si="84"/>
        <v/>
      </c>
      <c r="L1244" t="str">
        <f t="shared" si="85"/>
        <v/>
      </c>
    </row>
    <row r="1245" spans="1:12" x14ac:dyDescent="0.25">
      <c r="A1245" t="s">
        <v>2064</v>
      </c>
      <c r="G1245" t="str">
        <f t="shared" si="80"/>
        <v>04/25/19</v>
      </c>
      <c r="H1245" t="str">
        <f t="shared" si="81"/>
        <v>Miami Marlins</v>
      </c>
      <c r="I1245" s="60">
        <f t="shared" si="82"/>
        <v>3</v>
      </c>
      <c r="J1245" t="str">
        <f t="shared" si="83"/>
        <v>Philadelphia Phillies</v>
      </c>
      <c r="K1245" s="60">
        <f t="shared" si="84"/>
        <v>1</v>
      </c>
      <c r="L1245">
        <f t="shared" si="85"/>
        <v>2</v>
      </c>
    </row>
    <row r="1246" spans="1:12" x14ac:dyDescent="0.25">
      <c r="G1246" t="str">
        <f t="shared" si="80"/>
        <v>04/25/19</v>
      </c>
      <c r="H1246" t="str">
        <f t="shared" si="81"/>
        <v/>
      </c>
      <c r="I1246" s="60" t="str">
        <f t="shared" si="82"/>
        <v/>
      </c>
      <c r="J1246" t="str">
        <f t="shared" si="83"/>
        <v/>
      </c>
      <c r="K1246" s="60" t="str">
        <f t="shared" si="84"/>
        <v/>
      </c>
      <c r="L1246" t="str">
        <f t="shared" si="85"/>
        <v/>
      </c>
    </row>
    <row r="1247" spans="1:12" x14ac:dyDescent="0.25">
      <c r="A1247" t="s">
        <v>2065</v>
      </c>
      <c r="G1247" t="str">
        <f t="shared" si="80"/>
        <v>04/25/19</v>
      </c>
      <c r="H1247" t="str">
        <f t="shared" si="81"/>
        <v>Arizona D'Backs</v>
      </c>
      <c r="I1247" s="60">
        <f t="shared" si="82"/>
        <v>5</v>
      </c>
      <c r="J1247" t="str">
        <f t="shared" si="83"/>
        <v>Pittsburgh Pirates</v>
      </c>
      <c r="K1247" s="60">
        <f t="shared" si="84"/>
        <v>0</v>
      </c>
      <c r="L1247">
        <f t="shared" si="85"/>
        <v>5</v>
      </c>
    </row>
    <row r="1248" spans="1:12" x14ac:dyDescent="0.25">
      <c r="G1248" t="str">
        <f t="shared" si="80"/>
        <v>04/25/19</v>
      </c>
      <c r="H1248" t="str">
        <f t="shared" si="81"/>
        <v/>
      </c>
      <c r="I1248" s="60" t="str">
        <f t="shared" si="82"/>
        <v/>
      </c>
      <c r="J1248" t="str">
        <f t="shared" si="83"/>
        <v/>
      </c>
      <c r="K1248" s="60" t="str">
        <f t="shared" si="84"/>
        <v/>
      </c>
      <c r="L1248" t="str">
        <f t="shared" si="85"/>
        <v/>
      </c>
    </row>
    <row r="1249" spans="1:12" x14ac:dyDescent="0.25">
      <c r="A1249" t="s">
        <v>2066</v>
      </c>
      <c r="G1249" t="str">
        <f t="shared" si="80"/>
        <v>04/25/19</v>
      </c>
      <c r="H1249" t="str">
        <f t="shared" si="81"/>
        <v>Texas Rangers</v>
      </c>
      <c r="I1249" s="60">
        <f t="shared" si="82"/>
        <v>2</v>
      </c>
      <c r="J1249" t="str">
        <f t="shared" si="83"/>
        <v>Seattle Mariners</v>
      </c>
      <c r="K1249" s="60">
        <f t="shared" si="84"/>
        <v>14</v>
      </c>
      <c r="L1249">
        <f t="shared" si="85"/>
        <v>-12</v>
      </c>
    </row>
    <row r="1250" spans="1:12" x14ac:dyDescent="0.25">
      <c r="G1250" t="str">
        <f t="shared" ref="G1250:G1313" si="86">IF(ISNUMBER(MATCH(IFERROR(LEFT(A1250,SEARCH(",",A1250)-1),""),$G$220:$M$220,0)),TEXT(MID(A1250,SEARCH(",",A1250)+2,LEN(A1250)),"mm/dd/yy"),G1249)</f>
        <v>04/25/19</v>
      </c>
      <c r="H1250" t="str">
        <f t="shared" si="81"/>
        <v/>
      </c>
      <c r="I1250" s="60" t="str">
        <f t="shared" si="82"/>
        <v/>
      </c>
      <c r="J1250" t="str">
        <f t="shared" si="83"/>
        <v/>
      </c>
      <c r="K1250" s="60" t="str">
        <f t="shared" si="84"/>
        <v/>
      </c>
      <c r="L1250" t="str">
        <f t="shared" si="85"/>
        <v/>
      </c>
    </row>
    <row r="1251" spans="1:12" x14ac:dyDescent="0.25">
      <c r="A1251" t="s">
        <v>2067</v>
      </c>
      <c r="G1251" t="str">
        <f t="shared" si="86"/>
        <v>04/25/19</v>
      </c>
      <c r="H1251" t="str">
        <f t="shared" si="81"/>
        <v/>
      </c>
      <c r="I1251" s="60" t="str">
        <f t="shared" si="82"/>
        <v/>
      </c>
      <c r="J1251" t="str">
        <f t="shared" si="83"/>
        <v/>
      </c>
      <c r="K1251" s="60" t="str">
        <f t="shared" si="84"/>
        <v/>
      </c>
      <c r="L1251" t="str">
        <f t="shared" si="85"/>
        <v/>
      </c>
    </row>
    <row r="1252" spans="1:12" x14ac:dyDescent="0.25">
      <c r="G1252" t="str">
        <f t="shared" si="86"/>
        <v>04/25/19</v>
      </c>
      <c r="H1252" t="str">
        <f t="shared" si="81"/>
        <v/>
      </c>
      <c r="I1252" s="60" t="str">
        <f t="shared" si="82"/>
        <v/>
      </c>
      <c r="J1252" t="str">
        <f t="shared" si="83"/>
        <v/>
      </c>
      <c r="K1252" s="60" t="str">
        <f t="shared" si="84"/>
        <v/>
      </c>
      <c r="L1252" t="str">
        <f t="shared" si="85"/>
        <v/>
      </c>
    </row>
    <row r="1253" spans="1:12" x14ac:dyDescent="0.25">
      <c r="A1253" t="s">
        <v>2068</v>
      </c>
      <c r="G1253" t="str">
        <f t="shared" si="86"/>
        <v>04/26/19</v>
      </c>
      <c r="H1253" t="str">
        <f t="shared" si="81"/>
        <v/>
      </c>
      <c r="I1253" s="60" t="str">
        <f t="shared" si="82"/>
        <v/>
      </c>
      <c r="J1253" t="str">
        <f t="shared" si="83"/>
        <v/>
      </c>
      <c r="K1253" s="60" t="str">
        <f t="shared" si="84"/>
        <v/>
      </c>
      <c r="L1253" t="str">
        <f t="shared" si="85"/>
        <v/>
      </c>
    </row>
    <row r="1254" spans="1:12" x14ac:dyDescent="0.25">
      <c r="G1254" t="str">
        <f t="shared" si="86"/>
        <v>04/26/19</v>
      </c>
      <c r="H1254" t="str">
        <f t="shared" si="81"/>
        <v/>
      </c>
      <c r="I1254" s="60" t="str">
        <f t="shared" si="82"/>
        <v/>
      </c>
      <c r="J1254" t="str">
        <f t="shared" si="83"/>
        <v/>
      </c>
      <c r="K1254" s="60" t="str">
        <f t="shared" si="84"/>
        <v/>
      </c>
      <c r="L1254" t="str">
        <f t="shared" si="85"/>
        <v/>
      </c>
    </row>
    <row r="1255" spans="1:12" x14ac:dyDescent="0.25">
      <c r="A1255" t="s">
        <v>2069</v>
      </c>
      <c r="G1255" t="str">
        <f t="shared" si="86"/>
        <v>04/26/19</v>
      </c>
      <c r="H1255" t="str">
        <f t="shared" si="81"/>
        <v>Chicago Cubs</v>
      </c>
      <c r="I1255" s="60">
        <f t="shared" si="82"/>
        <v>3</v>
      </c>
      <c r="J1255" t="str">
        <f t="shared" si="83"/>
        <v>Arizona D'Backs</v>
      </c>
      <c r="K1255" s="60">
        <f t="shared" si="84"/>
        <v>8</v>
      </c>
      <c r="L1255">
        <f t="shared" si="85"/>
        <v>-5</v>
      </c>
    </row>
    <row r="1256" spans="1:12" x14ac:dyDescent="0.25">
      <c r="G1256" t="str">
        <f t="shared" si="86"/>
        <v>04/26/19</v>
      </c>
      <c r="H1256" t="str">
        <f t="shared" si="81"/>
        <v/>
      </c>
      <c r="I1256" s="60" t="str">
        <f t="shared" si="82"/>
        <v/>
      </c>
      <c r="J1256" t="str">
        <f t="shared" si="83"/>
        <v/>
      </c>
      <c r="K1256" s="60" t="str">
        <f t="shared" si="84"/>
        <v/>
      </c>
      <c r="L1256" t="str">
        <f t="shared" si="85"/>
        <v/>
      </c>
    </row>
    <row r="1257" spans="1:12" x14ac:dyDescent="0.25">
      <c r="A1257" t="s">
        <v>2070</v>
      </c>
      <c r="G1257" t="str">
        <f t="shared" si="86"/>
        <v>04/26/19</v>
      </c>
      <c r="H1257" t="str">
        <f t="shared" si="81"/>
        <v>Colorado Rockies</v>
      </c>
      <c r="I1257" s="60">
        <f t="shared" si="82"/>
        <v>8</v>
      </c>
      <c r="J1257" t="str">
        <f t="shared" si="83"/>
        <v>Atlanta Braves</v>
      </c>
      <c r="K1257" s="60">
        <f t="shared" si="84"/>
        <v>4</v>
      </c>
      <c r="L1257">
        <f t="shared" si="85"/>
        <v>4</v>
      </c>
    </row>
    <row r="1258" spans="1:12" x14ac:dyDescent="0.25">
      <c r="G1258" t="str">
        <f t="shared" si="86"/>
        <v>04/26/19</v>
      </c>
      <c r="H1258" t="str">
        <f t="shared" si="81"/>
        <v/>
      </c>
      <c r="I1258" s="60" t="str">
        <f t="shared" si="82"/>
        <v/>
      </c>
      <c r="J1258" t="str">
        <f t="shared" si="83"/>
        <v/>
      </c>
      <c r="K1258" s="60" t="str">
        <f t="shared" si="84"/>
        <v/>
      </c>
      <c r="L1258" t="str">
        <f t="shared" si="85"/>
        <v/>
      </c>
    </row>
    <row r="1259" spans="1:12" x14ac:dyDescent="0.25">
      <c r="A1259" t="s">
        <v>2071</v>
      </c>
      <c r="G1259" t="str">
        <f t="shared" si="86"/>
        <v>04/26/19</v>
      </c>
      <c r="H1259" t="str">
        <f t="shared" si="81"/>
        <v>Detroit Tigers</v>
      </c>
      <c r="I1259" s="60">
        <f t="shared" si="82"/>
        <v>11</v>
      </c>
      <c r="J1259" t="str">
        <f t="shared" si="83"/>
        <v>Chicago White Sox</v>
      </c>
      <c r="K1259" s="60">
        <f t="shared" si="84"/>
        <v>12</v>
      </c>
      <c r="L1259">
        <f t="shared" si="85"/>
        <v>-1</v>
      </c>
    </row>
    <row r="1260" spans="1:12" x14ac:dyDescent="0.25">
      <c r="G1260" t="str">
        <f t="shared" si="86"/>
        <v>04/26/19</v>
      </c>
      <c r="H1260" t="str">
        <f t="shared" si="81"/>
        <v/>
      </c>
      <c r="I1260" s="60" t="str">
        <f t="shared" si="82"/>
        <v/>
      </c>
      <c r="J1260" t="str">
        <f t="shared" si="83"/>
        <v/>
      </c>
      <c r="K1260" s="60" t="str">
        <f t="shared" si="84"/>
        <v/>
      </c>
      <c r="L1260" t="str">
        <f t="shared" si="85"/>
        <v/>
      </c>
    </row>
    <row r="1261" spans="1:12" x14ac:dyDescent="0.25">
      <c r="A1261" t="s">
        <v>2072</v>
      </c>
      <c r="G1261" t="str">
        <f t="shared" si="86"/>
        <v>04/26/19</v>
      </c>
      <c r="H1261" t="str">
        <f t="shared" si="81"/>
        <v>Cleveland Indians</v>
      </c>
      <c r="I1261" s="60">
        <f t="shared" si="82"/>
        <v>6</v>
      </c>
      <c r="J1261" t="str">
        <f t="shared" si="83"/>
        <v>Houston Astros</v>
      </c>
      <c r="K1261" s="60">
        <f t="shared" si="84"/>
        <v>3</v>
      </c>
      <c r="L1261">
        <f t="shared" si="85"/>
        <v>3</v>
      </c>
    </row>
    <row r="1262" spans="1:12" x14ac:dyDescent="0.25">
      <c r="G1262" t="str">
        <f t="shared" si="86"/>
        <v>04/26/19</v>
      </c>
      <c r="H1262" t="str">
        <f t="shared" si="81"/>
        <v/>
      </c>
      <c r="I1262" s="60" t="str">
        <f t="shared" si="82"/>
        <v/>
      </c>
      <c r="J1262" t="str">
        <f t="shared" si="83"/>
        <v/>
      </c>
      <c r="K1262" s="60" t="str">
        <f t="shared" si="84"/>
        <v/>
      </c>
      <c r="L1262" t="str">
        <f t="shared" si="85"/>
        <v/>
      </c>
    </row>
    <row r="1263" spans="1:12" x14ac:dyDescent="0.25">
      <c r="A1263" t="s">
        <v>2073</v>
      </c>
      <c r="G1263" t="str">
        <f t="shared" si="86"/>
        <v>04/26/19</v>
      </c>
      <c r="H1263" t="str">
        <f t="shared" si="81"/>
        <v>Los Angeles Angels</v>
      </c>
      <c r="I1263" s="60">
        <f t="shared" si="82"/>
        <v>5</v>
      </c>
      <c r="J1263" t="str">
        <f t="shared" si="83"/>
        <v>Kansas City Royals</v>
      </c>
      <c r="K1263" s="60">
        <f t="shared" si="84"/>
        <v>1</v>
      </c>
      <c r="L1263">
        <f t="shared" si="85"/>
        <v>4</v>
      </c>
    </row>
    <row r="1264" spans="1:12" x14ac:dyDescent="0.25">
      <c r="G1264" t="str">
        <f t="shared" si="86"/>
        <v>04/26/19</v>
      </c>
      <c r="H1264" t="str">
        <f t="shared" si="81"/>
        <v/>
      </c>
      <c r="I1264" s="60" t="str">
        <f t="shared" si="82"/>
        <v/>
      </c>
      <c r="J1264" t="str">
        <f t="shared" si="83"/>
        <v/>
      </c>
      <c r="K1264" s="60" t="str">
        <f t="shared" si="84"/>
        <v/>
      </c>
      <c r="L1264" t="str">
        <f t="shared" si="85"/>
        <v/>
      </c>
    </row>
    <row r="1265" spans="1:12" x14ac:dyDescent="0.25">
      <c r="A1265" t="s">
        <v>2074</v>
      </c>
      <c r="G1265" t="str">
        <f t="shared" si="86"/>
        <v>04/26/19</v>
      </c>
      <c r="H1265" t="str">
        <f t="shared" si="81"/>
        <v>Pittsburgh Pirates</v>
      </c>
      <c r="I1265" s="60">
        <f t="shared" si="82"/>
        <v>2</v>
      </c>
      <c r="J1265" t="str">
        <f t="shared" si="83"/>
        <v>Los Angeles Dodgers</v>
      </c>
      <c r="K1265" s="60">
        <f t="shared" si="84"/>
        <v>6</v>
      </c>
      <c r="L1265">
        <f t="shared" si="85"/>
        <v>-4</v>
      </c>
    </row>
    <row r="1266" spans="1:12" x14ac:dyDescent="0.25">
      <c r="G1266" t="str">
        <f t="shared" si="86"/>
        <v>04/26/19</v>
      </c>
      <c r="H1266" t="str">
        <f t="shared" si="81"/>
        <v/>
      </c>
      <c r="I1266" s="60" t="str">
        <f t="shared" si="82"/>
        <v/>
      </c>
      <c r="J1266" t="str">
        <f t="shared" si="83"/>
        <v/>
      </c>
      <c r="K1266" s="60" t="str">
        <f t="shared" si="84"/>
        <v/>
      </c>
      <c r="L1266" t="str">
        <f t="shared" si="85"/>
        <v/>
      </c>
    </row>
    <row r="1267" spans="1:12" x14ac:dyDescent="0.25">
      <c r="A1267" t="s">
        <v>2075</v>
      </c>
      <c r="G1267" t="str">
        <f t="shared" si="86"/>
        <v>04/26/19</v>
      </c>
      <c r="H1267" t="str">
        <f t="shared" si="81"/>
        <v>Baltimore Orioles</v>
      </c>
      <c r="I1267" s="60">
        <f t="shared" si="82"/>
        <v>1</v>
      </c>
      <c r="J1267" t="str">
        <f t="shared" si="83"/>
        <v>Minnesota Twins</v>
      </c>
      <c r="K1267" s="60">
        <f t="shared" si="84"/>
        <v>6</v>
      </c>
      <c r="L1267">
        <f t="shared" si="85"/>
        <v>-5</v>
      </c>
    </row>
    <row r="1268" spans="1:12" x14ac:dyDescent="0.25">
      <c r="G1268" t="str">
        <f t="shared" si="86"/>
        <v>04/26/19</v>
      </c>
      <c r="H1268" t="str">
        <f t="shared" si="81"/>
        <v/>
      </c>
      <c r="I1268" s="60" t="str">
        <f t="shared" si="82"/>
        <v/>
      </c>
      <c r="J1268" t="str">
        <f t="shared" si="83"/>
        <v/>
      </c>
      <c r="K1268" s="60" t="str">
        <f t="shared" si="84"/>
        <v/>
      </c>
      <c r="L1268" t="str">
        <f t="shared" si="85"/>
        <v/>
      </c>
    </row>
    <row r="1269" spans="1:12" x14ac:dyDescent="0.25">
      <c r="A1269" t="s">
        <v>2076</v>
      </c>
      <c r="G1269" t="str">
        <f t="shared" si="86"/>
        <v>04/26/19</v>
      </c>
      <c r="H1269" t="str">
        <f t="shared" si="81"/>
        <v>Milwaukee Brewers</v>
      </c>
      <c r="I1269" s="60">
        <f t="shared" si="82"/>
        <v>10</v>
      </c>
      <c r="J1269" t="str">
        <f t="shared" si="83"/>
        <v>New York Mets</v>
      </c>
      <c r="K1269" s="60">
        <f t="shared" si="84"/>
        <v>2</v>
      </c>
      <c r="L1269">
        <f t="shared" si="85"/>
        <v>8</v>
      </c>
    </row>
    <row r="1270" spans="1:12" x14ac:dyDescent="0.25">
      <c r="G1270" t="str">
        <f t="shared" si="86"/>
        <v>04/26/19</v>
      </c>
      <c r="H1270" t="str">
        <f t="shared" si="81"/>
        <v/>
      </c>
      <c r="I1270" s="60" t="str">
        <f t="shared" si="82"/>
        <v/>
      </c>
      <c r="J1270" t="str">
        <f t="shared" si="83"/>
        <v/>
      </c>
      <c r="K1270" s="60" t="str">
        <f t="shared" si="84"/>
        <v/>
      </c>
      <c r="L1270" t="str">
        <f t="shared" si="85"/>
        <v/>
      </c>
    </row>
    <row r="1271" spans="1:12" x14ac:dyDescent="0.25">
      <c r="A1271" t="s">
        <v>2077</v>
      </c>
      <c r="G1271" t="str">
        <f t="shared" si="86"/>
        <v>04/26/19</v>
      </c>
      <c r="H1271" t="str">
        <f t="shared" si="81"/>
        <v>Miami Marlins</v>
      </c>
      <c r="I1271" s="60">
        <f t="shared" si="82"/>
        <v>0</v>
      </c>
      <c r="J1271" t="str">
        <f t="shared" si="83"/>
        <v>Philadelphia Phillies</v>
      </c>
      <c r="K1271" s="60">
        <f t="shared" si="84"/>
        <v>4</v>
      </c>
      <c r="L1271">
        <f t="shared" si="85"/>
        <v>-4</v>
      </c>
    </row>
    <row r="1272" spans="1:12" x14ac:dyDescent="0.25">
      <c r="G1272" t="str">
        <f t="shared" si="86"/>
        <v>04/26/19</v>
      </c>
      <c r="H1272" t="str">
        <f t="shared" si="81"/>
        <v/>
      </c>
      <c r="I1272" s="60" t="str">
        <f t="shared" si="82"/>
        <v/>
      </c>
      <c r="J1272" t="str">
        <f t="shared" si="83"/>
        <v/>
      </c>
      <c r="K1272" s="60" t="str">
        <f t="shared" si="84"/>
        <v/>
      </c>
      <c r="L1272" t="str">
        <f t="shared" si="85"/>
        <v/>
      </c>
    </row>
    <row r="1273" spans="1:12" x14ac:dyDescent="0.25">
      <c r="A1273" t="s">
        <v>2078</v>
      </c>
      <c r="G1273" t="str">
        <f t="shared" si="86"/>
        <v>04/26/19</v>
      </c>
      <c r="H1273" t="str">
        <f t="shared" si="81"/>
        <v>Texas Rangers</v>
      </c>
      <c r="I1273" s="60">
        <f t="shared" si="82"/>
        <v>4</v>
      </c>
      <c r="J1273" t="str">
        <f t="shared" si="83"/>
        <v>Seattle Mariners</v>
      </c>
      <c r="K1273" s="60">
        <f t="shared" si="84"/>
        <v>5</v>
      </c>
      <c r="L1273">
        <f t="shared" si="85"/>
        <v>-1</v>
      </c>
    </row>
    <row r="1274" spans="1:12" x14ac:dyDescent="0.25">
      <c r="G1274" t="str">
        <f t="shared" si="86"/>
        <v>04/26/19</v>
      </c>
      <c r="H1274" t="str">
        <f t="shared" si="81"/>
        <v/>
      </c>
      <c r="I1274" s="60" t="str">
        <f t="shared" si="82"/>
        <v/>
      </c>
      <c r="J1274" t="str">
        <f t="shared" si="83"/>
        <v/>
      </c>
      <c r="K1274" s="60" t="str">
        <f t="shared" si="84"/>
        <v/>
      </c>
      <c r="L1274" t="str">
        <f t="shared" si="85"/>
        <v/>
      </c>
    </row>
    <row r="1275" spans="1:12" x14ac:dyDescent="0.25">
      <c r="A1275" t="s">
        <v>2079</v>
      </c>
      <c r="G1275" t="str">
        <f t="shared" si="86"/>
        <v>04/26/19</v>
      </c>
      <c r="H1275" t="str">
        <f t="shared" si="81"/>
        <v>New York Yankees</v>
      </c>
      <c r="I1275" s="60">
        <f t="shared" si="82"/>
        <v>7</v>
      </c>
      <c r="J1275" t="str">
        <f t="shared" si="83"/>
        <v>San Francisco Giants</v>
      </c>
      <c r="K1275" s="60">
        <f t="shared" si="84"/>
        <v>3</v>
      </c>
      <c r="L1275">
        <f t="shared" si="85"/>
        <v>4</v>
      </c>
    </row>
    <row r="1276" spans="1:12" x14ac:dyDescent="0.25">
      <c r="G1276" t="str">
        <f t="shared" si="86"/>
        <v>04/26/19</v>
      </c>
      <c r="H1276" t="str">
        <f t="shared" si="81"/>
        <v/>
      </c>
      <c r="I1276" s="60" t="str">
        <f t="shared" si="82"/>
        <v/>
      </c>
      <c r="J1276" t="str">
        <f t="shared" si="83"/>
        <v/>
      </c>
      <c r="K1276" s="60" t="str">
        <f t="shared" si="84"/>
        <v/>
      </c>
      <c r="L1276" t="str">
        <f t="shared" si="85"/>
        <v/>
      </c>
    </row>
    <row r="1277" spans="1:12" x14ac:dyDescent="0.25">
      <c r="A1277" t="s">
        <v>2080</v>
      </c>
      <c r="G1277" t="str">
        <f t="shared" si="86"/>
        <v>04/26/19</v>
      </c>
      <c r="H1277" t="str">
        <f t="shared" si="81"/>
        <v>Cincinnati Reds</v>
      </c>
      <c r="I1277" s="60">
        <f t="shared" si="82"/>
        <v>12</v>
      </c>
      <c r="J1277" t="str">
        <f t="shared" si="83"/>
        <v>St. Louis Cardinals</v>
      </c>
      <c r="K1277" s="60">
        <f t="shared" si="84"/>
        <v>1</v>
      </c>
      <c r="L1277">
        <f t="shared" si="85"/>
        <v>11</v>
      </c>
    </row>
    <row r="1278" spans="1:12" x14ac:dyDescent="0.25">
      <c r="G1278" t="str">
        <f t="shared" si="86"/>
        <v>04/26/19</v>
      </c>
      <c r="H1278" t="str">
        <f t="shared" si="81"/>
        <v/>
      </c>
      <c r="I1278" s="60" t="str">
        <f t="shared" si="82"/>
        <v/>
      </c>
      <c r="J1278" t="str">
        <f t="shared" si="83"/>
        <v/>
      </c>
      <c r="K1278" s="60" t="str">
        <f t="shared" si="84"/>
        <v/>
      </c>
      <c r="L1278" t="str">
        <f t="shared" si="85"/>
        <v/>
      </c>
    </row>
    <row r="1279" spans="1:12" x14ac:dyDescent="0.25">
      <c r="A1279" t="s">
        <v>2081</v>
      </c>
      <c r="G1279" t="str">
        <f t="shared" si="86"/>
        <v>04/26/19</v>
      </c>
      <c r="H1279" t="str">
        <f t="shared" si="81"/>
        <v>Oakland Athletics</v>
      </c>
      <c r="I1279" s="60">
        <f t="shared" si="82"/>
        <v>2</v>
      </c>
      <c r="J1279" t="str">
        <f t="shared" si="83"/>
        <v>Toronto Blue Jays</v>
      </c>
      <c r="K1279" s="60">
        <f t="shared" si="84"/>
        <v>4</v>
      </c>
      <c r="L1279">
        <f t="shared" si="85"/>
        <v>-2</v>
      </c>
    </row>
    <row r="1280" spans="1:12" x14ac:dyDescent="0.25">
      <c r="G1280" t="str">
        <f t="shared" si="86"/>
        <v>04/26/19</v>
      </c>
      <c r="H1280" t="str">
        <f t="shared" si="81"/>
        <v/>
      </c>
      <c r="I1280" s="60" t="str">
        <f t="shared" si="82"/>
        <v/>
      </c>
      <c r="J1280" t="str">
        <f t="shared" si="83"/>
        <v/>
      </c>
      <c r="K1280" s="60" t="str">
        <f t="shared" si="84"/>
        <v/>
      </c>
      <c r="L1280" t="str">
        <f t="shared" si="85"/>
        <v/>
      </c>
    </row>
    <row r="1281" spans="1:12" x14ac:dyDescent="0.25">
      <c r="A1281" t="s">
        <v>2082</v>
      </c>
      <c r="G1281" t="str">
        <f t="shared" si="86"/>
        <v>04/26/19</v>
      </c>
      <c r="H1281" t="str">
        <f t="shared" si="81"/>
        <v>San Diego Padres</v>
      </c>
      <c r="I1281" s="60">
        <f t="shared" si="82"/>
        <v>4</v>
      </c>
      <c r="J1281" t="str">
        <f t="shared" si="83"/>
        <v>Washington Nationals</v>
      </c>
      <c r="K1281" s="60">
        <f t="shared" si="84"/>
        <v>3</v>
      </c>
      <c r="L1281">
        <f t="shared" si="85"/>
        <v>1</v>
      </c>
    </row>
    <row r="1282" spans="1:12" x14ac:dyDescent="0.25">
      <c r="G1282" t="str">
        <f t="shared" si="86"/>
        <v>04/26/19</v>
      </c>
      <c r="H1282" t="str">
        <f t="shared" si="81"/>
        <v/>
      </c>
      <c r="I1282" s="60" t="str">
        <f t="shared" si="82"/>
        <v/>
      </c>
      <c r="J1282" t="str">
        <f t="shared" si="83"/>
        <v/>
      </c>
      <c r="K1282" s="60" t="str">
        <f t="shared" si="84"/>
        <v/>
      </c>
      <c r="L1282" t="str">
        <f t="shared" si="85"/>
        <v/>
      </c>
    </row>
    <row r="1283" spans="1:12" x14ac:dyDescent="0.25">
      <c r="A1283" t="s">
        <v>2083</v>
      </c>
      <c r="G1283" t="str">
        <f t="shared" si="86"/>
        <v>04/26/19</v>
      </c>
      <c r="H1283" t="str">
        <f t="shared" si="81"/>
        <v/>
      </c>
      <c r="I1283" s="60" t="str">
        <f t="shared" si="82"/>
        <v/>
      </c>
      <c r="J1283" t="str">
        <f t="shared" si="83"/>
        <v/>
      </c>
      <c r="K1283" s="60" t="str">
        <f t="shared" si="84"/>
        <v/>
      </c>
      <c r="L1283" t="str">
        <f t="shared" si="85"/>
        <v/>
      </c>
    </row>
    <row r="1284" spans="1:12" x14ac:dyDescent="0.25">
      <c r="G1284" t="str">
        <f t="shared" si="86"/>
        <v>04/26/19</v>
      </c>
      <c r="H1284" t="str">
        <f t="shared" si="81"/>
        <v/>
      </c>
      <c r="I1284" s="60" t="str">
        <f t="shared" si="82"/>
        <v/>
      </c>
      <c r="J1284" t="str">
        <f t="shared" si="83"/>
        <v/>
      </c>
      <c r="K1284" s="60" t="str">
        <f t="shared" si="84"/>
        <v/>
      </c>
      <c r="L1284" t="str">
        <f t="shared" si="85"/>
        <v/>
      </c>
    </row>
    <row r="1285" spans="1:12" x14ac:dyDescent="0.25">
      <c r="A1285" t="s">
        <v>2084</v>
      </c>
      <c r="G1285" t="str">
        <f t="shared" si="86"/>
        <v>04/27/19</v>
      </c>
      <c r="H1285" t="str">
        <f t="shared" si="81"/>
        <v/>
      </c>
      <c r="I1285" s="60" t="str">
        <f t="shared" si="82"/>
        <v/>
      </c>
      <c r="J1285" t="str">
        <f t="shared" si="83"/>
        <v/>
      </c>
      <c r="K1285" s="60" t="str">
        <f t="shared" si="84"/>
        <v/>
      </c>
      <c r="L1285" t="str">
        <f t="shared" si="85"/>
        <v/>
      </c>
    </row>
    <row r="1286" spans="1:12" x14ac:dyDescent="0.25">
      <c r="G1286" t="str">
        <f t="shared" si="86"/>
        <v>04/27/19</v>
      </c>
      <c r="H1286" t="str">
        <f t="shared" si="81"/>
        <v/>
      </c>
      <c r="I1286" s="60" t="str">
        <f t="shared" si="82"/>
        <v/>
      </c>
      <c r="J1286" t="str">
        <f t="shared" si="83"/>
        <v/>
      </c>
      <c r="K1286" s="60" t="str">
        <f t="shared" si="84"/>
        <v/>
      </c>
      <c r="L1286" t="str">
        <f t="shared" si="85"/>
        <v/>
      </c>
    </row>
    <row r="1287" spans="1:12" x14ac:dyDescent="0.25">
      <c r="A1287" t="s">
        <v>2085</v>
      </c>
      <c r="G1287" t="str">
        <f t="shared" si="86"/>
        <v>04/27/19</v>
      </c>
      <c r="H1287" t="str">
        <f t="shared" si="81"/>
        <v>Chicago Cubs</v>
      </c>
      <c r="I1287" s="60">
        <f t="shared" si="82"/>
        <v>9</v>
      </c>
      <c r="J1287" t="str">
        <f t="shared" si="83"/>
        <v>Arizona D'Backs</v>
      </c>
      <c r="K1287" s="60">
        <f t="shared" si="84"/>
        <v>1</v>
      </c>
      <c r="L1287">
        <f t="shared" si="85"/>
        <v>8</v>
      </c>
    </row>
    <row r="1288" spans="1:12" x14ac:dyDescent="0.25">
      <c r="G1288" t="str">
        <f t="shared" si="86"/>
        <v>04/27/19</v>
      </c>
      <c r="H1288" t="str">
        <f t="shared" si="81"/>
        <v/>
      </c>
      <c r="I1288" s="60" t="str">
        <f t="shared" si="82"/>
        <v/>
      </c>
      <c r="J1288" t="str">
        <f t="shared" si="83"/>
        <v/>
      </c>
      <c r="K1288" s="60" t="str">
        <f t="shared" si="84"/>
        <v/>
      </c>
      <c r="L1288" t="str">
        <f t="shared" si="85"/>
        <v/>
      </c>
    </row>
    <row r="1289" spans="1:12" x14ac:dyDescent="0.25">
      <c r="A1289" t="s">
        <v>2086</v>
      </c>
      <c r="G1289" t="str">
        <f t="shared" si="86"/>
        <v>04/27/19</v>
      </c>
      <c r="H1289" t="str">
        <f t="shared" si="81"/>
        <v>Colorado Rockies</v>
      </c>
      <c r="I1289" s="60">
        <f t="shared" si="82"/>
        <v>9</v>
      </c>
      <c r="J1289" t="str">
        <f t="shared" si="83"/>
        <v>Atlanta Braves</v>
      </c>
      <c r="K1289" s="60">
        <f t="shared" si="84"/>
        <v>5</v>
      </c>
      <c r="L1289">
        <f t="shared" si="85"/>
        <v>4</v>
      </c>
    </row>
    <row r="1290" spans="1:12" x14ac:dyDescent="0.25">
      <c r="G1290" t="str">
        <f t="shared" si="86"/>
        <v>04/27/19</v>
      </c>
      <c r="H1290" t="str">
        <f t="shared" si="81"/>
        <v/>
      </c>
      <c r="I1290" s="60" t="str">
        <f t="shared" si="82"/>
        <v/>
      </c>
      <c r="J1290" t="str">
        <f t="shared" si="83"/>
        <v/>
      </c>
      <c r="K1290" s="60" t="str">
        <f t="shared" si="84"/>
        <v/>
      </c>
      <c r="L1290" t="str">
        <f t="shared" si="85"/>
        <v/>
      </c>
    </row>
    <row r="1291" spans="1:12" x14ac:dyDescent="0.25">
      <c r="A1291" t="s">
        <v>2087</v>
      </c>
      <c r="G1291" t="str">
        <f t="shared" si="86"/>
        <v>04/27/19</v>
      </c>
      <c r="H1291" t="str">
        <f t="shared" si="81"/>
        <v>Tampa Bay Rays</v>
      </c>
      <c r="I1291" s="60">
        <f t="shared" si="82"/>
        <v>2</v>
      </c>
      <c r="J1291" t="str">
        <f t="shared" si="83"/>
        <v>Boston Red Sox</v>
      </c>
      <c r="K1291" s="60">
        <f t="shared" si="84"/>
        <v>1</v>
      </c>
      <c r="L1291">
        <f t="shared" si="85"/>
        <v>1</v>
      </c>
    </row>
    <row r="1292" spans="1:12" x14ac:dyDescent="0.25">
      <c r="G1292" t="str">
        <f t="shared" si="86"/>
        <v>04/27/19</v>
      </c>
      <c r="H1292" t="str">
        <f t="shared" si="81"/>
        <v/>
      </c>
      <c r="I1292" s="60" t="str">
        <f t="shared" si="82"/>
        <v/>
      </c>
      <c r="J1292" t="str">
        <f t="shared" si="83"/>
        <v/>
      </c>
      <c r="K1292" s="60" t="str">
        <f t="shared" si="84"/>
        <v/>
      </c>
      <c r="L1292" t="str">
        <f t="shared" si="85"/>
        <v/>
      </c>
    </row>
    <row r="1293" spans="1:12" x14ac:dyDescent="0.25">
      <c r="A1293" t="s">
        <v>2088</v>
      </c>
      <c r="G1293" t="str">
        <f t="shared" si="86"/>
        <v>04/27/19</v>
      </c>
      <c r="H1293" t="str">
        <f t="shared" si="81"/>
        <v>Cleveland Indians</v>
      </c>
      <c r="I1293" s="60">
        <f t="shared" si="82"/>
        <v>3</v>
      </c>
      <c r="J1293" t="str">
        <f t="shared" si="83"/>
        <v>Houston Astros</v>
      </c>
      <c r="K1293" s="60">
        <f t="shared" si="84"/>
        <v>4</v>
      </c>
      <c r="L1293">
        <f t="shared" si="85"/>
        <v>-1</v>
      </c>
    </row>
    <row r="1294" spans="1:12" x14ac:dyDescent="0.25">
      <c r="G1294" t="str">
        <f t="shared" si="86"/>
        <v>04/27/19</v>
      </c>
      <c r="H1294" t="str">
        <f t="shared" si="81"/>
        <v/>
      </c>
      <c r="I1294" s="60" t="str">
        <f t="shared" si="82"/>
        <v/>
      </c>
      <c r="J1294" t="str">
        <f t="shared" si="83"/>
        <v/>
      </c>
      <c r="K1294" s="60" t="str">
        <f t="shared" si="84"/>
        <v/>
      </c>
      <c r="L1294" t="str">
        <f t="shared" si="85"/>
        <v/>
      </c>
    </row>
    <row r="1295" spans="1:12" x14ac:dyDescent="0.25">
      <c r="A1295" t="s">
        <v>2089</v>
      </c>
      <c r="G1295" t="str">
        <f t="shared" si="86"/>
        <v>04/27/19</v>
      </c>
      <c r="H1295" t="str">
        <f t="shared" si="81"/>
        <v>Los Angeles Angels</v>
      </c>
      <c r="I1295" s="60">
        <f t="shared" si="82"/>
        <v>4</v>
      </c>
      <c r="J1295" t="str">
        <f t="shared" si="83"/>
        <v>Kansas City Royals</v>
      </c>
      <c r="K1295" s="60">
        <f t="shared" si="84"/>
        <v>9</v>
      </c>
      <c r="L1295">
        <f t="shared" si="85"/>
        <v>-5</v>
      </c>
    </row>
    <row r="1296" spans="1:12" x14ac:dyDescent="0.25">
      <c r="G1296" t="str">
        <f t="shared" si="86"/>
        <v>04/27/19</v>
      </c>
      <c r="H1296" t="str">
        <f t="shared" ref="H1296:H1359" si="87">IFERROR(LEFT(MID(A1296,1,SEARCH("@",A1296)-2),SEARCH("(",A1296)-2),"")</f>
        <v/>
      </c>
      <c r="I1296" s="60" t="str">
        <f t="shared" ref="I1296:I1359" si="88">IFERROR(VALUE(MID(A1296,SEARCH("(",A1296)+1,SEARCH(")",A1296)-SEARCH("(",A1296)-1)),"")</f>
        <v/>
      </c>
      <c r="J1296" t="str">
        <f t="shared" ref="J1296:J1359" si="89">IFERROR(MID(A1296,SEARCH("@",A1296)+2,SEARCH("(",A1296,SEARCH("@",A1296))-SEARCH("@",A1296)-3),"")</f>
        <v/>
      </c>
      <c r="K1296" s="60" t="str">
        <f t="shared" ref="K1296:K1359" si="90">IFERROR(VALUE(MID(A1296,SEARCH(J1296,A1296)+LEN(J1296)+2,(SEARCH(")",A1296,SEARCH("@",A1296))-SEARCH("(",A1296,SEARCH("@",A1296))-1))),"")</f>
        <v/>
      </c>
      <c r="L1296" t="str">
        <f t="shared" ref="L1296:L1359" si="91">IFERROR(I1296-K1296,"")</f>
        <v/>
      </c>
    </row>
    <row r="1297" spans="1:12" x14ac:dyDescent="0.25">
      <c r="A1297" t="s">
        <v>2090</v>
      </c>
      <c r="G1297" t="str">
        <f t="shared" si="86"/>
        <v>04/27/19</v>
      </c>
      <c r="H1297" t="str">
        <f t="shared" si="87"/>
        <v>Pittsburgh Pirates</v>
      </c>
      <c r="I1297" s="60">
        <f t="shared" si="88"/>
        <v>1</v>
      </c>
      <c r="J1297" t="str">
        <f t="shared" si="89"/>
        <v>Los Angeles Dodgers</v>
      </c>
      <c r="K1297" s="60">
        <f t="shared" si="90"/>
        <v>3</v>
      </c>
      <c r="L1297">
        <f t="shared" si="91"/>
        <v>-2</v>
      </c>
    </row>
    <row r="1298" spans="1:12" x14ac:dyDescent="0.25">
      <c r="G1298" t="str">
        <f t="shared" si="86"/>
        <v>04/27/19</v>
      </c>
      <c r="H1298" t="str">
        <f t="shared" si="87"/>
        <v/>
      </c>
      <c r="I1298" s="60" t="str">
        <f t="shared" si="88"/>
        <v/>
      </c>
      <c r="J1298" t="str">
        <f t="shared" si="89"/>
        <v/>
      </c>
      <c r="K1298" s="60" t="str">
        <f t="shared" si="90"/>
        <v/>
      </c>
      <c r="L1298" t="str">
        <f t="shared" si="91"/>
        <v/>
      </c>
    </row>
    <row r="1299" spans="1:12" x14ac:dyDescent="0.25">
      <c r="A1299" t="s">
        <v>2091</v>
      </c>
      <c r="G1299" t="str">
        <f t="shared" si="86"/>
        <v>04/27/19</v>
      </c>
      <c r="H1299" t="str">
        <f t="shared" si="87"/>
        <v>Baltimore Orioles</v>
      </c>
      <c r="I1299" s="60">
        <f t="shared" si="88"/>
        <v>2</v>
      </c>
      <c r="J1299" t="str">
        <f t="shared" si="89"/>
        <v>Minnesota Twins</v>
      </c>
      <c r="K1299" s="60">
        <f t="shared" si="90"/>
        <v>9</v>
      </c>
      <c r="L1299">
        <f t="shared" si="91"/>
        <v>-7</v>
      </c>
    </row>
    <row r="1300" spans="1:12" x14ac:dyDescent="0.25">
      <c r="G1300" t="str">
        <f t="shared" si="86"/>
        <v>04/27/19</v>
      </c>
      <c r="H1300" t="str">
        <f t="shared" si="87"/>
        <v/>
      </c>
      <c r="I1300" s="60" t="str">
        <f t="shared" si="88"/>
        <v/>
      </c>
      <c r="J1300" t="str">
        <f t="shared" si="89"/>
        <v/>
      </c>
      <c r="K1300" s="60" t="str">
        <f t="shared" si="90"/>
        <v/>
      </c>
      <c r="L1300" t="str">
        <f t="shared" si="91"/>
        <v/>
      </c>
    </row>
    <row r="1301" spans="1:12" x14ac:dyDescent="0.25">
      <c r="A1301" t="s">
        <v>2092</v>
      </c>
      <c r="G1301" t="str">
        <f t="shared" si="86"/>
        <v>04/27/19</v>
      </c>
      <c r="H1301" t="str">
        <f t="shared" si="87"/>
        <v>Milwaukee Brewers</v>
      </c>
      <c r="I1301" s="60">
        <f t="shared" si="88"/>
        <v>8</v>
      </c>
      <c r="J1301" t="str">
        <f t="shared" si="89"/>
        <v>New York Mets</v>
      </c>
      <c r="K1301" s="60">
        <f t="shared" si="90"/>
        <v>6</v>
      </c>
      <c r="L1301">
        <f t="shared" si="91"/>
        <v>2</v>
      </c>
    </row>
    <row r="1302" spans="1:12" x14ac:dyDescent="0.25">
      <c r="G1302" t="str">
        <f t="shared" si="86"/>
        <v>04/27/19</v>
      </c>
      <c r="H1302" t="str">
        <f t="shared" si="87"/>
        <v/>
      </c>
      <c r="I1302" s="60" t="str">
        <f t="shared" si="88"/>
        <v/>
      </c>
      <c r="J1302" t="str">
        <f t="shared" si="89"/>
        <v/>
      </c>
      <c r="K1302" s="60" t="str">
        <f t="shared" si="90"/>
        <v/>
      </c>
      <c r="L1302" t="str">
        <f t="shared" si="91"/>
        <v/>
      </c>
    </row>
    <row r="1303" spans="1:12" x14ac:dyDescent="0.25">
      <c r="A1303" t="s">
        <v>2093</v>
      </c>
      <c r="G1303" t="str">
        <f t="shared" si="86"/>
        <v>04/27/19</v>
      </c>
      <c r="H1303" t="str">
        <f t="shared" si="87"/>
        <v>Miami Marlins</v>
      </c>
      <c r="I1303" s="60">
        <f t="shared" si="88"/>
        <v>9</v>
      </c>
      <c r="J1303" t="str">
        <f t="shared" si="89"/>
        <v>Philadelphia Phillies</v>
      </c>
      <c r="K1303" s="60">
        <f t="shared" si="90"/>
        <v>12</v>
      </c>
      <c r="L1303">
        <f t="shared" si="91"/>
        <v>-3</v>
      </c>
    </row>
    <row r="1304" spans="1:12" x14ac:dyDescent="0.25">
      <c r="G1304" t="str">
        <f t="shared" si="86"/>
        <v>04/27/19</v>
      </c>
      <c r="H1304" t="str">
        <f t="shared" si="87"/>
        <v/>
      </c>
      <c r="I1304" s="60" t="str">
        <f t="shared" si="88"/>
        <v/>
      </c>
      <c r="J1304" t="str">
        <f t="shared" si="89"/>
        <v/>
      </c>
      <c r="K1304" s="60" t="str">
        <f t="shared" si="90"/>
        <v/>
      </c>
      <c r="L1304" t="str">
        <f t="shared" si="91"/>
        <v/>
      </c>
    </row>
    <row r="1305" spans="1:12" x14ac:dyDescent="0.25">
      <c r="A1305" t="s">
        <v>2094</v>
      </c>
      <c r="G1305" t="str">
        <f t="shared" si="86"/>
        <v>04/27/19</v>
      </c>
      <c r="H1305" t="str">
        <f t="shared" si="87"/>
        <v>Texas Rangers</v>
      </c>
      <c r="I1305" s="60">
        <f t="shared" si="88"/>
        <v>15</v>
      </c>
      <c r="J1305" t="str">
        <f t="shared" si="89"/>
        <v>Seattle Mariners</v>
      </c>
      <c r="K1305" s="60">
        <f t="shared" si="90"/>
        <v>1</v>
      </c>
      <c r="L1305">
        <f t="shared" si="91"/>
        <v>14</v>
      </c>
    </row>
    <row r="1306" spans="1:12" x14ac:dyDescent="0.25">
      <c r="G1306" t="str">
        <f t="shared" si="86"/>
        <v>04/27/19</v>
      </c>
      <c r="H1306" t="str">
        <f t="shared" si="87"/>
        <v/>
      </c>
      <c r="I1306" s="60" t="str">
        <f t="shared" si="88"/>
        <v/>
      </c>
      <c r="J1306" t="str">
        <f t="shared" si="89"/>
        <v/>
      </c>
      <c r="K1306" s="60" t="str">
        <f t="shared" si="90"/>
        <v/>
      </c>
      <c r="L1306" t="str">
        <f t="shared" si="91"/>
        <v/>
      </c>
    </row>
    <row r="1307" spans="1:12" x14ac:dyDescent="0.25">
      <c r="A1307" t="s">
        <v>2095</v>
      </c>
      <c r="G1307" t="str">
        <f t="shared" si="86"/>
        <v>04/27/19</v>
      </c>
      <c r="H1307" t="str">
        <f t="shared" si="87"/>
        <v>New York Yankees</v>
      </c>
      <c r="I1307" s="60">
        <f t="shared" si="88"/>
        <v>6</v>
      </c>
      <c r="J1307" t="str">
        <f t="shared" si="89"/>
        <v>San Francisco Giants</v>
      </c>
      <c r="K1307" s="60">
        <f t="shared" si="90"/>
        <v>4</v>
      </c>
      <c r="L1307">
        <f t="shared" si="91"/>
        <v>2</v>
      </c>
    </row>
    <row r="1308" spans="1:12" x14ac:dyDescent="0.25">
      <c r="G1308" t="str">
        <f t="shared" si="86"/>
        <v>04/27/19</v>
      </c>
      <c r="H1308" t="str">
        <f t="shared" si="87"/>
        <v/>
      </c>
      <c r="I1308" s="60" t="str">
        <f t="shared" si="88"/>
        <v/>
      </c>
      <c r="J1308" t="str">
        <f t="shared" si="89"/>
        <v/>
      </c>
      <c r="K1308" s="60" t="str">
        <f t="shared" si="90"/>
        <v/>
      </c>
      <c r="L1308" t="str">
        <f t="shared" si="91"/>
        <v/>
      </c>
    </row>
    <row r="1309" spans="1:12" x14ac:dyDescent="0.25">
      <c r="A1309" t="s">
        <v>2096</v>
      </c>
      <c r="G1309" t="str">
        <f t="shared" si="86"/>
        <v>04/27/19</v>
      </c>
      <c r="H1309" t="str">
        <f t="shared" si="87"/>
        <v>Cincinnati Reds</v>
      </c>
      <c r="I1309" s="60">
        <f t="shared" si="88"/>
        <v>3</v>
      </c>
      <c r="J1309" t="str">
        <f t="shared" si="89"/>
        <v>St. Louis Cardinals</v>
      </c>
      <c r="K1309" s="60">
        <f t="shared" si="90"/>
        <v>6</v>
      </c>
      <c r="L1309">
        <f t="shared" si="91"/>
        <v>-3</v>
      </c>
    </row>
    <row r="1310" spans="1:12" x14ac:dyDescent="0.25">
      <c r="G1310" t="str">
        <f t="shared" si="86"/>
        <v>04/27/19</v>
      </c>
      <c r="H1310" t="str">
        <f t="shared" si="87"/>
        <v/>
      </c>
      <c r="I1310" s="60" t="str">
        <f t="shared" si="88"/>
        <v/>
      </c>
      <c r="J1310" t="str">
        <f t="shared" si="89"/>
        <v/>
      </c>
      <c r="K1310" s="60" t="str">
        <f t="shared" si="90"/>
        <v/>
      </c>
      <c r="L1310" t="str">
        <f t="shared" si="91"/>
        <v/>
      </c>
    </row>
    <row r="1311" spans="1:12" x14ac:dyDescent="0.25">
      <c r="A1311" t="s">
        <v>2097</v>
      </c>
      <c r="G1311" t="str">
        <f t="shared" si="86"/>
        <v>04/27/19</v>
      </c>
      <c r="H1311" t="str">
        <f t="shared" si="87"/>
        <v>Oakland Athletics</v>
      </c>
      <c r="I1311" s="60">
        <f t="shared" si="88"/>
        <v>1</v>
      </c>
      <c r="J1311" t="str">
        <f t="shared" si="89"/>
        <v>Toronto Blue Jays</v>
      </c>
      <c r="K1311" s="60">
        <f t="shared" si="90"/>
        <v>7</v>
      </c>
      <c r="L1311">
        <f t="shared" si="91"/>
        <v>-6</v>
      </c>
    </row>
    <row r="1312" spans="1:12" x14ac:dyDescent="0.25">
      <c r="G1312" t="str">
        <f t="shared" si="86"/>
        <v>04/27/19</v>
      </c>
      <c r="H1312" t="str">
        <f t="shared" si="87"/>
        <v/>
      </c>
      <c r="I1312" s="60" t="str">
        <f t="shared" si="88"/>
        <v/>
      </c>
      <c r="J1312" t="str">
        <f t="shared" si="89"/>
        <v/>
      </c>
      <c r="K1312" s="60" t="str">
        <f t="shared" si="90"/>
        <v/>
      </c>
      <c r="L1312" t="str">
        <f t="shared" si="91"/>
        <v/>
      </c>
    </row>
    <row r="1313" spans="1:12" x14ac:dyDescent="0.25">
      <c r="A1313" t="s">
        <v>2098</v>
      </c>
      <c r="G1313" t="str">
        <f t="shared" si="86"/>
        <v>04/27/19</v>
      </c>
      <c r="H1313" t="str">
        <f t="shared" si="87"/>
        <v>San Diego Padres</v>
      </c>
      <c r="I1313" s="60">
        <f t="shared" si="88"/>
        <v>8</v>
      </c>
      <c r="J1313" t="str">
        <f t="shared" si="89"/>
        <v>Washington Nationals</v>
      </c>
      <c r="K1313" s="60">
        <f t="shared" si="90"/>
        <v>3</v>
      </c>
      <c r="L1313">
        <f t="shared" si="91"/>
        <v>5</v>
      </c>
    </row>
    <row r="1314" spans="1:12" x14ac:dyDescent="0.25">
      <c r="G1314" t="str">
        <f t="shared" ref="G1314:G1377" si="92">IF(ISNUMBER(MATCH(IFERROR(LEFT(A1314,SEARCH(",",A1314)-1),""),$G$220:$M$220,0)),TEXT(MID(A1314,SEARCH(",",A1314)+2,LEN(A1314)),"mm/dd/yy"),G1313)</f>
        <v>04/27/19</v>
      </c>
      <c r="H1314" t="str">
        <f t="shared" si="87"/>
        <v/>
      </c>
      <c r="I1314" s="60" t="str">
        <f t="shared" si="88"/>
        <v/>
      </c>
      <c r="J1314" t="str">
        <f t="shared" si="89"/>
        <v/>
      </c>
      <c r="K1314" s="60" t="str">
        <f t="shared" si="90"/>
        <v/>
      </c>
      <c r="L1314" t="str">
        <f t="shared" si="91"/>
        <v/>
      </c>
    </row>
    <row r="1315" spans="1:12" x14ac:dyDescent="0.25">
      <c r="A1315" t="s">
        <v>2099</v>
      </c>
      <c r="G1315" t="str">
        <f t="shared" si="92"/>
        <v>04/27/19</v>
      </c>
      <c r="H1315" t="str">
        <f t="shared" si="87"/>
        <v/>
      </c>
      <c r="I1315" s="60" t="str">
        <f t="shared" si="88"/>
        <v/>
      </c>
      <c r="J1315" t="str">
        <f t="shared" si="89"/>
        <v/>
      </c>
      <c r="K1315" s="60" t="str">
        <f t="shared" si="90"/>
        <v/>
      </c>
      <c r="L1315" t="str">
        <f t="shared" si="91"/>
        <v/>
      </c>
    </row>
    <row r="1316" spans="1:12" x14ac:dyDescent="0.25">
      <c r="G1316" t="str">
        <f t="shared" si="92"/>
        <v>04/27/19</v>
      </c>
      <c r="H1316" t="str">
        <f t="shared" si="87"/>
        <v/>
      </c>
      <c r="I1316" s="60" t="str">
        <f t="shared" si="88"/>
        <v/>
      </c>
      <c r="J1316" t="str">
        <f t="shared" si="89"/>
        <v/>
      </c>
      <c r="K1316" s="60" t="str">
        <f t="shared" si="90"/>
        <v/>
      </c>
      <c r="L1316" t="str">
        <f t="shared" si="91"/>
        <v/>
      </c>
    </row>
    <row r="1317" spans="1:12" x14ac:dyDescent="0.25">
      <c r="A1317" t="s">
        <v>2100</v>
      </c>
      <c r="G1317" t="str">
        <f t="shared" si="92"/>
        <v>04/28/19</v>
      </c>
      <c r="H1317" t="str">
        <f t="shared" si="87"/>
        <v/>
      </c>
      <c r="I1317" s="60" t="str">
        <f t="shared" si="88"/>
        <v/>
      </c>
      <c r="J1317" t="str">
        <f t="shared" si="89"/>
        <v/>
      </c>
      <c r="K1317" s="60" t="str">
        <f t="shared" si="90"/>
        <v/>
      </c>
      <c r="L1317" t="str">
        <f t="shared" si="91"/>
        <v/>
      </c>
    </row>
    <row r="1318" spans="1:12" x14ac:dyDescent="0.25">
      <c r="G1318" t="str">
        <f t="shared" si="92"/>
        <v>04/28/19</v>
      </c>
      <c r="H1318" t="str">
        <f t="shared" si="87"/>
        <v/>
      </c>
      <c r="I1318" s="60" t="str">
        <f t="shared" si="88"/>
        <v/>
      </c>
      <c r="J1318" t="str">
        <f t="shared" si="89"/>
        <v/>
      </c>
      <c r="K1318" s="60" t="str">
        <f t="shared" si="90"/>
        <v/>
      </c>
      <c r="L1318" t="str">
        <f t="shared" si="91"/>
        <v/>
      </c>
    </row>
    <row r="1319" spans="1:12" x14ac:dyDescent="0.25">
      <c r="A1319" t="s">
        <v>2101</v>
      </c>
      <c r="G1319" t="str">
        <f t="shared" si="92"/>
        <v>04/28/19</v>
      </c>
      <c r="H1319" t="str">
        <f t="shared" si="87"/>
        <v>Chicago Cubs</v>
      </c>
      <c r="I1319" s="60">
        <f t="shared" si="88"/>
        <v>6</v>
      </c>
      <c r="J1319" t="str">
        <f t="shared" si="89"/>
        <v>Arizona D'Backs</v>
      </c>
      <c r="K1319" s="60">
        <f t="shared" si="90"/>
        <v>5</v>
      </c>
      <c r="L1319">
        <f t="shared" si="91"/>
        <v>1</v>
      </c>
    </row>
    <row r="1320" spans="1:12" x14ac:dyDescent="0.25">
      <c r="G1320" t="str">
        <f t="shared" si="92"/>
        <v>04/28/19</v>
      </c>
      <c r="H1320" t="str">
        <f t="shared" si="87"/>
        <v/>
      </c>
      <c r="I1320" s="60" t="str">
        <f t="shared" si="88"/>
        <v/>
      </c>
      <c r="J1320" t="str">
        <f t="shared" si="89"/>
        <v/>
      </c>
      <c r="K1320" s="60" t="str">
        <f t="shared" si="90"/>
        <v/>
      </c>
      <c r="L1320" t="str">
        <f t="shared" si="91"/>
        <v/>
      </c>
    </row>
    <row r="1321" spans="1:12" x14ac:dyDescent="0.25">
      <c r="A1321" t="s">
        <v>2102</v>
      </c>
      <c r="G1321" t="str">
        <f t="shared" si="92"/>
        <v>04/28/19</v>
      </c>
      <c r="H1321" t="str">
        <f t="shared" si="87"/>
        <v>Colorado Rockies</v>
      </c>
      <c r="I1321" s="60">
        <f t="shared" si="88"/>
        <v>7</v>
      </c>
      <c r="J1321" t="str">
        <f t="shared" si="89"/>
        <v>Atlanta Braves</v>
      </c>
      <c r="K1321" s="60">
        <f t="shared" si="90"/>
        <v>8</v>
      </c>
      <c r="L1321">
        <f t="shared" si="91"/>
        <v>-1</v>
      </c>
    </row>
    <row r="1322" spans="1:12" x14ac:dyDescent="0.25">
      <c r="G1322" t="str">
        <f t="shared" si="92"/>
        <v>04/28/19</v>
      </c>
      <c r="H1322" t="str">
        <f t="shared" si="87"/>
        <v/>
      </c>
      <c r="I1322" s="60" t="str">
        <f t="shared" si="88"/>
        <v/>
      </c>
      <c r="J1322" t="str">
        <f t="shared" si="89"/>
        <v/>
      </c>
      <c r="K1322" s="60" t="str">
        <f t="shared" si="90"/>
        <v/>
      </c>
      <c r="L1322" t="str">
        <f t="shared" si="91"/>
        <v/>
      </c>
    </row>
    <row r="1323" spans="1:12" x14ac:dyDescent="0.25">
      <c r="A1323" t="s">
        <v>2103</v>
      </c>
      <c r="G1323" t="str">
        <f t="shared" si="92"/>
        <v>04/28/19</v>
      </c>
      <c r="H1323" t="str">
        <f t="shared" si="87"/>
        <v>Tampa Bay Rays</v>
      </c>
      <c r="I1323" s="60">
        <f t="shared" si="88"/>
        <v>5</v>
      </c>
      <c r="J1323" t="str">
        <f t="shared" si="89"/>
        <v>Boston Red Sox</v>
      </c>
      <c r="K1323" s="60">
        <f t="shared" si="90"/>
        <v>2</v>
      </c>
      <c r="L1323">
        <f t="shared" si="91"/>
        <v>3</v>
      </c>
    </row>
    <row r="1324" spans="1:12" x14ac:dyDescent="0.25">
      <c r="G1324" t="str">
        <f t="shared" si="92"/>
        <v>04/28/19</v>
      </c>
      <c r="H1324" t="str">
        <f t="shared" si="87"/>
        <v/>
      </c>
      <c r="I1324" s="60" t="str">
        <f t="shared" si="88"/>
        <v/>
      </c>
      <c r="J1324" t="str">
        <f t="shared" si="89"/>
        <v/>
      </c>
      <c r="K1324" s="60" t="str">
        <f t="shared" si="90"/>
        <v/>
      </c>
      <c r="L1324" t="str">
        <f t="shared" si="91"/>
        <v/>
      </c>
    </row>
    <row r="1325" spans="1:12" x14ac:dyDescent="0.25">
      <c r="A1325" t="s">
        <v>2104</v>
      </c>
      <c r="G1325" t="str">
        <f t="shared" si="92"/>
        <v>04/28/19</v>
      </c>
      <c r="H1325" t="str">
        <f t="shared" si="87"/>
        <v>Detroit Tigers</v>
      </c>
      <c r="I1325" s="60">
        <f t="shared" si="88"/>
        <v>1</v>
      </c>
      <c r="J1325" t="str">
        <f t="shared" si="89"/>
        <v>Chicago White Sox</v>
      </c>
      <c r="K1325" s="60">
        <f t="shared" si="90"/>
        <v>4</v>
      </c>
      <c r="L1325">
        <f t="shared" si="91"/>
        <v>-3</v>
      </c>
    </row>
    <row r="1326" spans="1:12" x14ac:dyDescent="0.25">
      <c r="G1326" t="str">
        <f t="shared" si="92"/>
        <v>04/28/19</v>
      </c>
      <c r="H1326" t="str">
        <f t="shared" si="87"/>
        <v/>
      </c>
      <c r="I1326" s="60" t="str">
        <f t="shared" si="88"/>
        <v/>
      </c>
      <c r="J1326" t="str">
        <f t="shared" si="89"/>
        <v/>
      </c>
      <c r="K1326" s="60" t="str">
        <f t="shared" si="90"/>
        <v/>
      </c>
      <c r="L1326" t="str">
        <f t="shared" si="91"/>
        <v/>
      </c>
    </row>
    <row r="1327" spans="1:12" x14ac:dyDescent="0.25">
      <c r="A1327" t="s">
        <v>2105</v>
      </c>
      <c r="G1327" t="str">
        <f t="shared" si="92"/>
        <v>04/28/19</v>
      </c>
      <c r="H1327" t="str">
        <f t="shared" si="87"/>
        <v>Cleveland Indians</v>
      </c>
      <c r="I1327" s="60">
        <f t="shared" si="88"/>
        <v>1</v>
      </c>
      <c r="J1327" t="str">
        <f t="shared" si="89"/>
        <v>Houston Astros</v>
      </c>
      <c r="K1327" s="60">
        <f t="shared" si="90"/>
        <v>4</v>
      </c>
      <c r="L1327">
        <f t="shared" si="91"/>
        <v>-3</v>
      </c>
    </row>
    <row r="1328" spans="1:12" x14ac:dyDescent="0.25">
      <c r="G1328" t="str">
        <f t="shared" si="92"/>
        <v>04/28/19</v>
      </c>
      <c r="H1328" t="str">
        <f t="shared" si="87"/>
        <v/>
      </c>
      <c r="I1328" s="60" t="str">
        <f t="shared" si="88"/>
        <v/>
      </c>
      <c r="J1328" t="str">
        <f t="shared" si="89"/>
        <v/>
      </c>
      <c r="K1328" s="60" t="str">
        <f t="shared" si="90"/>
        <v/>
      </c>
      <c r="L1328" t="str">
        <f t="shared" si="91"/>
        <v/>
      </c>
    </row>
    <row r="1329" spans="1:12" x14ac:dyDescent="0.25">
      <c r="A1329" t="s">
        <v>2106</v>
      </c>
      <c r="G1329" t="str">
        <f t="shared" si="92"/>
        <v>04/28/19</v>
      </c>
      <c r="H1329" t="str">
        <f t="shared" si="87"/>
        <v>Los Angeles Angels</v>
      </c>
      <c r="I1329" s="60">
        <f t="shared" si="88"/>
        <v>7</v>
      </c>
      <c r="J1329" t="str">
        <f t="shared" si="89"/>
        <v>Kansas City Royals</v>
      </c>
      <c r="K1329" s="60">
        <f t="shared" si="90"/>
        <v>3</v>
      </c>
      <c r="L1329">
        <f t="shared" si="91"/>
        <v>4</v>
      </c>
    </row>
    <row r="1330" spans="1:12" x14ac:dyDescent="0.25">
      <c r="G1330" t="str">
        <f t="shared" si="92"/>
        <v>04/28/19</v>
      </c>
      <c r="H1330" t="str">
        <f t="shared" si="87"/>
        <v/>
      </c>
      <c r="I1330" s="60" t="str">
        <f t="shared" si="88"/>
        <v/>
      </c>
      <c r="J1330" t="str">
        <f t="shared" si="89"/>
        <v/>
      </c>
      <c r="K1330" s="60" t="str">
        <f t="shared" si="90"/>
        <v/>
      </c>
      <c r="L1330" t="str">
        <f t="shared" si="91"/>
        <v/>
      </c>
    </row>
    <row r="1331" spans="1:12" x14ac:dyDescent="0.25">
      <c r="A1331" t="s">
        <v>2107</v>
      </c>
      <c r="G1331" t="str">
        <f t="shared" si="92"/>
        <v>04/28/19</v>
      </c>
      <c r="H1331" t="str">
        <f t="shared" si="87"/>
        <v>Pittsburgh Pirates</v>
      </c>
      <c r="I1331" s="60">
        <f t="shared" si="88"/>
        <v>6</v>
      </c>
      <c r="J1331" t="str">
        <f t="shared" si="89"/>
        <v>Los Angeles Dodgers</v>
      </c>
      <c r="K1331" s="60">
        <f t="shared" si="90"/>
        <v>7</v>
      </c>
      <c r="L1331">
        <f t="shared" si="91"/>
        <v>-1</v>
      </c>
    </row>
    <row r="1332" spans="1:12" x14ac:dyDescent="0.25">
      <c r="G1332" t="str">
        <f t="shared" si="92"/>
        <v>04/28/19</v>
      </c>
      <c r="H1332" t="str">
        <f t="shared" si="87"/>
        <v/>
      </c>
      <c r="I1332" s="60" t="str">
        <f t="shared" si="88"/>
        <v/>
      </c>
      <c r="J1332" t="str">
        <f t="shared" si="89"/>
        <v/>
      </c>
      <c r="K1332" s="60" t="str">
        <f t="shared" si="90"/>
        <v/>
      </c>
      <c r="L1332" t="str">
        <f t="shared" si="91"/>
        <v/>
      </c>
    </row>
    <row r="1333" spans="1:12" x14ac:dyDescent="0.25">
      <c r="A1333" t="s">
        <v>2108</v>
      </c>
      <c r="G1333" t="str">
        <f t="shared" si="92"/>
        <v>04/28/19</v>
      </c>
      <c r="H1333" t="str">
        <f t="shared" si="87"/>
        <v>Baltimore Orioles</v>
      </c>
      <c r="I1333" s="60">
        <f t="shared" si="88"/>
        <v>1</v>
      </c>
      <c r="J1333" t="str">
        <f t="shared" si="89"/>
        <v>Minnesota Twins</v>
      </c>
      <c r="K1333" s="60">
        <f t="shared" si="90"/>
        <v>4</v>
      </c>
      <c r="L1333">
        <f t="shared" si="91"/>
        <v>-3</v>
      </c>
    </row>
    <row r="1334" spans="1:12" x14ac:dyDescent="0.25">
      <c r="G1334" t="str">
        <f t="shared" si="92"/>
        <v>04/28/19</v>
      </c>
      <c r="H1334" t="str">
        <f t="shared" si="87"/>
        <v/>
      </c>
      <c r="I1334" s="60" t="str">
        <f t="shared" si="88"/>
        <v/>
      </c>
      <c r="J1334" t="str">
        <f t="shared" si="89"/>
        <v/>
      </c>
      <c r="K1334" s="60" t="str">
        <f t="shared" si="90"/>
        <v/>
      </c>
      <c r="L1334" t="str">
        <f t="shared" si="91"/>
        <v/>
      </c>
    </row>
    <row r="1335" spans="1:12" x14ac:dyDescent="0.25">
      <c r="A1335" t="s">
        <v>2109</v>
      </c>
      <c r="G1335" t="str">
        <f t="shared" si="92"/>
        <v>04/28/19</v>
      </c>
      <c r="H1335" t="str">
        <f t="shared" si="87"/>
        <v>Milwaukee Brewers</v>
      </c>
      <c r="I1335" s="60">
        <f t="shared" si="88"/>
        <v>2</v>
      </c>
      <c r="J1335" t="str">
        <f t="shared" si="89"/>
        <v>New York Mets</v>
      </c>
      <c r="K1335" s="60">
        <f t="shared" si="90"/>
        <v>5</v>
      </c>
      <c r="L1335">
        <f t="shared" si="91"/>
        <v>-3</v>
      </c>
    </row>
    <row r="1336" spans="1:12" x14ac:dyDescent="0.25">
      <c r="G1336" t="str">
        <f t="shared" si="92"/>
        <v>04/28/19</v>
      </c>
      <c r="H1336" t="str">
        <f t="shared" si="87"/>
        <v/>
      </c>
      <c r="I1336" s="60" t="str">
        <f t="shared" si="88"/>
        <v/>
      </c>
      <c r="J1336" t="str">
        <f t="shared" si="89"/>
        <v/>
      </c>
      <c r="K1336" s="60" t="str">
        <f t="shared" si="90"/>
        <v/>
      </c>
      <c r="L1336" t="str">
        <f t="shared" si="91"/>
        <v/>
      </c>
    </row>
    <row r="1337" spans="1:12" x14ac:dyDescent="0.25">
      <c r="A1337" t="s">
        <v>2110</v>
      </c>
      <c r="G1337" t="str">
        <f t="shared" si="92"/>
        <v>04/28/19</v>
      </c>
      <c r="H1337" t="str">
        <f t="shared" si="87"/>
        <v>Miami Marlins</v>
      </c>
      <c r="I1337" s="60">
        <f t="shared" si="88"/>
        <v>1</v>
      </c>
      <c r="J1337" t="str">
        <f t="shared" si="89"/>
        <v>Philadelphia Phillies</v>
      </c>
      <c r="K1337" s="60">
        <f t="shared" si="90"/>
        <v>5</v>
      </c>
      <c r="L1337">
        <f t="shared" si="91"/>
        <v>-4</v>
      </c>
    </row>
    <row r="1338" spans="1:12" x14ac:dyDescent="0.25">
      <c r="G1338" t="str">
        <f t="shared" si="92"/>
        <v>04/28/19</v>
      </c>
      <c r="H1338" t="str">
        <f t="shared" si="87"/>
        <v/>
      </c>
      <c r="I1338" s="60" t="str">
        <f t="shared" si="88"/>
        <v/>
      </c>
      <c r="J1338" t="str">
        <f t="shared" si="89"/>
        <v/>
      </c>
      <c r="K1338" s="60" t="str">
        <f t="shared" si="90"/>
        <v/>
      </c>
      <c r="L1338" t="str">
        <f t="shared" si="91"/>
        <v/>
      </c>
    </row>
    <row r="1339" spans="1:12" x14ac:dyDescent="0.25">
      <c r="A1339" t="s">
        <v>2111</v>
      </c>
      <c r="G1339" t="str">
        <f t="shared" si="92"/>
        <v>04/28/19</v>
      </c>
      <c r="H1339" t="str">
        <f t="shared" si="87"/>
        <v>Texas Rangers</v>
      </c>
      <c r="I1339" s="60">
        <f t="shared" si="88"/>
        <v>14</v>
      </c>
      <c r="J1339" t="str">
        <f t="shared" si="89"/>
        <v>Seattle Mariners</v>
      </c>
      <c r="K1339" s="60">
        <f t="shared" si="90"/>
        <v>1</v>
      </c>
      <c r="L1339">
        <f t="shared" si="91"/>
        <v>13</v>
      </c>
    </row>
    <row r="1340" spans="1:12" x14ac:dyDescent="0.25">
      <c r="G1340" t="str">
        <f t="shared" si="92"/>
        <v>04/28/19</v>
      </c>
      <c r="H1340" t="str">
        <f t="shared" si="87"/>
        <v/>
      </c>
      <c r="I1340" s="60" t="str">
        <f t="shared" si="88"/>
        <v/>
      </c>
      <c r="J1340" t="str">
        <f t="shared" si="89"/>
        <v/>
      </c>
      <c r="K1340" s="60" t="str">
        <f t="shared" si="90"/>
        <v/>
      </c>
      <c r="L1340" t="str">
        <f t="shared" si="91"/>
        <v/>
      </c>
    </row>
    <row r="1341" spans="1:12" x14ac:dyDescent="0.25">
      <c r="A1341" t="s">
        <v>2112</v>
      </c>
      <c r="G1341" t="str">
        <f t="shared" si="92"/>
        <v>04/28/19</v>
      </c>
      <c r="H1341" t="str">
        <f t="shared" si="87"/>
        <v>New York Yankees</v>
      </c>
      <c r="I1341" s="60">
        <f t="shared" si="88"/>
        <v>11</v>
      </c>
      <c r="J1341" t="str">
        <f t="shared" si="89"/>
        <v>San Francisco Giants</v>
      </c>
      <c r="K1341" s="60">
        <f t="shared" si="90"/>
        <v>5</v>
      </c>
      <c r="L1341">
        <f t="shared" si="91"/>
        <v>6</v>
      </c>
    </row>
    <row r="1342" spans="1:12" x14ac:dyDescent="0.25">
      <c r="G1342" t="str">
        <f t="shared" si="92"/>
        <v>04/28/19</v>
      </c>
      <c r="H1342" t="str">
        <f t="shared" si="87"/>
        <v/>
      </c>
      <c r="I1342" s="60" t="str">
        <f t="shared" si="88"/>
        <v/>
      </c>
      <c r="J1342" t="str">
        <f t="shared" si="89"/>
        <v/>
      </c>
      <c r="K1342" s="60" t="str">
        <f t="shared" si="90"/>
        <v/>
      </c>
      <c r="L1342" t="str">
        <f t="shared" si="91"/>
        <v/>
      </c>
    </row>
    <row r="1343" spans="1:12" x14ac:dyDescent="0.25">
      <c r="A1343" t="s">
        <v>2113</v>
      </c>
      <c r="G1343" t="str">
        <f t="shared" si="92"/>
        <v>04/28/19</v>
      </c>
      <c r="H1343" t="str">
        <f t="shared" si="87"/>
        <v>Cincinnati Reds</v>
      </c>
      <c r="I1343" s="60">
        <f t="shared" si="88"/>
        <v>2</v>
      </c>
      <c r="J1343" t="str">
        <f t="shared" si="89"/>
        <v>St. Louis Cardinals</v>
      </c>
      <c r="K1343" s="60">
        <f t="shared" si="90"/>
        <v>5</v>
      </c>
      <c r="L1343">
        <f t="shared" si="91"/>
        <v>-3</v>
      </c>
    </row>
    <row r="1344" spans="1:12" x14ac:dyDescent="0.25">
      <c r="G1344" t="str">
        <f t="shared" si="92"/>
        <v>04/28/19</v>
      </c>
      <c r="H1344" t="str">
        <f t="shared" si="87"/>
        <v/>
      </c>
      <c r="I1344" s="60" t="str">
        <f t="shared" si="88"/>
        <v/>
      </c>
      <c r="J1344" t="str">
        <f t="shared" si="89"/>
        <v/>
      </c>
      <c r="K1344" s="60" t="str">
        <f t="shared" si="90"/>
        <v/>
      </c>
      <c r="L1344" t="str">
        <f t="shared" si="91"/>
        <v/>
      </c>
    </row>
    <row r="1345" spans="1:12" x14ac:dyDescent="0.25">
      <c r="A1345" t="s">
        <v>2114</v>
      </c>
      <c r="G1345" t="str">
        <f t="shared" si="92"/>
        <v>04/28/19</v>
      </c>
      <c r="H1345" t="str">
        <f t="shared" si="87"/>
        <v>Oakland Athletics</v>
      </c>
      <c r="I1345" s="60">
        <f t="shared" si="88"/>
        <v>4</v>
      </c>
      <c r="J1345" t="str">
        <f t="shared" si="89"/>
        <v>Toronto Blue Jays</v>
      </c>
      <c r="K1345" s="60">
        <f t="shared" si="90"/>
        <v>5</v>
      </c>
      <c r="L1345">
        <f t="shared" si="91"/>
        <v>-1</v>
      </c>
    </row>
    <row r="1346" spans="1:12" x14ac:dyDescent="0.25">
      <c r="G1346" t="str">
        <f t="shared" si="92"/>
        <v>04/28/19</v>
      </c>
      <c r="H1346" t="str">
        <f t="shared" si="87"/>
        <v/>
      </c>
      <c r="I1346" s="60" t="str">
        <f t="shared" si="88"/>
        <v/>
      </c>
      <c r="J1346" t="str">
        <f t="shared" si="89"/>
        <v/>
      </c>
      <c r="K1346" s="60" t="str">
        <f t="shared" si="90"/>
        <v/>
      </c>
      <c r="L1346" t="str">
        <f t="shared" si="91"/>
        <v/>
      </c>
    </row>
    <row r="1347" spans="1:12" x14ac:dyDescent="0.25">
      <c r="A1347" t="s">
        <v>2115</v>
      </c>
      <c r="G1347" t="str">
        <f t="shared" si="92"/>
        <v>04/28/19</v>
      </c>
      <c r="H1347" t="str">
        <f t="shared" si="87"/>
        <v>San Diego Padres</v>
      </c>
      <c r="I1347" s="60">
        <f t="shared" si="88"/>
        <v>6</v>
      </c>
      <c r="J1347" t="str">
        <f t="shared" si="89"/>
        <v>Washington Nationals</v>
      </c>
      <c r="K1347" s="60">
        <f t="shared" si="90"/>
        <v>7</v>
      </c>
      <c r="L1347">
        <f t="shared" si="91"/>
        <v>-1</v>
      </c>
    </row>
    <row r="1348" spans="1:12" x14ac:dyDescent="0.25">
      <c r="G1348" t="str">
        <f t="shared" si="92"/>
        <v>04/28/19</v>
      </c>
      <c r="H1348" t="str">
        <f t="shared" si="87"/>
        <v/>
      </c>
      <c r="I1348" s="60" t="str">
        <f t="shared" si="88"/>
        <v/>
      </c>
      <c r="J1348" t="str">
        <f t="shared" si="89"/>
        <v/>
      </c>
      <c r="K1348" s="60" t="str">
        <f t="shared" si="90"/>
        <v/>
      </c>
      <c r="L1348" t="str">
        <f t="shared" si="91"/>
        <v/>
      </c>
    </row>
    <row r="1349" spans="1:12" x14ac:dyDescent="0.25">
      <c r="A1349" t="s">
        <v>2116</v>
      </c>
      <c r="G1349" t="str">
        <f t="shared" si="92"/>
        <v>04/28/19</v>
      </c>
      <c r="H1349" t="str">
        <f t="shared" si="87"/>
        <v/>
      </c>
      <c r="I1349" s="60" t="str">
        <f t="shared" si="88"/>
        <v/>
      </c>
      <c r="J1349" t="str">
        <f t="shared" si="89"/>
        <v/>
      </c>
      <c r="K1349" s="60" t="str">
        <f t="shared" si="90"/>
        <v/>
      </c>
      <c r="L1349" t="str">
        <f t="shared" si="91"/>
        <v/>
      </c>
    </row>
    <row r="1350" spans="1:12" x14ac:dyDescent="0.25">
      <c r="G1350" t="str">
        <f t="shared" si="92"/>
        <v>04/28/19</v>
      </c>
      <c r="H1350" t="str">
        <f t="shared" si="87"/>
        <v/>
      </c>
      <c r="I1350" s="60" t="str">
        <f t="shared" si="88"/>
        <v/>
      </c>
      <c r="J1350" t="str">
        <f t="shared" si="89"/>
        <v/>
      </c>
      <c r="K1350" s="60" t="str">
        <f t="shared" si="90"/>
        <v/>
      </c>
      <c r="L1350" t="str">
        <f t="shared" si="91"/>
        <v/>
      </c>
    </row>
    <row r="1351" spans="1:12" x14ac:dyDescent="0.25">
      <c r="A1351" t="s">
        <v>2117</v>
      </c>
      <c r="G1351" t="str">
        <f t="shared" si="92"/>
        <v>04/29/19</v>
      </c>
      <c r="H1351" t="str">
        <f t="shared" si="87"/>
        <v/>
      </c>
      <c r="I1351" s="60" t="str">
        <f t="shared" si="88"/>
        <v/>
      </c>
      <c r="J1351" t="str">
        <f t="shared" si="89"/>
        <v/>
      </c>
      <c r="K1351" s="60" t="str">
        <f t="shared" si="90"/>
        <v/>
      </c>
      <c r="L1351" t="str">
        <f t="shared" si="91"/>
        <v/>
      </c>
    </row>
    <row r="1352" spans="1:12" x14ac:dyDescent="0.25">
      <c r="G1352" t="str">
        <f t="shared" si="92"/>
        <v>04/29/19</v>
      </c>
      <c r="H1352" t="str">
        <f t="shared" si="87"/>
        <v/>
      </c>
      <c r="I1352" s="60" t="str">
        <f t="shared" si="88"/>
        <v/>
      </c>
      <c r="J1352" t="str">
        <f t="shared" si="89"/>
        <v/>
      </c>
      <c r="K1352" s="60" t="str">
        <f t="shared" si="90"/>
        <v/>
      </c>
      <c r="L1352" t="str">
        <f t="shared" si="91"/>
        <v/>
      </c>
    </row>
    <row r="1353" spans="1:12" x14ac:dyDescent="0.25">
      <c r="A1353" t="s">
        <v>2118</v>
      </c>
      <c r="G1353" t="str">
        <f t="shared" si="92"/>
        <v>04/29/19</v>
      </c>
      <c r="H1353" t="str">
        <f t="shared" si="87"/>
        <v>San Diego Padres</v>
      </c>
      <c r="I1353" s="60">
        <f t="shared" si="88"/>
        <v>1</v>
      </c>
      <c r="J1353" t="str">
        <f t="shared" si="89"/>
        <v>Atlanta Braves</v>
      </c>
      <c r="K1353" s="60">
        <f t="shared" si="90"/>
        <v>3</v>
      </c>
      <c r="L1353">
        <f t="shared" si="91"/>
        <v>-2</v>
      </c>
    </row>
    <row r="1354" spans="1:12" x14ac:dyDescent="0.25">
      <c r="G1354" t="str">
        <f t="shared" si="92"/>
        <v>04/29/19</v>
      </c>
      <c r="H1354" t="str">
        <f t="shared" si="87"/>
        <v/>
      </c>
      <c r="I1354" s="60" t="str">
        <f t="shared" si="88"/>
        <v/>
      </c>
      <c r="J1354" t="str">
        <f t="shared" si="89"/>
        <v/>
      </c>
      <c r="K1354" s="60" t="str">
        <f t="shared" si="90"/>
        <v/>
      </c>
      <c r="L1354" t="str">
        <f t="shared" si="91"/>
        <v/>
      </c>
    </row>
    <row r="1355" spans="1:12" x14ac:dyDescent="0.25">
      <c r="A1355" t="s">
        <v>2119</v>
      </c>
      <c r="G1355" t="str">
        <f t="shared" si="92"/>
        <v>04/29/19</v>
      </c>
      <c r="H1355" t="str">
        <f t="shared" si="87"/>
        <v>Oakland Athletics</v>
      </c>
      <c r="I1355" s="60">
        <f t="shared" si="88"/>
        <v>4</v>
      </c>
      <c r="J1355" t="str">
        <f t="shared" si="89"/>
        <v>Boston Red Sox</v>
      </c>
      <c r="K1355" s="60">
        <f t="shared" si="90"/>
        <v>9</v>
      </c>
      <c r="L1355">
        <f t="shared" si="91"/>
        <v>-5</v>
      </c>
    </row>
    <row r="1356" spans="1:12" x14ac:dyDescent="0.25">
      <c r="G1356" t="str">
        <f t="shared" si="92"/>
        <v>04/29/19</v>
      </c>
      <c r="H1356" t="str">
        <f t="shared" si="87"/>
        <v/>
      </c>
      <c r="I1356" s="60" t="str">
        <f t="shared" si="88"/>
        <v/>
      </c>
      <c r="J1356" t="str">
        <f t="shared" si="89"/>
        <v/>
      </c>
      <c r="K1356" s="60" t="str">
        <f t="shared" si="90"/>
        <v/>
      </c>
      <c r="L1356" t="str">
        <f t="shared" si="91"/>
        <v/>
      </c>
    </row>
    <row r="1357" spans="1:12" x14ac:dyDescent="0.25">
      <c r="A1357" t="s">
        <v>2120</v>
      </c>
      <c r="G1357" t="str">
        <f t="shared" si="92"/>
        <v>04/29/19</v>
      </c>
      <c r="H1357" t="str">
        <f t="shared" si="87"/>
        <v>Baltimore Orioles</v>
      </c>
      <c r="I1357" s="60">
        <f t="shared" si="88"/>
        <v>3</v>
      </c>
      <c r="J1357" t="str">
        <f t="shared" si="89"/>
        <v>Chicago White Sox</v>
      </c>
      <c r="K1357" s="60">
        <f t="shared" si="90"/>
        <v>5</v>
      </c>
      <c r="L1357">
        <f t="shared" si="91"/>
        <v>-2</v>
      </c>
    </row>
    <row r="1358" spans="1:12" x14ac:dyDescent="0.25">
      <c r="G1358" t="str">
        <f t="shared" si="92"/>
        <v>04/29/19</v>
      </c>
      <c r="H1358" t="str">
        <f t="shared" si="87"/>
        <v/>
      </c>
      <c r="I1358" s="60" t="str">
        <f t="shared" si="88"/>
        <v/>
      </c>
      <c r="J1358" t="str">
        <f t="shared" si="89"/>
        <v/>
      </c>
      <c r="K1358" s="60" t="str">
        <f t="shared" si="90"/>
        <v/>
      </c>
      <c r="L1358" t="str">
        <f t="shared" si="91"/>
        <v/>
      </c>
    </row>
    <row r="1359" spans="1:12" x14ac:dyDescent="0.25">
      <c r="A1359" t="s">
        <v>2121</v>
      </c>
      <c r="G1359" t="str">
        <f t="shared" si="92"/>
        <v>04/29/19</v>
      </c>
      <c r="H1359" t="str">
        <f t="shared" si="87"/>
        <v>Tampa Bay Rays</v>
      </c>
      <c r="I1359" s="60">
        <f t="shared" si="88"/>
        <v>8</v>
      </c>
      <c r="J1359" t="str">
        <f t="shared" si="89"/>
        <v>Kansas City Royals</v>
      </c>
      <c r="K1359" s="60">
        <f t="shared" si="90"/>
        <v>5</v>
      </c>
      <c r="L1359">
        <f t="shared" si="91"/>
        <v>3</v>
      </c>
    </row>
    <row r="1360" spans="1:12" x14ac:dyDescent="0.25">
      <c r="G1360" t="str">
        <f t="shared" si="92"/>
        <v>04/29/19</v>
      </c>
      <c r="H1360" t="str">
        <f t="shared" ref="H1360:H1423" si="93">IFERROR(LEFT(MID(A1360,1,SEARCH("@",A1360)-2),SEARCH("(",A1360)-2),"")</f>
        <v/>
      </c>
      <c r="I1360" s="60" t="str">
        <f t="shared" ref="I1360:I1423" si="94">IFERROR(VALUE(MID(A1360,SEARCH("(",A1360)+1,SEARCH(")",A1360)-SEARCH("(",A1360)-1)),"")</f>
        <v/>
      </c>
      <c r="J1360" t="str">
        <f t="shared" ref="J1360:J1423" si="95">IFERROR(MID(A1360,SEARCH("@",A1360)+2,SEARCH("(",A1360,SEARCH("@",A1360))-SEARCH("@",A1360)-3),"")</f>
        <v/>
      </c>
      <c r="K1360" s="60" t="str">
        <f t="shared" ref="K1360:K1423" si="96">IFERROR(VALUE(MID(A1360,SEARCH(J1360,A1360)+LEN(J1360)+2,(SEARCH(")",A1360,SEARCH("@",A1360))-SEARCH("(",A1360,SEARCH("@",A1360))-1))),"")</f>
        <v/>
      </c>
      <c r="L1360" t="str">
        <f t="shared" ref="L1360:L1423" si="97">IFERROR(I1360-K1360,"")</f>
        <v/>
      </c>
    </row>
    <row r="1361" spans="1:12" x14ac:dyDescent="0.25">
      <c r="A1361" t="s">
        <v>2122</v>
      </c>
      <c r="G1361" t="str">
        <f t="shared" si="92"/>
        <v>04/29/19</v>
      </c>
      <c r="H1361" t="str">
        <f t="shared" si="93"/>
        <v>Colorado Rockies</v>
      </c>
      <c r="I1361" s="60">
        <f t="shared" si="94"/>
        <v>1</v>
      </c>
      <c r="J1361" t="str">
        <f t="shared" si="95"/>
        <v>Milwaukee Brewers</v>
      </c>
      <c r="K1361" s="60">
        <f t="shared" si="96"/>
        <v>5</v>
      </c>
      <c r="L1361">
        <f t="shared" si="97"/>
        <v>-4</v>
      </c>
    </row>
    <row r="1362" spans="1:12" x14ac:dyDescent="0.25">
      <c r="G1362" t="str">
        <f t="shared" si="92"/>
        <v>04/29/19</v>
      </c>
      <c r="H1362" t="str">
        <f t="shared" si="93"/>
        <v/>
      </c>
      <c r="I1362" s="60" t="str">
        <f t="shared" si="94"/>
        <v/>
      </c>
      <c r="J1362" t="str">
        <f t="shared" si="95"/>
        <v/>
      </c>
      <c r="K1362" s="60" t="str">
        <f t="shared" si="96"/>
        <v/>
      </c>
      <c r="L1362" t="str">
        <f t="shared" si="97"/>
        <v/>
      </c>
    </row>
    <row r="1363" spans="1:12" x14ac:dyDescent="0.25">
      <c r="A1363" t="s">
        <v>2123</v>
      </c>
      <c r="G1363" t="str">
        <f t="shared" si="92"/>
        <v>04/29/19</v>
      </c>
      <c r="H1363" t="str">
        <f t="shared" si="93"/>
        <v>Houston Astros</v>
      </c>
      <c r="I1363" s="60">
        <f t="shared" si="94"/>
        <v>0</v>
      </c>
      <c r="J1363" t="str">
        <f t="shared" si="95"/>
        <v>Minnesota Twins</v>
      </c>
      <c r="K1363" s="60">
        <f t="shared" si="96"/>
        <v>1</v>
      </c>
      <c r="L1363">
        <f t="shared" si="97"/>
        <v>-1</v>
      </c>
    </row>
    <row r="1364" spans="1:12" x14ac:dyDescent="0.25">
      <c r="G1364" t="str">
        <f t="shared" si="92"/>
        <v>04/29/19</v>
      </c>
      <c r="H1364" t="str">
        <f t="shared" si="93"/>
        <v/>
      </c>
      <c r="I1364" s="60" t="str">
        <f t="shared" si="94"/>
        <v/>
      </c>
      <c r="J1364" t="str">
        <f t="shared" si="95"/>
        <v/>
      </c>
      <c r="K1364" s="60" t="str">
        <f t="shared" si="96"/>
        <v/>
      </c>
      <c r="L1364" t="str">
        <f t="shared" si="97"/>
        <v/>
      </c>
    </row>
    <row r="1365" spans="1:12" x14ac:dyDescent="0.25">
      <c r="A1365" t="s">
        <v>2124</v>
      </c>
      <c r="G1365" t="str">
        <f t="shared" si="92"/>
        <v>04/29/19</v>
      </c>
      <c r="H1365" t="str">
        <f t="shared" si="93"/>
        <v>Cincinnati Reds</v>
      </c>
      <c r="I1365" s="60">
        <f t="shared" si="94"/>
        <v>5</v>
      </c>
      <c r="J1365" t="str">
        <f t="shared" si="95"/>
        <v>New York Mets</v>
      </c>
      <c r="K1365" s="60">
        <f t="shared" si="96"/>
        <v>4</v>
      </c>
      <c r="L1365">
        <f t="shared" si="97"/>
        <v>1</v>
      </c>
    </row>
    <row r="1366" spans="1:12" x14ac:dyDescent="0.25">
      <c r="G1366" t="str">
        <f t="shared" si="92"/>
        <v>04/29/19</v>
      </c>
      <c r="H1366" t="str">
        <f t="shared" si="93"/>
        <v/>
      </c>
      <c r="I1366" s="60" t="str">
        <f t="shared" si="94"/>
        <v/>
      </c>
      <c r="J1366" t="str">
        <f t="shared" si="95"/>
        <v/>
      </c>
      <c r="K1366" s="60" t="str">
        <f t="shared" si="96"/>
        <v/>
      </c>
      <c r="L1366" t="str">
        <f t="shared" si="97"/>
        <v/>
      </c>
    </row>
    <row r="1367" spans="1:12" x14ac:dyDescent="0.25">
      <c r="A1367" t="s">
        <v>2125</v>
      </c>
      <c r="G1367" t="str">
        <f t="shared" si="92"/>
        <v>04/29/19</v>
      </c>
      <c r="H1367" t="str">
        <f t="shared" si="93"/>
        <v>Los Angeles Dodgers</v>
      </c>
      <c r="I1367" s="60">
        <f t="shared" si="94"/>
        <v>2</v>
      </c>
      <c r="J1367" t="str">
        <f t="shared" si="95"/>
        <v>San Francisco Giants</v>
      </c>
      <c r="K1367" s="60">
        <f t="shared" si="96"/>
        <v>3</v>
      </c>
      <c r="L1367">
        <f t="shared" si="97"/>
        <v>-1</v>
      </c>
    </row>
    <row r="1368" spans="1:12" x14ac:dyDescent="0.25">
      <c r="G1368" t="str">
        <f t="shared" si="92"/>
        <v>04/29/19</v>
      </c>
      <c r="H1368" t="str">
        <f t="shared" si="93"/>
        <v/>
      </c>
      <c r="I1368" s="60" t="str">
        <f t="shared" si="94"/>
        <v/>
      </c>
      <c r="J1368" t="str">
        <f t="shared" si="95"/>
        <v/>
      </c>
      <c r="K1368" s="60" t="str">
        <f t="shared" si="96"/>
        <v/>
      </c>
      <c r="L1368" t="str">
        <f t="shared" si="97"/>
        <v/>
      </c>
    </row>
    <row r="1369" spans="1:12" x14ac:dyDescent="0.25">
      <c r="A1369" t="s">
        <v>2126</v>
      </c>
      <c r="G1369" t="str">
        <f t="shared" si="92"/>
        <v>04/29/19</v>
      </c>
      <c r="H1369" t="str">
        <f t="shared" si="93"/>
        <v>St. Louis Cardinals</v>
      </c>
      <c r="I1369" s="60">
        <f t="shared" si="94"/>
        <v>6</v>
      </c>
      <c r="J1369" t="str">
        <f t="shared" si="95"/>
        <v>Washington Nationals</v>
      </c>
      <c r="K1369" s="60">
        <f t="shared" si="96"/>
        <v>3</v>
      </c>
      <c r="L1369">
        <f t="shared" si="97"/>
        <v>3</v>
      </c>
    </row>
    <row r="1370" spans="1:12" x14ac:dyDescent="0.25">
      <c r="G1370" t="str">
        <f t="shared" si="92"/>
        <v>04/29/19</v>
      </c>
      <c r="H1370" t="str">
        <f t="shared" si="93"/>
        <v/>
      </c>
      <c r="I1370" s="60" t="str">
        <f t="shared" si="94"/>
        <v/>
      </c>
      <c r="J1370" t="str">
        <f t="shared" si="95"/>
        <v/>
      </c>
      <c r="K1370" s="60" t="str">
        <f t="shared" si="96"/>
        <v/>
      </c>
      <c r="L1370" t="str">
        <f t="shared" si="97"/>
        <v/>
      </c>
    </row>
    <row r="1371" spans="1:12" x14ac:dyDescent="0.25">
      <c r="A1371" t="s">
        <v>2127</v>
      </c>
      <c r="G1371" t="str">
        <f t="shared" si="92"/>
        <v>04/29/19</v>
      </c>
      <c r="H1371" t="str">
        <f t="shared" si="93"/>
        <v/>
      </c>
      <c r="I1371" s="60" t="str">
        <f t="shared" si="94"/>
        <v/>
      </c>
      <c r="J1371" t="str">
        <f t="shared" si="95"/>
        <v/>
      </c>
      <c r="K1371" s="60" t="str">
        <f t="shared" si="96"/>
        <v/>
      </c>
      <c r="L1371" t="str">
        <f t="shared" si="97"/>
        <v/>
      </c>
    </row>
    <row r="1372" spans="1:12" x14ac:dyDescent="0.25">
      <c r="G1372" t="str">
        <f t="shared" si="92"/>
        <v>04/29/19</v>
      </c>
      <c r="H1372" t="str">
        <f t="shared" si="93"/>
        <v/>
      </c>
      <c r="I1372" s="60" t="str">
        <f t="shared" si="94"/>
        <v/>
      </c>
      <c r="J1372" t="str">
        <f t="shared" si="95"/>
        <v/>
      </c>
      <c r="K1372" s="60" t="str">
        <f t="shared" si="96"/>
        <v/>
      </c>
      <c r="L1372" t="str">
        <f t="shared" si="97"/>
        <v/>
      </c>
    </row>
    <row r="1373" spans="1:12" x14ac:dyDescent="0.25">
      <c r="A1373" t="s">
        <v>2128</v>
      </c>
      <c r="G1373" t="str">
        <f t="shared" si="92"/>
        <v>04/30/19</v>
      </c>
      <c r="H1373" t="str">
        <f t="shared" si="93"/>
        <v/>
      </c>
      <c r="I1373" s="60" t="str">
        <f t="shared" si="94"/>
        <v/>
      </c>
      <c r="J1373" t="str">
        <f t="shared" si="95"/>
        <v/>
      </c>
      <c r="K1373" s="60" t="str">
        <f t="shared" si="96"/>
        <v/>
      </c>
      <c r="L1373" t="str">
        <f t="shared" si="97"/>
        <v/>
      </c>
    </row>
    <row r="1374" spans="1:12" x14ac:dyDescent="0.25">
      <c r="G1374" t="str">
        <f t="shared" si="92"/>
        <v>04/30/19</v>
      </c>
      <c r="H1374" t="str">
        <f t="shared" si="93"/>
        <v/>
      </c>
      <c r="I1374" s="60" t="str">
        <f t="shared" si="94"/>
        <v/>
      </c>
      <c r="J1374" t="str">
        <f t="shared" si="95"/>
        <v/>
      </c>
      <c r="K1374" s="60" t="str">
        <f t="shared" si="96"/>
        <v/>
      </c>
      <c r="L1374" t="str">
        <f t="shared" si="97"/>
        <v/>
      </c>
    </row>
    <row r="1375" spans="1:12" x14ac:dyDescent="0.25">
      <c r="A1375" t="s">
        <v>2129</v>
      </c>
      <c r="G1375" t="str">
        <f t="shared" si="92"/>
        <v>04/30/19</v>
      </c>
      <c r="H1375" t="str">
        <f t="shared" si="93"/>
        <v>Toronto Blue Jays</v>
      </c>
      <c r="I1375" s="60">
        <f t="shared" si="94"/>
        <v>3</v>
      </c>
      <c r="J1375" t="str">
        <f t="shared" si="95"/>
        <v>Los Angeles Angels</v>
      </c>
      <c r="K1375" s="60">
        <f t="shared" si="96"/>
        <v>4</v>
      </c>
      <c r="L1375">
        <f t="shared" si="97"/>
        <v>-1</v>
      </c>
    </row>
    <row r="1376" spans="1:12" x14ac:dyDescent="0.25">
      <c r="G1376" t="str">
        <f t="shared" si="92"/>
        <v>04/30/19</v>
      </c>
      <c r="H1376" t="str">
        <f t="shared" si="93"/>
        <v/>
      </c>
      <c r="I1376" s="60" t="str">
        <f t="shared" si="94"/>
        <v/>
      </c>
      <c r="J1376" t="str">
        <f t="shared" si="95"/>
        <v/>
      </c>
      <c r="K1376" s="60" t="str">
        <f t="shared" si="96"/>
        <v/>
      </c>
      <c r="L1376" t="str">
        <f t="shared" si="97"/>
        <v/>
      </c>
    </row>
    <row r="1377" spans="1:12" x14ac:dyDescent="0.25">
      <c r="A1377" t="s">
        <v>2130</v>
      </c>
      <c r="G1377" t="str">
        <f t="shared" si="92"/>
        <v>04/30/19</v>
      </c>
      <c r="H1377" t="str">
        <f t="shared" si="93"/>
        <v>New York Yankees</v>
      </c>
      <c r="I1377" s="60">
        <f t="shared" si="94"/>
        <v>1</v>
      </c>
      <c r="J1377" t="str">
        <f t="shared" si="95"/>
        <v>Arizona D'Backs</v>
      </c>
      <c r="K1377" s="60">
        <f t="shared" si="96"/>
        <v>3</v>
      </c>
      <c r="L1377">
        <f t="shared" si="97"/>
        <v>-2</v>
      </c>
    </row>
    <row r="1378" spans="1:12" x14ac:dyDescent="0.25">
      <c r="G1378" t="str">
        <f t="shared" ref="G1378:G1441" si="98">IF(ISNUMBER(MATCH(IFERROR(LEFT(A1378,SEARCH(",",A1378)-1),""),$G$220:$M$220,0)),TEXT(MID(A1378,SEARCH(",",A1378)+2,LEN(A1378)),"mm/dd/yy"),G1377)</f>
        <v>04/30/19</v>
      </c>
      <c r="H1378" t="str">
        <f t="shared" si="93"/>
        <v/>
      </c>
      <c r="I1378" s="60" t="str">
        <f t="shared" si="94"/>
        <v/>
      </c>
      <c r="J1378" t="str">
        <f t="shared" si="95"/>
        <v/>
      </c>
      <c r="K1378" s="60" t="str">
        <f t="shared" si="96"/>
        <v/>
      </c>
      <c r="L1378" t="str">
        <f t="shared" si="97"/>
        <v/>
      </c>
    </row>
    <row r="1379" spans="1:12" x14ac:dyDescent="0.25">
      <c r="A1379" t="s">
        <v>2131</v>
      </c>
      <c r="G1379" t="str">
        <f t="shared" si="98"/>
        <v>04/30/19</v>
      </c>
      <c r="H1379" t="str">
        <f t="shared" si="93"/>
        <v>San Diego Padres</v>
      </c>
      <c r="I1379" s="60">
        <f t="shared" si="94"/>
        <v>4</v>
      </c>
      <c r="J1379" t="str">
        <f t="shared" si="95"/>
        <v>Atlanta Braves</v>
      </c>
      <c r="K1379" s="60">
        <f t="shared" si="96"/>
        <v>3</v>
      </c>
      <c r="L1379">
        <f t="shared" si="97"/>
        <v>1</v>
      </c>
    </row>
    <row r="1380" spans="1:12" x14ac:dyDescent="0.25">
      <c r="G1380" t="str">
        <f t="shared" si="98"/>
        <v>04/30/19</v>
      </c>
      <c r="H1380" t="str">
        <f t="shared" si="93"/>
        <v/>
      </c>
      <c r="I1380" s="60" t="str">
        <f t="shared" si="94"/>
        <v/>
      </c>
      <c r="J1380" t="str">
        <f t="shared" si="95"/>
        <v/>
      </c>
      <c r="K1380" s="60" t="str">
        <f t="shared" si="96"/>
        <v/>
      </c>
      <c r="L1380" t="str">
        <f t="shared" si="97"/>
        <v/>
      </c>
    </row>
    <row r="1381" spans="1:12" x14ac:dyDescent="0.25">
      <c r="A1381" t="s">
        <v>2132</v>
      </c>
      <c r="G1381" t="str">
        <f t="shared" si="98"/>
        <v>04/30/19</v>
      </c>
      <c r="H1381" t="str">
        <f t="shared" si="93"/>
        <v>Oakland Athletics</v>
      </c>
      <c r="I1381" s="60">
        <f t="shared" si="94"/>
        <v>1</v>
      </c>
      <c r="J1381" t="str">
        <f t="shared" si="95"/>
        <v>Boston Red Sox</v>
      </c>
      <c r="K1381" s="60">
        <f t="shared" si="96"/>
        <v>5</v>
      </c>
      <c r="L1381">
        <f t="shared" si="97"/>
        <v>-4</v>
      </c>
    </row>
    <row r="1382" spans="1:12" x14ac:dyDescent="0.25">
      <c r="G1382" t="str">
        <f t="shared" si="98"/>
        <v>04/30/19</v>
      </c>
      <c r="H1382" t="str">
        <f t="shared" si="93"/>
        <v/>
      </c>
      <c r="I1382" s="60" t="str">
        <f t="shared" si="94"/>
        <v/>
      </c>
      <c r="J1382" t="str">
        <f t="shared" si="95"/>
        <v/>
      </c>
      <c r="K1382" s="60" t="str">
        <f t="shared" si="96"/>
        <v/>
      </c>
      <c r="L1382" t="str">
        <f t="shared" si="97"/>
        <v/>
      </c>
    </row>
    <row r="1383" spans="1:12" x14ac:dyDescent="0.25">
      <c r="A1383" t="s">
        <v>2133</v>
      </c>
      <c r="G1383" t="str">
        <f t="shared" si="98"/>
        <v>04/30/19</v>
      </c>
      <c r="H1383" t="str">
        <f t="shared" si="93"/>
        <v>Cleveland Indians</v>
      </c>
      <c r="I1383" s="60">
        <f t="shared" si="94"/>
        <v>7</v>
      </c>
      <c r="J1383" t="str">
        <f t="shared" si="95"/>
        <v>Miami Marlins</v>
      </c>
      <c r="K1383" s="60">
        <f t="shared" si="96"/>
        <v>4</v>
      </c>
      <c r="L1383">
        <f t="shared" si="97"/>
        <v>3</v>
      </c>
    </row>
    <row r="1384" spans="1:12" x14ac:dyDescent="0.25">
      <c r="G1384" t="str">
        <f t="shared" si="98"/>
        <v>04/30/19</v>
      </c>
      <c r="H1384" t="str">
        <f t="shared" si="93"/>
        <v/>
      </c>
      <c r="I1384" s="60" t="str">
        <f t="shared" si="94"/>
        <v/>
      </c>
      <c r="J1384" t="str">
        <f t="shared" si="95"/>
        <v/>
      </c>
      <c r="K1384" s="60" t="str">
        <f t="shared" si="96"/>
        <v/>
      </c>
      <c r="L1384" t="str">
        <f t="shared" si="97"/>
        <v/>
      </c>
    </row>
    <row r="1385" spans="1:12" x14ac:dyDescent="0.25">
      <c r="A1385" t="s">
        <v>2134</v>
      </c>
      <c r="G1385" t="str">
        <f t="shared" si="98"/>
        <v>04/30/19</v>
      </c>
      <c r="H1385" t="str">
        <f t="shared" si="93"/>
        <v>Colorado Rockies</v>
      </c>
      <c r="I1385" s="60">
        <f t="shared" si="94"/>
        <v>3</v>
      </c>
      <c r="J1385" t="str">
        <f t="shared" si="95"/>
        <v>Milwaukee Brewers</v>
      </c>
      <c r="K1385" s="60">
        <f t="shared" si="96"/>
        <v>4</v>
      </c>
      <c r="L1385">
        <f t="shared" si="97"/>
        <v>-1</v>
      </c>
    </row>
    <row r="1386" spans="1:12" x14ac:dyDescent="0.25">
      <c r="G1386" t="str">
        <f t="shared" si="98"/>
        <v>04/30/19</v>
      </c>
      <c r="H1386" t="str">
        <f t="shared" si="93"/>
        <v/>
      </c>
      <c r="I1386" s="60" t="str">
        <f t="shared" si="94"/>
        <v/>
      </c>
      <c r="J1386" t="str">
        <f t="shared" si="95"/>
        <v/>
      </c>
      <c r="K1386" s="60" t="str">
        <f t="shared" si="96"/>
        <v/>
      </c>
      <c r="L1386" t="str">
        <f t="shared" si="97"/>
        <v/>
      </c>
    </row>
    <row r="1387" spans="1:12" x14ac:dyDescent="0.25">
      <c r="A1387" t="s">
        <v>2135</v>
      </c>
      <c r="G1387" t="str">
        <f t="shared" si="98"/>
        <v>04/30/19</v>
      </c>
      <c r="H1387" t="str">
        <f t="shared" si="93"/>
        <v>Houston Astros</v>
      </c>
      <c r="I1387" s="60">
        <f t="shared" si="94"/>
        <v>11</v>
      </c>
      <c r="J1387" t="str">
        <f t="shared" si="95"/>
        <v>Minnesota Twins</v>
      </c>
      <c r="K1387" s="60">
        <f t="shared" si="96"/>
        <v>0</v>
      </c>
      <c r="L1387">
        <f t="shared" si="97"/>
        <v>11</v>
      </c>
    </row>
    <row r="1388" spans="1:12" x14ac:dyDescent="0.25">
      <c r="G1388" t="str">
        <f t="shared" si="98"/>
        <v>04/30/19</v>
      </c>
      <c r="H1388" t="str">
        <f t="shared" si="93"/>
        <v/>
      </c>
      <c r="I1388" s="60" t="str">
        <f t="shared" si="94"/>
        <v/>
      </c>
      <c r="J1388" t="str">
        <f t="shared" si="95"/>
        <v/>
      </c>
      <c r="K1388" s="60" t="str">
        <f t="shared" si="96"/>
        <v/>
      </c>
      <c r="L1388" t="str">
        <f t="shared" si="97"/>
        <v/>
      </c>
    </row>
    <row r="1389" spans="1:12" x14ac:dyDescent="0.25">
      <c r="A1389" t="s">
        <v>2136</v>
      </c>
      <c r="G1389" t="str">
        <f t="shared" si="98"/>
        <v>04/30/19</v>
      </c>
      <c r="H1389" t="str">
        <f t="shared" si="93"/>
        <v>Cincinnati Reds</v>
      </c>
      <c r="I1389" s="60">
        <f t="shared" si="94"/>
        <v>3</v>
      </c>
      <c r="J1389" t="str">
        <f t="shared" si="95"/>
        <v>New York Mets</v>
      </c>
      <c r="K1389" s="60">
        <f t="shared" si="96"/>
        <v>4</v>
      </c>
      <c r="L1389">
        <f t="shared" si="97"/>
        <v>-1</v>
      </c>
    </row>
    <row r="1390" spans="1:12" x14ac:dyDescent="0.25">
      <c r="G1390" t="str">
        <f t="shared" si="98"/>
        <v>04/30/19</v>
      </c>
      <c r="H1390" t="str">
        <f t="shared" si="93"/>
        <v/>
      </c>
      <c r="I1390" s="60" t="str">
        <f t="shared" si="94"/>
        <v/>
      </c>
      <c r="J1390" t="str">
        <f t="shared" si="95"/>
        <v/>
      </c>
      <c r="K1390" s="60" t="str">
        <f t="shared" si="96"/>
        <v/>
      </c>
      <c r="L1390" t="str">
        <f t="shared" si="97"/>
        <v/>
      </c>
    </row>
    <row r="1391" spans="1:12" x14ac:dyDescent="0.25">
      <c r="A1391" t="s">
        <v>2137</v>
      </c>
      <c r="G1391" t="str">
        <f t="shared" si="98"/>
        <v>04/30/19</v>
      </c>
      <c r="H1391" t="str">
        <f t="shared" si="93"/>
        <v>Detroit Tigers</v>
      </c>
      <c r="I1391" s="60">
        <f t="shared" si="94"/>
        <v>3</v>
      </c>
      <c r="J1391" t="str">
        <f t="shared" si="95"/>
        <v>Philadelphia Phillies</v>
      </c>
      <c r="K1391" s="60">
        <f t="shared" si="96"/>
        <v>1</v>
      </c>
      <c r="L1391">
        <f t="shared" si="97"/>
        <v>2</v>
      </c>
    </row>
    <row r="1392" spans="1:12" x14ac:dyDescent="0.25">
      <c r="G1392" t="str">
        <f t="shared" si="98"/>
        <v>04/30/19</v>
      </c>
      <c r="H1392" t="str">
        <f t="shared" si="93"/>
        <v/>
      </c>
      <c r="I1392" s="60" t="str">
        <f t="shared" si="94"/>
        <v/>
      </c>
      <c r="J1392" t="str">
        <f t="shared" si="95"/>
        <v/>
      </c>
      <c r="K1392" s="60" t="str">
        <f t="shared" si="96"/>
        <v/>
      </c>
      <c r="L1392" t="str">
        <f t="shared" si="97"/>
        <v/>
      </c>
    </row>
    <row r="1393" spans="1:12" x14ac:dyDescent="0.25">
      <c r="A1393" t="s">
        <v>2138</v>
      </c>
      <c r="G1393" t="str">
        <f t="shared" si="98"/>
        <v>04/30/19</v>
      </c>
      <c r="H1393" t="str">
        <f t="shared" si="93"/>
        <v>Chicago Cubs</v>
      </c>
      <c r="I1393" s="60">
        <f t="shared" si="94"/>
        <v>6</v>
      </c>
      <c r="J1393" t="str">
        <f t="shared" si="95"/>
        <v>Seattle Mariners</v>
      </c>
      <c r="K1393" s="60">
        <f t="shared" si="96"/>
        <v>5</v>
      </c>
      <c r="L1393">
        <f t="shared" si="97"/>
        <v>1</v>
      </c>
    </row>
    <row r="1394" spans="1:12" x14ac:dyDescent="0.25">
      <c r="G1394" t="str">
        <f t="shared" si="98"/>
        <v>04/30/19</v>
      </c>
      <c r="H1394" t="str">
        <f t="shared" si="93"/>
        <v/>
      </c>
      <c r="I1394" s="60" t="str">
        <f t="shared" si="94"/>
        <v/>
      </c>
      <c r="J1394" t="str">
        <f t="shared" si="95"/>
        <v/>
      </c>
      <c r="K1394" s="60" t="str">
        <f t="shared" si="96"/>
        <v/>
      </c>
      <c r="L1394" t="str">
        <f t="shared" si="97"/>
        <v/>
      </c>
    </row>
    <row r="1395" spans="1:12" x14ac:dyDescent="0.25">
      <c r="A1395" t="s">
        <v>2139</v>
      </c>
      <c r="G1395" t="str">
        <f t="shared" si="98"/>
        <v>04/30/19</v>
      </c>
      <c r="H1395" t="str">
        <f t="shared" si="93"/>
        <v>Los Angeles Dodgers</v>
      </c>
      <c r="I1395" s="60">
        <f t="shared" si="94"/>
        <v>10</v>
      </c>
      <c r="J1395" t="str">
        <f t="shared" si="95"/>
        <v>San Francisco Giants</v>
      </c>
      <c r="K1395" s="60">
        <f t="shared" si="96"/>
        <v>3</v>
      </c>
      <c r="L1395">
        <f t="shared" si="97"/>
        <v>7</v>
      </c>
    </row>
    <row r="1396" spans="1:12" x14ac:dyDescent="0.25">
      <c r="G1396" t="str">
        <f t="shared" si="98"/>
        <v>04/30/19</v>
      </c>
      <c r="H1396" t="str">
        <f t="shared" si="93"/>
        <v/>
      </c>
      <c r="I1396" s="60" t="str">
        <f t="shared" si="94"/>
        <v/>
      </c>
      <c r="J1396" t="str">
        <f t="shared" si="95"/>
        <v/>
      </c>
      <c r="K1396" s="60" t="str">
        <f t="shared" si="96"/>
        <v/>
      </c>
      <c r="L1396" t="str">
        <f t="shared" si="97"/>
        <v/>
      </c>
    </row>
    <row r="1397" spans="1:12" x14ac:dyDescent="0.25">
      <c r="A1397" t="s">
        <v>2140</v>
      </c>
      <c r="G1397" t="str">
        <f t="shared" si="98"/>
        <v>04/30/19</v>
      </c>
      <c r="H1397" t="str">
        <f t="shared" si="93"/>
        <v>Pittsburgh Pirates</v>
      </c>
      <c r="I1397" s="60">
        <f t="shared" si="94"/>
        <v>6</v>
      </c>
      <c r="J1397" t="str">
        <f t="shared" si="95"/>
        <v>Texas Rangers</v>
      </c>
      <c r="K1397" s="60">
        <f t="shared" si="96"/>
        <v>4</v>
      </c>
      <c r="L1397">
        <f t="shared" si="97"/>
        <v>2</v>
      </c>
    </row>
    <row r="1398" spans="1:12" x14ac:dyDescent="0.25">
      <c r="G1398" t="str">
        <f t="shared" si="98"/>
        <v>04/30/19</v>
      </c>
      <c r="H1398" t="str">
        <f t="shared" si="93"/>
        <v/>
      </c>
      <c r="I1398" s="60" t="str">
        <f t="shared" si="94"/>
        <v/>
      </c>
      <c r="J1398" t="str">
        <f t="shared" si="95"/>
        <v/>
      </c>
      <c r="K1398" s="60" t="str">
        <f t="shared" si="96"/>
        <v/>
      </c>
      <c r="L1398" t="str">
        <f t="shared" si="97"/>
        <v/>
      </c>
    </row>
    <row r="1399" spans="1:12" x14ac:dyDescent="0.25">
      <c r="A1399" t="s">
        <v>2141</v>
      </c>
      <c r="G1399" t="str">
        <f t="shared" si="98"/>
        <v>04/30/19</v>
      </c>
      <c r="H1399" t="str">
        <f t="shared" si="93"/>
        <v>St. Louis Cardinals</v>
      </c>
      <c r="I1399" s="60">
        <f t="shared" si="94"/>
        <v>3</v>
      </c>
      <c r="J1399" t="str">
        <f t="shared" si="95"/>
        <v>Washington Nationals</v>
      </c>
      <c r="K1399" s="60">
        <f t="shared" si="96"/>
        <v>2</v>
      </c>
      <c r="L1399">
        <f t="shared" si="97"/>
        <v>1</v>
      </c>
    </row>
    <row r="1400" spans="1:12" x14ac:dyDescent="0.25">
      <c r="G1400" t="str">
        <f t="shared" si="98"/>
        <v>04/30/19</v>
      </c>
      <c r="H1400" t="str">
        <f t="shared" si="93"/>
        <v/>
      </c>
      <c r="I1400" s="60" t="str">
        <f t="shared" si="94"/>
        <v/>
      </c>
      <c r="J1400" t="str">
        <f t="shared" si="95"/>
        <v/>
      </c>
      <c r="K1400" s="60" t="str">
        <f t="shared" si="96"/>
        <v/>
      </c>
      <c r="L1400" t="str">
        <f t="shared" si="97"/>
        <v/>
      </c>
    </row>
    <row r="1401" spans="1:12" x14ac:dyDescent="0.25">
      <c r="A1401" t="s">
        <v>2142</v>
      </c>
      <c r="G1401" t="str">
        <f t="shared" si="98"/>
        <v>04/30/19</v>
      </c>
      <c r="H1401" t="str">
        <f t="shared" si="93"/>
        <v/>
      </c>
      <c r="I1401" s="60" t="str">
        <f t="shared" si="94"/>
        <v/>
      </c>
      <c r="J1401" t="str">
        <f t="shared" si="95"/>
        <v/>
      </c>
      <c r="K1401" s="60" t="str">
        <f t="shared" si="96"/>
        <v/>
      </c>
      <c r="L1401" t="str">
        <f t="shared" si="97"/>
        <v/>
      </c>
    </row>
    <row r="1402" spans="1:12" x14ac:dyDescent="0.25">
      <c r="G1402" t="str">
        <f t="shared" si="98"/>
        <v>04/30/19</v>
      </c>
      <c r="H1402" t="str">
        <f t="shared" si="93"/>
        <v/>
      </c>
      <c r="I1402" s="60" t="str">
        <f t="shared" si="94"/>
        <v/>
      </c>
      <c r="J1402" t="str">
        <f t="shared" si="95"/>
        <v/>
      </c>
      <c r="K1402" s="60" t="str">
        <f t="shared" si="96"/>
        <v/>
      </c>
      <c r="L1402" t="str">
        <f t="shared" si="97"/>
        <v/>
      </c>
    </row>
    <row r="1403" spans="1:12" x14ac:dyDescent="0.25">
      <c r="A1403" t="s">
        <v>2143</v>
      </c>
      <c r="G1403" t="str">
        <f t="shared" si="98"/>
        <v>05/01/19</v>
      </c>
      <c r="H1403" t="str">
        <f t="shared" si="93"/>
        <v/>
      </c>
      <c r="I1403" s="60" t="str">
        <f t="shared" si="94"/>
        <v/>
      </c>
      <c r="J1403" t="str">
        <f t="shared" si="95"/>
        <v/>
      </c>
      <c r="K1403" s="60" t="str">
        <f t="shared" si="96"/>
        <v/>
      </c>
      <c r="L1403" t="str">
        <f t="shared" si="97"/>
        <v/>
      </c>
    </row>
    <row r="1404" spans="1:12" x14ac:dyDescent="0.25">
      <c r="G1404" t="str">
        <f t="shared" si="98"/>
        <v>05/01/19</v>
      </c>
      <c r="H1404" t="str">
        <f t="shared" si="93"/>
        <v/>
      </c>
      <c r="I1404" s="60" t="str">
        <f t="shared" si="94"/>
        <v/>
      </c>
      <c r="J1404" t="str">
        <f t="shared" si="95"/>
        <v/>
      </c>
      <c r="K1404" s="60" t="str">
        <f t="shared" si="96"/>
        <v/>
      </c>
      <c r="L1404" t="str">
        <f t="shared" si="97"/>
        <v/>
      </c>
    </row>
    <row r="1405" spans="1:12" x14ac:dyDescent="0.25">
      <c r="A1405" t="s">
        <v>2144</v>
      </c>
      <c r="G1405" t="str">
        <f t="shared" si="98"/>
        <v>05/01/19</v>
      </c>
      <c r="H1405" t="str">
        <f t="shared" si="93"/>
        <v>Toronto Blue Jays</v>
      </c>
      <c r="I1405" s="60">
        <f t="shared" si="94"/>
        <v>3</v>
      </c>
      <c r="J1405" t="str">
        <f t="shared" si="95"/>
        <v>Los Angeles Angels</v>
      </c>
      <c r="K1405" s="60">
        <f t="shared" si="96"/>
        <v>6</v>
      </c>
      <c r="L1405">
        <f t="shared" si="97"/>
        <v>-3</v>
      </c>
    </row>
    <row r="1406" spans="1:12" x14ac:dyDescent="0.25">
      <c r="G1406" t="str">
        <f t="shared" si="98"/>
        <v>05/01/19</v>
      </c>
      <c r="H1406" t="str">
        <f t="shared" si="93"/>
        <v/>
      </c>
      <c r="I1406" s="60" t="str">
        <f t="shared" si="94"/>
        <v/>
      </c>
      <c r="J1406" t="str">
        <f t="shared" si="95"/>
        <v/>
      </c>
      <c r="K1406" s="60" t="str">
        <f t="shared" si="96"/>
        <v/>
      </c>
      <c r="L1406" t="str">
        <f t="shared" si="97"/>
        <v/>
      </c>
    </row>
    <row r="1407" spans="1:12" x14ac:dyDescent="0.25">
      <c r="A1407" t="s">
        <v>2145</v>
      </c>
      <c r="G1407" t="str">
        <f t="shared" si="98"/>
        <v>05/01/19</v>
      </c>
      <c r="H1407" t="str">
        <f t="shared" si="93"/>
        <v>New York Yankees</v>
      </c>
      <c r="I1407" s="60">
        <f t="shared" si="94"/>
        <v>2</v>
      </c>
      <c r="J1407" t="str">
        <f t="shared" si="95"/>
        <v>Arizona D'Backs</v>
      </c>
      <c r="K1407" s="60">
        <f t="shared" si="96"/>
        <v>3</v>
      </c>
      <c r="L1407">
        <f t="shared" si="97"/>
        <v>-1</v>
      </c>
    </row>
    <row r="1408" spans="1:12" x14ac:dyDescent="0.25">
      <c r="G1408" t="str">
        <f t="shared" si="98"/>
        <v>05/01/19</v>
      </c>
      <c r="H1408" t="str">
        <f t="shared" si="93"/>
        <v/>
      </c>
      <c r="I1408" s="60" t="str">
        <f t="shared" si="94"/>
        <v/>
      </c>
      <c r="J1408" t="str">
        <f t="shared" si="95"/>
        <v/>
      </c>
      <c r="K1408" s="60" t="str">
        <f t="shared" si="96"/>
        <v/>
      </c>
      <c r="L1408" t="str">
        <f t="shared" si="97"/>
        <v/>
      </c>
    </row>
    <row r="1409" spans="1:12" x14ac:dyDescent="0.25">
      <c r="A1409" t="s">
        <v>2146</v>
      </c>
      <c r="G1409" t="str">
        <f t="shared" si="98"/>
        <v>05/01/19</v>
      </c>
      <c r="H1409" t="str">
        <f t="shared" si="93"/>
        <v>San Diego Padres</v>
      </c>
      <c r="I1409" s="60">
        <f t="shared" si="94"/>
        <v>1</v>
      </c>
      <c r="J1409" t="str">
        <f t="shared" si="95"/>
        <v>Atlanta Braves</v>
      </c>
      <c r="K1409" s="60">
        <f t="shared" si="96"/>
        <v>5</v>
      </c>
      <c r="L1409">
        <f t="shared" si="97"/>
        <v>-4</v>
      </c>
    </row>
    <row r="1410" spans="1:12" x14ac:dyDescent="0.25">
      <c r="G1410" t="str">
        <f t="shared" si="98"/>
        <v>05/01/19</v>
      </c>
      <c r="H1410" t="str">
        <f t="shared" si="93"/>
        <v/>
      </c>
      <c r="I1410" s="60" t="str">
        <f t="shared" si="94"/>
        <v/>
      </c>
      <c r="J1410" t="str">
        <f t="shared" si="95"/>
        <v/>
      </c>
      <c r="K1410" s="60" t="str">
        <f t="shared" si="96"/>
        <v/>
      </c>
      <c r="L1410" t="str">
        <f t="shared" si="97"/>
        <v/>
      </c>
    </row>
    <row r="1411" spans="1:12" x14ac:dyDescent="0.25">
      <c r="A1411" t="s">
        <v>2147</v>
      </c>
      <c r="G1411" t="str">
        <f t="shared" si="98"/>
        <v>05/01/19</v>
      </c>
      <c r="H1411" t="str">
        <f t="shared" si="93"/>
        <v>Oakland Athletics</v>
      </c>
      <c r="I1411" s="60">
        <f t="shared" si="94"/>
        <v>3</v>
      </c>
      <c r="J1411" t="str">
        <f t="shared" si="95"/>
        <v>Boston Red Sox</v>
      </c>
      <c r="K1411" s="60">
        <f t="shared" si="96"/>
        <v>7</v>
      </c>
      <c r="L1411">
        <f t="shared" si="97"/>
        <v>-4</v>
      </c>
    </row>
    <row r="1412" spans="1:12" x14ac:dyDescent="0.25">
      <c r="G1412" t="str">
        <f t="shared" si="98"/>
        <v>05/01/19</v>
      </c>
      <c r="H1412" t="str">
        <f t="shared" si="93"/>
        <v/>
      </c>
      <c r="I1412" s="60" t="str">
        <f t="shared" si="94"/>
        <v/>
      </c>
      <c r="J1412" t="str">
        <f t="shared" si="95"/>
        <v/>
      </c>
      <c r="K1412" s="60" t="str">
        <f t="shared" si="96"/>
        <v/>
      </c>
      <c r="L1412" t="str">
        <f t="shared" si="97"/>
        <v/>
      </c>
    </row>
    <row r="1413" spans="1:12" x14ac:dyDescent="0.25">
      <c r="A1413" t="s">
        <v>2148</v>
      </c>
      <c r="G1413" t="str">
        <f t="shared" si="98"/>
        <v>05/01/19</v>
      </c>
      <c r="H1413" t="str">
        <f t="shared" si="93"/>
        <v>Baltimore Orioles</v>
      </c>
      <c r="I1413" s="60">
        <f t="shared" si="94"/>
        <v>5</v>
      </c>
      <c r="J1413" t="str">
        <f t="shared" si="95"/>
        <v>Chicago White Sox</v>
      </c>
      <c r="K1413" s="60">
        <f t="shared" si="96"/>
        <v>4</v>
      </c>
      <c r="L1413">
        <f t="shared" si="97"/>
        <v>1</v>
      </c>
    </row>
    <row r="1414" spans="1:12" x14ac:dyDescent="0.25">
      <c r="G1414" t="str">
        <f t="shared" si="98"/>
        <v>05/01/19</v>
      </c>
      <c r="H1414" t="str">
        <f t="shared" si="93"/>
        <v/>
      </c>
      <c r="I1414" s="60" t="str">
        <f t="shared" si="94"/>
        <v/>
      </c>
      <c r="J1414" t="str">
        <f t="shared" si="95"/>
        <v/>
      </c>
      <c r="K1414" s="60" t="str">
        <f t="shared" si="96"/>
        <v/>
      </c>
      <c r="L1414" t="str">
        <f t="shared" si="97"/>
        <v/>
      </c>
    </row>
    <row r="1415" spans="1:12" x14ac:dyDescent="0.25">
      <c r="A1415" t="s">
        <v>2149</v>
      </c>
      <c r="G1415" t="str">
        <f t="shared" si="98"/>
        <v>05/01/19</v>
      </c>
      <c r="H1415" t="str">
        <f t="shared" si="93"/>
        <v>Baltimore Orioles</v>
      </c>
      <c r="I1415" s="60">
        <f t="shared" si="94"/>
        <v>6</v>
      </c>
      <c r="J1415" t="str">
        <f t="shared" si="95"/>
        <v>Chicago White Sox</v>
      </c>
      <c r="K1415" s="60">
        <f t="shared" si="96"/>
        <v>7</v>
      </c>
      <c r="L1415">
        <f t="shared" si="97"/>
        <v>-1</v>
      </c>
    </row>
    <row r="1416" spans="1:12" x14ac:dyDescent="0.25">
      <c r="G1416" t="str">
        <f t="shared" si="98"/>
        <v>05/01/19</v>
      </c>
      <c r="H1416" t="str">
        <f t="shared" si="93"/>
        <v/>
      </c>
      <c r="I1416" s="60" t="str">
        <f t="shared" si="94"/>
        <v/>
      </c>
      <c r="J1416" t="str">
        <f t="shared" si="95"/>
        <v/>
      </c>
      <c r="K1416" s="60" t="str">
        <f t="shared" si="96"/>
        <v/>
      </c>
      <c r="L1416" t="str">
        <f t="shared" si="97"/>
        <v/>
      </c>
    </row>
    <row r="1417" spans="1:12" x14ac:dyDescent="0.25">
      <c r="A1417" t="s">
        <v>2150</v>
      </c>
      <c r="G1417" t="str">
        <f t="shared" si="98"/>
        <v>05/01/19</v>
      </c>
      <c r="H1417" t="str">
        <f t="shared" si="93"/>
        <v>Tampa Bay Rays</v>
      </c>
      <c r="I1417" s="60">
        <f t="shared" si="94"/>
        <v>2</v>
      </c>
      <c r="J1417" t="str">
        <f t="shared" si="95"/>
        <v>Kansas City Royals</v>
      </c>
      <c r="K1417" s="60">
        <f t="shared" si="96"/>
        <v>3</v>
      </c>
      <c r="L1417">
        <f t="shared" si="97"/>
        <v>-1</v>
      </c>
    </row>
    <row r="1418" spans="1:12" x14ac:dyDescent="0.25">
      <c r="G1418" t="str">
        <f t="shared" si="98"/>
        <v>05/01/19</v>
      </c>
      <c r="H1418" t="str">
        <f t="shared" si="93"/>
        <v/>
      </c>
      <c r="I1418" s="60" t="str">
        <f t="shared" si="94"/>
        <v/>
      </c>
      <c r="J1418" t="str">
        <f t="shared" si="95"/>
        <v/>
      </c>
      <c r="K1418" s="60" t="str">
        <f t="shared" si="96"/>
        <v/>
      </c>
      <c r="L1418" t="str">
        <f t="shared" si="97"/>
        <v/>
      </c>
    </row>
    <row r="1419" spans="1:12" x14ac:dyDescent="0.25">
      <c r="A1419" t="s">
        <v>2151</v>
      </c>
      <c r="G1419" t="str">
        <f t="shared" si="98"/>
        <v>05/01/19</v>
      </c>
      <c r="H1419" t="str">
        <f t="shared" si="93"/>
        <v>Tampa Bay Rays</v>
      </c>
      <c r="I1419" s="60">
        <f t="shared" si="94"/>
        <v>2</v>
      </c>
      <c r="J1419" t="str">
        <f t="shared" si="95"/>
        <v>Kansas City Royals</v>
      </c>
      <c r="K1419" s="60">
        <f t="shared" si="96"/>
        <v>8</v>
      </c>
      <c r="L1419">
        <f t="shared" si="97"/>
        <v>-6</v>
      </c>
    </row>
    <row r="1420" spans="1:12" x14ac:dyDescent="0.25">
      <c r="G1420" t="str">
        <f t="shared" si="98"/>
        <v>05/01/19</v>
      </c>
      <c r="H1420" t="str">
        <f t="shared" si="93"/>
        <v/>
      </c>
      <c r="I1420" s="60" t="str">
        <f t="shared" si="94"/>
        <v/>
      </c>
      <c r="J1420" t="str">
        <f t="shared" si="95"/>
        <v/>
      </c>
      <c r="K1420" s="60" t="str">
        <f t="shared" si="96"/>
        <v/>
      </c>
      <c r="L1420" t="str">
        <f t="shared" si="97"/>
        <v/>
      </c>
    </row>
    <row r="1421" spans="1:12" x14ac:dyDescent="0.25">
      <c r="A1421" t="s">
        <v>2152</v>
      </c>
      <c r="G1421" t="str">
        <f t="shared" si="98"/>
        <v>05/01/19</v>
      </c>
      <c r="H1421" t="str">
        <f t="shared" si="93"/>
        <v>Cleveland Indians</v>
      </c>
      <c r="I1421" s="60">
        <f t="shared" si="94"/>
        <v>2</v>
      </c>
      <c r="J1421" t="str">
        <f t="shared" si="95"/>
        <v>Miami Marlins</v>
      </c>
      <c r="K1421" s="60">
        <f t="shared" si="96"/>
        <v>4</v>
      </c>
      <c r="L1421">
        <f t="shared" si="97"/>
        <v>-2</v>
      </c>
    </row>
    <row r="1422" spans="1:12" x14ac:dyDescent="0.25">
      <c r="G1422" t="str">
        <f t="shared" si="98"/>
        <v>05/01/19</v>
      </c>
      <c r="H1422" t="str">
        <f t="shared" si="93"/>
        <v/>
      </c>
      <c r="I1422" s="60" t="str">
        <f t="shared" si="94"/>
        <v/>
      </c>
      <c r="J1422" t="str">
        <f t="shared" si="95"/>
        <v/>
      </c>
      <c r="K1422" s="60" t="str">
        <f t="shared" si="96"/>
        <v/>
      </c>
      <c r="L1422" t="str">
        <f t="shared" si="97"/>
        <v/>
      </c>
    </row>
    <row r="1423" spans="1:12" x14ac:dyDescent="0.25">
      <c r="A1423" t="s">
        <v>2153</v>
      </c>
      <c r="G1423" t="str">
        <f t="shared" si="98"/>
        <v>05/01/19</v>
      </c>
      <c r="H1423" t="str">
        <f t="shared" si="93"/>
        <v>Colorado Rockies</v>
      </c>
      <c r="I1423" s="60">
        <f t="shared" si="94"/>
        <v>11</v>
      </c>
      <c r="J1423" t="str">
        <f t="shared" si="95"/>
        <v>Milwaukee Brewers</v>
      </c>
      <c r="K1423" s="60">
        <f t="shared" si="96"/>
        <v>4</v>
      </c>
      <c r="L1423">
        <f t="shared" si="97"/>
        <v>7</v>
      </c>
    </row>
    <row r="1424" spans="1:12" x14ac:dyDescent="0.25">
      <c r="G1424" t="str">
        <f t="shared" si="98"/>
        <v>05/01/19</v>
      </c>
      <c r="H1424" t="str">
        <f t="shared" ref="H1424:H1487" si="99">IFERROR(LEFT(MID(A1424,1,SEARCH("@",A1424)-2),SEARCH("(",A1424)-2),"")</f>
        <v/>
      </c>
      <c r="I1424" s="60" t="str">
        <f t="shared" ref="I1424:I1487" si="100">IFERROR(VALUE(MID(A1424,SEARCH("(",A1424)+1,SEARCH(")",A1424)-SEARCH("(",A1424)-1)),"")</f>
        <v/>
      </c>
      <c r="J1424" t="str">
        <f t="shared" ref="J1424:J1487" si="101">IFERROR(MID(A1424,SEARCH("@",A1424)+2,SEARCH("(",A1424,SEARCH("@",A1424))-SEARCH("@",A1424)-3),"")</f>
        <v/>
      </c>
      <c r="K1424" s="60" t="str">
        <f t="shared" ref="K1424:K1487" si="102">IFERROR(VALUE(MID(A1424,SEARCH(J1424,A1424)+LEN(J1424)+2,(SEARCH(")",A1424,SEARCH("@",A1424))-SEARCH("(",A1424,SEARCH("@",A1424))-1))),"")</f>
        <v/>
      </c>
      <c r="L1424" t="str">
        <f t="shared" ref="L1424:L1487" si="103">IFERROR(I1424-K1424,"")</f>
        <v/>
      </c>
    </row>
    <row r="1425" spans="1:12" x14ac:dyDescent="0.25">
      <c r="A1425" t="s">
        <v>2154</v>
      </c>
      <c r="G1425" t="str">
        <f t="shared" si="98"/>
        <v>05/01/19</v>
      </c>
      <c r="H1425" t="str">
        <f t="shared" si="99"/>
        <v>Houston Astros</v>
      </c>
      <c r="I1425" s="60">
        <f t="shared" si="100"/>
        <v>2</v>
      </c>
      <c r="J1425" t="str">
        <f t="shared" si="101"/>
        <v>Minnesota Twins</v>
      </c>
      <c r="K1425" s="60">
        <f t="shared" si="102"/>
        <v>6</v>
      </c>
      <c r="L1425">
        <f t="shared" si="103"/>
        <v>-4</v>
      </c>
    </row>
    <row r="1426" spans="1:12" x14ac:dyDescent="0.25">
      <c r="G1426" t="str">
        <f t="shared" si="98"/>
        <v>05/01/19</v>
      </c>
      <c r="H1426" t="str">
        <f t="shared" si="99"/>
        <v/>
      </c>
      <c r="I1426" s="60" t="str">
        <f t="shared" si="100"/>
        <v/>
      </c>
      <c r="J1426" t="str">
        <f t="shared" si="101"/>
        <v/>
      </c>
      <c r="K1426" s="60" t="str">
        <f t="shared" si="102"/>
        <v/>
      </c>
      <c r="L1426" t="str">
        <f t="shared" si="103"/>
        <v/>
      </c>
    </row>
    <row r="1427" spans="1:12" x14ac:dyDescent="0.25">
      <c r="A1427" t="s">
        <v>2155</v>
      </c>
      <c r="G1427" t="str">
        <f t="shared" si="98"/>
        <v>05/01/19</v>
      </c>
      <c r="H1427" t="str">
        <f t="shared" si="99"/>
        <v>Cincinnati Reds</v>
      </c>
      <c r="I1427" s="60">
        <f t="shared" si="100"/>
        <v>1</v>
      </c>
      <c r="J1427" t="str">
        <f t="shared" si="101"/>
        <v>New York Mets</v>
      </c>
      <c r="K1427" s="60">
        <f t="shared" si="102"/>
        <v>0</v>
      </c>
      <c r="L1427">
        <f t="shared" si="103"/>
        <v>1</v>
      </c>
    </row>
    <row r="1428" spans="1:12" x14ac:dyDescent="0.25">
      <c r="G1428" t="str">
        <f t="shared" si="98"/>
        <v>05/01/19</v>
      </c>
      <c r="H1428" t="str">
        <f t="shared" si="99"/>
        <v/>
      </c>
      <c r="I1428" s="60" t="str">
        <f t="shared" si="100"/>
        <v/>
      </c>
      <c r="J1428" t="str">
        <f t="shared" si="101"/>
        <v/>
      </c>
      <c r="K1428" s="60" t="str">
        <f t="shared" si="102"/>
        <v/>
      </c>
      <c r="L1428" t="str">
        <f t="shared" si="103"/>
        <v/>
      </c>
    </row>
    <row r="1429" spans="1:12" x14ac:dyDescent="0.25">
      <c r="A1429" t="s">
        <v>2156</v>
      </c>
      <c r="G1429" t="str">
        <f t="shared" si="98"/>
        <v>05/01/19</v>
      </c>
      <c r="H1429" t="str">
        <f t="shared" si="99"/>
        <v>Detroit Tigers</v>
      </c>
      <c r="I1429" s="60">
        <f t="shared" si="100"/>
        <v>3</v>
      </c>
      <c r="J1429" t="str">
        <f t="shared" si="101"/>
        <v>Philadelphia Phillies</v>
      </c>
      <c r="K1429" s="60">
        <f t="shared" si="102"/>
        <v>7</v>
      </c>
      <c r="L1429">
        <f t="shared" si="103"/>
        <v>-4</v>
      </c>
    </row>
    <row r="1430" spans="1:12" x14ac:dyDescent="0.25">
      <c r="G1430" t="str">
        <f t="shared" si="98"/>
        <v>05/01/19</v>
      </c>
      <c r="H1430" t="str">
        <f t="shared" si="99"/>
        <v/>
      </c>
      <c r="I1430" s="60" t="str">
        <f t="shared" si="100"/>
        <v/>
      </c>
      <c r="J1430" t="str">
        <f t="shared" si="101"/>
        <v/>
      </c>
      <c r="K1430" s="60" t="str">
        <f t="shared" si="102"/>
        <v/>
      </c>
      <c r="L1430" t="str">
        <f t="shared" si="103"/>
        <v/>
      </c>
    </row>
    <row r="1431" spans="1:12" x14ac:dyDescent="0.25">
      <c r="A1431" t="s">
        <v>2157</v>
      </c>
      <c r="G1431" t="str">
        <f t="shared" si="98"/>
        <v>05/01/19</v>
      </c>
      <c r="H1431" t="str">
        <f t="shared" si="99"/>
        <v>Chicago Cubs</v>
      </c>
      <c r="I1431" s="60">
        <f t="shared" si="100"/>
        <v>11</v>
      </c>
      <c r="J1431" t="str">
        <f t="shared" si="101"/>
        <v>Seattle Mariners</v>
      </c>
      <c r="K1431" s="60">
        <f t="shared" si="102"/>
        <v>0</v>
      </c>
      <c r="L1431">
        <f t="shared" si="103"/>
        <v>11</v>
      </c>
    </row>
    <row r="1432" spans="1:12" x14ac:dyDescent="0.25">
      <c r="G1432" t="str">
        <f t="shared" si="98"/>
        <v>05/01/19</v>
      </c>
      <c r="H1432" t="str">
        <f t="shared" si="99"/>
        <v/>
      </c>
      <c r="I1432" s="60" t="str">
        <f t="shared" si="100"/>
        <v/>
      </c>
      <c r="J1432" t="str">
        <f t="shared" si="101"/>
        <v/>
      </c>
      <c r="K1432" s="60" t="str">
        <f t="shared" si="102"/>
        <v/>
      </c>
      <c r="L1432" t="str">
        <f t="shared" si="103"/>
        <v/>
      </c>
    </row>
    <row r="1433" spans="1:12" x14ac:dyDescent="0.25">
      <c r="A1433" t="s">
        <v>2158</v>
      </c>
      <c r="G1433" t="str">
        <f t="shared" si="98"/>
        <v>05/01/19</v>
      </c>
      <c r="H1433" t="str">
        <f t="shared" si="99"/>
        <v>Los Angeles Dodgers</v>
      </c>
      <c r="I1433" s="60">
        <f t="shared" si="100"/>
        <v>1</v>
      </c>
      <c r="J1433" t="str">
        <f t="shared" si="101"/>
        <v>San Francisco Giants</v>
      </c>
      <c r="K1433" s="60">
        <f t="shared" si="102"/>
        <v>2</v>
      </c>
      <c r="L1433">
        <f t="shared" si="103"/>
        <v>-1</v>
      </c>
    </row>
    <row r="1434" spans="1:12" x14ac:dyDescent="0.25">
      <c r="G1434" t="str">
        <f t="shared" si="98"/>
        <v>05/01/19</v>
      </c>
      <c r="H1434" t="str">
        <f t="shared" si="99"/>
        <v/>
      </c>
      <c r="I1434" s="60" t="str">
        <f t="shared" si="100"/>
        <v/>
      </c>
      <c r="J1434" t="str">
        <f t="shared" si="101"/>
        <v/>
      </c>
      <c r="K1434" s="60" t="str">
        <f t="shared" si="102"/>
        <v/>
      </c>
      <c r="L1434" t="str">
        <f t="shared" si="103"/>
        <v/>
      </c>
    </row>
    <row r="1435" spans="1:12" x14ac:dyDescent="0.25">
      <c r="A1435" t="s">
        <v>2159</v>
      </c>
      <c r="G1435" t="str">
        <f t="shared" si="98"/>
        <v>05/01/19</v>
      </c>
      <c r="H1435" t="str">
        <f t="shared" si="99"/>
        <v>Pittsburgh Pirates</v>
      </c>
      <c r="I1435" s="60">
        <f t="shared" si="100"/>
        <v>7</v>
      </c>
      <c r="J1435" t="str">
        <f t="shared" si="101"/>
        <v>Texas Rangers</v>
      </c>
      <c r="K1435" s="60">
        <f t="shared" si="102"/>
        <v>5</v>
      </c>
      <c r="L1435">
        <f t="shared" si="103"/>
        <v>2</v>
      </c>
    </row>
    <row r="1436" spans="1:12" x14ac:dyDescent="0.25">
      <c r="G1436" t="str">
        <f t="shared" si="98"/>
        <v>05/01/19</v>
      </c>
      <c r="H1436" t="str">
        <f t="shared" si="99"/>
        <v/>
      </c>
      <c r="I1436" s="60" t="str">
        <f t="shared" si="100"/>
        <v/>
      </c>
      <c r="J1436" t="str">
        <f t="shared" si="101"/>
        <v/>
      </c>
      <c r="K1436" s="60" t="str">
        <f t="shared" si="102"/>
        <v/>
      </c>
      <c r="L1436" t="str">
        <f t="shared" si="103"/>
        <v/>
      </c>
    </row>
    <row r="1437" spans="1:12" x14ac:dyDescent="0.25">
      <c r="A1437" t="s">
        <v>2160</v>
      </c>
      <c r="G1437" t="str">
        <f t="shared" si="98"/>
        <v>05/01/19</v>
      </c>
      <c r="H1437" t="str">
        <f t="shared" si="99"/>
        <v>St. Louis Cardinals</v>
      </c>
      <c r="I1437" s="60">
        <f t="shared" si="100"/>
        <v>5</v>
      </c>
      <c r="J1437" t="str">
        <f t="shared" si="101"/>
        <v>Washington Nationals</v>
      </c>
      <c r="K1437" s="60">
        <f t="shared" si="102"/>
        <v>1</v>
      </c>
      <c r="L1437">
        <f t="shared" si="103"/>
        <v>4</v>
      </c>
    </row>
    <row r="1438" spans="1:12" x14ac:dyDescent="0.25">
      <c r="G1438" t="str">
        <f t="shared" si="98"/>
        <v>05/01/19</v>
      </c>
      <c r="H1438" t="str">
        <f t="shared" si="99"/>
        <v/>
      </c>
      <c r="I1438" s="60" t="str">
        <f t="shared" si="100"/>
        <v/>
      </c>
      <c r="J1438" t="str">
        <f t="shared" si="101"/>
        <v/>
      </c>
      <c r="K1438" s="60" t="str">
        <f t="shared" si="102"/>
        <v/>
      </c>
      <c r="L1438" t="str">
        <f t="shared" si="103"/>
        <v/>
      </c>
    </row>
    <row r="1439" spans="1:12" x14ac:dyDescent="0.25">
      <c r="A1439" t="s">
        <v>2161</v>
      </c>
      <c r="G1439" t="str">
        <f t="shared" si="98"/>
        <v>05/01/19</v>
      </c>
      <c r="H1439" t="str">
        <f t="shared" si="99"/>
        <v/>
      </c>
      <c r="I1439" s="60" t="str">
        <f t="shared" si="100"/>
        <v/>
      </c>
      <c r="J1439" t="str">
        <f t="shared" si="101"/>
        <v/>
      </c>
      <c r="K1439" s="60" t="str">
        <f t="shared" si="102"/>
        <v/>
      </c>
      <c r="L1439" t="str">
        <f t="shared" si="103"/>
        <v/>
      </c>
    </row>
    <row r="1440" spans="1:12" x14ac:dyDescent="0.25">
      <c r="G1440" t="str">
        <f t="shared" si="98"/>
        <v>05/01/19</v>
      </c>
      <c r="H1440" t="str">
        <f t="shared" si="99"/>
        <v/>
      </c>
      <c r="I1440" s="60" t="str">
        <f t="shared" si="100"/>
        <v/>
      </c>
      <c r="J1440" t="str">
        <f t="shared" si="101"/>
        <v/>
      </c>
      <c r="K1440" s="60" t="str">
        <f t="shared" si="102"/>
        <v/>
      </c>
      <c r="L1440" t="str">
        <f t="shared" si="103"/>
        <v/>
      </c>
    </row>
    <row r="1441" spans="1:12" x14ac:dyDescent="0.25">
      <c r="A1441" t="s">
        <v>2162</v>
      </c>
      <c r="G1441" t="str">
        <f t="shared" si="98"/>
        <v>05/02/19</v>
      </c>
      <c r="H1441" t="str">
        <f t="shared" si="99"/>
        <v/>
      </c>
      <c r="I1441" s="60" t="str">
        <f t="shared" si="100"/>
        <v/>
      </c>
      <c r="J1441" t="str">
        <f t="shared" si="101"/>
        <v/>
      </c>
      <c r="K1441" s="60" t="str">
        <f t="shared" si="102"/>
        <v/>
      </c>
      <c r="L1441" t="str">
        <f t="shared" si="103"/>
        <v/>
      </c>
    </row>
    <row r="1442" spans="1:12" x14ac:dyDescent="0.25">
      <c r="G1442" t="str">
        <f t="shared" ref="G1442:G1505" si="104">IF(ISNUMBER(MATCH(IFERROR(LEFT(A1442,SEARCH(",",A1442)-1),""),$G$220:$M$220,0)),TEXT(MID(A1442,SEARCH(",",A1442)+2,LEN(A1442)),"mm/dd/yy"),G1441)</f>
        <v>05/02/19</v>
      </c>
      <c r="H1442" t="str">
        <f t="shared" si="99"/>
        <v/>
      </c>
      <c r="I1442" s="60" t="str">
        <f t="shared" si="100"/>
        <v/>
      </c>
      <c r="J1442" t="str">
        <f t="shared" si="101"/>
        <v/>
      </c>
      <c r="K1442" s="60" t="str">
        <f t="shared" si="102"/>
        <v/>
      </c>
      <c r="L1442" t="str">
        <f t="shared" si="103"/>
        <v/>
      </c>
    </row>
    <row r="1443" spans="1:12" x14ac:dyDescent="0.25">
      <c r="A1443" t="s">
        <v>2163</v>
      </c>
      <c r="G1443" t="str">
        <f t="shared" si="104"/>
        <v>05/02/19</v>
      </c>
      <c r="H1443" t="str">
        <f t="shared" si="99"/>
        <v>Toronto Blue Jays</v>
      </c>
      <c r="I1443" s="60">
        <f t="shared" si="100"/>
        <v>2</v>
      </c>
      <c r="J1443" t="str">
        <f t="shared" si="101"/>
        <v>Los Angeles Angels</v>
      </c>
      <c r="K1443" s="60">
        <f t="shared" si="102"/>
        <v>6</v>
      </c>
      <c r="L1443">
        <f t="shared" si="103"/>
        <v>-4</v>
      </c>
    </row>
    <row r="1444" spans="1:12" x14ac:dyDescent="0.25">
      <c r="G1444" t="str">
        <f t="shared" si="104"/>
        <v>05/02/19</v>
      </c>
      <c r="H1444" t="str">
        <f t="shared" si="99"/>
        <v/>
      </c>
      <c r="I1444" s="60" t="str">
        <f t="shared" si="100"/>
        <v/>
      </c>
      <c r="J1444" t="str">
        <f t="shared" si="101"/>
        <v/>
      </c>
      <c r="K1444" s="60" t="str">
        <f t="shared" si="102"/>
        <v/>
      </c>
      <c r="L1444" t="str">
        <f t="shared" si="103"/>
        <v/>
      </c>
    </row>
    <row r="1445" spans="1:12" x14ac:dyDescent="0.25">
      <c r="A1445" t="s">
        <v>2164</v>
      </c>
      <c r="G1445" t="str">
        <f t="shared" si="104"/>
        <v>05/02/19</v>
      </c>
      <c r="H1445" t="str">
        <f t="shared" si="99"/>
        <v>San Diego Padres</v>
      </c>
      <c r="I1445" s="60">
        <f t="shared" si="100"/>
        <v>11</v>
      </c>
      <c r="J1445" t="str">
        <f t="shared" si="101"/>
        <v>Atlanta Braves</v>
      </c>
      <c r="K1445" s="60">
        <f t="shared" si="102"/>
        <v>2</v>
      </c>
      <c r="L1445">
        <f t="shared" si="103"/>
        <v>9</v>
      </c>
    </row>
    <row r="1446" spans="1:12" x14ac:dyDescent="0.25">
      <c r="G1446" t="str">
        <f t="shared" si="104"/>
        <v>05/02/19</v>
      </c>
      <c r="H1446" t="str">
        <f t="shared" si="99"/>
        <v/>
      </c>
      <c r="I1446" s="60" t="str">
        <f t="shared" si="100"/>
        <v/>
      </c>
      <c r="J1446" t="str">
        <f t="shared" si="101"/>
        <v/>
      </c>
      <c r="K1446" s="60" t="str">
        <f t="shared" si="102"/>
        <v/>
      </c>
      <c r="L1446" t="str">
        <f t="shared" si="103"/>
        <v/>
      </c>
    </row>
    <row r="1447" spans="1:12" x14ac:dyDescent="0.25">
      <c r="A1447" t="s">
        <v>2165</v>
      </c>
      <c r="G1447" t="str">
        <f t="shared" si="104"/>
        <v>05/02/19</v>
      </c>
      <c r="H1447" t="str">
        <f t="shared" si="99"/>
        <v>Boston Red Sox</v>
      </c>
      <c r="I1447" s="60">
        <f t="shared" si="100"/>
        <v>4</v>
      </c>
      <c r="J1447" t="str">
        <f t="shared" si="101"/>
        <v>Chicago White Sox</v>
      </c>
      <c r="K1447" s="60">
        <f t="shared" si="102"/>
        <v>6</v>
      </c>
      <c r="L1447">
        <f t="shared" si="103"/>
        <v>-2</v>
      </c>
    </row>
    <row r="1448" spans="1:12" x14ac:dyDescent="0.25">
      <c r="G1448" t="str">
        <f t="shared" si="104"/>
        <v>05/02/19</v>
      </c>
      <c r="H1448" t="str">
        <f t="shared" si="99"/>
        <v/>
      </c>
      <c r="I1448" s="60" t="str">
        <f t="shared" si="100"/>
        <v/>
      </c>
      <c r="J1448" t="str">
        <f t="shared" si="101"/>
        <v/>
      </c>
      <c r="K1448" s="60" t="str">
        <f t="shared" si="102"/>
        <v/>
      </c>
      <c r="L1448" t="str">
        <f t="shared" si="103"/>
        <v/>
      </c>
    </row>
    <row r="1449" spans="1:12" x14ac:dyDescent="0.25">
      <c r="A1449" t="s">
        <v>2166</v>
      </c>
      <c r="G1449" t="str">
        <f t="shared" si="104"/>
        <v>05/02/19</v>
      </c>
      <c r="H1449" t="str">
        <f t="shared" si="99"/>
        <v>Tampa Bay Rays</v>
      </c>
      <c r="I1449" s="60">
        <f t="shared" si="100"/>
        <v>3</v>
      </c>
      <c r="J1449" t="str">
        <f t="shared" si="101"/>
        <v>Kansas City Royals</v>
      </c>
      <c r="K1449" s="60">
        <f t="shared" si="102"/>
        <v>1</v>
      </c>
      <c r="L1449">
        <f t="shared" si="103"/>
        <v>2</v>
      </c>
    </row>
    <row r="1450" spans="1:12" x14ac:dyDescent="0.25">
      <c r="G1450" t="str">
        <f t="shared" si="104"/>
        <v>05/02/19</v>
      </c>
      <c r="H1450" t="str">
        <f t="shared" si="99"/>
        <v/>
      </c>
      <c r="I1450" s="60" t="str">
        <f t="shared" si="100"/>
        <v/>
      </c>
      <c r="J1450" t="str">
        <f t="shared" si="101"/>
        <v/>
      </c>
      <c r="K1450" s="60" t="str">
        <f t="shared" si="102"/>
        <v/>
      </c>
      <c r="L1450" t="str">
        <f t="shared" si="103"/>
        <v/>
      </c>
    </row>
    <row r="1451" spans="1:12" x14ac:dyDescent="0.25">
      <c r="A1451" t="s">
        <v>2167</v>
      </c>
      <c r="G1451" t="str">
        <f t="shared" si="104"/>
        <v>05/02/19</v>
      </c>
      <c r="H1451" t="str">
        <f t="shared" si="99"/>
        <v>Colorado Rockies</v>
      </c>
      <c r="I1451" s="60">
        <f t="shared" si="100"/>
        <v>11</v>
      </c>
      <c r="J1451" t="str">
        <f t="shared" si="101"/>
        <v>Milwaukee Brewers</v>
      </c>
      <c r="K1451" s="60">
        <f t="shared" si="102"/>
        <v>6</v>
      </c>
      <c r="L1451">
        <f t="shared" si="103"/>
        <v>5</v>
      </c>
    </row>
    <row r="1452" spans="1:12" x14ac:dyDescent="0.25">
      <c r="G1452" t="str">
        <f t="shared" si="104"/>
        <v>05/02/19</v>
      </c>
      <c r="H1452" t="str">
        <f t="shared" si="99"/>
        <v/>
      </c>
      <c r="I1452" s="60" t="str">
        <f t="shared" si="100"/>
        <v/>
      </c>
      <c r="J1452" t="str">
        <f t="shared" si="101"/>
        <v/>
      </c>
      <c r="K1452" s="60" t="str">
        <f t="shared" si="102"/>
        <v/>
      </c>
      <c r="L1452" t="str">
        <f t="shared" si="103"/>
        <v/>
      </c>
    </row>
    <row r="1453" spans="1:12" x14ac:dyDescent="0.25">
      <c r="A1453" t="s">
        <v>2168</v>
      </c>
      <c r="G1453" t="str">
        <f t="shared" si="104"/>
        <v>05/02/19</v>
      </c>
      <c r="H1453" t="str">
        <f t="shared" si="99"/>
        <v>Houston Astros</v>
      </c>
      <c r="I1453" s="60">
        <f t="shared" si="100"/>
        <v>2</v>
      </c>
      <c r="J1453" t="str">
        <f t="shared" si="101"/>
        <v>Minnesota Twins</v>
      </c>
      <c r="K1453" s="60">
        <f t="shared" si="102"/>
        <v>8</v>
      </c>
      <c r="L1453">
        <f t="shared" si="103"/>
        <v>-6</v>
      </c>
    </row>
    <row r="1454" spans="1:12" x14ac:dyDescent="0.25">
      <c r="G1454" t="str">
        <f t="shared" si="104"/>
        <v>05/02/19</v>
      </c>
      <c r="H1454" t="str">
        <f t="shared" si="99"/>
        <v/>
      </c>
      <c r="I1454" s="60" t="str">
        <f t="shared" si="100"/>
        <v/>
      </c>
      <c r="J1454" t="str">
        <f t="shared" si="101"/>
        <v/>
      </c>
      <c r="K1454" s="60" t="str">
        <f t="shared" si="102"/>
        <v/>
      </c>
      <c r="L1454" t="str">
        <f t="shared" si="103"/>
        <v/>
      </c>
    </row>
    <row r="1455" spans="1:12" x14ac:dyDescent="0.25">
      <c r="A1455" t="s">
        <v>2169</v>
      </c>
      <c r="G1455" t="str">
        <f t="shared" si="104"/>
        <v>05/02/19</v>
      </c>
      <c r="H1455" t="str">
        <f t="shared" si="99"/>
        <v>Cincinnati Reds</v>
      </c>
      <c r="I1455" s="60">
        <f t="shared" si="100"/>
        <v>0</v>
      </c>
      <c r="J1455" t="str">
        <f t="shared" si="101"/>
        <v>New York Mets</v>
      </c>
      <c r="K1455" s="60">
        <f t="shared" si="102"/>
        <v>1</v>
      </c>
      <c r="L1455">
        <f t="shared" si="103"/>
        <v>-1</v>
      </c>
    </row>
    <row r="1456" spans="1:12" x14ac:dyDescent="0.25">
      <c r="G1456" t="str">
        <f t="shared" si="104"/>
        <v>05/02/19</v>
      </c>
      <c r="H1456" t="str">
        <f t="shared" si="99"/>
        <v/>
      </c>
      <c r="I1456" s="60" t="str">
        <f t="shared" si="100"/>
        <v/>
      </c>
      <c r="J1456" t="str">
        <f t="shared" si="101"/>
        <v/>
      </c>
      <c r="K1456" s="60" t="str">
        <f t="shared" si="102"/>
        <v/>
      </c>
      <c r="L1456" t="str">
        <f t="shared" si="103"/>
        <v/>
      </c>
    </row>
    <row r="1457" spans="1:12" x14ac:dyDescent="0.25">
      <c r="A1457" t="s">
        <v>2170</v>
      </c>
      <c r="G1457" t="str">
        <f t="shared" si="104"/>
        <v>05/02/19</v>
      </c>
      <c r="H1457" t="str">
        <f t="shared" si="99"/>
        <v>St. Louis Cardinals</v>
      </c>
      <c r="I1457" s="60">
        <f t="shared" si="100"/>
        <v>1</v>
      </c>
      <c r="J1457" t="str">
        <f t="shared" si="101"/>
        <v>Washington Nationals</v>
      </c>
      <c r="K1457" s="60">
        <f t="shared" si="102"/>
        <v>2</v>
      </c>
      <c r="L1457">
        <f t="shared" si="103"/>
        <v>-1</v>
      </c>
    </row>
    <row r="1458" spans="1:12" x14ac:dyDescent="0.25">
      <c r="G1458" t="str">
        <f t="shared" si="104"/>
        <v>05/02/19</v>
      </c>
      <c r="H1458" t="str">
        <f t="shared" si="99"/>
        <v/>
      </c>
      <c r="I1458" s="60" t="str">
        <f t="shared" si="100"/>
        <v/>
      </c>
      <c r="J1458" t="str">
        <f t="shared" si="101"/>
        <v/>
      </c>
      <c r="K1458" s="60" t="str">
        <f t="shared" si="102"/>
        <v/>
      </c>
      <c r="L1458" t="str">
        <f t="shared" si="103"/>
        <v/>
      </c>
    </row>
    <row r="1459" spans="1:12" x14ac:dyDescent="0.25">
      <c r="A1459" t="s">
        <v>2171</v>
      </c>
      <c r="G1459" t="str">
        <f t="shared" si="104"/>
        <v>05/02/19</v>
      </c>
      <c r="H1459" t="str">
        <f t="shared" si="99"/>
        <v/>
      </c>
      <c r="I1459" s="60" t="str">
        <f t="shared" si="100"/>
        <v/>
      </c>
      <c r="J1459" t="str">
        <f t="shared" si="101"/>
        <v/>
      </c>
      <c r="K1459" s="60" t="str">
        <f t="shared" si="102"/>
        <v/>
      </c>
      <c r="L1459" t="str">
        <f t="shared" si="103"/>
        <v/>
      </c>
    </row>
    <row r="1460" spans="1:12" x14ac:dyDescent="0.25">
      <c r="G1460" t="str">
        <f t="shared" si="104"/>
        <v>05/02/19</v>
      </c>
      <c r="H1460" t="str">
        <f t="shared" si="99"/>
        <v/>
      </c>
      <c r="I1460" s="60" t="str">
        <f t="shared" si="100"/>
        <v/>
      </c>
      <c r="J1460" t="str">
        <f t="shared" si="101"/>
        <v/>
      </c>
      <c r="K1460" s="60" t="str">
        <f t="shared" si="102"/>
        <v/>
      </c>
      <c r="L1460" t="str">
        <f t="shared" si="103"/>
        <v/>
      </c>
    </row>
    <row r="1461" spans="1:12" x14ac:dyDescent="0.25">
      <c r="A1461" t="s">
        <v>2172</v>
      </c>
      <c r="G1461" t="str">
        <f t="shared" si="104"/>
        <v>05/03/19</v>
      </c>
      <c r="H1461" t="str">
        <f t="shared" si="99"/>
        <v/>
      </c>
      <c r="I1461" s="60" t="str">
        <f t="shared" si="100"/>
        <v/>
      </c>
      <c r="J1461" t="str">
        <f t="shared" si="101"/>
        <v/>
      </c>
      <c r="K1461" s="60" t="str">
        <f t="shared" si="102"/>
        <v/>
      </c>
      <c r="L1461" t="str">
        <f t="shared" si="103"/>
        <v/>
      </c>
    </row>
    <row r="1462" spans="1:12" x14ac:dyDescent="0.25">
      <c r="G1462" t="str">
        <f t="shared" si="104"/>
        <v>05/03/19</v>
      </c>
      <c r="H1462" t="str">
        <f t="shared" si="99"/>
        <v/>
      </c>
      <c r="I1462" s="60" t="str">
        <f t="shared" si="100"/>
        <v/>
      </c>
      <c r="J1462" t="str">
        <f t="shared" si="101"/>
        <v/>
      </c>
      <c r="K1462" s="60" t="str">
        <f t="shared" si="102"/>
        <v/>
      </c>
      <c r="L1462" t="str">
        <f t="shared" si="103"/>
        <v/>
      </c>
    </row>
    <row r="1463" spans="1:12" x14ac:dyDescent="0.25">
      <c r="A1463" t="s">
        <v>2173</v>
      </c>
      <c r="G1463" t="str">
        <f t="shared" si="104"/>
        <v>05/03/19</v>
      </c>
      <c r="H1463" t="str">
        <f t="shared" si="99"/>
        <v>Tampa Bay Rays</v>
      </c>
      <c r="I1463" s="60">
        <f t="shared" si="100"/>
        <v>7</v>
      </c>
      <c r="J1463" t="str">
        <f t="shared" si="101"/>
        <v>Baltimore Orioles</v>
      </c>
      <c r="K1463" s="60">
        <f t="shared" si="102"/>
        <v>0</v>
      </c>
      <c r="L1463">
        <f t="shared" si="103"/>
        <v>7</v>
      </c>
    </row>
    <row r="1464" spans="1:12" x14ac:dyDescent="0.25">
      <c r="G1464" t="str">
        <f t="shared" si="104"/>
        <v>05/03/19</v>
      </c>
      <c r="H1464" t="str">
        <f t="shared" si="99"/>
        <v/>
      </c>
      <c r="I1464" s="60" t="str">
        <f t="shared" si="100"/>
        <v/>
      </c>
      <c r="J1464" t="str">
        <f t="shared" si="101"/>
        <v/>
      </c>
      <c r="K1464" s="60" t="str">
        <f t="shared" si="102"/>
        <v/>
      </c>
      <c r="L1464" t="str">
        <f t="shared" si="103"/>
        <v/>
      </c>
    </row>
    <row r="1465" spans="1:12" x14ac:dyDescent="0.25">
      <c r="A1465" t="s">
        <v>2174</v>
      </c>
      <c r="G1465" t="str">
        <f t="shared" si="104"/>
        <v>05/03/19</v>
      </c>
      <c r="H1465" t="str">
        <f t="shared" si="99"/>
        <v>Boston Red Sox</v>
      </c>
      <c r="I1465" s="60">
        <f t="shared" si="100"/>
        <v>6</v>
      </c>
      <c r="J1465" t="str">
        <f t="shared" si="101"/>
        <v>Chicago White Sox</v>
      </c>
      <c r="K1465" s="60">
        <f t="shared" si="102"/>
        <v>1</v>
      </c>
      <c r="L1465">
        <f t="shared" si="103"/>
        <v>5</v>
      </c>
    </row>
    <row r="1466" spans="1:12" x14ac:dyDescent="0.25">
      <c r="G1466" t="str">
        <f t="shared" si="104"/>
        <v>05/03/19</v>
      </c>
      <c r="H1466" t="str">
        <f t="shared" si="99"/>
        <v/>
      </c>
      <c r="I1466" s="60" t="str">
        <f t="shared" si="100"/>
        <v/>
      </c>
      <c r="J1466" t="str">
        <f t="shared" si="101"/>
        <v/>
      </c>
      <c r="K1466" s="60" t="str">
        <f t="shared" si="102"/>
        <v/>
      </c>
      <c r="L1466" t="str">
        <f t="shared" si="103"/>
        <v/>
      </c>
    </row>
    <row r="1467" spans="1:12" x14ac:dyDescent="0.25">
      <c r="A1467" t="s">
        <v>2175</v>
      </c>
      <c r="G1467" t="str">
        <f t="shared" si="104"/>
        <v>05/03/19</v>
      </c>
      <c r="H1467" t="str">
        <f t="shared" si="99"/>
        <v>St. Louis Cardinals</v>
      </c>
      <c r="I1467" s="60">
        <f t="shared" si="100"/>
        <v>0</v>
      </c>
      <c r="J1467" t="str">
        <f t="shared" si="101"/>
        <v>Chicago Cubs</v>
      </c>
      <c r="K1467" s="60">
        <f t="shared" si="102"/>
        <v>4</v>
      </c>
      <c r="L1467">
        <f t="shared" si="103"/>
        <v>-4</v>
      </c>
    </row>
    <row r="1468" spans="1:12" x14ac:dyDescent="0.25">
      <c r="G1468" t="str">
        <f t="shared" si="104"/>
        <v>05/03/19</v>
      </c>
      <c r="H1468" t="str">
        <f t="shared" si="99"/>
        <v/>
      </c>
      <c r="I1468" s="60" t="str">
        <f t="shared" si="100"/>
        <v/>
      </c>
      <c r="J1468" t="str">
        <f t="shared" si="101"/>
        <v/>
      </c>
      <c r="K1468" s="60" t="str">
        <f t="shared" si="102"/>
        <v/>
      </c>
      <c r="L1468" t="str">
        <f t="shared" si="103"/>
        <v/>
      </c>
    </row>
    <row r="1469" spans="1:12" x14ac:dyDescent="0.25">
      <c r="A1469" t="s">
        <v>2176</v>
      </c>
      <c r="G1469" t="str">
        <f t="shared" si="104"/>
        <v>05/03/19</v>
      </c>
      <c r="H1469" t="str">
        <f t="shared" si="99"/>
        <v>San Francisco Giants</v>
      </c>
      <c r="I1469" s="60">
        <f t="shared" si="100"/>
        <v>12</v>
      </c>
      <c r="J1469" t="str">
        <f t="shared" si="101"/>
        <v>Cincinnati Reds</v>
      </c>
      <c r="K1469" s="60">
        <f t="shared" si="102"/>
        <v>11</v>
      </c>
      <c r="L1469">
        <f t="shared" si="103"/>
        <v>1</v>
      </c>
    </row>
    <row r="1470" spans="1:12" x14ac:dyDescent="0.25">
      <c r="G1470" t="str">
        <f t="shared" si="104"/>
        <v>05/03/19</v>
      </c>
      <c r="H1470" t="str">
        <f t="shared" si="99"/>
        <v/>
      </c>
      <c r="I1470" s="60" t="str">
        <f t="shared" si="100"/>
        <v/>
      </c>
      <c r="J1470" t="str">
        <f t="shared" si="101"/>
        <v/>
      </c>
      <c r="K1470" s="60" t="str">
        <f t="shared" si="102"/>
        <v/>
      </c>
      <c r="L1470" t="str">
        <f t="shared" si="103"/>
        <v/>
      </c>
    </row>
    <row r="1471" spans="1:12" x14ac:dyDescent="0.25">
      <c r="A1471" t="s">
        <v>2177</v>
      </c>
      <c r="G1471" t="str">
        <f t="shared" si="104"/>
        <v>05/03/19</v>
      </c>
      <c r="H1471" t="str">
        <f t="shared" si="99"/>
        <v>Seattle Mariners</v>
      </c>
      <c r="I1471" s="60">
        <f t="shared" si="100"/>
        <v>1</v>
      </c>
      <c r="J1471" t="str">
        <f t="shared" si="101"/>
        <v>Cleveland Indians</v>
      </c>
      <c r="K1471" s="60">
        <f t="shared" si="102"/>
        <v>2</v>
      </c>
      <c r="L1471">
        <f t="shared" si="103"/>
        <v>-1</v>
      </c>
    </row>
    <row r="1472" spans="1:12" x14ac:dyDescent="0.25">
      <c r="G1472" t="str">
        <f t="shared" si="104"/>
        <v>05/03/19</v>
      </c>
      <c r="H1472" t="str">
        <f t="shared" si="99"/>
        <v/>
      </c>
      <c r="I1472" s="60" t="str">
        <f t="shared" si="100"/>
        <v/>
      </c>
      <c r="J1472" t="str">
        <f t="shared" si="101"/>
        <v/>
      </c>
      <c r="K1472" s="60" t="str">
        <f t="shared" si="102"/>
        <v/>
      </c>
      <c r="L1472" t="str">
        <f t="shared" si="103"/>
        <v/>
      </c>
    </row>
    <row r="1473" spans="1:12" x14ac:dyDescent="0.25">
      <c r="A1473" t="s">
        <v>2178</v>
      </c>
      <c r="G1473" t="str">
        <f t="shared" si="104"/>
        <v>05/03/19</v>
      </c>
      <c r="H1473" t="str">
        <f t="shared" si="99"/>
        <v>Arizona D'Backs</v>
      </c>
      <c r="I1473" s="60">
        <f t="shared" si="100"/>
        <v>10</v>
      </c>
      <c r="J1473" t="str">
        <f t="shared" si="101"/>
        <v>Colorado Rockies</v>
      </c>
      <c r="K1473" s="60">
        <f t="shared" si="102"/>
        <v>9</v>
      </c>
      <c r="L1473">
        <f t="shared" si="103"/>
        <v>1</v>
      </c>
    </row>
    <row r="1474" spans="1:12" x14ac:dyDescent="0.25">
      <c r="G1474" t="str">
        <f t="shared" si="104"/>
        <v>05/03/19</v>
      </c>
      <c r="H1474" t="str">
        <f t="shared" si="99"/>
        <v/>
      </c>
      <c r="I1474" s="60" t="str">
        <f t="shared" si="100"/>
        <v/>
      </c>
      <c r="J1474" t="str">
        <f t="shared" si="101"/>
        <v/>
      </c>
      <c r="K1474" s="60" t="str">
        <f t="shared" si="102"/>
        <v/>
      </c>
      <c r="L1474" t="str">
        <f t="shared" si="103"/>
        <v/>
      </c>
    </row>
    <row r="1475" spans="1:12" x14ac:dyDescent="0.25">
      <c r="A1475" t="s">
        <v>2179</v>
      </c>
      <c r="G1475" t="str">
        <f t="shared" si="104"/>
        <v>05/03/19</v>
      </c>
      <c r="H1475" t="str">
        <f t="shared" si="99"/>
        <v>Kansas City Royals</v>
      </c>
      <c r="I1475" s="60">
        <f t="shared" si="100"/>
        <v>3</v>
      </c>
      <c r="J1475" t="str">
        <f t="shared" si="101"/>
        <v>Detroit Tigers</v>
      </c>
      <c r="K1475" s="60">
        <f t="shared" si="102"/>
        <v>4</v>
      </c>
      <c r="L1475">
        <f t="shared" si="103"/>
        <v>-1</v>
      </c>
    </row>
    <row r="1476" spans="1:12" x14ac:dyDescent="0.25">
      <c r="G1476" t="str">
        <f t="shared" si="104"/>
        <v>05/03/19</v>
      </c>
      <c r="H1476" t="str">
        <f t="shared" si="99"/>
        <v/>
      </c>
      <c r="I1476" s="60" t="str">
        <f t="shared" si="100"/>
        <v/>
      </c>
      <c r="J1476" t="str">
        <f t="shared" si="101"/>
        <v/>
      </c>
      <c r="K1476" s="60" t="str">
        <f t="shared" si="102"/>
        <v/>
      </c>
      <c r="L1476" t="str">
        <f t="shared" si="103"/>
        <v/>
      </c>
    </row>
    <row r="1477" spans="1:12" x14ac:dyDescent="0.25">
      <c r="A1477" t="s">
        <v>2180</v>
      </c>
      <c r="G1477" t="str">
        <f t="shared" si="104"/>
        <v>05/03/19</v>
      </c>
      <c r="H1477" t="str">
        <f t="shared" si="99"/>
        <v>Atlanta Braves</v>
      </c>
      <c r="I1477" s="60">
        <f t="shared" si="100"/>
        <v>7</v>
      </c>
      <c r="J1477" t="str">
        <f t="shared" si="101"/>
        <v>Miami Marlins</v>
      </c>
      <c r="K1477" s="60">
        <f t="shared" si="102"/>
        <v>2</v>
      </c>
      <c r="L1477">
        <f t="shared" si="103"/>
        <v>5</v>
      </c>
    </row>
    <row r="1478" spans="1:12" x14ac:dyDescent="0.25">
      <c r="G1478" t="str">
        <f t="shared" si="104"/>
        <v>05/03/19</v>
      </c>
      <c r="H1478" t="str">
        <f t="shared" si="99"/>
        <v/>
      </c>
      <c r="I1478" s="60" t="str">
        <f t="shared" si="100"/>
        <v/>
      </c>
      <c r="J1478" t="str">
        <f t="shared" si="101"/>
        <v/>
      </c>
      <c r="K1478" s="60" t="str">
        <f t="shared" si="102"/>
        <v/>
      </c>
      <c r="L1478" t="str">
        <f t="shared" si="103"/>
        <v/>
      </c>
    </row>
    <row r="1479" spans="1:12" x14ac:dyDescent="0.25">
      <c r="A1479" t="s">
        <v>2181</v>
      </c>
      <c r="G1479" t="str">
        <f t="shared" si="104"/>
        <v>05/03/19</v>
      </c>
      <c r="H1479" t="str">
        <f t="shared" si="99"/>
        <v>New York Mets</v>
      </c>
      <c r="I1479" s="60">
        <f t="shared" si="100"/>
        <v>1</v>
      </c>
      <c r="J1479" t="str">
        <f t="shared" si="101"/>
        <v>Milwaukee Brewers</v>
      </c>
      <c r="K1479" s="60">
        <f t="shared" si="102"/>
        <v>3</v>
      </c>
      <c r="L1479">
        <f t="shared" si="103"/>
        <v>-2</v>
      </c>
    </row>
    <row r="1480" spans="1:12" x14ac:dyDescent="0.25">
      <c r="G1480" t="str">
        <f t="shared" si="104"/>
        <v>05/03/19</v>
      </c>
      <c r="H1480" t="str">
        <f t="shared" si="99"/>
        <v/>
      </c>
      <c r="I1480" s="60" t="str">
        <f t="shared" si="100"/>
        <v/>
      </c>
      <c r="J1480" t="str">
        <f t="shared" si="101"/>
        <v/>
      </c>
      <c r="K1480" s="60" t="str">
        <f t="shared" si="102"/>
        <v/>
      </c>
      <c r="L1480" t="str">
        <f t="shared" si="103"/>
        <v/>
      </c>
    </row>
    <row r="1481" spans="1:12" x14ac:dyDescent="0.25">
      <c r="A1481" t="s">
        <v>2182</v>
      </c>
      <c r="G1481" t="str">
        <f t="shared" si="104"/>
        <v>05/03/19</v>
      </c>
      <c r="H1481" t="str">
        <f t="shared" si="99"/>
        <v>Minnesota Twins</v>
      </c>
      <c r="I1481" s="60">
        <f t="shared" si="100"/>
        <v>3</v>
      </c>
      <c r="J1481" t="str">
        <f t="shared" si="101"/>
        <v>New York Yankees</v>
      </c>
      <c r="K1481" s="60">
        <f t="shared" si="102"/>
        <v>6</v>
      </c>
      <c r="L1481">
        <f t="shared" si="103"/>
        <v>-3</v>
      </c>
    </row>
    <row r="1482" spans="1:12" x14ac:dyDescent="0.25">
      <c r="G1482" t="str">
        <f t="shared" si="104"/>
        <v>05/03/19</v>
      </c>
      <c r="H1482" t="str">
        <f t="shared" si="99"/>
        <v/>
      </c>
      <c r="I1482" s="60" t="str">
        <f t="shared" si="100"/>
        <v/>
      </c>
      <c r="J1482" t="str">
        <f t="shared" si="101"/>
        <v/>
      </c>
      <c r="K1482" s="60" t="str">
        <f t="shared" si="102"/>
        <v/>
      </c>
      <c r="L1482" t="str">
        <f t="shared" si="103"/>
        <v/>
      </c>
    </row>
    <row r="1483" spans="1:12" x14ac:dyDescent="0.25">
      <c r="A1483" t="s">
        <v>2183</v>
      </c>
      <c r="G1483" t="str">
        <f t="shared" si="104"/>
        <v>05/03/19</v>
      </c>
      <c r="H1483" t="str">
        <f t="shared" si="99"/>
        <v>Washington Nationals</v>
      </c>
      <c r="I1483" s="60">
        <f t="shared" si="100"/>
        <v>2</v>
      </c>
      <c r="J1483" t="str">
        <f t="shared" si="101"/>
        <v>Philadelphia Phillies</v>
      </c>
      <c r="K1483" s="60">
        <f t="shared" si="102"/>
        <v>4</v>
      </c>
      <c r="L1483">
        <f t="shared" si="103"/>
        <v>-2</v>
      </c>
    </row>
    <row r="1484" spans="1:12" x14ac:dyDescent="0.25">
      <c r="G1484" t="str">
        <f t="shared" si="104"/>
        <v>05/03/19</v>
      </c>
      <c r="H1484" t="str">
        <f t="shared" si="99"/>
        <v/>
      </c>
      <c r="I1484" s="60" t="str">
        <f t="shared" si="100"/>
        <v/>
      </c>
      <c r="J1484" t="str">
        <f t="shared" si="101"/>
        <v/>
      </c>
      <c r="K1484" s="60" t="str">
        <f t="shared" si="102"/>
        <v/>
      </c>
      <c r="L1484" t="str">
        <f t="shared" si="103"/>
        <v/>
      </c>
    </row>
    <row r="1485" spans="1:12" x14ac:dyDescent="0.25">
      <c r="A1485" t="s">
        <v>2184</v>
      </c>
      <c r="G1485" t="str">
        <f t="shared" si="104"/>
        <v>05/03/19</v>
      </c>
      <c r="H1485" t="str">
        <f t="shared" si="99"/>
        <v>Oakland Athletics</v>
      </c>
      <c r="I1485" s="60">
        <f t="shared" si="100"/>
        <v>14</v>
      </c>
      <c r="J1485" t="str">
        <f t="shared" si="101"/>
        <v>Pittsburgh Pirates</v>
      </c>
      <c r="K1485" s="60">
        <f t="shared" si="102"/>
        <v>1</v>
      </c>
      <c r="L1485">
        <f t="shared" si="103"/>
        <v>13</v>
      </c>
    </row>
    <row r="1486" spans="1:12" x14ac:dyDescent="0.25">
      <c r="G1486" t="str">
        <f t="shared" si="104"/>
        <v>05/03/19</v>
      </c>
      <c r="H1486" t="str">
        <f t="shared" si="99"/>
        <v/>
      </c>
      <c r="I1486" s="60" t="str">
        <f t="shared" si="100"/>
        <v/>
      </c>
      <c r="J1486" t="str">
        <f t="shared" si="101"/>
        <v/>
      </c>
      <c r="K1486" s="60" t="str">
        <f t="shared" si="102"/>
        <v/>
      </c>
      <c r="L1486" t="str">
        <f t="shared" si="103"/>
        <v/>
      </c>
    </row>
    <row r="1487" spans="1:12" x14ac:dyDescent="0.25">
      <c r="A1487" t="s">
        <v>2185</v>
      </c>
      <c r="G1487" t="str">
        <f t="shared" si="104"/>
        <v>05/03/19</v>
      </c>
      <c r="H1487" t="str">
        <f t="shared" si="99"/>
        <v>Los Angeles Dodgers</v>
      </c>
      <c r="I1487" s="60">
        <f t="shared" si="100"/>
        <v>4</v>
      </c>
      <c r="J1487" t="str">
        <f t="shared" si="101"/>
        <v>San Diego Padres</v>
      </c>
      <c r="K1487" s="60">
        <f t="shared" si="102"/>
        <v>3</v>
      </c>
      <c r="L1487">
        <f t="shared" si="103"/>
        <v>1</v>
      </c>
    </row>
    <row r="1488" spans="1:12" x14ac:dyDescent="0.25">
      <c r="G1488" t="str">
        <f t="shared" si="104"/>
        <v>05/03/19</v>
      </c>
      <c r="H1488" t="str">
        <f t="shared" ref="H1488:H1551" si="105">IFERROR(LEFT(MID(A1488,1,SEARCH("@",A1488)-2),SEARCH("(",A1488)-2),"")</f>
        <v/>
      </c>
      <c r="I1488" s="60" t="str">
        <f t="shared" ref="I1488:I1551" si="106">IFERROR(VALUE(MID(A1488,SEARCH("(",A1488)+1,SEARCH(")",A1488)-SEARCH("(",A1488)-1)),"")</f>
        <v/>
      </c>
      <c r="J1488" t="str">
        <f t="shared" ref="J1488:J1551" si="107">IFERROR(MID(A1488,SEARCH("@",A1488)+2,SEARCH("(",A1488,SEARCH("@",A1488))-SEARCH("@",A1488)-3),"")</f>
        <v/>
      </c>
      <c r="K1488" s="60" t="str">
        <f t="shared" ref="K1488:K1551" si="108">IFERROR(VALUE(MID(A1488,SEARCH(J1488,A1488)+LEN(J1488)+2,(SEARCH(")",A1488,SEARCH("@",A1488))-SEARCH("(",A1488,SEARCH("@",A1488))-1))),"")</f>
        <v/>
      </c>
      <c r="L1488" t="str">
        <f t="shared" ref="L1488:L1551" si="109">IFERROR(I1488-K1488,"")</f>
        <v/>
      </c>
    </row>
    <row r="1489" spans="1:12" x14ac:dyDescent="0.25">
      <c r="A1489" t="s">
        <v>2186</v>
      </c>
      <c r="G1489" t="str">
        <f t="shared" si="104"/>
        <v>05/03/19</v>
      </c>
      <c r="H1489" t="str">
        <f t="shared" si="105"/>
        <v>Toronto Blue Jays</v>
      </c>
      <c r="I1489" s="60">
        <f t="shared" si="106"/>
        <v>1</v>
      </c>
      <c r="J1489" t="str">
        <f t="shared" si="107"/>
        <v>Texas Rangers</v>
      </c>
      <c r="K1489" s="60">
        <f t="shared" si="108"/>
        <v>0</v>
      </c>
      <c r="L1489">
        <f t="shared" si="109"/>
        <v>1</v>
      </c>
    </row>
    <row r="1490" spans="1:12" x14ac:dyDescent="0.25">
      <c r="G1490" t="str">
        <f t="shared" si="104"/>
        <v>05/03/19</v>
      </c>
      <c r="H1490" t="str">
        <f t="shared" si="105"/>
        <v/>
      </c>
      <c r="I1490" s="60" t="str">
        <f t="shared" si="106"/>
        <v/>
      </c>
      <c r="J1490" t="str">
        <f t="shared" si="107"/>
        <v/>
      </c>
      <c r="K1490" s="60" t="str">
        <f t="shared" si="108"/>
        <v/>
      </c>
      <c r="L1490" t="str">
        <f t="shared" si="109"/>
        <v/>
      </c>
    </row>
    <row r="1491" spans="1:12" x14ac:dyDescent="0.25">
      <c r="A1491" t="s">
        <v>2187</v>
      </c>
      <c r="G1491" t="str">
        <f t="shared" si="104"/>
        <v>05/03/19</v>
      </c>
      <c r="H1491" t="str">
        <f t="shared" si="105"/>
        <v/>
      </c>
      <c r="I1491" s="60" t="str">
        <f t="shared" si="106"/>
        <v/>
      </c>
      <c r="J1491" t="str">
        <f t="shared" si="107"/>
        <v/>
      </c>
      <c r="K1491" s="60" t="str">
        <f t="shared" si="108"/>
        <v/>
      </c>
      <c r="L1491" t="str">
        <f t="shared" si="109"/>
        <v/>
      </c>
    </row>
    <row r="1492" spans="1:12" x14ac:dyDescent="0.25">
      <c r="G1492" t="str">
        <f t="shared" si="104"/>
        <v>05/03/19</v>
      </c>
      <c r="H1492" t="str">
        <f t="shared" si="105"/>
        <v/>
      </c>
      <c r="I1492" s="60" t="str">
        <f t="shared" si="106"/>
        <v/>
      </c>
      <c r="J1492" t="str">
        <f t="shared" si="107"/>
        <v/>
      </c>
      <c r="K1492" s="60" t="str">
        <f t="shared" si="108"/>
        <v/>
      </c>
      <c r="L1492" t="str">
        <f t="shared" si="109"/>
        <v/>
      </c>
    </row>
    <row r="1493" spans="1:12" x14ac:dyDescent="0.25">
      <c r="A1493" t="s">
        <v>2188</v>
      </c>
      <c r="G1493" t="str">
        <f t="shared" si="104"/>
        <v>05/04/19</v>
      </c>
      <c r="H1493" t="str">
        <f t="shared" si="105"/>
        <v/>
      </c>
      <c r="I1493" s="60" t="str">
        <f t="shared" si="106"/>
        <v/>
      </c>
      <c r="J1493" t="str">
        <f t="shared" si="107"/>
        <v/>
      </c>
      <c r="K1493" s="60" t="str">
        <f t="shared" si="108"/>
        <v/>
      </c>
      <c r="L1493" t="str">
        <f t="shared" si="109"/>
        <v/>
      </c>
    </row>
    <row r="1494" spans="1:12" x14ac:dyDescent="0.25">
      <c r="G1494" t="str">
        <f t="shared" si="104"/>
        <v>05/04/19</v>
      </c>
      <c r="H1494" t="str">
        <f t="shared" si="105"/>
        <v/>
      </c>
      <c r="I1494" s="60" t="str">
        <f t="shared" si="106"/>
        <v/>
      </c>
      <c r="J1494" t="str">
        <f t="shared" si="107"/>
        <v/>
      </c>
      <c r="K1494" s="60" t="str">
        <f t="shared" si="108"/>
        <v/>
      </c>
      <c r="L1494" t="str">
        <f t="shared" si="109"/>
        <v/>
      </c>
    </row>
    <row r="1495" spans="1:12" x14ac:dyDescent="0.25">
      <c r="A1495" t="s">
        <v>2189</v>
      </c>
      <c r="G1495" t="str">
        <f t="shared" si="104"/>
        <v>05/04/19</v>
      </c>
      <c r="H1495" t="str">
        <f t="shared" si="105"/>
        <v>Houston Astros</v>
      </c>
      <c r="I1495" s="60">
        <f t="shared" si="106"/>
        <v>14</v>
      </c>
      <c r="J1495" t="str">
        <f t="shared" si="107"/>
        <v>Los Angeles Angels</v>
      </c>
      <c r="K1495" s="60">
        <f t="shared" si="108"/>
        <v>2</v>
      </c>
      <c r="L1495">
        <f t="shared" si="109"/>
        <v>12</v>
      </c>
    </row>
    <row r="1496" spans="1:12" x14ac:dyDescent="0.25">
      <c r="G1496" t="str">
        <f t="shared" si="104"/>
        <v>05/04/19</v>
      </c>
      <c r="H1496" t="str">
        <f t="shared" si="105"/>
        <v/>
      </c>
      <c r="I1496" s="60" t="str">
        <f t="shared" si="106"/>
        <v/>
      </c>
      <c r="J1496" t="str">
        <f t="shared" si="107"/>
        <v/>
      </c>
      <c r="K1496" s="60" t="str">
        <f t="shared" si="108"/>
        <v/>
      </c>
      <c r="L1496" t="str">
        <f t="shared" si="109"/>
        <v/>
      </c>
    </row>
    <row r="1497" spans="1:12" x14ac:dyDescent="0.25">
      <c r="A1497" t="s">
        <v>2190</v>
      </c>
      <c r="G1497" t="str">
        <f t="shared" si="104"/>
        <v>05/04/19</v>
      </c>
      <c r="H1497" t="str">
        <f t="shared" si="105"/>
        <v>Tampa Bay Rays</v>
      </c>
      <c r="I1497" s="60">
        <f t="shared" si="106"/>
        <v>0</v>
      </c>
      <c r="J1497" t="str">
        <f t="shared" si="107"/>
        <v>Baltimore Orioles</v>
      </c>
      <c r="K1497" s="60">
        <f t="shared" si="108"/>
        <v>3</v>
      </c>
      <c r="L1497">
        <f t="shared" si="109"/>
        <v>-3</v>
      </c>
    </row>
    <row r="1498" spans="1:12" x14ac:dyDescent="0.25">
      <c r="G1498" t="str">
        <f t="shared" si="104"/>
        <v>05/04/19</v>
      </c>
      <c r="H1498" t="str">
        <f t="shared" si="105"/>
        <v/>
      </c>
      <c r="I1498" s="60" t="str">
        <f t="shared" si="106"/>
        <v/>
      </c>
      <c r="J1498" t="str">
        <f t="shared" si="107"/>
        <v/>
      </c>
      <c r="K1498" s="60" t="str">
        <f t="shared" si="108"/>
        <v/>
      </c>
      <c r="L1498" t="str">
        <f t="shared" si="109"/>
        <v/>
      </c>
    </row>
    <row r="1499" spans="1:12" x14ac:dyDescent="0.25">
      <c r="A1499" t="s">
        <v>2191</v>
      </c>
      <c r="G1499" t="str">
        <f t="shared" si="104"/>
        <v>05/04/19</v>
      </c>
      <c r="H1499" t="str">
        <f t="shared" si="105"/>
        <v>Boston Red Sox</v>
      </c>
      <c r="I1499" s="60">
        <f t="shared" si="106"/>
        <v>15</v>
      </c>
      <c r="J1499" t="str">
        <f t="shared" si="107"/>
        <v>Chicago White Sox</v>
      </c>
      <c r="K1499" s="60">
        <f t="shared" si="108"/>
        <v>2</v>
      </c>
      <c r="L1499">
        <f t="shared" si="109"/>
        <v>13</v>
      </c>
    </row>
    <row r="1500" spans="1:12" x14ac:dyDescent="0.25">
      <c r="G1500" t="str">
        <f t="shared" si="104"/>
        <v>05/04/19</v>
      </c>
      <c r="H1500" t="str">
        <f t="shared" si="105"/>
        <v/>
      </c>
      <c r="I1500" s="60" t="str">
        <f t="shared" si="106"/>
        <v/>
      </c>
      <c r="J1500" t="str">
        <f t="shared" si="107"/>
        <v/>
      </c>
      <c r="K1500" s="60" t="str">
        <f t="shared" si="108"/>
        <v/>
      </c>
      <c r="L1500" t="str">
        <f t="shared" si="109"/>
        <v/>
      </c>
    </row>
    <row r="1501" spans="1:12" x14ac:dyDescent="0.25">
      <c r="A1501" t="s">
        <v>2192</v>
      </c>
      <c r="G1501" t="str">
        <f t="shared" si="104"/>
        <v>05/04/19</v>
      </c>
      <c r="H1501" t="str">
        <f t="shared" si="105"/>
        <v>St. Louis Cardinals</v>
      </c>
      <c r="I1501" s="60">
        <f t="shared" si="106"/>
        <v>5</v>
      </c>
      <c r="J1501" t="str">
        <f t="shared" si="107"/>
        <v>Chicago Cubs</v>
      </c>
      <c r="K1501" s="60">
        <f t="shared" si="108"/>
        <v>6</v>
      </c>
      <c r="L1501">
        <f t="shared" si="109"/>
        <v>-1</v>
      </c>
    </row>
    <row r="1502" spans="1:12" x14ac:dyDescent="0.25">
      <c r="G1502" t="str">
        <f t="shared" si="104"/>
        <v>05/04/19</v>
      </c>
      <c r="H1502" t="str">
        <f t="shared" si="105"/>
        <v/>
      </c>
      <c r="I1502" s="60" t="str">
        <f t="shared" si="106"/>
        <v/>
      </c>
      <c r="J1502" t="str">
        <f t="shared" si="107"/>
        <v/>
      </c>
      <c r="K1502" s="60" t="str">
        <f t="shared" si="108"/>
        <v/>
      </c>
      <c r="L1502" t="str">
        <f t="shared" si="109"/>
        <v/>
      </c>
    </row>
    <row r="1503" spans="1:12" x14ac:dyDescent="0.25">
      <c r="A1503" t="s">
        <v>2193</v>
      </c>
      <c r="G1503" t="str">
        <f t="shared" si="104"/>
        <v>05/04/19</v>
      </c>
      <c r="H1503" t="str">
        <f t="shared" si="105"/>
        <v>San Francisco Giants</v>
      </c>
      <c r="I1503" s="60">
        <f t="shared" si="106"/>
        <v>2</v>
      </c>
      <c r="J1503" t="str">
        <f t="shared" si="107"/>
        <v>Cincinnati Reds</v>
      </c>
      <c r="K1503" s="60">
        <f t="shared" si="108"/>
        <v>9</v>
      </c>
      <c r="L1503">
        <f t="shared" si="109"/>
        <v>-7</v>
      </c>
    </row>
    <row r="1504" spans="1:12" x14ac:dyDescent="0.25">
      <c r="G1504" t="str">
        <f t="shared" si="104"/>
        <v>05/04/19</v>
      </c>
      <c r="H1504" t="str">
        <f t="shared" si="105"/>
        <v/>
      </c>
      <c r="I1504" s="60" t="str">
        <f t="shared" si="106"/>
        <v/>
      </c>
      <c r="J1504" t="str">
        <f t="shared" si="107"/>
        <v/>
      </c>
      <c r="K1504" s="60" t="str">
        <f t="shared" si="108"/>
        <v/>
      </c>
      <c r="L1504" t="str">
        <f t="shared" si="109"/>
        <v/>
      </c>
    </row>
    <row r="1505" spans="1:12" x14ac:dyDescent="0.25">
      <c r="A1505" t="s">
        <v>2194</v>
      </c>
      <c r="G1505" t="str">
        <f t="shared" si="104"/>
        <v>05/04/19</v>
      </c>
      <c r="H1505" t="str">
        <f t="shared" si="105"/>
        <v>Seattle Mariners</v>
      </c>
      <c r="I1505" s="60">
        <f t="shared" si="106"/>
        <v>4</v>
      </c>
      <c r="J1505" t="str">
        <f t="shared" si="107"/>
        <v>Cleveland Indians</v>
      </c>
      <c r="K1505" s="60">
        <f t="shared" si="108"/>
        <v>5</v>
      </c>
      <c r="L1505">
        <f t="shared" si="109"/>
        <v>-1</v>
      </c>
    </row>
    <row r="1506" spans="1:12" x14ac:dyDescent="0.25">
      <c r="G1506" t="str">
        <f t="shared" ref="G1506:G1569" si="110">IF(ISNUMBER(MATCH(IFERROR(LEFT(A1506,SEARCH(",",A1506)-1),""),$G$220:$M$220,0)),TEXT(MID(A1506,SEARCH(",",A1506)+2,LEN(A1506)),"mm/dd/yy"),G1505)</f>
        <v>05/04/19</v>
      </c>
      <c r="H1506" t="str">
        <f t="shared" si="105"/>
        <v/>
      </c>
      <c r="I1506" s="60" t="str">
        <f t="shared" si="106"/>
        <v/>
      </c>
      <c r="J1506" t="str">
        <f t="shared" si="107"/>
        <v/>
      </c>
      <c r="K1506" s="60" t="str">
        <f t="shared" si="108"/>
        <v/>
      </c>
      <c r="L1506" t="str">
        <f t="shared" si="109"/>
        <v/>
      </c>
    </row>
    <row r="1507" spans="1:12" x14ac:dyDescent="0.25">
      <c r="A1507" t="s">
        <v>2195</v>
      </c>
      <c r="G1507" t="str">
        <f t="shared" si="110"/>
        <v>05/04/19</v>
      </c>
      <c r="H1507" t="str">
        <f t="shared" si="105"/>
        <v>Arizona D'Backs</v>
      </c>
      <c r="I1507" s="60">
        <f t="shared" si="106"/>
        <v>9</v>
      </c>
      <c r="J1507" t="str">
        <f t="shared" si="107"/>
        <v>Colorado Rockies</v>
      </c>
      <c r="K1507" s="60">
        <f t="shared" si="108"/>
        <v>2</v>
      </c>
      <c r="L1507">
        <f t="shared" si="109"/>
        <v>7</v>
      </c>
    </row>
    <row r="1508" spans="1:12" x14ac:dyDescent="0.25">
      <c r="G1508" t="str">
        <f t="shared" si="110"/>
        <v>05/04/19</v>
      </c>
      <c r="H1508" t="str">
        <f t="shared" si="105"/>
        <v/>
      </c>
      <c r="I1508" s="60" t="str">
        <f t="shared" si="106"/>
        <v/>
      </c>
      <c r="J1508" t="str">
        <f t="shared" si="107"/>
        <v/>
      </c>
      <c r="K1508" s="60" t="str">
        <f t="shared" si="108"/>
        <v/>
      </c>
      <c r="L1508" t="str">
        <f t="shared" si="109"/>
        <v/>
      </c>
    </row>
    <row r="1509" spans="1:12" x14ac:dyDescent="0.25">
      <c r="A1509" t="s">
        <v>2196</v>
      </c>
      <c r="G1509" t="str">
        <f t="shared" si="110"/>
        <v>05/04/19</v>
      </c>
      <c r="H1509" t="str">
        <f t="shared" si="105"/>
        <v>Kansas City Royals</v>
      </c>
      <c r="I1509" s="60">
        <f t="shared" si="106"/>
        <v>15</v>
      </c>
      <c r="J1509" t="str">
        <f t="shared" si="107"/>
        <v>Detroit Tigers</v>
      </c>
      <c r="K1509" s="60">
        <f t="shared" si="108"/>
        <v>3</v>
      </c>
      <c r="L1509">
        <f t="shared" si="109"/>
        <v>12</v>
      </c>
    </row>
    <row r="1510" spans="1:12" x14ac:dyDescent="0.25">
      <c r="G1510" t="str">
        <f t="shared" si="110"/>
        <v>05/04/19</v>
      </c>
      <c r="H1510" t="str">
        <f t="shared" si="105"/>
        <v/>
      </c>
      <c r="I1510" s="60" t="str">
        <f t="shared" si="106"/>
        <v/>
      </c>
      <c r="J1510" t="str">
        <f t="shared" si="107"/>
        <v/>
      </c>
      <c r="K1510" s="60" t="str">
        <f t="shared" si="108"/>
        <v/>
      </c>
      <c r="L1510" t="str">
        <f t="shared" si="109"/>
        <v/>
      </c>
    </row>
    <row r="1511" spans="1:12" x14ac:dyDescent="0.25">
      <c r="A1511" t="s">
        <v>2197</v>
      </c>
      <c r="G1511" t="str">
        <f t="shared" si="110"/>
        <v>05/04/19</v>
      </c>
      <c r="H1511" t="str">
        <f t="shared" si="105"/>
        <v>Atlanta Braves</v>
      </c>
      <c r="I1511" s="60">
        <f t="shared" si="106"/>
        <v>9</v>
      </c>
      <c r="J1511" t="str">
        <f t="shared" si="107"/>
        <v>Miami Marlins</v>
      </c>
      <c r="K1511" s="60">
        <f t="shared" si="108"/>
        <v>2</v>
      </c>
      <c r="L1511">
        <f t="shared" si="109"/>
        <v>7</v>
      </c>
    </row>
    <row r="1512" spans="1:12" x14ac:dyDescent="0.25">
      <c r="G1512" t="str">
        <f t="shared" si="110"/>
        <v>05/04/19</v>
      </c>
      <c r="H1512" t="str">
        <f t="shared" si="105"/>
        <v/>
      </c>
      <c r="I1512" s="60" t="str">
        <f t="shared" si="106"/>
        <v/>
      </c>
      <c r="J1512" t="str">
        <f t="shared" si="107"/>
        <v/>
      </c>
      <c r="K1512" s="60" t="str">
        <f t="shared" si="108"/>
        <v/>
      </c>
      <c r="L1512" t="str">
        <f t="shared" si="109"/>
        <v/>
      </c>
    </row>
    <row r="1513" spans="1:12" x14ac:dyDescent="0.25">
      <c r="A1513" t="s">
        <v>2198</v>
      </c>
      <c r="G1513" t="str">
        <f t="shared" si="110"/>
        <v>05/04/19</v>
      </c>
      <c r="H1513" t="str">
        <f t="shared" si="105"/>
        <v>New York Mets</v>
      </c>
      <c r="I1513" s="60">
        <f t="shared" si="106"/>
        <v>3</v>
      </c>
      <c r="J1513" t="str">
        <f t="shared" si="107"/>
        <v>Milwaukee Brewers</v>
      </c>
      <c r="K1513" s="60">
        <f t="shared" si="108"/>
        <v>4</v>
      </c>
      <c r="L1513">
        <f t="shared" si="109"/>
        <v>-1</v>
      </c>
    </row>
    <row r="1514" spans="1:12" x14ac:dyDescent="0.25">
      <c r="G1514" t="str">
        <f t="shared" si="110"/>
        <v>05/04/19</v>
      </c>
      <c r="H1514" t="str">
        <f t="shared" si="105"/>
        <v/>
      </c>
      <c r="I1514" s="60" t="str">
        <f t="shared" si="106"/>
        <v/>
      </c>
      <c r="J1514" t="str">
        <f t="shared" si="107"/>
        <v/>
      </c>
      <c r="K1514" s="60" t="str">
        <f t="shared" si="108"/>
        <v/>
      </c>
      <c r="L1514" t="str">
        <f t="shared" si="109"/>
        <v/>
      </c>
    </row>
    <row r="1515" spans="1:12" x14ac:dyDescent="0.25">
      <c r="A1515" t="s">
        <v>2199</v>
      </c>
      <c r="G1515" t="str">
        <f t="shared" si="110"/>
        <v>05/04/19</v>
      </c>
      <c r="H1515" t="str">
        <f t="shared" si="105"/>
        <v>Minnesota Twins</v>
      </c>
      <c r="I1515" s="60">
        <f t="shared" si="106"/>
        <v>7</v>
      </c>
      <c r="J1515" t="str">
        <f t="shared" si="107"/>
        <v>New York Yankees</v>
      </c>
      <c r="K1515" s="60">
        <f t="shared" si="108"/>
        <v>3</v>
      </c>
      <c r="L1515">
        <f t="shared" si="109"/>
        <v>4</v>
      </c>
    </row>
    <row r="1516" spans="1:12" x14ac:dyDescent="0.25">
      <c r="G1516" t="str">
        <f t="shared" si="110"/>
        <v>05/04/19</v>
      </c>
      <c r="H1516" t="str">
        <f t="shared" si="105"/>
        <v/>
      </c>
      <c r="I1516" s="60" t="str">
        <f t="shared" si="106"/>
        <v/>
      </c>
      <c r="J1516" t="str">
        <f t="shared" si="107"/>
        <v/>
      </c>
      <c r="K1516" s="60" t="str">
        <f t="shared" si="108"/>
        <v/>
      </c>
      <c r="L1516" t="str">
        <f t="shared" si="109"/>
        <v/>
      </c>
    </row>
    <row r="1517" spans="1:12" x14ac:dyDescent="0.25">
      <c r="A1517" t="s">
        <v>2200</v>
      </c>
      <c r="G1517" t="str">
        <f t="shared" si="110"/>
        <v>05/04/19</v>
      </c>
      <c r="H1517" t="str">
        <f t="shared" si="105"/>
        <v>Washington Nationals</v>
      </c>
      <c r="I1517" s="60">
        <f t="shared" si="106"/>
        <v>10</v>
      </c>
      <c r="J1517" t="str">
        <f t="shared" si="107"/>
        <v>Philadelphia Phillies</v>
      </c>
      <c r="K1517" s="60">
        <f t="shared" si="108"/>
        <v>8</v>
      </c>
      <c r="L1517">
        <f t="shared" si="109"/>
        <v>2</v>
      </c>
    </row>
    <row r="1518" spans="1:12" x14ac:dyDescent="0.25">
      <c r="G1518" t="str">
        <f t="shared" si="110"/>
        <v>05/04/19</v>
      </c>
      <c r="H1518" t="str">
        <f t="shared" si="105"/>
        <v/>
      </c>
      <c r="I1518" s="60" t="str">
        <f t="shared" si="106"/>
        <v/>
      </c>
      <c r="J1518" t="str">
        <f t="shared" si="107"/>
        <v/>
      </c>
      <c r="K1518" s="60" t="str">
        <f t="shared" si="108"/>
        <v/>
      </c>
      <c r="L1518" t="str">
        <f t="shared" si="109"/>
        <v/>
      </c>
    </row>
    <row r="1519" spans="1:12" x14ac:dyDescent="0.25">
      <c r="A1519" t="s">
        <v>2201</v>
      </c>
      <c r="G1519" t="str">
        <f t="shared" si="110"/>
        <v>05/04/19</v>
      </c>
      <c r="H1519" t="str">
        <f t="shared" si="105"/>
        <v>Oakland Athletics</v>
      </c>
      <c r="I1519" s="60">
        <f t="shared" si="106"/>
        <v>4</v>
      </c>
      <c r="J1519" t="str">
        <f t="shared" si="107"/>
        <v>Pittsburgh Pirates</v>
      </c>
      <c r="K1519" s="60">
        <f t="shared" si="108"/>
        <v>6</v>
      </c>
      <c r="L1519">
        <f t="shared" si="109"/>
        <v>-2</v>
      </c>
    </row>
    <row r="1520" spans="1:12" x14ac:dyDescent="0.25">
      <c r="G1520" t="str">
        <f t="shared" si="110"/>
        <v>05/04/19</v>
      </c>
      <c r="H1520" t="str">
        <f t="shared" si="105"/>
        <v/>
      </c>
      <c r="I1520" s="60" t="str">
        <f t="shared" si="106"/>
        <v/>
      </c>
      <c r="J1520" t="str">
        <f t="shared" si="107"/>
        <v/>
      </c>
      <c r="K1520" s="60" t="str">
        <f t="shared" si="108"/>
        <v/>
      </c>
      <c r="L1520" t="str">
        <f t="shared" si="109"/>
        <v/>
      </c>
    </row>
    <row r="1521" spans="1:12" x14ac:dyDescent="0.25">
      <c r="A1521" t="s">
        <v>2202</v>
      </c>
      <c r="G1521" t="str">
        <f t="shared" si="110"/>
        <v>05/04/19</v>
      </c>
      <c r="H1521" t="str">
        <f t="shared" si="105"/>
        <v>Los Angeles Dodgers</v>
      </c>
      <c r="I1521" s="60">
        <f t="shared" si="106"/>
        <v>7</v>
      </c>
      <c r="J1521" t="str">
        <f t="shared" si="107"/>
        <v>San Diego Padres</v>
      </c>
      <c r="K1521" s="60">
        <f t="shared" si="108"/>
        <v>6</v>
      </c>
      <c r="L1521">
        <f t="shared" si="109"/>
        <v>1</v>
      </c>
    </row>
    <row r="1522" spans="1:12" x14ac:dyDescent="0.25">
      <c r="G1522" t="str">
        <f t="shared" si="110"/>
        <v>05/04/19</v>
      </c>
      <c r="H1522" t="str">
        <f t="shared" si="105"/>
        <v/>
      </c>
      <c r="I1522" s="60" t="str">
        <f t="shared" si="106"/>
        <v/>
      </c>
      <c r="J1522" t="str">
        <f t="shared" si="107"/>
        <v/>
      </c>
      <c r="K1522" s="60" t="str">
        <f t="shared" si="108"/>
        <v/>
      </c>
      <c r="L1522" t="str">
        <f t="shared" si="109"/>
        <v/>
      </c>
    </row>
    <row r="1523" spans="1:12" x14ac:dyDescent="0.25">
      <c r="A1523" t="s">
        <v>2203</v>
      </c>
      <c r="G1523" t="str">
        <f t="shared" si="110"/>
        <v>05/04/19</v>
      </c>
      <c r="H1523" t="str">
        <f t="shared" si="105"/>
        <v>Toronto Blue Jays</v>
      </c>
      <c r="I1523" s="60">
        <f t="shared" si="106"/>
        <v>5</v>
      </c>
      <c r="J1523" t="str">
        <f t="shared" si="107"/>
        <v>Texas Rangers</v>
      </c>
      <c r="K1523" s="60">
        <f t="shared" si="108"/>
        <v>8</v>
      </c>
      <c r="L1523">
        <f t="shared" si="109"/>
        <v>-3</v>
      </c>
    </row>
    <row r="1524" spans="1:12" x14ac:dyDescent="0.25">
      <c r="G1524" t="str">
        <f t="shared" si="110"/>
        <v>05/04/19</v>
      </c>
      <c r="H1524" t="str">
        <f t="shared" si="105"/>
        <v/>
      </c>
      <c r="I1524" s="60" t="str">
        <f t="shared" si="106"/>
        <v/>
      </c>
      <c r="J1524" t="str">
        <f t="shared" si="107"/>
        <v/>
      </c>
      <c r="K1524" s="60" t="str">
        <f t="shared" si="108"/>
        <v/>
      </c>
      <c r="L1524" t="str">
        <f t="shared" si="109"/>
        <v/>
      </c>
    </row>
    <row r="1525" spans="1:12" x14ac:dyDescent="0.25">
      <c r="A1525" t="s">
        <v>2204</v>
      </c>
      <c r="G1525" t="str">
        <f t="shared" si="110"/>
        <v>05/04/19</v>
      </c>
      <c r="H1525" t="str">
        <f t="shared" si="105"/>
        <v/>
      </c>
      <c r="I1525" s="60" t="str">
        <f t="shared" si="106"/>
        <v/>
      </c>
      <c r="J1525" t="str">
        <f t="shared" si="107"/>
        <v/>
      </c>
      <c r="K1525" s="60" t="str">
        <f t="shared" si="108"/>
        <v/>
      </c>
      <c r="L1525" t="str">
        <f t="shared" si="109"/>
        <v/>
      </c>
    </row>
    <row r="1526" spans="1:12" x14ac:dyDescent="0.25">
      <c r="G1526" t="str">
        <f t="shared" si="110"/>
        <v>05/04/19</v>
      </c>
      <c r="H1526" t="str">
        <f t="shared" si="105"/>
        <v/>
      </c>
      <c r="I1526" s="60" t="str">
        <f t="shared" si="106"/>
        <v/>
      </c>
      <c r="J1526" t="str">
        <f t="shared" si="107"/>
        <v/>
      </c>
      <c r="K1526" s="60" t="str">
        <f t="shared" si="108"/>
        <v/>
      </c>
      <c r="L1526" t="str">
        <f t="shared" si="109"/>
        <v/>
      </c>
    </row>
    <row r="1527" spans="1:12" x14ac:dyDescent="0.25">
      <c r="A1527" t="s">
        <v>2205</v>
      </c>
      <c r="G1527" t="str">
        <f t="shared" si="110"/>
        <v>05/05/19</v>
      </c>
      <c r="H1527" t="str">
        <f t="shared" si="105"/>
        <v/>
      </c>
      <c r="I1527" s="60" t="str">
        <f t="shared" si="106"/>
        <v/>
      </c>
      <c r="J1527" t="str">
        <f t="shared" si="107"/>
        <v/>
      </c>
      <c r="K1527" s="60" t="str">
        <f t="shared" si="108"/>
        <v/>
      </c>
      <c r="L1527" t="str">
        <f t="shared" si="109"/>
        <v/>
      </c>
    </row>
    <row r="1528" spans="1:12" x14ac:dyDescent="0.25">
      <c r="G1528" t="str">
        <f t="shared" si="110"/>
        <v>05/05/19</v>
      </c>
      <c r="H1528" t="str">
        <f t="shared" si="105"/>
        <v/>
      </c>
      <c r="I1528" s="60" t="str">
        <f t="shared" si="106"/>
        <v/>
      </c>
      <c r="J1528" t="str">
        <f t="shared" si="107"/>
        <v/>
      </c>
      <c r="K1528" s="60" t="str">
        <f t="shared" si="108"/>
        <v/>
      </c>
      <c r="L1528" t="str">
        <f t="shared" si="109"/>
        <v/>
      </c>
    </row>
    <row r="1529" spans="1:12" x14ac:dyDescent="0.25">
      <c r="A1529" t="s">
        <v>2206</v>
      </c>
      <c r="G1529" t="str">
        <f t="shared" si="110"/>
        <v>05/05/19</v>
      </c>
      <c r="H1529" t="str">
        <f t="shared" si="105"/>
        <v>Houston Astros</v>
      </c>
      <c r="I1529" s="60">
        <f t="shared" si="106"/>
        <v>10</v>
      </c>
      <c r="J1529" t="str">
        <f t="shared" si="107"/>
        <v>Los Angeles Angels</v>
      </c>
      <c r="K1529" s="60">
        <f t="shared" si="108"/>
        <v>4</v>
      </c>
      <c r="L1529">
        <f t="shared" si="109"/>
        <v>6</v>
      </c>
    </row>
    <row r="1530" spans="1:12" x14ac:dyDescent="0.25">
      <c r="G1530" t="str">
        <f t="shared" si="110"/>
        <v>05/05/19</v>
      </c>
      <c r="H1530" t="str">
        <f t="shared" si="105"/>
        <v/>
      </c>
      <c r="I1530" s="60" t="str">
        <f t="shared" si="106"/>
        <v/>
      </c>
      <c r="J1530" t="str">
        <f t="shared" si="107"/>
        <v/>
      </c>
      <c r="K1530" s="60" t="str">
        <f t="shared" si="108"/>
        <v/>
      </c>
      <c r="L1530" t="str">
        <f t="shared" si="109"/>
        <v/>
      </c>
    </row>
    <row r="1531" spans="1:12" x14ac:dyDescent="0.25">
      <c r="A1531" t="s">
        <v>2207</v>
      </c>
      <c r="G1531" t="str">
        <f t="shared" si="110"/>
        <v>05/05/19</v>
      </c>
      <c r="H1531" t="str">
        <f t="shared" si="105"/>
        <v>Boston Red Sox</v>
      </c>
      <c r="I1531" s="60">
        <f t="shared" si="106"/>
        <v>9</v>
      </c>
      <c r="J1531" t="str">
        <f t="shared" si="107"/>
        <v>Chicago White Sox</v>
      </c>
      <c r="K1531" s="60">
        <f t="shared" si="108"/>
        <v>2</v>
      </c>
      <c r="L1531">
        <f t="shared" si="109"/>
        <v>7</v>
      </c>
    </row>
    <row r="1532" spans="1:12" x14ac:dyDescent="0.25">
      <c r="G1532" t="str">
        <f t="shared" si="110"/>
        <v>05/05/19</v>
      </c>
      <c r="H1532" t="str">
        <f t="shared" si="105"/>
        <v/>
      </c>
      <c r="I1532" s="60" t="str">
        <f t="shared" si="106"/>
        <v/>
      </c>
      <c r="J1532" t="str">
        <f t="shared" si="107"/>
        <v/>
      </c>
      <c r="K1532" s="60" t="str">
        <f t="shared" si="108"/>
        <v/>
      </c>
      <c r="L1532" t="str">
        <f t="shared" si="109"/>
        <v/>
      </c>
    </row>
    <row r="1533" spans="1:12" x14ac:dyDescent="0.25">
      <c r="A1533" t="s">
        <v>2208</v>
      </c>
      <c r="G1533" t="str">
        <f t="shared" si="110"/>
        <v>05/05/19</v>
      </c>
      <c r="H1533" t="str">
        <f t="shared" si="105"/>
        <v>St. Louis Cardinals</v>
      </c>
      <c r="I1533" s="60">
        <f t="shared" si="106"/>
        <v>5</v>
      </c>
      <c r="J1533" t="str">
        <f t="shared" si="107"/>
        <v>Chicago Cubs</v>
      </c>
      <c r="K1533" s="60">
        <f t="shared" si="108"/>
        <v>13</v>
      </c>
      <c r="L1533">
        <f t="shared" si="109"/>
        <v>-8</v>
      </c>
    </row>
    <row r="1534" spans="1:12" x14ac:dyDescent="0.25">
      <c r="G1534" t="str">
        <f t="shared" si="110"/>
        <v>05/05/19</v>
      </c>
      <c r="H1534" t="str">
        <f t="shared" si="105"/>
        <v/>
      </c>
      <c r="I1534" s="60" t="str">
        <f t="shared" si="106"/>
        <v/>
      </c>
      <c r="J1534" t="str">
        <f t="shared" si="107"/>
        <v/>
      </c>
      <c r="K1534" s="60" t="str">
        <f t="shared" si="108"/>
        <v/>
      </c>
      <c r="L1534" t="str">
        <f t="shared" si="109"/>
        <v/>
      </c>
    </row>
    <row r="1535" spans="1:12" x14ac:dyDescent="0.25">
      <c r="A1535" t="s">
        <v>2209</v>
      </c>
      <c r="G1535" t="str">
        <f t="shared" si="110"/>
        <v>05/05/19</v>
      </c>
      <c r="H1535" t="str">
        <f t="shared" si="105"/>
        <v>San Francisco Giants</v>
      </c>
      <c r="I1535" s="60">
        <f t="shared" si="106"/>
        <v>6</v>
      </c>
      <c r="J1535" t="str">
        <f t="shared" si="107"/>
        <v>Cincinnati Reds</v>
      </c>
      <c r="K1535" s="60">
        <f t="shared" si="108"/>
        <v>5</v>
      </c>
      <c r="L1535">
        <f t="shared" si="109"/>
        <v>1</v>
      </c>
    </row>
    <row r="1536" spans="1:12" x14ac:dyDescent="0.25">
      <c r="G1536" t="str">
        <f t="shared" si="110"/>
        <v>05/05/19</v>
      </c>
      <c r="H1536" t="str">
        <f t="shared" si="105"/>
        <v/>
      </c>
      <c r="I1536" s="60" t="str">
        <f t="shared" si="106"/>
        <v/>
      </c>
      <c r="J1536" t="str">
        <f t="shared" si="107"/>
        <v/>
      </c>
      <c r="K1536" s="60" t="str">
        <f t="shared" si="108"/>
        <v/>
      </c>
      <c r="L1536" t="str">
        <f t="shared" si="109"/>
        <v/>
      </c>
    </row>
    <row r="1537" spans="1:12" x14ac:dyDescent="0.25">
      <c r="A1537" t="s">
        <v>2210</v>
      </c>
      <c r="G1537" t="str">
        <f t="shared" si="110"/>
        <v>05/05/19</v>
      </c>
      <c r="H1537" t="str">
        <f t="shared" si="105"/>
        <v>Seattle Mariners</v>
      </c>
      <c r="I1537" s="60">
        <f t="shared" si="106"/>
        <v>10</v>
      </c>
      <c r="J1537" t="str">
        <f t="shared" si="107"/>
        <v>Cleveland Indians</v>
      </c>
      <c r="K1537" s="60">
        <f t="shared" si="108"/>
        <v>0</v>
      </c>
      <c r="L1537">
        <f t="shared" si="109"/>
        <v>10</v>
      </c>
    </row>
    <row r="1538" spans="1:12" x14ac:dyDescent="0.25">
      <c r="G1538" t="str">
        <f t="shared" si="110"/>
        <v>05/05/19</v>
      </c>
      <c r="H1538" t="str">
        <f t="shared" si="105"/>
        <v/>
      </c>
      <c r="I1538" s="60" t="str">
        <f t="shared" si="106"/>
        <v/>
      </c>
      <c r="J1538" t="str">
        <f t="shared" si="107"/>
        <v/>
      </c>
      <c r="K1538" s="60" t="str">
        <f t="shared" si="108"/>
        <v/>
      </c>
      <c r="L1538" t="str">
        <f t="shared" si="109"/>
        <v/>
      </c>
    </row>
    <row r="1539" spans="1:12" x14ac:dyDescent="0.25">
      <c r="A1539" t="s">
        <v>2211</v>
      </c>
      <c r="G1539" t="str">
        <f t="shared" si="110"/>
        <v>05/05/19</v>
      </c>
      <c r="H1539" t="str">
        <f t="shared" si="105"/>
        <v>Arizona D'Backs</v>
      </c>
      <c r="I1539" s="60">
        <f t="shared" si="106"/>
        <v>7</v>
      </c>
      <c r="J1539" t="str">
        <f t="shared" si="107"/>
        <v>Colorado Rockies</v>
      </c>
      <c r="K1539" s="60">
        <f t="shared" si="108"/>
        <v>8</v>
      </c>
      <c r="L1539">
        <f t="shared" si="109"/>
        <v>-1</v>
      </c>
    </row>
    <row r="1540" spans="1:12" x14ac:dyDescent="0.25">
      <c r="G1540" t="str">
        <f t="shared" si="110"/>
        <v>05/05/19</v>
      </c>
      <c r="H1540" t="str">
        <f t="shared" si="105"/>
        <v/>
      </c>
      <c r="I1540" s="60" t="str">
        <f t="shared" si="106"/>
        <v/>
      </c>
      <c r="J1540" t="str">
        <f t="shared" si="107"/>
        <v/>
      </c>
      <c r="K1540" s="60" t="str">
        <f t="shared" si="108"/>
        <v/>
      </c>
      <c r="L1540" t="str">
        <f t="shared" si="109"/>
        <v/>
      </c>
    </row>
    <row r="1541" spans="1:12" x14ac:dyDescent="0.25">
      <c r="A1541" t="s">
        <v>2212</v>
      </c>
      <c r="G1541" t="str">
        <f t="shared" si="110"/>
        <v>05/05/19</v>
      </c>
      <c r="H1541" t="str">
        <f t="shared" si="105"/>
        <v>Kansas City Royals</v>
      </c>
      <c r="I1541" s="60">
        <f t="shared" si="106"/>
        <v>2</v>
      </c>
      <c r="J1541" t="str">
        <f t="shared" si="107"/>
        <v>Detroit Tigers</v>
      </c>
      <c r="K1541" s="60">
        <f t="shared" si="108"/>
        <v>5</v>
      </c>
      <c r="L1541">
        <f t="shared" si="109"/>
        <v>-3</v>
      </c>
    </row>
    <row r="1542" spans="1:12" x14ac:dyDescent="0.25">
      <c r="G1542" t="str">
        <f t="shared" si="110"/>
        <v>05/05/19</v>
      </c>
      <c r="H1542" t="str">
        <f t="shared" si="105"/>
        <v/>
      </c>
      <c r="I1542" s="60" t="str">
        <f t="shared" si="106"/>
        <v/>
      </c>
      <c r="J1542" t="str">
        <f t="shared" si="107"/>
        <v/>
      </c>
      <c r="K1542" s="60" t="str">
        <f t="shared" si="108"/>
        <v/>
      </c>
      <c r="L1542" t="str">
        <f t="shared" si="109"/>
        <v/>
      </c>
    </row>
    <row r="1543" spans="1:12" x14ac:dyDescent="0.25">
      <c r="A1543" t="s">
        <v>2213</v>
      </c>
      <c r="G1543" t="str">
        <f t="shared" si="110"/>
        <v>05/05/19</v>
      </c>
      <c r="H1543" t="str">
        <f t="shared" si="105"/>
        <v>Atlanta Braves</v>
      </c>
      <c r="I1543" s="60">
        <f t="shared" si="106"/>
        <v>3</v>
      </c>
      <c r="J1543" t="str">
        <f t="shared" si="107"/>
        <v>Miami Marlins</v>
      </c>
      <c r="K1543" s="60">
        <f t="shared" si="108"/>
        <v>1</v>
      </c>
      <c r="L1543">
        <f t="shared" si="109"/>
        <v>2</v>
      </c>
    </row>
    <row r="1544" spans="1:12" x14ac:dyDescent="0.25">
      <c r="G1544" t="str">
        <f t="shared" si="110"/>
        <v>05/05/19</v>
      </c>
      <c r="H1544" t="str">
        <f t="shared" si="105"/>
        <v/>
      </c>
      <c r="I1544" s="60" t="str">
        <f t="shared" si="106"/>
        <v/>
      </c>
      <c r="J1544" t="str">
        <f t="shared" si="107"/>
        <v/>
      </c>
      <c r="K1544" s="60" t="str">
        <f t="shared" si="108"/>
        <v/>
      </c>
      <c r="L1544" t="str">
        <f t="shared" si="109"/>
        <v/>
      </c>
    </row>
    <row r="1545" spans="1:12" x14ac:dyDescent="0.25">
      <c r="A1545" t="s">
        <v>2214</v>
      </c>
      <c r="G1545" t="str">
        <f t="shared" si="110"/>
        <v>05/05/19</v>
      </c>
      <c r="H1545" t="str">
        <f t="shared" si="105"/>
        <v>New York Mets</v>
      </c>
      <c r="I1545" s="60">
        <f t="shared" si="106"/>
        <v>2</v>
      </c>
      <c r="J1545" t="str">
        <f t="shared" si="107"/>
        <v>Milwaukee Brewers</v>
      </c>
      <c r="K1545" s="60">
        <f t="shared" si="108"/>
        <v>3</v>
      </c>
      <c r="L1545">
        <f t="shared" si="109"/>
        <v>-1</v>
      </c>
    </row>
    <row r="1546" spans="1:12" x14ac:dyDescent="0.25">
      <c r="G1546" t="str">
        <f t="shared" si="110"/>
        <v>05/05/19</v>
      </c>
      <c r="H1546" t="str">
        <f t="shared" si="105"/>
        <v/>
      </c>
      <c r="I1546" s="60" t="str">
        <f t="shared" si="106"/>
        <v/>
      </c>
      <c r="J1546" t="str">
        <f t="shared" si="107"/>
        <v/>
      </c>
      <c r="K1546" s="60" t="str">
        <f t="shared" si="108"/>
        <v/>
      </c>
      <c r="L1546" t="str">
        <f t="shared" si="109"/>
        <v/>
      </c>
    </row>
    <row r="1547" spans="1:12" x14ac:dyDescent="0.25">
      <c r="A1547" t="s">
        <v>2215</v>
      </c>
      <c r="G1547" t="str">
        <f t="shared" si="110"/>
        <v>05/05/19</v>
      </c>
      <c r="H1547" t="str">
        <f t="shared" si="105"/>
        <v>Minnesota Twins</v>
      </c>
      <c r="I1547" s="60">
        <f t="shared" si="106"/>
        <v>1</v>
      </c>
      <c r="J1547" t="str">
        <f t="shared" si="107"/>
        <v>New York Yankees</v>
      </c>
      <c r="K1547" s="60">
        <f t="shared" si="108"/>
        <v>4</v>
      </c>
      <c r="L1547">
        <f t="shared" si="109"/>
        <v>-3</v>
      </c>
    </row>
    <row r="1548" spans="1:12" x14ac:dyDescent="0.25">
      <c r="G1548" t="str">
        <f t="shared" si="110"/>
        <v>05/05/19</v>
      </c>
      <c r="H1548" t="str">
        <f t="shared" si="105"/>
        <v/>
      </c>
      <c r="I1548" s="60" t="str">
        <f t="shared" si="106"/>
        <v/>
      </c>
      <c r="J1548" t="str">
        <f t="shared" si="107"/>
        <v/>
      </c>
      <c r="K1548" s="60" t="str">
        <f t="shared" si="108"/>
        <v/>
      </c>
      <c r="L1548" t="str">
        <f t="shared" si="109"/>
        <v/>
      </c>
    </row>
    <row r="1549" spans="1:12" x14ac:dyDescent="0.25">
      <c r="A1549" t="s">
        <v>2216</v>
      </c>
      <c r="G1549" t="str">
        <f t="shared" si="110"/>
        <v>05/05/19</v>
      </c>
      <c r="H1549" t="str">
        <f t="shared" si="105"/>
        <v>Washington Nationals</v>
      </c>
      <c r="I1549" s="60">
        <f t="shared" si="106"/>
        <v>1</v>
      </c>
      <c r="J1549" t="str">
        <f t="shared" si="107"/>
        <v>Philadelphia Phillies</v>
      </c>
      <c r="K1549" s="60">
        <f t="shared" si="108"/>
        <v>7</v>
      </c>
      <c r="L1549">
        <f t="shared" si="109"/>
        <v>-6</v>
      </c>
    </row>
    <row r="1550" spans="1:12" x14ac:dyDescent="0.25">
      <c r="G1550" t="str">
        <f t="shared" si="110"/>
        <v>05/05/19</v>
      </c>
      <c r="H1550" t="str">
        <f t="shared" si="105"/>
        <v/>
      </c>
      <c r="I1550" s="60" t="str">
        <f t="shared" si="106"/>
        <v/>
      </c>
      <c r="J1550" t="str">
        <f t="shared" si="107"/>
        <v/>
      </c>
      <c r="K1550" s="60" t="str">
        <f t="shared" si="108"/>
        <v/>
      </c>
      <c r="L1550" t="str">
        <f t="shared" si="109"/>
        <v/>
      </c>
    </row>
    <row r="1551" spans="1:12" x14ac:dyDescent="0.25">
      <c r="A1551" t="s">
        <v>2217</v>
      </c>
      <c r="G1551" t="str">
        <f t="shared" si="110"/>
        <v>05/05/19</v>
      </c>
      <c r="H1551" t="str">
        <f t="shared" si="105"/>
        <v>Oakland Athletics</v>
      </c>
      <c r="I1551" s="60">
        <f t="shared" si="106"/>
        <v>3</v>
      </c>
      <c r="J1551" t="str">
        <f t="shared" si="107"/>
        <v>Pittsburgh Pirates</v>
      </c>
      <c r="K1551" s="60">
        <f t="shared" si="108"/>
        <v>5</v>
      </c>
      <c r="L1551">
        <f t="shared" si="109"/>
        <v>-2</v>
      </c>
    </row>
    <row r="1552" spans="1:12" x14ac:dyDescent="0.25">
      <c r="G1552" t="str">
        <f t="shared" si="110"/>
        <v>05/05/19</v>
      </c>
      <c r="H1552" t="str">
        <f t="shared" ref="H1552:H1615" si="111">IFERROR(LEFT(MID(A1552,1,SEARCH("@",A1552)-2),SEARCH("(",A1552)-2),"")</f>
        <v/>
      </c>
      <c r="I1552" s="60" t="str">
        <f t="shared" ref="I1552:I1615" si="112">IFERROR(VALUE(MID(A1552,SEARCH("(",A1552)+1,SEARCH(")",A1552)-SEARCH("(",A1552)-1)),"")</f>
        <v/>
      </c>
      <c r="J1552" t="str">
        <f t="shared" ref="J1552:J1615" si="113">IFERROR(MID(A1552,SEARCH("@",A1552)+2,SEARCH("(",A1552,SEARCH("@",A1552))-SEARCH("@",A1552)-3),"")</f>
        <v/>
      </c>
      <c r="K1552" s="60" t="str">
        <f t="shared" ref="K1552:K1615" si="114">IFERROR(VALUE(MID(A1552,SEARCH(J1552,A1552)+LEN(J1552)+2,(SEARCH(")",A1552,SEARCH("@",A1552))-SEARCH("(",A1552,SEARCH("@",A1552))-1))),"")</f>
        <v/>
      </c>
      <c r="L1552" t="str">
        <f t="shared" ref="L1552:L1615" si="115">IFERROR(I1552-K1552,"")</f>
        <v/>
      </c>
    </row>
    <row r="1553" spans="1:12" x14ac:dyDescent="0.25">
      <c r="A1553" t="s">
        <v>2218</v>
      </c>
      <c r="G1553" t="str">
        <f t="shared" si="110"/>
        <v>05/05/19</v>
      </c>
      <c r="H1553" t="str">
        <f t="shared" si="111"/>
        <v>Los Angeles Dodgers</v>
      </c>
      <c r="I1553" s="60">
        <f t="shared" si="112"/>
        <v>5</v>
      </c>
      <c r="J1553" t="str">
        <f t="shared" si="113"/>
        <v>San Diego Padres</v>
      </c>
      <c r="K1553" s="60">
        <f t="shared" si="114"/>
        <v>8</v>
      </c>
      <c r="L1553">
        <f t="shared" si="115"/>
        <v>-3</v>
      </c>
    </row>
    <row r="1554" spans="1:12" x14ac:dyDescent="0.25">
      <c r="G1554" t="str">
        <f t="shared" si="110"/>
        <v>05/05/19</v>
      </c>
      <c r="H1554" t="str">
        <f t="shared" si="111"/>
        <v/>
      </c>
      <c r="I1554" s="60" t="str">
        <f t="shared" si="112"/>
        <v/>
      </c>
      <c r="J1554" t="str">
        <f t="shared" si="113"/>
        <v/>
      </c>
      <c r="K1554" s="60" t="str">
        <f t="shared" si="114"/>
        <v/>
      </c>
      <c r="L1554" t="str">
        <f t="shared" si="115"/>
        <v/>
      </c>
    </row>
    <row r="1555" spans="1:12" x14ac:dyDescent="0.25">
      <c r="A1555" t="s">
        <v>2219</v>
      </c>
      <c r="G1555" t="str">
        <f t="shared" si="110"/>
        <v>05/05/19</v>
      </c>
      <c r="H1555" t="str">
        <f t="shared" si="111"/>
        <v>Toronto Blue Jays</v>
      </c>
      <c r="I1555" s="60">
        <f t="shared" si="112"/>
        <v>2</v>
      </c>
      <c r="J1555" t="str">
        <f t="shared" si="113"/>
        <v>Texas Rangers</v>
      </c>
      <c r="K1555" s="60">
        <f t="shared" si="114"/>
        <v>10</v>
      </c>
      <c r="L1555">
        <f t="shared" si="115"/>
        <v>-8</v>
      </c>
    </row>
    <row r="1556" spans="1:12" x14ac:dyDescent="0.25">
      <c r="G1556" t="str">
        <f t="shared" si="110"/>
        <v>05/05/19</v>
      </c>
      <c r="H1556" t="str">
        <f t="shared" si="111"/>
        <v/>
      </c>
      <c r="I1556" s="60" t="str">
        <f t="shared" si="112"/>
        <v/>
      </c>
      <c r="J1556" t="str">
        <f t="shared" si="113"/>
        <v/>
      </c>
      <c r="K1556" s="60" t="str">
        <f t="shared" si="114"/>
        <v/>
      </c>
      <c r="L1556" t="str">
        <f t="shared" si="115"/>
        <v/>
      </c>
    </row>
    <row r="1557" spans="1:12" x14ac:dyDescent="0.25">
      <c r="A1557" t="s">
        <v>2220</v>
      </c>
      <c r="G1557" t="str">
        <f t="shared" si="110"/>
        <v>05/05/19</v>
      </c>
      <c r="H1557" t="str">
        <f t="shared" si="111"/>
        <v/>
      </c>
      <c r="I1557" s="60" t="str">
        <f t="shared" si="112"/>
        <v/>
      </c>
      <c r="J1557" t="str">
        <f t="shared" si="113"/>
        <v/>
      </c>
      <c r="K1557" s="60" t="str">
        <f t="shared" si="114"/>
        <v/>
      </c>
      <c r="L1557" t="str">
        <f t="shared" si="115"/>
        <v/>
      </c>
    </row>
    <row r="1558" spans="1:12" x14ac:dyDescent="0.25">
      <c r="G1558" t="str">
        <f t="shared" si="110"/>
        <v>05/05/19</v>
      </c>
      <c r="H1558" t="str">
        <f t="shared" si="111"/>
        <v/>
      </c>
      <c r="I1558" s="60" t="str">
        <f t="shared" si="112"/>
        <v/>
      </c>
      <c r="J1558" t="str">
        <f t="shared" si="113"/>
        <v/>
      </c>
      <c r="K1558" s="60" t="str">
        <f t="shared" si="114"/>
        <v/>
      </c>
      <c r="L1558" t="str">
        <f t="shared" si="115"/>
        <v/>
      </c>
    </row>
    <row r="1559" spans="1:12" x14ac:dyDescent="0.25">
      <c r="A1559" t="s">
        <v>2221</v>
      </c>
      <c r="G1559" t="str">
        <f t="shared" si="110"/>
        <v>05/06/19</v>
      </c>
      <c r="H1559" t="str">
        <f t="shared" si="111"/>
        <v/>
      </c>
      <c r="I1559" s="60" t="str">
        <f t="shared" si="112"/>
        <v/>
      </c>
      <c r="J1559" t="str">
        <f t="shared" si="113"/>
        <v/>
      </c>
      <c r="K1559" s="60" t="str">
        <f t="shared" si="114"/>
        <v/>
      </c>
      <c r="L1559" t="str">
        <f t="shared" si="115"/>
        <v/>
      </c>
    </row>
    <row r="1560" spans="1:12" x14ac:dyDescent="0.25">
      <c r="G1560" t="str">
        <f t="shared" si="110"/>
        <v>05/06/19</v>
      </c>
      <c r="H1560" t="str">
        <f t="shared" si="111"/>
        <v/>
      </c>
      <c r="I1560" s="60" t="str">
        <f t="shared" si="112"/>
        <v/>
      </c>
      <c r="J1560" t="str">
        <f t="shared" si="113"/>
        <v/>
      </c>
      <c r="K1560" s="60" t="str">
        <f t="shared" si="114"/>
        <v/>
      </c>
      <c r="L1560" t="str">
        <f t="shared" si="115"/>
        <v/>
      </c>
    </row>
    <row r="1561" spans="1:12" x14ac:dyDescent="0.25">
      <c r="A1561" t="s">
        <v>2222</v>
      </c>
      <c r="G1561" t="str">
        <f t="shared" si="110"/>
        <v>05/06/19</v>
      </c>
      <c r="H1561" t="str">
        <f t="shared" si="111"/>
        <v>Boston Red Sox</v>
      </c>
      <c r="I1561" s="60">
        <f t="shared" si="112"/>
        <v>1</v>
      </c>
      <c r="J1561" t="str">
        <f t="shared" si="113"/>
        <v>Baltimore Orioles</v>
      </c>
      <c r="K1561" s="60">
        <f t="shared" si="114"/>
        <v>4</v>
      </c>
      <c r="L1561">
        <f t="shared" si="115"/>
        <v>-3</v>
      </c>
    </row>
    <row r="1562" spans="1:12" x14ac:dyDescent="0.25">
      <c r="G1562" t="str">
        <f t="shared" si="110"/>
        <v>05/06/19</v>
      </c>
      <c r="H1562" t="str">
        <f t="shared" si="111"/>
        <v/>
      </c>
      <c r="I1562" s="60" t="str">
        <f t="shared" si="112"/>
        <v/>
      </c>
      <c r="J1562" t="str">
        <f t="shared" si="113"/>
        <v/>
      </c>
      <c r="K1562" s="60" t="str">
        <f t="shared" si="114"/>
        <v/>
      </c>
      <c r="L1562" t="str">
        <f t="shared" si="115"/>
        <v/>
      </c>
    </row>
    <row r="1563" spans="1:12" x14ac:dyDescent="0.25">
      <c r="A1563" t="s">
        <v>2223</v>
      </c>
      <c r="G1563" t="str">
        <f t="shared" si="110"/>
        <v>05/06/19</v>
      </c>
      <c r="H1563" t="str">
        <f t="shared" si="111"/>
        <v>Miami Marlins</v>
      </c>
      <c r="I1563" s="60">
        <f t="shared" si="112"/>
        <v>6</v>
      </c>
      <c r="J1563" t="str">
        <f t="shared" si="113"/>
        <v>Chicago Cubs</v>
      </c>
      <c r="K1563" s="60">
        <f t="shared" si="114"/>
        <v>5</v>
      </c>
      <c r="L1563">
        <f t="shared" si="115"/>
        <v>1</v>
      </c>
    </row>
    <row r="1564" spans="1:12" x14ac:dyDescent="0.25">
      <c r="G1564" t="str">
        <f t="shared" si="110"/>
        <v>05/06/19</v>
      </c>
      <c r="H1564" t="str">
        <f t="shared" si="111"/>
        <v/>
      </c>
      <c r="I1564" s="60" t="str">
        <f t="shared" si="112"/>
        <v/>
      </c>
      <c r="J1564" t="str">
        <f t="shared" si="113"/>
        <v/>
      </c>
      <c r="K1564" s="60" t="str">
        <f t="shared" si="114"/>
        <v/>
      </c>
      <c r="L1564" t="str">
        <f t="shared" si="115"/>
        <v/>
      </c>
    </row>
    <row r="1565" spans="1:12" x14ac:dyDescent="0.25">
      <c r="A1565" t="s">
        <v>2224</v>
      </c>
      <c r="G1565" t="str">
        <f t="shared" si="110"/>
        <v>05/06/19</v>
      </c>
      <c r="H1565" t="str">
        <f t="shared" si="111"/>
        <v>San Francisco Giants</v>
      </c>
      <c r="I1565" s="60">
        <f t="shared" si="112"/>
        <v>4</v>
      </c>
      <c r="J1565" t="str">
        <f t="shared" si="113"/>
        <v>Cincinnati Reds</v>
      </c>
      <c r="K1565" s="60">
        <f t="shared" si="114"/>
        <v>12</v>
      </c>
      <c r="L1565">
        <f t="shared" si="115"/>
        <v>-8</v>
      </c>
    </row>
    <row r="1566" spans="1:12" x14ac:dyDescent="0.25">
      <c r="G1566" t="str">
        <f t="shared" si="110"/>
        <v>05/06/19</v>
      </c>
      <c r="H1566" t="str">
        <f t="shared" si="111"/>
        <v/>
      </c>
      <c r="I1566" s="60" t="str">
        <f t="shared" si="112"/>
        <v/>
      </c>
      <c r="J1566" t="str">
        <f t="shared" si="113"/>
        <v/>
      </c>
      <c r="K1566" s="60" t="str">
        <f t="shared" si="114"/>
        <v/>
      </c>
      <c r="L1566" t="str">
        <f t="shared" si="115"/>
        <v/>
      </c>
    </row>
    <row r="1567" spans="1:12" x14ac:dyDescent="0.25">
      <c r="A1567" t="s">
        <v>2225</v>
      </c>
      <c r="G1567" t="str">
        <f t="shared" si="110"/>
        <v>05/06/19</v>
      </c>
      <c r="H1567" t="str">
        <f t="shared" si="111"/>
        <v>Chicago White Sox</v>
      </c>
      <c r="I1567" s="60">
        <f t="shared" si="112"/>
        <v>9</v>
      </c>
      <c r="J1567" t="str">
        <f t="shared" si="113"/>
        <v>Cleveland Indians</v>
      </c>
      <c r="K1567" s="60">
        <f t="shared" si="114"/>
        <v>1</v>
      </c>
      <c r="L1567">
        <f t="shared" si="115"/>
        <v>8</v>
      </c>
    </row>
    <row r="1568" spans="1:12" x14ac:dyDescent="0.25">
      <c r="G1568" t="str">
        <f t="shared" si="110"/>
        <v>05/06/19</v>
      </c>
      <c r="H1568" t="str">
        <f t="shared" si="111"/>
        <v/>
      </c>
      <c r="I1568" s="60" t="str">
        <f t="shared" si="112"/>
        <v/>
      </c>
      <c r="J1568" t="str">
        <f t="shared" si="113"/>
        <v/>
      </c>
      <c r="K1568" s="60" t="str">
        <f t="shared" si="114"/>
        <v/>
      </c>
      <c r="L1568" t="str">
        <f t="shared" si="115"/>
        <v/>
      </c>
    </row>
    <row r="1569" spans="1:12" x14ac:dyDescent="0.25">
      <c r="A1569" t="s">
        <v>2226</v>
      </c>
      <c r="G1569" t="str">
        <f t="shared" si="110"/>
        <v>05/06/19</v>
      </c>
      <c r="H1569" t="str">
        <f t="shared" si="111"/>
        <v>Kansas City Royals</v>
      </c>
      <c r="I1569" s="60">
        <f t="shared" si="112"/>
        <v>4</v>
      </c>
      <c r="J1569" t="str">
        <f t="shared" si="113"/>
        <v>Houston Astros</v>
      </c>
      <c r="K1569" s="60">
        <f t="shared" si="114"/>
        <v>6</v>
      </c>
      <c r="L1569">
        <f t="shared" si="115"/>
        <v>-2</v>
      </c>
    </row>
    <row r="1570" spans="1:12" x14ac:dyDescent="0.25">
      <c r="G1570" t="str">
        <f t="shared" ref="G1570:G1633" si="116">IF(ISNUMBER(MATCH(IFERROR(LEFT(A1570,SEARCH(",",A1570)-1),""),$G$220:$M$220,0)),TEXT(MID(A1570,SEARCH(",",A1570)+2,LEN(A1570)),"mm/dd/yy"),G1569)</f>
        <v>05/06/19</v>
      </c>
      <c r="H1570" t="str">
        <f t="shared" si="111"/>
        <v/>
      </c>
      <c r="I1570" s="60" t="str">
        <f t="shared" si="112"/>
        <v/>
      </c>
      <c r="J1570" t="str">
        <f t="shared" si="113"/>
        <v/>
      </c>
      <c r="K1570" s="60" t="str">
        <f t="shared" si="114"/>
        <v/>
      </c>
      <c r="L1570" t="str">
        <f t="shared" si="115"/>
        <v/>
      </c>
    </row>
    <row r="1571" spans="1:12" x14ac:dyDescent="0.25">
      <c r="A1571" t="s">
        <v>2227</v>
      </c>
      <c r="G1571" t="str">
        <f t="shared" si="116"/>
        <v>05/06/19</v>
      </c>
      <c r="H1571" t="str">
        <f t="shared" si="111"/>
        <v>Atlanta Braves</v>
      </c>
      <c r="I1571" s="60">
        <f t="shared" si="112"/>
        <v>3</v>
      </c>
      <c r="J1571" t="str">
        <f t="shared" si="113"/>
        <v>Los Angeles Dodgers</v>
      </c>
      <c r="K1571" s="60">
        <f t="shared" si="114"/>
        <v>5</v>
      </c>
      <c r="L1571">
        <f t="shared" si="115"/>
        <v>-2</v>
      </c>
    </row>
    <row r="1572" spans="1:12" x14ac:dyDescent="0.25">
      <c r="G1572" t="str">
        <f t="shared" si="116"/>
        <v>05/06/19</v>
      </c>
      <c r="H1572" t="str">
        <f t="shared" si="111"/>
        <v/>
      </c>
      <c r="I1572" s="60" t="str">
        <f t="shared" si="112"/>
        <v/>
      </c>
      <c r="J1572" t="str">
        <f t="shared" si="113"/>
        <v/>
      </c>
      <c r="K1572" s="60" t="str">
        <f t="shared" si="114"/>
        <v/>
      </c>
      <c r="L1572" t="str">
        <f t="shared" si="115"/>
        <v/>
      </c>
    </row>
    <row r="1573" spans="1:12" x14ac:dyDescent="0.25">
      <c r="A1573" t="s">
        <v>2228</v>
      </c>
      <c r="G1573" t="str">
        <f t="shared" si="116"/>
        <v>05/06/19</v>
      </c>
      <c r="H1573" t="str">
        <f t="shared" si="111"/>
        <v>Washington Nationals</v>
      </c>
      <c r="I1573" s="60">
        <f t="shared" si="112"/>
        <v>3</v>
      </c>
      <c r="J1573" t="str">
        <f t="shared" si="113"/>
        <v>Milwaukee Brewers</v>
      </c>
      <c r="K1573" s="60">
        <f t="shared" si="114"/>
        <v>5</v>
      </c>
      <c r="L1573">
        <f t="shared" si="115"/>
        <v>-2</v>
      </c>
    </row>
    <row r="1574" spans="1:12" x14ac:dyDescent="0.25">
      <c r="G1574" t="str">
        <f t="shared" si="116"/>
        <v>05/06/19</v>
      </c>
      <c r="H1574" t="str">
        <f t="shared" si="111"/>
        <v/>
      </c>
      <c r="I1574" s="60" t="str">
        <f t="shared" si="112"/>
        <v/>
      </c>
      <c r="J1574" t="str">
        <f t="shared" si="113"/>
        <v/>
      </c>
      <c r="K1574" s="60" t="str">
        <f t="shared" si="114"/>
        <v/>
      </c>
      <c r="L1574" t="str">
        <f t="shared" si="115"/>
        <v/>
      </c>
    </row>
    <row r="1575" spans="1:12" x14ac:dyDescent="0.25">
      <c r="A1575" t="s">
        <v>2229</v>
      </c>
      <c r="G1575" t="str">
        <f t="shared" si="116"/>
        <v>05/06/19</v>
      </c>
      <c r="H1575" t="str">
        <f t="shared" si="111"/>
        <v>Seattle Mariners</v>
      </c>
      <c r="I1575" s="60">
        <f t="shared" si="112"/>
        <v>3</v>
      </c>
      <c r="J1575" t="str">
        <f t="shared" si="113"/>
        <v>New York Yankees</v>
      </c>
      <c r="K1575" s="60">
        <f t="shared" si="114"/>
        <v>7</v>
      </c>
      <c r="L1575">
        <f t="shared" si="115"/>
        <v>-4</v>
      </c>
    </row>
    <row r="1576" spans="1:12" x14ac:dyDescent="0.25">
      <c r="G1576" t="str">
        <f t="shared" si="116"/>
        <v>05/06/19</v>
      </c>
      <c r="H1576" t="str">
        <f t="shared" si="111"/>
        <v/>
      </c>
      <c r="I1576" s="60" t="str">
        <f t="shared" si="112"/>
        <v/>
      </c>
      <c r="J1576" t="str">
        <f t="shared" si="113"/>
        <v/>
      </c>
      <c r="K1576" s="60" t="str">
        <f t="shared" si="114"/>
        <v/>
      </c>
      <c r="L1576" t="str">
        <f t="shared" si="115"/>
        <v/>
      </c>
    </row>
    <row r="1577" spans="1:12" x14ac:dyDescent="0.25">
      <c r="A1577" t="s">
        <v>2230</v>
      </c>
      <c r="G1577" t="str">
        <f t="shared" si="116"/>
        <v>05/06/19</v>
      </c>
      <c r="H1577" t="str">
        <f t="shared" si="111"/>
        <v>New York Mets</v>
      </c>
      <c r="I1577" s="60">
        <f t="shared" si="112"/>
        <v>0</v>
      </c>
      <c r="J1577" t="str">
        <f t="shared" si="113"/>
        <v>San Diego Padres</v>
      </c>
      <c r="K1577" s="60">
        <f t="shared" si="114"/>
        <v>4</v>
      </c>
      <c r="L1577">
        <f t="shared" si="115"/>
        <v>-4</v>
      </c>
    </row>
    <row r="1578" spans="1:12" x14ac:dyDescent="0.25">
      <c r="G1578" t="str">
        <f t="shared" si="116"/>
        <v>05/06/19</v>
      </c>
      <c r="H1578" t="str">
        <f t="shared" si="111"/>
        <v/>
      </c>
      <c r="I1578" s="60" t="str">
        <f t="shared" si="112"/>
        <v/>
      </c>
      <c r="J1578" t="str">
        <f t="shared" si="113"/>
        <v/>
      </c>
      <c r="K1578" s="60" t="str">
        <f t="shared" si="114"/>
        <v/>
      </c>
      <c r="L1578" t="str">
        <f t="shared" si="115"/>
        <v/>
      </c>
    </row>
    <row r="1579" spans="1:12" x14ac:dyDescent="0.25">
      <c r="A1579" t="s">
        <v>2231</v>
      </c>
      <c r="G1579" t="str">
        <f t="shared" si="116"/>
        <v>05/06/19</v>
      </c>
      <c r="H1579" t="str">
        <f t="shared" si="111"/>
        <v>Philadelphia Phillies</v>
      </c>
      <c r="I1579" s="60">
        <f t="shared" si="112"/>
        <v>0</v>
      </c>
      <c r="J1579" t="str">
        <f t="shared" si="113"/>
        <v>St. Louis Cardinals</v>
      </c>
      <c r="K1579" s="60">
        <f t="shared" si="114"/>
        <v>6</v>
      </c>
      <c r="L1579">
        <f t="shared" si="115"/>
        <v>-6</v>
      </c>
    </row>
    <row r="1580" spans="1:12" x14ac:dyDescent="0.25">
      <c r="G1580" t="str">
        <f t="shared" si="116"/>
        <v>05/06/19</v>
      </c>
      <c r="H1580" t="str">
        <f t="shared" si="111"/>
        <v/>
      </c>
      <c r="I1580" s="60" t="str">
        <f t="shared" si="112"/>
        <v/>
      </c>
      <c r="J1580" t="str">
        <f t="shared" si="113"/>
        <v/>
      </c>
      <c r="K1580" s="60" t="str">
        <f t="shared" si="114"/>
        <v/>
      </c>
      <c r="L1580" t="str">
        <f t="shared" si="115"/>
        <v/>
      </c>
    </row>
    <row r="1581" spans="1:12" x14ac:dyDescent="0.25">
      <c r="A1581" t="s">
        <v>2232</v>
      </c>
      <c r="G1581" t="str">
        <f t="shared" si="116"/>
        <v>05/06/19</v>
      </c>
      <c r="H1581" t="str">
        <f t="shared" si="111"/>
        <v>Arizona D'Backs</v>
      </c>
      <c r="I1581" s="60">
        <f t="shared" si="112"/>
        <v>1</v>
      </c>
      <c r="J1581" t="str">
        <f t="shared" si="113"/>
        <v>Tampa Bay Rays</v>
      </c>
      <c r="K1581" s="60">
        <f t="shared" si="114"/>
        <v>12</v>
      </c>
      <c r="L1581">
        <f t="shared" si="115"/>
        <v>-11</v>
      </c>
    </row>
    <row r="1582" spans="1:12" x14ac:dyDescent="0.25">
      <c r="G1582" t="str">
        <f t="shared" si="116"/>
        <v>05/06/19</v>
      </c>
      <c r="H1582" t="str">
        <f t="shared" si="111"/>
        <v/>
      </c>
      <c r="I1582" s="60" t="str">
        <f t="shared" si="112"/>
        <v/>
      </c>
      <c r="J1582" t="str">
        <f t="shared" si="113"/>
        <v/>
      </c>
      <c r="K1582" s="60" t="str">
        <f t="shared" si="114"/>
        <v/>
      </c>
      <c r="L1582" t="str">
        <f t="shared" si="115"/>
        <v/>
      </c>
    </row>
    <row r="1583" spans="1:12" x14ac:dyDescent="0.25">
      <c r="A1583" t="s">
        <v>2233</v>
      </c>
      <c r="G1583" t="str">
        <f t="shared" si="116"/>
        <v>05/06/19</v>
      </c>
      <c r="H1583" t="str">
        <f t="shared" si="111"/>
        <v>Minnesota Twins</v>
      </c>
      <c r="I1583" s="60">
        <f t="shared" si="112"/>
        <v>8</v>
      </c>
      <c r="J1583" t="str">
        <f t="shared" si="113"/>
        <v>Toronto Blue Jays</v>
      </c>
      <c r="K1583" s="60">
        <f t="shared" si="114"/>
        <v>0</v>
      </c>
      <c r="L1583">
        <f t="shared" si="115"/>
        <v>8</v>
      </c>
    </row>
    <row r="1584" spans="1:12" x14ac:dyDescent="0.25">
      <c r="G1584" t="str">
        <f t="shared" si="116"/>
        <v>05/06/19</v>
      </c>
      <c r="H1584" t="str">
        <f t="shared" si="111"/>
        <v/>
      </c>
      <c r="I1584" s="60" t="str">
        <f t="shared" si="112"/>
        <v/>
      </c>
      <c r="J1584" t="str">
        <f t="shared" si="113"/>
        <v/>
      </c>
      <c r="K1584" s="60" t="str">
        <f t="shared" si="114"/>
        <v/>
      </c>
      <c r="L1584" t="str">
        <f t="shared" si="115"/>
        <v/>
      </c>
    </row>
    <row r="1585" spans="1:12" x14ac:dyDescent="0.25">
      <c r="A1585" t="s">
        <v>2234</v>
      </c>
      <c r="G1585" t="str">
        <f t="shared" si="116"/>
        <v>05/06/19</v>
      </c>
      <c r="H1585" t="str">
        <f t="shared" si="111"/>
        <v/>
      </c>
      <c r="I1585" s="60" t="str">
        <f t="shared" si="112"/>
        <v/>
      </c>
      <c r="J1585" t="str">
        <f t="shared" si="113"/>
        <v/>
      </c>
      <c r="K1585" s="60" t="str">
        <f t="shared" si="114"/>
        <v/>
      </c>
      <c r="L1585" t="str">
        <f t="shared" si="115"/>
        <v/>
      </c>
    </row>
    <row r="1586" spans="1:12" x14ac:dyDescent="0.25">
      <c r="G1586" t="str">
        <f t="shared" si="116"/>
        <v>05/06/19</v>
      </c>
      <c r="H1586" t="str">
        <f t="shared" si="111"/>
        <v/>
      </c>
      <c r="I1586" s="60" t="str">
        <f t="shared" si="112"/>
        <v/>
      </c>
      <c r="J1586" t="str">
        <f t="shared" si="113"/>
        <v/>
      </c>
      <c r="K1586" s="60" t="str">
        <f t="shared" si="114"/>
        <v/>
      </c>
      <c r="L1586" t="str">
        <f t="shared" si="115"/>
        <v/>
      </c>
    </row>
    <row r="1587" spans="1:12" x14ac:dyDescent="0.25">
      <c r="A1587" t="s">
        <v>2235</v>
      </c>
      <c r="G1587" t="str">
        <f t="shared" si="116"/>
        <v>05/07/19</v>
      </c>
      <c r="H1587" t="str">
        <f t="shared" si="111"/>
        <v/>
      </c>
      <c r="I1587" s="60" t="str">
        <f t="shared" si="112"/>
        <v/>
      </c>
      <c r="J1587" t="str">
        <f t="shared" si="113"/>
        <v/>
      </c>
      <c r="K1587" s="60" t="str">
        <f t="shared" si="114"/>
        <v/>
      </c>
      <c r="L1587" t="str">
        <f t="shared" si="115"/>
        <v/>
      </c>
    </row>
    <row r="1588" spans="1:12" x14ac:dyDescent="0.25">
      <c r="G1588" t="str">
        <f t="shared" si="116"/>
        <v>05/07/19</v>
      </c>
      <c r="H1588" t="str">
        <f t="shared" si="111"/>
        <v/>
      </c>
      <c r="I1588" s="60" t="str">
        <f t="shared" si="112"/>
        <v/>
      </c>
      <c r="J1588" t="str">
        <f t="shared" si="113"/>
        <v/>
      </c>
      <c r="K1588" s="60" t="str">
        <f t="shared" si="114"/>
        <v/>
      </c>
      <c r="L1588" t="str">
        <f t="shared" si="115"/>
        <v/>
      </c>
    </row>
    <row r="1589" spans="1:12" x14ac:dyDescent="0.25">
      <c r="A1589" t="s">
        <v>2236</v>
      </c>
      <c r="G1589" t="str">
        <f t="shared" si="116"/>
        <v>05/07/19</v>
      </c>
      <c r="H1589" t="str">
        <f t="shared" si="111"/>
        <v>Boston Red Sox</v>
      </c>
      <c r="I1589" s="60">
        <f t="shared" si="112"/>
        <v>8</v>
      </c>
      <c r="J1589" t="str">
        <f t="shared" si="113"/>
        <v>Baltimore Orioles</v>
      </c>
      <c r="K1589" s="60">
        <f t="shared" si="114"/>
        <v>5</v>
      </c>
      <c r="L1589">
        <f t="shared" si="115"/>
        <v>3</v>
      </c>
    </row>
    <row r="1590" spans="1:12" x14ac:dyDescent="0.25">
      <c r="G1590" t="str">
        <f t="shared" si="116"/>
        <v>05/07/19</v>
      </c>
      <c r="H1590" t="str">
        <f t="shared" si="111"/>
        <v/>
      </c>
      <c r="I1590" s="60" t="str">
        <f t="shared" si="112"/>
        <v/>
      </c>
      <c r="J1590" t="str">
        <f t="shared" si="113"/>
        <v/>
      </c>
      <c r="K1590" s="60" t="str">
        <f t="shared" si="114"/>
        <v/>
      </c>
      <c r="L1590" t="str">
        <f t="shared" si="115"/>
        <v/>
      </c>
    </row>
    <row r="1591" spans="1:12" x14ac:dyDescent="0.25">
      <c r="A1591" t="s">
        <v>2237</v>
      </c>
      <c r="G1591" t="str">
        <f t="shared" si="116"/>
        <v>05/07/19</v>
      </c>
      <c r="H1591" t="str">
        <f t="shared" si="111"/>
        <v>Miami Marlins</v>
      </c>
      <c r="I1591" s="60">
        <f t="shared" si="112"/>
        <v>2</v>
      </c>
      <c r="J1591" t="str">
        <f t="shared" si="113"/>
        <v>Chicago Cubs</v>
      </c>
      <c r="K1591" s="60">
        <f t="shared" si="114"/>
        <v>5</v>
      </c>
      <c r="L1591">
        <f t="shared" si="115"/>
        <v>-3</v>
      </c>
    </row>
    <row r="1592" spans="1:12" x14ac:dyDescent="0.25">
      <c r="G1592" t="str">
        <f t="shared" si="116"/>
        <v>05/07/19</v>
      </c>
      <c r="H1592" t="str">
        <f t="shared" si="111"/>
        <v/>
      </c>
      <c r="I1592" s="60" t="str">
        <f t="shared" si="112"/>
        <v/>
      </c>
      <c r="J1592" t="str">
        <f t="shared" si="113"/>
        <v/>
      </c>
      <c r="K1592" s="60" t="str">
        <f t="shared" si="114"/>
        <v/>
      </c>
      <c r="L1592" t="str">
        <f t="shared" si="115"/>
        <v/>
      </c>
    </row>
    <row r="1593" spans="1:12" x14ac:dyDescent="0.25">
      <c r="A1593" t="s">
        <v>2238</v>
      </c>
      <c r="G1593" t="str">
        <f t="shared" si="116"/>
        <v>05/07/19</v>
      </c>
      <c r="H1593" t="str">
        <f t="shared" si="111"/>
        <v>Chicago White Sox</v>
      </c>
      <c r="I1593" s="60">
        <f t="shared" si="112"/>
        <v>2</v>
      </c>
      <c r="J1593" t="str">
        <f t="shared" si="113"/>
        <v>Cleveland Indians</v>
      </c>
      <c r="K1593" s="60">
        <f t="shared" si="114"/>
        <v>0</v>
      </c>
      <c r="L1593">
        <f t="shared" si="115"/>
        <v>2</v>
      </c>
    </row>
    <row r="1594" spans="1:12" x14ac:dyDescent="0.25">
      <c r="G1594" t="str">
        <f t="shared" si="116"/>
        <v>05/07/19</v>
      </c>
      <c r="H1594" t="str">
        <f t="shared" si="111"/>
        <v/>
      </c>
      <c r="I1594" s="60" t="str">
        <f t="shared" si="112"/>
        <v/>
      </c>
      <c r="J1594" t="str">
        <f t="shared" si="113"/>
        <v/>
      </c>
      <c r="K1594" s="60" t="str">
        <f t="shared" si="114"/>
        <v/>
      </c>
      <c r="L1594" t="str">
        <f t="shared" si="115"/>
        <v/>
      </c>
    </row>
    <row r="1595" spans="1:12" x14ac:dyDescent="0.25">
      <c r="A1595" t="s">
        <v>2239</v>
      </c>
      <c r="G1595" t="str">
        <f t="shared" si="116"/>
        <v>05/07/19</v>
      </c>
      <c r="H1595" t="str">
        <f t="shared" si="111"/>
        <v>San Francisco Giants</v>
      </c>
      <c r="I1595" s="60">
        <f t="shared" si="112"/>
        <v>14</v>
      </c>
      <c r="J1595" t="str">
        <f t="shared" si="113"/>
        <v>Colorado Rockies</v>
      </c>
      <c r="K1595" s="60">
        <f t="shared" si="114"/>
        <v>4</v>
      </c>
      <c r="L1595">
        <f t="shared" si="115"/>
        <v>10</v>
      </c>
    </row>
    <row r="1596" spans="1:12" x14ac:dyDescent="0.25">
      <c r="G1596" t="str">
        <f t="shared" si="116"/>
        <v>05/07/19</v>
      </c>
      <c r="H1596" t="str">
        <f t="shared" si="111"/>
        <v/>
      </c>
      <c r="I1596" s="60" t="str">
        <f t="shared" si="112"/>
        <v/>
      </c>
      <c r="J1596" t="str">
        <f t="shared" si="113"/>
        <v/>
      </c>
      <c r="K1596" s="60" t="str">
        <f t="shared" si="114"/>
        <v/>
      </c>
      <c r="L1596" t="str">
        <f t="shared" si="115"/>
        <v/>
      </c>
    </row>
    <row r="1597" spans="1:12" x14ac:dyDescent="0.25">
      <c r="A1597" t="s">
        <v>2240</v>
      </c>
      <c r="G1597" t="str">
        <f t="shared" si="116"/>
        <v>05/07/19</v>
      </c>
      <c r="H1597" t="str">
        <f t="shared" si="111"/>
        <v>Los Angeles Angels</v>
      </c>
      <c r="I1597" s="60">
        <f t="shared" si="112"/>
        <v>5</v>
      </c>
      <c r="J1597" t="str">
        <f t="shared" si="113"/>
        <v>Detroit Tigers</v>
      </c>
      <c r="K1597" s="60">
        <f t="shared" si="114"/>
        <v>2</v>
      </c>
      <c r="L1597">
        <f t="shared" si="115"/>
        <v>3</v>
      </c>
    </row>
    <row r="1598" spans="1:12" x14ac:dyDescent="0.25">
      <c r="G1598" t="str">
        <f t="shared" si="116"/>
        <v>05/07/19</v>
      </c>
      <c r="H1598" t="str">
        <f t="shared" si="111"/>
        <v/>
      </c>
      <c r="I1598" s="60" t="str">
        <f t="shared" si="112"/>
        <v/>
      </c>
      <c r="J1598" t="str">
        <f t="shared" si="113"/>
        <v/>
      </c>
      <c r="K1598" s="60" t="str">
        <f t="shared" si="114"/>
        <v/>
      </c>
      <c r="L1598" t="str">
        <f t="shared" si="115"/>
        <v/>
      </c>
    </row>
    <row r="1599" spans="1:12" x14ac:dyDescent="0.25">
      <c r="A1599" t="s">
        <v>2241</v>
      </c>
      <c r="G1599" t="str">
        <f t="shared" si="116"/>
        <v>05/07/19</v>
      </c>
      <c r="H1599" t="str">
        <f t="shared" si="111"/>
        <v>Kansas City Royals</v>
      </c>
      <c r="I1599" s="60">
        <f t="shared" si="112"/>
        <v>12</v>
      </c>
      <c r="J1599" t="str">
        <f t="shared" si="113"/>
        <v>Houston Astros</v>
      </c>
      <c r="K1599" s="60">
        <f t="shared" si="114"/>
        <v>2</v>
      </c>
      <c r="L1599">
        <f t="shared" si="115"/>
        <v>10</v>
      </c>
    </row>
    <row r="1600" spans="1:12" x14ac:dyDescent="0.25">
      <c r="G1600" t="str">
        <f t="shared" si="116"/>
        <v>05/07/19</v>
      </c>
      <c r="H1600" t="str">
        <f t="shared" si="111"/>
        <v/>
      </c>
      <c r="I1600" s="60" t="str">
        <f t="shared" si="112"/>
        <v/>
      </c>
      <c r="J1600" t="str">
        <f t="shared" si="113"/>
        <v/>
      </c>
      <c r="K1600" s="60" t="str">
        <f t="shared" si="114"/>
        <v/>
      </c>
      <c r="L1600" t="str">
        <f t="shared" si="115"/>
        <v/>
      </c>
    </row>
    <row r="1601" spans="1:12" x14ac:dyDescent="0.25">
      <c r="A1601" t="s">
        <v>2242</v>
      </c>
      <c r="G1601" t="str">
        <f t="shared" si="116"/>
        <v>05/07/19</v>
      </c>
      <c r="H1601" t="str">
        <f t="shared" si="111"/>
        <v>Atlanta Braves</v>
      </c>
      <c r="I1601" s="60">
        <f t="shared" si="112"/>
        <v>0</v>
      </c>
      <c r="J1601" t="str">
        <f t="shared" si="113"/>
        <v>Los Angeles Dodgers</v>
      </c>
      <c r="K1601" s="60">
        <f t="shared" si="114"/>
        <v>9</v>
      </c>
      <c r="L1601">
        <f t="shared" si="115"/>
        <v>-9</v>
      </c>
    </row>
    <row r="1602" spans="1:12" x14ac:dyDescent="0.25">
      <c r="G1602" t="str">
        <f t="shared" si="116"/>
        <v>05/07/19</v>
      </c>
      <c r="H1602" t="str">
        <f t="shared" si="111"/>
        <v/>
      </c>
      <c r="I1602" s="60" t="str">
        <f t="shared" si="112"/>
        <v/>
      </c>
      <c r="J1602" t="str">
        <f t="shared" si="113"/>
        <v/>
      </c>
      <c r="K1602" s="60" t="str">
        <f t="shared" si="114"/>
        <v/>
      </c>
      <c r="L1602" t="str">
        <f t="shared" si="115"/>
        <v/>
      </c>
    </row>
    <row r="1603" spans="1:12" x14ac:dyDescent="0.25">
      <c r="A1603" t="s">
        <v>2243</v>
      </c>
      <c r="G1603" t="str">
        <f t="shared" si="116"/>
        <v>05/07/19</v>
      </c>
      <c r="H1603" t="str">
        <f t="shared" si="111"/>
        <v>Washington Nationals</v>
      </c>
      <c r="I1603" s="60">
        <f t="shared" si="112"/>
        <v>0</v>
      </c>
      <c r="J1603" t="str">
        <f t="shared" si="113"/>
        <v>Milwaukee Brewers</v>
      </c>
      <c r="K1603" s="60">
        <f t="shared" si="114"/>
        <v>6</v>
      </c>
      <c r="L1603">
        <f t="shared" si="115"/>
        <v>-6</v>
      </c>
    </row>
    <row r="1604" spans="1:12" x14ac:dyDescent="0.25">
      <c r="G1604" t="str">
        <f t="shared" si="116"/>
        <v>05/07/19</v>
      </c>
      <c r="H1604" t="str">
        <f t="shared" si="111"/>
        <v/>
      </c>
      <c r="I1604" s="60" t="str">
        <f t="shared" si="112"/>
        <v/>
      </c>
      <c r="J1604" t="str">
        <f t="shared" si="113"/>
        <v/>
      </c>
      <c r="K1604" s="60" t="str">
        <f t="shared" si="114"/>
        <v/>
      </c>
      <c r="L1604" t="str">
        <f t="shared" si="115"/>
        <v/>
      </c>
    </row>
    <row r="1605" spans="1:12" x14ac:dyDescent="0.25">
      <c r="A1605" t="s">
        <v>2244</v>
      </c>
      <c r="G1605" t="str">
        <f t="shared" si="116"/>
        <v>05/07/19</v>
      </c>
      <c r="H1605" t="str">
        <f t="shared" si="111"/>
        <v>Seattle Mariners</v>
      </c>
      <c r="I1605" s="60">
        <f t="shared" si="112"/>
        <v>4</v>
      </c>
      <c r="J1605" t="str">
        <f t="shared" si="113"/>
        <v>New York Yankees</v>
      </c>
      <c r="K1605" s="60">
        <f t="shared" si="114"/>
        <v>5</v>
      </c>
      <c r="L1605">
        <f t="shared" si="115"/>
        <v>-1</v>
      </c>
    </row>
    <row r="1606" spans="1:12" x14ac:dyDescent="0.25">
      <c r="G1606" t="str">
        <f t="shared" si="116"/>
        <v>05/07/19</v>
      </c>
      <c r="H1606" t="str">
        <f t="shared" si="111"/>
        <v/>
      </c>
      <c r="I1606" s="60" t="str">
        <f t="shared" si="112"/>
        <v/>
      </c>
      <c r="J1606" t="str">
        <f t="shared" si="113"/>
        <v/>
      </c>
      <c r="K1606" s="60" t="str">
        <f t="shared" si="114"/>
        <v/>
      </c>
      <c r="L1606" t="str">
        <f t="shared" si="115"/>
        <v/>
      </c>
    </row>
    <row r="1607" spans="1:12" x14ac:dyDescent="0.25">
      <c r="A1607" t="s">
        <v>2245</v>
      </c>
      <c r="G1607" t="str">
        <f t="shared" si="116"/>
        <v>05/07/19</v>
      </c>
      <c r="H1607" t="str">
        <f t="shared" si="111"/>
        <v>Cincinnati Reds</v>
      </c>
      <c r="I1607" s="60">
        <f t="shared" si="112"/>
        <v>0</v>
      </c>
      <c r="J1607" t="str">
        <f t="shared" si="113"/>
        <v>Oakland Athletics</v>
      </c>
      <c r="K1607" s="60">
        <f t="shared" si="114"/>
        <v>2</v>
      </c>
      <c r="L1607">
        <f t="shared" si="115"/>
        <v>-2</v>
      </c>
    </row>
    <row r="1608" spans="1:12" x14ac:dyDescent="0.25">
      <c r="G1608" t="str">
        <f t="shared" si="116"/>
        <v>05/07/19</v>
      </c>
      <c r="H1608" t="str">
        <f t="shared" si="111"/>
        <v/>
      </c>
      <c r="I1608" s="60" t="str">
        <f t="shared" si="112"/>
        <v/>
      </c>
      <c r="J1608" t="str">
        <f t="shared" si="113"/>
        <v/>
      </c>
      <c r="K1608" s="60" t="str">
        <f t="shared" si="114"/>
        <v/>
      </c>
      <c r="L1608" t="str">
        <f t="shared" si="115"/>
        <v/>
      </c>
    </row>
    <row r="1609" spans="1:12" x14ac:dyDescent="0.25">
      <c r="A1609" t="s">
        <v>2246</v>
      </c>
      <c r="G1609" t="str">
        <f t="shared" si="116"/>
        <v>05/07/19</v>
      </c>
      <c r="H1609" t="str">
        <f t="shared" si="111"/>
        <v>Texas Rangers</v>
      </c>
      <c r="I1609" s="60">
        <f t="shared" si="112"/>
        <v>4</v>
      </c>
      <c r="J1609" t="str">
        <f t="shared" si="113"/>
        <v>Pittsburgh Pirates</v>
      </c>
      <c r="K1609" s="60">
        <f t="shared" si="114"/>
        <v>5</v>
      </c>
      <c r="L1609">
        <f t="shared" si="115"/>
        <v>-1</v>
      </c>
    </row>
    <row r="1610" spans="1:12" x14ac:dyDescent="0.25">
      <c r="G1610" t="str">
        <f t="shared" si="116"/>
        <v>05/07/19</v>
      </c>
      <c r="H1610" t="str">
        <f t="shared" si="111"/>
        <v/>
      </c>
      <c r="I1610" s="60" t="str">
        <f t="shared" si="112"/>
        <v/>
      </c>
      <c r="J1610" t="str">
        <f t="shared" si="113"/>
        <v/>
      </c>
      <c r="K1610" s="60" t="str">
        <f t="shared" si="114"/>
        <v/>
      </c>
      <c r="L1610" t="str">
        <f t="shared" si="115"/>
        <v/>
      </c>
    </row>
    <row r="1611" spans="1:12" x14ac:dyDescent="0.25">
      <c r="A1611" t="s">
        <v>2247</v>
      </c>
      <c r="G1611" t="str">
        <f t="shared" si="116"/>
        <v>05/07/19</v>
      </c>
      <c r="H1611" t="str">
        <f t="shared" si="111"/>
        <v>New York Mets</v>
      </c>
      <c r="I1611" s="60">
        <f t="shared" si="112"/>
        <v>7</v>
      </c>
      <c r="J1611" t="str">
        <f t="shared" si="113"/>
        <v>San Diego Padres</v>
      </c>
      <c r="K1611" s="60">
        <f t="shared" si="114"/>
        <v>6</v>
      </c>
      <c r="L1611">
        <f t="shared" si="115"/>
        <v>1</v>
      </c>
    </row>
    <row r="1612" spans="1:12" x14ac:dyDescent="0.25">
      <c r="G1612" t="str">
        <f t="shared" si="116"/>
        <v>05/07/19</v>
      </c>
      <c r="H1612" t="str">
        <f t="shared" si="111"/>
        <v/>
      </c>
      <c r="I1612" s="60" t="str">
        <f t="shared" si="112"/>
        <v/>
      </c>
      <c r="J1612" t="str">
        <f t="shared" si="113"/>
        <v/>
      </c>
      <c r="K1612" s="60" t="str">
        <f t="shared" si="114"/>
        <v/>
      </c>
      <c r="L1612" t="str">
        <f t="shared" si="115"/>
        <v/>
      </c>
    </row>
    <row r="1613" spans="1:12" x14ac:dyDescent="0.25">
      <c r="A1613" t="s">
        <v>2248</v>
      </c>
      <c r="G1613" t="str">
        <f t="shared" si="116"/>
        <v>05/07/19</v>
      </c>
      <c r="H1613" t="str">
        <f t="shared" si="111"/>
        <v>Philadelphia Phillies</v>
      </c>
      <c r="I1613" s="60">
        <f t="shared" si="112"/>
        <v>11</v>
      </c>
      <c r="J1613" t="str">
        <f t="shared" si="113"/>
        <v>St. Louis Cardinals</v>
      </c>
      <c r="K1613" s="60">
        <f t="shared" si="114"/>
        <v>1</v>
      </c>
      <c r="L1613">
        <f t="shared" si="115"/>
        <v>10</v>
      </c>
    </row>
    <row r="1614" spans="1:12" x14ac:dyDescent="0.25">
      <c r="G1614" t="str">
        <f t="shared" si="116"/>
        <v>05/07/19</v>
      </c>
      <c r="H1614" t="str">
        <f t="shared" si="111"/>
        <v/>
      </c>
      <c r="I1614" s="60" t="str">
        <f t="shared" si="112"/>
        <v/>
      </c>
      <c r="J1614" t="str">
        <f t="shared" si="113"/>
        <v/>
      </c>
      <c r="K1614" s="60" t="str">
        <f t="shared" si="114"/>
        <v/>
      </c>
      <c r="L1614" t="str">
        <f t="shared" si="115"/>
        <v/>
      </c>
    </row>
    <row r="1615" spans="1:12" x14ac:dyDescent="0.25">
      <c r="A1615" t="s">
        <v>2249</v>
      </c>
      <c r="G1615" t="str">
        <f t="shared" si="116"/>
        <v>05/07/19</v>
      </c>
      <c r="H1615" t="str">
        <f t="shared" si="111"/>
        <v>Arizona D'Backs</v>
      </c>
      <c r="I1615" s="60">
        <f t="shared" si="112"/>
        <v>3</v>
      </c>
      <c r="J1615" t="str">
        <f t="shared" si="113"/>
        <v>Tampa Bay Rays</v>
      </c>
      <c r="K1615" s="60">
        <f t="shared" si="114"/>
        <v>6</v>
      </c>
      <c r="L1615">
        <f t="shared" si="115"/>
        <v>-3</v>
      </c>
    </row>
    <row r="1616" spans="1:12" x14ac:dyDescent="0.25">
      <c r="G1616" t="str">
        <f t="shared" si="116"/>
        <v>05/07/19</v>
      </c>
      <c r="H1616" t="str">
        <f t="shared" ref="H1616:H1679" si="117">IFERROR(LEFT(MID(A1616,1,SEARCH("@",A1616)-2),SEARCH("(",A1616)-2),"")</f>
        <v/>
      </c>
      <c r="I1616" s="60" t="str">
        <f t="shared" ref="I1616:I1679" si="118">IFERROR(VALUE(MID(A1616,SEARCH("(",A1616)+1,SEARCH(")",A1616)-SEARCH("(",A1616)-1)),"")</f>
        <v/>
      </c>
      <c r="J1616" t="str">
        <f t="shared" ref="J1616:J1679" si="119">IFERROR(MID(A1616,SEARCH("@",A1616)+2,SEARCH("(",A1616,SEARCH("@",A1616))-SEARCH("@",A1616)-3),"")</f>
        <v/>
      </c>
      <c r="K1616" s="60" t="str">
        <f t="shared" ref="K1616:K1679" si="120">IFERROR(VALUE(MID(A1616,SEARCH(J1616,A1616)+LEN(J1616)+2,(SEARCH(")",A1616,SEARCH("@",A1616))-SEARCH("(",A1616,SEARCH("@",A1616))-1))),"")</f>
        <v/>
      </c>
      <c r="L1616" t="str">
        <f t="shared" ref="L1616:L1679" si="121">IFERROR(I1616-K1616,"")</f>
        <v/>
      </c>
    </row>
    <row r="1617" spans="1:12" x14ac:dyDescent="0.25">
      <c r="A1617" t="s">
        <v>2250</v>
      </c>
      <c r="G1617" t="str">
        <f t="shared" si="116"/>
        <v>05/07/19</v>
      </c>
      <c r="H1617" t="str">
        <f t="shared" si="117"/>
        <v>Minnesota Twins</v>
      </c>
      <c r="I1617" s="60">
        <f t="shared" si="118"/>
        <v>3</v>
      </c>
      <c r="J1617" t="str">
        <f t="shared" si="119"/>
        <v>Toronto Blue Jays</v>
      </c>
      <c r="K1617" s="60">
        <f t="shared" si="120"/>
        <v>0</v>
      </c>
      <c r="L1617">
        <f t="shared" si="121"/>
        <v>3</v>
      </c>
    </row>
    <row r="1618" spans="1:12" x14ac:dyDescent="0.25">
      <c r="G1618" t="str">
        <f t="shared" si="116"/>
        <v>05/07/19</v>
      </c>
      <c r="H1618" t="str">
        <f t="shared" si="117"/>
        <v/>
      </c>
      <c r="I1618" s="60" t="str">
        <f t="shared" si="118"/>
        <v/>
      </c>
      <c r="J1618" t="str">
        <f t="shared" si="119"/>
        <v/>
      </c>
      <c r="K1618" s="60" t="str">
        <f t="shared" si="120"/>
        <v/>
      </c>
      <c r="L1618" t="str">
        <f t="shared" si="121"/>
        <v/>
      </c>
    </row>
    <row r="1619" spans="1:12" x14ac:dyDescent="0.25">
      <c r="A1619" t="s">
        <v>2251</v>
      </c>
      <c r="G1619" t="str">
        <f t="shared" si="116"/>
        <v>05/07/19</v>
      </c>
      <c r="H1619" t="str">
        <f t="shared" si="117"/>
        <v/>
      </c>
      <c r="I1619" s="60" t="str">
        <f t="shared" si="118"/>
        <v/>
      </c>
      <c r="J1619" t="str">
        <f t="shared" si="119"/>
        <v/>
      </c>
      <c r="K1619" s="60" t="str">
        <f t="shared" si="120"/>
        <v/>
      </c>
      <c r="L1619" t="str">
        <f t="shared" si="121"/>
        <v/>
      </c>
    </row>
    <row r="1620" spans="1:12" x14ac:dyDescent="0.25">
      <c r="G1620" t="str">
        <f t="shared" si="116"/>
        <v>05/07/19</v>
      </c>
      <c r="H1620" t="str">
        <f t="shared" si="117"/>
        <v/>
      </c>
      <c r="I1620" s="60" t="str">
        <f t="shared" si="118"/>
        <v/>
      </c>
      <c r="J1620" t="str">
        <f t="shared" si="119"/>
        <v/>
      </c>
      <c r="K1620" s="60" t="str">
        <f t="shared" si="120"/>
        <v/>
      </c>
      <c r="L1620" t="str">
        <f t="shared" si="121"/>
        <v/>
      </c>
    </row>
    <row r="1621" spans="1:12" x14ac:dyDescent="0.25">
      <c r="A1621" t="s">
        <v>2252</v>
      </c>
      <c r="G1621" t="str">
        <f t="shared" si="116"/>
        <v>05/08/19</v>
      </c>
      <c r="H1621" t="str">
        <f t="shared" si="117"/>
        <v/>
      </c>
      <c r="I1621" s="60" t="str">
        <f t="shared" si="118"/>
        <v/>
      </c>
      <c r="J1621" t="str">
        <f t="shared" si="119"/>
        <v/>
      </c>
      <c r="K1621" s="60" t="str">
        <f t="shared" si="120"/>
        <v/>
      </c>
      <c r="L1621" t="str">
        <f t="shared" si="121"/>
        <v/>
      </c>
    </row>
    <row r="1622" spans="1:12" x14ac:dyDescent="0.25">
      <c r="G1622" t="str">
        <f t="shared" si="116"/>
        <v>05/08/19</v>
      </c>
      <c r="H1622" t="str">
        <f t="shared" si="117"/>
        <v/>
      </c>
      <c r="I1622" s="60" t="str">
        <f t="shared" si="118"/>
        <v/>
      </c>
      <c r="J1622" t="str">
        <f t="shared" si="119"/>
        <v/>
      </c>
      <c r="K1622" s="60" t="str">
        <f t="shared" si="120"/>
        <v/>
      </c>
      <c r="L1622" t="str">
        <f t="shared" si="121"/>
        <v/>
      </c>
    </row>
    <row r="1623" spans="1:12" x14ac:dyDescent="0.25">
      <c r="A1623" t="s">
        <v>2253</v>
      </c>
      <c r="G1623" t="str">
        <f t="shared" si="116"/>
        <v>05/08/19</v>
      </c>
      <c r="H1623" t="str">
        <f t="shared" si="117"/>
        <v>Boston Red Sox</v>
      </c>
      <c r="I1623" s="60">
        <f t="shared" si="118"/>
        <v>2</v>
      </c>
      <c r="J1623" t="str">
        <f t="shared" si="119"/>
        <v>Baltimore Orioles</v>
      </c>
      <c r="K1623" s="60">
        <f t="shared" si="120"/>
        <v>1</v>
      </c>
      <c r="L1623">
        <f t="shared" si="121"/>
        <v>1</v>
      </c>
    </row>
    <row r="1624" spans="1:12" x14ac:dyDescent="0.25">
      <c r="G1624" t="str">
        <f t="shared" si="116"/>
        <v>05/08/19</v>
      </c>
      <c r="H1624" t="str">
        <f t="shared" si="117"/>
        <v/>
      </c>
      <c r="I1624" s="60" t="str">
        <f t="shared" si="118"/>
        <v/>
      </c>
      <c r="J1624" t="str">
        <f t="shared" si="119"/>
        <v/>
      </c>
      <c r="K1624" s="60" t="str">
        <f t="shared" si="120"/>
        <v/>
      </c>
      <c r="L1624" t="str">
        <f t="shared" si="121"/>
        <v/>
      </c>
    </row>
    <row r="1625" spans="1:12" x14ac:dyDescent="0.25">
      <c r="A1625" t="s">
        <v>2254</v>
      </c>
      <c r="G1625" t="str">
        <f t="shared" si="116"/>
        <v>05/08/19</v>
      </c>
      <c r="H1625" t="str">
        <f t="shared" si="117"/>
        <v>Miami Marlins</v>
      </c>
      <c r="I1625" s="60">
        <f t="shared" si="118"/>
        <v>2</v>
      </c>
      <c r="J1625" t="str">
        <f t="shared" si="119"/>
        <v>Chicago Cubs</v>
      </c>
      <c r="K1625" s="60">
        <f t="shared" si="120"/>
        <v>3</v>
      </c>
      <c r="L1625">
        <f t="shared" si="121"/>
        <v>-1</v>
      </c>
    </row>
    <row r="1626" spans="1:12" x14ac:dyDescent="0.25">
      <c r="G1626" t="str">
        <f t="shared" si="116"/>
        <v>05/08/19</v>
      </c>
      <c r="H1626" t="str">
        <f t="shared" si="117"/>
        <v/>
      </c>
      <c r="I1626" s="60" t="str">
        <f t="shared" si="118"/>
        <v/>
      </c>
      <c r="J1626" t="str">
        <f t="shared" si="119"/>
        <v/>
      </c>
      <c r="K1626" s="60" t="str">
        <f t="shared" si="120"/>
        <v/>
      </c>
      <c r="L1626" t="str">
        <f t="shared" si="121"/>
        <v/>
      </c>
    </row>
    <row r="1627" spans="1:12" x14ac:dyDescent="0.25">
      <c r="A1627" t="s">
        <v>1705</v>
      </c>
      <c r="G1627" t="str">
        <f t="shared" si="116"/>
        <v>05/08/19</v>
      </c>
      <c r="H1627" t="str">
        <f t="shared" si="117"/>
        <v>Chicago White Sox</v>
      </c>
      <c r="I1627" s="60">
        <f t="shared" si="118"/>
        <v>3</v>
      </c>
      <c r="J1627" t="str">
        <f t="shared" si="119"/>
        <v>Cleveland Indians</v>
      </c>
      <c r="K1627" s="60">
        <f t="shared" si="120"/>
        <v>5</v>
      </c>
      <c r="L1627">
        <f t="shared" si="121"/>
        <v>-2</v>
      </c>
    </row>
    <row r="1628" spans="1:12" x14ac:dyDescent="0.25">
      <c r="G1628" t="str">
        <f t="shared" si="116"/>
        <v>05/08/19</v>
      </c>
      <c r="H1628" t="str">
        <f t="shared" si="117"/>
        <v/>
      </c>
      <c r="I1628" s="60" t="str">
        <f t="shared" si="118"/>
        <v/>
      </c>
      <c r="J1628" t="str">
        <f t="shared" si="119"/>
        <v/>
      </c>
      <c r="K1628" s="60" t="str">
        <f t="shared" si="120"/>
        <v/>
      </c>
      <c r="L1628" t="str">
        <f t="shared" si="121"/>
        <v/>
      </c>
    </row>
    <row r="1629" spans="1:12" x14ac:dyDescent="0.25">
      <c r="A1629" t="s">
        <v>2255</v>
      </c>
      <c r="G1629" t="str">
        <f t="shared" si="116"/>
        <v>05/08/19</v>
      </c>
      <c r="H1629" t="str">
        <f t="shared" si="117"/>
        <v>Los Angeles Angels</v>
      </c>
      <c r="I1629" s="60">
        <f t="shared" si="118"/>
        <v>3</v>
      </c>
      <c r="J1629" t="str">
        <f t="shared" si="119"/>
        <v>Detroit Tigers</v>
      </c>
      <c r="K1629" s="60">
        <f t="shared" si="120"/>
        <v>10</v>
      </c>
      <c r="L1629">
        <f t="shared" si="121"/>
        <v>-7</v>
      </c>
    </row>
    <row r="1630" spans="1:12" x14ac:dyDescent="0.25">
      <c r="G1630" t="str">
        <f t="shared" si="116"/>
        <v>05/08/19</v>
      </c>
      <c r="H1630" t="str">
        <f t="shared" si="117"/>
        <v/>
      </c>
      <c r="I1630" s="60" t="str">
        <f t="shared" si="118"/>
        <v/>
      </c>
      <c r="J1630" t="str">
        <f t="shared" si="119"/>
        <v/>
      </c>
      <c r="K1630" s="60" t="str">
        <f t="shared" si="120"/>
        <v/>
      </c>
      <c r="L1630" t="str">
        <f t="shared" si="121"/>
        <v/>
      </c>
    </row>
    <row r="1631" spans="1:12" x14ac:dyDescent="0.25">
      <c r="A1631" t="s">
        <v>2256</v>
      </c>
      <c r="G1631" t="str">
        <f t="shared" si="116"/>
        <v>05/08/19</v>
      </c>
      <c r="H1631" t="str">
        <f t="shared" si="117"/>
        <v>Kansas City Royals</v>
      </c>
      <c r="I1631" s="60">
        <f t="shared" si="118"/>
        <v>0</v>
      </c>
      <c r="J1631" t="str">
        <f t="shared" si="119"/>
        <v>Houston Astros</v>
      </c>
      <c r="K1631" s="60">
        <f t="shared" si="120"/>
        <v>9</v>
      </c>
      <c r="L1631">
        <f t="shared" si="121"/>
        <v>-9</v>
      </c>
    </row>
    <row r="1632" spans="1:12" x14ac:dyDescent="0.25">
      <c r="G1632" t="str">
        <f t="shared" si="116"/>
        <v>05/08/19</v>
      </c>
      <c r="H1632" t="str">
        <f t="shared" si="117"/>
        <v/>
      </c>
      <c r="I1632" s="60" t="str">
        <f t="shared" si="118"/>
        <v/>
      </c>
      <c r="J1632" t="str">
        <f t="shared" si="119"/>
        <v/>
      </c>
      <c r="K1632" s="60" t="str">
        <f t="shared" si="120"/>
        <v/>
      </c>
      <c r="L1632" t="str">
        <f t="shared" si="121"/>
        <v/>
      </c>
    </row>
    <row r="1633" spans="1:12" x14ac:dyDescent="0.25">
      <c r="A1633" t="s">
        <v>2257</v>
      </c>
      <c r="G1633" t="str">
        <f t="shared" si="116"/>
        <v>05/08/19</v>
      </c>
      <c r="H1633" t="str">
        <f t="shared" si="117"/>
        <v>Atlanta Braves</v>
      </c>
      <c r="I1633" s="60">
        <f t="shared" si="118"/>
        <v>4</v>
      </c>
      <c r="J1633" t="str">
        <f t="shared" si="119"/>
        <v>Los Angeles Dodgers</v>
      </c>
      <c r="K1633" s="60">
        <f t="shared" si="120"/>
        <v>9</v>
      </c>
      <c r="L1633">
        <f t="shared" si="121"/>
        <v>-5</v>
      </c>
    </row>
    <row r="1634" spans="1:12" x14ac:dyDescent="0.25">
      <c r="G1634" t="str">
        <f t="shared" ref="G1634:G1697" si="122">IF(ISNUMBER(MATCH(IFERROR(LEFT(A1634,SEARCH(",",A1634)-1),""),$G$220:$M$220,0)),TEXT(MID(A1634,SEARCH(",",A1634)+2,LEN(A1634)),"mm/dd/yy"),G1633)</f>
        <v>05/08/19</v>
      </c>
      <c r="H1634" t="str">
        <f t="shared" si="117"/>
        <v/>
      </c>
      <c r="I1634" s="60" t="str">
        <f t="shared" si="118"/>
        <v/>
      </c>
      <c r="J1634" t="str">
        <f t="shared" si="119"/>
        <v/>
      </c>
      <c r="K1634" s="60" t="str">
        <f t="shared" si="120"/>
        <v/>
      </c>
      <c r="L1634" t="str">
        <f t="shared" si="121"/>
        <v/>
      </c>
    </row>
    <row r="1635" spans="1:12" x14ac:dyDescent="0.25">
      <c r="A1635" t="s">
        <v>2258</v>
      </c>
      <c r="G1635" t="str">
        <f t="shared" si="122"/>
        <v>05/08/19</v>
      </c>
      <c r="H1635" t="str">
        <f t="shared" si="117"/>
        <v>Washington Nationals</v>
      </c>
      <c r="I1635" s="60">
        <f t="shared" si="118"/>
        <v>3</v>
      </c>
      <c r="J1635" t="str">
        <f t="shared" si="119"/>
        <v>Milwaukee Brewers</v>
      </c>
      <c r="K1635" s="60">
        <f t="shared" si="120"/>
        <v>7</v>
      </c>
      <c r="L1635">
        <f t="shared" si="121"/>
        <v>-4</v>
      </c>
    </row>
    <row r="1636" spans="1:12" x14ac:dyDescent="0.25">
      <c r="G1636" t="str">
        <f t="shared" si="122"/>
        <v>05/08/19</v>
      </c>
      <c r="H1636" t="str">
        <f t="shared" si="117"/>
        <v/>
      </c>
      <c r="I1636" s="60" t="str">
        <f t="shared" si="118"/>
        <v/>
      </c>
      <c r="J1636" t="str">
        <f t="shared" si="119"/>
        <v/>
      </c>
      <c r="K1636" s="60" t="str">
        <f t="shared" si="120"/>
        <v/>
      </c>
      <c r="L1636" t="str">
        <f t="shared" si="121"/>
        <v/>
      </c>
    </row>
    <row r="1637" spans="1:12" x14ac:dyDescent="0.25">
      <c r="A1637" t="s">
        <v>2259</v>
      </c>
      <c r="G1637" t="str">
        <f t="shared" si="122"/>
        <v>05/08/19</v>
      </c>
      <c r="H1637" t="str">
        <f t="shared" si="117"/>
        <v>Seattle Mariners</v>
      </c>
      <c r="I1637" s="60">
        <f t="shared" si="118"/>
        <v>10</v>
      </c>
      <c r="J1637" t="str">
        <f t="shared" si="119"/>
        <v>New York Yankees</v>
      </c>
      <c r="K1637" s="60">
        <f t="shared" si="120"/>
        <v>1</v>
      </c>
      <c r="L1637">
        <f t="shared" si="121"/>
        <v>9</v>
      </c>
    </row>
    <row r="1638" spans="1:12" x14ac:dyDescent="0.25">
      <c r="G1638" t="str">
        <f t="shared" si="122"/>
        <v>05/08/19</v>
      </c>
      <c r="H1638" t="str">
        <f t="shared" si="117"/>
        <v/>
      </c>
      <c r="I1638" s="60" t="str">
        <f t="shared" si="118"/>
        <v/>
      </c>
      <c r="J1638" t="str">
        <f t="shared" si="119"/>
        <v/>
      </c>
      <c r="K1638" s="60" t="str">
        <f t="shared" si="120"/>
        <v/>
      </c>
      <c r="L1638" t="str">
        <f t="shared" si="121"/>
        <v/>
      </c>
    </row>
    <row r="1639" spans="1:12" x14ac:dyDescent="0.25">
      <c r="A1639" t="s">
        <v>2260</v>
      </c>
      <c r="G1639" t="str">
        <f t="shared" si="122"/>
        <v>05/08/19</v>
      </c>
      <c r="H1639" t="str">
        <f t="shared" si="117"/>
        <v>Cincinnati Reds</v>
      </c>
      <c r="I1639" s="60">
        <f t="shared" si="118"/>
        <v>4</v>
      </c>
      <c r="J1639" t="str">
        <f t="shared" si="119"/>
        <v>Oakland Athletics</v>
      </c>
      <c r="K1639" s="60">
        <f t="shared" si="120"/>
        <v>5</v>
      </c>
      <c r="L1639">
        <f t="shared" si="121"/>
        <v>-1</v>
      </c>
    </row>
    <row r="1640" spans="1:12" x14ac:dyDescent="0.25">
      <c r="G1640" t="str">
        <f t="shared" si="122"/>
        <v>05/08/19</v>
      </c>
      <c r="H1640" t="str">
        <f t="shared" si="117"/>
        <v/>
      </c>
      <c r="I1640" s="60" t="str">
        <f t="shared" si="118"/>
        <v/>
      </c>
      <c r="J1640" t="str">
        <f t="shared" si="119"/>
        <v/>
      </c>
      <c r="K1640" s="60" t="str">
        <f t="shared" si="120"/>
        <v/>
      </c>
      <c r="L1640" t="str">
        <f t="shared" si="121"/>
        <v/>
      </c>
    </row>
    <row r="1641" spans="1:12" x14ac:dyDescent="0.25">
      <c r="A1641" t="s">
        <v>2261</v>
      </c>
      <c r="G1641" t="str">
        <f t="shared" si="122"/>
        <v>05/08/19</v>
      </c>
      <c r="H1641" t="str">
        <f t="shared" si="117"/>
        <v>Texas Rangers</v>
      </c>
      <c r="I1641" s="60">
        <f t="shared" si="118"/>
        <v>9</v>
      </c>
      <c r="J1641" t="str">
        <f t="shared" si="119"/>
        <v>Pittsburgh Pirates</v>
      </c>
      <c r="K1641" s="60">
        <f t="shared" si="120"/>
        <v>6</v>
      </c>
      <c r="L1641">
        <f t="shared" si="121"/>
        <v>3</v>
      </c>
    </row>
    <row r="1642" spans="1:12" x14ac:dyDescent="0.25">
      <c r="G1642" t="str">
        <f t="shared" si="122"/>
        <v>05/08/19</v>
      </c>
      <c r="H1642" t="str">
        <f t="shared" si="117"/>
        <v/>
      </c>
      <c r="I1642" s="60" t="str">
        <f t="shared" si="118"/>
        <v/>
      </c>
      <c r="J1642" t="str">
        <f t="shared" si="119"/>
        <v/>
      </c>
      <c r="K1642" s="60" t="str">
        <f t="shared" si="120"/>
        <v/>
      </c>
      <c r="L1642" t="str">
        <f t="shared" si="121"/>
        <v/>
      </c>
    </row>
    <row r="1643" spans="1:12" x14ac:dyDescent="0.25">
      <c r="A1643" t="s">
        <v>2262</v>
      </c>
      <c r="G1643" t="str">
        <f t="shared" si="122"/>
        <v>05/08/19</v>
      </c>
      <c r="H1643" t="str">
        <f t="shared" si="117"/>
        <v>New York Mets</v>
      </c>
      <c r="I1643" s="60">
        <f t="shared" si="118"/>
        <v>2</v>
      </c>
      <c r="J1643" t="str">
        <f t="shared" si="119"/>
        <v>San Diego Padres</v>
      </c>
      <c r="K1643" s="60">
        <f t="shared" si="120"/>
        <v>3</v>
      </c>
      <c r="L1643">
        <f t="shared" si="121"/>
        <v>-1</v>
      </c>
    </row>
    <row r="1644" spans="1:12" x14ac:dyDescent="0.25">
      <c r="G1644" t="str">
        <f t="shared" si="122"/>
        <v>05/08/19</v>
      </c>
      <c r="H1644" t="str">
        <f t="shared" si="117"/>
        <v/>
      </c>
      <c r="I1644" s="60" t="str">
        <f t="shared" si="118"/>
        <v/>
      </c>
      <c r="J1644" t="str">
        <f t="shared" si="119"/>
        <v/>
      </c>
      <c r="K1644" s="60" t="str">
        <f t="shared" si="120"/>
        <v/>
      </c>
      <c r="L1644" t="str">
        <f t="shared" si="121"/>
        <v/>
      </c>
    </row>
    <row r="1645" spans="1:12" x14ac:dyDescent="0.25">
      <c r="A1645" t="s">
        <v>2263</v>
      </c>
      <c r="G1645" t="str">
        <f t="shared" si="122"/>
        <v>05/08/19</v>
      </c>
      <c r="H1645" t="str">
        <f t="shared" si="117"/>
        <v>Philadelphia Phillies</v>
      </c>
      <c r="I1645" s="60">
        <f t="shared" si="118"/>
        <v>5</v>
      </c>
      <c r="J1645" t="str">
        <f t="shared" si="119"/>
        <v>St. Louis Cardinals</v>
      </c>
      <c r="K1645" s="60">
        <f t="shared" si="120"/>
        <v>0</v>
      </c>
      <c r="L1645">
        <f t="shared" si="121"/>
        <v>5</v>
      </c>
    </row>
    <row r="1646" spans="1:12" x14ac:dyDescent="0.25">
      <c r="G1646" t="str">
        <f t="shared" si="122"/>
        <v>05/08/19</v>
      </c>
      <c r="H1646" t="str">
        <f t="shared" si="117"/>
        <v/>
      </c>
      <c r="I1646" s="60" t="str">
        <f t="shared" si="118"/>
        <v/>
      </c>
      <c r="J1646" t="str">
        <f t="shared" si="119"/>
        <v/>
      </c>
      <c r="K1646" s="60" t="str">
        <f t="shared" si="120"/>
        <v/>
      </c>
      <c r="L1646" t="str">
        <f t="shared" si="121"/>
        <v/>
      </c>
    </row>
    <row r="1647" spans="1:12" x14ac:dyDescent="0.25">
      <c r="A1647" t="s">
        <v>2264</v>
      </c>
      <c r="G1647" t="str">
        <f t="shared" si="122"/>
        <v>05/08/19</v>
      </c>
      <c r="H1647" t="str">
        <f t="shared" si="117"/>
        <v>Arizona D'Backs</v>
      </c>
      <c r="I1647" s="60">
        <f t="shared" si="118"/>
        <v>3</v>
      </c>
      <c r="J1647" t="str">
        <f t="shared" si="119"/>
        <v>Tampa Bay Rays</v>
      </c>
      <c r="K1647" s="60">
        <f t="shared" si="120"/>
        <v>2</v>
      </c>
      <c r="L1647">
        <f t="shared" si="121"/>
        <v>1</v>
      </c>
    </row>
    <row r="1648" spans="1:12" x14ac:dyDescent="0.25">
      <c r="G1648" t="str">
        <f t="shared" si="122"/>
        <v>05/08/19</v>
      </c>
      <c r="H1648" t="str">
        <f t="shared" si="117"/>
        <v/>
      </c>
      <c r="I1648" s="60" t="str">
        <f t="shared" si="118"/>
        <v/>
      </c>
      <c r="J1648" t="str">
        <f t="shared" si="119"/>
        <v/>
      </c>
      <c r="K1648" s="60" t="str">
        <f t="shared" si="120"/>
        <v/>
      </c>
      <c r="L1648" t="str">
        <f t="shared" si="121"/>
        <v/>
      </c>
    </row>
    <row r="1649" spans="1:12" x14ac:dyDescent="0.25">
      <c r="A1649" t="s">
        <v>2265</v>
      </c>
      <c r="G1649" t="str">
        <f t="shared" si="122"/>
        <v>05/08/19</v>
      </c>
      <c r="H1649" t="str">
        <f t="shared" si="117"/>
        <v>Minnesota Twins</v>
      </c>
      <c r="I1649" s="60">
        <f t="shared" si="118"/>
        <v>9</v>
      </c>
      <c r="J1649" t="str">
        <f t="shared" si="119"/>
        <v>Toronto Blue Jays</v>
      </c>
      <c r="K1649" s="60">
        <f t="shared" si="120"/>
        <v>1</v>
      </c>
      <c r="L1649">
        <f t="shared" si="121"/>
        <v>8</v>
      </c>
    </row>
    <row r="1650" spans="1:12" x14ac:dyDescent="0.25">
      <c r="G1650" t="str">
        <f t="shared" si="122"/>
        <v>05/08/19</v>
      </c>
      <c r="H1650" t="str">
        <f t="shared" si="117"/>
        <v/>
      </c>
      <c r="I1650" s="60" t="str">
        <f t="shared" si="118"/>
        <v/>
      </c>
      <c r="J1650" t="str">
        <f t="shared" si="119"/>
        <v/>
      </c>
      <c r="K1650" s="60" t="str">
        <f t="shared" si="120"/>
        <v/>
      </c>
      <c r="L1650" t="str">
        <f t="shared" si="121"/>
        <v/>
      </c>
    </row>
    <row r="1651" spans="1:12" x14ac:dyDescent="0.25">
      <c r="A1651" t="s">
        <v>2266</v>
      </c>
      <c r="G1651" t="str">
        <f t="shared" si="122"/>
        <v>05/08/19</v>
      </c>
      <c r="H1651" t="str">
        <f t="shared" si="117"/>
        <v/>
      </c>
      <c r="I1651" s="60" t="str">
        <f t="shared" si="118"/>
        <v/>
      </c>
      <c r="J1651" t="str">
        <f t="shared" si="119"/>
        <v/>
      </c>
      <c r="K1651" s="60" t="str">
        <f t="shared" si="120"/>
        <v/>
      </c>
      <c r="L1651" t="str">
        <f t="shared" si="121"/>
        <v/>
      </c>
    </row>
    <row r="1652" spans="1:12" x14ac:dyDescent="0.25">
      <c r="G1652" t="str">
        <f t="shared" si="122"/>
        <v>05/08/19</v>
      </c>
      <c r="H1652" t="str">
        <f t="shared" si="117"/>
        <v/>
      </c>
      <c r="I1652" s="60" t="str">
        <f t="shared" si="118"/>
        <v/>
      </c>
      <c r="J1652" t="str">
        <f t="shared" si="119"/>
        <v/>
      </c>
      <c r="K1652" s="60" t="str">
        <f t="shared" si="120"/>
        <v/>
      </c>
      <c r="L1652" t="str">
        <f t="shared" si="121"/>
        <v/>
      </c>
    </row>
    <row r="1653" spans="1:12" x14ac:dyDescent="0.25">
      <c r="A1653" t="s">
        <v>2267</v>
      </c>
      <c r="G1653" t="str">
        <f t="shared" si="122"/>
        <v>05/09/19</v>
      </c>
      <c r="H1653" t="str">
        <f t="shared" si="117"/>
        <v/>
      </c>
      <c r="I1653" s="60" t="str">
        <f t="shared" si="118"/>
        <v/>
      </c>
      <c r="J1653" t="str">
        <f t="shared" si="119"/>
        <v/>
      </c>
      <c r="K1653" s="60" t="str">
        <f t="shared" si="120"/>
        <v/>
      </c>
      <c r="L1653" t="str">
        <f t="shared" si="121"/>
        <v/>
      </c>
    </row>
    <row r="1654" spans="1:12" x14ac:dyDescent="0.25">
      <c r="G1654" t="str">
        <f t="shared" si="122"/>
        <v>05/09/19</v>
      </c>
      <c r="H1654" t="str">
        <f t="shared" si="117"/>
        <v/>
      </c>
      <c r="I1654" s="60" t="str">
        <f t="shared" si="118"/>
        <v/>
      </c>
      <c r="J1654" t="str">
        <f t="shared" si="119"/>
        <v/>
      </c>
      <c r="K1654" s="60" t="str">
        <f t="shared" si="120"/>
        <v/>
      </c>
      <c r="L1654" t="str">
        <f t="shared" si="121"/>
        <v/>
      </c>
    </row>
    <row r="1655" spans="1:12" x14ac:dyDescent="0.25">
      <c r="A1655" t="s">
        <v>2268</v>
      </c>
      <c r="G1655" t="str">
        <f t="shared" si="122"/>
        <v>05/09/19</v>
      </c>
      <c r="H1655" t="str">
        <f t="shared" si="117"/>
        <v>Atlanta Braves</v>
      </c>
      <c r="I1655" s="60">
        <f t="shared" si="118"/>
        <v>2</v>
      </c>
      <c r="J1655" t="str">
        <f t="shared" si="119"/>
        <v>Arizona D'Backs</v>
      </c>
      <c r="K1655" s="60">
        <f t="shared" si="120"/>
        <v>3</v>
      </c>
      <c r="L1655">
        <f t="shared" si="121"/>
        <v>-1</v>
      </c>
    </row>
    <row r="1656" spans="1:12" x14ac:dyDescent="0.25">
      <c r="G1656" t="str">
        <f t="shared" si="122"/>
        <v>05/09/19</v>
      </c>
      <c r="H1656" t="str">
        <f t="shared" si="117"/>
        <v/>
      </c>
      <c r="I1656" s="60" t="str">
        <f t="shared" si="118"/>
        <v/>
      </c>
      <c r="J1656" t="str">
        <f t="shared" si="119"/>
        <v/>
      </c>
      <c r="K1656" s="60" t="str">
        <f t="shared" si="120"/>
        <v/>
      </c>
      <c r="L1656" t="str">
        <f t="shared" si="121"/>
        <v/>
      </c>
    </row>
    <row r="1657" spans="1:12" x14ac:dyDescent="0.25">
      <c r="A1657" t="s">
        <v>2269</v>
      </c>
      <c r="G1657" t="str">
        <f t="shared" si="122"/>
        <v>05/09/19</v>
      </c>
      <c r="H1657" t="str">
        <f t="shared" si="117"/>
        <v>Miami Marlins</v>
      </c>
      <c r="I1657" s="60">
        <f t="shared" si="118"/>
        <v>1</v>
      </c>
      <c r="J1657" t="str">
        <f t="shared" si="119"/>
        <v>Chicago Cubs</v>
      </c>
      <c r="K1657" s="60">
        <f t="shared" si="120"/>
        <v>4</v>
      </c>
      <c r="L1657">
        <f t="shared" si="121"/>
        <v>-3</v>
      </c>
    </row>
    <row r="1658" spans="1:12" x14ac:dyDescent="0.25">
      <c r="G1658" t="str">
        <f t="shared" si="122"/>
        <v>05/09/19</v>
      </c>
      <c r="H1658" t="str">
        <f t="shared" si="117"/>
        <v/>
      </c>
      <c r="I1658" s="60" t="str">
        <f t="shared" si="118"/>
        <v/>
      </c>
      <c r="J1658" t="str">
        <f t="shared" si="119"/>
        <v/>
      </c>
      <c r="K1658" s="60" t="str">
        <f t="shared" si="120"/>
        <v/>
      </c>
      <c r="L1658" t="str">
        <f t="shared" si="121"/>
        <v/>
      </c>
    </row>
    <row r="1659" spans="1:12" x14ac:dyDescent="0.25">
      <c r="A1659" t="s">
        <v>2270</v>
      </c>
      <c r="G1659" t="str">
        <f t="shared" si="122"/>
        <v>05/09/19</v>
      </c>
      <c r="H1659" t="str">
        <f t="shared" si="117"/>
        <v>Chicago White Sox</v>
      </c>
      <c r="I1659" s="60">
        <f t="shared" si="118"/>
        <v>0</v>
      </c>
      <c r="J1659" t="str">
        <f t="shared" si="119"/>
        <v>Cleveland Indians</v>
      </c>
      <c r="K1659" s="60">
        <f t="shared" si="120"/>
        <v>5</v>
      </c>
      <c r="L1659">
        <f t="shared" si="121"/>
        <v>-5</v>
      </c>
    </row>
    <row r="1660" spans="1:12" x14ac:dyDescent="0.25">
      <c r="G1660" t="str">
        <f t="shared" si="122"/>
        <v>05/09/19</v>
      </c>
      <c r="H1660" t="str">
        <f t="shared" si="117"/>
        <v/>
      </c>
      <c r="I1660" s="60" t="str">
        <f t="shared" si="118"/>
        <v/>
      </c>
      <c r="J1660" t="str">
        <f t="shared" si="119"/>
        <v/>
      </c>
      <c r="K1660" s="60" t="str">
        <f t="shared" si="120"/>
        <v/>
      </c>
      <c r="L1660" t="str">
        <f t="shared" si="121"/>
        <v/>
      </c>
    </row>
    <row r="1661" spans="1:12" x14ac:dyDescent="0.25">
      <c r="A1661" t="s">
        <v>2271</v>
      </c>
      <c r="G1661" t="str">
        <f t="shared" si="122"/>
        <v>05/09/19</v>
      </c>
      <c r="H1661" t="str">
        <f t="shared" si="117"/>
        <v>San Francisco Giants</v>
      </c>
      <c r="I1661" s="60">
        <f t="shared" si="118"/>
        <v>11</v>
      </c>
      <c r="J1661" t="str">
        <f t="shared" si="119"/>
        <v>Colorado Rockies</v>
      </c>
      <c r="K1661" s="60">
        <f t="shared" si="120"/>
        <v>12</v>
      </c>
      <c r="L1661">
        <f t="shared" si="121"/>
        <v>-1</v>
      </c>
    </row>
    <row r="1662" spans="1:12" x14ac:dyDescent="0.25">
      <c r="G1662" t="str">
        <f t="shared" si="122"/>
        <v>05/09/19</v>
      </c>
      <c r="H1662" t="str">
        <f t="shared" si="117"/>
        <v/>
      </c>
      <c r="I1662" s="60" t="str">
        <f t="shared" si="118"/>
        <v/>
      </c>
      <c r="J1662" t="str">
        <f t="shared" si="119"/>
        <v/>
      </c>
      <c r="K1662" s="60" t="str">
        <f t="shared" si="120"/>
        <v/>
      </c>
      <c r="L1662" t="str">
        <f t="shared" si="121"/>
        <v/>
      </c>
    </row>
    <row r="1663" spans="1:12" x14ac:dyDescent="0.25">
      <c r="A1663" t="s">
        <v>2272</v>
      </c>
      <c r="G1663" t="str">
        <f t="shared" si="122"/>
        <v>05/09/19</v>
      </c>
      <c r="H1663" t="str">
        <f t="shared" si="117"/>
        <v>Los Angeles Angels</v>
      </c>
      <c r="I1663" s="60">
        <f t="shared" si="118"/>
        <v>13</v>
      </c>
      <c r="J1663" t="str">
        <f t="shared" si="119"/>
        <v>Detroit Tigers</v>
      </c>
      <c r="K1663" s="60">
        <f t="shared" si="120"/>
        <v>0</v>
      </c>
      <c r="L1663">
        <f t="shared" si="121"/>
        <v>13</v>
      </c>
    </row>
    <row r="1664" spans="1:12" x14ac:dyDescent="0.25">
      <c r="G1664" t="str">
        <f t="shared" si="122"/>
        <v>05/09/19</v>
      </c>
      <c r="H1664" t="str">
        <f t="shared" si="117"/>
        <v/>
      </c>
      <c r="I1664" s="60" t="str">
        <f t="shared" si="118"/>
        <v/>
      </c>
      <c r="J1664" t="str">
        <f t="shared" si="119"/>
        <v/>
      </c>
      <c r="K1664" s="60" t="str">
        <f t="shared" si="120"/>
        <v/>
      </c>
      <c r="L1664" t="str">
        <f t="shared" si="121"/>
        <v/>
      </c>
    </row>
    <row r="1665" spans="1:12" x14ac:dyDescent="0.25">
      <c r="A1665" t="s">
        <v>2273</v>
      </c>
      <c r="G1665" t="str">
        <f t="shared" si="122"/>
        <v>05/09/19</v>
      </c>
      <c r="H1665" t="str">
        <f t="shared" si="117"/>
        <v>Texas Rangers</v>
      </c>
      <c r="I1665" s="60">
        <f t="shared" si="118"/>
        <v>2</v>
      </c>
      <c r="J1665" t="str">
        <f t="shared" si="119"/>
        <v>Houston Astros</v>
      </c>
      <c r="K1665" s="60">
        <f t="shared" si="120"/>
        <v>4</v>
      </c>
      <c r="L1665">
        <f t="shared" si="121"/>
        <v>-2</v>
      </c>
    </row>
    <row r="1666" spans="1:12" x14ac:dyDescent="0.25">
      <c r="G1666" t="str">
        <f t="shared" si="122"/>
        <v>05/09/19</v>
      </c>
      <c r="H1666" t="str">
        <f t="shared" si="117"/>
        <v/>
      </c>
      <c r="I1666" s="60" t="str">
        <f t="shared" si="118"/>
        <v/>
      </c>
      <c r="J1666" t="str">
        <f t="shared" si="119"/>
        <v/>
      </c>
      <c r="K1666" s="60" t="str">
        <f t="shared" si="120"/>
        <v/>
      </c>
      <c r="L1666" t="str">
        <f t="shared" si="121"/>
        <v/>
      </c>
    </row>
    <row r="1667" spans="1:12" x14ac:dyDescent="0.25">
      <c r="A1667" t="s">
        <v>2274</v>
      </c>
      <c r="G1667" t="str">
        <f t="shared" si="122"/>
        <v>05/09/19</v>
      </c>
      <c r="H1667" t="str">
        <f t="shared" si="117"/>
        <v>Washington Nationals</v>
      </c>
      <c r="I1667" s="60">
        <f t="shared" si="118"/>
        <v>6</v>
      </c>
      <c r="J1667" t="str">
        <f t="shared" si="119"/>
        <v>Los Angeles Dodgers</v>
      </c>
      <c r="K1667" s="60">
        <f t="shared" si="120"/>
        <v>0</v>
      </c>
      <c r="L1667">
        <f t="shared" si="121"/>
        <v>6</v>
      </c>
    </row>
    <row r="1668" spans="1:12" x14ac:dyDescent="0.25">
      <c r="G1668" t="str">
        <f t="shared" si="122"/>
        <v>05/09/19</v>
      </c>
      <c r="H1668" t="str">
        <f t="shared" si="117"/>
        <v/>
      </c>
      <c r="I1668" s="60" t="str">
        <f t="shared" si="118"/>
        <v/>
      </c>
      <c r="J1668" t="str">
        <f t="shared" si="119"/>
        <v/>
      </c>
      <c r="K1668" s="60" t="str">
        <f t="shared" si="120"/>
        <v/>
      </c>
      <c r="L1668" t="str">
        <f t="shared" si="121"/>
        <v/>
      </c>
    </row>
    <row r="1669" spans="1:12" x14ac:dyDescent="0.25">
      <c r="A1669" t="s">
        <v>2275</v>
      </c>
      <c r="G1669" t="str">
        <f t="shared" si="122"/>
        <v>05/09/19</v>
      </c>
      <c r="H1669" t="str">
        <f t="shared" si="117"/>
        <v>Seattle Mariners</v>
      </c>
      <c r="I1669" s="60">
        <f t="shared" si="118"/>
        <v>1</v>
      </c>
      <c r="J1669" t="str">
        <f t="shared" si="119"/>
        <v>New York Yankees</v>
      </c>
      <c r="K1669" s="60">
        <f t="shared" si="120"/>
        <v>3</v>
      </c>
      <c r="L1669">
        <f t="shared" si="121"/>
        <v>-2</v>
      </c>
    </row>
    <row r="1670" spans="1:12" x14ac:dyDescent="0.25">
      <c r="G1670" t="str">
        <f t="shared" si="122"/>
        <v>05/09/19</v>
      </c>
      <c r="H1670" t="str">
        <f t="shared" si="117"/>
        <v/>
      </c>
      <c r="I1670" s="60" t="str">
        <f t="shared" si="118"/>
        <v/>
      </c>
      <c r="J1670" t="str">
        <f t="shared" si="119"/>
        <v/>
      </c>
      <c r="K1670" s="60" t="str">
        <f t="shared" si="120"/>
        <v/>
      </c>
      <c r="L1670" t="str">
        <f t="shared" si="121"/>
        <v/>
      </c>
    </row>
    <row r="1671" spans="1:12" x14ac:dyDescent="0.25">
      <c r="A1671" t="s">
        <v>2276</v>
      </c>
      <c r="G1671" t="str">
        <f t="shared" si="122"/>
        <v>05/09/19</v>
      </c>
      <c r="H1671" t="str">
        <f t="shared" si="117"/>
        <v>Cincinnati Reds</v>
      </c>
      <c r="I1671" s="60">
        <f t="shared" si="118"/>
        <v>3</v>
      </c>
      <c r="J1671" t="str">
        <f t="shared" si="119"/>
        <v>Oakland Athletics</v>
      </c>
      <c r="K1671" s="60">
        <f t="shared" si="120"/>
        <v>0</v>
      </c>
      <c r="L1671">
        <f t="shared" si="121"/>
        <v>3</v>
      </c>
    </row>
    <row r="1672" spans="1:12" x14ac:dyDescent="0.25">
      <c r="G1672" t="str">
        <f t="shared" si="122"/>
        <v>05/09/19</v>
      </c>
      <c r="H1672" t="str">
        <f t="shared" si="117"/>
        <v/>
      </c>
      <c r="I1672" s="60" t="str">
        <f t="shared" si="118"/>
        <v/>
      </c>
      <c r="J1672" t="str">
        <f t="shared" si="119"/>
        <v/>
      </c>
      <c r="K1672" s="60" t="str">
        <f t="shared" si="120"/>
        <v/>
      </c>
      <c r="L1672" t="str">
        <f t="shared" si="121"/>
        <v/>
      </c>
    </row>
    <row r="1673" spans="1:12" x14ac:dyDescent="0.25">
      <c r="A1673" t="s">
        <v>2277</v>
      </c>
      <c r="G1673" t="str">
        <f t="shared" si="122"/>
        <v>05/09/19</v>
      </c>
      <c r="H1673" t="str">
        <f t="shared" si="117"/>
        <v>Pittsburgh Pirates</v>
      </c>
      <c r="I1673" s="60">
        <f t="shared" si="118"/>
        <v>4</v>
      </c>
      <c r="J1673" t="str">
        <f t="shared" si="119"/>
        <v>St. Louis Cardinals</v>
      </c>
      <c r="K1673" s="60">
        <f t="shared" si="120"/>
        <v>17</v>
      </c>
      <c r="L1673">
        <f t="shared" si="121"/>
        <v>-13</v>
      </c>
    </row>
    <row r="1674" spans="1:12" x14ac:dyDescent="0.25">
      <c r="G1674" t="str">
        <f t="shared" si="122"/>
        <v>05/09/19</v>
      </c>
      <c r="H1674" t="str">
        <f t="shared" si="117"/>
        <v/>
      </c>
      <c r="I1674" s="60" t="str">
        <f t="shared" si="118"/>
        <v/>
      </c>
      <c r="J1674" t="str">
        <f t="shared" si="119"/>
        <v/>
      </c>
      <c r="K1674" s="60" t="str">
        <f t="shared" si="120"/>
        <v/>
      </c>
      <c r="L1674" t="str">
        <f t="shared" si="121"/>
        <v/>
      </c>
    </row>
    <row r="1675" spans="1:12" x14ac:dyDescent="0.25">
      <c r="A1675" t="s">
        <v>2278</v>
      </c>
      <c r="G1675" t="str">
        <f t="shared" si="122"/>
        <v>05/09/19</v>
      </c>
      <c r="H1675" t="str">
        <f t="shared" si="117"/>
        <v/>
      </c>
      <c r="I1675" s="60" t="str">
        <f t="shared" si="118"/>
        <v/>
      </c>
      <c r="J1675" t="str">
        <f t="shared" si="119"/>
        <v/>
      </c>
      <c r="K1675" s="60" t="str">
        <f t="shared" si="120"/>
        <v/>
      </c>
      <c r="L1675" t="str">
        <f t="shared" si="121"/>
        <v/>
      </c>
    </row>
    <row r="1676" spans="1:12" x14ac:dyDescent="0.25">
      <c r="G1676" t="str">
        <f t="shared" si="122"/>
        <v>05/09/19</v>
      </c>
      <c r="H1676" t="str">
        <f t="shared" si="117"/>
        <v/>
      </c>
      <c r="I1676" s="60" t="str">
        <f t="shared" si="118"/>
        <v/>
      </c>
      <c r="J1676" t="str">
        <f t="shared" si="119"/>
        <v/>
      </c>
      <c r="K1676" s="60" t="str">
        <f t="shared" si="120"/>
        <v/>
      </c>
      <c r="L1676" t="str">
        <f t="shared" si="121"/>
        <v/>
      </c>
    </row>
    <row r="1677" spans="1:12" x14ac:dyDescent="0.25">
      <c r="A1677" t="s">
        <v>2279</v>
      </c>
      <c r="G1677" t="str">
        <f t="shared" si="122"/>
        <v>05/10/19</v>
      </c>
      <c r="H1677" t="str">
        <f t="shared" si="117"/>
        <v/>
      </c>
      <c r="I1677" s="60" t="str">
        <f t="shared" si="118"/>
        <v/>
      </c>
      <c r="J1677" t="str">
        <f t="shared" si="119"/>
        <v/>
      </c>
      <c r="K1677" s="60" t="str">
        <f t="shared" si="120"/>
        <v/>
      </c>
      <c r="L1677" t="str">
        <f t="shared" si="121"/>
        <v/>
      </c>
    </row>
    <row r="1678" spans="1:12" x14ac:dyDescent="0.25">
      <c r="G1678" t="str">
        <f t="shared" si="122"/>
        <v>05/10/19</v>
      </c>
      <c r="H1678" t="str">
        <f t="shared" si="117"/>
        <v/>
      </c>
      <c r="I1678" s="60" t="str">
        <f t="shared" si="118"/>
        <v/>
      </c>
      <c r="J1678" t="str">
        <f t="shared" si="119"/>
        <v/>
      </c>
      <c r="K1678" s="60" t="str">
        <f t="shared" si="120"/>
        <v/>
      </c>
      <c r="L1678" t="str">
        <f t="shared" si="121"/>
        <v/>
      </c>
    </row>
    <row r="1679" spans="1:12" x14ac:dyDescent="0.25">
      <c r="A1679" t="s">
        <v>2280</v>
      </c>
      <c r="G1679" t="str">
        <f t="shared" si="122"/>
        <v>05/10/19</v>
      </c>
      <c r="H1679" t="str">
        <f t="shared" si="117"/>
        <v>Atlanta Braves</v>
      </c>
      <c r="I1679" s="60">
        <f t="shared" si="118"/>
        <v>2</v>
      </c>
      <c r="J1679" t="str">
        <f t="shared" si="119"/>
        <v>Arizona D'Backs</v>
      </c>
      <c r="K1679" s="60">
        <f t="shared" si="120"/>
        <v>1</v>
      </c>
      <c r="L1679">
        <f t="shared" si="121"/>
        <v>1</v>
      </c>
    </row>
    <row r="1680" spans="1:12" x14ac:dyDescent="0.25">
      <c r="G1680" t="str">
        <f t="shared" si="122"/>
        <v>05/10/19</v>
      </c>
      <c r="H1680" t="str">
        <f t="shared" ref="H1680:H1743" si="123">IFERROR(LEFT(MID(A1680,1,SEARCH("@",A1680)-2),SEARCH("(",A1680)-2),"")</f>
        <v/>
      </c>
      <c r="I1680" s="60" t="str">
        <f t="shared" ref="I1680:I1743" si="124">IFERROR(VALUE(MID(A1680,SEARCH("(",A1680)+1,SEARCH(")",A1680)-SEARCH("(",A1680)-1)),"")</f>
        <v/>
      </c>
      <c r="J1680" t="str">
        <f t="shared" ref="J1680:J1743" si="125">IFERROR(MID(A1680,SEARCH("@",A1680)+2,SEARCH("(",A1680,SEARCH("@",A1680))-SEARCH("@",A1680)-3),"")</f>
        <v/>
      </c>
      <c r="K1680" s="60" t="str">
        <f t="shared" ref="K1680:K1743" si="126">IFERROR(VALUE(MID(A1680,SEARCH(J1680,A1680)+LEN(J1680)+2,(SEARCH(")",A1680,SEARCH("@",A1680))-SEARCH("(",A1680,SEARCH("@",A1680))-1))),"")</f>
        <v/>
      </c>
      <c r="L1680" t="str">
        <f t="shared" ref="L1680:L1743" si="127">IFERROR(I1680-K1680,"")</f>
        <v/>
      </c>
    </row>
    <row r="1681" spans="1:12" x14ac:dyDescent="0.25">
      <c r="A1681" t="s">
        <v>2281</v>
      </c>
      <c r="G1681" t="str">
        <f t="shared" si="122"/>
        <v>05/10/19</v>
      </c>
      <c r="H1681" t="str">
        <f t="shared" si="123"/>
        <v>Los Angeles Angels</v>
      </c>
      <c r="I1681" s="60">
        <f t="shared" si="124"/>
        <v>8</v>
      </c>
      <c r="J1681" t="str">
        <f t="shared" si="125"/>
        <v>Baltimore Orioles</v>
      </c>
      <c r="K1681" s="60">
        <f t="shared" si="126"/>
        <v>3</v>
      </c>
      <c r="L1681">
        <f t="shared" si="127"/>
        <v>5</v>
      </c>
    </row>
    <row r="1682" spans="1:12" x14ac:dyDescent="0.25">
      <c r="G1682" t="str">
        <f t="shared" si="122"/>
        <v>05/10/19</v>
      </c>
      <c r="H1682" t="str">
        <f t="shared" si="123"/>
        <v/>
      </c>
      <c r="I1682" s="60" t="str">
        <f t="shared" si="124"/>
        <v/>
      </c>
      <c r="J1682" t="str">
        <f t="shared" si="125"/>
        <v/>
      </c>
      <c r="K1682" s="60" t="str">
        <f t="shared" si="126"/>
        <v/>
      </c>
      <c r="L1682" t="str">
        <f t="shared" si="127"/>
        <v/>
      </c>
    </row>
    <row r="1683" spans="1:12" x14ac:dyDescent="0.25">
      <c r="A1683" t="s">
        <v>2282</v>
      </c>
      <c r="G1683" t="str">
        <f t="shared" si="122"/>
        <v>05/10/19</v>
      </c>
      <c r="H1683" t="str">
        <f t="shared" si="123"/>
        <v>Seattle Mariners</v>
      </c>
      <c r="I1683" s="60">
        <f t="shared" si="124"/>
        <v>1</v>
      </c>
      <c r="J1683" t="str">
        <f t="shared" si="125"/>
        <v>Boston Red Sox</v>
      </c>
      <c r="K1683" s="60">
        <f t="shared" si="126"/>
        <v>14</v>
      </c>
      <c r="L1683">
        <f t="shared" si="127"/>
        <v>-13</v>
      </c>
    </row>
    <row r="1684" spans="1:12" x14ac:dyDescent="0.25">
      <c r="G1684" t="str">
        <f t="shared" si="122"/>
        <v>05/10/19</v>
      </c>
      <c r="H1684" t="str">
        <f t="shared" si="123"/>
        <v/>
      </c>
      <c r="I1684" s="60" t="str">
        <f t="shared" si="124"/>
        <v/>
      </c>
      <c r="J1684" t="str">
        <f t="shared" si="125"/>
        <v/>
      </c>
      <c r="K1684" s="60" t="str">
        <f t="shared" si="126"/>
        <v/>
      </c>
      <c r="L1684" t="str">
        <f t="shared" si="127"/>
        <v/>
      </c>
    </row>
    <row r="1685" spans="1:12" x14ac:dyDescent="0.25">
      <c r="A1685" t="s">
        <v>2283</v>
      </c>
      <c r="G1685" t="str">
        <f t="shared" si="122"/>
        <v>05/10/19</v>
      </c>
      <c r="H1685" t="str">
        <f t="shared" si="123"/>
        <v>Milwaukee Brewers</v>
      </c>
      <c r="I1685" s="60">
        <f t="shared" si="124"/>
        <v>7</v>
      </c>
      <c r="J1685" t="str">
        <f t="shared" si="125"/>
        <v>Chicago Cubs</v>
      </c>
      <c r="K1685" s="60">
        <f t="shared" si="126"/>
        <v>0</v>
      </c>
      <c r="L1685">
        <f t="shared" si="127"/>
        <v>7</v>
      </c>
    </row>
    <row r="1686" spans="1:12" x14ac:dyDescent="0.25">
      <c r="G1686" t="str">
        <f t="shared" si="122"/>
        <v>05/10/19</v>
      </c>
      <c r="H1686" t="str">
        <f t="shared" si="123"/>
        <v/>
      </c>
      <c r="I1686" s="60" t="str">
        <f t="shared" si="124"/>
        <v/>
      </c>
      <c r="J1686" t="str">
        <f t="shared" si="125"/>
        <v/>
      </c>
      <c r="K1686" s="60" t="str">
        <f t="shared" si="126"/>
        <v/>
      </c>
      <c r="L1686" t="str">
        <f t="shared" si="127"/>
        <v/>
      </c>
    </row>
    <row r="1687" spans="1:12" x14ac:dyDescent="0.25">
      <c r="A1687" t="s">
        <v>2284</v>
      </c>
      <c r="G1687" t="str">
        <f t="shared" si="122"/>
        <v>05/10/19</v>
      </c>
      <c r="H1687" t="str">
        <f t="shared" si="123"/>
        <v>San Diego Padres</v>
      </c>
      <c r="I1687" s="60">
        <f t="shared" si="124"/>
        <v>2</v>
      </c>
      <c r="J1687" t="str">
        <f t="shared" si="125"/>
        <v>Colorado Rockies</v>
      </c>
      <c r="K1687" s="60">
        <f t="shared" si="126"/>
        <v>12</v>
      </c>
      <c r="L1687">
        <f t="shared" si="127"/>
        <v>-10</v>
      </c>
    </row>
    <row r="1688" spans="1:12" x14ac:dyDescent="0.25">
      <c r="G1688" t="str">
        <f t="shared" si="122"/>
        <v>05/10/19</v>
      </c>
      <c r="H1688" t="str">
        <f t="shared" si="123"/>
        <v/>
      </c>
      <c r="I1688" s="60" t="str">
        <f t="shared" si="124"/>
        <v/>
      </c>
      <c r="J1688" t="str">
        <f t="shared" si="125"/>
        <v/>
      </c>
      <c r="K1688" s="60" t="str">
        <f t="shared" si="126"/>
        <v/>
      </c>
      <c r="L1688" t="str">
        <f t="shared" si="127"/>
        <v/>
      </c>
    </row>
    <row r="1689" spans="1:12" x14ac:dyDescent="0.25">
      <c r="A1689" t="s">
        <v>2285</v>
      </c>
      <c r="G1689" t="str">
        <f t="shared" si="122"/>
        <v>05/10/19</v>
      </c>
      <c r="H1689" t="str">
        <f t="shared" si="123"/>
        <v>Texas Rangers</v>
      </c>
      <c r="I1689" s="60">
        <f t="shared" si="124"/>
        <v>0</v>
      </c>
      <c r="J1689" t="str">
        <f t="shared" si="125"/>
        <v>Houston Astros</v>
      </c>
      <c r="K1689" s="60">
        <f t="shared" si="126"/>
        <v>3</v>
      </c>
      <c r="L1689">
        <f t="shared" si="127"/>
        <v>-3</v>
      </c>
    </row>
    <row r="1690" spans="1:12" x14ac:dyDescent="0.25">
      <c r="G1690" t="str">
        <f t="shared" si="122"/>
        <v>05/10/19</v>
      </c>
      <c r="H1690" t="str">
        <f t="shared" si="123"/>
        <v/>
      </c>
      <c r="I1690" s="60" t="str">
        <f t="shared" si="124"/>
        <v/>
      </c>
      <c r="J1690" t="str">
        <f t="shared" si="125"/>
        <v/>
      </c>
      <c r="K1690" s="60" t="str">
        <f t="shared" si="126"/>
        <v/>
      </c>
      <c r="L1690" t="str">
        <f t="shared" si="127"/>
        <v/>
      </c>
    </row>
    <row r="1691" spans="1:12" x14ac:dyDescent="0.25">
      <c r="A1691" t="s">
        <v>2286</v>
      </c>
      <c r="G1691" t="str">
        <f t="shared" si="122"/>
        <v>05/10/19</v>
      </c>
      <c r="H1691" t="str">
        <f t="shared" si="123"/>
        <v>Philadelphia Phillies</v>
      </c>
      <c r="I1691" s="60">
        <f t="shared" si="124"/>
        <v>1</v>
      </c>
      <c r="J1691" t="str">
        <f t="shared" si="125"/>
        <v>Kansas City Royals</v>
      </c>
      <c r="K1691" s="60">
        <f t="shared" si="126"/>
        <v>5</v>
      </c>
      <c r="L1691">
        <f t="shared" si="127"/>
        <v>-4</v>
      </c>
    </row>
    <row r="1692" spans="1:12" x14ac:dyDescent="0.25">
      <c r="G1692" t="str">
        <f t="shared" si="122"/>
        <v>05/10/19</v>
      </c>
      <c r="H1692" t="str">
        <f t="shared" si="123"/>
        <v/>
      </c>
      <c r="I1692" s="60" t="str">
        <f t="shared" si="124"/>
        <v/>
      </c>
      <c r="J1692" t="str">
        <f t="shared" si="125"/>
        <v/>
      </c>
      <c r="K1692" s="60" t="str">
        <f t="shared" si="126"/>
        <v/>
      </c>
      <c r="L1692" t="str">
        <f t="shared" si="127"/>
        <v/>
      </c>
    </row>
    <row r="1693" spans="1:12" x14ac:dyDescent="0.25">
      <c r="A1693" t="s">
        <v>2287</v>
      </c>
      <c r="G1693" t="str">
        <f t="shared" si="122"/>
        <v>05/10/19</v>
      </c>
      <c r="H1693" t="str">
        <f t="shared" si="123"/>
        <v>Washington Nationals</v>
      </c>
      <c r="I1693" s="60">
        <f t="shared" si="124"/>
        <v>0</v>
      </c>
      <c r="J1693" t="str">
        <f t="shared" si="125"/>
        <v>Los Angeles Dodgers</v>
      </c>
      <c r="K1693" s="60">
        <f t="shared" si="126"/>
        <v>5</v>
      </c>
      <c r="L1693">
        <f t="shared" si="127"/>
        <v>-5</v>
      </c>
    </row>
    <row r="1694" spans="1:12" x14ac:dyDescent="0.25">
      <c r="G1694" t="str">
        <f t="shared" si="122"/>
        <v>05/10/19</v>
      </c>
      <c r="H1694" t="str">
        <f t="shared" si="123"/>
        <v/>
      </c>
      <c r="I1694" s="60" t="str">
        <f t="shared" si="124"/>
        <v/>
      </c>
      <c r="J1694" t="str">
        <f t="shared" si="125"/>
        <v/>
      </c>
      <c r="K1694" s="60" t="str">
        <f t="shared" si="126"/>
        <v/>
      </c>
      <c r="L1694" t="str">
        <f t="shared" si="127"/>
        <v/>
      </c>
    </row>
    <row r="1695" spans="1:12" x14ac:dyDescent="0.25">
      <c r="A1695" t="s">
        <v>2288</v>
      </c>
      <c r="G1695" t="str">
        <f t="shared" si="122"/>
        <v>05/10/19</v>
      </c>
      <c r="H1695" t="str">
        <f t="shared" si="123"/>
        <v>Detroit Tigers</v>
      </c>
      <c r="I1695" s="60">
        <f t="shared" si="124"/>
        <v>0</v>
      </c>
      <c r="J1695" t="str">
        <f t="shared" si="125"/>
        <v>Minnesota Twins</v>
      </c>
      <c r="K1695" s="60">
        <f t="shared" si="126"/>
        <v>6</v>
      </c>
      <c r="L1695">
        <f t="shared" si="127"/>
        <v>-6</v>
      </c>
    </row>
    <row r="1696" spans="1:12" x14ac:dyDescent="0.25">
      <c r="G1696" t="str">
        <f t="shared" si="122"/>
        <v>05/10/19</v>
      </c>
      <c r="H1696" t="str">
        <f t="shared" si="123"/>
        <v/>
      </c>
      <c r="I1696" s="60" t="str">
        <f t="shared" si="124"/>
        <v/>
      </c>
      <c r="J1696" t="str">
        <f t="shared" si="125"/>
        <v/>
      </c>
      <c r="K1696" s="60" t="str">
        <f t="shared" si="126"/>
        <v/>
      </c>
      <c r="L1696" t="str">
        <f t="shared" si="127"/>
        <v/>
      </c>
    </row>
    <row r="1697" spans="1:12" x14ac:dyDescent="0.25">
      <c r="A1697" t="s">
        <v>2289</v>
      </c>
      <c r="G1697" t="str">
        <f t="shared" si="122"/>
        <v>05/10/19</v>
      </c>
      <c r="H1697" t="str">
        <f t="shared" si="123"/>
        <v>Miami Marlins</v>
      </c>
      <c r="I1697" s="60">
        <f t="shared" si="124"/>
        <v>2</v>
      </c>
      <c r="J1697" t="str">
        <f t="shared" si="125"/>
        <v>New York Mets</v>
      </c>
      <c r="K1697" s="60">
        <f t="shared" si="126"/>
        <v>11</v>
      </c>
      <c r="L1697">
        <f t="shared" si="127"/>
        <v>-9</v>
      </c>
    </row>
    <row r="1698" spans="1:12" x14ac:dyDescent="0.25">
      <c r="G1698" t="str">
        <f t="shared" ref="G1698:G1761" si="128">IF(ISNUMBER(MATCH(IFERROR(LEFT(A1698,SEARCH(",",A1698)-1),""),$G$220:$M$220,0)),TEXT(MID(A1698,SEARCH(",",A1698)+2,LEN(A1698)),"mm/dd/yy"),G1697)</f>
        <v>05/10/19</v>
      </c>
      <c r="H1698" t="str">
        <f t="shared" si="123"/>
        <v/>
      </c>
      <c r="I1698" s="60" t="str">
        <f t="shared" si="124"/>
        <v/>
      </c>
      <c r="J1698" t="str">
        <f t="shared" si="125"/>
        <v/>
      </c>
      <c r="K1698" s="60" t="str">
        <f t="shared" si="126"/>
        <v/>
      </c>
      <c r="L1698" t="str">
        <f t="shared" si="127"/>
        <v/>
      </c>
    </row>
    <row r="1699" spans="1:12" x14ac:dyDescent="0.25">
      <c r="A1699" t="s">
        <v>2290</v>
      </c>
      <c r="G1699" t="str">
        <f t="shared" si="128"/>
        <v>05/10/19</v>
      </c>
      <c r="H1699" t="str">
        <f t="shared" si="123"/>
        <v>Cleveland Indians</v>
      </c>
      <c r="I1699" s="60">
        <f t="shared" si="124"/>
        <v>3</v>
      </c>
      <c r="J1699" t="str">
        <f t="shared" si="125"/>
        <v>Oakland Athletics</v>
      </c>
      <c r="K1699" s="60">
        <f t="shared" si="126"/>
        <v>4</v>
      </c>
      <c r="L1699">
        <f t="shared" si="127"/>
        <v>-1</v>
      </c>
    </row>
    <row r="1700" spans="1:12" x14ac:dyDescent="0.25">
      <c r="G1700" t="str">
        <f t="shared" si="128"/>
        <v>05/10/19</v>
      </c>
      <c r="H1700" t="str">
        <f t="shared" si="123"/>
        <v/>
      </c>
      <c r="I1700" s="60" t="str">
        <f t="shared" si="124"/>
        <v/>
      </c>
      <c r="J1700" t="str">
        <f t="shared" si="125"/>
        <v/>
      </c>
      <c r="K1700" s="60" t="str">
        <f t="shared" si="126"/>
        <v/>
      </c>
      <c r="L1700" t="str">
        <f t="shared" si="127"/>
        <v/>
      </c>
    </row>
    <row r="1701" spans="1:12" x14ac:dyDescent="0.25">
      <c r="A1701" t="s">
        <v>2291</v>
      </c>
      <c r="G1701" t="str">
        <f t="shared" si="128"/>
        <v>05/10/19</v>
      </c>
      <c r="H1701" t="str">
        <f t="shared" si="123"/>
        <v>Cincinnati Reds</v>
      </c>
      <c r="I1701" s="60">
        <f t="shared" si="124"/>
        <v>7</v>
      </c>
      <c r="J1701" t="str">
        <f t="shared" si="125"/>
        <v>San Francisco Giants</v>
      </c>
      <c r="K1701" s="60">
        <f t="shared" si="126"/>
        <v>0</v>
      </c>
      <c r="L1701">
        <f t="shared" si="127"/>
        <v>7</v>
      </c>
    </row>
    <row r="1702" spans="1:12" x14ac:dyDescent="0.25">
      <c r="G1702" t="str">
        <f t="shared" si="128"/>
        <v>05/10/19</v>
      </c>
      <c r="H1702" t="str">
        <f t="shared" si="123"/>
        <v/>
      </c>
      <c r="I1702" s="60" t="str">
        <f t="shared" si="124"/>
        <v/>
      </c>
      <c r="J1702" t="str">
        <f t="shared" si="125"/>
        <v/>
      </c>
      <c r="K1702" s="60" t="str">
        <f t="shared" si="126"/>
        <v/>
      </c>
      <c r="L1702" t="str">
        <f t="shared" si="127"/>
        <v/>
      </c>
    </row>
    <row r="1703" spans="1:12" x14ac:dyDescent="0.25">
      <c r="A1703" t="s">
        <v>2292</v>
      </c>
      <c r="G1703" t="str">
        <f t="shared" si="128"/>
        <v>05/10/19</v>
      </c>
      <c r="H1703" t="str">
        <f t="shared" si="123"/>
        <v>Pittsburgh Pirates</v>
      </c>
      <c r="I1703" s="60">
        <f t="shared" si="124"/>
        <v>2</v>
      </c>
      <c r="J1703" t="str">
        <f t="shared" si="125"/>
        <v>St. Louis Cardinals</v>
      </c>
      <c r="K1703" s="60">
        <f t="shared" si="126"/>
        <v>1</v>
      </c>
      <c r="L1703">
        <f t="shared" si="127"/>
        <v>1</v>
      </c>
    </row>
    <row r="1704" spans="1:12" x14ac:dyDescent="0.25">
      <c r="G1704" t="str">
        <f t="shared" si="128"/>
        <v>05/10/19</v>
      </c>
      <c r="H1704" t="str">
        <f t="shared" si="123"/>
        <v/>
      </c>
      <c r="I1704" s="60" t="str">
        <f t="shared" si="124"/>
        <v/>
      </c>
      <c r="J1704" t="str">
        <f t="shared" si="125"/>
        <v/>
      </c>
      <c r="K1704" s="60" t="str">
        <f t="shared" si="126"/>
        <v/>
      </c>
      <c r="L1704" t="str">
        <f t="shared" si="127"/>
        <v/>
      </c>
    </row>
    <row r="1705" spans="1:12" x14ac:dyDescent="0.25">
      <c r="A1705" t="s">
        <v>2293</v>
      </c>
      <c r="G1705" t="str">
        <f t="shared" si="128"/>
        <v>05/10/19</v>
      </c>
      <c r="H1705" t="str">
        <f t="shared" si="123"/>
        <v>New York Yankees</v>
      </c>
      <c r="I1705" s="60">
        <f t="shared" si="124"/>
        <v>4</v>
      </c>
      <c r="J1705" t="str">
        <f t="shared" si="125"/>
        <v>Tampa Bay Rays</v>
      </c>
      <c r="K1705" s="60">
        <f t="shared" si="126"/>
        <v>3</v>
      </c>
      <c r="L1705">
        <f t="shared" si="127"/>
        <v>1</v>
      </c>
    </row>
    <row r="1706" spans="1:12" x14ac:dyDescent="0.25">
      <c r="G1706" t="str">
        <f t="shared" si="128"/>
        <v>05/10/19</v>
      </c>
      <c r="H1706" t="str">
        <f t="shared" si="123"/>
        <v/>
      </c>
      <c r="I1706" s="60" t="str">
        <f t="shared" si="124"/>
        <v/>
      </c>
      <c r="J1706" t="str">
        <f t="shared" si="125"/>
        <v/>
      </c>
      <c r="K1706" s="60" t="str">
        <f t="shared" si="126"/>
        <v/>
      </c>
      <c r="L1706" t="str">
        <f t="shared" si="127"/>
        <v/>
      </c>
    </row>
    <row r="1707" spans="1:12" x14ac:dyDescent="0.25">
      <c r="A1707" t="s">
        <v>2294</v>
      </c>
      <c r="G1707" t="str">
        <f t="shared" si="128"/>
        <v>05/10/19</v>
      </c>
      <c r="H1707" t="str">
        <f t="shared" si="123"/>
        <v>Chicago White Sox</v>
      </c>
      <c r="I1707" s="60">
        <f t="shared" si="124"/>
        <v>3</v>
      </c>
      <c r="J1707" t="str">
        <f t="shared" si="125"/>
        <v>Toronto Blue Jays</v>
      </c>
      <c r="K1707" s="60">
        <f t="shared" si="126"/>
        <v>4</v>
      </c>
      <c r="L1707">
        <f t="shared" si="127"/>
        <v>-1</v>
      </c>
    </row>
    <row r="1708" spans="1:12" x14ac:dyDescent="0.25">
      <c r="G1708" t="str">
        <f t="shared" si="128"/>
        <v>05/10/19</v>
      </c>
      <c r="H1708" t="str">
        <f t="shared" si="123"/>
        <v/>
      </c>
      <c r="I1708" s="60" t="str">
        <f t="shared" si="124"/>
        <v/>
      </c>
      <c r="J1708" t="str">
        <f t="shared" si="125"/>
        <v/>
      </c>
      <c r="K1708" s="60" t="str">
        <f t="shared" si="126"/>
        <v/>
      </c>
      <c r="L1708" t="str">
        <f t="shared" si="127"/>
        <v/>
      </c>
    </row>
    <row r="1709" spans="1:12" x14ac:dyDescent="0.25">
      <c r="A1709" t="s">
        <v>2295</v>
      </c>
      <c r="G1709" t="str">
        <f t="shared" si="128"/>
        <v>05/10/19</v>
      </c>
      <c r="H1709" t="str">
        <f t="shared" si="123"/>
        <v/>
      </c>
      <c r="I1709" s="60" t="str">
        <f t="shared" si="124"/>
        <v/>
      </c>
      <c r="J1709" t="str">
        <f t="shared" si="125"/>
        <v/>
      </c>
      <c r="K1709" s="60" t="str">
        <f t="shared" si="126"/>
        <v/>
      </c>
      <c r="L1709" t="str">
        <f t="shared" si="127"/>
        <v/>
      </c>
    </row>
    <row r="1710" spans="1:12" x14ac:dyDescent="0.25">
      <c r="G1710" t="str">
        <f t="shared" si="128"/>
        <v>05/10/19</v>
      </c>
      <c r="H1710" t="str">
        <f t="shared" si="123"/>
        <v/>
      </c>
      <c r="I1710" s="60" t="str">
        <f t="shared" si="124"/>
        <v/>
      </c>
      <c r="J1710" t="str">
        <f t="shared" si="125"/>
        <v/>
      </c>
      <c r="K1710" s="60" t="str">
        <f t="shared" si="126"/>
        <v/>
      </c>
      <c r="L1710" t="str">
        <f t="shared" si="127"/>
        <v/>
      </c>
    </row>
    <row r="1711" spans="1:12" x14ac:dyDescent="0.25">
      <c r="A1711" t="s">
        <v>2296</v>
      </c>
      <c r="G1711" t="str">
        <f t="shared" si="128"/>
        <v>05/11/19</v>
      </c>
      <c r="H1711" t="str">
        <f t="shared" si="123"/>
        <v/>
      </c>
      <c r="I1711" s="60" t="str">
        <f t="shared" si="124"/>
        <v/>
      </c>
      <c r="J1711" t="str">
        <f t="shared" si="125"/>
        <v/>
      </c>
      <c r="K1711" s="60" t="str">
        <f t="shared" si="126"/>
        <v/>
      </c>
      <c r="L1711" t="str">
        <f t="shared" si="127"/>
        <v/>
      </c>
    </row>
    <row r="1712" spans="1:12" x14ac:dyDescent="0.25">
      <c r="G1712" t="str">
        <f t="shared" si="128"/>
        <v>05/11/19</v>
      </c>
      <c r="H1712" t="str">
        <f t="shared" si="123"/>
        <v/>
      </c>
      <c r="I1712" s="60" t="str">
        <f t="shared" si="124"/>
        <v/>
      </c>
      <c r="J1712" t="str">
        <f t="shared" si="125"/>
        <v/>
      </c>
      <c r="K1712" s="60" t="str">
        <f t="shared" si="126"/>
        <v/>
      </c>
      <c r="L1712" t="str">
        <f t="shared" si="127"/>
        <v/>
      </c>
    </row>
    <row r="1713" spans="1:12" x14ac:dyDescent="0.25">
      <c r="A1713" t="s">
        <v>2297</v>
      </c>
      <c r="G1713" t="str">
        <f t="shared" si="128"/>
        <v>05/11/19</v>
      </c>
      <c r="H1713" t="str">
        <f t="shared" si="123"/>
        <v>Atlanta Braves</v>
      </c>
      <c r="I1713" s="60">
        <f t="shared" si="124"/>
        <v>6</v>
      </c>
      <c r="J1713" t="str">
        <f t="shared" si="125"/>
        <v>Arizona D'Backs</v>
      </c>
      <c r="K1713" s="60">
        <f t="shared" si="126"/>
        <v>4</v>
      </c>
      <c r="L1713">
        <f t="shared" si="127"/>
        <v>2</v>
      </c>
    </row>
    <row r="1714" spans="1:12" x14ac:dyDescent="0.25">
      <c r="G1714" t="str">
        <f t="shared" si="128"/>
        <v>05/11/19</v>
      </c>
      <c r="H1714" t="str">
        <f t="shared" si="123"/>
        <v/>
      </c>
      <c r="I1714" s="60" t="str">
        <f t="shared" si="124"/>
        <v/>
      </c>
      <c r="J1714" t="str">
        <f t="shared" si="125"/>
        <v/>
      </c>
      <c r="K1714" s="60" t="str">
        <f t="shared" si="126"/>
        <v/>
      </c>
      <c r="L1714" t="str">
        <f t="shared" si="127"/>
        <v/>
      </c>
    </row>
    <row r="1715" spans="1:12" x14ac:dyDescent="0.25">
      <c r="A1715" t="s">
        <v>2298</v>
      </c>
      <c r="G1715" t="str">
        <f t="shared" si="128"/>
        <v>05/11/19</v>
      </c>
      <c r="H1715" t="str">
        <f t="shared" si="123"/>
        <v>Los Angeles Angels</v>
      </c>
      <c r="I1715" s="60">
        <f t="shared" si="124"/>
        <v>7</v>
      </c>
      <c r="J1715" t="str">
        <f t="shared" si="125"/>
        <v>Baltimore Orioles</v>
      </c>
      <c r="K1715" s="60">
        <f t="shared" si="126"/>
        <v>2</v>
      </c>
      <c r="L1715">
        <f t="shared" si="127"/>
        <v>5</v>
      </c>
    </row>
    <row r="1716" spans="1:12" x14ac:dyDescent="0.25">
      <c r="G1716" t="str">
        <f t="shared" si="128"/>
        <v>05/11/19</v>
      </c>
      <c r="H1716" t="str">
        <f t="shared" si="123"/>
        <v/>
      </c>
      <c r="I1716" s="60" t="str">
        <f t="shared" si="124"/>
        <v/>
      </c>
      <c r="J1716" t="str">
        <f t="shared" si="125"/>
        <v/>
      </c>
      <c r="K1716" s="60" t="str">
        <f t="shared" si="126"/>
        <v/>
      </c>
      <c r="L1716" t="str">
        <f t="shared" si="127"/>
        <v/>
      </c>
    </row>
    <row r="1717" spans="1:12" x14ac:dyDescent="0.25">
      <c r="A1717" t="s">
        <v>2299</v>
      </c>
      <c r="G1717" t="str">
        <f t="shared" si="128"/>
        <v>05/11/19</v>
      </c>
      <c r="H1717" t="str">
        <f t="shared" si="123"/>
        <v>Seattle Mariners</v>
      </c>
      <c r="I1717" s="60">
        <f t="shared" si="124"/>
        <v>5</v>
      </c>
      <c r="J1717" t="str">
        <f t="shared" si="125"/>
        <v>Boston Red Sox</v>
      </c>
      <c r="K1717" s="60">
        <f t="shared" si="126"/>
        <v>9</v>
      </c>
      <c r="L1717">
        <f t="shared" si="127"/>
        <v>-4</v>
      </c>
    </row>
    <row r="1718" spans="1:12" x14ac:dyDescent="0.25">
      <c r="G1718" t="str">
        <f t="shared" si="128"/>
        <v>05/11/19</v>
      </c>
      <c r="H1718" t="str">
        <f t="shared" si="123"/>
        <v/>
      </c>
      <c r="I1718" s="60" t="str">
        <f t="shared" si="124"/>
        <v/>
      </c>
      <c r="J1718" t="str">
        <f t="shared" si="125"/>
        <v/>
      </c>
      <c r="K1718" s="60" t="str">
        <f t="shared" si="126"/>
        <v/>
      </c>
      <c r="L1718" t="str">
        <f t="shared" si="127"/>
        <v/>
      </c>
    </row>
    <row r="1719" spans="1:12" x14ac:dyDescent="0.25">
      <c r="A1719" t="s">
        <v>2300</v>
      </c>
      <c r="G1719" t="str">
        <f t="shared" si="128"/>
        <v>05/11/19</v>
      </c>
      <c r="H1719" t="str">
        <f t="shared" si="123"/>
        <v>Milwaukee Brewers</v>
      </c>
      <c r="I1719" s="60">
        <f t="shared" si="124"/>
        <v>1</v>
      </c>
      <c r="J1719" t="str">
        <f t="shared" si="125"/>
        <v>Chicago Cubs</v>
      </c>
      <c r="K1719" s="60">
        <f t="shared" si="126"/>
        <v>2</v>
      </c>
      <c r="L1719">
        <f t="shared" si="127"/>
        <v>-1</v>
      </c>
    </row>
    <row r="1720" spans="1:12" x14ac:dyDescent="0.25">
      <c r="G1720" t="str">
        <f t="shared" si="128"/>
        <v>05/11/19</v>
      </c>
      <c r="H1720" t="str">
        <f t="shared" si="123"/>
        <v/>
      </c>
      <c r="I1720" s="60" t="str">
        <f t="shared" si="124"/>
        <v/>
      </c>
      <c r="J1720" t="str">
        <f t="shared" si="125"/>
        <v/>
      </c>
      <c r="K1720" s="60" t="str">
        <f t="shared" si="126"/>
        <v/>
      </c>
      <c r="L1720" t="str">
        <f t="shared" si="127"/>
        <v/>
      </c>
    </row>
    <row r="1721" spans="1:12" x14ac:dyDescent="0.25">
      <c r="A1721" t="s">
        <v>2301</v>
      </c>
      <c r="G1721" t="str">
        <f t="shared" si="128"/>
        <v>05/11/19</v>
      </c>
      <c r="H1721" t="str">
        <f t="shared" si="123"/>
        <v>San Diego Padres</v>
      </c>
      <c r="I1721" s="60">
        <f t="shared" si="124"/>
        <v>4</v>
      </c>
      <c r="J1721" t="str">
        <f t="shared" si="125"/>
        <v>Colorado Rockies</v>
      </c>
      <c r="K1721" s="60">
        <f t="shared" si="126"/>
        <v>3</v>
      </c>
      <c r="L1721">
        <f t="shared" si="127"/>
        <v>1</v>
      </c>
    </row>
    <row r="1722" spans="1:12" x14ac:dyDescent="0.25">
      <c r="G1722" t="str">
        <f t="shared" si="128"/>
        <v>05/11/19</v>
      </c>
      <c r="H1722" t="str">
        <f t="shared" si="123"/>
        <v/>
      </c>
      <c r="I1722" s="60" t="str">
        <f t="shared" si="124"/>
        <v/>
      </c>
      <c r="J1722" t="str">
        <f t="shared" si="125"/>
        <v/>
      </c>
      <c r="K1722" s="60" t="str">
        <f t="shared" si="126"/>
        <v/>
      </c>
      <c r="L1722" t="str">
        <f t="shared" si="127"/>
        <v/>
      </c>
    </row>
    <row r="1723" spans="1:12" x14ac:dyDescent="0.25">
      <c r="A1723" t="s">
        <v>2302</v>
      </c>
      <c r="G1723" t="str">
        <f t="shared" si="128"/>
        <v>05/11/19</v>
      </c>
      <c r="H1723" t="str">
        <f t="shared" si="123"/>
        <v>Texas Rangers</v>
      </c>
      <c r="I1723" s="60">
        <f t="shared" si="124"/>
        <v>4</v>
      </c>
      <c r="J1723" t="str">
        <f t="shared" si="125"/>
        <v>Houston Astros</v>
      </c>
      <c r="K1723" s="60">
        <f t="shared" si="126"/>
        <v>11</v>
      </c>
      <c r="L1723">
        <f t="shared" si="127"/>
        <v>-7</v>
      </c>
    </row>
    <row r="1724" spans="1:12" x14ac:dyDescent="0.25">
      <c r="G1724" t="str">
        <f t="shared" si="128"/>
        <v>05/11/19</v>
      </c>
      <c r="H1724" t="str">
        <f t="shared" si="123"/>
        <v/>
      </c>
      <c r="I1724" s="60" t="str">
        <f t="shared" si="124"/>
        <v/>
      </c>
      <c r="J1724" t="str">
        <f t="shared" si="125"/>
        <v/>
      </c>
      <c r="K1724" s="60" t="str">
        <f t="shared" si="126"/>
        <v/>
      </c>
      <c r="L1724" t="str">
        <f t="shared" si="127"/>
        <v/>
      </c>
    </row>
    <row r="1725" spans="1:12" x14ac:dyDescent="0.25">
      <c r="A1725" t="s">
        <v>2303</v>
      </c>
      <c r="G1725" t="str">
        <f t="shared" si="128"/>
        <v>05/11/19</v>
      </c>
      <c r="H1725" t="str">
        <f t="shared" si="123"/>
        <v>Philadelphia Phillies</v>
      </c>
      <c r="I1725" s="60">
        <f t="shared" si="124"/>
        <v>7</v>
      </c>
      <c r="J1725" t="str">
        <f t="shared" si="125"/>
        <v>Kansas City Royals</v>
      </c>
      <c r="K1725" s="60">
        <f t="shared" si="126"/>
        <v>0</v>
      </c>
      <c r="L1725">
        <f t="shared" si="127"/>
        <v>7</v>
      </c>
    </row>
    <row r="1726" spans="1:12" x14ac:dyDescent="0.25">
      <c r="G1726" t="str">
        <f t="shared" si="128"/>
        <v>05/11/19</v>
      </c>
      <c r="H1726" t="str">
        <f t="shared" si="123"/>
        <v/>
      </c>
      <c r="I1726" s="60" t="str">
        <f t="shared" si="124"/>
        <v/>
      </c>
      <c r="J1726" t="str">
        <f t="shared" si="125"/>
        <v/>
      </c>
      <c r="K1726" s="60" t="str">
        <f t="shared" si="126"/>
        <v/>
      </c>
      <c r="L1726" t="str">
        <f t="shared" si="127"/>
        <v/>
      </c>
    </row>
    <row r="1727" spans="1:12" x14ac:dyDescent="0.25">
      <c r="A1727" t="s">
        <v>2304</v>
      </c>
      <c r="G1727" t="str">
        <f t="shared" si="128"/>
        <v>05/11/19</v>
      </c>
      <c r="H1727" t="str">
        <f t="shared" si="123"/>
        <v>Washington Nationals</v>
      </c>
      <c r="I1727" s="60">
        <f t="shared" si="124"/>
        <v>5</v>
      </c>
      <c r="J1727" t="str">
        <f t="shared" si="125"/>
        <v>Los Angeles Dodgers</v>
      </c>
      <c r="K1727" s="60">
        <f t="shared" si="126"/>
        <v>2</v>
      </c>
      <c r="L1727">
        <f t="shared" si="127"/>
        <v>3</v>
      </c>
    </row>
    <row r="1728" spans="1:12" x14ac:dyDescent="0.25">
      <c r="G1728" t="str">
        <f t="shared" si="128"/>
        <v>05/11/19</v>
      </c>
      <c r="H1728" t="str">
        <f t="shared" si="123"/>
        <v/>
      </c>
      <c r="I1728" s="60" t="str">
        <f t="shared" si="124"/>
        <v/>
      </c>
      <c r="J1728" t="str">
        <f t="shared" si="125"/>
        <v/>
      </c>
      <c r="K1728" s="60" t="str">
        <f t="shared" si="126"/>
        <v/>
      </c>
      <c r="L1728" t="str">
        <f t="shared" si="127"/>
        <v/>
      </c>
    </row>
    <row r="1729" spans="1:12" x14ac:dyDescent="0.25">
      <c r="A1729" t="s">
        <v>2305</v>
      </c>
      <c r="G1729" t="str">
        <f t="shared" si="128"/>
        <v>05/11/19</v>
      </c>
      <c r="H1729" t="str">
        <f t="shared" si="123"/>
        <v>Detroit Tigers</v>
      </c>
      <c r="I1729" s="60">
        <f t="shared" si="124"/>
        <v>5</v>
      </c>
      <c r="J1729" t="str">
        <f t="shared" si="125"/>
        <v>Minnesota Twins</v>
      </c>
      <c r="K1729" s="60">
        <f t="shared" si="126"/>
        <v>3</v>
      </c>
      <c r="L1729">
        <f t="shared" si="127"/>
        <v>2</v>
      </c>
    </row>
    <row r="1730" spans="1:12" x14ac:dyDescent="0.25">
      <c r="G1730" t="str">
        <f t="shared" si="128"/>
        <v>05/11/19</v>
      </c>
      <c r="H1730" t="str">
        <f t="shared" si="123"/>
        <v/>
      </c>
      <c r="I1730" s="60" t="str">
        <f t="shared" si="124"/>
        <v/>
      </c>
      <c r="J1730" t="str">
        <f t="shared" si="125"/>
        <v/>
      </c>
      <c r="K1730" s="60" t="str">
        <f t="shared" si="126"/>
        <v/>
      </c>
      <c r="L1730" t="str">
        <f t="shared" si="127"/>
        <v/>
      </c>
    </row>
    <row r="1731" spans="1:12" x14ac:dyDescent="0.25">
      <c r="A1731" t="s">
        <v>2306</v>
      </c>
      <c r="G1731" t="str">
        <f t="shared" si="128"/>
        <v>05/11/19</v>
      </c>
      <c r="H1731" t="str">
        <f t="shared" si="123"/>
        <v>Detroit Tigers</v>
      </c>
      <c r="I1731" s="60">
        <f t="shared" si="124"/>
        <v>3</v>
      </c>
      <c r="J1731" t="str">
        <f t="shared" si="125"/>
        <v>Minnesota Twins</v>
      </c>
      <c r="K1731" s="60">
        <f t="shared" si="126"/>
        <v>8</v>
      </c>
      <c r="L1731">
        <f t="shared" si="127"/>
        <v>-5</v>
      </c>
    </row>
    <row r="1732" spans="1:12" x14ac:dyDescent="0.25">
      <c r="G1732" t="str">
        <f t="shared" si="128"/>
        <v>05/11/19</v>
      </c>
      <c r="H1732" t="str">
        <f t="shared" si="123"/>
        <v/>
      </c>
      <c r="I1732" s="60" t="str">
        <f t="shared" si="124"/>
        <v/>
      </c>
      <c r="J1732" t="str">
        <f t="shared" si="125"/>
        <v/>
      </c>
      <c r="K1732" s="60" t="str">
        <f t="shared" si="126"/>
        <v/>
      </c>
      <c r="L1732" t="str">
        <f t="shared" si="127"/>
        <v/>
      </c>
    </row>
    <row r="1733" spans="1:12" x14ac:dyDescent="0.25">
      <c r="A1733" t="s">
        <v>2307</v>
      </c>
      <c r="G1733" t="str">
        <f t="shared" si="128"/>
        <v>05/11/19</v>
      </c>
      <c r="H1733" t="str">
        <f t="shared" si="123"/>
        <v>Miami Marlins</v>
      </c>
      <c r="I1733" s="60">
        <f t="shared" si="124"/>
        <v>1</v>
      </c>
      <c r="J1733" t="str">
        <f t="shared" si="125"/>
        <v>New York Mets</v>
      </c>
      <c r="K1733" s="60">
        <f t="shared" si="126"/>
        <v>4</v>
      </c>
      <c r="L1733">
        <f t="shared" si="127"/>
        <v>-3</v>
      </c>
    </row>
    <row r="1734" spans="1:12" x14ac:dyDescent="0.25">
      <c r="G1734" t="str">
        <f t="shared" si="128"/>
        <v>05/11/19</v>
      </c>
      <c r="H1734" t="str">
        <f t="shared" si="123"/>
        <v/>
      </c>
      <c r="I1734" s="60" t="str">
        <f t="shared" si="124"/>
        <v/>
      </c>
      <c r="J1734" t="str">
        <f t="shared" si="125"/>
        <v/>
      </c>
      <c r="K1734" s="60" t="str">
        <f t="shared" si="126"/>
        <v/>
      </c>
      <c r="L1734" t="str">
        <f t="shared" si="127"/>
        <v/>
      </c>
    </row>
    <row r="1735" spans="1:12" x14ac:dyDescent="0.25">
      <c r="A1735" t="s">
        <v>2308</v>
      </c>
      <c r="G1735" t="str">
        <f t="shared" si="128"/>
        <v>05/11/19</v>
      </c>
      <c r="H1735" t="str">
        <f t="shared" si="123"/>
        <v>Cleveland Indians</v>
      </c>
      <c r="I1735" s="60">
        <f t="shared" si="124"/>
        <v>2</v>
      </c>
      <c r="J1735" t="str">
        <f t="shared" si="125"/>
        <v>Oakland Athletics</v>
      </c>
      <c r="K1735" s="60">
        <f t="shared" si="126"/>
        <v>3</v>
      </c>
      <c r="L1735">
        <f t="shared" si="127"/>
        <v>-1</v>
      </c>
    </row>
    <row r="1736" spans="1:12" x14ac:dyDescent="0.25">
      <c r="G1736" t="str">
        <f t="shared" si="128"/>
        <v>05/11/19</v>
      </c>
      <c r="H1736" t="str">
        <f t="shared" si="123"/>
        <v/>
      </c>
      <c r="I1736" s="60" t="str">
        <f t="shared" si="124"/>
        <v/>
      </c>
      <c r="J1736" t="str">
        <f t="shared" si="125"/>
        <v/>
      </c>
      <c r="K1736" s="60" t="str">
        <f t="shared" si="126"/>
        <v/>
      </c>
      <c r="L1736" t="str">
        <f t="shared" si="127"/>
        <v/>
      </c>
    </row>
    <row r="1737" spans="1:12" x14ac:dyDescent="0.25">
      <c r="A1737" t="s">
        <v>2309</v>
      </c>
      <c r="G1737" t="str">
        <f t="shared" si="128"/>
        <v>05/11/19</v>
      </c>
      <c r="H1737" t="str">
        <f t="shared" si="123"/>
        <v>Cincinnati Reds</v>
      </c>
      <c r="I1737" s="60">
        <f t="shared" si="124"/>
        <v>5</v>
      </c>
      <c r="J1737" t="str">
        <f t="shared" si="125"/>
        <v>San Francisco Giants</v>
      </c>
      <c r="K1737" s="60">
        <f t="shared" si="126"/>
        <v>4</v>
      </c>
      <c r="L1737">
        <f t="shared" si="127"/>
        <v>1</v>
      </c>
    </row>
    <row r="1738" spans="1:12" x14ac:dyDescent="0.25">
      <c r="G1738" t="str">
        <f t="shared" si="128"/>
        <v>05/11/19</v>
      </c>
      <c r="H1738" t="str">
        <f t="shared" si="123"/>
        <v/>
      </c>
      <c r="I1738" s="60" t="str">
        <f t="shared" si="124"/>
        <v/>
      </c>
      <c r="J1738" t="str">
        <f t="shared" si="125"/>
        <v/>
      </c>
      <c r="K1738" s="60" t="str">
        <f t="shared" si="126"/>
        <v/>
      </c>
      <c r="L1738" t="str">
        <f t="shared" si="127"/>
        <v/>
      </c>
    </row>
    <row r="1739" spans="1:12" x14ac:dyDescent="0.25">
      <c r="A1739" t="s">
        <v>2292</v>
      </c>
      <c r="G1739" t="str">
        <f t="shared" si="128"/>
        <v>05/11/19</v>
      </c>
      <c r="H1739" t="str">
        <f t="shared" si="123"/>
        <v>Pittsburgh Pirates</v>
      </c>
      <c r="I1739" s="60">
        <f t="shared" si="124"/>
        <v>2</v>
      </c>
      <c r="J1739" t="str">
        <f t="shared" si="125"/>
        <v>St. Louis Cardinals</v>
      </c>
      <c r="K1739" s="60">
        <f t="shared" si="126"/>
        <v>1</v>
      </c>
      <c r="L1739">
        <f t="shared" si="127"/>
        <v>1</v>
      </c>
    </row>
    <row r="1740" spans="1:12" x14ac:dyDescent="0.25">
      <c r="G1740" t="str">
        <f t="shared" si="128"/>
        <v>05/11/19</v>
      </c>
      <c r="H1740" t="str">
        <f t="shared" si="123"/>
        <v/>
      </c>
      <c r="I1740" s="60" t="str">
        <f t="shared" si="124"/>
        <v/>
      </c>
      <c r="J1740" t="str">
        <f t="shared" si="125"/>
        <v/>
      </c>
      <c r="K1740" s="60" t="str">
        <f t="shared" si="126"/>
        <v/>
      </c>
      <c r="L1740" t="str">
        <f t="shared" si="127"/>
        <v/>
      </c>
    </row>
    <row r="1741" spans="1:12" x14ac:dyDescent="0.25">
      <c r="A1741" t="s">
        <v>2310</v>
      </c>
      <c r="G1741" t="str">
        <f t="shared" si="128"/>
        <v>05/11/19</v>
      </c>
      <c r="H1741" t="str">
        <f t="shared" si="123"/>
        <v>New York Yankees</v>
      </c>
      <c r="I1741" s="60">
        <f t="shared" si="124"/>
        <v>2</v>
      </c>
      <c r="J1741" t="str">
        <f t="shared" si="125"/>
        <v>Tampa Bay Rays</v>
      </c>
      <c r="K1741" s="60">
        <f t="shared" si="126"/>
        <v>7</v>
      </c>
      <c r="L1741">
        <f t="shared" si="127"/>
        <v>-5</v>
      </c>
    </row>
    <row r="1742" spans="1:12" x14ac:dyDescent="0.25">
      <c r="G1742" t="str">
        <f t="shared" si="128"/>
        <v>05/11/19</v>
      </c>
      <c r="H1742" t="str">
        <f t="shared" si="123"/>
        <v/>
      </c>
      <c r="I1742" s="60" t="str">
        <f t="shared" si="124"/>
        <v/>
      </c>
      <c r="J1742" t="str">
        <f t="shared" si="125"/>
        <v/>
      </c>
      <c r="K1742" s="60" t="str">
        <f t="shared" si="126"/>
        <v/>
      </c>
      <c r="L1742" t="str">
        <f t="shared" si="127"/>
        <v/>
      </c>
    </row>
    <row r="1743" spans="1:12" x14ac:dyDescent="0.25">
      <c r="A1743" t="s">
        <v>2311</v>
      </c>
      <c r="G1743" t="str">
        <f t="shared" si="128"/>
        <v>05/11/19</v>
      </c>
      <c r="H1743" t="str">
        <f t="shared" si="123"/>
        <v>Chicago White Sox</v>
      </c>
      <c r="I1743" s="60">
        <f t="shared" si="124"/>
        <v>7</v>
      </c>
      <c r="J1743" t="str">
        <f t="shared" si="125"/>
        <v>Toronto Blue Jays</v>
      </c>
      <c r="K1743" s="60">
        <f t="shared" si="126"/>
        <v>2</v>
      </c>
      <c r="L1743">
        <f t="shared" si="127"/>
        <v>5</v>
      </c>
    </row>
    <row r="1744" spans="1:12" x14ac:dyDescent="0.25">
      <c r="G1744" t="str">
        <f t="shared" si="128"/>
        <v>05/11/19</v>
      </c>
      <c r="H1744" t="str">
        <f t="shared" ref="H1744:H1807" si="129">IFERROR(LEFT(MID(A1744,1,SEARCH("@",A1744)-2),SEARCH("(",A1744)-2),"")</f>
        <v/>
      </c>
      <c r="I1744" s="60" t="str">
        <f t="shared" ref="I1744:I1807" si="130">IFERROR(VALUE(MID(A1744,SEARCH("(",A1744)+1,SEARCH(")",A1744)-SEARCH("(",A1744)-1)),"")</f>
        <v/>
      </c>
      <c r="J1744" t="str">
        <f t="shared" ref="J1744:J1807" si="131">IFERROR(MID(A1744,SEARCH("@",A1744)+2,SEARCH("(",A1744,SEARCH("@",A1744))-SEARCH("@",A1744)-3),"")</f>
        <v/>
      </c>
      <c r="K1744" s="60" t="str">
        <f t="shared" ref="K1744:K1807" si="132">IFERROR(VALUE(MID(A1744,SEARCH(J1744,A1744)+LEN(J1744)+2,(SEARCH(")",A1744,SEARCH("@",A1744))-SEARCH("(",A1744,SEARCH("@",A1744))-1))),"")</f>
        <v/>
      </c>
      <c r="L1744" t="str">
        <f t="shared" ref="L1744:L1807" si="133">IFERROR(I1744-K1744,"")</f>
        <v/>
      </c>
    </row>
    <row r="1745" spans="1:12" x14ac:dyDescent="0.25">
      <c r="A1745" t="s">
        <v>2312</v>
      </c>
      <c r="G1745" t="str">
        <f t="shared" si="128"/>
        <v>05/11/19</v>
      </c>
      <c r="H1745" t="str">
        <f t="shared" si="129"/>
        <v/>
      </c>
      <c r="I1745" s="60" t="str">
        <f t="shared" si="130"/>
        <v/>
      </c>
      <c r="J1745" t="str">
        <f t="shared" si="131"/>
        <v/>
      </c>
      <c r="K1745" s="60" t="str">
        <f t="shared" si="132"/>
        <v/>
      </c>
      <c r="L1745" t="str">
        <f t="shared" si="133"/>
        <v/>
      </c>
    </row>
    <row r="1746" spans="1:12" x14ac:dyDescent="0.25">
      <c r="G1746" t="str">
        <f t="shared" si="128"/>
        <v>05/11/19</v>
      </c>
      <c r="H1746" t="str">
        <f t="shared" si="129"/>
        <v/>
      </c>
      <c r="I1746" s="60" t="str">
        <f t="shared" si="130"/>
        <v/>
      </c>
      <c r="J1746" t="str">
        <f t="shared" si="131"/>
        <v/>
      </c>
      <c r="K1746" s="60" t="str">
        <f t="shared" si="132"/>
        <v/>
      </c>
      <c r="L1746" t="str">
        <f t="shared" si="133"/>
        <v/>
      </c>
    </row>
    <row r="1747" spans="1:12" x14ac:dyDescent="0.25">
      <c r="A1747" t="s">
        <v>2313</v>
      </c>
      <c r="G1747" t="str">
        <f t="shared" si="128"/>
        <v>05/12/19</v>
      </c>
      <c r="H1747" t="str">
        <f t="shared" si="129"/>
        <v/>
      </c>
      <c r="I1747" s="60" t="str">
        <f t="shared" si="130"/>
        <v/>
      </c>
      <c r="J1747" t="str">
        <f t="shared" si="131"/>
        <v/>
      </c>
      <c r="K1747" s="60" t="str">
        <f t="shared" si="132"/>
        <v/>
      </c>
      <c r="L1747" t="str">
        <f t="shared" si="133"/>
        <v/>
      </c>
    </row>
    <row r="1748" spans="1:12" x14ac:dyDescent="0.25">
      <c r="G1748" t="str">
        <f t="shared" si="128"/>
        <v>05/12/19</v>
      </c>
      <c r="H1748" t="str">
        <f t="shared" si="129"/>
        <v/>
      </c>
      <c r="I1748" s="60" t="str">
        <f t="shared" si="130"/>
        <v/>
      </c>
      <c r="J1748" t="str">
        <f t="shared" si="131"/>
        <v/>
      </c>
      <c r="K1748" s="60" t="str">
        <f t="shared" si="132"/>
        <v/>
      </c>
      <c r="L1748" t="str">
        <f t="shared" si="133"/>
        <v/>
      </c>
    </row>
    <row r="1749" spans="1:12" x14ac:dyDescent="0.25">
      <c r="A1749" t="s">
        <v>2314</v>
      </c>
      <c r="G1749" t="str">
        <f t="shared" si="128"/>
        <v>05/12/19</v>
      </c>
      <c r="H1749" t="str">
        <f t="shared" si="129"/>
        <v>Atlanta Braves</v>
      </c>
      <c r="I1749" s="60">
        <f t="shared" si="130"/>
        <v>5</v>
      </c>
      <c r="J1749" t="str">
        <f t="shared" si="131"/>
        <v>Arizona D'Backs</v>
      </c>
      <c r="K1749" s="60">
        <f t="shared" si="132"/>
        <v>3</v>
      </c>
      <c r="L1749">
        <f t="shared" si="133"/>
        <v>2</v>
      </c>
    </row>
    <row r="1750" spans="1:12" x14ac:dyDescent="0.25">
      <c r="G1750" t="str">
        <f t="shared" si="128"/>
        <v>05/12/19</v>
      </c>
      <c r="H1750" t="str">
        <f t="shared" si="129"/>
        <v/>
      </c>
      <c r="I1750" s="60" t="str">
        <f t="shared" si="130"/>
        <v/>
      </c>
      <c r="J1750" t="str">
        <f t="shared" si="131"/>
        <v/>
      </c>
      <c r="K1750" s="60" t="str">
        <f t="shared" si="132"/>
        <v/>
      </c>
      <c r="L1750" t="str">
        <f t="shared" si="133"/>
        <v/>
      </c>
    </row>
    <row r="1751" spans="1:12" x14ac:dyDescent="0.25">
      <c r="A1751" t="s">
        <v>2315</v>
      </c>
      <c r="G1751" t="str">
        <f t="shared" si="128"/>
        <v>05/12/19</v>
      </c>
      <c r="H1751" t="str">
        <f t="shared" si="129"/>
        <v>Los Angeles Angels</v>
      </c>
      <c r="I1751" s="60">
        <f t="shared" si="130"/>
        <v>1</v>
      </c>
      <c r="J1751" t="str">
        <f t="shared" si="131"/>
        <v>Baltimore Orioles</v>
      </c>
      <c r="K1751" s="60">
        <f t="shared" si="132"/>
        <v>5</v>
      </c>
      <c r="L1751">
        <f t="shared" si="133"/>
        <v>-4</v>
      </c>
    </row>
    <row r="1752" spans="1:12" x14ac:dyDescent="0.25">
      <c r="G1752" t="str">
        <f t="shared" si="128"/>
        <v>05/12/19</v>
      </c>
      <c r="H1752" t="str">
        <f t="shared" si="129"/>
        <v/>
      </c>
      <c r="I1752" s="60" t="str">
        <f t="shared" si="130"/>
        <v/>
      </c>
      <c r="J1752" t="str">
        <f t="shared" si="131"/>
        <v/>
      </c>
      <c r="K1752" s="60" t="str">
        <f t="shared" si="132"/>
        <v/>
      </c>
      <c r="L1752" t="str">
        <f t="shared" si="133"/>
        <v/>
      </c>
    </row>
    <row r="1753" spans="1:12" x14ac:dyDescent="0.25">
      <c r="A1753" t="s">
        <v>2316</v>
      </c>
      <c r="G1753" t="str">
        <f t="shared" si="128"/>
        <v>05/12/19</v>
      </c>
      <c r="H1753" t="str">
        <f t="shared" si="129"/>
        <v>Seattle Mariners</v>
      </c>
      <c r="I1753" s="60">
        <f t="shared" si="130"/>
        <v>2</v>
      </c>
      <c r="J1753" t="str">
        <f t="shared" si="131"/>
        <v>Boston Red Sox</v>
      </c>
      <c r="K1753" s="60">
        <f t="shared" si="132"/>
        <v>11</v>
      </c>
      <c r="L1753">
        <f t="shared" si="133"/>
        <v>-9</v>
      </c>
    </row>
    <row r="1754" spans="1:12" x14ac:dyDescent="0.25">
      <c r="G1754" t="str">
        <f t="shared" si="128"/>
        <v>05/12/19</v>
      </c>
      <c r="H1754" t="str">
        <f t="shared" si="129"/>
        <v/>
      </c>
      <c r="I1754" s="60" t="str">
        <f t="shared" si="130"/>
        <v/>
      </c>
      <c r="J1754" t="str">
        <f t="shared" si="131"/>
        <v/>
      </c>
      <c r="K1754" s="60" t="str">
        <f t="shared" si="132"/>
        <v/>
      </c>
      <c r="L1754" t="str">
        <f t="shared" si="133"/>
        <v/>
      </c>
    </row>
    <row r="1755" spans="1:12" x14ac:dyDescent="0.25">
      <c r="A1755" t="s">
        <v>2317</v>
      </c>
      <c r="G1755" t="str">
        <f t="shared" si="128"/>
        <v>05/12/19</v>
      </c>
      <c r="H1755" t="str">
        <f t="shared" si="129"/>
        <v>Milwaukee Brewers</v>
      </c>
      <c r="I1755" s="60">
        <f t="shared" si="130"/>
        <v>1</v>
      </c>
      <c r="J1755" t="str">
        <f t="shared" si="131"/>
        <v>Chicago Cubs</v>
      </c>
      <c r="K1755" s="60">
        <f t="shared" si="132"/>
        <v>4</v>
      </c>
      <c r="L1755">
        <f t="shared" si="133"/>
        <v>-3</v>
      </c>
    </row>
    <row r="1756" spans="1:12" x14ac:dyDescent="0.25">
      <c r="G1756" t="str">
        <f t="shared" si="128"/>
        <v>05/12/19</v>
      </c>
      <c r="H1756" t="str">
        <f t="shared" si="129"/>
        <v/>
      </c>
      <c r="I1756" s="60" t="str">
        <f t="shared" si="130"/>
        <v/>
      </c>
      <c r="J1756" t="str">
        <f t="shared" si="131"/>
        <v/>
      </c>
      <c r="K1756" s="60" t="str">
        <f t="shared" si="132"/>
        <v/>
      </c>
      <c r="L1756" t="str">
        <f t="shared" si="133"/>
        <v/>
      </c>
    </row>
    <row r="1757" spans="1:12" x14ac:dyDescent="0.25">
      <c r="A1757" t="s">
        <v>2318</v>
      </c>
      <c r="G1757" t="str">
        <f t="shared" si="128"/>
        <v>05/12/19</v>
      </c>
      <c r="H1757" t="str">
        <f t="shared" si="129"/>
        <v>San Diego Padres</v>
      </c>
      <c r="I1757" s="60">
        <f t="shared" si="130"/>
        <v>7</v>
      </c>
      <c r="J1757" t="str">
        <f t="shared" si="131"/>
        <v>Colorado Rockies</v>
      </c>
      <c r="K1757" s="60">
        <f t="shared" si="132"/>
        <v>10</v>
      </c>
      <c r="L1757">
        <f t="shared" si="133"/>
        <v>-3</v>
      </c>
    </row>
    <row r="1758" spans="1:12" x14ac:dyDescent="0.25">
      <c r="G1758" t="str">
        <f t="shared" si="128"/>
        <v>05/12/19</v>
      </c>
      <c r="H1758" t="str">
        <f t="shared" si="129"/>
        <v/>
      </c>
      <c r="I1758" s="60" t="str">
        <f t="shared" si="130"/>
        <v/>
      </c>
      <c r="J1758" t="str">
        <f t="shared" si="131"/>
        <v/>
      </c>
      <c r="K1758" s="60" t="str">
        <f t="shared" si="132"/>
        <v/>
      </c>
      <c r="L1758" t="str">
        <f t="shared" si="133"/>
        <v/>
      </c>
    </row>
    <row r="1759" spans="1:12" x14ac:dyDescent="0.25">
      <c r="A1759" t="s">
        <v>2319</v>
      </c>
      <c r="G1759" t="str">
        <f t="shared" si="128"/>
        <v>05/12/19</v>
      </c>
      <c r="H1759" t="str">
        <f t="shared" si="129"/>
        <v>Texas Rangers</v>
      </c>
      <c r="I1759" s="60">
        <f t="shared" si="130"/>
        <v>5</v>
      </c>
      <c r="J1759" t="str">
        <f t="shared" si="131"/>
        <v>Houston Astros</v>
      </c>
      <c r="K1759" s="60">
        <f t="shared" si="132"/>
        <v>15</v>
      </c>
      <c r="L1759">
        <f t="shared" si="133"/>
        <v>-10</v>
      </c>
    </row>
    <row r="1760" spans="1:12" x14ac:dyDescent="0.25">
      <c r="G1760" t="str">
        <f t="shared" si="128"/>
        <v>05/12/19</v>
      </c>
      <c r="H1760" t="str">
        <f t="shared" si="129"/>
        <v/>
      </c>
      <c r="I1760" s="60" t="str">
        <f t="shared" si="130"/>
        <v/>
      </c>
      <c r="J1760" t="str">
        <f t="shared" si="131"/>
        <v/>
      </c>
      <c r="K1760" s="60" t="str">
        <f t="shared" si="132"/>
        <v/>
      </c>
      <c r="L1760" t="str">
        <f t="shared" si="133"/>
        <v/>
      </c>
    </row>
    <row r="1761" spans="1:12" x14ac:dyDescent="0.25">
      <c r="A1761" t="s">
        <v>2320</v>
      </c>
      <c r="G1761" t="str">
        <f t="shared" si="128"/>
        <v>05/12/19</v>
      </c>
      <c r="H1761" t="str">
        <f t="shared" si="129"/>
        <v>Philadelphia Phillies</v>
      </c>
      <c r="I1761" s="60">
        <f t="shared" si="130"/>
        <v>6</v>
      </c>
      <c r="J1761" t="str">
        <f t="shared" si="131"/>
        <v>Kansas City Royals</v>
      </c>
      <c r="K1761" s="60">
        <f t="shared" si="132"/>
        <v>1</v>
      </c>
      <c r="L1761">
        <f t="shared" si="133"/>
        <v>5</v>
      </c>
    </row>
    <row r="1762" spans="1:12" x14ac:dyDescent="0.25">
      <c r="G1762" t="str">
        <f t="shared" ref="G1762:G1825" si="134">IF(ISNUMBER(MATCH(IFERROR(LEFT(A1762,SEARCH(",",A1762)-1),""),$G$220:$M$220,0)),TEXT(MID(A1762,SEARCH(",",A1762)+2,LEN(A1762)),"mm/dd/yy"),G1761)</f>
        <v>05/12/19</v>
      </c>
      <c r="H1762" t="str">
        <f t="shared" si="129"/>
        <v/>
      </c>
      <c r="I1762" s="60" t="str">
        <f t="shared" si="130"/>
        <v/>
      </c>
      <c r="J1762" t="str">
        <f t="shared" si="131"/>
        <v/>
      </c>
      <c r="K1762" s="60" t="str">
        <f t="shared" si="132"/>
        <v/>
      </c>
      <c r="L1762" t="str">
        <f t="shared" si="133"/>
        <v/>
      </c>
    </row>
    <row r="1763" spans="1:12" x14ac:dyDescent="0.25">
      <c r="A1763" t="s">
        <v>2321</v>
      </c>
      <c r="G1763" t="str">
        <f t="shared" si="134"/>
        <v>05/12/19</v>
      </c>
      <c r="H1763" t="str">
        <f t="shared" si="129"/>
        <v>Washington Nationals</v>
      </c>
      <c r="I1763" s="60">
        <f t="shared" si="130"/>
        <v>0</v>
      </c>
      <c r="J1763" t="str">
        <f t="shared" si="131"/>
        <v>Los Angeles Dodgers</v>
      </c>
      <c r="K1763" s="60">
        <f t="shared" si="132"/>
        <v>6</v>
      </c>
      <c r="L1763">
        <f t="shared" si="133"/>
        <v>-6</v>
      </c>
    </row>
    <row r="1764" spans="1:12" x14ac:dyDescent="0.25">
      <c r="G1764" t="str">
        <f t="shared" si="134"/>
        <v>05/12/19</v>
      </c>
      <c r="H1764" t="str">
        <f t="shared" si="129"/>
        <v/>
      </c>
      <c r="I1764" s="60" t="str">
        <f t="shared" si="130"/>
        <v/>
      </c>
      <c r="J1764" t="str">
        <f t="shared" si="131"/>
        <v/>
      </c>
      <c r="K1764" s="60" t="str">
        <f t="shared" si="132"/>
        <v/>
      </c>
      <c r="L1764" t="str">
        <f t="shared" si="133"/>
        <v/>
      </c>
    </row>
    <row r="1765" spans="1:12" x14ac:dyDescent="0.25">
      <c r="A1765" t="s">
        <v>2305</v>
      </c>
      <c r="G1765" t="str">
        <f t="shared" si="134"/>
        <v>05/12/19</v>
      </c>
      <c r="H1765" t="str">
        <f t="shared" si="129"/>
        <v>Detroit Tigers</v>
      </c>
      <c r="I1765" s="60">
        <f t="shared" si="130"/>
        <v>5</v>
      </c>
      <c r="J1765" t="str">
        <f t="shared" si="131"/>
        <v>Minnesota Twins</v>
      </c>
      <c r="K1765" s="60">
        <f t="shared" si="132"/>
        <v>3</v>
      </c>
      <c r="L1765">
        <f t="shared" si="133"/>
        <v>2</v>
      </c>
    </row>
    <row r="1766" spans="1:12" x14ac:dyDescent="0.25">
      <c r="G1766" t="str">
        <f t="shared" si="134"/>
        <v>05/12/19</v>
      </c>
      <c r="H1766" t="str">
        <f t="shared" si="129"/>
        <v/>
      </c>
      <c r="I1766" s="60" t="str">
        <f t="shared" si="130"/>
        <v/>
      </c>
      <c r="J1766" t="str">
        <f t="shared" si="131"/>
        <v/>
      </c>
      <c r="K1766" s="60" t="str">
        <f t="shared" si="132"/>
        <v/>
      </c>
      <c r="L1766" t="str">
        <f t="shared" si="133"/>
        <v/>
      </c>
    </row>
    <row r="1767" spans="1:12" x14ac:dyDescent="0.25">
      <c r="A1767" t="s">
        <v>2322</v>
      </c>
      <c r="G1767" t="str">
        <f t="shared" si="134"/>
        <v>05/12/19</v>
      </c>
      <c r="H1767" t="str">
        <f t="shared" si="129"/>
        <v>Cleveland Indians</v>
      </c>
      <c r="I1767" s="60">
        <f t="shared" si="130"/>
        <v>5</v>
      </c>
      <c r="J1767" t="str">
        <f t="shared" si="131"/>
        <v>Oakland Athletics</v>
      </c>
      <c r="K1767" s="60">
        <f t="shared" si="132"/>
        <v>3</v>
      </c>
      <c r="L1767">
        <f t="shared" si="133"/>
        <v>2</v>
      </c>
    </row>
    <row r="1768" spans="1:12" x14ac:dyDescent="0.25">
      <c r="G1768" t="str">
        <f t="shared" si="134"/>
        <v>05/12/19</v>
      </c>
      <c r="H1768" t="str">
        <f t="shared" si="129"/>
        <v/>
      </c>
      <c r="I1768" s="60" t="str">
        <f t="shared" si="130"/>
        <v/>
      </c>
      <c r="J1768" t="str">
        <f t="shared" si="131"/>
        <v/>
      </c>
      <c r="K1768" s="60" t="str">
        <f t="shared" si="132"/>
        <v/>
      </c>
      <c r="L1768" t="str">
        <f t="shared" si="133"/>
        <v/>
      </c>
    </row>
    <row r="1769" spans="1:12" x14ac:dyDescent="0.25">
      <c r="A1769" t="s">
        <v>2323</v>
      </c>
      <c r="G1769" t="str">
        <f t="shared" si="134"/>
        <v>05/12/19</v>
      </c>
      <c r="H1769" t="str">
        <f t="shared" si="129"/>
        <v>Cincinnati Reds</v>
      </c>
      <c r="I1769" s="60">
        <f t="shared" si="130"/>
        <v>5</v>
      </c>
      <c r="J1769" t="str">
        <f t="shared" si="131"/>
        <v>San Francisco Giants</v>
      </c>
      <c r="K1769" s="60">
        <f t="shared" si="132"/>
        <v>6</v>
      </c>
      <c r="L1769">
        <f t="shared" si="133"/>
        <v>-1</v>
      </c>
    </row>
    <row r="1770" spans="1:12" x14ac:dyDescent="0.25">
      <c r="G1770" t="str">
        <f t="shared" si="134"/>
        <v>05/12/19</v>
      </c>
      <c r="H1770" t="str">
        <f t="shared" si="129"/>
        <v/>
      </c>
      <c r="I1770" s="60" t="str">
        <f t="shared" si="130"/>
        <v/>
      </c>
      <c r="J1770" t="str">
        <f t="shared" si="131"/>
        <v/>
      </c>
      <c r="K1770" s="60" t="str">
        <f t="shared" si="132"/>
        <v/>
      </c>
      <c r="L1770" t="str">
        <f t="shared" si="133"/>
        <v/>
      </c>
    </row>
    <row r="1771" spans="1:12" x14ac:dyDescent="0.25">
      <c r="A1771" t="s">
        <v>2324</v>
      </c>
      <c r="G1771" t="str">
        <f t="shared" si="134"/>
        <v>05/12/19</v>
      </c>
      <c r="H1771" t="str">
        <f t="shared" si="129"/>
        <v>Pittsburgh Pirates</v>
      </c>
      <c r="I1771" s="60">
        <f t="shared" si="130"/>
        <v>10</v>
      </c>
      <c r="J1771" t="str">
        <f t="shared" si="131"/>
        <v>St. Louis Cardinals</v>
      </c>
      <c r="K1771" s="60">
        <f t="shared" si="132"/>
        <v>6</v>
      </c>
      <c r="L1771">
        <f t="shared" si="133"/>
        <v>4</v>
      </c>
    </row>
    <row r="1772" spans="1:12" x14ac:dyDescent="0.25">
      <c r="G1772" t="str">
        <f t="shared" si="134"/>
        <v>05/12/19</v>
      </c>
      <c r="H1772" t="str">
        <f t="shared" si="129"/>
        <v/>
      </c>
      <c r="I1772" s="60" t="str">
        <f t="shared" si="130"/>
        <v/>
      </c>
      <c r="J1772" t="str">
        <f t="shared" si="131"/>
        <v/>
      </c>
      <c r="K1772" s="60" t="str">
        <f t="shared" si="132"/>
        <v/>
      </c>
      <c r="L1772" t="str">
        <f t="shared" si="133"/>
        <v/>
      </c>
    </row>
    <row r="1773" spans="1:12" x14ac:dyDescent="0.25">
      <c r="A1773" t="s">
        <v>2325</v>
      </c>
      <c r="G1773" t="str">
        <f t="shared" si="134"/>
        <v>05/12/19</v>
      </c>
      <c r="H1773" t="str">
        <f t="shared" si="129"/>
        <v>New York Yankees</v>
      </c>
      <c r="I1773" s="60">
        <f t="shared" si="130"/>
        <v>7</v>
      </c>
      <c r="J1773" t="str">
        <f t="shared" si="131"/>
        <v>Tampa Bay Rays</v>
      </c>
      <c r="K1773" s="60">
        <f t="shared" si="132"/>
        <v>1</v>
      </c>
      <c r="L1773">
        <f t="shared" si="133"/>
        <v>6</v>
      </c>
    </row>
    <row r="1774" spans="1:12" x14ac:dyDescent="0.25">
      <c r="G1774" t="str">
        <f t="shared" si="134"/>
        <v>05/12/19</v>
      </c>
      <c r="H1774" t="str">
        <f t="shared" si="129"/>
        <v/>
      </c>
      <c r="I1774" s="60" t="str">
        <f t="shared" si="130"/>
        <v/>
      </c>
      <c r="J1774" t="str">
        <f t="shared" si="131"/>
        <v/>
      </c>
      <c r="K1774" s="60" t="str">
        <f t="shared" si="132"/>
        <v/>
      </c>
      <c r="L1774" t="str">
        <f t="shared" si="133"/>
        <v/>
      </c>
    </row>
    <row r="1775" spans="1:12" x14ac:dyDescent="0.25">
      <c r="A1775" t="s">
        <v>2326</v>
      </c>
      <c r="G1775" t="str">
        <f t="shared" si="134"/>
        <v>05/12/19</v>
      </c>
      <c r="H1775" t="str">
        <f t="shared" si="129"/>
        <v>Chicago White Sox</v>
      </c>
      <c r="I1775" s="60">
        <f t="shared" si="130"/>
        <v>5</v>
      </c>
      <c r="J1775" t="str">
        <f t="shared" si="131"/>
        <v>Toronto Blue Jays</v>
      </c>
      <c r="K1775" s="60">
        <f t="shared" si="132"/>
        <v>1</v>
      </c>
      <c r="L1775">
        <f t="shared" si="133"/>
        <v>4</v>
      </c>
    </row>
    <row r="1776" spans="1:12" x14ac:dyDescent="0.25">
      <c r="G1776" t="str">
        <f t="shared" si="134"/>
        <v>05/12/19</v>
      </c>
      <c r="H1776" t="str">
        <f t="shared" si="129"/>
        <v/>
      </c>
      <c r="I1776" s="60" t="str">
        <f t="shared" si="130"/>
        <v/>
      </c>
      <c r="J1776" t="str">
        <f t="shared" si="131"/>
        <v/>
      </c>
      <c r="K1776" s="60" t="str">
        <f t="shared" si="132"/>
        <v/>
      </c>
      <c r="L1776" t="str">
        <f t="shared" si="133"/>
        <v/>
      </c>
    </row>
    <row r="1777" spans="1:12" x14ac:dyDescent="0.25">
      <c r="A1777" t="s">
        <v>2327</v>
      </c>
      <c r="G1777" t="str">
        <f t="shared" si="134"/>
        <v>05/12/19</v>
      </c>
      <c r="H1777" t="str">
        <f t="shared" si="129"/>
        <v/>
      </c>
      <c r="I1777" s="60" t="str">
        <f t="shared" si="130"/>
        <v/>
      </c>
      <c r="J1777" t="str">
        <f t="shared" si="131"/>
        <v/>
      </c>
      <c r="K1777" s="60" t="str">
        <f t="shared" si="132"/>
        <v/>
      </c>
      <c r="L1777" t="str">
        <f t="shared" si="133"/>
        <v/>
      </c>
    </row>
    <row r="1778" spans="1:12" x14ac:dyDescent="0.25">
      <c r="G1778" t="str">
        <f t="shared" si="134"/>
        <v>05/12/19</v>
      </c>
      <c r="H1778" t="str">
        <f t="shared" si="129"/>
        <v/>
      </c>
      <c r="I1778" s="60" t="str">
        <f t="shared" si="130"/>
        <v/>
      </c>
      <c r="J1778" t="str">
        <f t="shared" si="131"/>
        <v/>
      </c>
      <c r="K1778" s="60" t="str">
        <f t="shared" si="132"/>
        <v/>
      </c>
      <c r="L1778" t="str">
        <f t="shared" si="133"/>
        <v/>
      </c>
    </row>
    <row r="1779" spans="1:12" x14ac:dyDescent="0.25">
      <c r="A1779" t="s">
        <v>2328</v>
      </c>
      <c r="G1779" t="str">
        <f t="shared" si="134"/>
        <v>05/13/19</v>
      </c>
      <c r="H1779" t="str">
        <f t="shared" si="129"/>
        <v/>
      </c>
      <c r="I1779" s="60" t="str">
        <f t="shared" si="130"/>
        <v/>
      </c>
      <c r="J1779" t="str">
        <f t="shared" si="131"/>
        <v/>
      </c>
      <c r="K1779" s="60" t="str">
        <f t="shared" si="132"/>
        <v/>
      </c>
      <c r="L1779" t="str">
        <f t="shared" si="133"/>
        <v/>
      </c>
    </row>
    <row r="1780" spans="1:12" x14ac:dyDescent="0.25">
      <c r="G1780" t="str">
        <f t="shared" si="134"/>
        <v>05/13/19</v>
      </c>
      <c r="H1780" t="str">
        <f t="shared" si="129"/>
        <v/>
      </c>
      <c r="I1780" s="60" t="str">
        <f t="shared" si="130"/>
        <v/>
      </c>
      <c r="J1780" t="str">
        <f t="shared" si="131"/>
        <v/>
      </c>
      <c r="K1780" s="60" t="str">
        <f t="shared" si="132"/>
        <v/>
      </c>
      <c r="L1780" t="str">
        <f t="shared" si="133"/>
        <v/>
      </c>
    </row>
    <row r="1781" spans="1:12" x14ac:dyDescent="0.25">
      <c r="A1781" t="s">
        <v>2329</v>
      </c>
      <c r="G1781" t="str">
        <f t="shared" si="134"/>
        <v>05/13/19</v>
      </c>
      <c r="H1781" t="str">
        <f t="shared" si="129"/>
        <v>Pittsburgh Pirates</v>
      </c>
      <c r="I1781" s="60">
        <f t="shared" si="130"/>
        <v>3</v>
      </c>
      <c r="J1781" t="str">
        <f t="shared" si="131"/>
        <v>Arizona D'Backs</v>
      </c>
      <c r="K1781" s="60">
        <f t="shared" si="132"/>
        <v>9</v>
      </c>
      <c r="L1781">
        <f t="shared" si="133"/>
        <v>-6</v>
      </c>
    </row>
    <row r="1782" spans="1:12" x14ac:dyDescent="0.25">
      <c r="G1782" t="str">
        <f t="shared" si="134"/>
        <v>05/13/19</v>
      </c>
      <c r="H1782" t="str">
        <f t="shared" si="129"/>
        <v/>
      </c>
      <c r="I1782" s="60" t="str">
        <f t="shared" si="130"/>
        <v/>
      </c>
      <c r="J1782" t="str">
        <f t="shared" si="131"/>
        <v/>
      </c>
      <c r="K1782" s="60" t="str">
        <f t="shared" si="132"/>
        <v/>
      </c>
      <c r="L1782" t="str">
        <f t="shared" si="133"/>
        <v/>
      </c>
    </row>
    <row r="1783" spans="1:12" x14ac:dyDescent="0.25">
      <c r="A1783" t="s">
        <v>2330</v>
      </c>
      <c r="G1783" t="str">
        <f t="shared" si="134"/>
        <v>05/13/19</v>
      </c>
      <c r="H1783" t="str">
        <f t="shared" si="129"/>
        <v>Cleveland Indians</v>
      </c>
      <c r="I1783" s="60">
        <f t="shared" si="130"/>
        <v>2</v>
      </c>
      <c r="J1783" t="str">
        <f t="shared" si="131"/>
        <v>Chicago White Sox</v>
      </c>
      <c r="K1783" s="60">
        <f t="shared" si="132"/>
        <v>5</v>
      </c>
      <c r="L1783">
        <f t="shared" si="133"/>
        <v>-3</v>
      </c>
    </row>
    <row r="1784" spans="1:12" x14ac:dyDescent="0.25">
      <c r="G1784" t="str">
        <f t="shared" si="134"/>
        <v>05/13/19</v>
      </c>
      <c r="H1784" t="str">
        <f t="shared" si="129"/>
        <v/>
      </c>
      <c r="I1784" s="60" t="str">
        <f t="shared" si="130"/>
        <v/>
      </c>
      <c r="J1784" t="str">
        <f t="shared" si="131"/>
        <v/>
      </c>
      <c r="K1784" s="60" t="str">
        <f t="shared" si="132"/>
        <v/>
      </c>
      <c r="L1784" t="str">
        <f t="shared" si="133"/>
        <v/>
      </c>
    </row>
    <row r="1785" spans="1:12" x14ac:dyDescent="0.25">
      <c r="A1785" t="s">
        <v>2331</v>
      </c>
      <c r="G1785" t="str">
        <f t="shared" si="134"/>
        <v>05/13/19</v>
      </c>
      <c r="H1785" t="str">
        <f t="shared" si="129"/>
        <v>Houston Astros</v>
      </c>
      <c r="I1785" s="60">
        <f t="shared" si="130"/>
        <v>8</v>
      </c>
      <c r="J1785" t="str">
        <f t="shared" si="131"/>
        <v>Detroit Tigers</v>
      </c>
      <c r="K1785" s="60">
        <f t="shared" si="132"/>
        <v>1</v>
      </c>
      <c r="L1785">
        <f t="shared" si="133"/>
        <v>7</v>
      </c>
    </row>
    <row r="1786" spans="1:12" x14ac:dyDescent="0.25">
      <c r="G1786" t="str">
        <f t="shared" si="134"/>
        <v>05/13/19</v>
      </c>
      <c r="H1786" t="str">
        <f t="shared" si="129"/>
        <v/>
      </c>
      <c r="I1786" s="60" t="str">
        <f t="shared" si="130"/>
        <v/>
      </c>
      <c r="J1786" t="str">
        <f t="shared" si="131"/>
        <v/>
      </c>
      <c r="K1786" s="60" t="str">
        <f t="shared" si="132"/>
        <v/>
      </c>
      <c r="L1786" t="str">
        <f t="shared" si="133"/>
        <v/>
      </c>
    </row>
    <row r="1787" spans="1:12" x14ac:dyDescent="0.25">
      <c r="A1787" t="s">
        <v>2332</v>
      </c>
      <c r="G1787" t="str">
        <f t="shared" si="134"/>
        <v>05/13/19</v>
      </c>
      <c r="H1787" t="str">
        <f t="shared" si="129"/>
        <v>Los Angeles Angels</v>
      </c>
      <c r="I1787" s="60">
        <f t="shared" si="130"/>
        <v>5</v>
      </c>
      <c r="J1787" t="str">
        <f t="shared" si="131"/>
        <v>Minnesota Twins</v>
      </c>
      <c r="K1787" s="60">
        <f t="shared" si="132"/>
        <v>4</v>
      </c>
      <c r="L1787">
        <f t="shared" si="133"/>
        <v>1</v>
      </c>
    </row>
    <row r="1788" spans="1:12" x14ac:dyDescent="0.25">
      <c r="G1788" t="str">
        <f t="shared" si="134"/>
        <v>05/13/19</v>
      </c>
      <c r="H1788" t="str">
        <f t="shared" si="129"/>
        <v/>
      </c>
      <c r="I1788" s="60" t="str">
        <f t="shared" si="130"/>
        <v/>
      </c>
      <c r="J1788" t="str">
        <f t="shared" si="131"/>
        <v/>
      </c>
      <c r="K1788" s="60" t="str">
        <f t="shared" si="132"/>
        <v/>
      </c>
      <c r="L1788" t="str">
        <f t="shared" si="133"/>
        <v/>
      </c>
    </row>
    <row r="1789" spans="1:12" x14ac:dyDescent="0.25">
      <c r="A1789" t="s">
        <v>2333</v>
      </c>
      <c r="G1789" t="str">
        <f t="shared" si="134"/>
        <v>05/13/19</v>
      </c>
      <c r="H1789" t="str">
        <f t="shared" si="129"/>
        <v>Milwaukee Brewers</v>
      </c>
      <c r="I1789" s="60">
        <f t="shared" si="130"/>
        <v>4</v>
      </c>
      <c r="J1789" t="str">
        <f t="shared" si="131"/>
        <v>Philadelphia Phillies</v>
      </c>
      <c r="K1789" s="60">
        <f t="shared" si="132"/>
        <v>7</v>
      </c>
      <c r="L1789">
        <f t="shared" si="133"/>
        <v>-3</v>
      </c>
    </row>
    <row r="1790" spans="1:12" x14ac:dyDescent="0.25">
      <c r="G1790" t="str">
        <f t="shared" si="134"/>
        <v>05/13/19</v>
      </c>
      <c r="H1790" t="str">
        <f t="shared" si="129"/>
        <v/>
      </c>
      <c r="I1790" s="60" t="str">
        <f t="shared" si="130"/>
        <v/>
      </c>
      <c r="J1790" t="str">
        <f t="shared" si="131"/>
        <v/>
      </c>
      <c r="K1790" s="60" t="str">
        <f t="shared" si="132"/>
        <v/>
      </c>
      <c r="L1790" t="str">
        <f t="shared" si="133"/>
        <v/>
      </c>
    </row>
    <row r="1791" spans="1:12" x14ac:dyDescent="0.25">
      <c r="A1791" t="s">
        <v>2334</v>
      </c>
      <c r="G1791" t="str">
        <f t="shared" si="134"/>
        <v>05/13/19</v>
      </c>
      <c r="H1791" t="str">
        <f t="shared" si="129"/>
        <v>Oakland Athletics</v>
      </c>
      <c r="I1791" s="60">
        <f t="shared" si="130"/>
        <v>5</v>
      </c>
      <c r="J1791" t="str">
        <f t="shared" si="131"/>
        <v>Seattle Mariners</v>
      </c>
      <c r="K1791" s="60">
        <f t="shared" si="132"/>
        <v>6</v>
      </c>
      <c r="L1791">
        <f t="shared" si="133"/>
        <v>-1</v>
      </c>
    </row>
    <row r="1792" spans="1:12" x14ac:dyDescent="0.25">
      <c r="G1792" t="str">
        <f t="shared" si="134"/>
        <v>05/13/19</v>
      </c>
      <c r="H1792" t="str">
        <f t="shared" si="129"/>
        <v/>
      </c>
      <c r="I1792" s="60" t="str">
        <f t="shared" si="130"/>
        <v/>
      </c>
      <c r="J1792" t="str">
        <f t="shared" si="131"/>
        <v/>
      </c>
      <c r="K1792" s="60" t="str">
        <f t="shared" si="132"/>
        <v/>
      </c>
      <c r="L1792" t="str">
        <f t="shared" si="133"/>
        <v/>
      </c>
    </row>
    <row r="1793" spans="1:12" x14ac:dyDescent="0.25">
      <c r="A1793" t="s">
        <v>2335</v>
      </c>
      <c r="G1793" t="str">
        <f t="shared" si="134"/>
        <v>05/13/19</v>
      </c>
      <c r="H1793" t="str">
        <f t="shared" si="129"/>
        <v/>
      </c>
      <c r="I1793" s="60" t="str">
        <f t="shared" si="130"/>
        <v/>
      </c>
      <c r="J1793" t="str">
        <f t="shared" si="131"/>
        <v/>
      </c>
      <c r="K1793" s="60" t="str">
        <f t="shared" si="132"/>
        <v/>
      </c>
      <c r="L1793" t="str">
        <f t="shared" si="133"/>
        <v/>
      </c>
    </row>
    <row r="1794" spans="1:12" x14ac:dyDescent="0.25">
      <c r="G1794" t="str">
        <f t="shared" si="134"/>
        <v>05/13/19</v>
      </c>
      <c r="H1794" t="str">
        <f t="shared" si="129"/>
        <v/>
      </c>
      <c r="I1794" s="60" t="str">
        <f t="shared" si="130"/>
        <v/>
      </c>
      <c r="J1794" t="str">
        <f t="shared" si="131"/>
        <v/>
      </c>
      <c r="K1794" s="60" t="str">
        <f t="shared" si="132"/>
        <v/>
      </c>
      <c r="L1794" t="str">
        <f t="shared" si="133"/>
        <v/>
      </c>
    </row>
    <row r="1795" spans="1:12" x14ac:dyDescent="0.25">
      <c r="A1795" t="s">
        <v>2336</v>
      </c>
      <c r="G1795" t="str">
        <f t="shared" si="134"/>
        <v>05/14/19</v>
      </c>
      <c r="H1795" t="str">
        <f t="shared" si="129"/>
        <v/>
      </c>
      <c r="I1795" s="60" t="str">
        <f t="shared" si="130"/>
        <v/>
      </c>
      <c r="J1795" t="str">
        <f t="shared" si="131"/>
        <v/>
      </c>
      <c r="K1795" s="60" t="str">
        <f t="shared" si="132"/>
        <v/>
      </c>
      <c r="L1795" t="str">
        <f t="shared" si="133"/>
        <v/>
      </c>
    </row>
    <row r="1796" spans="1:12" x14ac:dyDescent="0.25">
      <c r="G1796" t="str">
        <f t="shared" si="134"/>
        <v>05/14/19</v>
      </c>
      <c r="H1796" t="str">
        <f t="shared" si="129"/>
        <v/>
      </c>
      <c r="I1796" s="60" t="str">
        <f t="shared" si="130"/>
        <v/>
      </c>
      <c r="J1796" t="str">
        <f t="shared" si="131"/>
        <v/>
      </c>
      <c r="K1796" s="60" t="str">
        <f t="shared" si="132"/>
        <v/>
      </c>
      <c r="L1796" t="str">
        <f t="shared" si="133"/>
        <v/>
      </c>
    </row>
    <row r="1797" spans="1:12" x14ac:dyDescent="0.25">
      <c r="A1797" t="s">
        <v>2337</v>
      </c>
      <c r="G1797" t="str">
        <f t="shared" si="134"/>
        <v>05/14/19</v>
      </c>
      <c r="H1797" t="str">
        <f t="shared" si="129"/>
        <v>Pittsburgh Pirates</v>
      </c>
      <c r="I1797" s="60">
        <f t="shared" si="130"/>
        <v>6</v>
      </c>
      <c r="J1797" t="str">
        <f t="shared" si="131"/>
        <v>Arizona D'Backs</v>
      </c>
      <c r="K1797" s="60">
        <f t="shared" si="132"/>
        <v>2</v>
      </c>
      <c r="L1797">
        <f t="shared" si="133"/>
        <v>4</v>
      </c>
    </row>
    <row r="1798" spans="1:12" x14ac:dyDescent="0.25">
      <c r="G1798" t="str">
        <f t="shared" si="134"/>
        <v>05/14/19</v>
      </c>
      <c r="H1798" t="str">
        <f t="shared" si="129"/>
        <v/>
      </c>
      <c r="I1798" s="60" t="str">
        <f t="shared" si="130"/>
        <v/>
      </c>
      <c r="J1798" t="str">
        <f t="shared" si="131"/>
        <v/>
      </c>
      <c r="K1798" s="60" t="str">
        <f t="shared" si="132"/>
        <v/>
      </c>
      <c r="L1798" t="str">
        <f t="shared" si="133"/>
        <v/>
      </c>
    </row>
    <row r="1799" spans="1:12" x14ac:dyDescent="0.25">
      <c r="A1799" t="s">
        <v>2338</v>
      </c>
      <c r="G1799" t="str">
        <f t="shared" si="134"/>
        <v>05/14/19</v>
      </c>
      <c r="H1799" t="str">
        <f t="shared" si="129"/>
        <v>St. Louis Cardinals</v>
      </c>
      <c r="I1799" s="60">
        <f t="shared" si="130"/>
        <v>14</v>
      </c>
      <c r="J1799" t="str">
        <f t="shared" si="131"/>
        <v>Atlanta Braves</v>
      </c>
      <c r="K1799" s="60">
        <f t="shared" si="132"/>
        <v>3</v>
      </c>
      <c r="L1799">
        <f t="shared" si="133"/>
        <v>11</v>
      </c>
    </row>
    <row r="1800" spans="1:12" x14ac:dyDescent="0.25">
      <c r="G1800" t="str">
        <f t="shared" si="134"/>
        <v>05/14/19</v>
      </c>
      <c r="H1800" t="str">
        <f t="shared" si="129"/>
        <v/>
      </c>
      <c r="I1800" s="60" t="str">
        <f t="shared" si="130"/>
        <v/>
      </c>
      <c r="J1800" t="str">
        <f t="shared" si="131"/>
        <v/>
      </c>
      <c r="K1800" s="60" t="str">
        <f t="shared" si="132"/>
        <v/>
      </c>
      <c r="L1800" t="str">
        <f t="shared" si="133"/>
        <v/>
      </c>
    </row>
    <row r="1801" spans="1:12" x14ac:dyDescent="0.25">
      <c r="A1801" t="s">
        <v>2339</v>
      </c>
      <c r="G1801" t="str">
        <f t="shared" si="134"/>
        <v>05/14/19</v>
      </c>
      <c r="H1801" t="str">
        <f t="shared" si="129"/>
        <v>Colorado Rockies</v>
      </c>
      <c r="I1801" s="60">
        <f t="shared" si="130"/>
        <v>5</v>
      </c>
      <c r="J1801" t="str">
        <f t="shared" si="131"/>
        <v>Boston Red Sox</v>
      </c>
      <c r="K1801" s="60">
        <f t="shared" si="132"/>
        <v>4</v>
      </c>
      <c r="L1801">
        <f t="shared" si="133"/>
        <v>1</v>
      </c>
    </row>
    <row r="1802" spans="1:12" x14ac:dyDescent="0.25">
      <c r="G1802" t="str">
        <f t="shared" si="134"/>
        <v>05/14/19</v>
      </c>
      <c r="H1802" t="str">
        <f t="shared" si="129"/>
        <v/>
      </c>
      <c r="I1802" s="60" t="str">
        <f t="shared" si="130"/>
        <v/>
      </c>
      <c r="J1802" t="str">
        <f t="shared" si="131"/>
        <v/>
      </c>
      <c r="K1802" s="60" t="str">
        <f t="shared" si="132"/>
        <v/>
      </c>
      <c r="L1802" t="str">
        <f t="shared" si="133"/>
        <v/>
      </c>
    </row>
    <row r="1803" spans="1:12" x14ac:dyDescent="0.25">
      <c r="A1803" t="s">
        <v>2340</v>
      </c>
      <c r="G1803" t="str">
        <f t="shared" si="134"/>
        <v>05/14/19</v>
      </c>
      <c r="H1803" t="str">
        <f t="shared" si="129"/>
        <v>Cleveland Indians</v>
      </c>
      <c r="I1803" s="60">
        <f t="shared" si="130"/>
        <v>9</v>
      </c>
      <c r="J1803" t="str">
        <f t="shared" si="131"/>
        <v>Chicago White Sox</v>
      </c>
      <c r="K1803" s="60">
        <f t="shared" si="132"/>
        <v>0</v>
      </c>
      <c r="L1803">
        <f t="shared" si="133"/>
        <v>9</v>
      </c>
    </row>
    <row r="1804" spans="1:12" x14ac:dyDescent="0.25">
      <c r="G1804" t="str">
        <f t="shared" si="134"/>
        <v>05/14/19</v>
      </c>
      <c r="H1804" t="str">
        <f t="shared" si="129"/>
        <v/>
      </c>
      <c r="I1804" s="60" t="str">
        <f t="shared" si="130"/>
        <v/>
      </c>
      <c r="J1804" t="str">
        <f t="shared" si="131"/>
        <v/>
      </c>
      <c r="K1804" s="60" t="str">
        <f t="shared" si="132"/>
        <v/>
      </c>
      <c r="L1804" t="str">
        <f t="shared" si="133"/>
        <v/>
      </c>
    </row>
    <row r="1805" spans="1:12" x14ac:dyDescent="0.25">
      <c r="A1805" t="s">
        <v>2341</v>
      </c>
      <c r="G1805" t="str">
        <f t="shared" si="134"/>
        <v>05/14/19</v>
      </c>
      <c r="H1805" t="str">
        <f t="shared" si="129"/>
        <v>Chicago Cubs</v>
      </c>
      <c r="I1805" s="60">
        <f t="shared" si="130"/>
        <v>3</v>
      </c>
      <c r="J1805" t="str">
        <f t="shared" si="131"/>
        <v>Cincinnati Reds</v>
      </c>
      <c r="K1805" s="60">
        <f t="shared" si="132"/>
        <v>1</v>
      </c>
      <c r="L1805">
        <f t="shared" si="133"/>
        <v>2</v>
      </c>
    </row>
    <row r="1806" spans="1:12" x14ac:dyDescent="0.25">
      <c r="G1806" t="str">
        <f t="shared" si="134"/>
        <v>05/14/19</v>
      </c>
      <c r="H1806" t="str">
        <f t="shared" si="129"/>
        <v/>
      </c>
      <c r="I1806" s="60" t="str">
        <f t="shared" si="130"/>
        <v/>
      </c>
      <c r="J1806" t="str">
        <f t="shared" si="131"/>
        <v/>
      </c>
      <c r="K1806" s="60" t="str">
        <f t="shared" si="132"/>
        <v/>
      </c>
      <c r="L1806" t="str">
        <f t="shared" si="133"/>
        <v/>
      </c>
    </row>
    <row r="1807" spans="1:12" x14ac:dyDescent="0.25">
      <c r="A1807" t="s">
        <v>2342</v>
      </c>
      <c r="G1807" t="str">
        <f t="shared" si="134"/>
        <v>05/14/19</v>
      </c>
      <c r="H1807" t="str">
        <f t="shared" si="129"/>
        <v>Houston Astros</v>
      </c>
      <c r="I1807" s="60">
        <f t="shared" si="130"/>
        <v>11</v>
      </c>
      <c r="J1807" t="str">
        <f t="shared" si="131"/>
        <v>Detroit Tigers</v>
      </c>
      <c r="K1807" s="60">
        <f t="shared" si="132"/>
        <v>4</v>
      </c>
      <c r="L1807">
        <f t="shared" si="133"/>
        <v>7</v>
      </c>
    </row>
    <row r="1808" spans="1:12" x14ac:dyDescent="0.25">
      <c r="G1808" t="str">
        <f t="shared" si="134"/>
        <v>05/14/19</v>
      </c>
      <c r="H1808" t="str">
        <f t="shared" ref="H1808:H1871" si="135">IFERROR(LEFT(MID(A1808,1,SEARCH("@",A1808)-2),SEARCH("(",A1808)-2),"")</f>
        <v/>
      </c>
      <c r="I1808" s="60" t="str">
        <f t="shared" ref="I1808:I1871" si="136">IFERROR(VALUE(MID(A1808,SEARCH("(",A1808)+1,SEARCH(")",A1808)-SEARCH("(",A1808)-1)),"")</f>
        <v/>
      </c>
      <c r="J1808" t="str">
        <f t="shared" ref="J1808:J1871" si="137">IFERROR(MID(A1808,SEARCH("@",A1808)+2,SEARCH("(",A1808,SEARCH("@",A1808))-SEARCH("@",A1808)-3),"")</f>
        <v/>
      </c>
      <c r="K1808" s="60" t="str">
        <f t="shared" ref="K1808:K1871" si="138">IFERROR(VALUE(MID(A1808,SEARCH(J1808,A1808)+LEN(J1808)+2,(SEARCH(")",A1808,SEARCH("@",A1808))-SEARCH("(",A1808,SEARCH("@",A1808))-1))),"")</f>
        <v/>
      </c>
      <c r="L1808" t="str">
        <f t="shared" ref="L1808:L1871" si="139">IFERROR(I1808-K1808,"")</f>
        <v/>
      </c>
    </row>
    <row r="1809" spans="1:12" x14ac:dyDescent="0.25">
      <c r="A1809" t="s">
        <v>2343</v>
      </c>
      <c r="G1809" t="str">
        <f t="shared" si="134"/>
        <v>05/14/19</v>
      </c>
      <c r="H1809" t="str">
        <f t="shared" si="135"/>
        <v>Texas Rangers</v>
      </c>
      <c r="I1809" s="60">
        <f t="shared" si="136"/>
        <v>5</v>
      </c>
      <c r="J1809" t="str">
        <f t="shared" si="137"/>
        <v>Kansas City Royals</v>
      </c>
      <c r="K1809" s="60">
        <f t="shared" si="138"/>
        <v>11</v>
      </c>
      <c r="L1809">
        <f t="shared" si="139"/>
        <v>-6</v>
      </c>
    </row>
    <row r="1810" spans="1:12" x14ac:dyDescent="0.25">
      <c r="G1810" t="str">
        <f t="shared" si="134"/>
        <v>05/14/19</v>
      </c>
      <c r="H1810" t="str">
        <f t="shared" si="135"/>
        <v/>
      </c>
      <c r="I1810" s="60" t="str">
        <f t="shared" si="136"/>
        <v/>
      </c>
      <c r="J1810" t="str">
        <f t="shared" si="137"/>
        <v/>
      </c>
      <c r="K1810" s="60" t="str">
        <f t="shared" si="138"/>
        <v/>
      </c>
      <c r="L1810" t="str">
        <f t="shared" si="139"/>
        <v/>
      </c>
    </row>
    <row r="1811" spans="1:12" x14ac:dyDescent="0.25">
      <c r="A1811" t="s">
        <v>2344</v>
      </c>
      <c r="G1811" t="str">
        <f t="shared" si="134"/>
        <v>05/14/19</v>
      </c>
      <c r="H1811" t="str">
        <f t="shared" si="135"/>
        <v>San Diego Padres</v>
      </c>
      <c r="I1811" s="60">
        <f t="shared" si="136"/>
        <v>3</v>
      </c>
      <c r="J1811" t="str">
        <f t="shared" si="137"/>
        <v>Los Angeles Dodgers</v>
      </c>
      <c r="K1811" s="60">
        <f t="shared" si="138"/>
        <v>6</v>
      </c>
      <c r="L1811">
        <f t="shared" si="139"/>
        <v>-3</v>
      </c>
    </row>
    <row r="1812" spans="1:12" x14ac:dyDescent="0.25">
      <c r="G1812" t="str">
        <f t="shared" si="134"/>
        <v>05/14/19</v>
      </c>
      <c r="H1812" t="str">
        <f t="shared" si="135"/>
        <v/>
      </c>
      <c r="I1812" s="60" t="str">
        <f t="shared" si="136"/>
        <v/>
      </c>
      <c r="J1812" t="str">
        <f t="shared" si="137"/>
        <v/>
      </c>
      <c r="K1812" s="60" t="str">
        <f t="shared" si="138"/>
        <v/>
      </c>
      <c r="L1812" t="str">
        <f t="shared" si="139"/>
        <v/>
      </c>
    </row>
    <row r="1813" spans="1:12" x14ac:dyDescent="0.25">
      <c r="A1813" t="s">
        <v>2345</v>
      </c>
      <c r="G1813" t="str">
        <f t="shared" si="134"/>
        <v>05/14/19</v>
      </c>
      <c r="H1813" t="str">
        <f t="shared" si="135"/>
        <v>Tampa Bay Rays</v>
      </c>
      <c r="I1813" s="60">
        <f t="shared" si="136"/>
        <v>4</v>
      </c>
      <c r="J1813" t="str">
        <f t="shared" si="137"/>
        <v>Miami Marlins</v>
      </c>
      <c r="K1813" s="60">
        <f t="shared" si="138"/>
        <v>0</v>
      </c>
      <c r="L1813">
        <f t="shared" si="139"/>
        <v>4</v>
      </c>
    </row>
    <row r="1814" spans="1:12" x14ac:dyDescent="0.25">
      <c r="G1814" t="str">
        <f t="shared" si="134"/>
        <v>05/14/19</v>
      </c>
      <c r="H1814" t="str">
        <f t="shared" si="135"/>
        <v/>
      </c>
      <c r="I1814" s="60" t="str">
        <f t="shared" si="136"/>
        <v/>
      </c>
      <c r="J1814" t="str">
        <f t="shared" si="137"/>
        <v/>
      </c>
      <c r="K1814" s="60" t="str">
        <f t="shared" si="138"/>
        <v/>
      </c>
      <c r="L1814" t="str">
        <f t="shared" si="139"/>
        <v/>
      </c>
    </row>
    <row r="1815" spans="1:12" x14ac:dyDescent="0.25">
      <c r="A1815" t="s">
        <v>2346</v>
      </c>
      <c r="G1815" t="str">
        <f t="shared" si="134"/>
        <v>05/14/19</v>
      </c>
      <c r="H1815" t="str">
        <f t="shared" si="135"/>
        <v>Los Angeles Angels</v>
      </c>
      <c r="I1815" s="60">
        <f t="shared" si="136"/>
        <v>3</v>
      </c>
      <c r="J1815" t="str">
        <f t="shared" si="137"/>
        <v>Minnesota Twins</v>
      </c>
      <c r="K1815" s="60">
        <f t="shared" si="138"/>
        <v>4</v>
      </c>
      <c r="L1815">
        <f t="shared" si="139"/>
        <v>-1</v>
      </c>
    </row>
    <row r="1816" spans="1:12" x14ac:dyDescent="0.25">
      <c r="G1816" t="str">
        <f t="shared" si="134"/>
        <v>05/14/19</v>
      </c>
      <c r="H1816" t="str">
        <f t="shared" si="135"/>
        <v/>
      </c>
      <c r="I1816" s="60" t="str">
        <f t="shared" si="136"/>
        <v/>
      </c>
      <c r="J1816" t="str">
        <f t="shared" si="137"/>
        <v/>
      </c>
      <c r="K1816" s="60" t="str">
        <f t="shared" si="138"/>
        <v/>
      </c>
      <c r="L1816" t="str">
        <f t="shared" si="139"/>
        <v/>
      </c>
    </row>
    <row r="1817" spans="1:12" x14ac:dyDescent="0.25">
      <c r="A1817" t="s">
        <v>2347</v>
      </c>
      <c r="G1817" t="str">
        <f t="shared" si="134"/>
        <v>05/14/19</v>
      </c>
      <c r="H1817" t="str">
        <f t="shared" si="135"/>
        <v>Milwaukee Brewers</v>
      </c>
      <c r="I1817" s="60">
        <f t="shared" si="136"/>
        <v>6</v>
      </c>
      <c r="J1817" t="str">
        <f t="shared" si="137"/>
        <v>Philadelphia Phillies</v>
      </c>
      <c r="K1817" s="60">
        <f t="shared" si="138"/>
        <v>1</v>
      </c>
      <c r="L1817">
        <f t="shared" si="139"/>
        <v>5</v>
      </c>
    </row>
    <row r="1818" spans="1:12" x14ac:dyDescent="0.25">
      <c r="G1818" t="str">
        <f t="shared" si="134"/>
        <v>05/14/19</v>
      </c>
      <c r="H1818" t="str">
        <f t="shared" si="135"/>
        <v/>
      </c>
      <c r="I1818" s="60" t="str">
        <f t="shared" si="136"/>
        <v/>
      </c>
      <c r="J1818" t="str">
        <f t="shared" si="137"/>
        <v/>
      </c>
      <c r="K1818" s="60" t="str">
        <f t="shared" si="138"/>
        <v/>
      </c>
      <c r="L1818" t="str">
        <f t="shared" si="139"/>
        <v/>
      </c>
    </row>
    <row r="1819" spans="1:12" x14ac:dyDescent="0.25">
      <c r="A1819" t="s">
        <v>2348</v>
      </c>
      <c r="G1819" t="str">
        <f t="shared" si="134"/>
        <v>05/14/19</v>
      </c>
      <c r="H1819" t="str">
        <f t="shared" si="135"/>
        <v>Oakland Athletics</v>
      </c>
      <c r="I1819" s="60">
        <f t="shared" si="136"/>
        <v>3</v>
      </c>
      <c r="J1819" t="str">
        <f t="shared" si="137"/>
        <v>Seattle Mariners</v>
      </c>
      <c r="K1819" s="60">
        <f t="shared" si="138"/>
        <v>4</v>
      </c>
      <c r="L1819">
        <f t="shared" si="139"/>
        <v>-1</v>
      </c>
    </row>
    <row r="1820" spans="1:12" x14ac:dyDescent="0.25">
      <c r="G1820" t="str">
        <f t="shared" si="134"/>
        <v>05/14/19</v>
      </c>
      <c r="H1820" t="str">
        <f t="shared" si="135"/>
        <v/>
      </c>
      <c r="I1820" s="60" t="str">
        <f t="shared" si="136"/>
        <v/>
      </c>
      <c r="J1820" t="str">
        <f t="shared" si="137"/>
        <v/>
      </c>
      <c r="K1820" s="60" t="str">
        <f t="shared" si="138"/>
        <v/>
      </c>
      <c r="L1820" t="str">
        <f t="shared" si="139"/>
        <v/>
      </c>
    </row>
    <row r="1821" spans="1:12" x14ac:dyDescent="0.25">
      <c r="A1821" t="s">
        <v>2349</v>
      </c>
      <c r="G1821" t="str">
        <f t="shared" si="134"/>
        <v>05/14/19</v>
      </c>
      <c r="H1821" t="str">
        <f t="shared" si="135"/>
        <v>Toronto Blue Jays</v>
      </c>
      <c r="I1821" s="60">
        <f t="shared" si="136"/>
        <v>7</v>
      </c>
      <c r="J1821" t="str">
        <f t="shared" si="137"/>
        <v>San Francisco Giants</v>
      </c>
      <c r="K1821" s="60">
        <f t="shared" si="138"/>
        <v>3</v>
      </c>
      <c r="L1821">
        <f t="shared" si="139"/>
        <v>4</v>
      </c>
    </row>
    <row r="1822" spans="1:12" x14ac:dyDescent="0.25">
      <c r="G1822" t="str">
        <f t="shared" si="134"/>
        <v>05/14/19</v>
      </c>
      <c r="H1822" t="str">
        <f t="shared" si="135"/>
        <v/>
      </c>
      <c r="I1822" s="60" t="str">
        <f t="shared" si="136"/>
        <v/>
      </c>
      <c r="J1822" t="str">
        <f t="shared" si="137"/>
        <v/>
      </c>
      <c r="K1822" s="60" t="str">
        <f t="shared" si="138"/>
        <v/>
      </c>
      <c r="L1822" t="str">
        <f t="shared" si="139"/>
        <v/>
      </c>
    </row>
    <row r="1823" spans="1:12" x14ac:dyDescent="0.25">
      <c r="A1823" t="s">
        <v>2350</v>
      </c>
      <c r="G1823" t="str">
        <f t="shared" si="134"/>
        <v>05/14/19</v>
      </c>
      <c r="H1823" t="str">
        <f t="shared" si="135"/>
        <v>New York Mets</v>
      </c>
      <c r="I1823" s="60">
        <f t="shared" si="136"/>
        <v>6</v>
      </c>
      <c r="J1823" t="str">
        <f t="shared" si="137"/>
        <v>Washington Nationals</v>
      </c>
      <c r="K1823" s="60">
        <f t="shared" si="138"/>
        <v>2</v>
      </c>
      <c r="L1823">
        <f t="shared" si="139"/>
        <v>4</v>
      </c>
    </row>
    <row r="1824" spans="1:12" x14ac:dyDescent="0.25">
      <c r="G1824" t="str">
        <f t="shared" si="134"/>
        <v>05/14/19</v>
      </c>
      <c r="H1824" t="str">
        <f t="shared" si="135"/>
        <v/>
      </c>
      <c r="I1824" s="60" t="str">
        <f t="shared" si="136"/>
        <v/>
      </c>
      <c r="J1824" t="str">
        <f t="shared" si="137"/>
        <v/>
      </c>
      <c r="K1824" s="60" t="str">
        <f t="shared" si="138"/>
        <v/>
      </c>
      <c r="L1824" t="str">
        <f t="shared" si="139"/>
        <v/>
      </c>
    </row>
    <row r="1825" spans="1:12" x14ac:dyDescent="0.25">
      <c r="A1825" t="s">
        <v>2351</v>
      </c>
      <c r="G1825" t="str">
        <f t="shared" si="134"/>
        <v>05/14/19</v>
      </c>
      <c r="H1825" t="str">
        <f t="shared" si="135"/>
        <v/>
      </c>
      <c r="I1825" s="60" t="str">
        <f t="shared" si="136"/>
        <v/>
      </c>
      <c r="J1825" t="str">
        <f t="shared" si="137"/>
        <v/>
      </c>
      <c r="K1825" s="60" t="str">
        <f t="shared" si="138"/>
        <v/>
      </c>
      <c r="L1825" t="str">
        <f t="shared" si="139"/>
        <v/>
      </c>
    </row>
    <row r="1826" spans="1:12" x14ac:dyDescent="0.25">
      <c r="G1826" t="str">
        <f t="shared" ref="G1826:G1889" si="140">IF(ISNUMBER(MATCH(IFERROR(LEFT(A1826,SEARCH(",",A1826)-1),""),$G$220:$M$220,0)),TEXT(MID(A1826,SEARCH(",",A1826)+2,LEN(A1826)),"mm/dd/yy"),G1825)</f>
        <v>05/14/19</v>
      </c>
      <c r="H1826" t="str">
        <f t="shared" si="135"/>
        <v/>
      </c>
      <c r="I1826" s="60" t="str">
        <f t="shared" si="136"/>
        <v/>
      </c>
      <c r="J1826" t="str">
        <f t="shared" si="137"/>
        <v/>
      </c>
      <c r="K1826" s="60" t="str">
        <f t="shared" si="138"/>
        <v/>
      </c>
      <c r="L1826" t="str">
        <f t="shared" si="139"/>
        <v/>
      </c>
    </row>
    <row r="1827" spans="1:12" x14ac:dyDescent="0.25">
      <c r="A1827" t="s">
        <v>2352</v>
      </c>
      <c r="G1827" t="str">
        <f t="shared" si="140"/>
        <v>05/15/19</v>
      </c>
      <c r="H1827" t="str">
        <f t="shared" si="135"/>
        <v/>
      </c>
      <c r="I1827" s="60" t="str">
        <f t="shared" si="136"/>
        <v/>
      </c>
      <c r="J1827" t="str">
        <f t="shared" si="137"/>
        <v/>
      </c>
      <c r="K1827" s="60" t="str">
        <f t="shared" si="138"/>
        <v/>
      </c>
      <c r="L1827" t="str">
        <f t="shared" si="139"/>
        <v/>
      </c>
    </row>
    <row r="1828" spans="1:12" x14ac:dyDescent="0.25">
      <c r="G1828" t="str">
        <f t="shared" si="140"/>
        <v>05/15/19</v>
      </c>
      <c r="H1828" t="str">
        <f t="shared" si="135"/>
        <v/>
      </c>
      <c r="I1828" s="60" t="str">
        <f t="shared" si="136"/>
        <v/>
      </c>
      <c r="J1828" t="str">
        <f t="shared" si="137"/>
        <v/>
      </c>
      <c r="K1828" s="60" t="str">
        <f t="shared" si="138"/>
        <v/>
      </c>
      <c r="L1828" t="str">
        <f t="shared" si="139"/>
        <v/>
      </c>
    </row>
    <row r="1829" spans="1:12" x14ac:dyDescent="0.25">
      <c r="A1829" t="s">
        <v>2353</v>
      </c>
      <c r="G1829" t="str">
        <f t="shared" si="140"/>
        <v>05/15/19</v>
      </c>
      <c r="H1829" t="str">
        <f t="shared" si="135"/>
        <v>Pittsburgh Pirates</v>
      </c>
      <c r="I1829" s="60">
        <f t="shared" si="136"/>
        <v>1</v>
      </c>
      <c r="J1829" t="str">
        <f t="shared" si="137"/>
        <v>Arizona D'Backs</v>
      </c>
      <c r="K1829" s="60">
        <f t="shared" si="138"/>
        <v>11</v>
      </c>
      <c r="L1829">
        <f t="shared" si="139"/>
        <v>-10</v>
      </c>
    </row>
    <row r="1830" spans="1:12" x14ac:dyDescent="0.25">
      <c r="G1830" t="str">
        <f t="shared" si="140"/>
        <v>05/15/19</v>
      </c>
      <c r="H1830" t="str">
        <f t="shared" si="135"/>
        <v/>
      </c>
      <c r="I1830" s="60" t="str">
        <f t="shared" si="136"/>
        <v/>
      </c>
      <c r="J1830" t="str">
        <f t="shared" si="137"/>
        <v/>
      </c>
      <c r="K1830" s="60" t="str">
        <f t="shared" si="138"/>
        <v/>
      </c>
      <c r="L1830" t="str">
        <f t="shared" si="139"/>
        <v/>
      </c>
    </row>
    <row r="1831" spans="1:12" x14ac:dyDescent="0.25">
      <c r="A1831" t="s">
        <v>2354</v>
      </c>
      <c r="G1831" t="str">
        <f t="shared" si="140"/>
        <v>05/15/19</v>
      </c>
      <c r="H1831" t="str">
        <f t="shared" si="135"/>
        <v>St. Louis Cardinals</v>
      </c>
      <c r="I1831" s="60">
        <f t="shared" si="136"/>
        <v>0</v>
      </c>
      <c r="J1831" t="str">
        <f t="shared" si="137"/>
        <v>Atlanta Braves</v>
      </c>
      <c r="K1831" s="60">
        <f t="shared" si="138"/>
        <v>4</v>
      </c>
      <c r="L1831">
        <f t="shared" si="139"/>
        <v>-4</v>
      </c>
    </row>
    <row r="1832" spans="1:12" x14ac:dyDescent="0.25">
      <c r="G1832" t="str">
        <f t="shared" si="140"/>
        <v>05/15/19</v>
      </c>
      <c r="H1832" t="str">
        <f t="shared" si="135"/>
        <v/>
      </c>
      <c r="I1832" s="60" t="str">
        <f t="shared" si="136"/>
        <v/>
      </c>
      <c r="J1832" t="str">
        <f t="shared" si="137"/>
        <v/>
      </c>
      <c r="K1832" s="60" t="str">
        <f t="shared" si="138"/>
        <v/>
      </c>
      <c r="L1832" t="str">
        <f t="shared" si="139"/>
        <v/>
      </c>
    </row>
    <row r="1833" spans="1:12" x14ac:dyDescent="0.25">
      <c r="A1833" t="s">
        <v>2355</v>
      </c>
      <c r="G1833" t="str">
        <f t="shared" si="140"/>
        <v>05/15/19</v>
      </c>
      <c r="H1833" t="str">
        <f t="shared" si="135"/>
        <v>Colorado Rockies</v>
      </c>
      <c r="I1833" s="60">
        <f t="shared" si="136"/>
        <v>5</v>
      </c>
      <c r="J1833" t="str">
        <f t="shared" si="137"/>
        <v>Boston Red Sox</v>
      </c>
      <c r="K1833" s="60">
        <f t="shared" si="138"/>
        <v>6</v>
      </c>
      <c r="L1833">
        <f t="shared" si="139"/>
        <v>-1</v>
      </c>
    </row>
    <row r="1834" spans="1:12" x14ac:dyDescent="0.25">
      <c r="G1834" t="str">
        <f t="shared" si="140"/>
        <v>05/15/19</v>
      </c>
      <c r="H1834" t="str">
        <f t="shared" si="135"/>
        <v/>
      </c>
      <c r="I1834" s="60" t="str">
        <f t="shared" si="136"/>
        <v/>
      </c>
      <c r="J1834" t="str">
        <f t="shared" si="137"/>
        <v/>
      </c>
      <c r="K1834" s="60" t="str">
        <f t="shared" si="138"/>
        <v/>
      </c>
      <c r="L1834" t="str">
        <f t="shared" si="139"/>
        <v/>
      </c>
    </row>
    <row r="1835" spans="1:12" x14ac:dyDescent="0.25">
      <c r="A1835" t="s">
        <v>2356</v>
      </c>
      <c r="G1835" t="str">
        <f t="shared" si="140"/>
        <v>05/15/19</v>
      </c>
      <c r="H1835" t="str">
        <f t="shared" si="135"/>
        <v>Chicago Cubs</v>
      </c>
      <c r="I1835" s="60">
        <f t="shared" si="136"/>
        <v>5</v>
      </c>
      <c r="J1835" t="str">
        <f t="shared" si="137"/>
        <v>Cincinnati Reds</v>
      </c>
      <c r="K1835" s="60">
        <f t="shared" si="138"/>
        <v>6</v>
      </c>
      <c r="L1835">
        <f t="shared" si="139"/>
        <v>-1</v>
      </c>
    </row>
    <row r="1836" spans="1:12" x14ac:dyDescent="0.25">
      <c r="G1836" t="str">
        <f t="shared" si="140"/>
        <v>05/15/19</v>
      </c>
      <c r="H1836" t="str">
        <f t="shared" si="135"/>
        <v/>
      </c>
      <c r="I1836" s="60" t="str">
        <f t="shared" si="136"/>
        <v/>
      </c>
      <c r="J1836" t="str">
        <f t="shared" si="137"/>
        <v/>
      </c>
      <c r="K1836" s="60" t="str">
        <f t="shared" si="138"/>
        <v/>
      </c>
      <c r="L1836" t="str">
        <f t="shared" si="139"/>
        <v/>
      </c>
    </row>
    <row r="1837" spans="1:12" x14ac:dyDescent="0.25">
      <c r="A1837" t="s">
        <v>2357</v>
      </c>
      <c r="G1837" t="str">
        <f t="shared" si="140"/>
        <v>05/15/19</v>
      </c>
      <c r="H1837" t="str">
        <f t="shared" si="135"/>
        <v>Houston Astros</v>
      </c>
      <c r="I1837" s="60">
        <f t="shared" si="136"/>
        <v>5</v>
      </c>
      <c r="J1837" t="str">
        <f t="shared" si="137"/>
        <v>Detroit Tigers</v>
      </c>
      <c r="K1837" s="60">
        <f t="shared" si="138"/>
        <v>1</v>
      </c>
      <c r="L1837">
        <f t="shared" si="139"/>
        <v>4</v>
      </c>
    </row>
    <row r="1838" spans="1:12" x14ac:dyDescent="0.25">
      <c r="G1838" t="str">
        <f t="shared" si="140"/>
        <v>05/15/19</v>
      </c>
      <c r="H1838" t="str">
        <f t="shared" si="135"/>
        <v/>
      </c>
      <c r="I1838" s="60" t="str">
        <f t="shared" si="136"/>
        <v/>
      </c>
      <c r="J1838" t="str">
        <f t="shared" si="137"/>
        <v/>
      </c>
      <c r="K1838" s="60" t="str">
        <f t="shared" si="138"/>
        <v/>
      </c>
      <c r="L1838" t="str">
        <f t="shared" si="139"/>
        <v/>
      </c>
    </row>
    <row r="1839" spans="1:12" x14ac:dyDescent="0.25">
      <c r="A1839" t="s">
        <v>2358</v>
      </c>
      <c r="G1839" t="str">
        <f t="shared" si="140"/>
        <v>05/15/19</v>
      </c>
      <c r="H1839" t="str">
        <f t="shared" si="135"/>
        <v>Texas Rangers</v>
      </c>
      <c r="I1839" s="60">
        <f t="shared" si="136"/>
        <v>6</v>
      </c>
      <c r="J1839" t="str">
        <f t="shared" si="137"/>
        <v>Kansas City Royals</v>
      </c>
      <c r="K1839" s="60">
        <f t="shared" si="138"/>
        <v>1</v>
      </c>
      <c r="L1839">
        <f t="shared" si="139"/>
        <v>5</v>
      </c>
    </row>
    <row r="1840" spans="1:12" x14ac:dyDescent="0.25">
      <c r="G1840" t="str">
        <f t="shared" si="140"/>
        <v>05/15/19</v>
      </c>
      <c r="H1840" t="str">
        <f t="shared" si="135"/>
        <v/>
      </c>
      <c r="I1840" s="60" t="str">
        <f t="shared" si="136"/>
        <v/>
      </c>
      <c r="J1840" t="str">
        <f t="shared" si="137"/>
        <v/>
      </c>
      <c r="K1840" s="60" t="str">
        <f t="shared" si="138"/>
        <v/>
      </c>
      <c r="L1840" t="str">
        <f t="shared" si="139"/>
        <v/>
      </c>
    </row>
    <row r="1841" spans="1:12" x14ac:dyDescent="0.25">
      <c r="A1841" t="s">
        <v>2359</v>
      </c>
      <c r="G1841" t="str">
        <f t="shared" si="140"/>
        <v>05/15/19</v>
      </c>
      <c r="H1841" t="str">
        <f t="shared" si="135"/>
        <v>San Diego Padres</v>
      </c>
      <c r="I1841" s="60">
        <f t="shared" si="136"/>
        <v>0</v>
      </c>
      <c r="J1841" t="str">
        <f t="shared" si="137"/>
        <v>Los Angeles Dodgers</v>
      </c>
      <c r="K1841" s="60">
        <f t="shared" si="138"/>
        <v>2</v>
      </c>
      <c r="L1841">
        <f t="shared" si="139"/>
        <v>-2</v>
      </c>
    </row>
    <row r="1842" spans="1:12" x14ac:dyDescent="0.25">
      <c r="G1842" t="str">
        <f t="shared" si="140"/>
        <v>05/15/19</v>
      </c>
      <c r="H1842" t="str">
        <f t="shared" si="135"/>
        <v/>
      </c>
      <c r="I1842" s="60" t="str">
        <f t="shared" si="136"/>
        <v/>
      </c>
      <c r="J1842" t="str">
        <f t="shared" si="137"/>
        <v/>
      </c>
      <c r="K1842" s="60" t="str">
        <f t="shared" si="138"/>
        <v/>
      </c>
      <c r="L1842" t="str">
        <f t="shared" si="139"/>
        <v/>
      </c>
    </row>
    <row r="1843" spans="1:12" x14ac:dyDescent="0.25">
      <c r="A1843" t="s">
        <v>2360</v>
      </c>
      <c r="G1843" t="str">
        <f t="shared" si="140"/>
        <v>05/15/19</v>
      </c>
      <c r="H1843" t="str">
        <f t="shared" si="135"/>
        <v>Tampa Bay Rays</v>
      </c>
      <c r="I1843" s="60">
        <f t="shared" si="136"/>
        <v>1</v>
      </c>
      <c r="J1843" t="str">
        <f t="shared" si="137"/>
        <v>Miami Marlins</v>
      </c>
      <c r="K1843" s="60">
        <f t="shared" si="138"/>
        <v>0</v>
      </c>
      <c r="L1843">
        <f t="shared" si="139"/>
        <v>1</v>
      </c>
    </row>
    <row r="1844" spans="1:12" x14ac:dyDescent="0.25">
      <c r="G1844" t="str">
        <f t="shared" si="140"/>
        <v>05/15/19</v>
      </c>
      <c r="H1844" t="str">
        <f t="shared" si="135"/>
        <v/>
      </c>
      <c r="I1844" s="60" t="str">
        <f t="shared" si="136"/>
        <v/>
      </c>
      <c r="J1844" t="str">
        <f t="shared" si="137"/>
        <v/>
      </c>
      <c r="K1844" s="60" t="str">
        <f t="shared" si="138"/>
        <v/>
      </c>
      <c r="L1844" t="str">
        <f t="shared" si="139"/>
        <v/>
      </c>
    </row>
    <row r="1845" spans="1:12" x14ac:dyDescent="0.25">
      <c r="A1845" t="s">
        <v>2361</v>
      </c>
      <c r="G1845" t="str">
        <f t="shared" si="140"/>
        <v>05/15/19</v>
      </c>
      <c r="H1845" t="str">
        <f t="shared" si="135"/>
        <v>Los Angeles Angels</v>
      </c>
      <c r="I1845" s="60">
        <f t="shared" si="136"/>
        <v>7</v>
      </c>
      <c r="J1845" t="str">
        <f t="shared" si="137"/>
        <v>Minnesota Twins</v>
      </c>
      <c r="K1845" s="60">
        <f t="shared" si="138"/>
        <v>8</v>
      </c>
      <c r="L1845">
        <f t="shared" si="139"/>
        <v>-1</v>
      </c>
    </row>
    <row r="1846" spans="1:12" x14ac:dyDescent="0.25">
      <c r="G1846" t="str">
        <f t="shared" si="140"/>
        <v>05/15/19</v>
      </c>
      <c r="H1846" t="str">
        <f t="shared" si="135"/>
        <v/>
      </c>
      <c r="I1846" s="60" t="str">
        <f t="shared" si="136"/>
        <v/>
      </c>
      <c r="J1846" t="str">
        <f t="shared" si="137"/>
        <v/>
      </c>
      <c r="K1846" s="60" t="str">
        <f t="shared" si="138"/>
        <v/>
      </c>
      <c r="L1846" t="str">
        <f t="shared" si="139"/>
        <v/>
      </c>
    </row>
    <row r="1847" spans="1:12" x14ac:dyDescent="0.25">
      <c r="A1847" t="s">
        <v>2362</v>
      </c>
      <c r="G1847" t="str">
        <f t="shared" si="140"/>
        <v>05/15/19</v>
      </c>
      <c r="H1847" t="str">
        <f t="shared" si="135"/>
        <v>Baltimore Orioles</v>
      </c>
      <c r="I1847" s="60">
        <f t="shared" si="136"/>
        <v>3</v>
      </c>
      <c r="J1847" t="str">
        <f t="shared" si="137"/>
        <v>New York Yankees</v>
      </c>
      <c r="K1847" s="60">
        <f t="shared" si="138"/>
        <v>5</v>
      </c>
      <c r="L1847">
        <f t="shared" si="139"/>
        <v>-2</v>
      </c>
    </row>
    <row r="1848" spans="1:12" x14ac:dyDescent="0.25">
      <c r="G1848" t="str">
        <f t="shared" si="140"/>
        <v>05/15/19</v>
      </c>
      <c r="H1848" t="str">
        <f t="shared" si="135"/>
        <v/>
      </c>
      <c r="I1848" s="60" t="str">
        <f t="shared" si="136"/>
        <v/>
      </c>
      <c r="J1848" t="str">
        <f t="shared" si="137"/>
        <v/>
      </c>
      <c r="K1848" s="60" t="str">
        <f t="shared" si="138"/>
        <v/>
      </c>
      <c r="L1848" t="str">
        <f t="shared" si="139"/>
        <v/>
      </c>
    </row>
    <row r="1849" spans="1:12" x14ac:dyDescent="0.25">
      <c r="A1849" t="s">
        <v>2363</v>
      </c>
      <c r="G1849" t="str">
        <f t="shared" si="140"/>
        <v>05/15/19</v>
      </c>
      <c r="H1849" t="str">
        <f t="shared" si="135"/>
        <v>Baltimore Orioles</v>
      </c>
      <c r="I1849" s="60">
        <f t="shared" si="136"/>
        <v>1</v>
      </c>
      <c r="J1849" t="str">
        <f t="shared" si="137"/>
        <v>New York Yankees</v>
      </c>
      <c r="K1849" s="60">
        <f t="shared" si="138"/>
        <v>3</v>
      </c>
      <c r="L1849">
        <f t="shared" si="139"/>
        <v>-2</v>
      </c>
    </row>
    <row r="1850" spans="1:12" x14ac:dyDescent="0.25">
      <c r="G1850" t="str">
        <f t="shared" si="140"/>
        <v>05/15/19</v>
      </c>
      <c r="H1850" t="str">
        <f t="shared" si="135"/>
        <v/>
      </c>
      <c r="I1850" s="60" t="str">
        <f t="shared" si="136"/>
        <v/>
      </c>
      <c r="J1850" t="str">
        <f t="shared" si="137"/>
        <v/>
      </c>
      <c r="K1850" s="60" t="str">
        <f t="shared" si="138"/>
        <v/>
      </c>
      <c r="L1850" t="str">
        <f t="shared" si="139"/>
        <v/>
      </c>
    </row>
    <row r="1851" spans="1:12" x14ac:dyDescent="0.25">
      <c r="A1851" t="s">
        <v>2364</v>
      </c>
      <c r="G1851" t="str">
        <f t="shared" si="140"/>
        <v>05/15/19</v>
      </c>
      <c r="H1851" t="str">
        <f t="shared" si="135"/>
        <v>Milwaukee Brewers</v>
      </c>
      <c r="I1851" s="60">
        <f t="shared" si="136"/>
        <v>5</v>
      </c>
      <c r="J1851" t="str">
        <f t="shared" si="137"/>
        <v>Philadelphia Phillies</v>
      </c>
      <c r="K1851" s="60">
        <f t="shared" si="138"/>
        <v>2</v>
      </c>
      <c r="L1851">
        <f t="shared" si="139"/>
        <v>3</v>
      </c>
    </row>
    <row r="1852" spans="1:12" x14ac:dyDescent="0.25">
      <c r="G1852" t="str">
        <f t="shared" si="140"/>
        <v>05/15/19</v>
      </c>
      <c r="H1852" t="str">
        <f t="shared" si="135"/>
        <v/>
      </c>
      <c r="I1852" s="60" t="str">
        <f t="shared" si="136"/>
        <v/>
      </c>
      <c r="J1852" t="str">
        <f t="shared" si="137"/>
        <v/>
      </c>
      <c r="K1852" s="60" t="str">
        <f t="shared" si="138"/>
        <v/>
      </c>
      <c r="L1852" t="str">
        <f t="shared" si="139"/>
        <v/>
      </c>
    </row>
    <row r="1853" spans="1:12" x14ac:dyDescent="0.25">
      <c r="A1853" t="s">
        <v>2365</v>
      </c>
      <c r="G1853" t="str">
        <f t="shared" si="140"/>
        <v>05/15/19</v>
      </c>
      <c r="H1853" t="str">
        <f t="shared" si="135"/>
        <v>Toronto Blue Jays</v>
      </c>
      <c r="I1853" s="60">
        <f t="shared" si="136"/>
        <v>3</v>
      </c>
      <c r="J1853" t="str">
        <f t="shared" si="137"/>
        <v>San Francisco Giants</v>
      </c>
      <c r="K1853" s="60">
        <f t="shared" si="138"/>
        <v>4</v>
      </c>
      <c r="L1853">
        <f t="shared" si="139"/>
        <v>-1</v>
      </c>
    </row>
    <row r="1854" spans="1:12" x14ac:dyDescent="0.25">
      <c r="G1854" t="str">
        <f t="shared" si="140"/>
        <v>05/15/19</v>
      </c>
      <c r="H1854" t="str">
        <f t="shared" si="135"/>
        <v/>
      </c>
      <c r="I1854" s="60" t="str">
        <f t="shared" si="136"/>
        <v/>
      </c>
      <c r="J1854" t="str">
        <f t="shared" si="137"/>
        <v/>
      </c>
      <c r="K1854" s="60" t="str">
        <f t="shared" si="138"/>
        <v/>
      </c>
      <c r="L1854" t="str">
        <f t="shared" si="139"/>
        <v/>
      </c>
    </row>
    <row r="1855" spans="1:12" x14ac:dyDescent="0.25">
      <c r="A1855" t="s">
        <v>2366</v>
      </c>
      <c r="G1855" t="str">
        <f t="shared" si="140"/>
        <v>05/15/19</v>
      </c>
      <c r="H1855" t="str">
        <f t="shared" si="135"/>
        <v>New York Mets</v>
      </c>
      <c r="I1855" s="60">
        <f t="shared" si="136"/>
        <v>1</v>
      </c>
      <c r="J1855" t="str">
        <f t="shared" si="137"/>
        <v>Washington Nationals</v>
      </c>
      <c r="K1855" s="60">
        <f t="shared" si="138"/>
        <v>5</v>
      </c>
      <c r="L1855">
        <f t="shared" si="139"/>
        <v>-4</v>
      </c>
    </row>
    <row r="1856" spans="1:12" x14ac:dyDescent="0.25">
      <c r="G1856" t="str">
        <f t="shared" si="140"/>
        <v>05/15/19</v>
      </c>
      <c r="H1856" t="str">
        <f t="shared" si="135"/>
        <v/>
      </c>
      <c r="I1856" s="60" t="str">
        <f t="shared" si="136"/>
        <v/>
      </c>
      <c r="J1856" t="str">
        <f t="shared" si="137"/>
        <v/>
      </c>
      <c r="K1856" s="60" t="str">
        <f t="shared" si="138"/>
        <v/>
      </c>
      <c r="L1856" t="str">
        <f t="shared" si="139"/>
        <v/>
      </c>
    </row>
    <row r="1857" spans="1:12" x14ac:dyDescent="0.25">
      <c r="A1857" t="s">
        <v>2367</v>
      </c>
      <c r="G1857" t="str">
        <f t="shared" si="140"/>
        <v>05/15/19</v>
      </c>
      <c r="H1857" t="str">
        <f t="shared" si="135"/>
        <v/>
      </c>
      <c r="I1857" s="60" t="str">
        <f t="shared" si="136"/>
        <v/>
      </c>
      <c r="J1857" t="str">
        <f t="shared" si="137"/>
        <v/>
      </c>
      <c r="K1857" s="60" t="str">
        <f t="shared" si="138"/>
        <v/>
      </c>
      <c r="L1857" t="str">
        <f t="shared" si="139"/>
        <v/>
      </c>
    </row>
    <row r="1858" spans="1:12" x14ac:dyDescent="0.25">
      <c r="G1858" t="str">
        <f t="shared" si="140"/>
        <v>05/15/19</v>
      </c>
      <c r="H1858" t="str">
        <f t="shared" si="135"/>
        <v/>
      </c>
      <c r="I1858" s="60" t="str">
        <f t="shared" si="136"/>
        <v/>
      </c>
      <c r="J1858" t="str">
        <f t="shared" si="137"/>
        <v/>
      </c>
      <c r="K1858" s="60" t="str">
        <f t="shared" si="138"/>
        <v/>
      </c>
      <c r="L1858" t="str">
        <f t="shared" si="139"/>
        <v/>
      </c>
    </row>
    <row r="1859" spans="1:12" x14ac:dyDescent="0.25">
      <c r="A1859" t="s">
        <v>2368</v>
      </c>
      <c r="G1859" t="str">
        <f t="shared" si="140"/>
        <v>05/16/19</v>
      </c>
      <c r="H1859" t="str">
        <f t="shared" si="135"/>
        <v/>
      </c>
      <c r="I1859" s="60" t="str">
        <f t="shared" si="136"/>
        <v/>
      </c>
      <c r="J1859" t="str">
        <f t="shared" si="137"/>
        <v/>
      </c>
      <c r="K1859" s="60" t="str">
        <f t="shared" si="138"/>
        <v/>
      </c>
      <c r="L1859" t="str">
        <f t="shared" si="139"/>
        <v/>
      </c>
    </row>
    <row r="1860" spans="1:12" x14ac:dyDescent="0.25">
      <c r="G1860" t="str">
        <f t="shared" si="140"/>
        <v>05/16/19</v>
      </c>
      <c r="H1860" t="str">
        <f t="shared" si="135"/>
        <v/>
      </c>
      <c r="I1860" s="60" t="str">
        <f t="shared" si="136"/>
        <v/>
      </c>
      <c r="J1860" t="str">
        <f t="shared" si="137"/>
        <v/>
      </c>
      <c r="K1860" s="60" t="str">
        <f t="shared" si="138"/>
        <v/>
      </c>
      <c r="L1860" t="str">
        <f t="shared" si="139"/>
        <v/>
      </c>
    </row>
    <row r="1861" spans="1:12" x14ac:dyDescent="0.25">
      <c r="A1861" t="s">
        <v>2369</v>
      </c>
      <c r="G1861" t="str">
        <f t="shared" si="140"/>
        <v>05/16/19</v>
      </c>
      <c r="H1861" t="str">
        <f t="shared" si="135"/>
        <v>St. Louis Cardinals</v>
      </c>
      <c r="I1861" s="60">
        <f t="shared" si="136"/>
        <v>2</v>
      </c>
      <c r="J1861" t="str">
        <f t="shared" si="137"/>
        <v>Atlanta Braves</v>
      </c>
      <c r="K1861" s="60">
        <f t="shared" si="138"/>
        <v>10</v>
      </c>
      <c r="L1861">
        <f t="shared" si="139"/>
        <v>-8</v>
      </c>
    </row>
    <row r="1862" spans="1:12" x14ac:dyDescent="0.25">
      <c r="G1862" t="str">
        <f t="shared" si="140"/>
        <v>05/16/19</v>
      </c>
      <c r="H1862" t="str">
        <f t="shared" si="135"/>
        <v/>
      </c>
      <c r="I1862" s="60" t="str">
        <f t="shared" si="136"/>
        <v/>
      </c>
      <c r="J1862" t="str">
        <f t="shared" si="137"/>
        <v/>
      </c>
      <c r="K1862" s="60" t="str">
        <f t="shared" si="138"/>
        <v/>
      </c>
      <c r="L1862" t="str">
        <f t="shared" si="139"/>
        <v/>
      </c>
    </row>
    <row r="1863" spans="1:12" x14ac:dyDescent="0.25">
      <c r="A1863" t="s">
        <v>2370</v>
      </c>
      <c r="G1863" t="str">
        <f t="shared" si="140"/>
        <v>05/16/19</v>
      </c>
      <c r="H1863" t="str">
        <f t="shared" si="135"/>
        <v>Toronto Blue Jays</v>
      </c>
      <c r="I1863" s="60">
        <f t="shared" si="136"/>
        <v>2</v>
      </c>
      <c r="J1863" t="str">
        <f t="shared" si="137"/>
        <v>Chicago White Sox</v>
      </c>
      <c r="K1863" s="60">
        <f t="shared" si="138"/>
        <v>4</v>
      </c>
      <c r="L1863">
        <f t="shared" si="139"/>
        <v>-2</v>
      </c>
    </row>
    <row r="1864" spans="1:12" x14ac:dyDescent="0.25">
      <c r="G1864" t="str">
        <f t="shared" si="140"/>
        <v>05/16/19</v>
      </c>
      <c r="H1864" t="str">
        <f t="shared" si="135"/>
        <v/>
      </c>
      <c r="I1864" s="60" t="str">
        <f t="shared" si="136"/>
        <v/>
      </c>
      <c r="J1864" t="str">
        <f t="shared" si="137"/>
        <v/>
      </c>
      <c r="K1864" s="60" t="str">
        <f t="shared" si="138"/>
        <v/>
      </c>
      <c r="L1864" t="str">
        <f t="shared" si="139"/>
        <v/>
      </c>
    </row>
    <row r="1865" spans="1:12" x14ac:dyDescent="0.25">
      <c r="A1865" t="s">
        <v>2371</v>
      </c>
      <c r="G1865" t="str">
        <f t="shared" si="140"/>
        <v>05/16/19</v>
      </c>
      <c r="H1865" t="str">
        <f t="shared" si="135"/>
        <v>Chicago Cubs</v>
      </c>
      <c r="I1865" s="60">
        <f t="shared" si="136"/>
        <v>2</v>
      </c>
      <c r="J1865" t="str">
        <f t="shared" si="137"/>
        <v>Cincinnati Reds</v>
      </c>
      <c r="K1865" s="60">
        <f t="shared" si="138"/>
        <v>4</v>
      </c>
      <c r="L1865">
        <f t="shared" si="139"/>
        <v>-2</v>
      </c>
    </row>
    <row r="1866" spans="1:12" x14ac:dyDescent="0.25">
      <c r="G1866" t="str">
        <f t="shared" si="140"/>
        <v>05/16/19</v>
      </c>
      <c r="H1866" t="str">
        <f t="shared" si="135"/>
        <v/>
      </c>
      <c r="I1866" s="60" t="str">
        <f t="shared" si="136"/>
        <v/>
      </c>
      <c r="J1866" t="str">
        <f t="shared" si="137"/>
        <v/>
      </c>
      <c r="K1866" s="60" t="str">
        <f t="shared" si="138"/>
        <v/>
      </c>
      <c r="L1866" t="str">
        <f t="shared" si="139"/>
        <v/>
      </c>
    </row>
    <row r="1867" spans="1:12" x14ac:dyDescent="0.25">
      <c r="A1867" t="s">
        <v>2372</v>
      </c>
      <c r="G1867" t="str">
        <f t="shared" si="140"/>
        <v>05/16/19</v>
      </c>
      <c r="H1867" t="str">
        <f t="shared" si="135"/>
        <v>Baltimore Orioles</v>
      </c>
      <c r="I1867" s="60">
        <f t="shared" si="136"/>
        <v>7</v>
      </c>
      <c r="J1867" t="str">
        <f t="shared" si="137"/>
        <v>Cleveland Indians</v>
      </c>
      <c r="K1867" s="60">
        <f t="shared" si="138"/>
        <v>14</v>
      </c>
      <c r="L1867">
        <f t="shared" si="139"/>
        <v>-7</v>
      </c>
    </row>
    <row r="1868" spans="1:12" x14ac:dyDescent="0.25">
      <c r="G1868" t="str">
        <f t="shared" si="140"/>
        <v>05/16/19</v>
      </c>
      <c r="H1868" t="str">
        <f t="shared" si="135"/>
        <v/>
      </c>
      <c r="I1868" s="60" t="str">
        <f t="shared" si="136"/>
        <v/>
      </c>
      <c r="J1868" t="str">
        <f t="shared" si="137"/>
        <v/>
      </c>
      <c r="K1868" s="60" t="str">
        <f t="shared" si="138"/>
        <v/>
      </c>
      <c r="L1868" t="str">
        <f t="shared" si="139"/>
        <v/>
      </c>
    </row>
    <row r="1869" spans="1:12" x14ac:dyDescent="0.25">
      <c r="A1869" t="s">
        <v>2373</v>
      </c>
      <c r="G1869" t="str">
        <f t="shared" si="140"/>
        <v>05/16/19</v>
      </c>
      <c r="H1869" t="str">
        <f t="shared" si="135"/>
        <v>Oakland Athletics</v>
      </c>
      <c r="I1869" s="60">
        <f t="shared" si="136"/>
        <v>17</v>
      </c>
      <c r="J1869" t="str">
        <f t="shared" si="137"/>
        <v>Detroit Tigers</v>
      </c>
      <c r="K1869" s="60">
        <f t="shared" si="138"/>
        <v>3</v>
      </c>
      <c r="L1869">
        <f t="shared" si="139"/>
        <v>14</v>
      </c>
    </row>
    <row r="1870" spans="1:12" x14ac:dyDescent="0.25">
      <c r="G1870" t="str">
        <f t="shared" si="140"/>
        <v>05/16/19</v>
      </c>
      <c r="H1870" t="str">
        <f t="shared" si="135"/>
        <v/>
      </c>
      <c r="I1870" s="60" t="str">
        <f t="shared" si="136"/>
        <v/>
      </c>
      <c r="J1870" t="str">
        <f t="shared" si="137"/>
        <v/>
      </c>
      <c r="K1870" s="60" t="str">
        <f t="shared" si="138"/>
        <v/>
      </c>
      <c r="L1870" t="str">
        <f t="shared" si="139"/>
        <v/>
      </c>
    </row>
    <row r="1871" spans="1:12" x14ac:dyDescent="0.25">
      <c r="A1871" t="s">
        <v>2374</v>
      </c>
      <c r="G1871" t="str">
        <f t="shared" si="140"/>
        <v>05/16/19</v>
      </c>
      <c r="H1871" t="str">
        <f t="shared" si="135"/>
        <v>Texas Rangers</v>
      </c>
      <c r="I1871" s="60">
        <f t="shared" si="136"/>
        <v>16</v>
      </c>
      <c r="J1871" t="str">
        <f t="shared" si="137"/>
        <v>Kansas City Royals</v>
      </c>
      <c r="K1871" s="60">
        <f t="shared" si="138"/>
        <v>1</v>
      </c>
      <c r="L1871">
        <f t="shared" si="139"/>
        <v>15</v>
      </c>
    </row>
    <row r="1872" spans="1:12" x14ac:dyDescent="0.25">
      <c r="G1872" t="str">
        <f t="shared" si="140"/>
        <v>05/16/19</v>
      </c>
      <c r="H1872" t="str">
        <f t="shared" ref="H1872:H1935" si="141">IFERROR(LEFT(MID(A1872,1,SEARCH("@",A1872)-2),SEARCH("(",A1872)-2),"")</f>
        <v/>
      </c>
      <c r="I1872" s="60" t="str">
        <f t="shared" ref="I1872:I1935" si="142">IFERROR(VALUE(MID(A1872,SEARCH("(",A1872)+1,SEARCH(")",A1872)-SEARCH("(",A1872)-1)),"")</f>
        <v/>
      </c>
      <c r="J1872" t="str">
        <f t="shared" ref="J1872:J1935" si="143">IFERROR(MID(A1872,SEARCH("@",A1872)+2,SEARCH("(",A1872,SEARCH("@",A1872))-SEARCH("@",A1872)-3),"")</f>
        <v/>
      </c>
      <c r="K1872" s="60" t="str">
        <f t="shared" ref="K1872:K1935" si="144">IFERROR(VALUE(MID(A1872,SEARCH(J1872,A1872)+LEN(J1872)+2,(SEARCH(")",A1872,SEARCH("@",A1872))-SEARCH("(",A1872,SEARCH("@",A1872))-1))),"")</f>
        <v/>
      </c>
      <c r="L1872" t="str">
        <f t="shared" ref="L1872:L1935" si="145">IFERROR(I1872-K1872,"")</f>
        <v/>
      </c>
    </row>
    <row r="1873" spans="1:12" x14ac:dyDescent="0.25">
      <c r="A1873" t="s">
        <v>2375</v>
      </c>
      <c r="G1873" t="str">
        <f t="shared" si="140"/>
        <v>05/16/19</v>
      </c>
      <c r="H1873" t="str">
        <f t="shared" si="141"/>
        <v>Milwaukee Brewers</v>
      </c>
      <c r="I1873" s="60">
        <f t="shared" si="142"/>
        <v>11</v>
      </c>
      <c r="J1873" t="str">
        <f t="shared" si="143"/>
        <v>Philadelphia Phillies</v>
      </c>
      <c r="K1873" s="60">
        <f t="shared" si="144"/>
        <v>3</v>
      </c>
      <c r="L1873">
        <f t="shared" si="145"/>
        <v>8</v>
      </c>
    </row>
    <row r="1874" spans="1:12" x14ac:dyDescent="0.25">
      <c r="G1874" t="str">
        <f t="shared" si="140"/>
        <v>05/16/19</v>
      </c>
      <c r="H1874" t="str">
        <f t="shared" si="141"/>
        <v/>
      </c>
      <c r="I1874" s="60" t="str">
        <f t="shared" si="142"/>
        <v/>
      </c>
      <c r="J1874" t="str">
        <f t="shared" si="143"/>
        <v/>
      </c>
      <c r="K1874" s="60" t="str">
        <f t="shared" si="144"/>
        <v/>
      </c>
      <c r="L1874" t="str">
        <f t="shared" si="145"/>
        <v/>
      </c>
    </row>
    <row r="1875" spans="1:12" x14ac:dyDescent="0.25">
      <c r="A1875" t="s">
        <v>2376</v>
      </c>
      <c r="G1875" t="str">
        <f t="shared" si="140"/>
        <v>05/16/19</v>
      </c>
      <c r="H1875" t="str">
        <f t="shared" si="141"/>
        <v>Pittsburgh Pirates</v>
      </c>
      <c r="I1875" s="60">
        <f t="shared" si="142"/>
        <v>3</v>
      </c>
      <c r="J1875" t="str">
        <f t="shared" si="143"/>
        <v>San Diego Padres</v>
      </c>
      <c r="K1875" s="60">
        <f t="shared" si="144"/>
        <v>4</v>
      </c>
      <c r="L1875">
        <f t="shared" si="145"/>
        <v>-1</v>
      </c>
    </row>
    <row r="1876" spans="1:12" x14ac:dyDescent="0.25">
      <c r="G1876" t="str">
        <f t="shared" si="140"/>
        <v>05/16/19</v>
      </c>
      <c r="H1876" t="str">
        <f t="shared" si="141"/>
        <v/>
      </c>
      <c r="I1876" s="60" t="str">
        <f t="shared" si="142"/>
        <v/>
      </c>
      <c r="J1876" t="str">
        <f t="shared" si="143"/>
        <v/>
      </c>
      <c r="K1876" s="60" t="str">
        <f t="shared" si="144"/>
        <v/>
      </c>
      <c r="L1876" t="str">
        <f t="shared" si="145"/>
        <v/>
      </c>
    </row>
    <row r="1877" spans="1:12" x14ac:dyDescent="0.25">
      <c r="A1877" t="s">
        <v>2377</v>
      </c>
      <c r="G1877" t="str">
        <f t="shared" si="140"/>
        <v>05/16/19</v>
      </c>
      <c r="H1877" t="str">
        <f t="shared" si="141"/>
        <v>Minnesota Twins</v>
      </c>
      <c r="I1877" s="60">
        <f t="shared" si="142"/>
        <v>11</v>
      </c>
      <c r="J1877" t="str">
        <f t="shared" si="143"/>
        <v>Seattle Mariners</v>
      </c>
      <c r="K1877" s="60">
        <f t="shared" si="144"/>
        <v>6</v>
      </c>
      <c r="L1877">
        <f t="shared" si="145"/>
        <v>5</v>
      </c>
    </row>
    <row r="1878" spans="1:12" x14ac:dyDescent="0.25">
      <c r="G1878" t="str">
        <f t="shared" si="140"/>
        <v>05/16/19</v>
      </c>
      <c r="H1878" t="str">
        <f t="shared" si="141"/>
        <v/>
      </c>
      <c r="I1878" s="60" t="str">
        <f t="shared" si="142"/>
        <v/>
      </c>
      <c r="J1878" t="str">
        <f t="shared" si="143"/>
        <v/>
      </c>
      <c r="K1878" s="60" t="str">
        <f t="shared" si="144"/>
        <v/>
      </c>
      <c r="L1878" t="str">
        <f t="shared" si="145"/>
        <v/>
      </c>
    </row>
    <row r="1879" spans="1:12" x14ac:dyDescent="0.25">
      <c r="A1879" t="s">
        <v>2378</v>
      </c>
      <c r="G1879" t="str">
        <f t="shared" si="140"/>
        <v>05/16/19</v>
      </c>
      <c r="H1879" t="str">
        <f t="shared" si="141"/>
        <v>New York Mets</v>
      </c>
      <c r="I1879" s="60">
        <f t="shared" si="142"/>
        <v>6</v>
      </c>
      <c r="J1879" t="str">
        <f t="shared" si="143"/>
        <v>Washington Nationals</v>
      </c>
      <c r="K1879" s="60">
        <f t="shared" si="144"/>
        <v>7</v>
      </c>
      <c r="L1879">
        <f t="shared" si="145"/>
        <v>-1</v>
      </c>
    </row>
    <row r="1880" spans="1:12" x14ac:dyDescent="0.25">
      <c r="G1880" t="str">
        <f t="shared" si="140"/>
        <v>05/16/19</v>
      </c>
      <c r="H1880" t="str">
        <f t="shared" si="141"/>
        <v/>
      </c>
      <c r="I1880" s="60" t="str">
        <f t="shared" si="142"/>
        <v/>
      </c>
      <c r="J1880" t="str">
        <f t="shared" si="143"/>
        <v/>
      </c>
      <c r="K1880" s="60" t="str">
        <f t="shared" si="144"/>
        <v/>
      </c>
      <c r="L1880" t="str">
        <f t="shared" si="145"/>
        <v/>
      </c>
    </row>
    <row r="1881" spans="1:12" x14ac:dyDescent="0.25">
      <c r="A1881" t="s">
        <v>2379</v>
      </c>
      <c r="G1881" t="str">
        <f t="shared" si="140"/>
        <v>05/16/19</v>
      </c>
      <c r="H1881" t="str">
        <f t="shared" si="141"/>
        <v/>
      </c>
      <c r="I1881" s="60" t="str">
        <f t="shared" si="142"/>
        <v/>
      </c>
      <c r="J1881" t="str">
        <f t="shared" si="143"/>
        <v/>
      </c>
      <c r="K1881" s="60" t="str">
        <f t="shared" si="144"/>
        <v/>
      </c>
      <c r="L1881" t="str">
        <f t="shared" si="145"/>
        <v/>
      </c>
    </row>
    <row r="1882" spans="1:12" x14ac:dyDescent="0.25">
      <c r="G1882" t="str">
        <f t="shared" si="140"/>
        <v>05/16/19</v>
      </c>
      <c r="H1882" t="str">
        <f t="shared" si="141"/>
        <v/>
      </c>
      <c r="I1882" s="60" t="str">
        <f t="shared" si="142"/>
        <v/>
      </c>
      <c r="J1882" t="str">
        <f t="shared" si="143"/>
        <v/>
      </c>
      <c r="K1882" s="60" t="str">
        <f t="shared" si="144"/>
        <v/>
      </c>
      <c r="L1882" t="str">
        <f t="shared" si="145"/>
        <v/>
      </c>
    </row>
    <row r="1883" spans="1:12" x14ac:dyDescent="0.25">
      <c r="A1883" t="s">
        <v>2380</v>
      </c>
      <c r="G1883" t="str">
        <f t="shared" si="140"/>
        <v>05/17/19</v>
      </c>
      <c r="H1883" t="str">
        <f t="shared" si="141"/>
        <v/>
      </c>
      <c r="I1883" s="60" t="str">
        <f t="shared" si="142"/>
        <v/>
      </c>
      <c r="J1883" t="str">
        <f t="shared" si="143"/>
        <v/>
      </c>
      <c r="K1883" s="60" t="str">
        <f t="shared" si="144"/>
        <v/>
      </c>
      <c r="L1883" t="str">
        <f t="shared" si="145"/>
        <v/>
      </c>
    </row>
    <row r="1884" spans="1:12" x14ac:dyDescent="0.25">
      <c r="G1884" t="str">
        <f t="shared" si="140"/>
        <v>05/17/19</v>
      </c>
      <c r="H1884" t="str">
        <f t="shared" si="141"/>
        <v/>
      </c>
      <c r="I1884" s="60" t="str">
        <f t="shared" si="142"/>
        <v/>
      </c>
      <c r="J1884" t="str">
        <f t="shared" si="143"/>
        <v/>
      </c>
      <c r="K1884" s="60" t="str">
        <f t="shared" si="144"/>
        <v/>
      </c>
      <c r="L1884" t="str">
        <f t="shared" si="145"/>
        <v/>
      </c>
    </row>
    <row r="1885" spans="1:12" x14ac:dyDescent="0.25">
      <c r="A1885" t="s">
        <v>2381</v>
      </c>
      <c r="G1885" t="str">
        <f t="shared" si="140"/>
        <v>05/17/19</v>
      </c>
      <c r="H1885" t="str">
        <f t="shared" si="141"/>
        <v>Kansas City Royals</v>
      </c>
      <c r="I1885" s="60">
        <f t="shared" si="142"/>
        <v>2</v>
      </c>
      <c r="J1885" t="str">
        <f t="shared" si="143"/>
        <v>Los Angeles Angels</v>
      </c>
      <c r="K1885" s="60">
        <f t="shared" si="144"/>
        <v>5</v>
      </c>
      <c r="L1885">
        <f t="shared" si="145"/>
        <v>-3</v>
      </c>
    </row>
    <row r="1886" spans="1:12" x14ac:dyDescent="0.25">
      <c r="G1886" t="str">
        <f t="shared" si="140"/>
        <v>05/17/19</v>
      </c>
      <c r="H1886" t="str">
        <f t="shared" si="141"/>
        <v/>
      </c>
      <c r="I1886" s="60" t="str">
        <f t="shared" si="142"/>
        <v/>
      </c>
      <c r="J1886" t="str">
        <f t="shared" si="143"/>
        <v/>
      </c>
      <c r="K1886" s="60" t="str">
        <f t="shared" si="144"/>
        <v/>
      </c>
      <c r="L1886" t="str">
        <f t="shared" si="145"/>
        <v/>
      </c>
    </row>
    <row r="1887" spans="1:12" x14ac:dyDescent="0.25">
      <c r="A1887" t="s">
        <v>2382</v>
      </c>
      <c r="G1887" t="str">
        <f t="shared" si="140"/>
        <v>05/17/19</v>
      </c>
      <c r="H1887" t="str">
        <f t="shared" si="141"/>
        <v>San Francisco Giants</v>
      </c>
      <c r="I1887" s="60">
        <f t="shared" si="142"/>
        <v>0</v>
      </c>
      <c r="J1887" t="str">
        <f t="shared" si="143"/>
        <v>Arizona D'Backs</v>
      </c>
      <c r="K1887" s="60">
        <f t="shared" si="144"/>
        <v>7</v>
      </c>
      <c r="L1887">
        <f t="shared" si="145"/>
        <v>-7</v>
      </c>
    </row>
    <row r="1888" spans="1:12" x14ac:dyDescent="0.25">
      <c r="G1888" t="str">
        <f t="shared" si="140"/>
        <v>05/17/19</v>
      </c>
      <c r="H1888" t="str">
        <f t="shared" si="141"/>
        <v/>
      </c>
      <c r="I1888" s="60" t="str">
        <f t="shared" si="142"/>
        <v/>
      </c>
      <c r="J1888" t="str">
        <f t="shared" si="143"/>
        <v/>
      </c>
      <c r="K1888" s="60" t="str">
        <f t="shared" si="144"/>
        <v/>
      </c>
      <c r="L1888" t="str">
        <f t="shared" si="145"/>
        <v/>
      </c>
    </row>
    <row r="1889" spans="1:12" x14ac:dyDescent="0.25">
      <c r="A1889" t="s">
        <v>2383</v>
      </c>
      <c r="G1889" t="str">
        <f t="shared" si="140"/>
        <v>05/17/19</v>
      </c>
      <c r="H1889" t="str">
        <f t="shared" si="141"/>
        <v>Milwaukee Brewers</v>
      </c>
      <c r="I1889" s="60">
        <f t="shared" si="142"/>
        <v>8</v>
      </c>
      <c r="J1889" t="str">
        <f t="shared" si="143"/>
        <v>Atlanta Braves</v>
      </c>
      <c r="K1889" s="60">
        <f t="shared" si="144"/>
        <v>12</v>
      </c>
      <c r="L1889">
        <f t="shared" si="145"/>
        <v>-4</v>
      </c>
    </row>
    <row r="1890" spans="1:12" x14ac:dyDescent="0.25">
      <c r="G1890" t="str">
        <f t="shared" ref="G1890:G1953" si="146">IF(ISNUMBER(MATCH(IFERROR(LEFT(A1890,SEARCH(",",A1890)-1),""),$G$220:$M$220,0)),TEXT(MID(A1890,SEARCH(",",A1890)+2,LEN(A1890)),"mm/dd/yy"),G1889)</f>
        <v>05/17/19</v>
      </c>
      <c r="H1890" t="str">
        <f t="shared" si="141"/>
        <v/>
      </c>
      <c r="I1890" s="60" t="str">
        <f t="shared" si="142"/>
        <v/>
      </c>
      <c r="J1890" t="str">
        <f t="shared" si="143"/>
        <v/>
      </c>
      <c r="K1890" s="60" t="str">
        <f t="shared" si="144"/>
        <v/>
      </c>
      <c r="L1890" t="str">
        <f t="shared" si="145"/>
        <v/>
      </c>
    </row>
    <row r="1891" spans="1:12" x14ac:dyDescent="0.25">
      <c r="A1891" t="s">
        <v>2384</v>
      </c>
      <c r="G1891" t="str">
        <f t="shared" si="146"/>
        <v>05/17/19</v>
      </c>
      <c r="H1891" t="str">
        <f t="shared" si="141"/>
        <v>Houston Astros</v>
      </c>
      <c r="I1891" s="60">
        <f t="shared" si="142"/>
        <v>3</v>
      </c>
      <c r="J1891" t="str">
        <f t="shared" si="143"/>
        <v>Boston Red Sox</v>
      </c>
      <c r="K1891" s="60">
        <f t="shared" si="144"/>
        <v>1</v>
      </c>
      <c r="L1891">
        <f t="shared" si="145"/>
        <v>2</v>
      </c>
    </row>
    <row r="1892" spans="1:12" x14ac:dyDescent="0.25">
      <c r="G1892" t="str">
        <f t="shared" si="146"/>
        <v>05/17/19</v>
      </c>
      <c r="H1892" t="str">
        <f t="shared" si="141"/>
        <v/>
      </c>
      <c r="I1892" s="60" t="str">
        <f t="shared" si="142"/>
        <v/>
      </c>
      <c r="J1892" t="str">
        <f t="shared" si="143"/>
        <v/>
      </c>
      <c r="K1892" s="60" t="str">
        <f t="shared" si="144"/>
        <v/>
      </c>
      <c r="L1892" t="str">
        <f t="shared" si="145"/>
        <v/>
      </c>
    </row>
    <row r="1893" spans="1:12" x14ac:dyDescent="0.25">
      <c r="A1893" t="s">
        <v>2385</v>
      </c>
      <c r="G1893" t="str">
        <f t="shared" si="146"/>
        <v>05/17/19</v>
      </c>
      <c r="H1893" t="str">
        <f t="shared" si="141"/>
        <v>Toronto Blue Jays</v>
      </c>
      <c r="I1893" s="60">
        <f t="shared" si="142"/>
        <v>10</v>
      </c>
      <c r="J1893" t="str">
        <f t="shared" si="143"/>
        <v>Chicago White Sox</v>
      </c>
      <c r="K1893" s="60">
        <f t="shared" si="144"/>
        <v>2</v>
      </c>
      <c r="L1893">
        <f t="shared" si="145"/>
        <v>8</v>
      </c>
    </row>
    <row r="1894" spans="1:12" x14ac:dyDescent="0.25">
      <c r="G1894" t="str">
        <f t="shared" si="146"/>
        <v>05/17/19</v>
      </c>
      <c r="H1894" t="str">
        <f t="shared" si="141"/>
        <v/>
      </c>
      <c r="I1894" s="60" t="str">
        <f t="shared" si="142"/>
        <v/>
      </c>
      <c r="J1894" t="str">
        <f t="shared" si="143"/>
        <v/>
      </c>
      <c r="K1894" s="60" t="str">
        <f t="shared" si="144"/>
        <v/>
      </c>
      <c r="L1894" t="str">
        <f t="shared" si="145"/>
        <v/>
      </c>
    </row>
    <row r="1895" spans="1:12" x14ac:dyDescent="0.25">
      <c r="A1895" t="s">
        <v>2386</v>
      </c>
      <c r="G1895" t="str">
        <f t="shared" si="146"/>
        <v>05/17/19</v>
      </c>
      <c r="H1895" t="str">
        <f t="shared" si="141"/>
        <v>Los Angeles Dodgers</v>
      </c>
      <c r="I1895" s="60">
        <f t="shared" si="142"/>
        <v>6</v>
      </c>
      <c r="J1895" t="str">
        <f t="shared" si="143"/>
        <v>Cincinnati Reds</v>
      </c>
      <c r="K1895" s="60">
        <f t="shared" si="144"/>
        <v>0</v>
      </c>
      <c r="L1895">
        <f t="shared" si="145"/>
        <v>6</v>
      </c>
    </row>
    <row r="1896" spans="1:12" x14ac:dyDescent="0.25">
      <c r="G1896" t="str">
        <f t="shared" si="146"/>
        <v>05/17/19</v>
      </c>
      <c r="H1896" t="str">
        <f t="shared" si="141"/>
        <v/>
      </c>
      <c r="I1896" s="60" t="str">
        <f t="shared" si="142"/>
        <v/>
      </c>
      <c r="J1896" t="str">
        <f t="shared" si="143"/>
        <v/>
      </c>
      <c r="K1896" s="60" t="str">
        <f t="shared" si="144"/>
        <v/>
      </c>
      <c r="L1896" t="str">
        <f t="shared" si="145"/>
        <v/>
      </c>
    </row>
    <row r="1897" spans="1:12" x14ac:dyDescent="0.25">
      <c r="A1897" t="s">
        <v>2387</v>
      </c>
      <c r="G1897" t="str">
        <f t="shared" si="146"/>
        <v>05/17/19</v>
      </c>
      <c r="H1897" t="str">
        <f t="shared" si="141"/>
        <v>Baltimore Orioles</v>
      </c>
      <c r="I1897" s="60">
        <f t="shared" si="142"/>
        <v>5</v>
      </c>
      <c r="J1897" t="str">
        <f t="shared" si="143"/>
        <v>Cleveland Indians</v>
      </c>
      <c r="K1897" s="60">
        <f t="shared" si="144"/>
        <v>1</v>
      </c>
      <c r="L1897">
        <f t="shared" si="145"/>
        <v>4</v>
      </c>
    </row>
    <row r="1898" spans="1:12" x14ac:dyDescent="0.25">
      <c r="G1898" t="str">
        <f t="shared" si="146"/>
        <v>05/17/19</v>
      </c>
      <c r="H1898" t="str">
        <f t="shared" si="141"/>
        <v/>
      </c>
      <c r="I1898" s="60" t="str">
        <f t="shared" si="142"/>
        <v/>
      </c>
      <c r="J1898" t="str">
        <f t="shared" si="143"/>
        <v/>
      </c>
      <c r="K1898" s="60" t="str">
        <f t="shared" si="144"/>
        <v/>
      </c>
      <c r="L1898" t="str">
        <f t="shared" si="145"/>
        <v/>
      </c>
    </row>
    <row r="1899" spans="1:12" x14ac:dyDescent="0.25">
      <c r="A1899" t="s">
        <v>2388</v>
      </c>
      <c r="G1899" t="str">
        <f t="shared" si="146"/>
        <v>05/17/19</v>
      </c>
      <c r="H1899" t="str">
        <f t="shared" si="141"/>
        <v>Oakland Athletics</v>
      </c>
      <c r="I1899" s="60">
        <f t="shared" si="142"/>
        <v>7</v>
      </c>
      <c r="J1899" t="str">
        <f t="shared" si="143"/>
        <v>Detroit Tigers</v>
      </c>
      <c r="K1899" s="60">
        <f t="shared" si="144"/>
        <v>2</v>
      </c>
      <c r="L1899">
        <f t="shared" si="145"/>
        <v>5</v>
      </c>
    </row>
    <row r="1900" spans="1:12" x14ac:dyDescent="0.25">
      <c r="G1900" t="str">
        <f t="shared" si="146"/>
        <v>05/17/19</v>
      </c>
      <c r="H1900" t="str">
        <f t="shared" si="141"/>
        <v/>
      </c>
      <c r="I1900" s="60" t="str">
        <f t="shared" si="142"/>
        <v/>
      </c>
      <c r="J1900" t="str">
        <f t="shared" si="143"/>
        <v/>
      </c>
      <c r="K1900" s="60" t="str">
        <f t="shared" si="144"/>
        <v/>
      </c>
      <c r="L1900" t="str">
        <f t="shared" si="145"/>
        <v/>
      </c>
    </row>
    <row r="1901" spans="1:12" x14ac:dyDescent="0.25">
      <c r="A1901" t="s">
        <v>2389</v>
      </c>
      <c r="G1901" t="str">
        <f t="shared" si="146"/>
        <v>05/17/19</v>
      </c>
      <c r="H1901" t="str">
        <f t="shared" si="141"/>
        <v>New York Mets</v>
      </c>
      <c r="I1901" s="60">
        <f t="shared" si="142"/>
        <v>6</v>
      </c>
      <c r="J1901" t="str">
        <f t="shared" si="143"/>
        <v>Miami Marlins</v>
      </c>
      <c r="K1901" s="60">
        <f t="shared" si="144"/>
        <v>8</v>
      </c>
      <c r="L1901">
        <f t="shared" si="145"/>
        <v>-2</v>
      </c>
    </row>
    <row r="1902" spans="1:12" x14ac:dyDescent="0.25">
      <c r="G1902" t="str">
        <f t="shared" si="146"/>
        <v>05/17/19</v>
      </c>
      <c r="H1902" t="str">
        <f t="shared" si="141"/>
        <v/>
      </c>
      <c r="I1902" s="60" t="str">
        <f t="shared" si="142"/>
        <v/>
      </c>
      <c r="J1902" t="str">
        <f t="shared" si="143"/>
        <v/>
      </c>
      <c r="K1902" s="60" t="str">
        <f t="shared" si="144"/>
        <v/>
      </c>
      <c r="L1902" t="str">
        <f t="shared" si="145"/>
        <v/>
      </c>
    </row>
    <row r="1903" spans="1:12" x14ac:dyDescent="0.25">
      <c r="A1903" t="s">
        <v>2390</v>
      </c>
      <c r="G1903" t="str">
        <f t="shared" si="146"/>
        <v>05/17/19</v>
      </c>
      <c r="H1903" t="str">
        <f t="shared" si="141"/>
        <v>Tampa Bay Rays</v>
      </c>
      <c r="I1903" s="60">
        <f t="shared" si="142"/>
        <v>3</v>
      </c>
      <c r="J1903" t="str">
        <f t="shared" si="143"/>
        <v>New York Yankees</v>
      </c>
      <c r="K1903" s="60">
        <f t="shared" si="144"/>
        <v>4</v>
      </c>
      <c r="L1903">
        <f t="shared" si="145"/>
        <v>-1</v>
      </c>
    </row>
    <row r="1904" spans="1:12" x14ac:dyDescent="0.25">
      <c r="G1904" t="str">
        <f t="shared" si="146"/>
        <v>05/17/19</v>
      </c>
      <c r="H1904" t="str">
        <f t="shared" si="141"/>
        <v/>
      </c>
      <c r="I1904" s="60" t="str">
        <f t="shared" si="142"/>
        <v/>
      </c>
      <c r="J1904" t="str">
        <f t="shared" si="143"/>
        <v/>
      </c>
      <c r="K1904" s="60" t="str">
        <f t="shared" si="144"/>
        <v/>
      </c>
      <c r="L1904" t="str">
        <f t="shared" si="145"/>
        <v/>
      </c>
    </row>
    <row r="1905" spans="1:12" x14ac:dyDescent="0.25">
      <c r="A1905" t="s">
        <v>2391</v>
      </c>
      <c r="G1905" t="str">
        <f t="shared" si="146"/>
        <v>05/17/19</v>
      </c>
      <c r="H1905" t="str">
        <f t="shared" si="141"/>
        <v>Colorado Rockies</v>
      </c>
      <c r="I1905" s="60">
        <f t="shared" si="142"/>
        <v>4</v>
      </c>
      <c r="J1905" t="str">
        <f t="shared" si="143"/>
        <v>Philadelphia Phillies</v>
      </c>
      <c r="K1905" s="60">
        <f t="shared" si="144"/>
        <v>5</v>
      </c>
      <c r="L1905">
        <f t="shared" si="145"/>
        <v>-1</v>
      </c>
    </row>
    <row r="1906" spans="1:12" x14ac:dyDescent="0.25">
      <c r="G1906" t="str">
        <f t="shared" si="146"/>
        <v>05/17/19</v>
      </c>
      <c r="H1906" t="str">
        <f t="shared" si="141"/>
        <v/>
      </c>
      <c r="I1906" s="60" t="str">
        <f t="shared" si="142"/>
        <v/>
      </c>
      <c r="J1906" t="str">
        <f t="shared" si="143"/>
        <v/>
      </c>
      <c r="K1906" s="60" t="str">
        <f t="shared" si="144"/>
        <v/>
      </c>
      <c r="L1906" t="str">
        <f t="shared" si="145"/>
        <v/>
      </c>
    </row>
    <row r="1907" spans="1:12" x14ac:dyDescent="0.25">
      <c r="A1907" t="s">
        <v>2392</v>
      </c>
      <c r="G1907" t="str">
        <f t="shared" si="146"/>
        <v>05/17/19</v>
      </c>
      <c r="H1907" t="str">
        <f t="shared" si="141"/>
        <v>Pittsburgh Pirates</v>
      </c>
      <c r="I1907" s="60">
        <f t="shared" si="142"/>
        <v>5</v>
      </c>
      <c r="J1907" t="str">
        <f t="shared" si="143"/>
        <v>San Diego Padres</v>
      </c>
      <c r="K1907" s="60">
        <f t="shared" si="144"/>
        <v>3</v>
      </c>
      <c r="L1907">
        <f t="shared" si="145"/>
        <v>2</v>
      </c>
    </row>
    <row r="1908" spans="1:12" x14ac:dyDescent="0.25">
      <c r="G1908" t="str">
        <f t="shared" si="146"/>
        <v>05/17/19</v>
      </c>
      <c r="H1908" t="str">
        <f t="shared" si="141"/>
        <v/>
      </c>
      <c r="I1908" s="60" t="str">
        <f t="shared" si="142"/>
        <v/>
      </c>
      <c r="J1908" t="str">
        <f t="shared" si="143"/>
        <v/>
      </c>
      <c r="K1908" s="60" t="str">
        <f t="shared" si="144"/>
        <v/>
      </c>
      <c r="L1908" t="str">
        <f t="shared" si="145"/>
        <v/>
      </c>
    </row>
    <row r="1909" spans="1:12" x14ac:dyDescent="0.25">
      <c r="A1909" t="s">
        <v>2393</v>
      </c>
      <c r="G1909" t="str">
        <f t="shared" si="146"/>
        <v>05/17/19</v>
      </c>
      <c r="H1909" t="str">
        <f t="shared" si="141"/>
        <v>Minnesota Twins</v>
      </c>
      <c r="I1909" s="60">
        <f t="shared" si="142"/>
        <v>7</v>
      </c>
      <c r="J1909" t="str">
        <f t="shared" si="143"/>
        <v>Seattle Mariners</v>
      </c>
      <c r="K1909" s="60">
        <f t="shared" si="144"/>
        <v>1</v>
      </c>
      <c r="L1909">
        <f t="shared" si="145"/>
        <v>6</v>
      </c>
    </row>
    <row r="1910" spans="1:12" x14ac:dyDescent="0.25">
      <c r="G1910" t="str">
        <f t="shared" si="146"/>
        <v>05/17/19</v>
      </c>
      <c r="H1910" t="str">
        <f t="shared" si="141"/>
        <v/>
      </c>
      <c r="I1910" s="60" t="str">
        <f t="shared" si="142"/>
        <v/>
      </c>
      <c r="J1910" t="str">
        <f t="shared" si="143"/>
        <v/>
      </c>
      <c r="K1910" s="60" t="str">
        <f t="shared" si="144"/>
        <v/>
      </c>
      <c r="L1910" t="str">
        <f t="shared" si="145"/>
        <v/>
      </c>
    </row>
    <row r="1911" spans="1:12" x14ac:dyDescent="0.25">
      <c r="A1911" t="s">
        <v>2394</v>
      </c>
      <c r="G1911" t="str">
        <f t="shared" si="146"/>
        <v>05/17/19</v>
      </c>
      <c r="H1911" t="str">
        <f t="shared" si="141"/>
        <v>St. Louis Cardinals</v>
      </c>
      <c r="I1911" s="60">
        <f t="shared" si="142"/>
        <v>3</v>
      </c>
      <c r="J1911" t="str">
        <f t="shared" si="143"/>
        <v>Texas Rangers</v>
      </c>
      <c r="K1911" s="60">
        <f t="shared" si="144"/>
        <v>7</v>
      </c>
      <c r="L1911">
        <f t="shared" si="145"/>
        <v>-4</v>
      </c>
    </row>
    <row r="1912" spans="1:12" x14ac:dyDescent="0.25">
      <c r="G1912" t="str">
        <f t="shared" si="146"/>
        <v>05/17/19</v>
      </c>
      <c r="H1912" t="str">
        <f t="shared" si="141"/>
        <v/>
      </c>
      <c r="I1912" s="60" t="str">
        <f t="shared" si="142"/>
        <v/>
      </c>
      <c r="J1912" t="str">
        <f t="shared" si="143"/>
        <v/>
      </c>
      <c r="K1912" s="60" t="str">
        <f t="shared" si="144"/>
        <v/>
      </c>
      <c r="L1912" t="str">
        <f t="shared" si="145"/>
        <v/>
      </c>
    </row>
    <row r="1913" spans="1:12" x14ac:dyDescent="0.25">
      <c r="A1913" t="s">
        <v>2395</v>
      </c>
      <c r="G1913" t="str">
        <f t="shared" si="146"/>
        <v>05/17/19</v>
      </c>
      <c r="H1913" t="str">
        <f t="shared" si="141"/>
        <v>Chicago Cubs</v>
      </c>
      <c r="I1913" s="60">
        <f t="shared" si="142"/>
        <v>14</v>
      </c>
      <c r="J1913" t="str">
        <f t="shared" si="143"/>
        <v>Washington Nationals</v>
      </c>
      <c r="K1913" s="60">
        <f t="shared" si="144"/>
        <v>6</v>
      </c>
      <c r="L1913">
        <f t="shared" si="145"/>
        <v>8</v>
      </c>
    </row>
    <row r="1914" spans="1:12" x14ac:dyDescent="0.25">
      <c r="G1914" t="str">
        <f t="shared" si="146"/>
        <v>05/17/19</v>
      </c>
      <c r="H1914" t="str">
        <f t="shared" si="141"/>
        <v/>
      </c>
      <c r="I1914" s="60" t="str">
        <f t="shared" si="142"/>
        <v/>
      </c>
      <c r="J1914" t="str">
        <f t="shared" si="143"/>
        <v/>
      </c>
      <c r="K1914" s="60" t="str">
        <f t="shared" si="144"/>
        <v/>
      </c>
      <c r="L1914" t="str">
        <f t="shared" si="145"/>
        <v/>
      </c>
    </row>
    <row r="1915" spans="1:12" x14ac:dyDescent="0.25">
      <c r="A1915" t="s">
        <v>2396</v>
      </c>
      <c r="G1915" t="str">
        <f t="shared" si="146"/>
        <v>05/17/19</v>
      </c>
      <c r="H1915" t="str">
        <f t="shared" si="141"/>
        <v/>
      </c>
      <c r="I1915" s="60" t="str">
        <f t="shared" si="142"/>
        <v/>
      </c>
      <c r="J1915" t="str">
        <f t="shared" si="143"/>
        <v/>
      </c>
      <c r="K1915" s="60" t="str">
        <f t="shared" si="144"/>
        <v/>
      </c>
      <c r="L1915" t="str">
        <f t="shared" si="145"/>
        <v/>
      </c>
    </row>
    <row r="1916" spans="1:12" x14ac:dyDescent="0.25">
      <c r="G1916" t="str">
        <f t="shared" si="146"/>
        <v>05/17/19</v>
      </c>
      <c r="H1916" t="str">
        <f t="shared" si="141"/>
        <v/>
      </c>
      <c r="I1916" s="60" t="str">
        <f t="shared" si="142"/>
        <v/>
      </c>
      <c r="J1916" t="str">
        <f t="shared" si="143"/>
        <v/>
      </c>
      <c r="K1916" s="60" t="str">
        <f t="shared" si="144"/>
        <v/>
      </c>
      <c r="L1916" t="str">
        <f t="shared" si="145"/>
        <v/>
      </c>
    </row>
    <row r="1917" spans="1:12" x14ac:dyDescent="0.25">
      <c r="A1917" t="s">
        <v>2397</v>
      </c>
      <c r="G1917" t="str">
        <f t="shared" si="146"/>
        <v>05/18/19</v>
      </c>
      <c r="H1917" t="str">
        <f t="shared" si="141"/>
        <v/>
      </c>
      <c r="I1917" s="60" t="str">
        <f t="shared" si="142"/>
        <v/>
      </c>
      <c r="J1917" t="str">
        <f t="shared" si="143"/>
        <v/>
      </c>
      <c r="K1917" s="60" t="str">
        <f t="shared" si="144"/>
        <v/>
      </c>
      <c r="L1917" t="str">
        <f t="shared" si="145"/>
        <v/>
      </c>
    </row>
    <row r="1918" spans="1:12" x14ac:dyDescent="0.25">
      <c r="G1918" t="str">
        <f t="shared" si="146"/>
        <v>05/18/19</v>
      </c>
      <c r="H1918" t="str">
        <f t="shared" si="141"/>
        <v/>
      </c>
      <c r="I1918" s="60" t="str">
        <f t="shared" si="142"/>
        <v/>
      </c>
      <c r="J1918" t="str">
        <f t="shared" si="143"/>
        <v/>
      </c>
      <c r="K1918" s="60" t="str">
        <f t="shared" si="144"/>
        <v/>
      </c>
      <c r="L1918" t="str">
        <f t="shared" si="145"/>
        <v/>
      </c>
    </row>
    <row r="1919" spans="1:12" x14ac:dyDescent="0.25">
      <c r="A1919" t="s">
        <v>2398</v>
      </c>
      <c r="G1919" t="str">
        <f t="shared" si="146"/>
        <v>05/18/19</v>
      </c>
      <c r="H1919" t="str">
        <f t="shared" si="141"/>
        <v>Kansas City Royals</v>
      </c>
      <c r="I1919" s="60">
        <f t="shared" si="142"/>
        <v>3</v>
      </c>
      <c r="J1919" t="str">
        <f t="shared" si="143"/>
        <v>Los Angeles Angels</v>
      </c>
      <c r="K1919" s="60">
        <f t="shared" si="144"/>
        <v>6</v>
      </c>
      <c r="L1919">
        <f t="shared" si="145"/>
        <v>-3</v>
      </c>
    </row>
    <row r="1920" spans="1:12" x14ac:dyDescent="0.25">
      <c r="G1920" t="str">
        <f t="shared" si="146"/>
        <v>05/18/19</v>
      </c>
      <c r="H1920" t="str">
        <f t="shared" si="141"/>
        <v/>
      </c>
      <c r="I1920" s="60" t="str">
        <f t="shared" si="142"/>
        <v/>
      </c>
      <c r="J1920" t="str">
        <f t="shared" si="143"/>
        <v/>
      </c>
      <c r="K1920" s="60" t="str">
        <f t="shared" si="144"/>
        <v/>
      </c>
      <c r="L1920" t="str">
        <f t="shared" si="145"/>
        <v/>
      </c>
    </row>
    <row r="1921" spans="1:12" x14ac:dyDescent="0.25">
      <c r="A1921" t="s">
        <v>2399</v>
      </c>
      <c r="G1921" t="str">
        <f t="shared" si="146"/>
        <v>05/18/19</v>
      </c>
      <c r="H1921" t="str">
        <f t="shared" si="141"/>
        <v>San Francisco Giants</v>
      </c>
      <c r="I1921" s="60">
        <f t="shared" si="142"/>
        <v>8</v>
      </c>
      <c r="J1921" t="str">
        <f t="shared" si="143"/>
        <v>Arizona D'Backs</v>
      </c>
      <c r="K1921" s="60">
        <f t="shared" si="144"/>
        <v>5</v>
      </c>
      <c r="L1921">
        <f t="shared" si="145"/>
        <v>3</v>
      </c>
    </row>
    <row r="1922" spans="1:12" x14ac:dyDescent="0.25">
      <c r="G1922" t="str">
        <f t="shared" si="146"/>
        <v>05/18/19</v>
      </c>
      <c r="H1922" t="str">
        <f t="shared" si="141"/>
        <v/>
      </c>
      <c r="I1922" s="60" t="str">
        <f t="shared" si="142"/>
        <v/>
      </c>
      <c r="J1922" t="str">
        <f t="shared" si="143"/>
        <v/>
      </c>
      <c r="K1922" s="60" t="str">
        <f t="shared" si="144"/>
        <v/>
      </c>
      <c r="L1922" t="str">
        <f t="shared" si="145"/>
        <v/>
      </c>
    </row>
    <row r="1923" spans="1:12" x14ac:dyDescent="0.25">
      <c r="A1923" t="s">
        <v>2400</v>
      </c>
      <c r="G1923" t="str">
        <f t="shared" si="146"/>
        <v>05/18/19</v>
      </c>
      <c r="H1923" t="str">
        <f t="shared" si="141"/>
        <v>Milwaukee Brewers</v>
      </c>
      <c r="I1923" s="60">
        <f t="shared" si="142"/>
        <v>3</v>
      </c>
      <c r="J1923" t="str">
        <f t="shared" si="143"/>
        <v>Atlanta Braves</v>
      </c>
      <c r="K1923" s="60">
        <f t="shared" si="144"/>
        <v>4</v>
      </c>
      <c r="L1923">
        <f t="shared" si="145"/>
        <v>-1</v>
      </c>
    </row>
    <row r="1924" spans="1:12" x14ac:dyDescent="0.25">
      <c r="G1924" t="str">
        <f t="shared" si="146"/>
        <v>05/18/19</v>
      </c>
      <c r="H1924" t="str">
        <f t="shared" si="141"/>
        <v/>
      </c>
      <c r="I1924" s="60" t="str">
        <f t="shared" si="142"/>
        <v/>
      </c>
      <c r="J1924" t="str">
        <f t="shared" si="143"/>
        <v/>
      </c>
      <c r="K1924" s="60" t="str">
        <f t="shared" si="144"/>
        <v/>
      </c>
      <c r="L1924" t="str">
        <f t="shared" si="145"/>
        <v/>
      </c>
    </row>
    <row r="1925" spans="1:12" x14ac:dyDescent="0.25">
      <c r="A1925" t="s">
        <v>2401</v>
      </c>
      <c r="G1925" t="str">
        <f t="shared" si="146"/>
        <v>05/18/19</v>
      </c>
      <c r="H1925" t="str">
        <f t="shared" si="141"/>
        <v>Houston Astros</v>
      </c>
      <c r="I1925" s="60">
        <f t="shared" si="142"/>
        <v>7</v>
      </c>
      <c r="J1925" t="str">
        <f t="shared" si="143"/>
        <v>Boston Red Sox</v>
      </c>
      <c r="K1925" s="60">
        <f t="shared" si="144"/>
        <v>3</v>
      </c>
      <c r="L1925">
        <f t="shared" si="145"/>
        <v>4</v>
      </c>
    </row>
    <row r="1926" spans="1:12" x14ac:dyDescent="0.25">
      <c r="G1926" t="str">
        <f t="shared" si="146"/>
        <v>05/18/19</v>
      </c>
      <c r="H1926" t="str">
        <f t="shared" si="141"/>
        <v/>
      </c>
      <c r="I1926" s="60" t="str">
        <f t="shared" si="142"/>
        <v/>
      </c>
      <c r="J1926" t="str">
        <f t="shared" si="143"/>
        <v/>
      </c>
      <c r="K1926" s="60" t="str">
        <f t="shared" si="144"/>
        <v/>
      </c>
      <c r="L1926" t="str">
        <f t="shared" si="145"/>
        <v/>
      </c>
    </row>
    <row r="1927" spans="1:12" x14ac:dyDescent="0.25">
      <c r="A1927" t="s">
        <v>2402</v>
      </c>
      <c r="G1927" t="str">
        <f t="shared" si="146"/>
        <v>05/18/19</v>
      </c>
      <c r="H1927" t="str">
        <f t="shared" si="141"/>
        <v>Toronto Blue Jays</v>
      </c>
      <c r="I1927" s="60">
        <f t="shared" si="142"/>
        <v>1</v>
      </c>
      <c r="J1927" t="str">
        <f t="shared" si="143"/>
        <v>Chicago White Sox</v>
      </c>
      <c r="K1927" s="60">
        <f t="shared" si="144"/>
        <v>4</v>
      </c>
      <c r="L1927">
        <f t="shared" si="145"/>
        <v>-3</v>
      </c>
    </row>
    <row r="1928" spans="1:12" x14ac:dyDescent="0.25">
      <c r="G1928" t="str">
        <f t="shared" si="146"/>
        <v>05/18/19</v>
      </c>
      <c r="H1928" t="str">
        <f t="shared" si="141"/>
        <v/>
      </c>
      <c r="I1928" s="60" t="str">
        <f t="shared" si="142"/>
        <v/>
      </c>
      <c r="J1928" t="str">
        <f t="shared" si="143"/>
        <v/>
      </c>
      <c r="K1928" s="60" t="str">
        <f t="shared" si="144"/>
        <v/>
      </c>
      <c r="L1928" t="str">
        <f t="shared" si="145"/>
        <v/>
      </c>
    </row>
    <row r="1929" spans="1:12" x14ac:dyDescent="0.25">
      <c r="A1929" t="s">
        <v>2403</v>
      </c>
      <c r="G1929" t="str">
        <f t="shared" si="146"/>
        <v>05/18/19</v>
      </c>
      <c r="H1929" t="str">
        <f t="shared" si="141"/>
        <v>Los Angeles Dodgers</v>
      </c>
      <c r="I1929" s="60">
        <f t="shared" si="142"/>
        <v>0</v>
      </c>
      <c r="J1929" t="str">
        <f t="shared" si="143"/>
        <v>Cincinnati Reds</v>
      </c>
      <c r="K1929" s="60">
        <f t="shared" si="144"/>
        <v>4</v>
      </c>
      <c r="L1929">
        <f t="shared" si="145"/>
        <v>-4</v>
      </c>
    </row>
    <row r="1930" spans="1:12" x14ac:dyDescent="0.25">
      <c r="G1930" t="str">
        <f t="shared" si="146"/>
        <v>05/18/19</v>
      </c>
      <c r="H1930" t="str">
        <f t="shared" si="141"/>
        <v/>
      </c>
      <c r="I1930" s="60" t="str">
        <f t="shared" si="142"/>
        <v/>
      </c>
      <c r="J1930" t="str">
        <f t="shared" si="143"/>
        <v/>
      </c>
      <c r="K1930" s="60" t="str">
        <f t="shared" si="144"/>
        <v/>
      </c>
      <c r="L1930" t="str">
        <f t="shared" si="145"/>
        <v/>
      </c>
    </row>
    <row r="1931" spans="1:12" x14ac:dyDescent="0.25">
      <c r="A1931" t="s">
        <v>2404</v>
      </c>
      <c r="G1931" t="str">
        <f t="shared" si="146"/>
        <v>05/18/19</v>
      </c>
      <c r="H1931" t="str">
        <f t="shared" si="141"/>
        <v>Baltimore Orioles</v>
      </c>
      <c r="I1931" s="60">
        <f t="shared" si="142"/>
        <v>1</v>
      </c>
      <c r="J1931" t="str">
        <f t="shared" si="143"/>
        <v>Cleveland Indians</v>
      </c>
      <c r="K1931" s="60">
        <f t="shared" si="144"/>
        <v>4</v>
      </c>
      <c r="L1931">
        <f t="shared" si="145"/>
        <v>-3</v>
      </c>
    </row>
    <row r="1932" spans="1:12" x14ac:dyDescent="0.25">
      <c r="G1932" t="str">
        <f t="shared" si="146"/>
        <v>05/18/19</v>
      </c>
      <c r="H1932" t="str">
        <f t="shared" si="141"/>
        <v/>
      </c>
      <c r="I1932" s="60" t="str">
        <f t="shared" si="142"/>
        <v/>
      </c>
      <c r="J1932" t="str">
        <f t="shared" si="143"/>
        <v/>
      </c>
      <c r="K1932" s="60" t="str">
        <f t="shared" si="144"/>
        <v/>
      </c>
      <c r="L1932" t="str">
        <f t="shared" si="145"/>
        <v/>
      </c>
    </row>
    <row r="1933" spans="1:12" x14ac:dyDescent="0.25">
      <c r="A1933" t="s">
        <v>2405</v>
      </c>
      <c r="G1933" t="str">
        <f t="shared" si="146"/>
        <v>05/18/19</v>
      </c>
      <c r="H1933" t="str">
        <f t="shared" si="141"/>
        <v>Oakland Athletics</v>
      </c>
      <c r="I1933" s="60">
        <f t="shared" si="142"/>
        <v>4</v>
      </c>
      <c r="J1933" t="str">
        <f t="shared" si="143"/>
        <v>Detroit Tigers</v>
      </c>
      <c r="K1933" s="60">
        <f t="shared" si="144"/>
        <v>1</v>
      </c>
      <c r="L1933">
        <f t="shared" si="145"/>
        <v>3</v>
      </c>
    </row>
    <row r="1934" spans="1:12" x14ac:dyDescent="0.25">
      <c r="G1934" t="str">
        <f t="shared" si="146"/>
        <v>05/18/19</v>
      </c>
      <c r="H1934" t="str">
        <f t="shared" si="141"/>
        <v/>
      </c>
      <c r="I1934" s="60" t="str">
        <f t="shared" si="142"/>
        <v/>
      </c>
      <c r="J1934" t="str">
        <f t="shared" si="143"/>
        <v/>
      </c>
      <c r="K1934" s="60" t="str">
        <f t="shared" si="144"/>
        <v/>
      </c>
      <c r="L1934" t="str">
        <f t="shared" si="145"/>
        <v/>
      </c>
    </row>
    <row r="1935" spans="1:12" x14ac:dyDescent="0.25">
      <c r="A1935" t="s">
        <v>2406</v>
      </c>
      <c r="G1935" t="str">
        <f t="shared" si="146"/>
        <v>05/18/19</v>
      </c>
      <c r="H1935" t="str">
        <f t="shared" si="141"/>
        <v>New York Mets</v>
      </c>
      <c r="I1935" s="60">
        <f t="shared" si="142"/>
        <v>0</v>
      </c>
      <c r="J1935" t="str">
        <f t="shared" si="143"/>
        <v>Miami Marlins</v>
      </c>
      <c r="K1935" s="60">
        <f t="shared" si="144"/>
        <v>2</v>
      </c>
      <c r="L1935">
        <f t="shared" si="145"/>
        <v>-2</v>
      </c>
    </row>
    <row r="1936" spans="1:12" x14ac:dyDescent="0.25">
      <c r="G1936" t="str">
        <f t="shared" si="146"/>
        <v>05/18/19</v>
      </c>
      <c r="H1936" t="str">
        <f t="shared" ref="H1936:H1999" si="147">IFERROR(LEFT(MID(A1936,1,SEARCH("@",A1936)-2),SEARCH("(",A1936)-2),"")</f>
        <v/>
      </c>
      <c r="I1936" s="60" t="str">
        <f t="shared" ref="I1936:I1999" si="148">IFERROR(VALUE(MID(A1936,SEARCH("(",A1936)+1,SEARCH(")",A1936)-SEARCH("(",A1936)-1)),"")</f>
        <v/>
      </c>
      <c r="J1936" t="str">
        <f t="shared" ref="J1936:J1999" si="149">IFERROR(MID(A1936,SEARCH("@",A1936)+2,SEARCH("(",A1936,SEARCH("@",A1936))-SEARCH("@",A1936)-3),"")</f>
        <v/>
      </c>
      <c r="K1936" s="60" t="str">
        <f t="shared" ref="K1936:K1999" si="150">IFERROR(VALUE(MID(A1936,SEARCH(J1936,A1936)+LEN(J1936)+2,(SEARCH(")",A1936,SEARCH("@",A1936))-SEARCH("(",A1936,SEARCH("@",A1936))-1))),"")</f>
        <v/>
      </c>
      <c r="L1936" t="str">
        <f t="shared" ref="L1936:L1999" si="151">IFERROR(I1936-K1936,"")</f>
        <v/>
      </c>
    </row>
    <row r="1937" spans="1:12" x14ac:dyDescent="0.25">
      <c r="A1937" t="s">
        <v>2407</v>
      </c>
      <c r="G1937" t="str">
        <f t="shared" si="146"/>
        <v>05/18/19</v>
      </c>
      <c r="H1937" t="str">
        <f t="shared" si="147"/>
        <v>Tampa Bay Rays</v>
      </c>
      <c r="I1937" s="60">
        <f t="shared" si="148"/>
        <v>2</v>
      </c>
      <c r="J1937" t="str">
        <f t="shared" si="149"/>
        <v>New York Yankees</v>
      </c>
      <c r="K1937" s="60">
        <f t="shared" si="150"/>
        <v>1</v>
      </c>
      <c r="L1937">
        <f t="shared" si="151"/>
        <v>1</v>
      </c>
    </row>
    <row r="1938" spans="1:12" x14ac:dyDescent="0.25">
      <c r="G1938" t="str">
        <f t="shared" si="146"/>
        <v>05/18/19</v>
      </c>
      <c r="H1938" t="str">
        <f t="shared" si="147"/>
        <v/>
      </c>
      <c r="I1938" s="60" t="str">
        <f t="shared" si="148"/>
        <v/>
      </c>
      <c r="J1938" t="str">
        <f t="shared" si="149"/>
        <v/>
      </c>
      <c r="K1938" s="60" t="str">
        <f t="shared" si="150"/>
        <v/>
      </c>
      <c r="L1938" t="str">
        <f t="shared" si="151"/>
        <v/>
      </c>
    </row>
    <row r="1939" spans="1:12" x14ac:dyDescent="0.25">
      <c r="A1939" t="s">
        <v>2408</v>
      </c>
      <c r="G1939" t="str">
        <f t="shared" si="146"/>
        <v>05/18/19</v>
      </c>
      <c r="H1939" t="str">
        <f t="shared" si="147"/>
        <v>Colorado Rockies</v>
      </c>
      <c r="I1939" s="60">
        <f t="shared" si="148"/>
        <v>1</v>
      </c>
      <c r="J1939" t="str">
        <f t="shared" si="149"/>
        <v>Philadelphia Phillies</v>
      </c>
      <c r="K1939" s="60">
        <f t="shared" si="150"/>
        <v>2</v>
      </c>
      <c r="L1939">
        <f t="shared" si="151"/>
        <v>-1</v>
      </c>
    </row>
    <row r="1940" spans="1:12" x14ac:dyDescent="0.25">
      <c r="G1940" t="str">
        <f t="shared" si="146"/>
        <v>05/18/19</v>
      </c>
      <c r="H1940" t="str">
        <f t="shared" si="147"/>
        <v/>
      </c>
      <c r="I1940" s="60" t="str">
        <f t="shared" si="148"/>
        <v/>
      </c>
      <c r="J1940" t="str">
        <f t="shared" si="149"/>
        <v/>
      </c>
      <c r="K1940" s="60" t="str">
        <f t="shared" si="150"/>
        <v/>
      </c>
      <c r="L1940" t="str">
        <f t="shared" si="151"/>
        <v/>
      </c>
    </row>
    <row r="1941" spans="1:12" x14ac:dyDescent="0.25">
      <c r="A1941" t="s">
        <v>2409</v>
      </c>
      <c r="G1941" t="str">
        <f t="shared" si="146"/>
        <v>05/18/19</v>
      </c>
      <c r="H1941" t="str">
        <f t="shared" si="147"/>
        <v>Pittsburgh Pirates</v>
      </c>
      <c r="I1941" s="60">
        <f t="shared" si="148"/>
        <v>7</v>
      </c>
      <c r="J1941" t="str">
        <f t="shared" si="149"/>
        <v>San Diego Padres</v>
      </c>
      <c r="K1941" s="60">
        <f t="shared" si="150"/>
        <v>2</v>
      </c>
      <c r="L1941">
        <f t="shared" si="151"/>
        <v>5</v>
      </c>
    </row>
    <row r="1942" spans="1:12" x14ac:dyDescent="0.25">
      <c r="G1942" t="str">
        <f t="shared" si="146"/>
        <v>05/18/19</v>
      </c>
      <c r="H1942" t="str">
        <f t="shared" si="147"/>
        <v/>
      </c>
      <c r="I1942" s="60" t="str">
        <f t="shared" si="148"/>
        <v/>
      </c>
      <c r="J1942" t="str">
        <f t="shared" si="149"/>
        <v/>
      </c>
      <c r="K1942" s="60" t="str">
        <f t="shared" si="150"/>
        <v/>
      </c>
      <c r="L1942" t="str">
        <f t="shared" si="151"/>
        <v/>
      </c>
    </row>
    <row r="1943" spans="1:12" x14ac:dyDescent="0.25">
      <c r="A1943" t="s">
        <v>2410</v>
      </c>
      <c r="G1943" t="str">
        <f t="shared" si="146"/>
        <v>05/18/19</v>
      </c>
      <c r="H1943" t="str">
        <f t="shared" si="147"/>
        <v>Minnesota Twins</v>
      </c>
      <c r="I1943" s="60">
        <f t="shared" si="148"/>
        <v>18</v>
      </c>
      <c r="J1943" t="str">
        <f t="shared" si="149"/>
        <v>Seattle Mariners</v>
      </c>
      <c r="K1943" s="60">
        <f t="shared" si="150"/>
        <v>4</v>
      </c>
      <c r="L1943">
        <f t="shared" si="151"/>
        <v>14</v>
      </c>
    </row>
    <row r="1944" spans="1:12" x14ac:dyDescent="0.25">
      <c r="G1944" t="str">
        <f t="shared" si="146"/>
        <v>05/18/19</v>
      </c>
      <c r="H1944" t="str">
        <f t="shared" si="147"/>
        <v/>
      </c>
      <c r="I1944" s="60" t="str">
        <f t="shared" si="148"/>
        <v/>
      </c>
      <c r="J1944" t="str">
        <f t="shared" si="149"/>
        <v/>
      </c>
      <c r="K1944" s="60" t="str">
        <f t="shared" si="150"/>
        <v/>
      </c>
      <c r="L1944" t="str">
        <f t="shared" si="151"/>
        <v/>
      </c>
    </row>
    <row r="1945" spans="1:12" x14ac:dyDescent="0.25">
      <c r="A1945" t="s">
        <v>2411</v>
      </c>
      <c r="G1945" t="str">
        <f t="shared" si="146"/>
        <v>05/18/19</v>
      </c>
      <c r="H1945" t="str">
        <f t="shared" si="147"/>
        <v>St. Louis Cardinals</v>
      </c>
      <c r="I1945" s="60">
        <f t="shared" si="148"/>
        <v>8</v>
      </c>
      <c r="J1945" t="str">
        <f t="shared" si="149"/>
        <v>Texas Rangers</v>
      </c>
      <c r="K1945" s="60">
        <f t="shared" si="150"/>
        <v>2</v>
      </c>
      <c r="L1945">
        <f t="shared" si="151"/>
        <v>6</v>
      </c>
    </row>
    <row r="1946" spans="1:12" x14ac:dyDescent="0.25">
      <c r="G1946" t="str">
        <f t="shared" si="146"/>
        <v>05/18/19</v>
      </c>
      <c r="H1946" t="str">
        <f t="shared" si="147"/>
        <v/>
      </c>
      <c r="I1946" s="60" t="str">
        <f t="shared" si="148"/>
        <v/>
      </c>
      <c r="J1946" t="str">
        <f t="shared" si="149"/>
        <v/>
      </c>
      <c r="K1946" s="60" t="str">
        <f t="shared" si="150"/>
        <v/>
      </c>
      <c r="L1946" t="str">
        <f t="shared" si="151"/>
        <v/>
      </c>
    </row>
    <row r="1947" spans="1:12" x14ac:dyDescent="0.25">
      <c r="A1947" t="s">
        <v>2412</v>
      </c>
      <c r="G1947" t="str">
        <f t="shared" si="146"/>
        <v>05/18/19</v>
      </c>
      <c r="H1947" t="str">
        <f t="shared" si="147"/>
        <v>Chicago Cubs</v>
      </c>
      <c r="I1947" s="60">
        <f t="shared" si="148"/>
        <v>2</v>
      </c>
      <c r="J1947" t="str">
        <f t="shared" si="149"/>
        <v>Washington Nationals</v>
      </c>
      <c r="K1947" s="60">
        <f t="shared" si="150"/>
        <v>5</v>
      </c>
      <c r="L1947">
        <f t="shared" si="151"/>
        <v>-3</v>
      </c>
    </row>
    <row r="1948" spans="1:12" x14ac:dyDescent="0.25">
      <c r="G1948" t="str">
        <f t="shared" si="146"/>
        <v>05/18/19</v>
      </c>
      <c r="H1948" t="str">
        <f t="shared" si="147"/>
        <v/>
      </c>
      <c r="I1948" s="60" t="str">
        <f t="shared" si="148"/>
        <v/>
      </c>
      <c r="J1948" t="str">
        <f t="shared" si="149"/>
        <v/>
      </c>
      <c r="K1948" s="60" t="str">
        <f t="shared" si="150"/>
        <v/>
      </c>
      <c r="L1948" t="str">
        <f t="shared" si="151"/>
        <v/>
      </c>
    </row>
    <row r="1949" spans="1:12" x14ac:dyDescent="0.25">
      <c r="A1949" t="s">
        <v>2413</v>
      </c>
      <c r="G1949" t="str">
        <f t="shared" si="146"/>
        <v>05/18/19</v>
      </c>
      <c r="H1949" t="str">
        <f t="shared" si="147"/>
        <v/>
      </c>
      <c r="I1949" s="60" t="str">
        <f t="shared" si="148"/>
        <v/>
      </c>
      <c r="J1949" t="str">
        <f t="shared" si="149"/>
        <v/>
      </c>
      <c r="K1949" s="60" t="str">
        <f t="shared" si="150"/>
        <v/>
      </c>
      <c r="L1949" t="str">
        <f t="shared" si="151"/>
        <v/>
      </c>
    </row>
    <row r="1950" spans="1:12" x14ac:dyDescent="0.25">
      <c r="G1950" t="str">
        <f t="shared" si="146"/>
        <v>05/18/19</v>
      </c>
      <c r="H1950" t="str">
        <f t="shared" si="147"/>
        <v/>
      </c>
      <c r="I1950" s="60" t="str">
        <f t="shared" si="148"/>
        <v/>
      </c>
      <c r="J1950" t="str">
        <f t="shared" si="149"/>
        <v/>
      </c>
      <c r="K1950" s="60" t="str">
        <f t="shared" si="150"/>
        <v/>
      </c>
      <c r="L1950" t="str">
        <f t="shared" si="151"/>
        <v/>
      </c>
    </row>
    <row r="1951" spans="1:12" x14ac:dyDescent="0.25">
      <c r="A1951" t="s">
        <v>2414</v>
      </c>
      <c r="G1951" t="str">
        <f t="shared" si="146"/>
        <v>05/19/19</v>
      </c>
      <c r="H1951" t="str">
        <f t="shared" si="147"/>
        <v/>
      </c>
      <c r="I1951" s="60" t="str">
        <f t="shared" si="148"/>
        <v/>
      </c>
      <c r="J1951" t="str">
        <f t="shared" si="149"/>
        <v/>
      </c>
      <c r="K1951" s="60" t="str">
        <f t="shared" si="150"/>
        <v/>
      </c>
      <c r="L1951" t="str">
        <f t="shared" si="151"/>
        <v/>
      </c>
    </row>
    <row r="1952" spans="1:12" x14ac:dyDescent="0.25">
      <c r="G1952" t="str">
        <f t="shared" si="146"/>
        <v>05/19/19</v>
      </c>
      <c r="H1952" t="str">
        <f t="shared" si="147"/>
        <v/>
      </c>
      <c r="I1952" s="60" t="str">
        <f t="shared" si="148"/>
        <v/>
      </c>
      <c r="J1952" t="str">
        <f t="shared" si="149"/>
        <v/>
      </c>
      <c r="K1952" s="60" t="str">
        <f t="shared" si="150"/>
        <v/>
      </c>
      <c r="L1952" t="str">
        <f t="shared" si="151"/>
        <v/>
      </c>
    </row>
    <row r="1953" spans="1:12" x14ac:dyDescent="0.25">
      <c r="A1953" t="s">
        <v>2415</v>
      </c>
      <c r="G1953" t="str">
        <f t="shared" si="146"/>
        <v>05/19/19</v>
      </c>
      <c r="H1953" t="str">
        <f t="shared" si="147"/>
        <v>Kansas City Royals</v>
      </c>
      <c r="I1953" s="60">
        <f t="shared" si="148"/>
        <v>5</v>
      </c>
      <c r="J1953" t="str">
        <f t="shared" si="149"/>
        <v>Los Angeles Angels</v>
      </c>
      <c r="K1953" s="60">
        <f t="shared" si="150"/>
        <v>1</v>
      </c>
      <c r="L1953">
        <f t="shared" si="151"/>
        <v>4</v>
      </c>
    </row>
    <row r="1954" spans="1:12" x14ac:dyDescent="0.25">
      <c r="G1954" t="str">
        <f t="shared" ref="G1954:G2017" si="152">IF(ISNUMBER(MATCH(IFERROR(LEFT(A1954,SEARCH(",",A1954)-1),""),$G$220:$M$220,0)),TEXT(MID(A1954,SEARCH(",",A1954)+2,LEN(A1954)),"mm/dd/yy"),G1953)</f>
        <v>05/19/19</v>
      </c>
      <c r="H1954" t="str">
        <f t="shared" si="147"/>
        <v/>
      </c>
      <c r="I1954" s="60" t="str">
        <f t="shared" si="148"/>
        <v/>
      </c>
      <c r="J1954" t="str">
        <f t="shared" si="149"/>
        <v/>
      </c>
      <c r="K1954" s="60" t="str">
        <f t="shared" si="150"/>
        <v/>
      </c>
      <c r="L1954" t="str">
        <f t="shared" si="151"/>
        <v/>
      </c>
    </row>
    <row r="1955" spans="1:12" x14ac:dyDescent="0.25">
      <c r="A1955" t="s">
        <v>2416</v>
      </c>
      <c r="G1955" t="str">
        <f t="shared" si="152"/>
        <v>05/19/19</v>
      </c>
      <c r="H1955" t="str">
        <f t="shared" si="147"/>
        <v>San Francisco Giants</v>
      </c>
      <c r="I1955" s="60">
        <f t="shared" si="148"/>
        <v>3</v>
      </c>
      <c r="J1955" t="str">
        <f t="shared" si="149"/>
        <v>Arizona D'Backs</v>
      </c>
      <c r="K1955" s="60">
        <f t="shared" si="150"/>
        <v>2</v>
      </c>
      <c r="L1955">
        <f t="shared" si="151"/>
        <v>1</v>
      </c>
    </row>
    <row r="1956" spans="1:12" x14ac:dyDescent="0.25">
      <c r="G1956" t="str">
        <f t="shared" si="152"/>
        <v>05/19/19</v>
      </c>
      <c r="H1956" t="str">
        <f t="shared" si="147"/>
        <v/>
      </c>
      <c r="I1956" s="60" t="str">
        <f t="shared" si="148"/>
        <v/>
      </c>
      <c r="J1956" t="str">
        <f t="shared" si="149"/>
        <v/>
      </c>
      <c r="K1956" s="60" t="str">
        <f t="shared" si="150"/>
        <v/>
      </c>
      <c r="L1956" t="str">
        <f t="shared" si="151"/>
        <v/>
      </c>
    </row>
    <row r="1957" spans="1:12" x14ac:dyDescent="0.25">
      <c r="A1957" t="s">
        <v>2417</v>
      </c>
      <c r="G1957" t="str">
        <f t="shared" si="152"/>
        <v>05/19/19</v>
      </c>
      <c r="H1957" t="str">
        <f t="shared" si="147"/>
        <v>Milwaukee Brewers</v>
      </c>
      <c r="I1957" s="60">
        <f t="shared" si="148"/>
        <v>3</v>
      </c>
      <c r="J1957" t="str">
        <f t="shared" si="149"/>
        <v>Atlanta Braves</v>
      </c>
      <c r="K1957" s="60">
        <f t="shared" si="150"/>
        <v>2</v>
      </c>
      <c r="L1957">
        <f t="shared" si="151"/>
        <v>1</v>
      </c>
    </row>
    <row r="1958" spans="1:12" x14ac:dyDescent="0.25">
      <c r="G1958" t="str">
        <f t="shared" si="152"/>
        <v>05/19/19</v>
      </c>
      <c r="H1958" t="str">
        <f t="shared" si="147"/>
        <v/>
      </c>
      <c r="I1958" s="60" t="str">
        <f t="shared" si="148"/>
        <v/>
      </c>
      <c r="J1958" t="str">
        <f t="shared" si="149"/>
        <v/>
      </c>
      <c r="K1958" s="60" t="str">
        <f t="shared" si="150"/>
        <v/>
      </c>
      <c r="L1958" t="str">
        <f t="shared" si="151"/>
        <v/>
      </c>
    </row>
    <row r="1959" spans="1:12" x14ac:dyDescent="0.25">
      <c r="A1959" t="s">
        <v>2418</v>
      </c>
      <c r="G1959" t="str">
        <f t="shared" si="152"/>
        <v>05/19/19</v>
      </c>
      <c r="H1959" t="str">
        <f t="shared" si="147"/>
        <v>Houston Astros</v>
      </c>
      <c r="I1959" s="60">
        <f t="shared" si="148"/>
        <v>3</v>
      </c>
      <c r="J1959" t="str">
        <f t="shared" si="149"/>
        <v>Boston Red Sox</v>
      </c>
      <c r="K1959" s="60">
        <f t="shared" si="150"/>
        <v>4</v>
      </c>
      <c r="L1959">
        <f t="shared" si="151"/>
        <v>-1</v>
      </c>
    </row>
    <row r="1960" spans="1:12" x14ac:dyDescent="0.25">
      <c r="G1960" t="str">
        <f t="shared" si="152"/>
        <v>05/19/19</v>
      </c>
      <c r="H1960" t="str">
        <f t="shared" si="147"/>
        <v/>
      </c>
      <c r="I1960" s="60" t="str">
        <f t="shared" si="148"/>
        <v/>
      </c>
      <c r="J1960" t="str">
        <f t="shared" si="149"/>
        <v/>
      </c>
      <c r="K1960" s="60" t="str">
        <f t="shared" si="150"/>
        <v/>
      </c>
      <c r="L1960" t="str">
        <f t="shared" si="151"/>
        <v/>
      </c>
    </row>
    <row r="1961" spans="1:12" x14ac:dyDescent="0.25">
      <c r="A1961" t="s">
        <v>2419</v>
      </c>
      <c r="G1961" t="str">
        <f t="shared" si="152"/>
        <v>05/19/19</v>
      </c>
      <c r="H1961" t="str">
        <f t="shared" si="147"/>
        <v>Toronto Blue Jays</v>
      </c>
      <c r="I1961" s="60">
        <f t="shared" si="148"/>
        <v>5</v>
      </c>
      <c r="J1961" t="str">
        <f t="shared" si="149"/>
        <v>Chicago White Sox</v>
      </c>
      <c r="K1961" s="60">
        <f t="shared" si="150"/>
        <v>2</v>
      </c>
      <c r="L1961">
        <f t="shared" si="151"/>
        <v>3</v>
      </c>
    </row>
    <row r="1962" spans="1:12" x14ac:dyDescent="0.25">
      <c r="G1962" t="str">
        <f t="shared" si="152"/>
        <v>05/19/19</v>
      </c>
      <c r="H1962" t="str">
        <f t="shared" si="147"/>
        <v/>
      </c>
      <c r="I1962" s="60" t="str">
        <f t="shared" si="148"/>
        <v/>
      </c>
      <c r="J1962" t="str">
        <f t="shared" si="149"/>
        <v/>
      </c>
      <c r="K1962" s="60" t="str">
        <f t="shared" si="150"/>
        <v/>
      </c>
      <c r="L1962" t="str">
        <f t="shared" si="151"/>
        <v/>
      </c>
    </row>
    <row r="1963" spans="1:12" x14ac:dyDescent="0.25">
      <c r="A1963" t="s">
        <v>2420</v>
      </c>
      <c r="G1963" t="str">
        <f t="shared" si="152"/>
        <v>05/19/19</v>
      </c>
      <c r="H1963" t="str">
        <f t="shared" si="147"/>
        <v>Los Angeles Dodgers</v>
      </c>
      <c r="I1963" s="60">
        <f t="shared" si="148"/>
        <v>8</v>
      </c>
      <c r="J1963" t="str">
        <f t="shared" si="149"/>
        <v>Cincinnati Reds</v>
      </c>
      <c r="K1963" s="60">
        <f t="shared" si="150"/>
        <v>3</v>
      </c>
      <c r="L1963">
        <f t="shared" si="151"/>
        <v>5</v>
      </c>
    </row>
    <row r="1964" spans="1:12" x14ac:dyDescent="0.25">
      <c r="G1964" t="str">
        <f t="shared" si="152"/>
        <v>05/19/19</v>
      </c>
      <c r="H1964" t="str">
        <f t="shared" si="147"/>
        <v/>
      </c>
      <c r="I1964" s="60" t="str">
        <f t="shared" si="148"/>
        <v/>
      </c>
      <c r="J1964" t="str">
        <f t="shared" si="149"/>
        <v/>
      </c>
      <c r="K1964" s="60" t="str">
        <f t="shared" si="150"/>
        <v/>
      </c>
      <c r="L1964" t="str">
        <f t="shared" si="151"/>
        <v/>
      </c>
    </row>
    <row r="1965" spans="1:12" x14ac:dyDescent="0.25">
      <c r="A1965" t="s">
        <v>2421</v>
      </c>
      <c r="G1965" t="str">
        <f t="shared" si="152"/>
        <v>05/19/19</v>
      </c>
      <c r="H1965" t="str">
        <f t="shared" si="147"/>
        <v>Baltimore Orioles</v>
      </c>
      <c r="I1965" s="60">
        <f t="shared" si="148"/>
        <v>0</v>
      </c>
      <c r="J1965" t="str">
        <f t="shared" si="149"/>
        <v>Cleveland Indians</v>
      </c>
      <c r="K1965" s="60">
        <f t="shared" si="150"/>
        <v>10</v>
      </c>
      <c r="L1965">
        <f t="shared" si="151"/>
        <v>-10</v>
      </c>
    </row>
    <row r="1966" spans="1:12" x14ac:dyDescent="0.25">
      <c r="G1966" t="str">
        <f t="shared" si="152"/>
        <v>05/19/19</v>
      </c>
      <c r="H1966" t="str">
        <f t="shared" si="147"/>
        <v/>
      </c>
      <c r="I1966" s="60" t="str">
        <f t="shared" si="148"/>
        <v/>
      </c>
      <c r="J1966" t="str">
        <f t="shared" si="149"/>
        <v/>
      </c>
      <c r="K1966" s="60" t="str">
        <f t="shared" si="150"/>
        <v/>
      </c>
      <c r="L1966" t="str">
        <f t="shared" si="151"/>
        <v/>
      </c>
    </row>
    <row r="1967" spans="1:12" x14ac:dyDescent="0.25">
      <c r="A1967" t="s">
        <v>4184</v>
      </c>
      <c r="G1967" t="str">
        <f t="shared" si="152"/>
        <v>05/19/19</v>
      </c>
      <c r="H1967" t="str">
        <f t="shared" si="147"/>
        <v>Oakland Athletics</v>
      </c>
      <c r="I1967" s="60">
        <f t="shared" si="148"/>
        <v>7</v>
      </c>
      <c r="J1967" t="str">
        <f t="shared" si="149"/>
        <v>Detroit Tigers</v>
      </c>
      <c r="K1967" s="60">
        <f t="shared" si="150"/>
        <v>3</v>
      </c>
      <c r="L1967">
        <f t="shared" si="151"/>
        <v>4</v>
      </c>
    </row>
    <row r="1968" spans="1:12" x14ac:dyDescent="0.25">
      <c r="G1968" t="str">
        <f t="shared" si="152"/>
        <v>05/19/19</v>
      </c>
      <c r="H1968" t="str">
        <f t="shared" si="147"/>
        <v/>
      </c>
      <c r="I1968" s="60" t="str">
        <f t="shared" si="148"/>
        <v/>
      </c>
      <c r="J1968" t="str">
        <f t="shared" si="149"/>
        <v/>
      </c>
      <c r="K1968" s="60" t="str">
        <f t="shared" si="150"/>
        <v/>
      </c>
      <c r="L1968" t="str">
        <f t="shared" si="151"/>
        <v/>
      </c>
    </row>
    <row r="1969" spans="1:12" x14ac:dyDescent="0.25">
      <c r="A1969" t="s">
        <v>2422</v>
      </c>
      <c r="G1969" t="str">
        <f t="shared" si="152"/>
        <v>05/19/19</v>
      </c>
      <c r="H1969" t="str">
        <f t="shared" si="147"/>
        <v>New York Mets</v>
      </c>
      <c r="I1969" s="60">
        <f t="shared" si="148"/>
        <v>0</v>
      </c>
      <c r="J1969" t="str">
        <f t="shared" si="149"/>
        <v>Miami Marlins</v>
      </c>
      <c r="K1969" s="60">
        <f t="shared" si="150"/>
        <v>3</v>
      </c>
      <c r="L1969">
        <f t="shared" si="151"/>
        <v>-3</v>
      </c>
    </row>
    <row r="1970" spans="1:12" x14ac:dyDescent="0.25">
      <c r="G1970" t="str">
        <f t="shared" si="152"/>
        <v>05/19/19</v>
      </c>
      <c r="H1970" t="str">
        <f t="shared" si="147"/>
        <v/>
      </c>
      <c r="I1970" s="60" t="str">
        <f t="shared" si="148"/>
        <v/>
      </c>
      <c r="J1970" t="str">
        <f t="shared" si="149"/>
        <v/>
      </c>
      <c r="K1970" s="60" t="str">
        <f t="shared" si="150"/>
        <v/>
      </c>
      <c r="L1970" t="str">
        <f t="shared" si="151"/>
        <v/>
      </c>
    </row>
    <row r="1971" spans="1:12" x14ac:dyDescent="0.25">
      <c r="A1971" t="s">
        <v>2423</v>
      </c>
      <c r="G1971" t="str">
        <f t="shared" si="152"/>
        <v>05/19/19</v>
      </c>
      <c r="H1971" t="str">
        <f t="shared" si="147"/>
        <v>Tampa Bay Rays</v>
      </c>
      <c r="I1971" s="60">
        <f t="shared" si="148"/>
        <v>5</v>
      </c>
      <c r="J1971" t="str">
        <f t="shared" si="149"/>
        <v>New York Yankees</v>
      </c>
      <c r="K1971" s="60">
        <f t="shared" si="150"/>
        <v>13</v>
      </c>
      <c r="L1971">
        <f t="shared" si="151"/>
        <v>-8</v>
      </c>
    </row>
    <row r="1972" spans="1:12" x14ac:dyDescent="0.25">
      <c r="G1972" t="str">
        <f t="shared" si="152"/>
        <v>05/19/19</v>
      </c>
      <c r="H1972" t="str">
        <f t="shared" si="147"/>
        <v/>
      </c>
      <c r="I1972" s="60" t="str">
        <f t="shared" si="148"/>
        <v/>
      </c>
      <c r="J1972" t="str">
        <f t="shared" si="149"/>
        <v/>
      </c>
      <c r="K1972" s="60" t="str">
        <f t="shared" si="150"/>
        <v/>
      </c>
      <c r="L1972" t="str">
        <f t="shared" si="151"/>
        <v/>
      </c>
    </row>
    <row r="1973" spans="1:12" x14ac:dyDescent="0.25">
      <c r="A1973" t="s">
        <v>2424</v>
      </c>
      <c r="G1973" t="str">
        <f t="shared" si="152"/>
        <v>05/19/19</v>
      </c>
      <c r="H1973" t="str">
        <f t="shared" si="147"/>
        <v>Colorado Rockies</v>
      </c>
      <c r="I1973" s="60">
        <f t="shared" si="148"/>
        <v>5</v>
      </c>
      <c r="J1973" t="str">
        <f t="shared" si="149"/>
        <v>Philadelphia Phillies</v>
      </c>
      <c r="K1973" s="60">
        <f t="shared" si="150"/>
        <v>7</v>
      </c>
      <c r="L1973">
        <f t="shared" si="151"/>
        <v>-2</v>
      </c>
    </row>
    <row r="1974" spans="1:12" x14ac:dyDescent="0.25">
      <c r="G1974" t="str">
        <f t="shared" si="152"/>
        <v>05/19/19</v>
      </c>
      <c r="H1974" t="str">
        <f t="shared" si="147"/>
        <v/>
      </c>
      <c r="I1974" s="60" t="str">
        <f t="shared" si="148"/>
        <v/>
      </c>
      <c r="J1974" t="str">
        <f t="shared" si="149"/>
        <v/>
      </c>
      <c r="K1974" s="60" t="str">
        <f t="shared" si="150"/>
        <v/>
      </c>
      <c r="L1974" t="str">
        <f t="shared" si="151"/>
        <v/>
      </c>
    </row>
    <row r="1975" spans="1:12" x14ac:dyDescent="0.25">
      <c r="A1975" t="s">
        <v>2425</v>
      </c>
      <c r="G1975" t="str">
        <f t="shared" si="152"/>
        <v>05/19/19</v>
      </c>
      <c r="H1975" t="str">
        <f t="shared" si="147"/>
        <v>Pittsburgh Pirates</v>
      </c>
      <c r="I1975" s="60">
        <f t="shared" si="148"/>
        <v>6</v>
      </c>
      <c r="J1975" t="str">
        <f t="shared" si="149"/>
        <v>San Diego Padres</v>
      </c>
      <c r="K1975" s="60">
        <f t="shared" si="150"/>
        <v>4</v>
      </c>
      <c r="L1975">
        <f t="shared" si="151"/>
        <v>2</v>
      </c>
    </row>
    <row r="1976" spans="1:12" x14ac:dyDescent="0.25">
      <c r="G1976" t="str">
        <f t="shared" si="152"/>
        <v>05/19/19</v>
      </c>
      <c r="H1976" t="str">
        <f t="shared" si="147"/>
        <v/>
      </c>
      <c r="I1976" s="60" t="str">
        <f t="shared" si="148"/>
        <v/>
      </c>
      <c r="J1976" t="str">
        <f t="shared" si="149"/>
        <v/>
      </c>
      <c r="K1976" s="60" t="str">
        <f t="shared" si="150"/>
        <v/>
      </c>
      <c r="L1976" t="str">
        <f t="shared" si="151"/>
        <v/>
      </c>
    </row>
    <row r="1977" spans="1:12" x14ac:dyDescent="0.25">
      <c r="A1977" t="s">
        <v>2426</v>
      </c>
      <c r="G1977" t="str">
        <f t="shared" si="152"/>
        <v>05/19/19</v>
      </c>
      <c r="H1977" t="str">
        <f t="shared" si="147"/>
        <v>Minnesota Twins</v>
      </c>
      <c r="I1977" s="60">
        <f t="shared" si="148"/>
        <v>4</v>
      </c>
      <c r="J1977" t="str">
        <f t="shared" si="149"/>
        <v>Seattle Mariners</v>
      </c>
      <c r="K1977" s="60">
        <f t="shared" si="150"/>
        <v>7</v>
      </c>
      <c r="L1977">
        <f t="shared" si="151"/>
        <v>-3</v>
      </c>
    </row>
    <row r="1978" spans="1:12" x14ac:dyDescent="0.25">
      <c r="G1978" t="str">
        <f t="shared" si="152"/>
        <v>05/19/19</v>
      </c>
      <c r="H1978" t="str">
        <f t="shared" si="147"/>
        <v/>
      </c>
      <c r="I1978" s="60" t="str">
        <f t="shared" si="148"/>
        <v/>
      </c>
      <c r="J1978" t="str">
        <f t="shared" si="149"/>
        <v/>
      </c>
      <c r="K1978" s="60" t="str">
        <f t="shared" si="150"/>
        <v/>
      </c>
      <c r="L1978" t="str">
        <f t="shared" si="151"/>
        <v/>
      </c>
    </row>
    <row r="1979" spans="1:12" x14ac:dyDescent="0.25">
      <c r="A1979" t="s">
        <v>2427</v>
      </c>
      <c r="G1979" t="str">
        <f t="shared" si="152"/>
        <v>05/19/19</v>
      </c>
      <c r="H1979" t="str">
        <f t="shared" si="147"/>
        <v>St. Louis Cardinals</v>
      </c>
      <c r="I1979" s="60">
        <f t="shared" si="148"/>
        <v>4</v>
      </c>
      <c r="J1979" t="str">
        <f t="shared" si="149"/>
        <v>Texas Rangers</v>
      </c>
      <c r="K1979" s="60">
        <f t="shared" si="150"/>
        <v>5</v>
      </c>
      <c r="L1979">
        <f t="shared" si="151"/>
        <v>-1</v>
      </c>
    </row>
    <row r="1980" spans="1:12" x14ac:dyDescent="0.25">
      <c r="G1980" t="str">
        <f t="shared" si="152"/>
        <v>05/19/19</v>
      </c>
      <c r="H1980" t="str">
        <f t="shared" si="147"/>
        <v/>
      </c>
      <c r="I1980" s="60" t="str">
        <f t="shared" si="148"/>
        <v/>
      </c>
      <c r="J1980" t="str">
        <f t="shared" si="149"/>
        <v/>
      </c>
      <c r="K1980" s="60" t="str">
        <f t="shared" si="150"/>
        <v/>
      </c>
      <c r="L1980" t="str">
        <f t="shared" si="151"/>
        <v/>
      </c>
    </row>
    <row r="1981" spans="1:12" x14ac:dyDescent="0.25">
      <c r="A1981" t="s">
        <v>2428</v>
      </c>
      <c r="G1981" t="str">
        <f t="shared" si="152"/>
        <v>05/19/19</v>
      </c>
      <c r="H1981" t="str">
        <f t="shared" si="147"/>
        <v>Chicago Cubs</v>
      </c>
      <c r="I1981" s="60">
        <f t="shared" si="148"/>
        <v>6</v>
      </c>
      <c r="J1981" t="str">
        <f t="shared" si="149"/>
        <v>Washington Nationals</v>
      </c>
      <c r="K1981" s="60">
        <f t="shared" si="150"/>
        <v>5</v>
      </c>
      <c r="L1981">
        <f t="shared" si="151"/>
        <v>1</v>
      </c>
    </row>
    <row r="1982" spans="1:12" x14ac:dyDescent="0.25">
      <c r="G1982" t="str">
        <f t="shared" si="152"/>
        <v>05/19/19</v>
      </c>
      <c r="H1982" t="str">
        <f t="shared" si="147"/>
        <v/>
      </c>
      <c r="I1982" s="60" t="str">
        <f t="shared" si="148"/>
        <v/>
      </c>
      <c r="J1982" t="str">
        <f t="shared" si="149"/>
        <v/>
      </c>
      <c r="K1982" s="60" t="str">
        <f t="shared" si="150"/>
        <v/>
      </c>
      <c r="L1982" t="str">
        <f t="shared" si="151"/>
        <v/>
      </c>
    </row>
    <row r="1983" spans="1:12" x14ac:dyDescent="0.25">
      <c r="A1983" t="s">
        <v>2429</v>
      </c>
      <c r="G1983" t="str">
        <f t="shared" si="152"/>
        <v>05/19/19</v>
      </c>
      <c r="H1983" t="str">
        <f t="shared" si="147"/>
        <v/>
      </c>
      <c r="I1983" s="60" t="str">
        <f t="shared" si="148"/>
        <v/>
      </c>
      <c r="J1983" t="str">
        <f t="shared" si="149"/>
        <v/>
      </c>
      <c r="K1983" s="60" t="str">
        <f t="shared" si="150"/>
        <v/>
      </c>
      <c r="L1983" t="str">
        <f t="shared" si="151"/>
        <v/>
      </c>
    </row>
    <row r="1984" spans="1:12" x14ac:dyDescent="0.25">
      <c r="G1984" t="str">
        <f t="shared" si="152"/>
        <v>05/19/19</v>
      </c>
      <c r="H1984" t="str">
        <f t="shared" si="147"/>
        <v/>
      </c>
      <c r="I1984" s="60" t="str">
        <f t="shared" si="148"/>
        <v/>
      </c>
      <c r="J1984" t="str">
        <f t="shared" si="149"/>
        <v/>
      </c>
      <c r="K1984" s="60" t="str">
        <f t="shared" si="150"/>
        <v/>
      </c>
      <c r="L1984" t="str">
        <f t="shared" si="151"/>
        <v/>
      </c>
    </row>
    <row r="1985" spans="1:12" x14ac:dyDescent="0.25">
      <c r="A1985" t="s">
        <v>2430</v>
      </c>
      <c r="G1985" t="str">
        <f t="shared" si="152"/>
        <v>05/20/19</v>
      </c>
      <c r="H1985" t="str">
        <f t="shared" si="147"/>
        <v/>
      </c>
      <c r="I1985" s="60" t="str">
        <f t="shared" si="148"/>
        <v/>
      </c>
      <c r="J1985" t="str">
        <f t="shared" si="149"/>
        <v/>
      </c>
      <c r="K1985" s="60" t="str">
        <f t="shared" si="150"/>
        <v/>
      </c>
      <c r="L1985" t="str">
        <f t="shared" si="151"/>
        <v/>
      </c>
    </row>
    <row r="1986" spans="1:12" x14ac:dyDescent="0.25">
      <c r="G1986" t="str">
        <f t="shared" si="152"/>
        <v>05/20/19</v>
      </c>
      <c r="H1986" t="str">
        <f t="shared" si="147"/>
        <v/>
      </c>
      <c r="I1986" s="60" t="str">
        <f t="shared" si="148"/>
        <v/>
      </c>
      <c r="J1986" t="str">
        <f t="shared" si="149"/>
        <v/>
      </c>
      <c r="K1986" s="60" t="str">
        <f t="shared" si="150"/>
        <v/>
      </c>
      <c r="L1986" t="str">
        <f t="shared" si="151"/>
        <v/>
      </c>
    </row>
    <row r="1987" spans="1:12" x14ac:dyDescent="0.25">
      <c r="A1987" t="s">
        <v>2431</v>
      </c>
      <c r="G1987" t="str">
        <f t="shared" si="152"/>
        <v>05/20/19</v>
      </c>
      <c r="H1987" t="str">
        <f t="shared" si="147"/>
        <v>Minnesota Twins</v>
      </c>
      <c r="I1987" s="60">
        <f t="shared" si="148"/>
        <v>3</v>
      </c>
      <c r="J1987" t="str">
        <f t="shared" si="149"/>
        <v>Los Angeles Angels</v>
      </c>
      <c r="K1987" s="60">
        <f t="shared" si="150"/>
        <v>1</v>
      </c>
      <c r="L1987">
        <f t="shared" si="151"/>
        <v>2</v>
      </c>
    </row>
    <row r="1988" spans="1:12" x14ac:dyDescent="0.25">
      <c r="G1988" t="str">
        <f t="shared" si="152"/>
        <v>05/20/19</v>
      </c>
      <c r="H1988" t="str">
        <f t="shared" si="147"/>
        <v/>
      </c>
      <c r="I1988" s="60" t="str">
        <f t="shared" si="148"/>
        <v/>
      </c>
      <c r="J1988" t="str">
        <f t="shared" si="149"/>
        <v/>
      </c>
      <c r="K1988" s="60" t="str">
        <f t="shared" si="150"/>
        <v/>
      </c>
      <c r="L1988" t="str">
        <f t="shared" si="151"/>
        <v/>
      </c>
    </row>
    <row r="1989" spans="1:12" x14ac:dyDescent="0.25">
      <c r="A1989" t="s">
        <v>2432</v>
      </c>
      <c r="G1989" t="str">
        <f t="shared" si="152"/>
        <v>05/20/19</v>
      </c>
      <c r="H1989" t="str">
        <f t="shared" si="147"/>
        <v>New York Yankees</v>
      </c>
      <c r="I1989" s="60">
        <f t="shared" si="148"/>
        <v>10</v>
      </c>
      <c r="J1989" t="str">
        <f t="shared" si="149"/>
        <v>Baltimore Orioles</v>
      </c>
      <c r="K1989" s="60">
        <f t="shared" si="150"/>
        <v>7</v>
      </c>
      <c r="L1989">
        <f t="shared" si="151"/>
        <v>3</v>
      </c>
    </row>
    <row r="1990" spans="1:12" x14ac:dyDescent="0.25">
      <c r="G1990" t="str">
        <f t="shared" si="152"/>
        <v>05/20/19</v>
      </c>
      <c r="H1990" t="str">
        <f t="shared" si="147"/>
        <v/>
      </c>
      <c r="I1990" s="60" t="str">
        <f t="shared" si="148"/>
        <v/>
      </c>
      <c r="J1990" t="str">
        <f t="shared" si="149"/>
        <v/>
      </c>
      <c r="K1990" s="60" t="str">
        <f t="shared" si="150"/>
        <v/>
      </c>
      <c r="L1990" t="str">
        <f t="shared" si="151"/>
        <v/>
      </c>
    </row>
    <row r="1991" spans="1:12" x14ac:dyDescent="0.25">
      <c r="A1991" t="s">
        <v>2433</v>
      </c>
      <c r="G1991" t="str">
        <f t="shared" si="152"/>
        <v>05/20/19</v>
      </c>
      <c r="H1991" t="str">
        <f t="shared" si="147"/>
        <v>Philadelphia Phillies</v>
      </c>
      <c r="I1991" s="60">
        <f t="shared" si="148"/>
        <v>5</v>
      </c>
      <c r="J1991" t="str">
        <f t="shared" si="149"/>
        <v>Chicago Cubs</v>
      </c>
      <c r="K1991" s="60">
        <f t="shared" si="150"/>
        <v>4</v>
      </c>
      <c r="L1991">
        <f t="shared" si="151"/>
        <v>1</v>
      </c>
    </row>
    <row r="1992" spans="1:12" x14ac:dyDescent="0.25">
      <c r="G1992" t="str">
        <f t="shared" si="152"/>
        <v>05/20/19</v>
      </c>
      <c r="H1992" t="str">
        <f t="shared" si="147"/>
        <v/>
      </c>
      <c r="I1992" s="60" t="str">
        <f t="shared" si="148"/>
        <v/>
      </c>
      <c r="J1992" t="str">
        <f t="shared" si="149"/>
        <v/>
      </c>
      <c r="K1992" s="60" t="str">
        <f t="shared" si="150"/>
        <v/>
      </c>
      <c r="L1992" t="str">
        <f t="shared" si="151"/>
        <v/>
      </c>
    </row>
    <row r="1993" spans="1:12" x14ac:dyDescent="0.25">
      <c r="A1993" t="s">
        <v>2434</v>
      </c>
      <c r="G1993" t="str">
        <f t="shared" si="152"/>
        <v>05/20/19</v>
      </c>
      <c r="H1993" t="str">
        <f t="shared" si="147"/>
        <v>Oakland Athletics</v>
      </c>
      <c r="I1993" s="60">
        <f t="shared" si="148"/>
        <v>6</v>
      </c>
      <c r="J1993" t="str">
        <f t="shared" si="149"/>
        <v>Cleveland Indians</v>
      </c>
      <c r="K1993" s="60">
        <f t="shared" si="150"/>
        <v>4</v>
      </c>
      <c r="L1993">
        <f t="shared" si="151"/>
        <v>2</v>
      </c>
    </row>
    <row r="1994" spans="1:12" x14ac:dyDescent="0.25">
      <c r="G1994" t="str">
        <f t="shared" si="152"/>
        <v>05/20/19</v>
      </c>
      <c r="H1994" t="str">
        <f t="shared" si="147"/>
        <v/>
      </c>
      <c r="I1994" s="60" t="str">
        <f t="shared" si="148"/>
        <v/>
      </c>
      <c r="J1994" t="str">
        <f t="shared" si="149"/>
        <v/>
      </c>
      <c r="K1994" s="60" t="str">
        <f t="shared" si="150"/>
        <v/>
      </c>
      <c r="L1994" t="str">
        <f t="shared" si="151"/>
        <v/>
      </c>
    </row>
    <row r="1995" spans="1:12" x14ac:dyDescent="0.25">
      <c r="A1995" t="s">
        <v>2435</v>
      </c>
      <c r="G1995" t="str">
        <f t="shared" si="152"/>
        <v>05/20/19</v>
      </c>
      <c r="H1995" t="str">
        <f t="shared" si="147"/>
        <v>Chicago White Sox</v>
      </c>
      <c r="I1995" s="60">
        <f t="shared" si="148"/>
        <v>0</v>
      </c>
      <c r="J1995" t="str">
        <f t="shared" si="149"/>
        <v>Houston Astros</v>
      </c>
      <c r="K1995" s="60">
        <f t="shared" si="150"/>
        <v>3</v>
      </c>
      <c r="L1995">
        <f t="shared" si="151"/>
        <v>-3</v>
      </c>
    </row>
    <row r="1996" spans="1:12" x14ac:dyDescent="0.25">
      <c r="G1996" t="str">
        <f t="shared" si="152"/>
        <v>05/20/19</v>
      </c>
      <c r="H1996" t="str">
        <f t="shared" si="147"/>
        <v/>
      </c>
      <c r="I1996" s="60" t="str">
        <f t="shared" si="148"/>
        <v/>
      </c>
      <c r="J1996" t="str">
        <f t="shared" si="149"/>
        <v/>
      </c>
      <c r="K1996" s="60" t="str">
        <f t="shared" si="150"/>
        <v/>
      </c>
      <c r="L1996" t="str">
        <f t="shared" si="151"/>
        <v/>
      </c>
    </row>
    <row r="1997" spans="1:12" x14ac:dyDescent="0.25">
      <c r="A1997" t="s">
        <v>2436</v>
      </c>
      <c r="G1997" t="str">
        <f t="shared" si="152"/>
        <v>05/20/19</v>
      </c>
      <c r="H1997" t="str">
        <f t="shared" si="147"/>
        <v>Washington Nationals</v>
      </c>
      <c r="I1997" s="60">
        <f t="shared" si="148"/>
        <v>3</v>
      </c>
      <c r="J1997" t="str">
        <f t="shared" si="149"/>
        <v>New York Mets</v>
      </c>
      <c r="K1997" s="60">
        <f t="shared" si="150"/>
        <v>5</v>
      </c>
      <c r="L1997">
        <f t="shared" si="151"/>
        <v>-2</v>
      </c>
    </row>
    <row r="1998" spans="1:12" x14ac:dyDescent="0.25">
      <c r="G1998" t="str">
        <f t="shared" si="152"/>
        <v>05/20/19</v>
      </c>
      <c r="H1998" t="str">
        <f t="shared" si="147"/>
        <v/>
      </c>
      <c r="I1998" s="60" t="str">
        <f t="shared" si="148"/>
        <v/>
      </c>
      <c r="J1998" t="str">
        <f t="shared" si="149"/>
        <v/>
      </c>
      <c r="K1998" s="60" t="str">
        <f t="shared" si="150"/>
        <v/>
      </c>
      <c r="L1998" t="str">
        <f t="shared" si="151"/>
        <v/>
      </c>
    </row>
    <row r="1999" spans="1:12" x14ac:dyDescent="0.25">
      <c r="A1999" t="s">
        <v>2437</v>
      </c>
      <c r="G1999" t="str">
        <f t="shared" si="152"/>
        <v>05/20/19</v>
      </c>
      <c r="H1999" t="str">
        <f t="shared" si="147"/>
        <v>Arizona D'Backs</v>
      </c>
      <c r="I1999" s="60">
        <f t="shared" si="148"/>
        <v>1</v>
      </c>
      <c r="J1999" t="str">
        <f t="shared" si="149"/>
        <v>San Diego Padres</v>
      </c>
      <c r="K1999" s="60">
        <f t="shared" si="150"/>
        <v>2</v>
      </c>
      <c r="L1999">
        <f t="shared" si="151"/>
        <v>-1</v>
      </c>
    </row>
    <row r="2000" spans="1:12" x14ac:dyDescent="0.25">
      <c r="G2000" t="str">
        <f t="shared" si="152"/>
        <v>05/20/19</v>
      </c>
      <c r="H2000" t="str">
        <f t="shared" ref="H2000:H2063" si="153">IFERROR(LEFT(MID(A2000,1,SEARCH("@",A2000)-2),SEARCH("(",A2000)-2),"")</f>
        <v/>
      </c>
      <c r="I2000" s="60" t="str">
        <f t="shared" ref="I2000:I2063" si="154">IFERROR(VALUE(MID(A2000,SEARCH("(",A2000)+1,SEARCH(")",A2000)-SEARCH("(",A2000)-1)),"")</f>
        <v/>
      </c>
      <c r="J2000" t="str">
        <f t="shared" ref="J2000:J2063" si="155">IFERROR(MID(A2000,SEARCH("@",A2000)+2,SEARCH("(",A2000,SEARCH("@",A2000))-SEARCH("@",A2000)-3),"")</f>
        <v/>
      </c>
      <c r="K2000" s="60" t="str">
        <f t="shared" ref="K2000:K2063" si="156">IFERROR(VALUE(MID(A2000,SEARCH(J2000,A2000)+LEN(J2000)+2,(SEARCH(")",A2000,SEARCH("@",A2000))-SEARCH("(",A2000,SEARCH("@",A2000))-1))),"")</f>
        <v/>
      </c>
      <c r="L2000" t="str">
        <f t="shared" ref="L2000:L2063" si="157">IFERROR(I2000-K2000,"")</f>
        <v/>
      </c>
    </row>
    <row r="2001" spans="1:12" x14ac:dyDescent="0.25">
      <c r="A2001" t="s">
        <v>2438</v>
      </c>
      <c r="G2001" t="str">
        <f t="shared" si="152"/>
        <v>05/20/19</v>
      </c>
      <c r="H2001" t="str">
        <f t="shared" si="153"/>
        <v>Atlanta Braves</v>
      </c>
      <c r="I2001" s="60">
        <f t="shared" si="154"/>
        <v>4</v>
      </c>
      <c r="J2001" t="str">
        <f t="shared" si="155"/>
        <v>San Francisco Giants</v>
      </c>
      <c r="K2001" s="60">
        <f t="shared" si="156"/>
        <v>1</v>
      </c>
      <c r="L2001">
        <f t="shared" si="157"/>
        <v>3</v>
      </c>
    </row>
    <row r="2002" spans="1:12" x14ac:dyDescent="0.25">
      <c r="G2002" t="str">
        <f t="shared" si="152"/>
        <v>05/20/19</v>
      </c>
      <c r="H2002" t="str">
        <f t="shared" si="153"/>
        <v/>
      </c>
      <c r="I2002" s="60" t="str">
        <f t="shared" si="154"/>
        <v/>
      </c>
      <c r="J2002" t="str">
        <f t="shared" si="155"/>
        <v/>
      </c>
      <c r="K2002" s="60" t="str">
        <f t="shared" si="156"/>
        <v/>
      </c>
      <c r="L2002" t="str">
        <f t="shared" si="157"/>
        <v/>
      </c>
    </row>
    <row r="2003" spans="1:12" x14ac:dyDescent="0.25">
      <c r="A2003" t="s">
        <v>2439</v>
      </c>
      <c r="G2003" t="str">
        <f t="shared" si="152"/>
        <v>05/20/19</v>
      </c>
      <c r="H2003" t="str">
        <f t="shared" si="153"/>
        <v>Seattle Mariners</v>
      </c>
      <c r="I2003" s="60">
        <f t="shared" si="154"/>
        <v>9</v>
      </c>
      <c r="J2003" t="str">
        <f t="shared" si="155"/>
        <v>Texas Rangers</v>
      </c>
      <c r="K2003" s="60">
        <f t="shared" si="156"/>
        <v>10</v>
      </c>
      <c r="L2003">
        <f t="shared" si="157"/>
        <v>-1</v>
      </c>
    </row>
    <row r="2004" spans="1:12" x14ac:dyDescent="0.25">
      <c r="G2004" t="str">
        <f t="shared" si="152"/>
        <v>05/20/19</v>
      </c>
      <c r="H2004" t="str">
        <f t="shared" si="153"/>
        <v/>
      </c>
      <c r="I2004" s="60" t="str">
        <f t="shared" si="154"/>
        <v/>
      </c>
      <c r="J2004" t="str">
        <f t="shared" si="155"/>
        <v/>
      </c>
      <c r="K2004" s="60" t="str">
        <f t="shared" si="156"/>
        <v/>
      </c>
      <c r="L2004" t="str">
        <f t="shared" si="157"/>
        <v/>
      </c>
    </row>
    <row r="2005" spans="1:12" x14ac:dyDescent="0.25">
      <c r="A2005" t="s">
        <v>2440</v>
      </c>
      <c r="G2005" t="str">
        <f t="shared" si="152"/>
        <v>05/20/19</v>
      </c>
      <c r="H2005" t="str">
        <f t="shared" si="153"/>
        <v>Boston Red Sox</v>
      </c>
      <c r="I2005" s="60">
        <f t="shared" si="154"/>
        <v>12</v>
      </c>
      <c r="J2005" t="str">
        <f t="shared" si="155"/>
        <v>Toronto Blue Jays</v>
      </c>
      <c r="K2005" s="60">
        <f t="shared" si="156"/>
        <v>2</v>
      </c>
      <c r="L2005">
        <f t="shared" si="157"/>
        <v>10</v>
      </c>
    </row>
    <row r="2006" spans="1:12" x14ac:dyDescent="0.25">
      <c r="G2006" t="str">
        <f t="shared" si="152"/>
        <v>05/20/19</v>
      </c>
      <c r="H2006" t="str">
        <f t="shared" si="153"/>
        <v/>
      </c>
      <c r="I2006" s="60" t="str">
        <f t="shared" si="154"/>
        <v/>
      </c>
      <c r="J2006" t="str">
        <f t="shared" si="155"/>
        <v/>
      </c>
      <c r="K2006" s="60" t="str">
        <f t="shared" si="156"/>
        <v/>
      </c>
      <c r="L2006" t="str">
        <f t="shared" si="157"/>
        <v/>
      </c>
    </row>
    <row r="2007" spans="1:12" x14ac:dyDescent="0.25">
      <c r="A2007" t="s">
        <v>2441</v>
      </c>
      <c r="G2007" t="str">
        <f t="shared" si="152"/>
        <v>05/20/19</v>
      </c>
      <c r="H2007" t="str">
        <f t="shared" si="153"/>
        <v/>
      </c>
      <c r="I2007" s="60" t="str">
        <f t="shared" si="154"/>
        <v/>
      </c>
      <c r="J2007" t="str">
        <f t="shared" si="155"/>
        <v/>
      </c>
      <c r="K2007" s="60" t="str">
        <f t="shared" si="156"/>
        <v/>
      </c>
      <c r="L2007" t="str">
        <f t="shared" si="157"/>
        <v/>
      </c>
    </row>
    <row r="2008" spans="1:12" x14ac:dyDescent="0.25">
      <c r="G2008" t="str">
        <f t="shared" si="152"/>
        <v>05/20/19</v>
      </c>
      <c r="H2008" t="str">
        <f t="shared" si="153"/>
        <v/>
      </c>
      <c r="I2008" s="60" t="str">
        <f t="shared" si="154"/>
        <v/>
      </c>
      <c r="J2008" t="str">
        <f t="shared" si="155"/>
        <v/>
      </c>
      <c r="K2008" s="60" t="str">
        <f t="shared" si="156"/>
        <v/>
      </c>
      <c r="L2008" t="str">
        <f t="shared" si="157"/>
        <v/>
      </c>
    </row>
    <row r="2009" spans="1:12" x14ac:dyDescent="0.25">
      <c r="A2009" t="s">
        <v>2442</v>
      </c>
      <c r="G2009" t="str">
        <f t="shared" si="152"/>
        <v>05/21/19</v>
      </c>
      <c r="H2009" t="str">
        <f t="shared" si="153"/>
        <v/>
      </c>
      <c r="I2009" s="60" t="str">
        <f t="shared" si="154"/>
        <v/>
      </c>
      <c r="J2009" t="str">
        <f t="shared" si="155"/>
        <v/>
      </c>
      <c r="K2009" s="60" t="str">
        <f t="shared" si="156"/>
        <v/>
      </c>
      <c r="L2009" t="str">
        <f t="shared" si="157"/>
        <v/>
      </c>
    </row>
    <row r="2010" spans="1:12" x14ac:dyDescent="0.25">
      <c r="G2010" t="str">
        <f t="shared" si="152"/>
        <v>05/21/19</v>
      </c>
      <c r="H2010" t="str">
        <f t="shared" si="153"/>
        <v/>
      </c>
      <c r="I2010" s="60" t="str">
        <f t="shared" si="154"/>
        <v/>
      </c>
      <c r="J2010" t="str">
        <f t="shared" si="155"/>
        <v/>
      </c>
      <c r="K2010" s="60" t="str">
        <f t="shared" si="156"/>
        <v/>
      </c>
      <c r="L2010" t="str">
        <f t="shared" si="157"/>
        <v/>
      </c>
    </row>
    <row r="2011" spans="1:12" x14ac:dyDescent="0.25">
      <c r="A2011" t="s">
        <v>2443</v>
      </c>
      <c r="G2011" t="str">
        <f t="shared" si="152"/>
        <v>05/21/19</v>
      </c>
      <c r="H2011" t="str">
        <f t="shared" si="153"/>
        <v>Minnesota Twins</v>
      </c>
      <c r="I2011" s="60">
        <f t="shared" si="154"/>
        <v>8</v>
      </c>
      <c r="J2011" t="str">
        <f t="shared" si="155"/>
        <v>Los Angeles Angels</v>
      </c>
      <c r="K2011" s="60">
        <f t="shared" si="156"/>
        <v>3</v>
      </c>
      <c r="L2011">
        <f t="shared" si="157"/>
        <v>5</v>
      </c>
    </row>
    <row r="2012" spans="1:12" x14ac:dyDescent="0.25">
      <c r="G2012" t="str">
        <f t="shared" si="152"/>
        <v>05/21/19</v>
      </c>
      <c r="H2012" t="str">
        <f t="shared" si="153"/>
        <v/>
      </c>
      <c r="I2012" s="60" t="str">
        <f t="shared" si="154"/>
        <v/>
      </c>
      <c r="J2012" t="str">
        <f t="shared" si="155"/>
        <v/>
      </c>
      <c r="K2012" s="60" t="str">
        <f t="shared" si="156"/>
        <v/>
      </c>
      <c r="L2012" t="str">
        <f t="shared" si="157"/>
        <v/>
      </c>
    </row>
    <row r="2013" spans="1:12" x14ac:dyDescent="0.25">
      <c r="A2013" t="s">
        <v>2444</v>
      </c>
      <c r="G2013" t="str">
        <f t="shared" si="152"/>
        <v>05/21/19</v>
      </c>
      <c r="H2013" t="str">
        <f t="shared" si="153"/>
        <v>New York Yankees</v>
      </c>
      <c r="I2013" s="60">
        <f t="shared" si="154"/>
        <v>11</v>
      </c>
      <c r="J2013" t="str">
        <f t="shared" si="155"/>
        <v>Baltimore Orioles</v>
      </c>
      <c r="K2013" s="60">
        <f t="shared" si="156"/>
        <v>4</v>
      </c>
      <c r="L2013">
        <f t="shared" si="157"/>
        <v>7</v>
      </c>
    </row>
    <row r="2014" spans="1:12" x14ac:dyDescent="0.25">
      <c r="G2014" t="str">
        <f t="shared" si="152"/>
        <v>05/21/19</v>
      </c>
      <c r="H2014" t="str">
        <f t="shared" si="153"/>
        <v/>
      </c>
      <c r="I2014" s="60" t="str">
        <f t="shared" si="154"/>
        <v/>
      </c>
      <c r="J2014" t="str">
        <f t="shared" si="155"/>
        <v/>
      </c>
      <c r="K2014" s="60" t="str">
        <f t="shared" si="156"/>
        <v/>
      </c>
      <c r="L2014" t="str">
        <f t="shared" si="157"/>
        <v/>
      </c>
    </row>
    <row r="2015" spans="1:12" x14ac:dyDescent="0.25">
      <c r="A2015" t="s">
        <v>2445</v>
      </c>
      <c r="G2015" t="str">
        <f t="shared" si="152"/>
        <v>05/21/19</v>
      </c>
      <c r="H2015" t="str">
        <f t="shared" si="153"/>
        <v>Philadelphia Phillies</v>
      </c>
      <c r="I2015" s="60">
        <f t="shared" si="154"/>
        <v>2</v>
      </c>
      <c r="J2015" t="str">
        <f t="shared" si="155"/>
        <v>Chicago Cubs</v>
      </c>
      <c r="K2015" s="60">
        <f t="shared" si="156"/>
        <v>3</v>
      </c>
      <c r="L2015">
        <f t="shared" si="157"/>
        <v>-1</v>
      </c>
    </row>
    <row r="2016" spans="1:12" x14ac:dyDescent="0.25">
      <c r="G2016" t="str">
        <f t="shared" si="152"/>
        <v>05/21/19</v>
      </c>
      <c r="H2016" t="str">
        <f t="shared" si="153"/>
        <v/>
      </c>
      <c r="I2016" s="60" t="str">
        <f t="shared" si="154"/>
        <v/>
      </c>
      <c r="J2016" t="str">
        <f t="shared" si="155"/>
        <v/>
      </c>
      <c r="K2016" s="60" t="str">
        <f t="shared" si="156"/>
        <v/>
      </c>
      <c r="L2016" t="str">
        <f t="shared" si="157"/>
        <v/>
      </c>
    </row>
    <row r="2017" spans="1:12" x14ac:dyDescent="0.25">
      <c r="A2017" t="s">
        <v>2446</v>
      </c>
      <c r="G2017" t="str">
        <f t="shared" si="152"/>
        <v>05/21/19</v>
      </c>
      <c r="H2017" t="str">
        <f t="shared" si="153"/>
        <v>Oakland Athletics</v>
      </c>
      <c r="I2017" s="60">
        <f t="shared" si="154"/>
        <v>5</v>
      </c>
      <c r="J2017" t="str">
        <f t="shared" si="155"/>
        <v>Cleveland Indians</v>
      </c>
      <c r="K2017" s="60">
        <f t="shared" si="156"/>
        <v>3</v>
      </c>
      <c r="L2017">
        <f t="shared" si="157"/>
        <v>2</v>
      </c>
    </row>
    <row r="2018" spans="1:12" x14ac:dyDescent="0.25">
      <c r="G2018" t="str">
        <f t="shared" ref="G2018:G2081" si="158">IF(ISNUMBER(MATCH(IFERROR(LEFT(A2018,SEARCH(",",A2018)-1),""),$G$220:$M$220,0)),TEXT(MID(A2018,SEARCH(",",A2018)+2,LEN(A2018)),"mm/dd/yy"),G2017)</f>
        <v>05/21/19</v>
      </c>
      <c r="H2018" t="str">
        <f t="shared" si="153"/>
        <v/>
      </c>
      <c r="I2018" s="60" t="str">
        <f t="shared" si="154"/>
        <v/>
      </c>
      <c r="J2018" t="str">
        <f t="shared" si="155"/>
        <v/>
      </c>
      <c r="K2018" s="60" t="str">
        <f t="shared" si="156"/>
        <v/>
      </c>
      <c r="L2018" t="str">
        <f t="shared" si="157"/>
        <v/>
      </c>
    </row>
    <row r="2019" spans="1:12" x14ac:dyDescent="0.25">
      <c r="A2019" t="s">
        <v>2447</v>
      </c>
      <c r="G2019" t="str">
        <f t="shared" si="158"/>
        <v>05/21/19</v>
      </c>
      <c r="H2019" t="str">
        <f t="shared" si="153"/>
        <v>Miami Marlins</v>
      </c>
      <c r="I2019" s="60">
        <f t="shared" si="154"/>
        <v>5</v>
      </c>
      <c r="J2019" t="str">
        <f t="shared" si="155"/>
        <v>Detroit Tigers</v>
      </c>
      <c r="K2019" s="60">
        <f t="shared" si="156"/>
        <v>4</v>
      </c>
      <c r="L2019">
        <f t="shared" si="157"/>
        <v>1</v>
      </c>
    </row>
    <row r="2020" spans="1:12" x14ac:dyDescent="0.25">
      <c r="G2020" t="str">
        <f t="shared" si="158"/>
        <v>05/21/19</v>
      </c>
      <c r="H2020" t="str">
        <f t="shared" si="153"/>
        <v/>
      </c>
      <c r="I2020" s="60" t="str">
        <f t="shared" si="154"/>
        <v/>
      </c>
      <c r="J2020" t="str">
        <f t="shared" si="155"/>
        <v/>
      </c>
      <c r="K2020" s="60" t="str">
        <f t="shared" si="156"/>
        <v/>
      </c>
      <c r="L2020" t="str">
        <f t="shared" si="157"/>
        <v/>
      </c>
    </row>
    <row r="2021" spans="1:12" x14ac:dyDescent="0.25">
      <c r="A2021" t="s">
        <v>2448</v>
      </c>
      <c r="G2021" t="str">
        <f t="shared" si="158"/>
        <v>05/21/19</v>
      </c>
      <c r="H2021" t="str">
        <f t="shared" si="153"/>
        <v>Chicago White Sox</v>
      </c>
      <c r="I2021" s="60">
        <f t="shared" si="154"/>
        <v>1</v>
      </c>
      <c r="J2021" t="str">
        <f t="shared" si="155"/>
        <v>Houston Astros</v>
      </c>
      <c r="K2021" s="60">
        <f t="shared" si="156"/>
        <v>5</v>
      </c>
      <c r="L2021">
        <f t="shared" si="157"/>
        <v>-4</v>
      </c>
    </row>
    <row r="2022" spans="1:12" x14ac:dyDescent="0.25">
      <c r="G2022" t="str">
        <f t="shared" si="158"/>
        <v>05/21/19</v>
      </c>
      <c r="H2022" t="str">
        <f t="shared" si="153"/>
        <v/>
      </c>
      <c r="I2022" s="60" t="str">
        <f t="shared" si="154"/>
        <v/>
      </c>
      <c r="J2022" t="str">
        <f t="shared" si="155"/>
        <v/>
      </c>
      <c r="K2022" s="60" t="str">
        <f t="shared" si="156"/>
        <v/>
      </c>
      <c r="L2022" t="str">
        <f t="shared" si="157"/>
        <v/>
      </c>
    </row>
    <row r="2023" spans="1:12" x14ac:dyDescent="0.25">
      <c r="A2023" t="s">
        <v>2449</v>
      </c>
      <c r="G2023" t="str">
        <f t="shared" si="158"/>
        <v>05/21/19</v>
      </c>
      <c r="H2023" t="str">
        <f t="shared" si="153"/>
        <v>Cincinnati Reds</v>
      </c>
      <c r="I2023" s="60">
        <f t="shared" si="154"/>
        <v>3</v>
      </c>
      <c r="J2023" t="str">
        <f t="shared" si="155"/>
        <v>Milwaukee Brewers</v>
      </c>
      <c r="K2023" s="60">
        <f t="shared" si="156"/>
        <v>0</v>
      </c>
      <c r="L2023">
        <f t="shared" si="157"/>
        <v>3</v>
      </c>
    </row>
    <row r="2024" spans="1:12" x14ac:dyDescent="0.25">
      <c r="G2024" t="str">
        <f t="shared" si="158"/>
        <v>05/21/19</v>
      </c>
      <c r="H2024" t="str">
        <f t="shared" si="153"/>
        <v/>
      </c>
      <c r="I2024" s="60" t="str">
        <f t="shared" si="154"/>
        <v/>
      </c>
      <c r="J2024" t="str">
        <f t="shared" si="155"/>
        <v/>
      </c>
      <c r="K2024" s="60" t="str">
        <f t="shared" si="156"/>
        <v/>
      </c>
      <c r="L2024" t="str">
        <f t="shared" si="157"/>
        <v/>
      </c>
    </row>
    <row r="2025" spans="1:12" x14ac:dyDescent="0.25">
      <c r="A2025" t="s">
        <v>1780</v>
      </c>
      <c r="G2025" t="str">
        <f t="shared" si="158"/>
        <v>05/21/19</v>
      </c>
      <c r="H2025" t="str">
        <f t="shared" si="153"/>
        <v>Washington Nationals</v>
      </c>
      <c r="I2025" s="60">
        <f t="shared" si="154"/>
        <v>5</v>
      </c>
      <c r="J2025" t="str">
        <f t="shared" si="155"/>
        <v>New York Mets</v>
      </c>
      <c r="K2025" s="60">
        <f t="shared" si="156"/>
        <v>6</v>
      </c>
      <c r="L2025">
        <f t="shared" si="157"/>
        <v>-1</v>
      </c>
    </row>
    <row r="2026" spans="1:12" x14ac:dyDescent="0.25">
      <c r="G2026" t="str">
        <f t="shared" si="158"/>
        <v>05/21/19</v>
      </c>
      <c r="H2026" t="str">
        <f t="shared" si="153"/>
        <v/>
      </c>
      <c r="I2026" s="60" t="str">
        <f t="shared" si="154"/>
        <v/>
      </c>
      <c r="J2026" t="str">
        <f t="shared" si="155"/>
        <v/>
      </c>
      <c r="K2026" s="60" t="str">
        <f t="shared" si="156"/>
        <v/>
      </c>
      <c r="L2026" t="str">
        <f t="shared" si="157"/>
        <v/>
      </c>
    </row>
    <row r="2027" spans="1:12" x14ac:dyDescent="0.25">
      <c r="A2027" t="s">
        <v>2450</v>
      </c>
      <c r="G2027" t="str">
        <f t="shared" si="158"/>
        <v>05/21/19</v>
      </c>
      <c r="H2027" t="str">
        <f t="shared" si="153"/>
        <v>Colorado Rockies</v>
      </c>
      <c r="I2027" s="60">
        <f t="shared" si="154"/>
        <v>5</v>
      </c>
      <c r="J2027" t="str">
        <f t="shared" si="155"/>
        <v>Pittsburgh Pirates</v>
      </c>
      <c r="K2027" s="60">
        <f t="shared" si="156"/>
        <v>0</v>
      </c>
      <c r="L2027">
        <f t="shared" si="157"/>
        <v>5</v>
      </c>
    </row>
    <row r="2028" spans="1:12" x14ac:dyDescent="0.25">
      <c r="G2028" t="str">
        <f t="shared" si="158"/>
        <v>05/21/19</v>
      </c>
      <c r="H2028" t="str">
        <f t="shared" si="153"/>
        <v/>
      </c>
      <c r="I2028" s="60" t="str">
        <f t="shared" si="154"/>
        <v/>
      </c>
      <c r="J2028" t="str">
        <f t="shared" si="155"/>
        <v/>
      </c>
      <c r="K2028" s="60" t="str">
        <f t="shared" si="156"/>
        <v/>
      </c>
      <c r="L2028" t="str">
        <f t="shared" si="157"/>
        <v/>
      </c>
    </row>
    <row r="2029" spans="1:12" x14ac:dyDescent="0.25">
      <c r="A2029" t="s">
        <v>2451</v>
      </c>
      <c r="G2029" t="str">
        <f t="shared" si="158"/>
        <v>05/21/19</v>
      </c>
      <c r="H2029" t="str">
        <f t="shared" si="153"/>
        <v>Arizona D'Backs</v>
      </c>
      <c r="I2029" s="60">
        <f t="shared" si="154"/>
        <v>2</v>
      </c>
      <c r="J2029" t="str">
        <f t="shared" si="155"/>
        <v>San Diego Padres</v>
      </c>
      <c r="K2029" s="60">
        <f t="shared" si="156"/>
        <v>3</v>
      </c>
      <c r="L2029">
        <f t="shared" si="157"/>
        <v>-1</v>
      </c>
    </row>
    <row r="2030" spans="1:12" x14ac:dyDescent="0.25">
      <c r="G2030" t="str">
        <f t="shared" si="158"/>
        <v>05/21/19</v>
      </c>
      <c r="H2030" t="str">
        <f t="shared" si="153"/>
        <v/>
      </c>
      <c r="I2030" s="60" t="str">
        <f t="shared" si="154"/>
        <v/>
      </c>
      <c r="J2030" t="str">
        <f t="shared" si="155"/>
        <v/>
      </c>
      <c r="K2030" s="60" t="str">
        <f t="shared" si="156"/>
        <v/>
      </c>
      <c r="L2030" t="str">
        <f t="shared" si="157"/>
        <v/>
      </c>
    </row>
    <row r="2031" spans="1:12" x14ac:dyDescent="0.25">
      <c r="A2031" t="s">
        <v>2452</v>
      </c>
      <c r="G2031" t="str">
        <f t="shared" si="158"/>
        <v>05/21/19</v>
      </c>
      <c r="H2031" t="str">
        <f t="shared" si="153"/>
        <v>Atlanta Braves</v>
      </c>
      <c r="I2031" s="60">
        <f t="shared" si="154"/>
        <v>3</v>
      </c>
      <c r="J2031" t="str">
        <f t="shared" si="155"/>
        <v>San Francisco Giants</v>
      </c>
      <c r="K2031" s="60">
        <f t="shared" si="156"/>
        <v>4</v>
      </c>
      <c r="L2031">
        <f t="shared" si="157"/>
        <v>-1</v>
      </c>
    </row>
    <row r="2032" spans="1:12" x14ac:dyDescent="0.25">
      <c r="G2032" t="str">
        <f t="shared" si="158"/>
        <v>05/21/19</v>
      </c>
      <c r="H2032" t="str">
        <f t="shared" si="153"/>
        <v/>
      </c>
      <c r="I2032" s="60" t="str">
        <f t="shared" si="154"/>
        <v/>
      </c>
      <c r="J2032" t="str">
        <f t="shared" si="155"/>
        <v/>
      </c>
      <c r="K2032" s="60" t="str">
        <f t="shared" si="156"/>
        <v/>
      </c>
      <c r="L2032" t="str">
        <f t="shared" si="157"/>
        <v/>
      </c>
    </row>
    <row r="2033" spans="1:12" x14ac:dyDescent="0.25">
      <c r="A2033" t="s">
        <v>2453</v>
      </c>
      <c r="G2033" t="str">
        <f t="shared" si="158"/>
        <v>05/21/19</v>
      </c>
      <c r="H2033" t="str">
        <f t="shared" si="153"/>
        <v>Los Angeles Dodgers</v>
      </c>
      <c r="I2033" s="60">
        <f t="shared" si="154"/>
        <v>7</v>
      </c>
      <c r="J2033" t="str">
        <f t="shared" si="155"/>
        <v>Tampa Bay Rays</v>
      </c>
      <c r="K2033" s="60">
        <f t="shared" si="156"/>
        <v>3</v>
      </c>
      <c r="L2033">
        <f t="shared" si="157"/>
        <v>4</v>
      </c>
    </row>
    <row r="2034" spans="1:12" x14ac:dyDescent="0.25">
      <c r="G2034" t="str">
        <f t="shared" si="158"/>
        <v>05/21/19</v>
      </c>
      <c r="H2034" t="str">
        <f t="shared" si="153"/>
        <v/>
      </c>
      <c r="I2034" s="60" t="str">
        <f t="shared" si="154"/>
        <v/>
      </c>
      <c r="J2034" t="str">
        <f t="shared" si="155"/>
        <v/>
      </c>
      <c r="K2034" s="60" t="str">
        <f t="shared" si="156"/>
        <v/>
      </c>
      <c r="L2034" t="str">
        <f t="shared" si="157"/>
        <v/>
      </c>
    </row>
    <row r="2035" spans="1:12" x14ac:dyDescent="0.25">
      <c r="A2035" t="s">
        <v>2454</v>
      </c>
      <c r="G2035" t="str">
        <f t="shared" si="158"/>
        <v>05/21/19</v>
      </c>
      <c r="H2035" t="str">
        <f t="shared" si="153"/>
        <v>Seattle Mariners</v>
      </c>
      <c r="I2035" s="60">
        <f t="shared" si="154"/>
        <v>3</v>
      </c>
      <c r="J2035" t="str">
        <f t="shared" si="155"/>
        <v>Texas Rangers</v>
      </c>
      <c r="K2035" s="60">
        <f t="shared" si="156"/>
        <v>5</v>
      </c>
      <c r="L2035">
        <f t="shared" si="157"/>
        <v>-2</v>
      </c>
    </row>
    <row r="2036" spans="1:12" x14ac:dyDescent="0.25">
      <c r="G2036" t="str">
        <f t="shared" si="158"/>
        <v>05/21/19</v>
      </c>
      <c r="H2036" t="str">
        <f t="shared" si="153"/>
        <v/>
      </c>
      <c r="I2036" s="60" t="str">
        <f t="shared" si="154"/>
        <v/>
      </c>
      <c r="J2036" t="str">
        <f t="shared" si="155"/>
        <v/>
      </c>
      <c r="K2036" s="60" t="str">
        <f t="shared" si="156"/>
        <v/>
      </c>
      <c r="L2036" t="str">
        <f t="shared" si="157"/>
        <v/>
      </c>
    </row>
    <row r="2037" spans="1:12" x14ac:dyDescent="0.25">
      <c r="A2037" t="s">
        <v>2455</v>
      </c>
      <c r="G2037" t="str">
        <f t="shared" si="158"/>
        <v>05/21/19</v>
      </c>
      <c r="H2037" t="str">
        <f t="shared" si="153"/>
        <v>Boston Red Sox</v>
      </c>
      <c r="I2037" s="60">
        <f t="shared" si="154"/>
        <v>3</v>
      </c>
      <c r="J2037" t="str">
        <f t="shared" si="155"/>
        <v>Toronto Blue Jays</v>
      </c>
      <c r="K2037" s="60">
        <f t="shared" si="156"/>
        <v>10</v>
      </c>
      <c r="L2037">
        <f t="shared" si="157"/>
        <v>-7</v>
      </c>
    </row>
    <row r="2038" spans="1:12" x14ac:dyDescent="0.25">
      <c r="G2038" t="str">
        <f t="shared" si="158"/>
        <v>05/21/19</v>
      </c>
      <c r="H2038" t="str">
        <f t="shared" si="153"/>
        <v/>
      </c>
      <c r="I2038" s="60" t="str">
        <f t="shared" si="154"/>
        <v/>
      </c>
      <c r="J2038" t="str">
        <f t="shared" si="155"/>
        <v/>
      </c>
      <c r="K2038" s="60" t="str">
        <f t="shared" si="156"/>
        <v/>
      </c>
      <c r="L2038" t="str">
        <f t="shared" si="157"/>
        <v/>
      </c>
    </row>
    <row r="2039" spans="1:12" x14ac:dyDescent="0.25">
      <c r="A2039" t="s">
        <v>2456</v>
      </c>
      <c r="G2039" t="str">
        <f t="shared" si="158"/>
        <v>05/21/19</v>
      </c>
      <c r="H2039" t="str">
        <f t="shared" si="153"/>
        <v/>
      </c>
      <c r="I2039" s="60" t="str">
        <f t="shared" si="154"/>
        <v/>
      </c>
      <c r="J2039" t="str">
        <f t="shared" si="155"/>
        <v/>
      </c>
      <c r="K2039" s="60" t="str">
        <f t="shared" si="156"/>
        <v/>
      </c>
      <c r="L2039" t="str">
        <f t="shared" si="157"/>
        <v/>
      </c>
    </row>
    <row r="2040" spans="1:12" x14ac:dyDescent="0.25">
      <c r="G2040" t="str">
        <f t="shared" si="158"/>
        <v>05/21/19</v>
      </c>
      <c r="H2040" t="str">
        <f t="shared" si="153"/>
        <v/>
      </c>
      <c r="I2040" s="60" t="str">
        <f t="shared" si="154"/>
        <v/>
      </c>
      <c r="J2040" t="str">
        <f t="shared" si="155"/>
        <v/>
      </c>
      <c r="K2040" s="60" t="str">
        <f t="shared" si="156"/>
        <v/>
      </c>
      <c r="L2040" t="str">
        <f t="shared" si="157"/>
        <v/>
      </c>
    </row>
    <row r="2041" spans="1:12" x14ac:dyDescent="0.25">
      <c r="A2041" t="s">
        <v>2457</v>
      </c>
      <c r="G2041" t="str">
        <f t="shared" si="158"/>
        <v>05/22/19</v>
      </c>
      <c r="H2041" t="str">
        <f t="shared" si="153"/>
        <v/>
      </c>
      <c r="I2041" s="60" t="str">
        <f t="shared" si="154"/>
        <v/>
      </c>
      <c r="J2041" t="str">
        <f t="shared" si="155"/>
        <v/>
      </c>
      <c r="K2041" s="60" t="str">
        <f t="shared" si="156"/>
        <v/>
      </c>
      <c r="L2041" t="str">
        <f t="shared" si="157"/>
        <v/>
      </c>
    </row>
    <row r="2042" spans="1:12" x14ac:dyDescent="0.25">
      <c r="G2042" t="str">
        <f t="shared" si="158"/>
        <v>05/22/19</v>
      </c>
      <c r="H2042" t="str">
        <f t="shared" si="153"/>
        <v/>
      </c>
      <c r="I2042" s="60" t="str">
        <f t="shared" si="154"/>
        <v/>
      </c>
      <c r="J2042" t="str">
        <f t="shared" si="155"/>
        <v/>
      </c>
      <c r="K2042" s="60" t="str">
        <f t="shared" si="156"/>
        <v/>
      </c>
      <c r="L2042" t="str">
        <f t="shared" si="157"/>
        <v/>
      </c>
    </row>
    <row r="2043" spans="1:12" x14ac:dyDescent="0.25">
      <c r="A2043" t="s">
        <v>2458</v>
      </c>
      <c r="G2043" t="str">
        <f t="shared" si="158"/>
        <v>05/22/19</v>
      </c>
      <c r="H2043" t="str">
        <f t="shared" si="153"/>
        <v>New York Yankees</v>
      </c>
      <c r="I2043" s="60">
        <f t="shared" si="154"/>
        <v>7</v>
      </c>
      <c r="J2043" t="str">
        <f t="shared" si="155"/>
        <v>Baltimore Orioles</v>
      </c>
      <c r="K2043" s="60">
        <f t="shared" si="156"/>
        <v>5</v>
      </c>
      <c r="L2043">
        <f t="shared" si="157"/>
        <v>2</v>
      </c>
    </row>
    <row r="2044" spans="1:12" x14ac:dyDescent="0.25">
      <c r="G2044" t="str">
        <f t="shared" si="158"/>
        <v>05/22/19</v>
      </c>
      <c r="H2044" t="str">
        <f t="shared" si="153"/>
        <v/>
      </c>
      <c r="I2044" s="60" t="str">
        <f t="shared" si="154"/>
        <v/>
      </c>
      <c r="J2044" t="str">
        <f t="shared" si="155"/>
        <v/>
      </c>
      <c r="K2044" s="60" t="str">
        <f t="shared" si="156"/>
        <v/>
      </c>
      <c r="L2044" t="str">
        <f t="shared" si="157"/>
        <v/>
      </c>
    </row>
    <row r="2045" spans="1:12" x14ac:dyDescent="0.25">
      <c r="A2045" t="s">
        <v>2459</v>
      </c>
      <c r="G2045" t="str">
        <f t="shared" si="158"/>
        <v>05/22/19</v>
      </c>
      <c r="H2045" t="str">
        <f t="shared" si="153"/>
        <v>Philadelphia Phillies</v>
      </c>
      <c r="I2045" s="60">
        <f t="shared" si="154"/>
        <v>4</v>
      </c>
      <c r="J2045" t="str">
        <f t="shared" si="155"/>
        <v>Chicago Cubs</v>
      </c>
      <c r="K2045" s="60">
        <f t="shared" si="156"/>
        <v>8</v>
      </c>
      <c r="L2045">
        <f t="shared" si="157"/>
        <v>-4</v>
      </c>
    </row>
    <row r="2046" spans="1:12" x14ac:dyDescent="0.25">
      <c r="G2046" t="str">
        <f t="shared" si="158"/>
        <v>05/22/19</v>
      </c>
      <c r="H2046" t="str">
        <f t="shared" si="153"/>
        <v/>
      </c>
      <c r="I2046" s="60" t="str">
        <f t="shared" si="154"/>
        <v/>
      </c>
      <c r="J2046" t="str">
        <f t="shared" si="155"/>
        <v/>
      </c>
      <c r="K2046" s="60" t="str">
        <f t="shared" si="156"/>
        <v/>
      </c>
      <c r="L2046" t="str">
        <f t="shared" si="157"/>
        <v/>
      </c>
    </row>
    <row r="2047" spans="1:12" x14ac:dyDescent="0.25">
      <c r="A2047" t="s">
        <v>2460</v>
      </c>
      <c r="G2047" t="str">
        <f t="shared" si="158"/>
        <v>05/22/19</v>
      </c>
      <c r="H2047" t="str">
        <f t="shared" si="153"/>
        <v>Oakland Athletics</v>
      </c>
      <c r="I2047" s="60">
        <f t="shared" si="154"/>
        <v>7</v>
      </c>
      <c r="J2047" t="str">
        <f t="shared" si="155"/>
        <v>Cleveland Indians</v>
      </c>
      <c r="K2047" s="60">
        <f t="shared" si="156"/>
        <v>2</v>
      </c>
      <c r="L2047">
        <f t="shared" si="157"/>
        <v>5</v>
      </c>
    </row>
    <row r="2048" spans="1:12" x14ac:dyDescent="0.25">
      <c r="G2048" t="str">
        <f t="shared" si="158"/>
        <v>05/22/19</v>
      </c>
      <c r="H2048" t="str">
        <f t="shared" si="153"/>
        <v/>
      </c>
      <c r="I2048" s="60" t="str">
        <f t="shared" si="154"/>
        <v/>
      </c>
      <c r="J2048" t="str">
        <f t="shared" si="155"/>
        <v/>
      </c>
      <c r="K2048" s="60" t="str">
        <f t="shared" si="156"/>
        <v/>
      </c>
      <c r="L2048" t="str">
        <f t="shared" si="157"/>
        <v/>
      </c>
    </row>
    <row r="2049" spans="1:12" x14ac:dyDescent="0.25">
      <c r="A2049" t="s">
        <v>2461</v>
      </c>
      <c r="G2049" t="str">
        <f t="shared" si="158"/>
        <v>05/22/19</v>
      </c>
      <c r="H2049" t="str">
        <f t="shared" si="153"/>
        <v>Miami Marlins</v>
      </c>
      <c r="I2049" s="60">
        <f t="shared" si="154"/>
        <v>6</v>
      </c>
      <c r="J2049" t="str">
        <f t="shared" si="155"/>
        <v>Detroit Tigers</v>
      </c>
      <c r="K2049" s="60">
        <f t="shared" si="156"/>
        <v>3</v>
      </c>
      <c r="L2049">
        <f t="shared" si="157"/>
        <v>3</v>
      </c>
    </row>
    <row r="2050" spans="1:12" x14ac:dyDescent="0.25">
      <c r="G2050" t="str">
        <f t="shared" si="158"/>
        <v>05/22/19</v>
      </c>
      <c r="H2050" t="str">
        <f t="shared" si="153"/>
        <v/>
      </c>
      <c r="I2050" s="60" t="str">
        <f t="shared" si="154"/>
        <v/>
      </c>
      <c r="J2050" t="str">
        <f t="shared" si="155"/>
        <v/>
      </c>
      <c r="K2050" s="60" t="str">
        <f t="shared" si="156"/>
        <v/>
      </c>
      <c r="L2050" t="str">
        <f t="shared" si="157"/>
        <v/>
      </c>
    </row>
    <row r="2051" spans="1:12" x14ac:dyDescent="0.25">
      <c r="A2051" t="s">
        <v>2462</v>
      </c>
      <c r="G2051" t="str">
        <f t="shared" si="158"/>
        <v>05/22/19</v>
      </c>
      <c r="H2051" t="str">
        <f t="shared" si="153"/>
        <v>Chicago White Sox</v>
      </c>
      <c r="I2051" s="60">
        <f t="shared" si="154"/>
        <v>9</v>
      </c>
      <c r="J2051" t="str">
        <f t="shared" si="155"/>
        <v>Houston Astros</v>
      </c>
      <c r="K2051" s="60">
        <f t="shared" si="156"/>
        <v>4</v>
      </c>
      <c r="L2051">
        <f t="shared" si="157"/>
        <v>5</v>
      </c>
    </row>
    <row r="2052" spans="1:12" x14ac:dyDescent="0.25">
      <c r="G2052" t="str">
        <f t="shared" si="158"/>
        <v>05/22/19</v>
      </c>
      <c r="H2052" t="str">
        <f t="shared" si="153"/>
        <v/>
      </c>
      <c r="I2052" s="60" t="str">
        <f t="shared" si="154"/>
        <v/>
      </c>
      <c r="J2052" t="str">
        <f t="shared" si="155"/>
        <v/>
      </c>
      <c r="K2052" s="60" t="str">
        <f t="shared" si="156"/>
        <v/>
      </c>
      <c r="L2052" t="str">
        <f t="shared" si="157"/>
        <v/>
      </c>
    </row>
    <row r="2053" spans="1:12" x14ac:dyDescent="0.25">
      <c r="A2053" t="s">
        <v>2463</v>
      </c>
      <c r="G2053" t="str">
        <f t="shared" si="158"/>
        <v>05/22/19</v>
      </c>
      <c r="H2053" t="str">
        <f t="shared" si="153"/>
        <v>Cincinnati Reds</v>
      </c>
      <c r="I2053" s="60">
        <f t="shared" si="154"/>
        <v>9</v>
      </c>
      <c r="J2053" t="str">
        <f t="shared" si="155"/>
        <v>Milwaukee Brewers</v>
      </c>
      <c r="K2053" s="60">
        <f t="shared" si="156"/>
        <v>11</v>
      </c>
      <c r="L2053">
        <f t="shared" si="157"/>
        <v>-2</v>
      </c>
    </row>
    <row r="2054" spans="1:12" x14ac:dyDescent="0.25">
      <c r="G2054" t="str">
        <f t="shared" si="158"/>
        <v>05/22/19</v>
      </c>
      <c r="H2054" t="str">
        <f t="shared" si="153"/>
        <v/>
      </c>
      <c r="I2054" s="60" t="str">
        <f t="shared" si="154"/>
        <v/>
      </c>
      <c r="J2054" t="str">
        <f t="shared" si="155"/>
        <v/>
      </c>
      <c r="K2054" s="60" t="str">
        <f t="shared" si="156"/>
        <v/>
      </c>
      <c r="L2054" t="str">
        <f t="shared" si="157"/>
        <v/>
      </c>
    </row>
    <row r="2055" spans="1:12" x14ac:dyDescent="0.25">
      <c r="A2055" t="s">
        <v>2464</v>
      </c>
      <c r="G2055" t="str">
        <f t="shared" si="158"/>
        <v>05/22/19</v>
      </c>
      <c r="H2055" t="str">
        <f t="shared" si="153"/>
        <v>Washington Nationals</v>
      </c>
      <c r="I2055" s="60">
        <f t="shared" si="154"/>
        <v>1</v>
      </c>
      <c r="J2055" t="str">
        <f t="shared" si="155"/>
        <v>New York Mets</v>
      </c>
      <c r="K2055" s="60">
        <f t="shared" si="156"/>
        <v>6</v>
      </c>
      <c r="L2055">
        <f t="shared" si="157"/>
        <v>-5</v>
      </c>
    </row>
    <row r="2056" spans="1:12" x14ac:dyDescent="0.25">
      <c r="G2056" t="str">
        <f t="shared" si="158"/>
        <v>05/22/19</v>
      </c>
      <c r="H2056" t="str">
        <f t="shared" si="153"/>
        <v/>
      </c>
      <c r="I2056" s="60" t="str">
        <f t="shared" si="154"/>
        <v/>
      </c>
      <c r="J2056" t="str">
        <f t="shared" si="155"/>
        <v/>
      </c>
      <c r="K2056" s="60" t="str">
        <f t="shared" si="156"/>
        <v/>
      </c>
      <c r="L2056" t="str">
        <f t="shared" si="157"/>
        <v/>
      </c>
    </row>
    <row r="2057" spans="1:12" x14ac:dyDescent="0.25">
      <c r="A2057" t="s">
        <v>2465</v>
      </c>
      <c r="G2057" t="str">
        <f t="shared" si="158"/>
        <v>05/22/19</v>
      </c>
      <c r="H2057" t="str">
        <f t="shared" si="153"/>
        <v>Colorado Rockies</v>
      </c>
      <c r="I2057" s="60">
        <f t="shared" si="154"/>
        <v>9</v>
      </c>
      <c r="J2057" t="str">
        <f t="shared" si="155"/>
        <v>Pittsburgh Pirates</v>
      </c>
      <c r="K2057" s="60">
        <f t="shared" si="156"/>
        <v>3</v>
      </c>
      <c r="L2057">
        <f t="shared" si="157"/>
        <v>6</v>
      </c>
    </row>
    <row r="2058" spans="1:12" x14ac:dyDescent="0.25">
      <c r="G2058" t="str">
        <f t="shared" si="158"/>
        <v>05/22/19</v>
      </c>
      <c r="H2058" t="str">
        <f t="shared" si="153"/>
        <v/>
      </c>
      <c r="I2058" s="60" t="str">
        <f t="shared" si="154"/>
        <v/>
      </c>
      <c r="J2058" t="str">
        <f t="shared" si="155"/>
        <v/>
      </c>
      <c r="K2058" s="60" t="str">
        <f t="shared" si="156"/>
        <v/>
      </c>
      <c r="L2058" t="str">
        <f t="shared" si="157"/>
        <v/>
      </c>
    </row>
    <row r="2059" spans="1:12" x14ac:dyDescent="0.25">
      <c r="A2059" t="s">
        <v>2466</v>
      </c>
      <c r="G2059" t="str">
        <f t="shared" si="158"/>
        <v>05/22/19</v>
      </c>
      <c r="H2059" t="str">
        <f t="shared" si="153"/>
        <v>Arizona D'Backs</v>
      </c>
      <c r="I2059" s="60">
        <f t="shared" si="154"/>
        <v>2</v>
      </c>
      <c r="J2059" t="str">
        <f t="shared" si="155"/>
        <v>San Diego Padres</v>
      </c>
      <c r="K2059" s="60">
        <f t="shared" si="156"/>
        <v>5</v>
      </c>
      <c r="L2059">
        <f t="shared" si="157"/>
        <v>-3</v>
      </c>
    </row>
    <row r="2060" spans="1:12" x14ac:dyDescent="0.25">
      <c r="G2060" t="str">
        <f t="shared" si="158"/>
        <v>05/22/19</v>
      </c>
      <c r="H2060" t="str">
        <f t="shared" si="153"/>
        <v/>
      </c>
      <c r="I2060" s="60" t="str">
        <f t="shared" si="154"/>
        <v/>
      </c>
      <c r="J2060" t="str">
        <f t="shared" si="155"/>
        <v/>
      </c>
      <c r="K2060" s="60" t="str">
        <f t="shared" si="156"/>
        <v/>
      </c>
      <c r="L2060" t="str">
        <f t="shared" si="157"/>
        <v/>
      </c>
    </row>
    <row r="2061" spans="1:12" x14ac:dyDescent="0.25">
      <c r="A2061" t="s">
        <v>2467</v>
      </c>
      <c r="G2061" t="str">
        <f t="shared" si="158"/>
        <v>05/22/19</v>
      </c>
      <c r="H2061" t="str">
        <f t="shared" si="153"/>
        <v>Atlanta Braves</v>
      </c>
      <c r="I2061" s="60">
        <f t="shared" si="154"/>
        <v>9</v>
      </c>
      <c r="J2061" t="str">
        <f t="shared" si="155"/>
        <v>San Francisco Giants</v>
      </c>
      <c r="K2061" s="60">
        <f t="shared" si="156"/>
        <v>2</v>
      </c>
      <c r="L2061">
        <f t="shared" si="157"/>
        <v>7</v>
      </c>
    </row>
    <row r="2062" spans="1:12" x14ac:dyDescent="0.25">
      <c r="G2062" t="str">
        <f t="shared" si="158"/>
        <v>05/22/19</v>
      </c>
      <c r="H2062" t="str">
        <f t="shared" si="153"/>
        <v/>
      </c>
      <c r="I2062" s="60" t="str">
        <f t="shared" si="154"/>
        <v/>
      </c>
      <c r="J2062" t="str">
        <f t="shared" si="155"/>
        <v/>
      </c>
      <c r="K2062" s="60" t="str">
        <f t="shared" si="156"/>
        <v/>
      </c>
      <c r="L2062" t="str">
        <f t="shared" si="157"/>
        <v/>
      </c>
    </row>
    <row r="2063" spans="1:12" x14ac:dyDescent="0.25">
      <c r="A2063" t="s">
        <v>2468</v>
      </c>
      <c r="G2063" t="str">
        <f t="shared" si="158"/>
        <v>05/22/19</v>
      </c>
      <c r="H2063" t="str">
        <f t="shared" si="153"/>
        <v>Kansas City Royals</v>
      </c>
      <c r="I2063" s="60">
        <f t="shared" si="154"/>
        <v>8</v>
      </c>
      <c r="J2063" t="str">
        <f t="shared" si="155"/>
        <v>St. Louis Cardinals</v>
      </c>
      <c r="K2063" s="60">
        <f t="shared" si="156"/>
        <v>2</v>
      </c>
      <c r="L2063">
        <f t="shared" si="157"/>
        <v>6</v>
      </c>
    </row>
    <row r="2064" spans="1:12" x14ac:dyDescent="0.25">
      <c r="G2064" t="str">
        <f t="shared" si="158"/>
        <v>05/22/19</v>
      </c>
      <c r="H2064" t="str">
        <f t="shared" ref="H2064:H2127" si="159">IFERROR(LEFT(MID(A2064,1,SEARCH("@",A2064)-2),SEARCH("(",A2064)-2),"")</f>
        <v/>
      </c>
      <c r="I2064" s="60" t="str">
        <f t="shared" ref="I2064:I2127" si="160">IFERROR(VALUE(MID(A2064,SEARCH("(",A2064)+1,SEARCH(")",A2064)-SEARCH("(",A2064)-1)),"")</f>
        <v/>
      </c>
      <c r="J2064" t="str">
        <f t="shared" ref="J2064:J2127" si="161">IFERROR(MID(A2064,SEARCH("@",A2064)+2,SEARCH("(",A2064,SEARCH("@",A2064))-SEARCH("@",A2064)-3),"")</f>
        <v/>
      </c>
      <c r="K2064" s="60" t="str">
        <f t="shared" ref="K2064:K2127" si="162">IFERROR(VALUE(MID(A2064,SEARCH(J2064,A2064)+LEN(J2064)+2,(SEARCH(")",A2064,SEARCH("@",A2064))-SEARCH("(",A2064,SEARCH("@",A2064))-1))),"")</f>
        <v/>
      </c>
      <c r="L2064" t="str">
        <f t="shared" ref="L2064:L2127" si="163">IFERROR(I2064-K2064,"")</f>
        <v/>
      </c>
    </row>
    <row r="2065" spans="1:12" x14ac:dyDescent="0.25">
      <c r="A2065" t="s">
        <v>2469</v>
      </c>
      <c r="G2065" t="str">
        <f t="shared" si="158"/>
        <v>05/22/19</v>
      </c>
      <c r="H2065" t="str">
        <f t="shared" si="159"/>
        <v>Kansas City Royals</v>
      </c>
      <c r="I2065" s="60">
        <f t="shared" si="160"/>
        <v>3</v>
      </c>
      <c r="J2065" t="str">
        <f t="shared" si="161"/>
        <v>St. Louis Cardinals</v>
      </c>
      <c r="K2065" s="60">
        <f t="shared" si="162"/>
        <v>10</v>
      </c>
      <c r="L2065">
        <f t="shared" si="163"/>
        <v>-7</v>
      </c>
    </row>
    <row r="2066" spans="1:12" x14ac:dyDescent="0.25">
      <c r="G2066" t="str">
        <f t="shared" si="158"/>
        <v>05/22/19</v>
      </c>
      <c r="H2066" t="str">
        <f t="shared" si="159"/>
        <v/>
      </c>
      <c r="I2066" s="60" t="str">
        <f t="shared" si="160"/>
        <v/>
      </c>
      <c r="J2066" t="str">
        <f t="shared" si="161"/>
        <v/>
      </c>
      <c r="K2066" s="60" t="str">
        <f t="shared" si="162"/>
        <v/>
      </c>
      <c r="L2066" t="str">
        <f t="shared" si="163"/>
        <v/>
      </c>
    </row>
    <row r="2067" spans="1:12" x14ac:dyDescent="0.25">
      <c r="A2067" t="s">
        <v>2470</v>
      </c>
      <c r="G2067" t="str">
        <f t="shared" si="158"/>
        <v>05/22/19</v>
      </c>
      <c r="H2067" t="str">
        <f t="shared" si="159"/>
        <v>Los Angeles Dodgers</v>
      </c>
      <c r="I2067" s="60">
        <f t="shared" si="160"/>
        <v>1</v>
      </c>
      <c r="J2067" t="str">
        <f t="shared" si="161"/>
        <v>Tampa Bay Rays</v>
      </c>
      <c r="K2067" s="60">
        <f t="shared" si="162"/>
        <v>8</v>
      </c>
      <c r="L2067">
        <f t="shared" si="163"/>
        <v>-7</v>
      </c>
    </row>
    <row r="2068" spans="1:12" x14ac:dyDescent="0.25">
      <c r="G2068" t="str">
        <f t="shared" si="158"/>
        <v>05/22/19</v>
      </c>
      <c r="H2068" t="str">
        <f t="shared" si="159"/>
        <v/>
      </c>
      <c r="I2068" s="60" t="str">
        <f t="shared" si="160"/>
        <v/>
      </c>
      <c r="J2068" t="str">
        <f t="shared" si="161"/>
        <v/>
      </c>
      <c r="K2068" s="60" t="str">
        <f t="shared" si="162"/>
        <v/>
      </c>
      <c r="L2068" t="str">
        <f t="shared" si="163"/>
        <v/>
      </c>
    </row>
    <row r="2069" spans="1:12" x14ac:dyDescent="0.25">
      <c r="A2069" t="s">
        <v>2471</v>
      </c>
      <c r="G2069" t="str">
        <f t="shared" si="158"/>
        <v>05/22/19</v>
      </c>
      <c r="H2069" t="str">
        <f t="shared" si="159"/>
        <v>Seattle Mariners</v>
      </c>
      <c r="I2069" s="60">
        <f t="shared" si="160"/>
        <v>1</v>
      </c>
      <c r="J2069" t="str">
        <f t="shared" si="161"/>
        <v>Texas Rangers</v>
      </c>
      <c r="K2069" s="60">
        <f t="shared" si="162"/>
        <v>2</v>
      </c>
      <c r="L2069">
        <f t="shared" si="163"/>
        <v>-1</v>
      </c>
    </row>
    <row r="2070" spans="1:12" x14ac:dyDescent="0.25">
      <c r="G2070" t="str">
        <f t="shared" si="158"/>
        <v>05/22/19</v>
      </c>
      <c r="H2070" t="str">
        <f t="shared" si="159"/>
        <v/>
      </c>
      <c r="I2070" s="60" t="str">
        <f t="shared" si="160"/>
        <v/>
      </c>
      <c r="J2070" t="str">
        <f t="shared" si="161"/>
        <v/>
      </c>
      <c r="K2070" s="60" t="str">
        <f t="shared" si="162"/>
        <v/>
      </c>
      <c r="L2070" t="str">
        <f t="shared" si="163"/>
        <v/>
      </c>
    </row>
    <row r="2071" spans="1:12" x14ac:dyDescent="0.25">
      <c r="A2071" t="s">
        <v>2472</v>
      </c>
      <c r="G2071" t="str">
        <f t="shared" si="158"/>
        <v>05/22/19</v>
      </c>
      <c r="H2071" t="str">
        <f t="shared" si="159"/>
        <v>Boston Red Sox</v>
      </c>
      <c r="I2071" s="60">
        <f t="shared" si="160"/>
        <v>6</v>
      </c>
      <c r="J2071" t="str">
        <f t="shared" si="161"/>
        <v>Toronto Blue Jays</v>
      </c>
      <c r="K2071" s="60">
        <f t="shared" si="162"/>
        <v>5</v>
      </c>
      <c r="L2071">
        <f t="shared" si="163"/>
        <v>1</v>
      </c>
    </row>
    <row r="2072" spans="1:12" x14ac:dyDescent="0.25">
      <c r="G2072" t="str">
        <f t="shared" si="158"/>
        <v>05/22/19</v>
      </c>
      <c r="H2072" t="str">
        <f t="shared" si="159"/>
        <v/>
      </c>
      <c r="I2072" s="60" t="str">
        <f t="shared" si="160"/>
        <v/>
      </c>
      <c r="J2072" t="str">
        <f t="shared" si="161"/>
        <v/>
      </c>
      <c r="K2072" s="60" t="str">
        <f t="shared" si="162"/>
        <v/>
      </c>
      <c r="L2072" t="str">
        <f t="shared" si="163"/>
        <v/>
      </c>
    </row>
    <row r="2073" spans="1:12" x14ac:dyDescent="0.25">
      <c r="A2073" t="s">
        <v>2473</v>
      </c>
      <c r="G2073" t="str">
        <f t="shared" si="158"/>
        <v>05/22/19</v>
      </c>
      <c r="H2073" t="str">
        <f t="shared" si="159"/>
        <v/>
      </c>
      <c r="I2073" s="60" t="str">
        <f t="shared" si="160"/>
        <v/>
      </c>
      <c r="J2073" t="str">
        <f t="shared" si="161"/>
        <v/>
      </c>
      <c r="K2073" s="60" t="str">
        <f t="shared" si="162"/>
        <v/>
      </c>
      <c r="L2073" t="str">
        <f t="shared" si="163"/>
        <v/>
      </c>
    </row>
    <row r="2074" spans="1:12" x14ac:dyDescent="0.25">
      <c r="G2074" t="str">
        <f t="shared" si="158"/>
        <v>05/22/19</v>
      </c>
      <c r="H2074" t="str">
        <f t="shared" si="159"/>
        <v/>
      </c>
      <c r="I2074" s="60" t="str">
        <f t="shared" si="160"/>
        <v/>
      </c>
      <c r="J2074" t="str">
        <f t="shared" si="161"/>
        <v/>
      </c>
      <c r="K2074" s="60" t="str">
        <f t="shared" si="162"/>
        <v/>
      </c>
      <c r="L2074" t="str">
        <f t="shared" si="163"/>
        <v/>
      </c>
    </row>
    <row r="2075" spans="1:12" x14ac:dyDescent="0.25">
      <c r="A2075" t="s">
        <v>2474</v>
      </c>
      <c r="G2075" t="str">
        <f t="shared" si="158"/>
        <v>05/23/19</v>
      </c>
      <c r="H2075" t="str">
        <f t="shared" si="159"/>
        <v/>
      </c>
      <c r="I2075" s="60" t="str">
        <f t="shared" si="160"/>
        <v/>
      </c>
      <c r="J2075" t="str">
        <f t="shared" si="161"/>
        <v/>
      </c>
      <c r="K2075" s="60" t="str">
        <f t="shared" si="162"/>
        <v/>
      </c>
      <c r="L2075" t="str">
        <f t="shared" si="163"/>
        <v/>
      </c>
    </row>
    <row r="2076" spans="1:12" x14ac:dyDescent="0.25">
      <c r="G2076" t="str">
        <f t="shared" si="158"/>
        <v>05/23/19</v>
      </c>
      <c r="H2076" t="str">
        <f t="shared" si="159"/>
        <v/>
      </c>
      <c r="I2076" s="60" t="str">
        <f t="shared" si="160"/>
        <v/>
      </c>
      <c r="J2076" t="str">
        <f t="shared" si="161"/>
        <v/>
      </c>
      <c r="K2076" s="60" t="str">
        <f t="shared" si="162"/>
        <v/>
      </c>
      <c r="L2076" t="str">
        <f t="shared" si="163"/>
        <v/>
      </c>
    </row>
    <row r="2077" spans="1:12" x14ac:dyDescent="0.25">
      <c r="A2077" t="s">
        <v>2475</v>
      </c>
      <c r="G2077" t="str">
        <f t="shared" si="158"/>
        <v>05/23/19</v>
      </c>
      <c r="H2077" t="str">
        <f t="shared" si="159"/>
        <v>Minnesota Twins</v>
      </c>
      <c r="I2077" s="60">
        <f t="shared" si="160"/>
        <v>16</v>
      </c>
      <c r="J2077" t="str">
        <f t="shared" si="161"/>
        <v>Los Angeles Angels</v>
      </c>
      <c r="K2077" s="60">
        <f t="shared" si="162"/>
        <v>7</v>
      </c>
      <c r="L2077">
        <f t="shared" si="163"/>
        <v>9</v>
      </c>
    </row>
    <row r="2078" spans="1:12" x14ac:dyDescent="0.25">
      <c r="G2078" t="str">
        <f t="shared" si="158"/>
        <v>05/23/19</v>
      </c>
      <c r="H2078" t="str">
        <f t="shared" si="159"/>
        <v/>
      </c>
      <c r="I2078" s="60" t="str">
        <f t="shared" si="160"/>
        <v/>
      </c>
      <c r="J2078" t="str">
        <f t="shared" si="161"/>
        <v/>
      </c>
      <c r="K2078" s="60" t="str">
        <f t="shared" si="162"/>
        <v/>
      </c>
      <c r="L2078" t="str">
        <f t="shared" si="163"/>
        <v/>
      </c>
    </row>
    <row r="2079" spans="1:12" x14ac:dyDescent="0.25">
      <c r="A2079" t="s">
        <v>2476</v>
      </c>
      <c r="G2079" t="str">
        <f t="shared" si="158"/>
        <v>05/23/19</v>
      </c>
      <c r="H2079" t="str">
        <f t="shared" si="159"/>
        <v>New York Yankees</v>
      </c>
      <c r="I2079" s="60">
        <f t="shared" si="160"/>
        <v>6</v>
      </c>
      <c r="J2079" t="str">
        <f t="shared" si="161"/>
        <v>Baltimore Orioles</v>
      </c>
      <c r="K2079" s="60">
        <f t="shared" si="162"/>
        <v>5</v>
      </c>
      <c r="L2079">
        <f t="shared" si="163"/>
        <v>1</v>
      </c>
    </row>
    <row r="2080" spans="1:12" x14ac:dyDescent="0.25">
      <c r="G2080" t="str">
        <f t="shared" si="158"/>
        <v>05/23/19</v>
      </c>
      <c r="H2080" t="str">
        <f t="shared" si="159"/>
        <v/>
      </c>
      <c r="I2080" s="60" t="str">
        <f t="shared" si="160"/>
        <v/>
      </c>
      <c r="J2080" t="str">
        <f t="shared" si="161"/>
        <v/>
      </c>
      <c r="K2080" s="60" t="str">
        <f t="shared" si="162"/>
        <v/>
      </c>
      <c r="L2080" t="str">
        <f t="shared" si="163"/>
        <v/>
      </c>
    </row>
    <row r="2081" spans="1:12" x14ac:dyDescent="0.25">
      <c r="A2081" t="s">
        <v>2477</v>
      </c>
      <c r="G2081" t="str">
        <f t="shared" si="158"/>
        <v>05/23/19</v>
      </c>
      <c r="H2081" t="str">
        <f t="shared" si="159"/>
        <v>Philadelphia Phillies</v>
      </c>
      <c r="I2081" s="60">
        <f t="shared" si="160"/>
        <v>9</v>
      </c>
      <c r="J2081" t="str">
        <f t="shared" si="161"/>
        <v>Chicago Cubs</v>
      </c>
      <c r="K2081" s="60">
        <f t="shared" si="162"/>
        <v>7</v>
      </c>
      <c r="L2081">
        <f t="shared" si="163"/>
        <v>2</v>
      </c>
    </row>
    <row r="2082" spans="1:12" x14ac:dyDescent="0.25">
      <c r="G2082" t="str">
        <f t="shared" ref="G2082:G2145" si="164">IF(ISNUMBER(MATCH(IFERROR(LEFT(A2082,SEARCH(",",A2082)-1),""),$G$220:$M$220,0)),TEXT(MID(A2082,SEARCH(",",A2082)+2,LEN(A2082)),"mm/dd/yy"),G2081)</f>
        <v>05/23/19</v>
      </c>
      <c r="H2082" t="str">
        <f t="shared" si="159"/>
        <v/>
      </c>
      <c r="I2082" s="60" t="str">
        <f t="shared" si="160"/>
        <v/>
      </c>
      <c r="J2082" t="str">
        <f t="shared" si="161"/>
        <v/>
      </c>
      <c r="K2082" s="60" t="str">
        <f t="shared" si="162"/>
        <v/>
      </c>
      <c r="L2082" t="str">
        <f t="shared" si="163"/>
        <v/>
      </c>
    </row>
    <row r="2083" spans="1:12" x14ac:dyDescent="0.25">
      <c r="A2083" t="s">
        <v>2478</v>
      </c>
      <c r="G2083" t="str">
        <f t="shared" si="164"/>
        <v>05/23/19</v>
      </c>
      <c r="H2083" t="str">
        <f t="shared" si="159"/>
        <v>Tampa Bay Rays</v>
      </c>
      <c r="I2083" s="60">
        <f t="shared" si="160"/>
        <v>7</v>
      </c>
      <c r="J2083" t="str">
        <f t="shared" si="161"/>
        <v>Cleveland Indians</v>
      </c>
      <c r="K2083" s="60">
        <f t="shared" si="162"/>
        <v>2</v>
      </c>
      <c r="L2083">
        <f t="shared" si="163"/>
        <v>5</v>
      </c>
    </row>
    <row r="2084" spans="1:12" x14ac:dyDescent="0.25">
      <c r="G2084" t="str">
        <f t="shared" si="164"/>
        <v>05/23/19</v>
      </c>
      <c r="H2084" t="str">
        <f t="shared" si="159"/>
        <v/>
      </c>
      <c r="I2084" s="60" t="str">
        <f t="shared" si="160"/>
        <v/>
      </c>
      <c r="J2084" t="str">
        <f t="shared" si="161"/>
        <v/>
      </c>
      <c r="K2084" s="60" t="str">
        <f t="shared" si="162"/>
        <v/>
      </c>
      <c r="L2084" t="str">
        <f t="shared" si="163"/>
        <v/>
      </c>
    </row>
    <row r="2085" spans="1:12" x14ac:dyDescent="0.25">
      <c r="A2085" t="s">
        <v>2479</v>
      </c>
      <c r="G2085" t="str">
        <f t="shared" si="164"/>
        <v>05/23/19</v>
      </c>
      <c r="H2085" t="str">
        <f t="shared" si="159"/>
        <v>Miami Marlins</v>
      </c>
      <c r="I2085" s="60">
        <f t="shared" si="160"/>
        <v>5</v>
      </c>
      <c r="J2085" t="str">
        <f t="shared" si="161"/>
        <v>Detroit Tigers</v>
      </c>
      <c r="K2085" s="60">
        <f t="shared" si="162"/>
        <v>2</v>
      </c>
      <c r="L2085">
        <f t="shared" si="163"/>
        <v>3</v>
      </c>
    </row>
    <row r="2086" spans="1:12" x14ac:dyDescent="0.25">
      <c r="G2086" t="str">
        <f t="shared" si="164"/>
        <v>05/23/19</v>
      </c>
      <c r="H2086" t="str">
        <f t="shared" si="159"/>
        <v/>
      </c>
      <c r="I2086" s="60" t="str">
        <f t="shared" si="160"/>
        <v/>
      </c>
      <c r="J2086" t="str">
        <f t="shared" si="161"/>
        <v/>
      </c>
      <c r="K2086" s="60" t="str">
        <f t="shared" si="162"/>
        <v/>
      </c>
      <c r="L2086" t="str">
        <f t="shared" si="163"/>
        <v/>
      </c>
    </row>
    <row r="2087" spans="1:12" x14ac:dyDescent="0.25">
      <c r="A2087" t="s">
        <v>2480</v>
      </c>
      <c r="G2087" t="str">
        <f t="shared" si="164"/>
        <v>05/23/19</v>
      </c>
      <c r="H2087" t="str">
        <f t="shared" si="159"/>
        <v>Chicago White Sox</v>
      </c>
      <c r="I2087" s="60">
        <f t="shared" si="160"/>
        <v>4</v>
      </c>
      <c r="J2087" t="str">
        <f t="shared" si="161"/>
        <v>Houston Astros</v>
      </c>
      <c r="K2087" s="60">
        <f t="shared" si="162"/>
        <v>0</v>
      </c>
      <c r="L2087">
        <f t="shared" si="163"/>
        <v>4</v>
      </c>
    </row>
    <row r="2088" spans="1:12" x14ac:dyDescent="0.25">
      <c r="G2088" t="str">
        <f t="shared" si="164"/>
        <v>05/23/19</v>
      </c>
      <c r="H2088" t="str">
        <f t="shared" si="159"/>
        <v/>
      </c>
      <c r="I2088" s="60" t="str">
        <f t="shared" si="160"/>
        <v/>
      </c>
      <c r="J2088" t="str">
        <f t="shared" si="161"/>
        <v/>
      </c>
      <c r="K2088" s="60" t="str">
        <f t="shared" si="162"/>
        <v/>
      </c>
      <c r="L2088" t="str">
        <f t="shared" si="163"/>
        <v/>
      </c>
    </row>
    <row r="2089" spans="1:12" x14ac:dyDescent="0.25">
      <c r="A2089" t="s">
        <v>2481</v>
      </c>
      <c r="G2089" t="str">
        <f t="shared" si="164"/>
        <v>05/23/19</v>
      </c>
      <c r="H2089" t="str">
        <f t="shared" si="159"/>
        <v>Washington Nationals</v>
      </c>
      <c r="I2089" s="60">
        <f t="shared" si="160"/>
        <v>4</v>
      </c>
      <c r="J2089" t="str">
        <f t="shared" si="161"/>
        <v>New York Mets</v>
      </c>
      <c r="K2089" s="60">
        <f t="shared" si="162"/>
        <v>6</v>
      </c>
      <c r="L2089">
        <f t="shared" si="163"/>
        <v>-2</v>
      </c>
    </row>
    <row r="2090" spans="1:12" x14ac:dyDescent="0.25">
      <c r="G2090" t="str">
        <f t="shared" si="164"/>
        <v>05/23/19</v>
      </c>
      <c r="H2090" t="str">
        <f t="shared" si="159"/>
        <v/>
      </c>
      <c r="I2090" s="60" t="str">
        <f t="shared" si="160"/>
        <v/>
      </c>
      <c r="J2090" t="str">
        <f t="shared" si="161"/>
        <v/>
      </c>
      <c r="K2090" s="60" t="str">
        <f t="shared" si="162"/>
        <v/>
      </c>
      <c r="L2090" t="str">
        <f t="shared" si="163"/>
        <v/>
      </c>
    </row>
    <row r="2091" spans="1:12" x14ac:dyDescent="0.25">
      <c r="A2091" t="s">
        <v>2482</v>
      </c>
      <c r="G2091" t="str">
        <f t="shared" si="164"/>
        <v>05/23/19</v>
      </c>
      <c r="H2091" t="str">
        <f t="shared" si="159"/>
        <v>Colorado Rockies</v>
      </c>
      <c r="I2091" s="60">
        <f t="shared" si="160"/>
        <v>6</v>
      </c>
      <c r="J2091" t="str">
        <f t="shared" si="161"/>
        <v>Pittsburgh Pirates</v>
      </c>
      <c r="K2091" s="60">
        <f t="shared" si="162"/>
        <v>14</v>
      </c>
      <c r="L2091">
        <f t="shared" si="163"/>
        <v>-8</v>
      </c>
    </row>
    <row r="2092" spans="1:12" x14ac:dyDescent="0.25">
      <c r="G2092" t="str">
        <f t="shared" si="164"/>
        <v>05/23/19</v>
      </c>
      <c r="H2092" t="str">
        <f t="shared" si="159"/>
        <v/>
      </c>
      <c r="I2092" s="60" t="str">
        <f t="shared" si="160"/>
        <v/>
      </c>
      <c r="J2092" t="str">
        <f t="shared" si="161"/>
        <v/>
      </c>
      <c r="K2092" s="60" t="str">
        <f t="shared" si="162"/>
        <v/>
      </c>
      <c r="L2092" t="str">
        <f t="shared" si="163"/>
        <v/>
      </c>
    </row>
    <row r="2093" spans="1:12" x14ac:dyDescent="0.25">
      <c r="A2093" t="s">
        <v>2483</v>
      </c>
      <c r="G2093" t="str">
        <f t="shared" si="164"/>
        <v>05/23/19</v>
      </c>
      <c r="H2093" t="str">
        <f t="shared" si="159"/>
        <v>Atlanta Braves</v>
      </c>
      <c r="I2093" s="60">
        <f t="shared" si="160"/>
        <v>5</v>
      </c>
      <c r="J2093" t="str">
        <f t="shared" si="161"/>
        <v>San Francisco Giants</v>
      </c>
      <c r="K2093" s="60">
        <f t="shared" si="162"/>
        <v>4</v>
      </c>
      <c r="L2093">
        <f t="shared" si="163"/>
        <v>1</v>
      </c>
    </row>
    <row r="2094" spans="1:12" x14ac:dyDescent="0.25">
      <c r="G2094" t="str">
        <f t="shared" si="164"/>
        <v>05/23/19</v>
      </c>
      <c r="H2094" t="str">
        <f t="shared" si="159"/>
        <v/>
      </c>
      <c r="I2094" s="60" t="str">
        <f t="shared" si="160"/>
        <v/>
      </c>
      <c r="J2094" t="str">
        <f t="shared" si="161"/>
        <v/>
      </c>
      <c r="K2094" s="60" t="str">
        <f t="shared" si="162"/>
        <v/>
      </c>
      <c r="L2094" t="str">
        <f t="shared" si="163"/>
        <v/>
      </c>
    </row>
    <row r="2095" spans="1:12" x14ac:dyDescent="0.25">
      <c r="A2095" t="s">
        <v>2484</v>
      </c>
      <c r="G2095" t="str">
        <f t="shared" si="164"/>
        <v>05/23/19</v>
      </c>
      <c r="H2095" t="str">
        <f t="shared" si="159"/>
        <v>Boston Red Sox</v>
      </c>
      <c r="I2095" s="60">
        <f t="shared" si="160"/>
        <v>8</v>
      </c>
      <c r="J2095" t="str">
        <f t="shared" si="161"/>
        <v>Toronto Blue Jays</v>
      </c>
      <c r="K2095" s="60">
        <f t="shared" si="162"/>
        <v>2</v>
      </c>
      <c r="L2095">
        <f t="shared" si="163"/>
        <v>6</v>
      </c>
    </row>
    <row r="2096" spans="1:12" x14ac:dyDescent="0.25">
      <c r="G2096" t="str">
        <f t="shared" si="164"/>
        <v>05/23/19</v>
      </c>
      <c r="H2096" t="str">
        <f t="shared" si="159"/>
        <v/>
      </c>
      <c r="I2096" s="60" t="str">
        <f t="shared" si="160"/>
        <v/>
      </c>
      <c r="J2096" t="str">
        <f t="shared" si="161"/>
        <v/>
      </c>
      <c r="K2096" s="60" t="str">
        <f t="shared" si="162"/>
        <v/>
      </c>
      <c r="L2096" t="str">
        <f t="shared" si="163"/>
        <v/>
      </c>
    </row>
    <row r="2097" spans="1:12" x14ac:dyDescent="0.25">
      <c r="A2097" t="s">
        <v>2485</v>
      </c>
      <c r="G2097" t="str">
        <f t="shared" si="164"/>
        <v>05/23/19</v>
      </c>
      <c r="H2097" t="str">
        <f t="shared" si="159"/>
        <v/>
      </c>
      <c r="I2097" s="60" t="str">
        <f t="shared" si="160"/>
        <v/>
      </c>
      <c r="J2097" t="str">
        <f t="shared" si="161"/>
        <v/>
      </c>
      <c r="K2097" s="60" t="str">
        <f t="shared" si="162"/>
        <v/>
      </c>
      <c r="L2097" t="str">
        <f t="shared" si="163"/>
        <v/>
      </c>
    </row>
    <row r="2098" spans="1:12" x14ac:dyDescent="0.25">
      <c r="G2098" t="str">
        <f t="shared" si="164"/>
        <v>05/23/19</v>
      </c>
      <c r="H2098" t="str">
        <f t="shared" si="159"/>
        <v/>
      </c>
      <c r="I2098" s="60" t="str">
        <f t="shared" si="160"/>
        <v/>
      </c>
      <c r="J2098" t="str">
        <f t="shared" si="161"/>
        <v/>
      </c>
      <c r="K2098" s="60" t="str">
        <f t="shared" si="162"/>
        <v/>
      </c>
      <c r="L2098" t="str">
        <f t="shared" si="163"/>
        <v/>
      </c>
    </row>
    <row r="2099" spans="1:12" x14ac:dyDescent="0.25">
      <c r="A2099" t="s">
        <v>2486</v>
      </c>
      <c r="G2099" t="str">
        <f t="shared" si="164"/>
        <v>05/24/19</v>
      </c>
      <c r="H2099" t="str">
        <f t="shared" si="159"/>
        <v/>
      </c>
      <c r="I2099" s="60" t="str">
        <f t="shared" si="160"/>
        <v/>
      </c>
      <c r="J2099" t="str">
        <f t="shared" si="161"/>
        <v/>
      </c>
      <c r="K2099" s="60" t="str">
        <f t="shared" si="162"/>
        <v/>
      </c>
      <c r="L2099" t="str">
        <f t="shared" si="163"/>
        <v/>
      </c>
    </row>
    <row r="2100" spans="1:12" x14ac:dyDescent="0.25">
      <c r="G2100" t="str">
        <f t="shared" si="164"/>
        <v>05/24/19</v>
      </c>
      <c r="H2100" t="str">
        <f t="shared" si="159"/>
        <v/>
      </c>
      <c r="I2100" s="60" t="str">
        <f t="shared" si="160"/>
        <v/>
      </c>
      <c r="J2100" t="str">
        <f t="shared" si="161"/>
        <v/>
      </c>
      <c r="K2100" s="60" t="str">
        <f t="shared" si="162"/>
        <v/>
      </c>
      <c r="L2100" t="str">
        <f t="shared" si="163"/>
        <v/>
      </c>
    </row>
    <row r="2101" spans="1:12" x14ac:dyDescent="0.25">
      <c r="A2101" t="s">
        <v>2487</v>
      </c>
      <c r="G2101" t="str">
        <f t="shared" si="164"/>
        <v>05/24/19</v>
      </c>
      <c r="H2101" t="str">
        <f t="shared" si="159"/>
        <v>Texas Rangers</v>
      </c>
      <c r="I2101" s="60">
        <f t="shared" si="160"/>
        <v>4</v>
      </c>
      <c r="J2101" t="str">
        <f t="shared" si="161"/>
        <v>Los Angeles Angels</v>
      </c>
      <c r="K2101" s="60">
        <f t="shared" si="162"/>
        <v>3</v>
      </c>
      <c r="L2101">
        <f t="shared" si="163"/>
        <v>1</v>
      </c>
    </row>
    <row r="2102" spans="1:12" x14ac:dyDescent="0.25">
      <c r="G2102" t="str">
        <f t="shared" si="164"/>
        <v>05/24/19</v>
      </c>
      <c r="H2102" t="str">
        <f t="shared" si="159"/>
        <v/>
      </c>
      <c r="I2102" s="60" t="str">
        <f t="shared" si="160"/>
        <v/>
      </c>
      <c r="J2102" t="str">
        <f t="shared" si="161"/>
        <v/>
      </c>
      <c r="K2102" s="60" t="str">
        <f t="shared" si="162"/>
        <v/>
      </c>
      <c r="L2102" t="str">
        <f t="shared" si="163"/>
        <v/>
      </c>
    </row>
    <row r="2103" spans="1:12" x14ac:dyDescent="0.25">
      <c r="A2103" t="s">
        <v>2488</v>
      </c>
      <c r="G2103" t="str">
        <f t="shared" si="164"/>
        <v>05/24/19</v>
      </c>
      <c r="H2103" t="str">
        <f t="shared" si="159"/>
        <v>Cincinnati Reds</v>
      </c>
      <c r="I2103" s="60">
        <f t="shared" si="160"/>
        <v>6</v>
      </c>
      <c r="J2103" t="str">
        <f t="shared" si="161"/>
        <v>Chicago Cubs</v>
      </c>
      <c r="K2103" s="60">
        <f t="shared" si="162"/>
        <v>5</v>
      </c>
      <c r="L2103">
        <f t="shared" si="163"/>
        <v>1</v>
      </c>
    </row>
    <row r="2104" spans="1:12" x14ac:dyDescent="0.25">
      <c r="G2104" t="str">
        <f t="shared" si="164"/>
        <v>05/24/19</v>
      </c>
      <c r="H2104" t="str">
        <f t="shared" si="159"/>
        <v/>
      </c>
      <c r="I2104" s="60" t="str">
        <f t="shared" si="160"/>
        <v/>
      </c>
      <c r="J2104" t="str">
        <f t="shared" si="161"/>
        <v/>
      </c>
      <c r="K2104" s="60" t="str">
        <f t="shared" si="162"/>
        <v/>
      </c>
      <c r="L2104" t="str">
        <f t="shared" si="163"/>
        <v/>
      </c>
    </row>
    <row r="2105" spans="1:12" x14ac:dyDescent="0.25">
      <c r="A2105" t="s">
        <v>2489</v>
      </c>
      <c r="G2105" t="str">
        <f t="shared" si="164"/>
        <v>05/24/19</v>
      </c>
      <c r="H2105" t="str">
        <f t="shared" si="159"/>
        <v>Tampa Bay Rays</v>
      </c>
      <c r="I2105" s="60">
        <f t="shared" si="160"/>
        <v>1</v>
      </c>
      <c r="J2105" t="str">
        <f t="shared" si="161"/>
        <v>Cleveland Indians</v>
      </c>
      <c r="K2105" s="60">
        <f t="shared" si="162"/>
        <v>3</v>
      </c>
      <c r="L2105">
        <f t="shared" si="163"/>
        <v>-2</v>
      </c>
    </row>
    <row r="2106" spans="1:12" x14ac:dyDescent="0.25">
      <c r="G2106" t="str">
        <f t="shared" si="164"/>
        <v>05/24/19</v>
      </c>
      <c r="H2106" t="str">
        <f t="shared" si="159"/>
        <v/>
      </c>
      <c r="I2106" s="60" t="str">
        <f t="shared" si="160"/>
        <v/>
      </c>
      <c r="J2106" t="str">
        <f t="shared" si="161"/>
        <v/>
      </c>
      <c r="K2106" s="60" t="str">
        <f t="shared" si="162"/>
        <v/>
      </c>
      <c r="L2106" t="str">
        <f t="shared" si="163"/>
        <v/>
      </c>
    </row>
    <row r="2107" spans="1:12" x14ac:dyDescent="0.25">
      <c r="A2107" t="s">
        <v>2490</v>
      </c>
      <c r="G2107" t="str">
        <f t="shared" si="164"/>
        <v>05/24/19</v>
      </c>
      <c r="H2107" t="str">
        <f t="shared" si="159"/>
        <v>Baltimore Orioles</v>
      </c>
      <c r="I2107" s="60">
        <f t="shared" si="160"/>
        <v>6</v>
      </c>
      <c r="J2107" t="str">
        <f t="shared" si="161"/>
        <v>Colorado Rockies</v>
      </c>
      <c r="K2107" s="60">
        <f t="shared" si="162"/>
        <v>8</v>
      </c>
      <c r="L2107">
        <f t="shared" si="163"/>
        <v>-2</v>
      </c>
    </row>
    <row r="2108" spans="1:12" x14ac:dyDescent="0.25">
      <c r="G2108" t="str">
        <f t="shared" si="164"/>
        <v>05/24/19</v>
      </c>
      <c r="H2108" t="str">
        <f t="shared" si="159"/>
        <v/>
      </c>
      <c r="I2108" s="60" t="str">
        <f t="shared" si="160"/>
        <v/>
      </c>
      <c r="J2108" t="str">
        <f t="shared" si="161"/>
        <v/>
      </c>
      <c r="K2108" s="60" t="str">
        <f t="shared" si="162"/>
        <v/>
      </c>
      <c r="L2108" t="str">
        <f t="shared" si="163"/>
        <v/>
      </c>
    </row>
    <row r="2109" spans="1:12" x14ac:dyDescent="0.25">
      <c r="A2109" t="s">
        <v>2491</v>
      </c>
      <c r="G2109" t="str">
        <f t="shared" si="164"/>
        <v>05/24/19</v>
      </c>
      <c r="H2109" t="str">
        <f t="shared" si="159"/>
        <v>Boston Red Sox</v>
      </c>
      <c r="I2109" s="60">
        <f t="shared" si="160"/>
        <v>3</v>
      </c>
      <c r="J2109" t="str">
        <f t="shared" si="161"/>
        <v>Houston Astros</v>
      </c>
      <c r="K2109" s="60">
        <f t="shared" si="162"/>
        <v>4</v>
      </c>
      <c r="L2109">
        <f t="shared" si="163"/>
        <v>-1</v>
      </c>
    </row>
    <row r="2110" spans="1:12" x14ac:dyDescent="0.25">
      <c r="G2110" t="str">
        <f t="shared" si="164"/>
        <v>05/24/19</v>
      </c>
      <c r="H2110" t="str">
        <f t="shared" si="159"/>
        <v/>
      </c>
      <c r="I2110" s="60" t="str">
        <f t="shared" si="160"/>
        <v/>
      </c>
      <c r="J2110" t="str">
        <f t="shared" si="161"/>
        <v/>
      </c>
      <c r="K2110" s="60" t="str">
        <f t="shared" si="162"/>
        <v/>
      </c>
      <c r="L2110" t="str">
        <f t="shared" si="163"/>
        <v/>
      </c>
    </row>
    <row r="2111" spans="1:12" x14ac:dyDescent="0.25">
      <c r="A2111" t="s">
        <v>2492</v>
      </c>
      <c r="G2111" t="str">
        <f t="shared" si="164"/>
        <v>05/24/19</v>
      </c>
      <c r="H2111" t="str">
        <f t="shared" si="159"/>
        <v>Philadelphia Phillies</v>
      </c>
      <c r="I2111" s="60">
        <f t="shared" si="160"/>
        <v>6</v>
      </c>
      <c r="J2111" t="str">
        <f t="shared" si="161"/>
        <v>Milwaukee Brewers</v>
      </c>
      <c r="K2111" s="60">
        <f t="shared" si="162"/>
        <v>4</v>
      </c>
      <c r="L2111">
        <f t="shared" si="163"/>
        <v>2</v>
      </c>
    </row>
    <row r="2112" spans="1:12" x14ac:dyDescent="0.25">
      <c r="G2112" t="str">
        <f t="shared" si="164"/>
        <v>05/24/19</v>
      </c>
      <c r="H2112" t="str">
        <f t="shared" si="159"/>
        <v/>
      </c>
      <c r="I2112" s="60" t="str">
        <f t="shared" si="160"/>
        <v/>
      </c>
      <c r="J2112" t="str">
        <f t="shared" si="161"/>
        <v/>
      </c>
      <c r="K2112" s="60" t="str">
        <f t="shared" si="162"/>
        <v/>
      </c>
      <c r="L2112" t="str">
        <f t="shared" si="163"/>
        <v/>
      </c>
    </row>
    <row r="2113" spans="1:12" x14ac:dyDescent="0.25">
      <c r="A2113" t="s">
        <v>2493</v>
      </c>
      <c r="G2113" t="str">
        <f t="shared" si="164"/>
        <v>05/24/19</v>
      </c>
      <c r="H2113" t="str">
        <f t="shared" si="159"/>
        <v>Chicago White Sox</v>
      </c>
      <c r="I2113" s="60">
        <f t="shared" si="160"/>
        <v>4</v>
      </c>
      <c r="J2113" t="str">
        <f t="shared" si="161"/>
        <v>Minnesota Twins</v>
      </c>
      <c r="K2113" s="60">
        <f t="shared" si="162"/>
        <v>11</v>
      </c>
      <c r="L2113">
        <f t="shared" si="163"/>
        <v>-7</v>
      </c>
    </row>
    <row r="2114" spans="1:12" x14ac:dyDescent="0.25">
      <c r="G2114" t="str">
        <f t="shared" si="164"/>
        <v>05/24/19</v>
      </c>
      <c r="H2114" t="str">
        <f t="shared" si="159"/>
        <v/>
      </c>
      <c r="I2114" s="60" t="str">
        <f t="shared" si="160"/>
        <v/>
      </c>
      <c r="J2114" t="str">
        <f t="shared" si="161"/>
        <v/>
      </c>
      <c r="K2114" s="60" t="str">
        <f t="shared" si="162"/>
        <v/>
      </c>
      <c r="L2114" t="str">
        <f t="shared" si="163"/>
        <v/>
      </c>
    </row>
    <row r="2115" spans="1:12" x14ac:dyDescent="0.25">
      <c r="A2115" t="s">
        <v>2494</v>
      </c>
      <c r="G2115" t="str">
        <f t="shared" si="164"/>
        <v>05/24/19</v>
      </c>
      <c r="H2115" t="str">
        <f t="shared" si="159"/>
        <v>Detroit Tigers</v>
      </c>
      <c r="I2115" s="60">
        <f t="shared" si="160"/>
        <v>9</v>
      </c>
      <c r="J2115" t="str">
        <f t="shared" si="161"/>
        <v>New York Mets</v>
      </c>
      <c r="K2115" s="60">
        <f t="shared" si="162"/>
        <v>8</v>
      </c>
      <c r="L2115">
        <f t="shared" si="163"/>
        <v>1</v>
      </c>
    </row>
    <row r="2116" spans="1:12" x14ac:dyDescent="0.25">
      <c r="G2116" t="str">
        <f t="shared" si="164"/>
        <v>05/24/19</v>
      </c>
      <c r="H2116" t="str">
        <f t="shared" si="159"/>
        <v/>
      </c>
      <c r="I2116" s="60" t="str">
        <f t="shared" si="160"/>
        <v/>
      </c>
      <c r="J2116" t="str">
        <f t="shared" si="161"/>
        <v/>
      </c>
      <c r="K2116" s="60" t="str">
        <f t="shared" si="162"/>
        <v/>
      </c>
      <c r="L2116" t="str">
        <f t="shared" si="163"/>
        <v/>
      </c>
    </row>
    <row r="2117" spans="1:12" x14ac:dyDescent="0.25">
      <c r="A2117" t="s">
        <v>2495</v>
      </c>
      <c r="G2117" t="str">
        <f t="shared" si="164"/>
        <v>05/24/19</v>
      </c>
      <c r="H2117" t="str">
        <f t="shared" si="159"/>
        <v>Seattle Mariners</v>
      </c>
      <c r="I2117" s="60">
        <f t="shared" si="160"/>
        <v>2</v>
      </c>
      <c r="J2117" t="str">
        <f t="shared" si="161"/>
        <v>Oakland Athletics</v>
      </c>
      <c r="K2117" s="60">
        <f t="shared" si="162"/>
        <v>6</v>
      </c>
      <c r="L2117">
        <f t="shared" si="163"/>
        <v>-4</v>
      </c>
    </row>
    <row r="2118" spans="1:12" x14ac:dyDescent="0.25">
      <c r="G2118" t="str">
        <f t="shared" si="164"/>
        <v>05/24/19</v>
      </c>
      <c r="H2118" t="str">
        <f t="shared" si="159"/>
        <v/>
      </c>
      <c r="I2118" s="60" t="str">
        <f t="shared" si="160"/>
        <v/>
      </c>
      <c r="J2118" t="str">
        <f t="shared" si="161"/>
        <v/>
      </c>
      <c r="K2118" s="60" t="str">
        <f t="shared" si="162"/>
        <v/>
      </c>
      <c r="L2118" t="str">
        <f t="shared" si="163"/>
        <v/>
      </c>
    </row>
    <row r="2119" spans="1:12" x14ac:dyDescent="0.25">
      <c r="A2119" t="s">
        <v>2496</v>
      </c>
      <c r="G2119" t="str">
        <f t="shared" si="164"/>
        <v>05/24/19</v>
      </c>
      <c r="H2119" t="str">
        <f t="shared" si="159"/>
        <v>Los Angeles Dodgers</v>
      </c>
      <c r="I2119" s="60">
        <f t="shared" si="160"/>
        <v>10</v>
      </c>
      <c r="J2119" t="str">
        <f t="shared" si="161"/>
        <v>Pittsburgh Pirates</v>
      </c>
      <c r="K2119" s="60">
        <f t="shared" si="162"/>
        <v>2</v>
      </c>
      <c r="L2119">
        <f t="shared" si="163"/>
        <v>8</v>
      </c>
    </row>
    <row r="2120" spans="1:12" x14ac:dyDescent="0.25">
      <c r="G2120" t="str">
        <f t="shared" si="164"/>
        <v>05/24/19</v>
      </c>
      <c r="H2120" t="str">
        <f t="shared" si="159"/>
        <v/>
      </c>
      <c r="I2120" s="60" t="str">
        <f t="shared" si="160"/>
        <v/>
      </c>
      <c r="J2120" t="str">
        <f t="shared" si="161"/>
        <v/>
      </c>
      <c r="K2120" s="60" t="str">
        <f t="shared" si="162"/>
        <v/>
      </c>
      <c r="L2120" t="str">
        <f t="shared" si="163"/>
        <v/>
      </c>
    </row>
    <row r="2121" spans="1:12" x14ac:dyDescent="0.25">
      <c r="A2121" t="s">
        <v>2497</v>
      </c>
      <c r="G2121" t="str">
        <f t="shared" si="164"/>
        <v>05/24/19</v>
      </c>
      <c r="H2121" t="str">
        <f t="shared" si="159"/>
        <v>Arizona D'Backs</v>
      </c>
      <c r="I2121" s="60">
        <f t="shared" si="160"/>
        <v>18</v>
      </c>
      <c r="J2121" t="str">
        <f t="shared" si="161"/>
        <v>San Francisco Giants</v>
      </c>
      <c r="K2121" s="60">
        <f t="shared" si="162"/>
        <v>2</v>
      </c>
      <c r="L2121">
        <f t="shared" si="163"/>
        <v>16</v>
      </c>
    </row>
    <row r="2122" spans="1:12" x14ac:dyDescent="0.25">
      <c r="G2122" t="str">
        <f t="shared" si="164"/>
        <v>05/24/19</v>
      </c>
      <c r="H2122" t="str">
        <f t="shared" si="159"/>
        <v/>
      </c>
      <c r="I2122" s="60" t="str">
        <f t="shared" si="160"/>
        <v/>
      </c>
      <c r="J2122" t="str">
        <f t="shared" si="161"/>
        <v/>
      </c>
      <c r="K2122" s="60" t="str">
        <f t="shared" si="162"/>
        <v/>
      </c>
      <c r="L2122" t="str">
        <f t="shared" si="163"/>
        <v/>
      </c>
    </row>
    <row r="2123" spans="1:12" x14ac:dyDescent="0.25">
      <c r="A2123" t="s">
        <v>2498</v>
      </c>
      <c r="G2123" t="str">
        <f t="shared" si="164"/>
        <v>05/24/19</v>
      </c>
      <c r="H2123" t="str">
        <f t="shared" si="159"/>
        <v>Atlanta Braves</v>
      </c>
      <c r="I2123" s="60">
        <f t="shared" si="160"/>
        <v>5</v>
      </c>
      <c r="J2123" t="str">
        <f t="shared" si="161"/>
        <v>St. Louis Cardinals</v>
      </c>
      <c r="K2123" s="60">
        <f t="shared" si="162"/>
        <v>2</v>
      </c>
      <c r="L2123">
        <f t="shared" si="163"/>
        <v>3</v>
      </c>
    </row>
    <row r="2124" spans="1:12" x14ac:dyDescent="0.25">
      <c r="G2124" t="str">
        <f t="shared" si="164"/>
        <v>05/24/19</v>
      </c>
      <c r="H2124" t="str">
        <f t="shared" si="159"/>
        <v/>
      </c>
      <c r="I2124" s="60" t="str">
        <f t="shared" si="160"/>
        <v/>
      </c>
      <c r="J2124" t="str">
        <f t="shared" si="161"/>
        <v/>
      </c>
      <c r="K2124" s="60" t="str">
        <f t="shared" si="162"/>
        <v/>
      </c>
      <c r="L2124" t="str">
        <f t="shared" si="163"/>
        <v/>
      </c>
    </row>
    <row r="2125" spans="1:12" x14ac:dyDescent="0.25">
      <c r="A2125" t="s">
        <v>2499</v>
      </c>
      <c r="G2125" t="str">
        <f t="shared" si="164"/>
        <v>05/24/19</v>
      </c>
      <c r="H2125" t="str">
        <f t="shared" si="159"/>
        <v>San Diego Padres</v>
      </c>
      <c r="I2125" s="60">
        <f t="shared" si="160"/>
        <v>6</v>
      </c>
      <c r="J2125" t="str">
        <f t="shared" si="161"/>
        <v>Toronto Blue Jays</v>
      </c>
      <c r="K2125" s="60">
        <f t="shared" si="162"/>
        <v>3</v>
      </c>
      <c r="L2125">
        <f t="shared" si="163"/>
        <v>3</v>
      </c>
    </row>
    <row r="2126" spans="1:12" x14ac:dyDescent="0.25">
      <c r="G2126" t="str">
        <f t="shared" si="164"/>
        <v>05/24/19</v>
      </c>
      <c r="H2126" t="str">
        <f t="shared" si="159"/>
        <v/>
      </c>
      <c r="I2126" s="60" t="str">
        <f t="shared" si="160"/>
        <v/>
      </c>
      <c r="J2126" t="str">
        <f t="shared" si="161"/>
        <v/>
      </c>
      <c r="K2126" s="60" t="str">
        <f t="shared" si="162"/>
        <v/>
      </c>
      <c r="L2126" t="str">
        <f t="shared" si="163"/>
        <v/>
      </c>
    </row>
    <row r="2127" spans="1:12" x14ac:dyDescent="0.25">
      <c r="A2127" t="s">
        <v>2500</v>
      </c>
      <c r="G2127" t="str">
        <f t="shared" si="164"/>
        <v>05/24/19</v>
      </c>
      <c r="H2127" t="str">
        <f t="shared" si="159"/>
        <v>Miami Marlins</v>
      </c>
      <c r="I2127" s="60">
        <f t="shared" si="160"/>
        <v>10</v>
      </c>
      <c r="J2127" t="str">
        <f t="shared" si="161"/>
        <v>Washington Nationals</v>
      </c>
      <c r="K2127" s="60">
        <f t="shared" si="162"/>
        <v>12</v>
      </c>
      <c r="L2127">
        <f t="shared" si="163"/>
        <v>-2</v>
      </c>
    </row>
    <row r="2128" spans="1:12" x14ac:dyDescent="0.25">
      <c r="G2128" t="str">
        <f t="shared" si="164"/>
        <v>05/24/19</v>
      </c>
      <c r="H2128" t="str">
        <f t="shared" ref="H2128:H2191" si="165">IFERROR(LEFT(MID(A2128,1,SEARCH("@",A2128)-2),SEARCH("(",A2128)-2),"")</f>
        <v/>
      </c>
      <c r="I2128" s="60" t="str">
        <f t="shared" ref="I2128:I2191" si="166">IFERROR(VALUE(MID(A2128,SEARCH("(",A2128)+1,SEARCH(")",A2128)-SEARCH("(",A2128)-1)),"")</f>
        <v/>
      </c>
      <c r="J2128" t="str">
        <f t="shared" ref="J2128:J2191" si="167">IFERROR(MID(A2128,SEARCH("@",A2128)+2,SEARCH("(",A2128,SEARCH("@",A2128))-SEARCH("@",A2128)-3),"")</f>
        <v/>
      </c>
      <c r="K2128" s="60" t="str">
        <f t="shared" ref="K2128:K2191" si="168">IFERROR(VALUE(MID(A2128,SEARCH(J2128,A2128)+LEN(J2128)+2,(SEARCH(")",A2128,SEARCH("@",A2128))-SEARCH("(",A2128,SEARCH("@",A2128))-1))),"")</f>
        <v/>
      </c>
      <c r="L2128" t="str">
        <f t="shared" ref="L2128:L2191" si="169">IFERROR(I2128-K2128,"")</f>
        <v/>
      </c>
    </row>
    <row r="2129" spans="1:12" x14ac:dyDescent="0.25">
      <c r="A2129" t="s">
        <v>2501</v>
      </c>
      <c r="G2129" t="str">
        <f t="shared" si="164"/>
        <v>05/24/19</v>
      </c>
      <c r="H2129" t="str">
        <f t="shared" si="165"/>
        <v/>
      </c>
      <c r="I2129" s="60" t="str">
        <f t="shared" si="166"/>
        <v/>
      </c>
      <c r="J2129" t="str">
        <f t="shared" si="167"/>
        <v/>
      </c>
      <c r="K2129" s="60" t="str">
        <f t="shared" si="168"/>
        <v/>
      </c>
      <c r="L2129" t="str">
        <f t="shared" si="169"/>
        <v/>
      </c>
    </row>
    <row r="2130" spans="1:12" x14ac:dyDescent="0.25">
      <c r="G2130" t="str">
        <f t="shared" si="164"/>
        <v>05/24/19</v>
      </c>
      <c r="H2130" t="str">
        <f t="shared" si="165"/>
        <v/>
      </c>
      <c r="I2130" s="60" t="str">
        <f t="shared" si="166"/>
        <v/>
      </c>
      <c r="J2130" t="str">
        <f t="shared" si="167"/>
        <v/>
      </c>
      <c r="K2130" s="60" t="str">
        <f t="shared" si="168"/>
        <v/>
      </c>
      <c r="L2130" t="str">
        <f t="shared" si="169"/>
        <v/>
      </c>
    </row>
    <row r="2131" spans="1:12" x14ac:dyDescent="0.25">
      <c r="A2131" t="s">
        <v>2502</v>
      </c>
      <c r="G2131" t="str">
        <f t="shared" si="164"/>
        <v>05/25/19</v>
      </c>
      <c r="H2131" t="str">
        <f t="shared" si="165"/>
        <v/>
      </c>
      <c r="I2131" s="60" t="str">
        <f t="shared" si="166"/>
        <v/>
      </c>
      <c r="J2131" t="str">
        <f t="shared" si="167"/>
        <v/>
      </c>
      <c r="K2131" s="60" t="str">
        <f t="shared" si="168"/>
        <v/>
      </c>
      <c r="L2131" t="str">
        <f t="shared" si="169"/>
        <v/>
      </c>
    </row>
    <row r="2132" spans="1:12" x14ac:dyDescent="0.25">
      <c r="G2132" t="str">
        <f t="shared" si="164"/>
        <v>05/25/19</v>
      </c>
      <c r="H2132" t="str">
        <f t="shared" si="165"/>
        <v/>
      </c>
      <c r="I2132" s="60" t="str">
        <f t="shared" si="166"/>
        <v/>
      </c>
      <c r="J2132" t="str">
        <f t="shared" si="167"/>
        <v/>
      </c>
      <c r="K2132" s="60" t="str">
        <f t="shared" si="168"/>
        <v/>
      </c>
      <c r="L2132" t="str">
        <f t="shared" si="169"/>
        <v/>
      </c>
    </row>
    <row r="2133" spans="1:12" x14ac:dyDescent="0.25">
      <c r="A2133" t="s">
        <v>2503</v>
      </c>
      <c r="G2133" t="str">
        <f t="shared" si="164"/>
        <v>05/25/19</v>
      </c>
      <c r="H2133" t="str">
        <f t="shared" si="165"/>
        <v>Texas Rangers</v>
      </c>
      <c r="I2133" s="60">
        <f t="shared" si="166"/>
        <v>2</v>
      </c>
      <c r="J2133" t="str">
        <f t="shared" si="167"/>
        <v>Los Angeles Angels</v>
      </c>
      <c r="K2133" s="60">
        <f t="shared" si="168"/>
        <v>3</v>
      </c>
      <c r="L2133">
        <f t="shared" si="169"/>
        <v>-1</v>
      </c>
    </row>
    <row r="2134" spans="1:12" x14ac:dyDescent="0.25">
      <c r="G2134" t="str">
        <f t="shared" si="164"/>
        <v>05/25/19</v>
      </c>
      <c r="H2134" t="str">
        <f t="shared" si="165"/>
        <v/>
      </c>
      <c r="I2134" s="60" t="str">
        <f t="shared" si="166"/>
        <v/>
      </c>
      <c r="J2134" t="str">
        <f t="shared" si="167"/>
        <v/>
      </c>
      <c r="K2134" s="60" t="str">
        <f t="shared" si="168"/>
        <v/>
      </c>
      <c r="L2134" t="str">
        <f t="shared" si="169"/>
        <v/>
      </c>
    </row>
    <row r="2135" spans="1:12" x14ac:dyDescent="0.25">
      <c r="A2135" t="s">
        <v>2504</v>
      </c>
      <c r="G2135" t="str">
        <f t="shared" si="164"/>
        <v>05/25/19</v>
      </c>
      <c r="H2135" t="str">
        <f t="shared" si="165"/>
        <v>Cincinnati Reds</v>
      </c>
      <c r="I2135" s="60">
        <f t="shared" si="166"/>
        <v>6</v>
      </c>
      <c r="J2135" t="str">
        <f t="shared" si="167"/>
        <v>Chicago Cubs</v>
      </c>
      <c r="K2135" s="60">
        <f t="shared" si="168"/>
        <v>8</v>
      </c>
      <c r="L2135">
        <f t="shared" si="169"/>
        <v>-2</v>
      </c>
    </row>
    <row r="2136" spans="1:12" x14ac:dyDescent="0.25">
      <c r="G2136" t="str">
        <f t="shared" si="164"/>
        <v>05/25/19</v>
      </c>
      <c r="H2136" t="str">
        <f t="shared" si="165"/>
        <v/>
      </c>
      <c r="I2136" s="60" t="str">
        <f t="shared" si="166"/>
        <v/>
      </c>
      <c r="J2136" t="str">
        <f t="shared" si="167"/>
        <v/>
      </c>
      <c r="K2136" s="60" t="str">
        <f t="shared" si="168"/>
        <v/>
      </c>
      <c r="L2136" t="str">
        <f t="shared" si="169"/>
        <v/>
      </c>
    </row>
    <row r="2137" spans="1:12" x14ac:dyDescent="0.25">
      <c r="A2137" t="s">
        <v>2505</v>
      </c>
      <c r="G2137" t="str">
        <f t="shared" si="164"/>
        <v>05/25/19</v>
      </c>
      <c r="H2137" t="str">
        <f t="shared" si="165"/>
        <v>Tampa Bay Rays</v>
      </c>
      <c r="I2137" s="60">
        <f t="shared" si="166"/>
        <v>6</v>
      </c>
      <c r="J2137" t="str">
        <f t="shared" si="167"/>
        <v>Cleveland Indians</v>
      </c>
      <c r="K2137" s="60">
        <f t="shared" si="168"/>
        <v>2</v>
      </c>
      <c r="L2137">
        <f t="shared" si="169"/>
        <v>4</v>
      </c>
    </row>
    <row r="2138" spans="1:12" x14ac:dyDescent="0.25">
      <c r="G2138" t="str">
        <f t="shared" si="164"/>
        <v>05/25/19</v>
      </c>
      <c r="H2138" t="str">
        <f t="shared" si="165"/>
        <v/>
      </c>
      <c r="I2138" s="60" t="str">
        <f t="shared" si="166"/>
        <v/>
      </c>
      <c r="J2138" t="str">
        <f t="shared" si="167"/>
        <v/>
      </c>
      <c r="K2138" s="60" t="str">
        <f t="shared" si="168"/>
        <v/>
      </c>
      <c r="L2138" t="str">
        <f t="shared" si="169"/>
        <v/>
      </c>
    </row>
    <row r="2139" spans="1:12" x14ac:dyDescent="0.25">
      <c r="A2139" t="s">
        <v>2506</v>
      </c>
      <c r="G2139" t="str">
        <f t="shared" si="164"/>
        <v>05/25/19</v>
      </c>
      <c r="H2139" t="str">
        <f t="shared" si="165"/>
        <v>Baltimore Orioles</v>
      </c>
      <c r="I2139" s="60">
        <f t="shared" si="166"/>
        <v>9</v>
      </c>
      <c r="J2139" t="str">
        <f t="shared" si="167"/>
        <v>Colorado Rockies</v>
      </c>
      <c r="K2139" s="60">
        <f t="shared" si="168"/>
        <v>6</v>
      </c>
      <c r="L2139">
        <f t="shared" si="169"/>
        <v>3</v>
      </c>
    </row>
    <row r="2140" spans="1:12" x14ac:dyDescent="0.25">
      <c r="G2140" t="str">
        <f t="shared" si="164"/>
        <v>05/25/19</v>
      </c>
      <c r="H2140" t="str">
        <f t="shared" si="165"/>
        <v/>
      </c>
      <c r="I2140" s="60" t="str">
        <f t="shared" si="166"/>
        <v/>
      </c>
      <c r="J2140" t="str">
        <f t="shared" si="167"/>
        <v/>
      </c>
      <c r="K2140" s="60" t="str">
        <f t="shared" si="168"/>
        <v/>
      </c>
      <c r="L2140" t="str">
        <f t="shared" si="169"/>
        <v/>
      </c>
    </row>
    <row r="2141" spans="1:12" x14ac:dyDescent="0.25">
      <c r="A2141" t="s">
        <v>2491</v>
      </c>
      <c r="G2141" t="str">
        <f t="shared" si="164"/>
        <v>05/25/19</v>
      </c>
      <c r="H2141" t="str">
        <f t="shared" si="165"/>
        <v>Boston Red Sox</v>
      </c>
      <c r="I2141" s="60">
        <f t="shared" si="166"/>
        <v>3</v>
      </c>
      <c r="J2141" t="str">
        <f t="shared" si="167"/>
        <v>Houston Astros</v>
      </c>
      <c r="K2141" s="60">
        <f t="shared" si="168"/>
        <v>4</v>
      </c>
      <c r="L2141">
        <f t="shared" si="169"/>
        <v>-1</v>
      </c>
    </row>
    <row r="2142" spans="1:12" x14ac:dyDescent="0.25">
      <c r="G2142" t="str">
        <f t="shared" si="164"/>
        <v>05/25/19</v>
      </c>
      <c r="H2142" t="str">
        <f t="shared" si="165"/>
        <v/>
      </c>
      <c r="I2142" s="60" t="str">
        <f t="shared" si="166"/>
        <v/>
      </c>
      <c r="J2142" t="str">
        <f t="shared" si="167"/>
        <v/>
      </c>
      <c r="K2142" s="60" t="str">
        <f t="shared" si="168"/>
        <v/>
      </c>
      <c r="L2142" t="str">
        <f t="shared" si="169"/>
        <v/>
      </c>
    </row>
    <row r="2143" spans="1:12" x14ac:dyDescent="0.25">
      <c r="A2143" t="s">
        <v>2507</v>
      </c>
      <c r="G2143" t="str">
        <f t="shared" si="164"/>
        <v>05/25/19</v>
      </c>
      <c r="H2143" t="str">
        <f t="shared" si="165"/>
        <v>New York Yankees</v>
      </c>
      <c r="I2143" s="60">
        <f t="shared" si="166"/>
        <v>7</v>
      </c>
      <c r="J2143" t="str">
        <f t="shared" si="167"/>
        <v>Kansas City Royals</v>
      </c>
      <c r="K2143" s="60">
        <f t="shared" si="168"/>
        <v>3</v>
      </c>
      <c r="L2143">
        <f t="shared" si="169"/>
        <v>4</v>
      </c>
    </row>
    <row r="2144" spans="1:12" x14ac:dyDescent="0.25">
      <c r="G2144" t="str">
        <f t="shared" si="164"/>
        <v>05/25/19</v>
      </c>
      <c r="H2144" t="str">
        <f t="shared" si="165"/>
        <v/>
      </c>
      <c r="I2144" s="60" t="str">
        <f t="shared" si="166"/>
        <v/>
      </c>
      <c r="J2144" t="str">
        <f t="shared" si="167"/>
        <v/>
      </c>
      <c r="K2144" s="60" t="str">
        <f t="shared" si="168"/>
        <v/>
      </c>
      <c r="L2144" t="str">
        <f t="shared" si="169"/>
        <v/>
      </c>
    </row>
    <row r="2145" spans="1:12" x14ac:dyDescent="0.25">
      <c r="A2145" t="s">
        <v>2508</v>
      </c>
      <c r="G2145" t="str">
        <f t="shared" si="164"/>
        <v>05/25/19</v>
      </c>
      <c r="H2145" t="str">
        <f t="shared" si="165"/>
        <v>New York Yankees</v>
      </c>
      <c r="I2145" s="60">
        <f t="shared" si="166"/>
        <v>6</v>
      </c>
      <c r="J2145" t="str">
        <f t="shared" si="167"/>
        <v>Kansas City Royals</v>
      </c>
      <c r="K2145" s="60">
        <f t="shared" si="168"/>
        <v>5</v>
      </c>
      <c r="L2145">
        <f t="shared" si="169"/>
        <v>1</v>
      </c>
    </row>
    <row r="2146" spans="1:12" x14ac:dyDescent="0.25">
      <c r="G2146" t="str">
        <f t="shared" ref="G2146:G2209" si="170">IF(ISNUMBER(MATCH(IFERROR(LEFT(A2146,SEARCH(",",A2146)-1),""),$G$220:$M$220,0)),TEXT(MID(A2146,SEARCH(",",A2146)+2,LEN(A2146)),"mm/dd/yy"),G2145)</f>
        <v>05/25/19</v>
      </c>
      <c r="H2146" t="str">
        <f t="shared" si="165"/>
        <v/>
      </c>
      <c r="I2146" s="60" t="str">
        <f t="shared" si="166"/>
        <v/>
      </c>
      <c r="J2146" t="str">
        <f t="shared" si="167"/>
        <v/>
      </c>
      <c r="K2146" s="60" t="str">
        <f t="shared" si="168"/>
        <v/>
      </c>
      <c r="L2146" t="str">
        <f t="shared" si="169"/>
        <v/>
      </c>
    </row>
    <row r="2147" spans="1:12" x14ac:dyDescent="0.25">
      <c r="A2147" t="s">
        <v>2509</v>
      </c>
      <c r="G2147" t="str">
        <f t="shared" si="170"/>
        <v>05/25/19</v>
      </c>
      <c r="H2147" t="str">
        <f t="shared" si="165"/>
        <v>Philadelphia Phillies</v>
      </c>
      <c r="I2147" s="60">
        <f t="shared" si="166"/>
        <v>7</v>
      </c>
      <c r="J2147" t="str">
        <f t="shared" si="167"/>
        <v>Milwaukee Brewers</v>
      </c>
      <c r="K2147" s="60">
        <f t="shared" si="168"/>
        <v>2</v>
      </c>
      <c r="L2147">
        <f t="shared" si="169"/>
        <v>5</v>
      </c>
    </row>
    <row r="2148" spans="1:12" x14ac:dyDescent="0.25">
      <c r="G2148" t="str">
        <f t="shared" si="170"/>
        <v>05/25/19</v>
      </c>
      <c r="H2148" t="str">
        <f t="shared" si="165"/>
        <v/>
      </c>
      <c r="I2148" s="60" t="str">
        <f t="shared" si="166"/>
        <v/>
      </c>
      <c r="J2148" t="str">
        <f t="shared" si="167"/>
        <v/>
      </c>
      <c r="K2148" s="60" t="str">
        <f t="shared" si="168"/>
        <v/>
      </c>
      <c r="L2148" t="str">
        <f t="shared" si="169"/>
        <v/>
      </c>
    </row>
    <row r="2149" spans="1:12" x14ac:dyDescent="0.25">
      <c r="A2149" t="s">
        <v>2510</v>
      </c>
      <c r="G2149" t="str">
        <f t="shared" si="170"/>
        <v>05/25/19</v>
      </c>
      <c r="H2149" t="str">
        <f t="shared" si="165"/>
        <v>Chicago White Sox</v>
      </c>
      <c r="I2149" s="60">
        <f t="shared" si="166"/>
        <v>1</v>
      </c>
      <c r="J2149" t="str">
        <f t="shared" si="167"/>
        <v>Minnesota Twins</v>
      </c>
      <c r="K2149" s="60">
        <f t="shared" si="168"/>
        <v>8</v>
      </c>
      <c r="L2149">
        <f t="shared" si="169"/>
        <v>-7</v>
      </c>
    </row>
    <row r="2150" spans="1:12" x14ac:dyDescent="0.25">
      <c r="G2150" t="str">
        <f t="shared" si="170"/>
        <v>05/25/19</v>
      </c>
      <c r="H2150" t="str">
        <f t="shared" si="165"/>
        <v/>
      </c>
      <c r="I2150" s="60" t="str">
        <f t="shared" si="166"/>
        <v/>
      </c>
      <c r="J2150" t="str">
        <f t="shared" si="167"/>
        <v/>
      </c>
      <c r="K2150" s="60" t="str">
        <f t="shared" si="168"/>
        <v/>
      </c>
      <c r="L2150" t="str">
        <f t="shared" si="169"/>
        <v/>
      </c>
    </row>
    <row r="2151" spans="1:12" x14ac:dyDescent="0.25">
      <c r="A2151" t="s">
        <v>2511</v>
      </c>
      <c r="G2151" t="str">
        <f t="shared" si="170"/>
        <v>05/25/19</v>
      </c>
      <c r="H2151" t="str">
        <f t="shared" si="165"/>
        <v>Detroit Tigers</v>
      </c>
      <c r="I2151" s="60">
        <f t="shared" si="166"/>
        <v>4</v>
      </c>
      <c r="J2151" t="str">
        <f t="shared" si="167"/>
        <v>New York Mets</v>
      </c>
      <c r="K2151" s="60">
        <f t="shared" si="168"/>
        <v>5</v>
      </c>
      <c r="L2151">
        <f t="shared" si="169"/>
        <v>-1</v>
      </c>
    </row>
    <row r="2152" spans="1:12" x14ac:dyDescent="0.25">
      <c r="G2152" t="str">
        <f t="shared" si="170"/>
        <v>05/25/19</v>
      </c>
      <c r="H2152" t="str">
        <f t="shared" si="165"/>
        <v/>
      </c>
      <c r="I2152" s="60" t="str">
        <f t="shared" si="166"/>
        <v/>
      </c>
      <c r="J2152" t="str">
        <f t="shared" si="167"/>
        <v/>
      </c>
      <c r="K2152" s="60" t="str">
        <f t="shared" si="168"/>
        <v/>
      </c>
      <c r="L2152" t="str">
        <f t="shared" si="169"/>
        <v/>
      </c>
    </row>
    <row r="2153" spans="1:12" x14ac:dyDescent="0.25">
      <c r="A2153" t="s">
        <v>2512</v>
      </c>
      <c r="G2153" t="str">
        <f t="shared" si="170"/>
        <v>05/25/19</v>
      </c>
      <c r="H2153" t="str">
        <f t="shared" si="165"/>
        <v>Seattle Mariners</v>
      </c>
      <c r="I2153" s="60">
        <f t="shared" si="166"/>
        <v>5</v>
      </c>
      <c r="J2153" t="str">
        <f t="shared" si="167"/>
        <v>Oakland Athletics</v>
      </c>
      <c r="K2153" s="60">
        <f t="shared" si="168"/>
        <v>6</v>
      </c>
      <c r="L2153">
        <f t="shared" si="169"/>
        <v>-1</v>
      </c>
    </row>
    <row r="2154" spans="1:12" x14ac:dyDescent="0.25">
      <c r="G2154" t="str">
        <f t="shared" si="170"/>
        <v>05/25/19</v>
      </c>
      <c r="H2154" t="str">
        <f t="shared" si="165"/>
        <v/>
      </c>
      <c r="I2154" s="60" t="str">
        <f t="shared" si="166"/>
        <v/>
      </c>
      <c r="J2154" t="str">
        <f t="shared" si="167"/>
        <v/>
      </c>
      <c r="K2154" s="60" t="str">
        <f t="shared" si="168"/>
        <v/>
      </c>
      <c r="L2154" t="str">
        <f t="shared" si="169"/>
        <v/>
      </c>
    </row>
    <row r="2155" spans="1:12" x14ac:dyDescent="0.25">
      <c r="A2155" t="s">
        <v>2513</v>
      </c>
      <c r="G2155" t="str">
        <f t="shared" si="170"/>
        <v>05/25/19</v>
      </c>
      <c r="H2155" t="str">
        <f t="shared" si="165"/>
        <v>Los Angeles Dodgers</v>
      </c>
      <c r="I2155" s="60">
        <f t="shared" si="166"/>
        <v>7</v>
      </c>
      <c r="J2155" t="str">
        <f t="shared" si="167"/>
        <v>Pittsburgh Pirates</v>
      </c>
      <c r="K2155" s="60">
        <f t="shared" si="168"/>
        <v>2</v>
      </c>
      <c r="L2155">
        <f t="shared" si="169"/>
        <v>5</v>
      </c>
    </row>
    <row r="2156" spans="1:12" x14ac:dyDescent="0.25">
      <c r="G2156" t="str">
        <f t="shared" si="170"/>
        <v>05/25/19</v>
      </c>
      <c r="H2156" t="str">
        <f t="shared" si="165"/>
        <v/>
      </c>
      <c r="I2156" s="60" t="str">
        <f t="shared" si="166"/>
        <v/>
      </c>
      <c r="J2156" t="str">
        <f t="shared" si="167"/>
        <v/>
      </c>
      <c r="K2156" s="60" t="str">
        <f t="shared" si="168"/>
        <v/>
      </c>
      <c r="L2156" t="str">
        <f t="shared" si="169"/>
        <v/>
      </c>
    </row>
    <row r="2157" spans="1:12" x14ac:dyDescent="0.25">
      <c r="A2157" t="s">
        <v>2514</v>
      </c>
      <c r="G2157" t="str">
        <f t="shared" si="170"/>
        <v>05/25/19</v>
      </c>
      <c r="H2157" t="str">
        <f t="shared" si="165"/>
        <v>Arizona D'Backs</v>
      </c>
      <c r="I2157" s="60">
        <f t="shared" si="166"/>
        <v>10</v>
      </c>
      <c r="J2157" t="str">
        <f t="shared" si="167"/>
        <v>San Francisco Giants</v>
      </c>
      <c r="K2157" s="60">
        <f t="shared" si="168"/>
        <v>4</v>
      </c>
      <c r="L2157">
        <f t="shared" si="169"/>
        <v>6</v>
      </c>
    </row>
    <row r="2158" spans="1:12" x14ac:dyDescent="0.25">
      <c r="G2158" t="str">
        <f t="shared" si="170"/>
        <v>05/25/19</v>
      </c>
      <c r="H2158" t="str">
        <f t="shared" si="165"/>
        <v/>
      </c>
      <c r="I2158" s="60" t="str">
        <f t="shared" si="166"/>
        <v/>
      </c>
      <c r="J2158" t="str">
        <f t="shared" si="167"/>
        <v/>
      </c>
      <c r="K2158" s="60" t="str">
        <f t="shared" si="168"/>
        <v/>
      </c>
      <c r="L2158" t="str">
        <f t="shared" si="169"/>
        <v/>
      </c>
    </row>
    <row r="2159" spans="1:12" x14ac:dyDescent="0.25">
      <c r="A2159" t="s">
        <v>2515</v>
      </c>
      <c r="G2159" t="str">
        <f t="shared" si="170"/>
        <v>05/25/19</v>
      </c>
      <c r="H2159" t="str">
        <f t="shared" si="165"/>
        <v>Atlanta Braves</v>
      </c>
      <c r="I2159" s="60">
        <f t="shared" si="166"/>
        <v>3</v>
      </c>
      <c r="J2159" t="str">
        <f t="shared" si="167"/>
        <v>St. Louis Cardinals</v>
      </c>
      <c r="K2159" s="60">
        <f t="shared" si="168"/>
        <v>6</v>
      </c>
      <c r="L2159">
        <f t="shared" si="169"/>
        <v>-3</v>
      </c>
    </row>
    <row r="2160" spans="1:12" x14ac:dyDescent="0.25">
      <c r="G2160" t="str">
        <f t="shared" si="170"/>
        <v>05/25/19</v>
      </c>
      <c r="H2160" t="str">
        <f t="shared" si="165"/>
        <v/>
      </c>
      <c r="I2160" s="60" t="str">
        <f t="shared" si="166"/>
        <v/>
      </c>
      <c r="J2160" t="str">
        <f t="shared" si="167"/>
        <v/>
      </c>
      <c r="K2160" s="60" t="str">
        <f t="shared" si="168"/>
        <v/>
      </c>
      <c r="L2160" t="str">
        <f t="shared" si="169"/>
        <v/>
      </c>
    </row>
    <row r="2161" spans="1:12" x14ac:dyDescent="0.25">
      <c r="A2161" t="s">
        <v>2516</v>
      </c>
      <c r="G2161" t="str">
        <f t="shared" si="170"/>
        <v>05/25/19</v>
      </c>
      <c r="H2161" t="str">
        <f t="shared" si="165"/>
        <v>San Diego Padres</v>
      </c>
      <c r="I2161" s="60">
        <f t="shared" si="166"/>
        <v>19</v>
      </c>
      <c r="J2161" t="str">
        <f t="shared" si="167"/>
        <v>Toronto Blue Jays</v>
      </c>
      <c r="K2161" s="60">
        <f t="shared" si="168"/>
        <v>4</v>
      </c>
      <c r="L2161">
        <f t="shared" si="169"/>
        <v>15</v>
      </c>
    </row>
    <row r="2162" spans="1:12" x14ac:dyDescent="0.25">
      <c r="G2162" t="str">
        <f t="shared" si="170"/>
        <v>05/25/19</v>
      </c>
      <c r="H2162" t="str">
        <f t="shared" si="165"/>
        <v/>
      </c>
      <c r="I2162" s="60" t="str">
        <f t="shared" si="166"/>
        <v/>
      </c>
      <c r="J2162" t="str">
        <f t="shared" si="167"/>
        <v/>
      </c>
      <c r="K2162" s="60" t="str">
        <f t="shared" si="168"/>
        <v/>
      </c>
      <c r="L2162" t="str">
        <f t="shared" si="169"/>
        <v/>
      </c>
    </row>
    <row r="2163" spans="1:12" x14ac:dyDescent="0.25">
      <c r="A2163" t="s">
        <v>2517</v>
      </c>
      <c r="G2163" t="str">
        <f t="shared" si="170"/>
        <v>05/25/19</v>
      </c>
      <c r="H2163" t="str">
        <f t="shared" si="165"/>
        <v>Miami Marlins</v>
      </c>
      <c r="I2163" s="60">
        <f t="shared" si="166"/>
        <v>0</v>
      </c>
      <c r="J2163" t="str">
        <f t="shared" si="167"/>
        <v>Washington Nationals</v>
      </c>
      <c r="K2163" s="60">
        <f t="shared" si="168"/>
        <v>5</v>
      </c>
      <c r="L2163">
        <f t="shared" si="169"/>
        <v>-5</v>
      </c>
    </row>
    <row r="2164" spans="1:12" x14ac:dyDescent="0.25">
      <c r="G2164" t="str">
        <f t="shared" si="170"/>
        <v>05/25/19</v>
      </c>
      <c r="H2164" t="str">
        <f t="shared" si="165"/>
        <v/>
      </c>
      <c r="I2164" s="60" t="str">
        <f t="shared" si="166"/>
        <v/>
      </c>
      <c r="J2164" t="str">
        <f t="shared" si="167"/>
        <v/>
      </c>
      <c r="K2164" s="60" t="str">
        <f t="shared" si="168"/>
        <v/>
      </c>
      <c r="L2164" t="str">
        <f t="shared" si="169"/>
        <v/>
      </c>
    </row>
    <row r="2165" spans="1:12" x14ac:dyDescent="0.25">
      <c r="A2165" t="s">
        <v>2518</v>
      </c>
      <c r="G2165" t="str">
        <f t="shared" si="170"/>
        <v>05/25/19</v>
      </c>
      <c r="H2165" t="str">
        <f t="shared" si="165"/>
        <v/>
      </c>
      <c r="I2165" s="60" t="str">
        <f t="shared" si="166"/>
        <v/>
      </c>
      <c r="J2165" t="str">
        <f t="shared" si="167"/>
        <v/>
      </c>
      <c r="K2165" s="60" t="str">
        <f t="shared" si="168"/>
        <v/>
      </c>
      <c r="L2165" t="str">
        <f t="shared" si="169"/>
        <v/>
      </c>
    </row>
    <row r="2166" spans="1:12" x14ac:dyDescent="0.25">
      <c r="G2166" t="str">
        <f t="shared" si="170"/>
        <v>05/25/19</v>
      </c>
      <c r="H2166" t="str">
        <f t="shared" si="165"/>
        <v/>
      </c>
      <c r="I2166" s="60" t="str">
        <f t="shared" si="166"/>
        <v/>
      </c>
      <c r="J2166" t="str">
        <f t="shared" si="167"/>
        <v/>
      </c>
      <c r="K2166" s="60" t="str">
        <f t="shared" si="168"/>
        <v/>
      </c>
      <c r="L2166" t="str">
        <f t="shared" si="169"/>
        <v/>
      </c>
    </row>
    <row r="2167" spans="1:12" x14ac:dyDescent="0.25">
      <c r="A2167" t="s">
        <v>2519</v>
      </c>
      <c r="G2167" t="str">
        <f t="shared" si="170"/>
        <v>05/26/19</v>
      </c>
      <c r="H2167" t="str">
        <f t="shared" si="165"/>
        <v/>
      </c>
      <c r="I2167" s="60" t="str">
        <f t="shared" si="166"/>
        <v/>
      </c>
      <c r="J2167" t="str">
        <f t="shared" si="167"/>
        <v/>
      </c>
      <c r="K2167" s="60" t="str">
        <f t="shared" si="168"/>
        <v/>
      </c>
      <c r="L2167" t="str">
        <f t="shared" si="169"/>
        <v/>
      </c>
    </row>
    <row r="2168" spans="1:12" x14ac:dyDescent="0.25">
      <c r="G2168" t="str">
        <f t="shared" si="170"/>
        <v>05/26/19</v>
      </c>
      <c r="H2168" t="str">
        <f t="shared" si="165"/>
        <v/>
      </c>
      <c r="I2168" s="60" t="str">
        <f t="shared" si="166"/>
        <v/>
      </c>
      <c r="J2168" t="str">
        <f t="shared" si="167"/>
        <v/>
      </c>
      <c r="K2168" s="60" t="str">
        <f t="shared" si="168"/>
        <v/>
      </c>
      <c r="L2168" t="str">
        <f t="shared" si="169"/>
        <v/>
      </c>
    </row>
    <row r="2169" spans="1:12" x14ac:dyDescent="0.25">
      <c r="A2169" t="s">
        <v>2520</v>
      </c>
      <c r="G2169" t="str">
        <f t="shared" si="170"/>
        <v>05/26/19</v>
      </c>
      <c r="H2169" t="str">
        <f t="shared" si="165"/>
        <v>Texas Rangers</v>
      </c>
      <c r="I2169" s="60">
        <f t="shared" si="166"/>
        <v>6</v>
      </c>
      <c r="J2169" t="str">
        <f t="shared" si="167"/>
        <v>Los Angeles Angels</v>
      </c>
      <c r="K2169" s="60">
        <f t="shared" si="168"/>
        <v>7</v>
      </c>
      <c r="L2169">
        <f t="shared" si="169"/>
        <v>-1</v>
      </c>
    </row>
    <row r="2170" spans="1:12" x14ac:dyDescent="0.25">
      <c r="G2170" t="str">
        <f t="shared" si="170"/>
        <v>05/26/19</v>
      </c>
      <c r="H2170" t="str">
        <f t="shared" si="165"/>
        <v/>
      </c>
      <c r="I2170" s="60" t="str">
        <f t="shared" si="166"/>
        <v/>
      </c>
      <c r="J2170" t="str">
        <f t="shared" si="167"/>
        <v/>
      </c>
      <c r="K2170" s="60" t="str">
        <f t="shared" si="168"/>
        <v/>
      </c>
      <c r="L2170" t="str">
        <f t="shared" si="169"/>
        <v/>
      </c>
    </row>
    <row r="2171" spans="1:12" x14ac:dyDescent="0.25">
      <c r="A2171" t="s">
        <v>2521</v>
      </c>
      <c r="G2171" t="str">
        <f t="shared" si="170"/>
        <v>05/26/19</v>
      </c>
      <c r="H2171" t="str">
        <f t="shared" si="165"/>
        <v>Cincinnati Reds</v>
      </c>
      <c r="I2171" s="60">
        <f t="shared" si="166"/>
        <v>10</v>
      </c>
      <c r="J2171" t="str">
        <f t="shared" si="167"/>
        <v>Chicago Cubs</v>
      </c>
      <c r="K2171" s="60">
        <f t="shared" si="168"/>
        <v>2</v>
      </c>
      <c r="L2171">
        <f t="shared" si="169"/>
        <v>8</v>
      </c>
    </row>
    <row r="2172" spans="1:12" x14ac:dyDescent="0.25">
      <c r="G2172" t="str">
        <f t="shared" si="170"/>
        <v>05/26/19</v>
      </c>
      <c r="H2172" t="str">
        <f t="shared" si="165"/>
        <v/>
      </c>
      <c r="I2172" s="60" t="str">
        <f t="shared" si="166"/>
        <v/>
      </c>
      <c r="J2172" t="str">
        <f t="shared" si="167"/>
        <v/>
      </c>
      <c r="K2172" s="60" t="str">
        <f t="shared" si="168"/>
        <v/>
      </c>
      <c r="L2172" t="str">
        <f t="shared" si="169"/>
        <v/>
      </c>
    </row>
    <row r="2173" spans="1:12" x14ac:dyDescent="0.25">
      <c r="A2173" t="s">
        <v>2522</v>
      </c>
      <c r="G2173" t="str">
        <f t="shared" si="170"/>
        <v>05/26/19</v>
      </c>
      <c r="H2173" t="str">
        <f t="shared" si="165"/>
        <v>Tampa Bay Rays</v>
      </c>
      <c r="I2173" s="60">
        <f t="shared" si="166"/>
        <v>6</v>
      </c>
      <c r="J2173" t="str">
        <f t="shared" si="167"/>
        <v>Cleveland Indians</v>
      </c>
      <c r="K2173" s="60">
        <f t="shared" si="168"/>
        <v>3</v>
      </c>
      <c r="L2173">
        <f t="shared" si="169"/>
        <v>3</v>
      </c>
    </row>
    <row r="2174" spans="1:12" x14ac:dyDescent="0.25">
      <c r="G2174" t="str">
        <f t="shared" si="170"/>
        <v>05/26/19</v>
      </c>
      <c r="H2174" t="str">
        <f t="shared" si="165"/>
        <v/>
      </c>
      <c r="I2174" s="60" t="str">
        <f t="shared" si="166"/>
        <v/>
      </c>
      <c r="J2174" t="str">
        <f t="shared" si="167"/>
        <v/>
      </c>
      <c r="K2174" s="60" t="str">
        <f t="shared" si="168"/>
        <v/>
      </c>
      <c r="L2174" t="str">
        <f t="shared" si="169"/>
        <v/>
      </c>
    </row>
    <row r="2175" spans="1:12" x14ac:dyDescent="0.25">
      <c r="A2175" t="s">
        <v>2523</v>
      </c>
      <c r="G2175" t="str">
        <f t="shared" si="170"/>
        <v>05/26/19</v>
      </c>
      <c r="H2175" t="str">
        <f t="shared" si="165"/>
        <v>Baltimore Orioles</v>
      </c>
      <c r="I2175" s="60">
        <f t="shared" si="166"/>
        <v>7</v>
      </c>
      <c r="J2175" t="str">
        <f t="shared" si="167"/>
        <v>Colorado Rockies</v>
      </c>
      <c r="K2175" s="60">
        <f t="shared" si="168"/>
        <v>8</v>
      </c>
      <c r="L2175">
        <f t="shared" si="169"/>
        <v>-1</v>
      </c>
    </row>
    <row r="2176" spans="1:12" x14ac:dyDescent="0.25">
      <c r="G2176" t="str">
        <f t="shared" si="170"/>
        <v>05/26/19</v>
      </c>
      <c r="H2176" t="str">
        <f t="shared" si="165"/>
        <v/>
      </c>
      <c r="I2176" s="60" t="str">
        <f t="shared" si="166"/>
        <v/>
      </c>
      <c r="J2176" t="str">
        <f t="shared" si="167"/>
        <v/>
      </c>
      <c r="K2176" s="60" t="str">
        <f t="shared" si="168"/>
        <v/>
      </c>
      <c r="L2176" t="str">
        <f t="shared" si="169"/>
        <v/>
      </c>
    </row>
    <row r="2177" spans="1:12" x14ac:dyDescent="0.25">
      <c r="A2177" t="s">
        <v>2524</v>
      </c>
      <c r="G2177" t="str">
        <f t="shared" si="170"/>
        <v>05/26/19</v>
      </c>
      <c r="H2177" t="str">
        <f t="shared" si="165"/>
        <v>Boston Red Sox</v>
      </c>
      <c r="I2177" s="60">
        <f t="shared" si="166"/>
        <v>4</v>
      </c>
      <c r="J2177" t="str">
        <f t="shared" si="167"/>
        <v>Houston Astros</v>
      </c>
      <c r="K2177" s="60">
        <f t="shared" si="168"/>
        <v>1</v>
      </c>
      <c r="L2177">
        <f t="shared" si="169"/>
        <v>3</v>
      </c>
    </row>
    <row r="2178" spans="1:12" x14ac:dyDescent="0.25">
      <c r="G2178" t="str">
        <f t="shared" si="170"/>
        <v>05/26/19</v>
      </c>
      <c r="H2178" t="str">
        <f t="shared" si="165"/>
        <v/>
      </c>
      <c r="I2178" s="60" t="str">
        <f t="shared" si="166"/>
        <v/>
      </c>
      <c r="J2178" t="str">
        <f t="shared" si="167"/>
        <v/>
      </c>
      <c r="K2178" s="60" t="str">
        <f t="shared" si="168"/>
        <v/>
      </c>
      <c r="L2178" t="str">
        <f t="shared" si="169"/>
        <v/>
      </c>
    </row>
    <row r="2179" spans="1:12" x14ac:dyDescent="0.25">
      <c r="A2179" t="s">
        <v>2525</v>
      </c>
      <c r="G2179" t="str">
        <f t="shared" si="170"/>
        <v>05/26/19</v>
      </c>
      <c r="H2179" t="str">
        <f t="shared" si="165"/>
        <v>New York Yankees</v>
      </c>
      <c r="I2179" s="60">
        <f t="shared" si="166"/>
        <v>7</v>
      </c>
      <c r="J2179" t="str">
        <f t="shared" si="167"/>
        <v>Kansas City Royals</v>
      </c>
      <c r="K2179" s="60">
        <f t="shared" si="168"/>
        <v>8</v>
      </c>
      <c r="L2179">
        <f t="shared" si="169"/>
        <v>-1</v>
      </c>
    </row>
    <row r="2180" spans="1:12" x14ac:dyDescent="0.25">
      <c r="G2180" t="str">
        <f t="shared" si="170"/>
        <v>05/26/19</v>
      </c>
      <c r="H2180" t="str">
        <f t="shared" si="165"/>
        <v/>
      </c>
      <c r="I2180" s="60" t="str">
        <f t="shared" si="166"/>
        <v/>
      </c>
      <c r="J2180" t="str">
        <f t="shared" si="167"/>
        <v/>
      </c>
      <c r="K2180" s="60" t="str">
        <f t="shared" si="168"/>
        <v/>
      </c>
      <c r="L2180" t="str">
        <f t="shared" si="169"/>
        <v/>
      </c>
    </row>
    <row r="2181" spans="1:12" x14ac:dyDescent="0.25">
      <c r="A2181" t="s">
        <v>2526</v>
      </c>
      <c r="G2181" t="str">
        <f t="shared" si="170"/>
        <v>05/26/19</v>
      </c>
      <c r="H2181" t="str">
        <f t="shared" si="165"/>
        <v>Philadelphia Phillies</v>
      </c>
      <c r="I2181" s="60">
        <f t="shared" si="166"/>
        <v>1</v>
      </c>
      <c r="J2181" t="str">
        <f t="shared" si="167"/>
        <v>Milwaukee Brewers</v>
      </c>
      <c r="K2181" s="60">
        <f t="shared" si="168"/>
        <v>9</v>
      </c>
      <c r="L2181">
        <f t="shared" si="169"/>
        <v>-8</v>
      </c>
    </row>
    <row r="2182" spans="1:12" x14ac:dyDescent="0.25">
      <c r="G2182" t="str">
        <f t="shared" si="170"/>
        <v>05/26/19</v>
      </c>
      <c r="H2182" t="str">
        <f t="shared" si="165"/>
        <v/>
      </c>
      <c r="I2182" s="60" t="str">
        <f t="shared" si="166"/>
        <v/>
      </c>
      <c r="J2182" t="str">
        <f t="shared" si="167"/>
        <v/>
      </c>
      <c r="K2182" s="60" t="str">
        <f t="shared" si="168"/>
        <v/>
      </c>
      <c r="L2182" t="str">
        <f t="shared" si="169"/>
        <v/>
      </c>
    </row>
    <row r="2183" spans="1:12" x14ac:dyDescent="0.25">
      <c r="A2183" t="s">
        <v>2527</v>
      </c>
      <c r="G2183" t="str">
        <f t="shared" si="170"/>
        <v>05/26/19</v>
      </c>
      <c r="H2183" t="str">
        <f t="shared" si="165"/>
        <v>Chicago White Sox</v>
      </c>
      <c r="I2183" s="60">
        <f t="shared" si="166"/>
        <v>0</v>
      </c>
      <c r="J2183" t="str">
        <f t="shared" si="167"/>
        <v>Minnesota Twins</v>
      </c>
      <c r="K2183" s="60">
        <f t="shared" si="168"/>
        <v>7</v>
      </c>
      <c r="L2183">
        <f t="shared" si="169"/>
        <v>-7</v>
      </c>
    </row>
    <row r="2184" spans="1:12" x14ac:dyDescent="0.25">
      <c r="G2184" t="str">
        <f t="shared" si="170"/>
        <v>05/26/19</v>
      </c>
      <c r="H2184" t="str">
        <f t="shared" si="165"/>
        <v/>
      </c>
      <c r="I2184" s="60" t="str">
        <f t="shared" si="166"/>
        <v/>
      </c>
      <c r="J2184" t="str">
        <f t="shared" si="167"/>
        <v/>
      </c>
      <c r="K2184" s="60" t="str">
        <f t="shared" si="168"/>
        <v/>
      </c>
      <c r="L2184" t="str">
        <f t="shared" si="169"/>
        <v/>
      </c>
    </row>
    <row r="2185" spans="1:12" x14ac:dyDescent="0.25">
      <c r="A2185" t="s">
        <v>2528</v>
      </c>
      <c r="G2185" t="str">
        <f t="shared" si="170"/>
        <v>05/26/19</v>
      </c>
      <c r="H2185" t="str">
        <f t="shared" si="165"/>
        <v>Detroit Tigers</v>
      </c>
      <c r="I2185" s="60">
        <f t="shared" si="166"/>
        <v>3</v>
      </c>
      <c r="J2185" t="str">
        <f t="shared" si="167"/>
        <v>New York Mets</v>
      </c>
      <c r="K2185" s="60">
        <f t="shared" si="168"/>
        <v>4</v>
      </c>
      <c r="L2185">
        <f t="shared" si="169"/>
        <v>-1</v>
      </c>
    </row>
    <row r="2186" spans="1:12" x14ac:dyDescent="0.25">
      <c r="G2186" t="str">
        <f t="shared" si="170"/>
        <v>05/26/19</v>
      </c>
      <c r="H2186" t="str">
        <f t="shared" si="165"/>
        <v/>
      </c>
      <c r="I2186" s="60" t="str">
        <f t="shared" si="166"/>
        <v/>
      </c>
      <c r="J2186" t="str">
        <f t="shared" si="167"/>
        <v/>
      </c>
      <c r="K2186" s="60" t="str">
        <f t="shared" si="168"/>
        <v/>
      </c>
      <c r="L2186" t="str">
        <f t="shared" si="169"/>
        <v/>
      </c>
    </row>
    <row r="2187" spans="1:12" x14ac:dyDescent="0.25">
      <c r="A2187" t="s">
        <v>2529</v>
      </c>
      <c r="G2187" t="str">
        <f t="shared" si="170"/>
        <v>05/26/19</v>
      </c>
      <c r="H2187" t="str">
        <f t="shared" si="165"/>
        <v>Seattle Mariners</v>
      </c>
      <c r="I2187" s="60">
        <f t="shared" si="166"/>
        <v>1</v>
      </c>
      <c r="J2187" t="str">
        <f t="shared" si="167"/>
        <v>Oakland Athletics</v>
      </c>
      <c r="K2187" s="60">
        <f t="shared" si="168"/>
        <v>7</v>
      </c>
      <c r="L2187">
        <f t="shared" si="169"/>
        <v>-6</v>
      </c>
    </row>
    <row r="2188" spans="1:12" x14ac:dyDescent="0.25">
      <c r="G2188" t="str">
        <f t="shared" si="170"/>
        <v>05/26/19</v>
      </c>
      <c r="H2188" t="str">
        <f t="shared" si="165"/>
        <v/>
      </c>
      <c r="I2188" s="60" t="str">
        <f t="shared" si="166"/>
        <v/>
      </c>
      <c r="J2188" t="str">
        <f t="shared" si="167"/>
        <v/>
      </c>
      <c r="K2188" s="60" t="str">
        <f t="shared" si="168"/>
        <v/>
      </c>
      <c r="L2188" t="str">
        <f t="shared" si="169"/>
        <v/>
      </c>
    </row>
    <row r="2189" spans="1:12" x14ac:dyDescent="0.25">
      <c r="A2189" t="s">
        <v>2530</v>
      </c>
      <c r="G2189" t="str">
        <f t="shared" si="170"/>
        <v>05/26/19</v>
      </c>
      <c r="H2189" t="str">
        <f t="shared" si="165"/>
        <v>Los Angeles Dodgers</v>
      </c>
      <c r="I2189" s="60">
        <f t="shared" si="166"/>
        <v>11</v>
      </c>
      <c r="J2189" t="str">
        <f t="shared" si="167"/>
        <v>Pittsburgh Pirates</v>
      </c>
      <c r="K2189" s="60">
        <f t="shared" si="168"/>
        <v>7</v>
      </c>
      <c r="L2189">
        <f t="shared" si="169"/>
        <v>4</v>
      </c>
    </row>
    <row r="2190" spans="1:12" x14ac:dyDescent="0.25">
      <c r="G2190" t="str">
        <f t="shared" si="170"/>
        <v>05/26/19</v>
      </c>
      <c r="H2190" t="str">
        <f t="shared" si="165"/>
        <v/>
      </c>
      <c r="I2190" s="60" t="str">
        <f t="shared" si="166"/>
        <v/>
      </c>
      <c r="J2190" t="str">
        <f t="shared" si="167"/>
        <v/>
      </c>
      <c r="K2190" s="60" t="str">
        <f t="shared" si="168"/>
        <v/>
      </c>
      <c r="L2190" t="str">
        <f t="shared" si="169"/>
        <v/>
      </c>
    </row>
    <row r="2191" spans="1:12" x14ac:dyDescent="0.25">
      <c r="A2191" t="s">
        <v>2531</v>
      </c>
      <c r="G2191" t="str">
        <f t="shared" si="170"/>
        <v>05/26/19</v>
      </c>
      <c r="H2191" t="str">
        <f t="shared" si="165"/>
        <v>Arizona D'Backs</v>
      </c>
      <c r="I2191" s="60">
        <f t="shared" si="166"/>
        <v>6</v>
      </c>
      <c r="J2191" t="str">
        <f t="shared" si="167"/>
        <v>San Francisco Giants</v>
      </c>
      <c r="K2191" s="60">
        <f t="shared" si="168"/>
        <v>2</v>
      </c>
      <c r="L2191">
        <f t="shared" si="169"/>
        <v>4</v>
      </c>
    </row>
    <row r="2192" spans="1:12" x14ac:dyDescent="0.25">
      <c r="G2192" t="str">
        <f t="shared" si="170"/>
        <v>05/26/19</v>
      </c>
      <c r="H2192" t="str">
        <f t="shared" ref="H2192:H2255" si="171">IFERROR(LEFT(MID(A2192,1,SEARCH("@",A2192)-2),SEARCH("(",A2192)-2),"")</f>
        <v/>
      </c>
      <c r="I2192" s="60" t="str">
        <f t="shared" ref="I2192:I2255" si="172">IFERROR(VALUE(MID(A2192,SEARCH("(",A2192)+1,SEARCH(")",A2192)-SEARCH("(",A2192)-1)),"")</f>
        <v/>
      </c>
      <c r="J2192" t="str">
        <f t="shared" ref="J2192:J2255" si="173">IFERROR(MID(A2192,SEARCH("@",A2192)+2,SEARCH("(",A2192,SEARCH("@",A2192))-SEARCH("@",A2192)-3),"")</f>
        <v/>
      </c>
      <c r="K2192" s="60" t="str">
        <f t="shared" ref="K2192:K2255" si="174">IFERROR(VALUE(MID(A2192,SEARCH(J2192,A2192)+LEN(J2192)+2,(SEARCH(")",A2192,SEARCH("@",A2192))-SEARCH("(",A2192,SEARCH("@",A2192))-1))),"")</f>
        <v/>
      </c>
      <c r="L2192" t="str">
        <f t="shared" ref="L2192:L2255" si="175">IFERROR(I2192-K2192,"")</f>
        <v/>
      </c>
    </row>
    <row r="2193" spans="1:12" x14ac:dyDescent="0.25">
      <c r="A2193" t="s">
        <v>2532</v>
      </c>
      <c r="G2193" t="str">
        <f t="shared" si="170"/>
        <v>05/26/19</v>
      </c>
      <c r="H2193" t="str">
        <f t="shared" si="171"/>
        <v>Atlanta Braves</v>
      </c>
      <c r="I2193" s="60">
        <f t="shared" si="172"/>
        <v>4</v>
      </c>
      <c r="J2193" t="str">
        <f t="shared" si="173"/>
        <v>St. Louis Cardinals</v>
      </c>
      <c r="K2193" s="60">
        <f t="shared" si="174"/>
        <v>3</v>
      </c>
      <c r="L2193">
        <f t="shared" si="175"/>
        <v>1</v>
      </c>
    </row>
    <row r="2194" spans="1:12" x14ac:dyDescent="0.25">
      <c r="G2194" t="str">
        <f t="shared" si="170"/>
        <v>05/26/19</v>
      </c>
      <c r="H2194" t="str">
        <f t="shared" si="171"/>
        <v/>
      </c>
      <c r="I2194" s="60" t="str">
        <f t="shared" si="172"/>
        <v/>
      </c>
      <c r="J2194" t="str">
        <f t="shared" si="173"/>
        <v/>
      </c>
      <c r="K2194" s="60" t="str">
        <f t="shared" si="174"/>
        <v/>
      </c>
      <c r="L2194" t="str">
        <f t="shared" si="175"/>
        <v/>
      </c>
    </row>
    <row r="2195" spans="1:12" x14ac:dyDescent="0.25">
      <c r="A2195" t="s">
        <v>2533</v>
      </c>
      <c r="G2195" t="str">
        <f t="shared" si="170"/>
        <v>05/26/19</v>
      </c>
      <c r="H2195" t="str">
        <f t="shared" si="171"/>
        <v>San Diego Padres</v>
      </c>
      <c r="I2195" s="60">
        <f t="shared" si="172"/>
        <v>1</v>
      </c>
      <c r="J2195" t="str">
        <f t="shared" si="173"/>
        <v>Toronto Blue Jays</v>
      </c>
      <c r="K2195" s="60">
        <f t="shared" si="174"/>
        <v>10</v>
      </c>
      <c r="L2195">
        <f t="shared" si="175"/>
        <v>-9</v>
      </c>
    </row>
    <row r="2196" spans="1:12" x14ac:dyDescent="0.25">
      <c r="G2196" t="str">
        <f t="shared" si="170"/>
        <v>05/26/19</v>
      </c>
      <c r="H2196" t="str">
        <f t="shared" si="171"/>
        <v/>
      </c>
      <c r="I2196" s="60" t="str">
        <f t="shared" si="172"/>
        <v/>
      </c>
      <c r="J2196" t="str">
        <f t="shared" si="173"/>
        <v/>
      </c>
      <c r="K2196" s="60" t="str">
        <f t="shared" si="174"/>
        <v/>
      </c>
      <c r="L2196" t="str">
        <f t="shared" si="175"/>
        <v/>
      </c>
    </row>
    <row r="2197" spans="1:12" x14ac:dyDescent="0.25">
      <c r="A2197" t="s">
        <v>2534</v>
      </c>
      <c r="G2197" t="str">
        <f t="shared" si="170"/>
        <v>05/26/19</v>
      </c>
      <c r="H2197" t="str">
        <f t="shared" si="171"/>
        <v>Miami Marlins</v>
      </c>
      <c r="I2197" s="60">
        <f t="shared" si="172"/>
        <v>6</v>
      </c>
      <c r="J2197" t="str">
        <f t="shared" si="173"/>
        <v>Washington Nationals</v>
      </c>
      <c r="K2197" s="60">
        <f t="shared" si="174"/>
        <v>9</v>
      </c>
      <c r="L2197">
        <f t="shared" si="175"/>
        <v>-3</v>
      </c>
    </row>
    <row r="2198" spans="1:12" x14ac:dyDescent="0.25">
      <c r="G2198" t="str">
        <f t="shared" si="170"/>
        <v>05/26/19</v>
      </c>
      <c r="H2198" t="str">
        <f t="shared" si="171"/>
        <v/>
      </c>
      <c r="I2198" s="60" t="str">
        <f t="shared" si="172"/>
        <v/>
      </c>
      <c r="J2198" t="str">
        <f t="shared" si="173"/>
        <v/>
      </c>
      <c r="K2198" s="60" t="str">
        <f t="shared" si="174"/>
        <v/>
      </c>
      <c r="L2198" t="str">
        <f t="shared" si="175"/>
        <v/>
      </c>
    </row>
    <row r="2199" spans="1:12" x14ac:dyDescent="0.25">
      <c r="A2199" t="s">
        <v>2535</v>
      </c>
      <c r="G2199" t="str">
        <f t="shared" si="170"/>
        <v>05/26/19</v>
      </c>
      <c r="H2199" t="str">
        <f t="shared" si="171"/>
        <v/>
      </c>
      <c r="I2199" s="60" t="str">
        <f t="shared" si="172"/>
        <v/>
      </c>
      <c r="J2199" t="str">
        <f t="shared" si="173"/>
        <v/>
      </c>
      <c r="K2199" s="60" t="str">
        <f t="shared" si="174"/>
        <v/>
      </c>
      <c r="L2199" t="str">
        <f t="shared" si="175"/>
        <v/>
      </c>
    </row>
    <row r="2200" spans="1:12" x14ac:dyDescent="0.25">
      <c r="G2200" t="str">
        <f t="shared" si="170"/>
        <v>05/26/19</v>
      </c>
      <c r="H2200" t="str">
        <f t="shared" si="171"/>
        <v/>
      </c>
      <c r="I2200" s="60" t="str">
        <f t="shared" si="172"/>
        <v/>
      </c>
      <c r="J2200" t="str">
        <f t="shared" si="173"/>
        <v/>
      </c>
      <c r="K2200" s="60" t="str">
        <f t="shared" si="174"/>
        <v/>
      </c>
      <c r="L2200" t="str">
        <f t="shared" si="175"/>
        <v/>
      </c>
    </row>
    <row r="2201" spans="1:12" x14ac:dyDescent="0.25">
      <c r="A2201" t="s">
        <v>2536</v>
      </c>
      <c r="G2201" t="str">
        <f t="shared" si="170"/>
        <v>05/27/19</v>
      </c>
      <c r="H2201" t="str">
        <f t="shared" si="171"/>
        <v/>
      </c>
      <c r="I2201" s="60" t="str">
        <f t="shared" si="172"/>
        <v/>
      </c>
      <c r="J2201" t="str">
        <f t="shared" si="173"/>
        <v/>
      </c>
      <c r="K2201" s="60" t="str">
        <f t="shared" si="174"/>
        <v/>
      </c>
      <c r="L2201" t="str">
        <f t="shared" si="175"/>
        <v/>
      </c>
    </row>
    <row r="2202" spans="1:12" x14ac:dyDescent="0.25">
      <c r="G2202" t="str">
        <f t="shared" si="170"/>
        <v>05/27/19</v>
      </c>
      <c r="H2202" t="str">
        <f t="shared" si="171"/>
        <v/>
      </c>
      <c r="I2202" s="60" t="str">
        <f t="shared" si="172"/>
        <v/>
      </c>
      <c r="J2202" t="str">
        <f t="shared" si="173"/>
        <v/>
      </c>
      <c r="K2202" s="60" t="str">
        <f t="shared" si="174"/>
        <v/>
      </c>
      <c r="L2202" t="str">
        <f t="shared" si="175"/>
        <v/>
      </c>
    </row>
    <row r="2203" spans="1:12" x14ac:dyDescent="0.25">
      <c r="A2203" t="s">
        <v>2537</v>
      </c>
      <c r="G2203" t="str">
        <f t="shared" si="170"/>
        <v>05/27/19</v>
      </c>
      <c r="H2203" t="str">
        <f t="shared" si="171"/>
        <v>Detroit Tigers</v>
      </c>
      <c r="I2203" s="60">
        <f t="shared" si="172"/>
        <v>3</v>
      </c>
      <c r="J2203" t="str">
        <f t="shared" si="173"/>
        <v>Baltimore Orioles</v>
      </c>
      <c r="K2203" s="60">
        <f t="shared" si="174"/>
        <v>5</v>
      </c>
      <c r="L2203">
        <f t="shared" si="175"/>
        <v>-2</v>
      </c>
    </row>
    <row r="2204" spans="1:12" x14ac:dyDescent="0.25">
      <c r="G2204" t="str">
        <f t="shared" si="170"/>
        <v>05/27/19</v>
      </c>
      <c r="H2204" t="str">
        <f t="shared" si="171"/>
        <v/>
      </c>
      <c r="I2204" s="60" t="str">
        <f t="shared" si="172"/>
        <v/>
      </c>
      <c r="J2204" t="str">
        <f t="shared" si="173"/>
        <v/>
      </c>
      <c r="K2204" s="60" t="str">
        <f t="shared" si="174"/>
        <v/>
      </c>
      <c r="L2204" t="str">
        <f t="shared" si="175"/>
        <v/>
      </c>
    </row>
    <row r="2205" spans="1:12" x14ac:dyDescent="0.25">
      <c r="A2205" t="s">
        <v>2538</v>
      </c>
      <c r="G2205" t="str">
        <f t="shared" si="170"/>
        <v>05/27/19</v>
      </c>
      <c r="H2205" t="str">
        <f t="shared" si="171"/>
        <v>Cleveland Indians</v>
      </c>
      <c r="I2205" s="60">
        <f t="shared" si="172"/>
        <v>5</v>
      </c>
      <c r="J2205" t="str">
        <f t="shared" si="173"/>
        <v>Boston Red Sox</v>
      </c>
      <c r="K2205" s="60">
        <f t="shared" si="174"/>
        <v>12</v>
      </c>
      <c r="L2205">
        <f t="shared" si="175"/>
        <v>-7</v>
      </c>
    </row>
    <row r="2206" spans="1:12" x14ac:dyDescent="0.25">
      <c r="G2206" t="str">
        <f t="shared" si="170"/>
        <v>05/27/19</v>
      </c>
      <c r="H2206" t="str">
        <f t="shared" si="171"/>
        <v/>
      </c>
      <c r="I2206" s="60" t="str">
        <f t="shared" si="172"/>
        <v/>
      </c>
      <c r="J2206" t="str">
        <f t="shared" si="173"/>
        <v/>
      </c>
      <c r="K2206" s="60" t="str">
        <f t="shared" si="174"/>
        <v/>
      </c>
      <c r="L2206" t="str">
        <f t="shared" si="175"/>
        <v/>
      </c>
    </row>
    <row r="2207" spans="1:12" x14ac:dyDescent="0.25">
      <c r="A2207" t="s">
        <v>2539</v>
      </c>
      <c r="G2207" t="str">
        <f t="shared" si="170"/>
        <v>05/27/19</v>
      </c>
      <c r="H2207" t="str">
        <f t="shared" si="171"/>
        <v>Kansas City Royals</v>
      </c>
      <c r="I2207" s="60">
        <f t="shared" si="172"/>
        <v>1</v>
      </c>
      <c r="J2207" t="str">
        <f t="shared" si="173"/>
        <v>Chicago White Sox</v>
      </c>
      <c r="K2207" s="60">
        <f t="shared" si="174"/>
        <v>2</v>
      </c>
      <c r="L2207">
        <f t="shared" si="175"/>
        <v>-1</v>
      </c>
    </row>
    <row r="2208" spans="1:12" x14ac:dyDescent="0.25">
      <c r="G2208" t="str">
        <f t="shared" si="170"/>
        <v>05/27/19</v>
      </c>
      <c r="H2208" t="str">
        <f t="shared" si="171"/>
        <v/>
      </c>
      <c r="I2208" s="60" t="str">
        <f t="shared" si="172"/>
        <v/>
      </c>
      <c r="J2208" t="str">
        <f t="shared" si="173"/>
        <v/>
      </c>
      <c r="K2208" s="60" t="str">
        <f t="shared" si="174"/>
        <v/>
      </c>
      <c r="L2208" t="str">
        <f t="shared" si="175"/>
        <v/>
      </c>
    </row>
    <row r="2209" spans="1:12" x14ac:dyDescent="0.25">
      <c r="A2209" t="s">
        <v>2540</v>
      </c>
      <c r="G2209" t="str">
        <f t="shared" si="170"/>
        <v>05/27/19</v>
      </c>
      <c r="H2209" t="str">
        <f t="shared" si="171"/>
        <v>Pittsburgh Pirates</v>
      </c>
      <c r="I2209" s="60">
        <f t="shared" si="172"/>
        <v>8</v>
      </c>
      <c r="J2209" t="str">
        <f t="shared" si="173"/>
        <v>Cincinnati Reds</v>
      </c>
      <c r="K2209" s="60">
        <f t="shared" si="174"/>
        <v>5</v>
      </c>
      <c r="L2209">
        <f t="shared" si="175"/>
        <v>3</v>
      </c>
    </row>
    <row r="2210" spans="1:12" x14ac:dyDescent="0.25">
      <c r="G2210" t="str">
        <f t="shared" ref="G2210:G2273" si="176">IF(ISNUMBER(MATCH(IFERROR(LEFT(A2210,SEARCH(",",A2210)-1),""),$G$220:$M$220,0)),TEXT(MID(A2210,SEARCH(",",A2210)+2,LEN(A2210)),"mm/dd/yy"),G2209)</f>
        <v>05/27/19</v>
      </c>
      <c r="H2210" t="str">
        <f t="shared" si="171"/>
        <v/>
      </c>
      <c r="I2210" s="60" t="str">
        <f t="shared" si="172"/>
        <v/>
      </c>
      <c r="J2210" t="str">
        <f t="shared" si="173"/>
        <v/>
      </c>
      <c r="K2210" s="60" t="str">
        <f t="shared" si="174"/>
        <v/>
      </c>
      <c r="L2210" t="str">
        <f t="shared" si="175"/>
        <v/>
      </c>
    </row>
    <row r="2211" spans="1:12" x14ac:dyDescent="0.25">
      <c r="A2211" t="s">
        <v>2541</v>
      </c>
      <c r="G2211" t="str">
        <f t="shared" si="176"/>
        <v>05/27/19</v>
      </c>
      <c r="H2211" t="str">
        <f t="shared" si="171"/>
        <v>Pittsburgh Pirates</v>
      </c>
      <c r="I2211" s="60">
        <f t="shared" si="172"/>
        <v>1</v>
      </c>
      <c r="J2211" t="str">
        <f t="shared" si="173"/>
        <v>Cincinnati Reds</v>
      </c>
      <c r="K2211" s="60">
        <f t="shared" si="174"/>
        <v>8</v>
      </c>
      <c r="L2211">
        <f t="shared" si="175"/>
        <v>-7</v>
      </c>
    </row>
    <row r="2212" spans="1:12" x14ac:dyDescent="0.25">
      <c r="G2212" t="str">
        <f t="shared" si="176"/>
        <v>05/27/19</v>
      </c>
      <c r="H2212" t="str">
        <f t="shared" si="171"/>
        <v/>
      </c>
      <c r="I2212" s="60" t="str">
        <f t="shared" si="172"/>
        <v/>
      </c>
      <c r="J2212" t="str">
        <f t="shared" si="173"/>
        <v/>
      </c>
      <c r="K2212" s="60" t="str">
        <f t="shared" si="174"/>
        <v/>
      </c>
      <c r="L2212" t="str">
        <f t="shared" si="175"/>
        <v/>
      </c>
    </row>
    <row r="2213" spans="1:12" x14ac:dyDescent="0.25">
      <c r="A2213" t="s">
        <v>2542</v>
      </c>
      <c r="G2213" t="str">
        <f t="shared" si="176"/>
        <v>05/27/19</v>
      </c>
      <c r="H2213" t="str">
        <f t="shared" si="171"/>
        <v>Arizona D'Backs</v>
      </c>
      <c r="I2213" s="60">
        <f t="shared" si="172"/>
        <v>3</v>
      </c>
      <c r="J2213" t="str">
        <f t="shared" si="173"/>
        <v>Colorado Rockies</v>
      </c>
      <c r="K2213" s="60">
        <f t="shared" si="174"/>
        <v>4</v>
      </c>
      <c r="L2213">
        <f t="shared" si="175"/>
        <v>-1</v>
      </c>
    </row>
    <row r="2214" spans="1:12" x14ac:dyDescent="0.25">
      <c r="G2214" t="str">
        <f t="shared" si="176"/>
        <v>05/27/19</v>
      </c>
      <c r="H2214" t="str">
        <f t="shared" si="171"/>
        <v/>
      </c>
      <c r="I2214" s="60" t="str">
        <f t="shared" si="172"/>
        <v/>
      </c>
      <c r="J2214" t="str">
        <f t="shared" si="173"/>
        <v/>
      </c>
      <c r="K2214" s="60" t="str">
        <f t="shared" si="174"/>
        <v/>
      </c>
      <c r="L2214" t="str">
        <f t="shared" si="175"/>
        <v/>
      </c>
    </row>
    <row r="2215" spans="1:12" x14ac:dyDescent="0.25">
      <c r="A2215" t="s">
        <v>2543</v>
      </c>
      <c r="G2215" t="str">
        <f t="shared" si="176"/>
        <v>05/27/19</v>
      </c>
      <c r="H2215" t="str">
        <f t="shared" si="171"/>
        <v>Chicago Cubs</v>
      </c>
      <c r="I2215" s="60">
        <f t="shared" si="172"/>
        <v>5</v>
      </c>
      <c r="J2215" t="str">
        <f t="shared" si="173"/>
        <v>Houston Astros</v>
      </c>
      <c r="K2215" s="60">
        <f t="shared" si="174"/>
        <v>6</v>
      </c>
      <c r="L2215">
        <f t="shared" si="175"/>
        <v>-1</v>
      </c>
    </row>
    <row r="2216" spans="1:12" x14ac:dyDescent="0.25">
      <c r="G2216" t="str">
        <f t="shared" si="176"/>
        <v>05/27/19</v>
      </c>
      <c r="H2216" t="str">
        <f t="shared" si="171"/>
        <v/>
      </c>
      <c r="I2216" s="60" t="str">
        <f t="shared" si="172"/>
        <v/>
      </c>
      <c r="J2216" t="str">
        <f t="shared" si="173"/>
        <v/>
      </c>
      <c r="K2216" s="60" t="str">
        <f t="shared" si="174"/>
        <v/>
      </c>
      <c r="L2216" t="str">
        <f t="shared" si="175"/>
        <v/>
      </c>
    </row>
    <row r="2217" spans="1:12" x14ac:dyDescent="0.25">
      <c r="A2217" t="s">
        <v>2544</v>
      </c>
      <c r="G2217" t="str">
        <f t="shared" si="176"/>
        <v>05/27/19</v>
      </c>
      <c r="H2217" t="str">
        <f t="shared" si="171"/>
        <v>New York Mets</v>
      </c>
      <c r="I2217" s="60">
        <f t="shared" si="172"/>
        <v>5</v>
      </c>
      <c r="J2217" t="str">
        <f t="shared" si="173"/>
        <v>Los Angeles Dodgers</v>
      </c>
      <c r="K2217" s="60">
        <f t="shared" si="174"/>
        <v>9</v>
      </c>
      <c r="L2217">
        <f t="shared" si="175"/>
        <v>-4</v>
      </c>
    </row>
    <row r="2218" spans="1:12" x14ac:dyDescent="0.25">
      <c r="G2218" t="str">
        <f t="shared" si="176"/>
        <v>05/27/19</v>
      </c>
      <c r="H2218" t="str">
        <f t="shared" si="171"/>
        <v/>
      </c>
      <c r="I2218" s="60" t="str">
        <f t="shared" si="172"/>
        <v/>
      </c>
      <c r="J2218" t="str">
        <f t="shared" si="173"/>
        <v/>
      </c>
      <c r="K2218" s="60" t="str">
        <f t="shared" si="174"/>
        <v/>
      </c>
      <c r="L2218" t="str">
        <f t="shared" si="175"/>
        <v/>
      </c>
    </row>
    <row r="2219" spans="1:12" x14ac:dyDescent="0.25">
      <c r="A2219" t="s">
        <v>2545</v>
      </c>
      <c r="G2219" t="str">
        <f t="shared" si="176"/>
        <v>05/27/19</v>
      </c>
      <c r="H2219" t="str">
        <f t="shared" si="171"/>
        <v>Milwaukee Brewers</v>
      </c>
      <c r="I2219" s="60">
        <f t="shared" si="172"/>
        <v>5</v>
      </c>
      <c r="J2219" t="str">
        <f t="shared" si="173"/>
        <v>Minnesota Twins</v>
      </c>
      <c r="K2219" s="60">
        <f t="shared" si="174"/>
        <v>4</v>
      </c>
      <c r="L2219">
        <f t="shared" si="175"/>
        <v>1</v>
      </c>
    </row>
    <row r="2220" spans="1:12" x14ac:dyDescent="0.25">
      <c r="G2220" t="str">
        <f t="shared" si="176"/>
        <v>05/27/19</v>
      </c>
      <c r="H2220" t="str">
        <f t="shared" si="171"/>
        <v/>
      </c>
      <c r="I2220" s="60" t="str">
        <f t="shared" si="172"/>
        <v/>
      </c>
      <c r="J2220" t="str">
        <f t="shared" si="173"/>
        <v/>
      </c>
      <c r="K2220" s="60" t="str">
        <f t="shared" si="174"/>
        <v/>
      </c>
      <c r="L2220" t="str">
        <f t="shared" si="175"/>
        <v/>
      </c>
    </row>
    <row r="2221" spans="1:12" x14ac:dyDescent="0.25">
      <c r="A2221" t="s">
        <v>2546</v>
      </c>
      <c r="G2221" t="str">
        <f t="shared" si="176"/>
        <v>05/27/19</v>
      </c>
      <c r="H2221" t="str">
        <f t="shared" si="171"/>
        <v>San Diego Padres</v>
      </c>
      <c r="I2221" s="60">
        <f t="shared" si="172"/>
        <v>2</v>
      </c>
      <c r="J2221" t="str">
        <f t="shared" si="173"/>
        <v>New York Yankees</v>
      </c>
      <c r="K2221" s="60">
        <f t="shared" si="174"/>
        <v>5</v>
      </c>
      <c r="L2221">
        <f t="shared" si="175"/>
        <v>-3</v>
      </c>
    </row>
    <row r="2222" spans="1:12" x14ac:dyDescent="0.25">
      <c r="G2222" t="str">
        <f t="shared" si="176"/>
        <v>05/27/19</v>
      </c>
      <c r="H2222" t="str">
        <f t="shared" si="171"/>
        <v/>
      </c>
      <c r="I2222" s="60" t="str">
        <f t="shared" si="172"/>
        <v/>
      </c>
      <c r="J2222" t="str">
        <f t="shared" si="173"/>
        <v/>
      </c>
      <c r="K2222" s="60" t="str">
        <f t="shared" si="174"/>
        <v/>
      </c>
      <c r="L2222" t="str">
        <f t="shared" si="175"/>
        <v/>
      </c>
    </row>
    <row r="2223" spans="1:12" x14ac:dyDescent="0.25">
      <c r="A2223" t="s">
        <v>2547</v>
      </c>
      <c r="G2223" t="str">
        <f t="shared" si="176"/>
        <v>05/27/19</v>
      </c>
      <c r="H2223" t="str">
        <f t="shared" si="171"/>
        <v>Los Angeles Angels</v>
      </c>
      <c r="I2223" s="60">
        <f t="shared" si="172"/>
        <v>5</v>
      </c>
      <c r="J2223" t="str">
        <f t="shared" si="173"/>
        <v>Oakland Athletics</v>
      </c>
      <c r="K2223" s="60">
        <f t="shared" si="174"/>
        <v>8</v>
      </c>
      <c r="L2223">
        <f t="shared" si="175"/>
        <v>-3</v>
      </c>
    </row>
    <row r="2224" spans="1:12" x14ac:dyDescent="0.25">
      <c r="G2224" t="str">
        <f t="shared" si="176"/>
        <v>05/27/19</v>
      </c>
      <c r="H2224" t="str">
        <f t="shared" si="171"/>
        <v/>
      </c>
      <c r="I2224" s="60" t="str">
        <f t="shared" si="172"/>
        <v/>
      </c>
      <c r="J2224" t="str">
        <f t="shared" si="173"/>
        <v/>
      </c>
      <c r="K2224" s="60" t="str">
        <f t="shared" si="174"/>
        <v/>
      </c>
      <c r="L2224" t="str">
        <f t="shared" si="175"/>
        <v/>
      </c>
    </row>
    <row r="2225" spans="1:12" x14ac:dyDescent="0.25">
      <c r="A2225" t="s">
        <v>2548</v>
      </c>
      <c r="G2225" t="str">
        <f t="shared" si="176"/>
        <v>05/27/19</v>
      </c>
      <c r="H2225" t="str">
        <f t="shared" si="171"/>
        <v>Texas Rangers</v>
      </c>
      <c r="I2225" s="60">
        <f t="shared" si="172"/>
        <v>2</v>
      </c>
      <c r="J2225" t="str">
        <f t="shared" si="173"/>
        <v>Seattle Mariners</v>
      </c>
      <c r="K2225" s="60">
        <f t="shared" si="174"/>
        <v>6</v>
      </c>
      <c r="L2225">
        <f t="shared" si="175"/>
        <v>-4</v>
      </c>
    </row>
    <row r="2226" spans="1:12" x14ac:dyDescent="0.25">
      <c r="G2226" t="str">
        <f t="shared" si="176"/>
        <v>05/27/19</v>
      </c>
      <c r="H2226" t="str">
        <f t="shared" si="171"/>
        <v/>
      </c>
      <c r="I2226" s="60" t="str">
        <f t="shared" si="172"/>
        <v/>
      </c>
      <c r="J2226" t="str">
        <f t="shared" si="173"/>
        <v/>
      </c>
      <c r="K2226" s="60" t="str">
        <f t="shared" si="174"/>
        <v/>
      </c>
      <c r="L2226" t="str">
        <f t="shared" si="175"/>
        <v/>
      </c>
    </row>
    <row r="2227" spans="1:12" x14ac:dyDescent="0.25">
      <c r="A2227" t="s">
        <v>2549</v>
      </c>
      <c r="G2227" t="str">
        <f t="shared" si="176"/>
        <v>05/27/19</v>
      </c>
      <c r="H2227" t="str">
        <f t="shared" si="171"/>
        <v>Toronto Blue Jays</v>
      </c>
      <c r="I2227" s="60">
        <f t="shared" si="172"/>
        <v>3</v>
      </c>
      <c r="J2227" t="str">
        <f t="shared" si="173"/>
        <v>Tampa Bay Rays</v>
      </c>
      <c r="K2227" s="60">
        <f t="shared" si="174"/>
        <v>8</v>
      </c>
      <c r="L2227">
        <f t="shared" si="175"/>
        <v>-5</v>
      </c>
    </row>
    <row r="2228" spans="1:12" x14ac:dyDescent="0.25">
      <c r="G2228" t="str">
        <f t="shared" si="176"/>
        <v>05/27/19</v>
      </c>
      <c r="H2228" t="str">
        <f t="shared" si="171"/>
        <v/>
      </c>
      <c r="I2228" s="60" t="str">
        <f t="shared" si="172"/>
        <v/>
      </c>
      <c r="J2228" t="str">
        <f t="shared" si="173"/>
        <v/>
      </c>
      <c r="K2228" s="60" t="str">
        <f t="shared" si="174"/>
        <v/>
      </c>
      <c r="L2228" t="str">
        <f t="shared" si="175"/>
        <v/>
      </c>
    </row>
    <row r="2229" spans="1:12" x14ac:dyDescent="0.25">
      <c r="A2229" t="s">
        <v>2550</v>
      </c>
      <c r="G2229" t="str">
        <f t="shared" si="176"/>
        <v>05/27/19</v>
      </c>
      <c r="H2229" t="str">
        <f t="shared" si="171"/>
        <v>Miami Marlins</v>
      </c>
      <c r="I2229" s="60">
        <f t="shared" si="172"/>
        <v>3</v>
      </c>
      <c r="J2229" t="str">
        <f t="shared" si="173"/>
        <v>Washington Nationals</v>
      </c>
      <c r="K2229" s="60">
        <f t="shared" si="174"/>
        <v>2</v>
      </c>
      <c r="L2229">
        <f t="shared" si="175"/>
        <v>1</v>
      </c>
    </row>
    <row r="2230" spans="1:12" x14ac:dyDescent="0.25">
      <c r="G2230" t="str">
        <f t="shared" si="176"/>
        <v>05/27/19</v>
      </c>
      <c r="H2230" t="str">
        <f t="shared" si="171"/>
        <v/>
      </c>
      <c r="I2230" s="60" t="str">
        <f t="shared" si="172"/>
        <v/>
      </c>
      <c r="J2230" t="str">
        <f t="shared" si="173"/>
        <v/>
      </c>
      <c r="K2230" s="60" t="str">
        <f t="shared" si="174"/>
        <v/>
      </c>
      <c r="L2230" t="str">
        <f t="shared" si="175"/>
        <v/>
      </c>
    </row>
    <row r="2231" spans="1:12" x14ac:dyDescent="0.25">
      <c r="A2231" t="s">
        <v>2551</v>
      </c>
      <c r="G2231" t="str">
        <f t="shared" si="176"/>
        <v>05/27/19</v>
      </c>
      <c r="H2231" t="str">
        <f t="shared" si="171"/>
        <v/>
      </c>
      <c r="I2231" s="60" t="str">
        <f t="shared" si="172"/>
        <v/>
      </c>
      <c r="J2231" t="str">
        <f t="shared" si="173"/>
        <v/>
      </c>
      <c r="K2231" s="60" t="str">
        <f t="shared" si="174"/>
        <v/>
      </c>
      <c r="L2231" t="str">
        <f t="shared" si="175"/>
        <v/>
      </c>
    </row>
    <row r="2232" spans="1:12" x14ac:dyDescent="0.25">
      <c r="G2232" t="str">
        <f t="shared" si="176"/>
        <v>05/27/19</v>
      </c>
      <c r="H2232" t="str">
        <f t="shared" si="171"/>
        <v/>
      </c>
      <c r="I2232" s="60" t="str">
        <f t="shared" si="172"/>
        <v/>
      </c>
      <c r="J2232" t="str">
        <f t="shared" si="173"/>
        <v/>
      </c>
      <c r="K2232" s="60" t="str">
        <f t="shared" si="174"/>
        <v/>
      </c>
      <c r="L2232" t="str">
        <f t="shared" si="175"/>
        <v/>
      </c>
    </row>
    <row r="2233" spans="1:12" x14ac:dyDescent="0.25">
      <c r="A2233" t="s">
        <v>2552</v>
      </c>
      <c r="G2233" t="str">
        <f t="shared" si="176"/>
        <v>05/28/19</v>
      </c>
      <c r="H2233" t="str">
        <f t="shared" si="171"/>
        <v/>
      </c>
      <c r="I2233" s="60" t="str">
        <f t="shared" si="172"/>
        <v/>
      </c>
      <c r="J2233" t="str">
        <f t="shared" si="173"/>
        <v/>
      </c>
      <c r="K2233" s="60" t="str">
        <f t="shared" si="174"/>
        <v/>
      </c>
      <c r="L2233" t="str">
        <f t="shared" si="175"/>
        <v/>
      </c>
    </row>
    <row r="2234" spans="1:12" x14ac:dyDescent="0.25">
      <c r="G2234" t="str">
        <f t="shared" si="176"/>
        <v>05/28/19</v>
      </c>
      <c r="H2234" t="str">
        <f t="shared" si="171"/>
        <v/>
      </c>
      <c r="I2234" s="60" t="str">
        <f t="shared" si="172"/>
        <v/>
      </c>
      <c r="J2234" t="str">
        <f t="shared" si="173"/>
        <v/>
      </c>
      <c r="K2234" s="60" t="str">
        <f t="shared" si="174"/>
        <v/>
      </c>
      <c r="L2234" t="str">
        <f t="shared" si="175"/>
        <v/>
      </c>
    </row>
    <row r="2235" spans="1:12" x14ac:dyDescent="0.25">
      <c r="A2235" t="s">
        <v>2553</v>
      </c>
      <c r="G2235" t="str">
        <f t="shared" si="176"/>
        <v>05/28/19</v>
      </c>
      <c r="H2235" t="str">
        <f t="shared" si="171"/>
        <v>Washington Nationals</v>
      </c>
      <c r="I2235" s="60">
        <f t="shared" si="172"/>
        <v>5</v>
      </c>
      <c r="J2235" t="str">
        <f t="shared" si="173"/>
        <v>Atlanta Braves</v>
      </c>
      <c r="K2235" s="60">
        <f t="shared" si="174"/>
        <v>4</v>
      </c>
      <c r="L2235">
        <f t="shared" si="175"/>
        <v>1</v>
      </c>
    </row>
    <row r="2236" spans="1:12" x14ac:dyDescent="0.25">
      <c r="G2236" t="str">
        <f t="shared" si="176"/>
        <v>05/28/19</v>
      </c>
      <c r="H2236" t="str">
        <f t="shared" si="171"/>
        <v/>
      </c>
      <c r="I2236" s="60" t="str">
        <f t="shared" si="172"/>
        <v/>
      </c>
      <c r="J2236" t="str">
        <f t="shared" si="173"/>
        <v/>
      </c>
      <c r="K2236" s="60" t="str">
        <f t="shared" si="174"/>
        <v/>
      </c>
      <c r="L2236" t="str">
        <f t="shared" si="175"/>
        <v/>
      </c>
    </row>
    <row r="2237" spans="1:12" x14ac:dyDescent="0.25">
      <c r="A2237" t="s">
        <v>2554</v>
      </c>
      <c r="G2237" t="str">
        <f t="shared" si="176"/>
        <v>05/28/19</v>
      </c>
      <c r="H2237" t="str">
        <f t="shared" si="171"/>
        <v>Detroit Tigers</v>
      </c>
      <c r="I2237" s="60">
        <f t="shared" si="172"/>
        <v>3</v>
      </c>
      <c r="J2237" t="str">
        <f t="shared" si="173"/>
        <v>Baltimore Orioles</v>
      </c>
      <c r="K2237" s="60">
        <f t="shared" si="174"/>
        <v>0</v>
      </c>
      <c r="L2237">
        <f t="shared" si="175"/>
        <v>3</v>
      </c>
    </row>
    <row r="2238" spans="1:12" x14ac:dyDescent="0.25">
      <c r="G2238" t="str">
        <f t="shared" si="176"/>
        <v>05/28/19</v>
      </c>
      <c r="H2238" t="str">
        <f t="shared" si="171"/>
        <v/>
      </c>
      <c r="I2238" s="60" t="str">
        <f t="shared" si="172"/>
        <v/>
      </c>
      <c r="J2238" t="str">
        <f t="shared" si="173"/>
        <v/>
      </c>
      <c r="K2238" s="60" t="str">
        <f t="shared" si="174"/>
        <v/>
      </c>
      <c r="L2238" t="str">
        <f t="shared" si="175"/>
        <v/>
      </c>
    </row>
    <row r="2239" spans="1:12" x14ac:dyDescent="0.25">
      <c r="A2239" t="s">
        <v>2555</v>
      </c>
      <c r="G2239" t="str">
        <f t="shared" si="176"/>
        <v>05/28/19</v>
      </c>
      <c r="H2239" t="str">
        <f t="shared" si="171"/>
        <v>Cleveland Indians</v>
      </c>
      <c r="I2239" s="60">
        <f t="shared" si="172"/>
        <v>7</v>
      </c>
      <c r="J2239" t="str">
        <f t="shared" si="173"/>
        <v>Boston Red Sox</v>
      </c>
      <c r="K2239" s="60">
        <f t="shared" si="174"/>
        <v>5</v>
      </c>
      <c r="L2239">
        <f t="shared" si="175"/>
        <v>2</v>
      </c>
    </row>
    <row r="2240" spans="1:12" x14ac:dyDescent="0.25">
      <c r="G2240" t="str">
        <f t="shared" si="176"/>
        <v>05/28/19</v>
      </c>
      <c r="H2240" t="str">
        <f t="shared" si="171"/>
        <v/>
      </c>
      <c r="I2240" s="60" t="str">
        <f t="shared" si="172"/>
        <v/>
      </c>
      <c r="J2240" t="str">
        <f t="shared" si="173"/>
        <v/>
      </c>
      <c r="K2240" s="60" t="str">
        <f t="shared" si="174"/>
        <v/>
      </c>
      <c r="L2240" t="str">
        <f t="shared" si="175"/>
        <v/>
      </c>
    </row>
    <row r="2241" spans="1:12" x14ac:dyDescent="0.25">
      <c r="A2241" t="s">
        <v>2556</v>
      </c>
      <c r="G2241" t="str">
        <f t="shared" si="176"/>
        <v>05/28/19</v>
      </c>
      <c r="H2241" t="str">
        <f t="shared" si="171"/>
        <v>Kansas City Royals</v>
      </c>
      <c r="I2241" s="60">
        <f t="shared" si="172"/>
        <v>3</v>
      </c>
      <c r="J2241" t="str">
        <f t="shared" si="173"/>
        <v>Chicago White Sox</v>
      </c>
      <c r="K2241" s="60">
        <f t="shared" si="174"/>
        <v>4</v>
      </c>
      <c r="L2241">
        <f t="shared" si="175"/>
        <v>-1</v>
      </c>
    </row>
    <row r="2242" spans="1:12" x14ac:dyDescent="0.25">
      <c r="G2242" t="str">
        <f t="shared" si="176"/>
        <v>05/28/19</v>
      </c>
      <c r="H2242" t="str">
        <f t="shared" si="171"/>
        <v/>
      </c>
      <c r="I2242" s="60" t="str">
        <f t="shared" si="172"/>
        <v/>
      </c>
      <c r="J2242" t="str">
        <f t="shared" si="173"/>
        <v/>
      </c>
      <c r="K2242" s="60" t="str">
        <f t="shared" si="174"/>
        <v/>
      </c>
      <c r="L2242" t="str">
        <f t="shared" si="175"/>
        <v/>
      </c>
    </row>
    <row r="2243" spans="1:12" x14ac:dyDescent="0.25">
      <c r="A2243" t="s">
        <v>2557</v>
      </c>
      <c r="G2243" t="str">
        <f t="shared" si="176"/>
        <v>05/28/19</v>
      </c>
      <c r="H2243" t="str">
        <f t="shared" si="171"/>
        <v>Pittsburgh Pirates</v>
      </c>
      <c r="I2243" s="60">
        <f t="shared" si="172"/>
        <v>6</v>
      </c>
      <c r="J2243" t="str">
        <f t="shared" si="173"/>
        <v>Cincinnati Reds</v>
      </c>
      <c r="K2243" s="60">
        <f t="shared" si="174"/>
        <v>11</v>
      </c>
      <c r="L2243">
        <f t="shared" si="175"/>
        <v>-5</v>
      </c>
    </row>
    <row r="2244" spans="1:12" x14ac:dyDescent="0.25">
      <c r="G2244" t="str">
        <f t="shared" si="176"/>
        <v>05/28/19</v>
      </c>
      <c r="H2244" t="str">
        <f t="shared" si="171"/>
        <v/>
      </c>
      <c r="I2244" s="60" t="str">
        <f t="shared" si="172"/>
        <v/>
      </c>
      <c r="J2244" t="str">
        <f t="shared" si="173"/>
        <v/>
      </c>
      <c r="K2244" s="60" t="str">
        <f t="shared" si="174"/>
        <v/>
      </c>
      <c r="L2244" t="str">
        <f t="shared" si="175"/>
        <v/>
      </c>
    </row>
    <row r="2245" spans="1:12" x14ac:dyDescent="0.25">
      <c r="A2245" t="s">
        <v>2558</v>
      </c>
      <c r="G2245" t="str">
        <f t="shared" si="176"/>
        <v>05/28/19</v>
      </c>
      <c r="H2245" t="str">
        <f t="shared" si="171"/>
        <v>Arizona D'Backs</v>
      </c>
      <c r="I2245" s="60">
        <f t="shared" si="172"/>
        <v>2</v>
      </c>
      <c r="J2245" t="str">
        <f t="shared" si="173"/>
        <v>Colorado Rockies</v>
      </c>
      <c r="K2245" s="60">
        <f t="shared" si="174"/>
        <v>6</v>
      </c>
      <c r="L2245">
        <f t="shared" si="175"/>
        <v>-4</v>
      </c>
    </row>
    <row r="2246" spans="1:12" x14ac:dyDescent="0.25">
      <c r="G2246" t="str">
        <f t="shared" si="176"/>
        <v>05/28/19</v>
      </c>
      <c r="H2246" t="str">
        <f t="shared" si="171"/>
        <v/>
      </c>
      <c r="I2246" s="60" t="str">
        <f t="shared" si="172"/>
        <v/>
      </c>
      <c r="J2246" t="str">
        <f t="shared" si="173"/>
        <v/>
      </c>
      <c r="K2246" s="60" t="str">
        <f t="shared" si="174"/>
        <v/>
      </c>
      <c r="L2246" t="str">
        <f t="shared" si="175"/>
        <v/>
      </c>
    </row>
    <row r="2247" spans="1:12" x14ac:dyDescent="0.25">
      <c r="A2247" t="s">
        <v>2559</v>
      </c>
      <c r="G2247" t="str">
        <f t="shared" si="176"/>
        <v>05/28/19</v>
      </c>
      <c r="H2247" t="str">
        <f t="shared" si="171"/>
        <v>Chicago Cubs</v>
      </c>
      <c r="I2247" s="60">
        <f t="shared" si="172"/>
        <v>6</v>
      </c>
      <c r="J2247" t="str">
        <f t="shared" si="173"/>
        <v>Houston Astros</v>
      </c>
      <c r="K2247" s="60">
        <f t="shared" si="174"/>
        <v>9</v>
      </c>
      <c r="L2247">
        <f t="shared" si="175"/>
        <v>-3</v>
      </c>
    </row>
    <row r="2248" spans="1:12" x14ac:dyDescent="0.25">
      <c r="G2248" t="str">
        <f t="shared" si="176"/>
        <v>05/28/19</v>
      </c>
      <c r="H2248" t="str">
        <f t="shared" si="171"/>
        <v/>
      </c>
      <c r="I2248" s="60" t="str">
        <f t="shared" si="172"/>
        <v/>
      </c>
      <c r="J2248" t="str">
        <f t="shared" si="173"/>
        <v/>
      </c>
      <c r="K2248" s="60" t="str">
        <f t="shared" si="174"/>
        <v/>
      </c>
      <c r="L2248" t="str">
        <f t="shared" si="175"/>
        <v/>
      </c>
    </row>
    <row r="2249" spans="1:12" x14ac:dyDescent="0.25">
      <c r="A2249" t="s">
        <v>2560</v>
      </c>
      <c r="G2249" t="str">
        <f t="shared" si="176"/>
        <v>05/28/19</v>
      </c>
      <c r="H2249" t="str">
        <f t="shared" si="171"/>
        <v>New York Mets</v>
      </c>
      <c r="I2249" s="60">
        <f t="shared" si="172"/>
        <v>7</v>
      </c>
      <c r="J2249" t="str">
        <f t="shared" si="173"/>
        <v>Los Angeles Dodgers</v>
      </c>
      <c r="K2249" s="60">
        <f t="shared" si="174"/>
        <v>3</v>
      </c>
      <c r="L2249">
        <f t="shared" si="175"/>
        <v>4</v>
      </c>
    </row>
    <row r="2250" spans="1:12" x14ac:dyDescent="0.25">
      <c r="G2250" t="str">
        <f t="shared" si="176"/>
        <v>05/28/19</v>
      </c>
      <c r="H2250" t="str">
        <f t="shared" si="171"/>
        <v/>
      </c>
      <c r="I2250" s="60" t="str">
        <f t="shared" si="172"/>
        <v/>
      </c>
      <c r="J2250" t="str">
        <f t="shared" si="173"/>
        <v/>
      </c>
      <c r="K2250" s="60" t="str">
        <f t="shared" si="174"/>
        <v/>
      </c>
      <c r="L2250" t="str">
        <f t="shared" si="175"/>
        <v/>
      </c>
    </row>
    <row r="2251" spans="1:12" x14ac:dyDescent="0.25">
      <c r="A2251" t="s">
        <v>2561</v>
      </c>
      <c r="G2251" t="str">
        <f t="shared" si="176"/>
        <v>05/28/19</v>
      </c>
      <c r="H2251" t="str">
        <f t="shared" si="171"/>
        <v>San Francisco Giants</v>
      </c>
      <c r="I2251" s="60">
        <f t="shared" si="172"/>
        <v>3</v>
      </c>
      <c r="J2251" t="str">
        <f t="shared" si="173"/>
        <v>Miami Marlins</v>
      </c>
      <c r="K2251" s="60">
        <f t="shared" si="174"/>
        <v>11</v>
      </c>
      <c r="L2251">
        <f t="shared" si="175"/>
        <v>-8</v>
      </c>
    </row>
    <row r="2252" spans="1:12" x14ac:dyDescent="0.25">
      <c r="G2252" t="str">
        <f t="shared" si="176"/>
        <v>05/28/19</v>
      </c>
      <c r="H2252" t="str">
        <f t="shared" si="171"/>
        <v/>
      </c>
      <c r="I2252" s="60" t="str">
        <f t="shared" si="172"/>
        <v/>
      </c>
      <c r="J2252" t="str">
        <f t="shared" si="173"/>
        <v/>
      </c>
      <c r="K2252" s="60" t="str">
        <f t="shared" si="174"/>
        <v/>
      </c>
      <c r="L2252" t="str">
        <f t="shared" si="175"/>
        <v/>
      </c>
    </row>
    <row r="2253" spans="1:12" x14ac:dyDescent="0.25">
      <c r="A2253" t="s">
        <v>2562</v>
      </c>
      <c r="G2253" t="str">
        <f t="shared" si="176"/>
        <v>05/28/19</v>
      </c>
      <c r="H2253" t="str">
        <f t="shared" si="171"/>
        <v>Milwaukee Brewers</v>
      </c>
      <c r="I2253" s="60">
        <f t="shared" si="172"/>
        <v>3</v>
      </c>
      <c r="J2253" t="str">
        <f t="shared" si="173"/>
        <v>Minnesota Twins</v>
      </c>
      <c r="K2253" s="60">
        <f t="shared" si="174"/>
        <v>5</v>
      </c>
      <c r="L2253">
        <f t="shared" si="175"/>
        <v>-2</v>
      </c>
    </row>
    <row r="2254" spans="1:12" x14ac:dyDescent="0.25">
      <c r="G2254" t="str">
        <f t="shared" si="176"/>
        <v>05/28/19</v>
      </c>
      <c r="H2254" t="str">
        <f t="shared" si="171"/>
        <v/>
      </c>
      <c r="I2254" s="60" t="str">
        <f t="shared" si="172"/>
        <v/>
      </c>
      <c r="J2254" t="str">
        <f t="shared" si="173"/>
        <v/>
      </c>
      <c r="K2254" s="60" t="str">
        <f t="shared" si="174"/>
        <v/>
      </c>
      <c r="L2254" t="str">
        <f t="shared" si="175"/>
        <v/>
      </c>
    </row>
    <row r="2255" spans="1:12" x14ac:dyDescent="0.25">
      <c r="A2255" t="s">
        <v>2563</v>
      </c>
      <c r="G2255" t="str">
        <f t="shared" si="176"/>
        <v>05/28/19</v>
      </c>
      <c r="H2255" t="str">
        <f t="shared" si="171"/>
        <v>San Diego Padres</v>
      </c>
      <c r="I2255" s="60">
        <f t="shared" si="172"/>
        <v>5</v>
      </c>
      <c r="J2255" t="str">
        <f t="shared" si="173"/>
        <v>New York Yankees</v>
      </c>
      <c r="K2255" s="60">
        <f t="shared" si="174"/>
        <v>4</v>
      </c>
      <c r="L2255">
        <f t="shared" si="175"/>
        <v>1</v>
      </c>
    </row>
    <row r="2256" spans="1:12" x14ac:dyDescent="0.25">
      <c r="G2256" t="str">
        <f t="shared" si="176"/>
        <v>05/28/19</v>
      </c>
      <c r="H2256" t="str">
        <f t="shared" ref="H2256:H2319" si="177">IFERROR(LEFT(MID(A2256,1,SEARCH("@",A2256)-2),SEARCH("(",A2256)-2),"")</f>
        <v/>
      </c>
      <c r="I2256" s="60" t="str">
        <f t="shared" ref="I2256:I2319" si="178">IFERROR(VALUE(MID(A2256,SEARCH("(",A2256)+1,SEARCH(")",A2256)-SEARCH("(",A2256)-1)),"")</f>
        <v/>
      </c>
      <c r="J2256" t="str">
        <f t="shared" ref="J2256:J2319" si="179">IFERROR(MID(A2256,SEARCH("@",A2256)+2,SEARCH("(",A2256,SEARCH("@",A2256))-SEARCH("@",A2256)-3),"")</f>
        <v/>
      </c>
      <c r="K2256" s="60" t="str">
        <f t="shared" ref="K2256:K2319" si="180">IFERROR(VALUE(MID(A2256,SEARCH(J2256,A2256)+LEN(J2256)+2,(SEARCH(")",A2256,SEARCH("@",A2256))-SEARCH("(",A2256,SEARCH("@",A2256))-1))),"")</f>
        <v/>
      </c>
      <c r="L2256" t="str">
        <f t="shared" ref="L2256:L2319" si="181">IFERROR(I2256-K2256,"")</f>
        <v/>
      </c>
    </row>
    <row r="2257" spans="1:12" x14ac:dyDescent="0.25">
      <c r="A2257" t="s">
        <v>2564</v>
      </c>
      <c r="G2257" t="str">
        <f t="shared" si="176"/>
        <v>05/28/19</v>
      </c>
      <c r="H2257" t="str">
        <f t="shared" si="177"/>
        <v>Los Angeles Angels</v>
      </c>
      <c r="I2257" s="60">
        <f t="shared" si="178"/>
        <v>6</v>
      </c>
      <c r="J2257" t="str">
        <f t="shared" si="179"/>
        <v>Oakland Athletics</v>
      </c>
      <c r="K2257" s="60">
        <f t="shared" si="180"/>
        <v>4</v>
      </c>
      <c r="L2257">
        <f t="shared" si="181"/>
        <v>2</v>
      </c>
    </row>
    <row r="2258" spans="1:12" x14ac:dyDescent="0.25">
      <c r="G2258" t="str">
        <f t="shared" si="176"/>
        <v>05/28/19</v>
      </c>
      <c r="H2258" t="str">
        <f t="shared" si="177"/>
        <v/>
      </c>
      <c r="I2258" s="60" t="str">
        <f t="shared" si="178"/>
        <v/>
      </c>
      <c r="J2258" t="str">
        <f t="shared" si="179"/>
        <v/>
      </c>
      <c r="K2258" s="60" t="str">
        <f t="shared" si="180"/>
        <v/>
      </c>
      <c r="L2258" t="str">
        <f t="shared" si="181"/>
        <v/>
      </c>
    </row>
    <row r="2259" spans="1:12" x14ac:dyDescent="0.25">
      <c r="A2259" t="s">
        <v>2565</v>
      </c>
      <c r="G2259" t="str">
        <f t="shared" si="176"/>
        <v>05/28/19</v>
      </c>
      <c r="H2259" t="str">
        <f t="shared" si="177"/>
        <v>St. Louis Cardinals</v>
      </c>
      <c r="I2259" s="60">
        <f t="shared" si="178"/>
        <v>3</v>
      </c>
      <c r="J2259" t="str">
        <f t="shared" si="179"/>
        <v>Philadelphia Phillies</v>
      </c>
      <c r="K2259" s="60">
        <f t="shared" si="180"/>
        <v>4</v>
      </c>
      <c r="L2259">
        <f t="shared" si="181"/>
        <v>-1</v>
      </c>
    </row>
    <row r="2260" spans="1:12" x14ac:dyDescent="0.25">
      <c r="G2260" t="str">
        <f t="shared" si="176"/>
        <v>05/28/19</v>
      </c>
      <c r="H2260" t="str">
        <f t="shared" si="177"/>
        <v/>
      </c>
      <c r="I2260" s="60" t="str">
        <f t="shared" si="178"/>
        <v/>
      </c>
      <c r="J2260" t="str">
        <f t="shared" si="179"/>
        <v/>
      </c>
      <c r="K2260" s="60" t="str">
        <f t="shared" si="180"/>
        <v/>
      </c>
      <c r="L2260" t="str">
        <f t="shared" si="181"/>
        <v/>
      </c>
    </row>
    <row r="2261" spans="1:12" x14ac:dyDescent="0.25">
      <c r="A2261" t="s">
        <v>2566</v>
      </c>
      <c r="G2261" t="str">
        <f t="shared" si="176"/>
        <v>05/28/19</v>
      </c>
      <c r="H2261" t="str">
        <f t="shared" si="177"/>
        <v>Texas Rangers</v>
      </c>
      <c r="I2261" s="60">
        <f t="shared" si="178"/>
        <v>11</v>
      </c>
      <c r="J2261" t="str">
        <f t="shared" si="179"/>
        <v>Seattle Mariners</v>
      </c>
      <c r="K2261" s="60">
        <f t="shared" si="180"/>
        <v>4</v>
      </c>
      <c r="L2261">
        <f t="shared" si="181"/>
        <v>7</v>
      </c>
    </row>
    <row r="2262" spans="1:12" x14ac:dyDescent="0.25">
      <c r="G2262" t="str">
        <f t="shared" si="176"/>
        <v>05/28/19</v>
      </c>
      <c r="H2262" t="str">
        <f t="shared" si="177"/>
        <v/>
      </c>
      <c r="I2262" s="60" t="str">
        <f t="shared" si="178"/>
        <v/>
      </c>
      <c r="J2262" t="str">
        <f t="shared" si="179"/>
        <v/>
      </c>
      <c r="K2262" s="60" t="str">
        <f t="shared" si="180"/>
        <v/>
      </c>
      <c r="L2262" t="str">
        <f t="shared" si="181"/>
        <v/>
      </c>
    </row>
    <row r="2263" spans="1:12" x14ac:dyDescent="0.25">
      <c r="A2263" t="s">
        <v>2567</v>
      </c>
      <c r="G2263" t="str">
        <f t="shared" si="176"/>
        <v>05/28/19</v>
      </c>
      <c r="H2263" t="str">
        <f t="shared" si="177"/>
        <v>Toronto Blue Jays</v>
      </c>
      <c r="I2263" s="60">
        <f t="shared" si="178"/>
        <v>1</v>
      </c>
      <c r="J2263" t="str">
        <f t="shared" si="179"/>
        <v>Tampa Bay Rays</v>
      </c>
      <c r="K2263" s="60">
        <f t="shared" si="180"/>
        <v>3</v>
      </c>
      <c r="L2263">
        <f t="shared" si="181"/>
        <v>-2</v>
      </c>
    </row>
    <row r="2264" spans="1:12" x14ac:dyDescent="0.25">
      <c r="G2264" t="str">
        <f t="shared" si="176"/>
        <v>05/28/19</v>
      </c>
      <c r="H2264" t="str">
        <f t="shared" si="177"/>
        <v/>
      </c>
      <c r="I2264" s="60" t="str">
        <f t="shared" si="178"/>
        <v/>
      </c>
      <c r="J2264" t="str">
        <f t="shared" si="179"/>
        <v/>
      </c>
      <c r="K2264" s="60" t="str">
        <f t="shared" si="180"/>
        <v/>
      </c>
      <c r="L2264" t="str">
        <f t="shared" si="181"/>
        <v/>
      </c>
    </row>
    <row r="2265" spans="1:12" x14ac:dyDescent="0.25">
      <c r="A2265" t="s">
        <v>2568</v>
      </c>
      <c r="G2265" t="str">
        <f t="shared" si="176"/>
        <v>05/28/19</v>
      </c>
      <c r="H2265" t="str">
        <f t="shared" si="177"/>
        <v/>
      </c>
      <c r="I2265" s="60" t="str">
        <f t="shared" si="178"/>
        <v/>
      </c>
      <c r="J2265" t="str">
        <f t="shared" si="179"/>
        <v/>
      </c>
      <c r="K2265" s="60" t="str">
        <f t="shared" si="180"/>
        <v/>
      </c>
      <c r="L2265" t="str">
        <f t="shared" si="181"/>
        <v/>
      </c>
    </row>
    <row r="2266" spans="1:12" x14ac:dyDescent="0.25">
      <c r="G2266" t="str">
        <f t="shared" si="176"/>
        <v>05/28/19</v>
      </c>
      <c r="H2266" t="str">
        <f t="shared" si="177"/>
        <v/>
      </c>
      <c r="I2266" s="60" t="str">
        <f t="shared" si="178"/>
        <v/>
      </c>
      <c r="J2266" t="str">
        <f t="shared" si="179"/>
        <v/>
      </c>
      <c r="K2266" s="60" t="str">
        <f t="shared" si="180"/>
        <v/>
      </c>
      <c r="L2266" t="str">
        <f t="shared" si="181"/>
        <v/>
      </c>
    </row>
    <row r="2267" spans="1:12" x14ac:dyDescent="0.25">
      <c r="A2267" t="s">
        <v>2569</v>
      </c>
      <c r="G2267" t="str">
        <f t="shared" si="176"/>
        <v>05/29/19</v>
      </c>
      <c r="H2267" t="str">
        <f t="shared" si="177"/>
        <v/>
      </c>
      <c r="I2267" s="60" t="str">
        <f t="shared" si="178"/>
        <v/>
      </c>
      <c r="J2267" t="str">
        <f t="shared" si="179"/>
        <v/>
      </c>
      <c r="K2267" s="60" t="str">
        <f t="shared" si="180"/>
        <v/>
      </c>
      <c r="L2267" t="str">
        <f t="shared" si="181"/>
        <v/>
      </c>
    </row>
    <row r="2268" spans="1:12" x14ac:dyDescent="0.25">
      <c r="G2268" t="str">
        <f t="shared" si="176"/>
        <v>05/29/19</v>
      </c>
      <c r="H2268" t="str">
        <f t="shared" si="177"/>
        <v/>
      </c>
      <c r="I2268" s="60" t="str">
        <f t="shared" si="178"/>
        <v/>
      </c>
      <c r="J2268" t="str">
        <f t="shared" si="179"/>
        <v/>
      </c>
      <c r="K2268" s="60" t="str">
        <f t="shared" si="180"/>
        <v/>
      </c>
      <c r="L2268" t="str">
        <f t="shared" si="181"/>
        <v/>
      </c>
    </row>
    <row r="2269" spans="1:12" x14ac:dyDescent="0.25">
      <c r="A2269" t="s">
        <v>2570</v>
      </c>
      <c r="G2269" t="str">
        <f t="shared" si="176"/>
        <v>05/29/19</v>
      </c>
      <c r="H2269" t="str">
        <f t="shared" si="177"/>
        <v>Washington Nationals</v>
      </c>
      <c r="I2269" s="60">
        <f t="shared" si="178"/>
        <v>14</v>
      </c>
      <c r="J2269" t="str">
        <f t="shared" si="179"/>
        <v>Atlanta Braves</v>
      </c>
      <c r="K2269" s="60">
        <f t="shared" si="180"/>
        <v>4</v>
      </c>
      <c r="L2269">
        <f t="shared" si="181"/>
        <v>10</v>
      </c>
    </row>
    <row r="2270" spans="1:12" x14ac:dyDescent="0.25">
      <c r="G2270" t="str">
        <f t="shared" si="176"/>
        <v>05/29/19</v>
      </c>
      <c r="H2270" t="str">
        <f t="shared" si="177"/>
        <v/>
      </c>
      <c r="I2270" s="60" t="str">
        <f t="shared" si="178"/>
        <v/>
      </c>
      <c r="J2270" t="str">
        <f t="shared" si="179"/>
        <v/>
      </c>
      <c r="K2270" s="60" t="str">
        <f t="shared" si="180"/>
        <v/>
      </c>
      <c r="L2270" t="str">
        <f t="shared" si="181"/>
        <v/>
      </c>
    </row>
    <row r="2271" spans="1:12" x14ac:dyDescent="0.25">
      <c r="A2271" t="s">
        <v>2571</v>
      </c>
      <c r="G2271" t="str">
        <f t="shared" si="176"/>
        <v>05/29/19</v>
      </c>
      <c r="H2271" t="str">
        <f t="shared" si="177"/>
        <v>Detroit Tigers</v>
      </c>
      <c r="I2271" s="60">
        <f t="shared" si="178"/>
        <v>4</v>
      </c>
      <c r="J2271" t="str">
        <f t="shared" si="179"/>
        <v>Baltimore Orioles</v>
      </c>
      <c r="K2271" s="60">
        <f t="shared" si="180"/>
        <v>2</v>
      </c>
      <c r="L2271">
        <f t="shared" si="181"/>
        <v>2</v>
      </c>
    </row>
    <row r="2272" spans="1:12" x14ac:dyDescent="0.25">
      <c r="G2272" t="str">
        <f t="shared" si="176"/>
        <v>05/29/19</v>
      </c>
      <c r="H2272" t="str">
        <f t="shared" si="177"/>
        <v/>
      </c>
      <c r="I2272" s="60" t="str">
        <f t="shared" si="178"/>
        <v/>
      </c>
      <c r="J2272" t="str">
        <f t="shared" si="179"/>
        <v/>
      </c>
      <c r="K2272" s="60" t="str">
        <f t="shared" si="180"/>
        <v/>
      </c>
      <c r="L2272" t="str">
        <f t="shared" si="181"/>
        <v/>
      </c>
    </row>
    <row r="2273" spans="1:12" x14ac:dyDescent="0.25">
      <c r="A2273" t="s">
        <v>2572</v>
      </c>
      <c r="G2273" t="str">
        <f t="shared" si="176"/>
        <v>05/29/19</v>
      </c>
      <c r="H2273" t="str">
        <f t="shared" si="177"/>
        <v>Cleveland Indians</v>
      </c>
      <c r="I2273" s="60">
        <f t="shared" si="178"/>
        <v>14</v>
      </c>
      <c r="J2273" t="str">
        <f t="shared" si="179"/>
        <v>Boston Red Sox</v>
      </c>
      <c r="K2273" s="60">
        <f t="shared" si="180"/>
        <v>9</v>
      </c>
      <c r="L2273">
        <f t="shared" si="181"/>
        <v>5</v>
      </c>
    </row>
    <row r="2274" spans="1:12" x14ac:dyDescent="0.25">
      <c r="G2274" t="str">
        <f t="shared" ref="G2274:G2337" si="182">IF(ISNUMBER(MATCH(IFERROR(LEFT(A2274,SEARCH(",",A2274)-1),""),$G$220:$M$220,0)),TEXT(MID(A2274,SEARCH(",",A2274)+2,LEN(A2274)),"mm/dd/yy"),G2273)</f>
        <v>05/29/19</v>
      </c>
      <c r="H2274" t="str">
        <f t="shared" si="177"/>
        <v/>
      </c>
      <c r="I2274" s="60" t="str">
        <f t="shared" si="178"/>
        <v/>
      </c>
      <c r="J2274" t="str">
        <f t="shared" si="179"/>
        <v/>
      </c>
      <c r="K2274" s="60" t="str">
        <f t="shared" si="180"/>
        <v/>
      </c>
      <c r="L2274" t="str">
        <f t="shared" si="181"/>
        <v/>
      </c>
    </row>
    <row r="2275" spans="1:12" x14ac:dyDescent="0.25">
      <c r="A2275" t="s">
        <v>2573</v>
      </c>
      <c r="G2275" t="str">
        <f t="shared" si="182"/>
        <v>05/29/19</v>
      </c>
      <c r="H2275" t="str">
        <f t="shared" si="177"/>
        <v>Kansas City Royals</v>
      </c>
      <c r="I2275" s="60">
        <f t="shared" si="178"/>
        <v>7</v>
      </c>
      <c r="J2275" t="str">
        <f t="shared" si="179"/>
        <v>Chicago White Sox</v>
      </c>
      <c r="K2275" s="60">
        <f t="shared" si="180"/>
        <v>8</v>
      </c>
      <c r="L2275">
        <f t="shared" si="181"/>
        <v>-1</v>
      </c>
    </row>
    <row r="2276" spans="1:12" x14ac:dyDescent="0.25">
      <c r="G2276" t="str">
        <f t="shared" si="182"/>
        <v>05/29/19</v>
      </c>
      <c r="H2276" t="str">
        <f t="shared" si="177"/>
        <v/>
      </c>
      <c r="I2276" s="60" t="str">
        <f t="shared" si="178"/>
        <v/>
      </c>
      <c r="J2276" t="str">
        <f t="shared" si="179"/>
        <v/>
      </c>
      <c r="K2276" s="60" t="str">
        <f t="shared" si="180"/>
        <v/>
      </c>
      <c r="L2276" t="str">
        <f t="shared" si="181"/>
        <v/>
      </c>
    </row>
    <row r="2277" spans="1:12" x14ac:dyDescent="0.25">
      <c r="A2277" t="s">
        <v>2574</v>
      </c>
      <c r="G2277" t="str">
        <f t="shared" si="182"/>
        <v>05/29/19</v>
      </c>
      <c r="H2277" t="str">
        <f t="shared" si="177"/>
        <v>Pittsburgh Pirates</v>
      </c>
      <c r="I2277" s="60">
        <f t="shared" si="178"/>
        <v>7</v>
      </c>
      <c r="J2277" t="str">
        <f t="shared" si="179"/>
        <v>Cincinnati Reds</v>
      </c>
      <c r="K2277" s="60">
        <f t="shared" si="180"/>
        <v>2</v>
      </c>
      <c r="L2277">
        <f t="shared" si="181"/>
        <v>5</v>
      </c>
    </row>
    <row r="2278" spans="1:12" x14ac:dyDescent="0.25">
      <c r="G2278" t="str">
        <f t="shared" si="182"/>
        <v>05/29/19</v>
      </c>
      <c r="H2278" t="str">
        <f t="shared" si="177"/>
        <v/>
      </c>
      <c r="I2278" s="60" t="str">
        <f t="shared" si="178"/>
        <v/>
      </c>
      <c r="J2278" t="str">
        <f t="shared" si="179"/>
        <v/>
      </c>
      <c r="K2278" s="60" t="str">
        <f t="shared" si="180"/>
        <v/>
      </c>
      <c r="L2278" t="str">
        <f t="shared" si="181"/>
        <v/>
      </c>
    </row>
    <row r="2279" spans="1:12" x14ac:dyDescent="0.25">
      <c r="A2279" t="s">
        <v>2575</v>
      </c>
      <c r="G2279" t="str">
        <f t="shared" si="182"/>
        <v>05/29/19</v>
      </c>
      <c r="H2279" t="str">
        <f t="shared" si="177"/>
        <v>Arizona D'Backs</v>
      </c>
      <c r="I2279" s="60">
        <f t="shared" si="178"/>
        <v>4</v>
      </c>
      <c r="J2279" t="str">
        <f t="shared" si="179"/>
        <v>Colorado Rockies</v>
      </c>
      <c r="K2279" s="60">
        <f t="shared" si="180"/>
        <v>5</v>
      </c>
      <c r="L2279">
        <f t="shared" si="181"/>
        <v>-1</v>
      </c>
    </row>
    <row r="2280" spans="1:12" x14ac:dyDescent="0.25">
      <c r="G2280" t="str">
        <f t="shared" si="182"/>
        <v>05/29/19</v>
      </c>
      <c r="H2280" t="str">
        <f t="shared" si="177"/>
        <v/>
      </c>
      <c r="I2280" s="60" t="str">
        <f t="shared" si="178"/>
        <v/>
      </c>
      <c r="J2280" t="str">
        <f t="shared" si="179"/>
        <v/>
      </c>
      <c r="K2280" s="60" t="str">
        <f t="shared" si="180"/>
        <v/>
      </c>
      <c r="L2280" t="str">
        <f t="shared" si="181"/>
        <v/>
      </c>
    </row>
    <row r="2281" spans="1:12" x14ac:dyDescent="0.25">
      <c r="A2281" t="s">
        <v>2576</v>
      </c>
      <c r="G2281" t="str">
        <f t="shared" si="182"/>
        <v>05/29/19</v>
      </c>
      <c r="H2281" t="str">
        <f t="shared" si="177"/>
        <v>Chicago Cubs</v>
      </c>
      <c r="I2281" s="60">
        <f t="shared" si="178"/>
        <v>2</v>
      </c>
      <c r="J2281" t="str">
        <f t="shared" si="179"/>
        <v>Houston Astros</v>
      </c>
      <c r="K2281" s="60">
        <f t="shared" si="180"/>
        <v>1</v>
      </c>
      <c r="L2281">
        <f t="shared" si="181"/>
        <v>1</v>
      </c>
    </row>
    <row r="2282" spans="1:12" x14ac:dyDescent="0.25">
      <c r="G2282" t="str">
        <f t="shared" si="182"/>
        <v>05/29/19</v>
      </c>
      <c r="H2282" t="str">
        <f t="shared" si="177"/>
        <v/>
      </c>
      <c r="I2282" s="60" t="str">
        <f t="shared" si="178"/>
        <v/>
      </c>
      <c r="J2282" t="str">
        <f t="shared" si="179"/>
        <v/>
      </c>
      <c r="K2282" s="60" t="str">
        <f t="shared" si="180"/>
        <v/>
      </c>
      <c r="L2282" t="str">
        <f t="shared" si="181"/>
        <v/>
      </c>
    </row>
    <row r="2283" spans="1:12" x14ac:dyDescent="0.25">
      <c r="A2283" t="s">
        <v>2577</v>
      </c>
      <c r="G2283" t="str">
        <f t="shared" si="182"/>
        <v>05/29/19</v>
      </c>
      <c r="H2283" t="str">
        <f t="shared" si="177"/>
        <v>New York Mets</v>
      </c>
      <c r="I2283" s="60">
        <f t="shared" si="178"/>
        <v>8</v>
      </c>
      <c r="J2283" t="str">
        <f t="shared" si="179"/>
        <v>Los Angeles Dodgers</v>
      </c>
      <c r="K2283" s="60">
        <f t="shared" si="180"/>
        <v>9</v>
      </c>
      <c r="L2283">
        <f t="shared" si="181"/>
        <v>-1</v>
      </c>
    </row>
    <row r="2284" spans="1:12" x14ac:dyDescent="0.25">
      <c r="G2284" t="str">
        <f t="shared" si="182"/>
        <v>05/29/19</v>
      </c>
      <c r="H2284" t="str">
        <f t="shared" si="177"/>
        <v/>
      </c>
      <c r="I2284" s="60" t="str">
        <f t="shared" si="178"/>
        <v/>
      </c>
      <c r="J2284" t="str">
        <f t="shared" si="179"/>
        <v/>
      </c>
      <c r="K2284" s="60" t="str">
        <f t="shared" si="180"/>
        <v/>
      </c>
      <c r="L2284" t="str">
        <f t="shared" si="181"/>
        <v/>
      </c>
    </row>
    <row r="2285" spans="1:12" x14ac:dyDescent="0.25">
      <c r="A2285" t="s">
        <v>2578</v>
      </c>
      <c r="G2285" t="str">
        <f t="shared" si="182"/>
        <v>05/29/19</v>
      </c>
      <c r="H2285" t="str">
        <f t="shared" si="177"/>
        <v>San Francisco Giants</v>
      </c>
      <c r="I2285" s="60">
        <f t="shared" si="178"/>
        <v>2</v>
      </c>
      <c r="J2285" t="str">
        <f t="shared" si="179"/>
        <v>Miami Marlins</v>
      </c>
      <c r="K2285" s="60">
        <f t="shared" si="180"/>
        <v>4</v>
      </c>
      <c r="L2285">
        <f t="shared" si="181"/>
        <v>-2</v>
      </c>
    </row>
    <row r="2286" spans="1:12" x14ac:dyDescent="0.25">
      <c r="G2286" t="str">
        <f t="shared" si="182"/>
        <v>05/29/19</v>
      </c>
      <c r="H2286" t="str">
        <f t="shared" si="177"/>
        <v/>
      </c>
      <c r="I2286" s="60" t="str">
        <f t="shared" si="178"/>
        <v/>
      </c>
      <c r="J2286" t="str">
        <f t="shared" si="179"/>
        <v/>
      </c>
      <c r="K2286" s="60" t="str">
        <f t="shared" si="180"/>
        <v/>
      </c>
      <c r="L2286" t="str">
        <f t="shared" si="181"/>
        <v/>
      </c>
    </row>
    <row r="2287" spans="1:12" x14ac:dyDescent="0.25">
      <c r="A2287" t="s">
        <v>2579</v>
      </c>
      <c r="G2287" t="str">
        <f t="shared" si="182"/>
        <v>05/29/19</v>
      </c>
      <c r="H2287" t="str">
        <f t="shared" si="177"/>
        <v>San Diego Padres</v>
      </c>
      <c r="I2287" s="60">
        <f t="shared" si="178"/>
        <v>0</v>
      </c>
      <c r="J2287" t="str">
        <f t="shared" si="179"/>
        <v>New York Yankees</v>
      </c>
      <c r="K2287" s="60">
        <f t="shared" si="180"/>
        <v>7</v>
      </c>
      <c r="L2287">
        <f t="shared" si="181"/>
        <v>-7</v>
      </c>
    </row>
    <row r="2288" spans="1:12" x14ac:dyDescent="0.25">
      <c r="G2288" t="str">
        <f t="shared" si="182"/>
        <v>05/29/19</v>
      </c>
      <c r="H2288" t="str">
        <f t="shared" si="177"/>
        <v/>
      </c>
      <c r="I2288" s="60" t="str">
        <f t="shared" si="178"/>
        <v/>
      </c>
      <c r="J2288" t="str">
        <f t="shared" si="179"/>
        <v/>
      </c>
      <c r="K2288" s="60" t="str">
        <f t="shared" si="180"/>
        <v/>
      </c>
      <c r="L2288" t="str">
        <f t="shared" si="181"/>
        <v/>
      </c>
    </row>
    <row r="2289" spans="1:12" x14ac:dyDescent="0.25">
      <c r="A2289" t="s">
        <v>2580</v>
      </c>
      <c r="G2289" t="str">
        <f t="shared" si="182"/>
        <v>05/29/19</v>
      </c>
      <c r="H2289" t="str">
        <f t="shared" si="177"/>
        <v>Los Angeles Angels</v>
      </c>
      <c r="I2289" s="60">
        <f t="shared" si="178"/>
        <v>12</v>
      </c>
      <c r="J2289" t="str">
        <f t="shared" si="179"/>
        <v>Oakland Athletics</v>
      </c>
      <c r="K2289" s="60">
        <f t="shared" si="180"/>
        <v>7</v>
      </c>
      <c r="L2289">
        <f t="shared" si="181"/>
        <v>5</v>
      </c>
    </row>
    <row r="2290" spans="1:12" x14ac:dyDescent="0.25">
      <c r="G2290" t="str">
        <f t="shared" si="182"/>
        <v>05/29/19</v>
      </c>
      <c r="H2290" t="str">
        <f t="shared" si="177"/>
        <v/>
      </c>
      <c r="I2290" s="60" t="str">
        <f t="shared" si="178"/>
        <v/>
      </c>
      <c r="J2290" t="str">
        <f t="shared" si="179"/>
        <v/>
      </c>
      <c r="K2290" s="60" t="str">
        <f t="shared" si="180"/>
        <v/>
      </c>
      <c r="L2290" t="str">
        <f t="shared" si="181"/>
        <v/>
      </c>
    </row>
    <row r="2291" spans="1:12" x14ac:dyDescent="0.25">
      <c r="A2291" t="s">
        <v>2581</v>
      </c>
      <c r="G2291" t="str">
        <f t="shared" si="182"/>
        <v>05/29/19</v>
      </c>
      <c r="H2291" t="str">
        <f t="shared" si="177"/>
        <v>St. Louis Cardinals</v>
      </c>
      <c r="I2291" s="60">
        <f t="shared" si="178"/>
        <v>4</v>
      </c>
      <c r="J2291" t="str">
        <f t="shared" si="179"/>
        <v>Philadelphia Phillies</v>
      </c>
      <c r="K2291" s="60">
        <f t="shared" si="180"/>
        <v>11</v>
      </c>
      <c r="L2291">
        <f t="shared" si="181"/>
        <v>-7</v>
      </c>
    </row>
    <row r="2292" spans="1:12" x14ac:dyDescent="0.25">
      <c r="G2292" t="str">
        <f t="shared" si="182"/>
        <v>05/29/19</v>
      </c>
      <c r="H2292" t="str">
        <f t="shared" si="177"/>
        <v/>
      </c>
      <c r="I2292" s="60" t="str">
        <f t="shared" si="178"/>
        <v/>
      </c>
      <c r="J2292" t="str">
        <f t="shared" si="179"/>
        <v/>
      </c>
      <c r="K2292" s="60" t="str">
        <f t="shared" si="180"/>
        <v/>
      </c>
      <c r="L2292" t="str">
        <f t="shared" si="181"/>
        <v/>
      </c>
    </row>
    <row r="2293" spans="1:12" x14ac:dyDescent="0.25">
      <c r="A2293" t="s">
        <v>2582</v>
      </c>
      <c r="G2293" t="str">
        <f t="shared" si="182"/>
        <v>05/29/19</v>
      </c>
      <c r="H2293" t="str">
        <f t="shared" si="177"/>
        <v>Texas Rangers</v>
      </c>
      <c r="I2293" s="60">
        <f t="shared" si="178"/>
        <v>8</v>
      </c>
      <c r="J2293" t="str">
        <f t="shared" si="179"/>
        <v>Seattle Mariners</v>
      </c>
      <c r="K2293" s="60">
        <f t="shared" si="180"/>
        <v>7</v>
      </c>
      <c r="L2293">
        <f t="shared" si="181"/>
        <v>1</v>
      </c>
    </row>
    <row r="2294" spans="1:12" x14ac:dyDescent="0.25">
      <c r="G2294" t="str">
        <f t="shared" si="182"/>
        <v>05/29/19</v>
      </c>
      <c r="H2294" t="str">
        <f t="shared" si="177"/>
        <v/>
      </c>
      <c r="I2294" s="60" t="str">
        <f t="shared" si="178"/>
        <v/>
      </c>
      <c r="J2294" t="str">
        <f t="shared" si="179"/>
        <v/>
      </c>
      <c r="K2294" s="60" t="str">
        <f t="shared" si="180"/>
        <v/>
      </c>
      <c r="L2294" t="str">
        <f t="shared" si="181"/>
        <v/>
      </c>
    </row>
    <row r="2295" spans="1:12" x14ac:dyDescent="0.25">
      <c r="A2295" t="s">
        <v>2583</v>
      </c>
      <c r="G2295" t="str">
        <f t="shared" si="182"/>
        <v>05/29/19</v>
      </c>
      <c r="H2295" t="str">
        <f t="shared" si="177"/>
        <v>Toronto Blue Jays</v>
      </c>
      <c r="I2295" s="60">
        <f t="shared" si="178"/>
        <v>3</v>
      </c>
      <c r="J2295" t="str">
        <f t="shared" si="179"/>
        <v>Tampa Bay Rays</v>
      </c>
      <c r="K2295" s="60">
        <f t="shared" si="180"/>
        <v>4</v>
      </c>
      <c r="L2295">
        <f t="shared" si="181"/>
        <v>-1</v>
      </c>
    </row>
    <row r="2296" spans="1:12" x14ac:dyDescent="0.25">
      <c r="G2296" t="str">
        <f t="shared" si="182"/>
        <v>05/29/19</v>
      </c>
      <c r="H2296" t="str">
        <f t="shared" si="177"/>
        <v/>
      </c>
      <c r="I2296" s="60" t="str">
        <f t="shared" si="178"/>
        <v/>
      </c>
      <c r="J2296" t="str">
        <f t="shared" si="179"/>
        <v/>
      </c>
      <c r="K2296" s="60" t="str">
        <f t="shared" si="180"/>
        <v/>
      </c>
      <c r="L2296" t="str">
        <f t="shared" si="181"/>
        <v/>
      </c>
    </row>
    <row r="2297" spans="1:12" x14ac:dyDescent="0.25">
      <c r="A2297" t="s">
        <v>2584</v>
      </c>
      <c r="G2297" t="str">
        <f t="shared" si="182"/>
        <v>05/29/19</v>
      </c>
      <c r="H2297" t="str">
        <f t="shared" si="177"/>
        <v/>
      </c>
      <c r="I2297" s="60" t="str">
        <f t="shared" si="178"/>
        <v/>
      </c>
      <c r="J2297" t="str">
        <f t="shared" si="179"/>
        <v/>
      </c>
      <c r="K2297" s="60" t="str">
        <f t="shared" si="180"/>
        <v/>
      </c>
      <c r="L2297" t="str">
        <f t="shared" si="181"/>
        <v/>
      </c>
    </row>
    <row r="2298" spans="1:12" x14ac:dyDescent="0.25">
      <c r="G2298" t="str">
        <f t="shared" si="182"/>
        <v>05/29/19</v>
      </c>
      <c r="H2298" t="str">
        <f t="shared" si="177"/>
        <v/>
      </c>
      <c r="I2298" s="60" t="str">
        <f t="shared" si="178"/>
        <v/>
      </c>
      <c r="J2298" t="str">
        <f t="shared" si="179"/>
        <v/>
      </c>
      <c r="K2298" s="60" t="str">
        <f t="shared" si="180"/>
        <v/>
      </c>
      <c r="L2298" t="str">
        <f t="shared" si="181"/>
        <v/>
      </c>
    </row>
    <row r="2299" spans="1:12" x14ac:dyDescent="0.25">
      <c r="A2299" t="s">
        <v>2585</v>
      </c>
      <c r="G2299" t="str">
        <f t="shared" si="182"/>
        <v>05/30/19</v>
      </c>
      <c r="H2299" t="str">
        <f t="shared" si="177"/>
        <v/>
      </c>
      <c r="I2299" s="60" t="str">
        <f t="shared" si="178"/>
        <v/>
      </c>
      <c r="J2299" t="str">
        <f t="shared" si="179"/>
        <v/>
      </c>
      <c r="K2299" s="60" t="str">
        <f t="shared" si="180"/>
        <v/>
      </c>
      <c r="L2299" t="str">
        <f t="shared" si="181"/>
        <v/>
      </c>
    </row>
    <row r="2300" spans="1:12" x14ac:dyDescent="0.25">
      <c r="G2300" t="str">
        <f t="shared" si="182"/>
        <v>05/30/19</v>
      </c>
      <c r="H2300" t="str">
        <f t="shared" si="177"/>
        <v/>
      </c>
      <c r="I2300" s="60" t="str">
        <f t="shared" si="178"/>
        <v/>
      </c>
      <c r="J2300" t="str">
        <f t="shared" si="179"/>
        <v/>
      </c>
      <c r="K2300" s="60" t="str">
        <f t="shared" si="180"/>
        <v/>
      </c>
      <c r="L2300" t="str">
        <f t="shared" si="181"/>
        <v/>
      </c>
    </row>
    <row r="2301" spans="1:12" x14ac:dyDescent="0.25">
      <c r="A2301" t="s">
        <v>2586</v>
      </c>
      <c r="G2301" t="str">
        <f t="shared" si="182"/>
        <v>05/30/19</v>
      </c>
      <c r="H2301" t="str">
        <f t="shared" si="177"/>
        <v>Cleveland Indians</v>
      </c>
      <c r="I2301" s="60">
        <f t="shared" si="178"/>
        <v>4</v>
      </c>
      <c r="J2301" t="str">
        <f t="shared" si="179"/>
        <v>Chicago White Sox</v>
      </c>
      <c r="K2301" s="60">
        <f t="shared" si="180"/>
        <v>10</v>
      </c>
      <c r="L2301">
        <f t="shared" si="181"/>
        <v>-6</v>
      </c>
    </row>
    <row r="2302" spans="1:12" x14ac:dyDescent="0.25">
      <c r="G2302" t="str">
        <f t="shared" si="182"/>
        <v>05/30/19</v>
      </c>
      <c r="H2302" t="str">
        <f t="shared" si="177"/>
        <v/>
      </c>
      <c r="I2302" s="60" t="str">
        <f t="shared" si="178"/>
        <v/>
      </c>
      <c r="J2302" t="str">
        <f t="shared" si="179"/>
        <v/>
      </c>
      <c r="K2302" s="60" t="str">
        <f t="shared" si="180"/>
        <v/>
      </c>
      <c r="L2302" t="str">
        <f t="shared" si="181"/>
        <v/>
      </c>
    </row>
    <row r="2303" spans="1:12" x14ac:dyDescent="0.25">
      <c r="A2303" t="s">
        <v>2587</v>
      </c>
      <c r="G2303" t="str">
        <f t="shared" si="182"/>
        <v>05/30/19</v>
      </c>
      <c r="H2303" t="str">
        <f t="shared" si="177"/>
        <v>Arizona D'Backs</v>
      </c>
      <c r="I2303" s="60">
        <f t="shared" si="178"/>
        <v>10</v>
      </c>
      <c r="J2303" t="str">
        <f t="shared" si="179"/>
        <v>Colorado Rockies</v>
      </c>
      <c r="K2303" s="60">
        <f t="shared" si="180"/>
        <v>11</v>
      </c>
      <c r="L2303">
        <f t="shared" si="181"/>
        <v>-1</v>
      </c>
    </row>
    <row r="2304" spans="1:12" x14ac:dyDescent="0.25">
      <c r="G2304" t="str">
        <f t="shared" si="182"/>
        <v>05/30/19</v>
      </c>
      <c r="H2304" t="str">
        <f t="shared" si="177"/>
        <v/>
      </c>
      <c r="I2304" s="60" t="str">
        <f t="shared" si="178"/>
        <v/>
      </c>
      <c r="J2304" t="str">
        <f t="shared" si="179"/>
        <v/>
      </c>
      <c r="K2304" s="60" t="str">
        <f t="shared" si="180"/>
        <v/>
      </c>
      <c r="L2304" t="str">
        <f t="shared" si="181"/>
        <v/>
      </c>
    </row>
    <row r="2305" spans="1:12" x14ac:dyDescent="0.25">
      <c r="A2305" t="s">
        <v>2588</v>
      </c>
      <c r="G2305" t="str">
        <f t="shared" si="182"/>
        <v>05/30/19</v>
      </c>
      <c r="H2305" t="str">
        <f t="shared" si="177"/>
        <v>New York Mets</v>
      </c>
      <c r="I2305" s="60">
        <f t="shared" si="178"/>
        <v>0</v>
      </c>
      <c r="J2305" t="str">
        <f t="shared" si="179"/>
        <v>Los Angeles Dodgers</v>
      </c>
      <c r="K2305" s="60">
        <f t="shared" si="180"/>
        <v>2</v>
      </c>
      <c r="L2305">
        <f t="shared" si="181"/>
        <v>-2</v>
      </c>
    </row>
    <row r="2306" spans="1:12" x14ac:dyDescent="0.25">
      <c r="G2306" t="str">
        <f t="shared" si="182"/>
        <v>05/30/19</v>
      </c>
      <c r="H2306" t="str">
        <f t="shared" si="177"/>
        <v/>
      </c>
      <c r="I2306" s="60" t="str">
        <f t="shared" si="178"/>
        <v/>
      </c>
      <c r="J2306" t="str">
        <f t="shared" si="179"/>
        <v/>
      </c>
      <c r="K2306" s="60" t="str">
        <f t="shared" si="180"/>
        <v/>
      </c>
      <c r="L2306" t="str">
        <f t="shared" si="181"/>
        <v/>
      </c>
    </row>
    <row r="2307" spans="1:12" x14ac:dyDescent="0.25">
      <c r="A2307" t="s">
        <v>2589</v>
      </c>
      <c r="G2307" t="str">
        <f t="shared" si="182"/>
        <v>05/30/19</v>
      </c>
      <c r="H2307" t="str">
        <f t="shared" si="177"/>
        <v>San Francisco Giants</v>
      </c>
      <c r="I2307" s="60">
        <f t="shared" si="178"/>
        <v>3</v>
      </c>
      <c r="J2307" t="str">
        <f t="shared" si="179"/>
        <v>Miami Marlins</v>
      </c>
      <c r="K2307" s="60">
        <f t="shared" si="180"/>
        <v>1</v>
      </c>
      <c r="L2307">
        <f t="shared" si="181"/>
        <v>2</v>
      </c>
    </row>
    <row r="2308" spans="1:12" x14ac:dyDescent="0.25">
      <c r="G2308" t="str">
        <f t="shared" si="182"/>
        <v>05/30/19</v>
      </c>
      <c r="H2308" t="str">
        <f t="shared" si="177"/>
        <v/>
      </c>
      <c r="I2308" s="60" t="str">
        <f t="shared" si="178"/>
        <v/>
      </c>
      <c r="J2308" t="str">
        <f t="shared" si="179"/>
        <v/>
      </c>
      <c r="K2308" s="60" t="str">
        <f t="shared" si="180"/>
        <v/>
      </c>
      <c r="L2308" t="str">
        <f t="shared" si="181"/>
        <v/>
      </c>
    </row>
    <row r="2309" spans="1:12" x14ac:dyDescent="0.25">
      <c r="A2309" t="s">
        <v>2590</v>
      </c>
      <c r="G2309" t="str">
        <f t="shared" si="182"/>
        <v>05/30/19</v>
      </c>
      <c r="H2309" t="str">
        <f t="shared" si="177"/>
        <v>St. Louis Cardinals</v>
      </c>
      <c r="I2309" s="60">
        <f t="shared" si="178"/>
        <v>5</v>
      </c>
      <c r="J2309" t="str">
        <f t="shared" si="179"/>
        <v>Philadelphia Phillies</v>
      </c>
      <c r="K2309" s="60">
        <f t="shared" si="180"/>
        <v>3</v>
      </c>
      <c r="L2309">
        <f t="shared" si="181"/>
        <v>2</v>
      </c>
    </row>
    <row r="2310" spans="1:12" x14ac:dyDescent="0.25">
      <c r="G2310" t="str">
        <f t="shared" si="182"/>
        <v>05/30/19</v>
      </c>
      <c r="H2310" t="str">
        <f t="shared" si="177"/>
        <v/>
      </c>
      <c r="I2310" s="60" t="str">
        <f t="shared" si="178"/>
        <v/>
      </c>
      <c r="J2310" t="str">
        <f t="shared" si="179"/>
        <v/>
      </c>
      <c r="K2310" s="60" t="str">
        <f t="shared" si="180"/>
        <v/>
      </c>
      <c r="L2310" t="str">
        <f t="shared" si="181"/>
        <v/>
      </c>
    </row>
    <row r="2311" spans="1:12" x14ac:dyDescent="0.25">
      <c r="A2311" t="s">
        <v>2591</v>
      </c>
      <c r="G2311" t="str">
        <f t="shared" si="182"/>
        <v>05/30/19</v>
      </c>
      <c r="H2311" t="str">
        <f t="shared" si="177"/>
        <v>Milwaukee Brewers</v>
      </c>
      <c r="I2311" s="60">
        <f t="shared" si="178"/>
        <v>11</v>
      </c>
      <c r="J2311" t="str">
        <f t="shared" si="179"/>
        <v>Pittsburgh Pirates</v>
      </c>
      <c r="K2311" s="60">
        <f t="shared" si="180"/>
        <v>5</v>
      </c>
      <c r="L2311">
        <f t="shared" si="181"/>
        <v>6</v>
      </c>
    </row>
    <row r="2312" spans="1:12" x14ac:dyDescent="0.25">
      <c r="G2312" t="str">
        <f t="shared" si="182"/>
        <v>05/30/19</v>
      </c>
      <c r="H2312" t="str">
        <f t="shared" si="177"/>
        <v/>
      </c>
      <c r="I2312" s="60" t="str">
        <f t="shared" si="178"/>
        <v/>
      </c>
      <c r="J2312" t="str">
        <f t="shared" si="179"/>
        <v/>
      </c>
      <c r="K2312" s="60" t="str">
        <f t="shared" si="180"/>
        <v/>
      </c>
      <c r="L2312" t="str">
        <f t="shared" si="181"/>
        <v/>
      </c>
    </row>
    <row r="2313" spans="1:12" x14ac:dyDescent="0.25">
      <c r="A2313" t="s">
        <v>2592</v>
      </c>
      <c r="G2313" t="str">
        <f t="shared" si="182"/>
        <v>05/30/19</v>
      </c>
      <c r="H2313" t="str">
        <f t="shared" si="177"/>
        <v>Los Angeles Angels</v>
      </c>
      <c r="I2313" s="60">
        <f t="shared" si="178"/>
        <v>9</v>
      </c>
      <c r="J2313" t="str">
        <f t="shared" si="179"/>
        <v>Seattle Mariners</v>
      </c>
      <c r="K2313" s="60">
        <f t="shared" si="180"/>
        <v>3</v>
      </c>
      <c r="L2313">
        <f t="shared" si="181"/>
        <v>6</v>
      </c>
    </row>
    <row r="2314" spans="1:12" x14ac:dyDescent="0.25">
      <c r="G2314" t="str">
        <f t="shared" si="182"/>
        <v>05/30/19</v>
      </c>
      <c r="H2314" t="str">
        <f t="shared" si="177"/>
        <v/>
      </c>
      <c r="I2314" s="60" t="str">
        <f t="shared" si="178"/>
        <v/>
      </c>
      <c r="J2314" t="str">
        <f t="shared" si="179"/>
        <v/>
      </c>
      <c r="K2314" s="60" t="str">
        <f t="shared" si="180"/>
        <v/>
      </c>
      <c r="L2314" t="str">
        <f t="shared" si="181"/>
        <v/>
      </c>
    </row>
    <row r="2315" spans="1:12" x14ac:dyDescent="0.25">
      <c r="A2315" t="s">
        <v>2593</v>
      </c>
      <c r="G2315" t="str">
        <f t="shared" si="182"/>
        <v>05/30/19</v>
      </c>
      <c r="H2315" t="str">
        <f t="shared" si="177"/>
        <v>Minnesota Twins</v>
      </c>
      <c r="I2315" s="60">
        <f t="shared" si="178"/>
        <v>3</v>
      </c>
      <c r="J2315" t="str">
        <f t="shared" si="179"/>
        <v>Tampa Bay Rays</v>
      </c>
      <c r="K2315" s="60">
        <f t="shared" si="180"/>
        <v>14</v>
      </c>
      <c r="L2315">
        <f t="shared" si="181"/>
        <v>-11</v>
      </c>
    </row>
    <row r="2316" spans="1:12" x14ac:dyDescent="0.25">
      <c r="G2316" t="str">
        <f t="shared" si="182"/>
        <v>05/30/19</v>
      </c>
      <c r="H2316" t="str">
        <f t="shared" si="177"/>
        <v/>
      </c>
      <c r="I2316" s="60" t="str">
        <f t="shared" si="178"/>
        <v/>
      </c>
      <c r="J2316" t="str">
        <f t="shared" si="179"/>
        <v/>
      </c>
      <c r="K2316" s="60" t="str">
        <f t="shared" si="180"/>
        <v/>
      </c>
      <c r="L2316" t="str">
        <f t="shared" si="181"/>
        <v/>
      </c>
    </row>
    <row r="2317" spans="1:12" x14ac:dyDescent="0.25">
      <c r="A2317" t="s">
        <v>2594</v>
      </c>
      <c r="G2317" t="str">
        <f t="shared" si="182"/>
        <v>05/30/19</v>
      </c>
      <c r="H2317" t="str">
        <f t="shared" si="177"/>
        <v>Kansas City Royals</v>
      </c>
      <c r="I2317" s="60">
        <f t="shared" si="178"/>
        <v>4</v>
      </c>
      <c r="J2317" t="str">
        <f t="shared" si="179"/>
        <v>Texas Rangers</v>
      </c>
      <c r="K2317" s="60">
        <f t="shared" si="180"/>
        <v>2</v>
      </c>
      <c r="L2317">
        <f t="shared" si="181"/>
        <v>2</v>
      </c>
    </row>
    <row r="2318" spans="1:12" x14ac:dyDescent="0.25">
      <c r="G2318" t="str">
        <f t="shared" si="182"/>
        <v>05/30/19</v>
      </c>
      <c r="H2318" t="str">
        <f t="shared" si="177"/>
        <v/>
      </c>
      <c r="I2318" s="60" t="str">
        <f t="shared" si="178"/>
        <v/>
      </c>
      <c r="J2318" t="str">
        <f t="shared" si="179"/>
        <v/>
      </c>
      <c r="K2318" s="60" t="str">
        <f t="shared" si="180"/>
        <v/>
      </c>
      <c r="L2318" t="str">
        <f t="shared" si="181"/>
        <v/>
      </c>
    </row>
    <row r="2319" spans="1:12" x14ac:dyDescent="0.25">
      <c r="A2319" t="s">
        <v>2595</v>
      </c>
      <c r="G2319" t="str">
        <f t="shared" si="182"/>
        <v>05/30/19</v>
      </c>
      <c r="H2319" t="str">
        <f t="shared" si="177"/>
        <v/>
      </c>
      <c r="I2319" s="60" t="str">
        <f t="shared" si="178"/>
        <v/>
      </c>
      <c r="J2319" t="str">
        <f t="shared" si="179"/>
        <v/>
      </c>
      <c r="K2319" s="60" t="str">
        <f t="shared" si="180"/>
        <v/>
      </c>
      <c r="L2319" t="str">
        <f t="shared" si="181"/>
        <v/>
      </c>
    </row>
    <row r="2320" spans="1:12" x14ac:dyDescent="0.25">
      <c r="G2320" t="str">
        <f t="shared" si="182"/>
        <v>05/30/19</v>
      </c>
      <c r="H2320" t="str">
        <f t="shared" ref="H2320:H2383" si="183">IFERROR(LEFT(MID(A2320,1,SEARCH("@",A2320)-2),SEARCH("(",A2320)-2),"")</f>
        <v/>
      </c>
      <c r="I2320" s="60" t="str">
        <f t="shared" ref="I2320:I2383" si="184">IFERROR(VALUE(MID(A2320,SEARCH("(",A2320)+1,SEARCH(")",A2320)-SEARCH("(",A2320)-1)),"")</f>
        <v/>
      </c>
      <c r="J2320" t="str">
        <f t="shared" ref="J2320:J2383" si="185">IFERROR(MID(A2320,SEARCH("@",A2320)+2,SEARCH("(",A2320,SEARCH("@",A2320))-SEARCH("@",A2320)-3),"")</f>
        <v/>
      </c>
      <c r="K2320" s="60" t="str">
        <f t="shared" ref="K2320:K2383" si="186">IFERROR(VALUE(MID(A2320,SEARCH(J2320,A2320)+LEN(J2320)+2,(SEARCH(")",A2320,SEARCH("@",A2320))-SEARCH("(",A2320,SEARCH("@",A2320))-1))),"")</f>
        <v/>
      </c>
      <c r="L2320" t="str">
        <f t="shared" ref="L2320:L2383" si="187">IFERROR(I2320-K2320,"")</f>
        <v/>
      </c>
    </row>
    <row r="2321" spans="1:12" x14ac:dyDescent="0.25">
      <c r="A2321" t="s">
        <v>2596</v>
      </c>
      <c r="G2321" t="str">
        <f t="shared" si="182"/>
        <v>05/31/19</v>
      </c>
      <c r="H2321" t="str">
        <f t="shared" si="183"/>
        <v/>
      </c>
      <c r="I2321" s="60" t="str">
        <f t="shared" si="184"/>
        <v/>
      </c>
      <c r="J2321" t="str">
        <f t="shared" si="185"/>
        <v/>
      </c>
      <c r="K2321" s="60" t="str">
        <f t="shared" si="186"/>
        <v/>
      </c>
      <c r="L2321" t="str">
        <f t="shared" si="187"/>
        <v/>
      </c>
    </row>
    <row r="2322" spans="1:12" x14ac:dyDescent="0.25">
      <c r="G2322" t="str">
        <f t="shared" si="182"/>
        <v>05/31/19</v>
      </c>
      <c r="H2322" t="str">
        <f t="shared" si="183"/>
        <v/>
      </c>
      <c r="I2322" s="60" t="str">
        <f t="shared" si="184"/>
        <v/>
      </c>
      <c r="J2322" t="str">
        <f t="shared" si="185"/>
        <v/>
      </c>
      <c r="K2322" s="60" t="str">
        <f t="shared" si="186"/>
        <v/>
      </c>
      <c r="L2322" t="str">
        <f t="shared" si="187"/>
        <v/>
      </c>
    </row>
    <row r="2323" spans="1:12" x14ac:dyDescent="0.25">
      <c r="A2323" t="s">
        <v>2597</v>
      </c>
      <c r="G2323" t="str">
        <f t="shared" si="182"/>
        <v>05/31/19</v>
      </c>
      <c r="H2323" t="str">
        <f t="shared" si="183"/>
        <v>New York Mets</v>
      </c>
      <c r="I2323" s="60">
        <f t="shared" si="184"/>
        <v>5</v>
      </c>
      <c r="J2323" t="str">
        <f t="shared" si="185"/>
        <v>Arizona D'Backs</v>
      </c>
      <c r="K2323" s="60">
        <f t="shared" si="186"/>
        <v>4</v>
      </c>
      <c r="L2323">
        <f t="shared" si="187"/>
        <v>1</v>
      </c>
    </row>
    <row r="2324" spans="1:12" x14ac:dyDescent="0.25">
      <c r="G2324" t="str">
        <f t="shared" si="182"/>
        <v>05/31/19</v>
      </c>
      <c r="H2324" t="str">
        <f t="shared" si="183"/>
        <v/>
      </c>
      <c r="I2324" s="60" t="str">
        <f t="shared" si="184"/>
        <v/>
      </c>
      <c r="J2324" t="str">
        <f t="shared" si="185"/>
        <v/>
      </c>
      <c r="K2324" s="60" t="str">
        <f t="shared" si="186"/>
        <v/>
      </c>
      <c r="L2324" t="str">
        <f t="shared" si="187"/>
        <v/>
      </c>
    </row>
    <row r="2325" spans="1:12" x14ac:dyDescent="0.25">
      <c r="A2325" t="s">
        <v>2598</v>
      </c>
      <c r="G2325" t="str">
        <f t="shared" si="182"/>
        <v>05/31/19</v>
      </c>
      <c r="H2325" t="str">
        <f t="shared" si="183"/>
        <v>Detroit Tigers</v>
      </c>
      <c r="I2325" s="60">
        <f t="shared" si="184"/>
        <v>8</v>
      </c>
      <c r="J2325" t="str">
        <f t="shared" si="185"/>
        <v>Atlanta Braves</v>
      </c>
      <c r="K2325" s="60">
        <f t="shared" si="186"/>
        <v>2</v>
      </c>
      <c r="L2325">
        <f t="shared" si="187"/>
        <v>6</v>
      </c>
    </row>
    <row r="2326" spans="1:12" x14ac:dyDescent="0.25">
      <c r="G2326" t="str">
        <f t="shared" si="182"/>
        <v>05/31/19</v>
      </c>
      <c r="H2326" t="str">
        <f t="shared" si="183"/>
        <v/>
      </c>
      <c r="I2326" s="60" t="str">
        <f t="shared" si="184"/>
        <v/>
      </c>
      <c r="J2326" t="str">
        <f t="shared" si="185"/>
        <v/>
      </c>
      <c r="K2326" s="60" t="str">
        <f t="shared" si="186"/>
        <v/>
      </c>
      <c r="L2326" t="str">
        <f t="shared" si="187"/>
        <v/>
      </c>
    </row>
    <row r="2327" spans="1:12" x14ac:dyDescent="0.25">
      <c r="A2327" t="s">
        <v>2599</v>
      </c>
      <c r="G2327" t="str">
        <f t="shared" si="182"/>
        <v>05/31/19</v>
      </c>
      <c r="H2327" t="str">
        <f t="shared" si="183"/>
        <v>San Francisco Giants</v>
      </c>
      <c r="I2327" s="60">
        <f t="shared" si="184"/>
        <v>6</v>
      </c>
      <c r="J2327" t="str">
        <f t="shared" si="185"/>
        <v>Baltimore Orioles</v>
      </c>
      <c r="K2327" s="60">
        <f t="shared" si="186"/>
        <v>9</v>
      </c>
      <c r="L2327">
        <f t="shared" si="187"/>
        <v>-3</v>
      </c>
    </row>
    <row r="2328" spans="1:12" x14ac:dyDescent="0.25">
      <c r="G2328" t="str">
        <f t="shared" si="182"/>
        <v>05/31/19</v>
      </c>
      <c r="H2328" t="str">
        <f t="shared" si="183"/>
        <v/>
      </c>
      <c r="I2328" s="60" t="str">
        <f t="shared" si="184"/>
        <v/>
      </c>
      <c r="J2328" t="str">
        <f t="shared" si="185"/>
        <v/>
      </c>
      <c r="K2328" s="60" t="str">
        <f t="shared" si="186"/>
        <v/>
      </c>
      <c r="L2328" t="str">
        <f t="shared" si="187"/>
        <v/>
      </c>
    </row>
    <row r="2329" spans="1:12" x14ac:dyDescent="0.25">
      <c r="A2329" t="s">
        <v>2600</v>
      </c>
      <c r="G2329" t="str">
        <f t="shared" si="182"/>
        <v>05/31/19</v>
      </c>
      <c r="H2329" t="str">
        <f t="shared" si="183"/>
        <v>Cleveland Indians</v>
      </c>
      <c r="I2329" s="60">
        <f t="shared" si="184"/>
        <v>1</v>
      </c>
      <c r="J2329" t="str">
        <f t="shared" si="185"/>
        <v>Chicago White Sox</v>
      </c>
      <c r="K2329" s="60">
        <f t="shared" si="186"/>
        <v>6</v>
      </c>
      <c r="L2329">
        <f t="shared" si="187"/>
        <v>-5</v>
      </c>
    </row>
    <row r="2330" spans="1:12" x14ac:dyDescent="0.25">
      <c r="G2330" t="str">
        <f t="shared" si="182"/>
        <v>05/31/19</v>
      </c>
      <c r="H2330" t="str">
        <f t="shared" si="183"/>
        <v/>
      </c>
      <c r="I2330" s="60" t="str">
        <f t="shared" si="184"/>
        <v/>
      </c>
      <c r="J2330" t="str">
        <f t="shared" si="185"/>
        <v/>
      </c>
      <c r="K2330" s="60" t="str">
        <f t="shared" si="186"/>
        <v/>
      </c>
      <c r="L2330" t="str">
        <f t="shared" si="187"/>
        <v/>
      </c>
    </row>
    <row r="2331" spans="1:12" x14ac:dyDescent="0.25">
      <c r="A2331" t="s">
        <v>2601</v>
      </c>
      <c r="G2331" t="str">
        <f t="shared" si="182"/>
        <v>05/31/19</v>
      </c>
      <c r="H2331" t="str">
        <f t="shared" si="183"/>
        <v>Washington Nationals</v>
      </c>
      <c r="I2331" s="60">
        <f t="shared" si="184"/>
        <v>3</v>
      </c>
      <c r="J2331" t="str">
        <f t="shared" si="185"/>
        <v>Cincinnati Reds</v>
      </c>
      <c r="K2331" s="60">
        <f t="shared" si="186"/>
        <v>9</v>
      </c>
      <c r="L2331">
        <f t="shared" si="187"/>
        <v>-6</v>
      </c>
    </row>
    <row r="2332" spans="1:12" x14ac:dyDescent="0.25">
      <c r="G2332" t="str">
        <f t="shared" si="182"/>
        <v>05/31/19</v>
      </c>
      <c r="H2332" t="str">
        <f t="shared" si="183"/>
        <v/>
      </c>
      <c r="I2332" s="60" t="str">
        <f t="shared" si="184"/>
        <v/>
      </c>
      <c r="J2332" t="str">
        <f t="shared" si="185"/>
        <v/>
      </c>
      <c r="K2332" s="60" t="str">
        <f t="shared" si="186"/>
        <v/>
      </c>
      <c r="L2332" t="str">
        <f t="shared" si="187"/>
        <v/>
      </c>
    </row>
    <row r="2333" spans="1:12" x14ac:dyDescent="0.25">
      <c r="A2333" t="s">
        <v>2602</v>
      </c>
      <c r="G2333" t="str">
        <f t="shared" si="182"/>
        <v>05/31/19</v>
      </c>
      <c r="H2333" t="str">
        <f t="shared" si="183"/>
        <v>Toronto Blue Jays</v>
      </c>
      <c r="I2333" s="60">
        <f t="shared" si="184"/>
        <v>6</v>
      </c>
      <c r="J2333" t="str">
        <f t="shared" si="185"/>
        <v>Colorado Rockies</v>
      </c>
      <c r="K2333" s="60">
        <f t="shared" si="186"/>
        <v>13</v>
      </c>
      <c r="L2333">
        <f t="shared" si="187"/>
        <v>-7</v>
      </c>
    </row>
    <row r="2334" spans="1:12" x14ac:dyDescent="0.25">
      <c r="G2334" t="str">
        <f t="shared" si="182"/>
        <v>05/31/19</v>
      </c>
      <c r="H2334" t="str">
        <f t="shared" si="183"/>
        <v/>
      </c>
      <c r="I2334" s="60" t="str">
        <f t="shared" si="184"/>
        <v/>
      </c>
      <c r="J2334" t="str">
        <f t="shared" si="185"/>
        <v/>
      </c>
      <c r="K2334" s="60" t="str">
        <f t="shared" si="186"/>
        <v/>
      </c>
      <c r="L2334" t="str">
        <f t="shared" si="187"/>
        <v/>
      </c>
    </row>
    <row r="2335" spans="1:12" x14ac:dyDescent="0.25">
      <c r="A2335" t="s">
        <v>2603</v>
      </c>
      <c r="G2335" t="str">
        <f t="shared" si="182"/>
        <v>05/31/19</v>
      </c>
      <c r="H2335" t="str">
        <f t="shared" si="183"/>
        <v>Philadelphia Phillies</v>
      </c>
      <c r="I2335" s="60">
        <f t="shared" si="184"/>
        <v>3</v>
      </c>
      <c r="J2335" t="str">
        <f t="shared" si="185"/>
        <v>Los Angeles Dodgers</v>
      </c>
      <c r="K2335" s="60">
        <f t="shared" si="186"/>
        <v>6</v>
      </c>
      <c r="L2335">
        <f t="shared" si="187"/>
        <v>-3</v>
      </c>
    </row>
    <row r="2336" spans="1:12" x14ac:dyDescent="0.25">
      <c r="G2336" t="str">
        <f t="shared" si="182"/>
        <v>05/31/19</v>
      </c>
      <c r="H2336" t="str">
        <f t="shared" si="183"/>
        <v/>
      </c>
      <c r="I2336" s="60" t="str">
        <f t="shared" si="184"/>
        <v/>
      </c>
      <c r="J2336" t="str">
        <f t="shared" si="185"/>
        <v/>
      </c>
      <c r="K2336" s="60" t="str">
        <f t="shared" si="186"/>
        <v/>
      </c>
      <c r="L2336" t="str">
        <f t="shared" si="187"/>
        <v/>
      </c>
    </row>
    <row r="2337" spans="1:12" x14ac:dyDescent="0.25">
      <c r="A2337" t="s">
        <v>2604</v>
      </c>
      <c r="G2337" t="str">
        <f t="shared" si="182"/>
        <v>05/31/19</v>
      </c>
      <c r="H2337" t="str">
        <f t="shared" si="183"/>
        <v>Boston Red Sox</v>
      </c>
      <c r="I2337" s="60">
        <f t="shared" si="184"/>
        <v>1</v>
      </c>
      <c r="J2337" t="str">
        <f t="shared" si="185"/>
        <v>New York Yankees</v>
      </c>
      <c r="K2337" s="60">
        <f t="shared" si="186"/>
        <v>4</v>
      </c>
      <c r="L2337">
        <f t="shared" si="187"/>
        <v>-3</v>
      </c>
    </row>
    <row r="2338" spans="1:12" x14ac:dyDescent="0.25">
      <c r="G2338" t="str">
        <f t="shared" ref="G2338:G2401" si="188">IF(ISNUMBER(MATCH(IFERROR(LEFT(A2338,SEARCH(",",A2338)-1),""),$G$220:$M$220,0)),TEXT(MID(A2338,SEARCH(",",A2338)+2,LEN(A2338)),"mm/dd/yy"),G2337)</f>
        <v>05/31/19</v>
      </c>
      <c r="H2338" t="str">
        <f t="shared" si="183"/>
        <v/>
      </c>
      <c r="I2338" s="60" t="str">
        <f t="shared" si="184"/>
        <v/>
      </c>
      <c r="J2338" t="str">
        <f t="shared" si="185"/>
        <v/>
      </c>
      <c r="K2338" s="60" t="str">
        <f t="shared" si="186"/>
        <v/>
      </c>
      <c r="L2338" t="str">
        <f t="shared" si="187"/>
        <v/>
      </c>
    </row>
    <row r="2339" spans="1:12" x14ac:dyDescent="0.25">
      <c r="A2339" t="s">
        <v>2605</v>
      </c>
      <c r="G2339" t="str">
        <f t="shared" si="188"/>
        <v>05/31/19</v>
      </c>
      <c r="H2339" t="str">
        <f t="shared" si="183"/>
        <v>Houston Astros</v>
      </c>
      <c r="I2339" s="60">
        <f t="shared" si="184"/>
        <v>3</v>
      </c>
      <c r="J2339" t="str">
        <f t="shared" si="185"/>
        <v>Oakland Athletics</v>
      </c>
      <c r="K2339" s="60">
        <f t="shared" si="186"/>
        <v>2</v>
      </c>
      <c r="L2339">
        <f t="shared" si="187"/>
        <v>1</v>
      </c>
    </row>
    <row r="2340" spans="1:12" x14ac:dyDescent="0.25">
      <c r="G2340" t="str">
        <f t="shared" si="188"/>
        <v>05/31/19</v>
      </c>
      <c r="H2340" t="str">
        <f t="shared" si="183"/>
        <v/>
      </c>
      <c r="I2340" s="60" t="str">
        <f t="shared" si="184"/>
        <v/>
      </c>
      <c r="J2340" t="str">
        <f t="shared" si="185"/>
        <v/>
      </c>
      <c r="K2340" s="60" t="str">
        <f t="shared" si="186"/>
        <v/>
      </c>
      <c r="L2340" t="str">
        <f t="shared" si="187"/>
        <v/>
      </c>
    </row>
    <row r="2341" spans="1:12" x14ac:dyDescent="0.25">
      <c r="A2341" t="s">
        <v>2606</v>
      </c>
      <c r="G2341" t="str">
        <f t="shared" si="188"/>
        <v>05/31/19</v>
      </c>
      <c r="H2341" t="str">
        <f t="shared" si="183"/>
        <v>Milwaukee Brewers</v>
      </c>
      <c r="I2341" s="60">
        <f t="shared" si="184"/>
        <v>4</v>
      </c>
      <c r="J2341" t="str">
        <f t="shared" si="185"/>
        <v>Pittsburgh Pirates</v>
      </c>
      <c r="K2341" s="60">
        <f t="shared" si="186"/>
        <v>9</v>
      </c>
      <c r="L2341">
        <f t="shared" si="187"/>
        <v>-5</v>
      </c>
    </row>
    <row r="2342" spans="1:12" x14ac:dyDescent="0.25">
      <c r="G2342" t="str">
        <f t="shared" si="188"/>
        <v>05/31/19</v>
      </c>
      <c r="H2342" t="str">
        <f t="shared" si="183"/>
        <v/>
      </c>
      <c r="I2342" s="60" t="str">
        <f t="shared" si="184"/>
        <v/>
      </c>
      <c r="J2342" t="str">
        <f t="shared" si="185"/>
        <v/>
      </c>
      <c r="K2342" s="60" t="str">
        <f t="shared" si="186"/>
        <v/>
      </c>
      <c r="L2342" t="str">
        <f t="shared" si="187"/>
        <v/>
      </c>
    </row>
    <row r="2343" spans="1:12" x14ac:dyDescent="0.25">
      <c r="A2343" t="s">
        <v>2607</v>
      </c>
      <c r="G2343" t="str">
        <f t="shared" si="188"/>
        <v>05/31/19</v>
      </c>
      <c r="H2343" t="str">
        <f t="shared" si="183"/>
        <v>Miami Marlins</v>
      </c>
      <c r="I2343" s="60">
        <f t="shared" si="184"/>
        <v>2</v>
      </c>
      <c r="J2343" t="str">
        <f t="shared" si="185"/>
        <v>San Diego Padres</v>
      </c>
      <c r="K2343" s="60">
        <f t="shared" si="186"/>
        <v>5</v>
      </c>
      <c r="L2343">
        <f t="shared" si="187"/>
        <v>-3</v>
      </c>
    </row>
    <row r="2344" spans="1:12" x14ac:dyDescent="0.25">
      <c r="G2344" t="str">
        <f t="shared" si="188"/>
        <v>05/31/19</v>
      </c>
      <c r="H2344" t="str">
        <f t="shared" si="183"/>
        <v/>
      </c>
      <c r="I2344" s="60" t="str">
        <f t="shared" si="184"/>
        <v/>
      </c>
      <c r="J2344" t="str">
        <f t="shared" si="185"/>
        <v/>
      </c>
      <c r="K2344" s="60" t="str">
        <f t="shared" si="186"/>
        <v/>
      </c>
      <c r="L2344" t="str">
        <f t="shared" si="187"/>
        <v/>
      </c>
    </row>
    <row r="2345" spans="1:12" x14ac:dyDescent="0.25">
      <c r="A2345" t="s">
        <v>2608</v>
      </c>
      <c r="G2345" t="str">
        <f t="shared" si="188"/>
        <v>05/31/19</v>
      </c>
      <c r="H2345" t="str">
        <f t="shared" si="183"/>
        <v>Los Angeles Angels</v>
      </c>
      <c r="I2345" s="60">
        <f t="shared" si="184"/>
        <v>3</v>
      </c>
      <c r="J2345" t="str">
        <f t="shared" si="185"/>
        <v>Seattle Mariners</v>
      </c>
      <c r="K2345" s="60">
        <f t="shared" si="186"/>
        <v>4</v>
      </c>
      <c r="L2345">
        <f t="shared" si="187"/>
        <v>-1</v>
      </c>
    </row>
    <row r="2346" spans="1:12" x14ac:dyDescent="0.25">
      <c r="G2346" t="str">
        <f t="shared" si="188"/>
        <v>05/31/19</v>
      </c>
      <c r="H2346" t="str">
        <f t="shared" si="183"/>
        <v/>
      </c>
      <c r="I2346" s="60" t="str">
        <f t="shared" si="184"/>
        <v/>
      </c>
      <c r="J2346" t="str">
        <f t="shared" si="185"/>
        <v/>
      </c>
      <c r="K2346" s="60" t="str">
        <f t="shared" si="186"/>
        <v/>
      </c>
      <c r="L2346" t="str">
        <f t="shared" si="187"/>
        <v/>
      </c>
    </row>
    <row r="2347" spans="1:12" x14ac:dyDescent="0.25">
      <c r="A2347" t="s">
        <v>2609</v>
      </c>
      <c r="G2347" t="str">
        <f t="shared" si="188"/>
        <v>05/31/19</v>
      </c>
      <c r="H2347" t="str">
        <f t="shared" si="183"/>
        <v>Chicago Cubs</v>
      </c>
      <c r="I2347" s="60">
        <f t="shared" si="184"/>
        <v>1</v>
      </c>
      <c r="J2347" t="str">
        <f t="shared" si="185"/>
        <v>St. Louis Cardinals</v>
      </c>
      <c r="K2347" s="60">
        <f t="shared" si="186"/>
        <v>2</v>
      </c>
      <c r="L2347">
        <f t="shared" si="187"/>
        <v>-1</v>
      </c>
    </row>
    <row r="2348" spans="1:12" x14ac:dyDescent="0.25">
      <c r="G2348" t="str">
        <f t="shared" si="188"/>
        <v>05/31/19</v>
      </c>
      <c r="H2348" t="str">
        <f t="shared" si="183"/>
        <v/>
      </c>
      <c r="I2348" s="60" t="str">
        <f t="shared" si="184"/>
        <v/>
      </c>
      <c r="J2348" t="str">
        <f t="shared" si="185"/>
        <v/>
      </c>
      <c r="K2348" s="60" t="str">
        <f t="shared" si="186"/>
        <v/>
      </c>
      <c r="L2348" t="str">
        <f t="shared" si="187"/>
        <v/>
      </c>
    </row>
    <row r="2349" spans="1:12" x14ac:dyDescent="0.25">
      <c r="A2349" t="s">
        <v>2610</v>
      </c>
      <c r="G2349" t="str">
        <f t="shared" si="188"/>
        <v>05/31/19</v>
      </c>
      <c r="H2349" t="str">
        <f t="shared" si="183"/>
        <v>Minnesota Twins</v>
      </c>
      <c r="I2349" s="60">
        <f t="shared" si="184"/>
        <v>5</v>
      </c>
      <c r="J2349" t="str">
        <f t="shared" si="185"/>
        <v>Tampa Bay Rays</v>
      </c>
      <c r="K2349" s="60">
        <f t="shared" si="186"/>
        <v>3</v>
      </c>
      <c r="L2349">
        <f t="shared" si="187"/>
        <v>2</v>
      </c>
    </row>
    <row r="2350" spans="1:12" x14ac:dyDescent="0.25">
      <c r="G2350" t="str">
        <f t="shared" si="188"/>
        <v>05/31/19</v>
      </c>
      <c r="H2350" t="str">
        <f t="shared" si="183"/>
        <v/>
      </c>
      <c r="I2350" s="60" t="str">
        <f t="shared" si="184"/>
        <v/>
      </c>
      <c r="J2350" t="str">
        <f t="shared" si="185"/>
        <v/>
      </c>
      <c r="K2350" s="60" t="str">
        <f t="shared" si="186"/>
        <v/>
      </c>
      <c r="L2350" t="str">
        <f t="shared" si="187"/>
        <v/>
      </c>
    </row>
    <row r="2351" spans="1:12" x14ac:dyDescent="0.25">
      <c r="A2351" t="s">
        <v>2611</v>
      </c>
      <c r="G2351" t="str">
        <f t="shared" si="188"/>
        <v>05/31/19</v>
      </c>
      <c r="H2351" t="str">
        <f t="shared" si="183"/>
        <v>Kansas City Royals</v>
      </c>
      <c r="I2351" s="60">
        <f t="shared" si="184"/>
        <v>2</v>
      </c>
      <c r="J2351" t="str">
        <f t="shared" si="185"/>
        <v>Texas Rangers</v>
      </c>
      <c r="K2351" s="60">
        <f t="shared" si="186"/>
        <v>6</v>
      </c>
      <c r="L2351">
        <f t="shared" si="187"/>
        <v>-4</v>
      </c>
    </row>
    <row r="2352" spans="1:12" x14ac:dyDescent="0.25">
      <c r="G2352" t="str">
        <f t="shared" si="188"/>
        <v>05/31/19</v>
      </c>
      <c r="H2352" t="str">
        <f t="shared" si="183"/>
        <v/>
      </c>
      <c r="I2352" s="60" t="str">
        <f t="shared" si="184"/>
        <v/>
      </c>
      <c r="J2352" t="str">
        <f t="shared" si="185"/>
        <v/>
      </c>
      <c r="K2352" s="60" t="str">
        <f t="shared" si="186"/>
        <v/>
      </c>
      <c r="L2352" t="str">
        <f t="shared" si="187"/>
        <v/>
      </c>
    </row>
    <row r="2353" spans="1:12" x14ac:dyDescent="0.25">
      <c r="A2353" t="s">
        <v>2612</v>
      </c>
      <c r="G2353" t="str">
        <f t="shared" si="188"/>
        <v>05/31/19</v>
      </c>
      <c r="H2353" t="str">
        <f t="shared" si="183"/>
        <v/>
      </c>
      <c r="I2353" s="60" t="str">
        <f t="shared" si="184"/>
        <v/>
      </c>
      <c r="J2353" t="str">
        <f t="shared" si="185"/>
        <v/>
      </c>
      <c r="K2353" s="60" t="str">
        <f t="shared" si="186"/>
        <v/>
      </c>
      <c r="L2353" t="str">
        <f t="shared" si="187"/>
        <v/>
      </c>
    </row>
    <row r="2354" spans="1:12" x14ac:dyDescent="0.25">
      <c r="G2354" t="str">
        <f t="shared" si="188"/>
        <v>05/31/19</v>
      </c>
      <c r="H2354" t="str">
        <f t="shared" si="183"/>
        <v/>
      </c>
      <c r="I2354" s="60" t="str">
        <f t="shared" si="184"/>
        <v/>
      </c>
      <c r="J2354" t="str">
        <f t="shared" si="185"/>
        <v/>
      </c>
      <c r="K2354" s="60" t="str">
        <f t="shared" si="186"/>
        <v/>
      </c>
      <c r="L2354" t="str">
        <f t="shared" si="187"/>
        <v/>
      </c>
    </row>
    <row r="2355" spans="1:12" x14ac:dyDescent="0.25">
      <c r="A2355" t="s">
        <v>2613</v>
      </c>
      <c r="G2355" t="str">
        <f t="shared" si="188"/>
        <v>06/01/19</v>
      </c>
      <c r="H2355" t="str">
        <f t="shared" si="183"/>
        <v/>
      </c>
      <c r="I2355" s="60" t="str">
        <f t="shared" si="184"/>
        <v/>
      </c>
      <c r="J2355" t="str">
        <f t="shared" si="185"/>
        <v/>
      </c>
      <c r="K2355" s="60" t="str">
        <f t="shared" si="186"/>
        <v/>
      </c>
      <c r="L2355" t="str">
        <f t="shared" si="187"/>
        <v/>
      </c>
    </row>
    <row r="2356" spans="1:12" x14ac:dyDescent="0.25">
      <c r="G2356" t="str">
        <f t="shared" si="188"/>
        <v>06/01/19</v>
      </c>
      <c r="H2356" t="str">
        <f t="shared" si="183"/>
        <v/>
      </c>
      <c r="I2356" s="60" t="str">
        <f t="shared" si="184"/>
        <v/>
      </c>
      <c r="J2356" t="str">
        <f t="shared" si="185"/>
        <v/>
      </c>
      <c r="K2356" s="60" t="str">
        <f t="shared" si="186"/>
        <v/>
      </c>
      <c r="L2356" t="str">
        <f t="shared" si="187"/>
        <v/>
      </c>
    </row>
    <row r="2357" spans="1:12" x14ac:dyDescent="0.25">
      <c r="A2357" t="s">
        <v>2614</v>
      </c>
      <c r="G2357" t="str">
        <f t="shared" si="188"/>
        <v>06/01/19</v>
      </c>
      <c r="H2357" t="str">
        <f t="shared" si="183"/>
        <v>New York Mets</v>
      </c>
      <c r="I2357" s="60">
        <f t="shared" si="184"/>
        <v>5</v>
      </c>
      <c r="J2357" t="str">
        <f t="shared" si="185"/>
        <v>Arizona D'Backs</v>
      </c>
      <c r="K2357" s="60">
        <f t="shared" si="186"/>
        <v>6</v>
      </c>
      <c r="L2357">
        <f t="shared" si="187"/>
        <v>-1</v>
      </c>
    </row>
    <row r="2358" spans="1:12" x14ac:dyDescent="0.25">
      <c r="G2358" t="str">
        <f t="shared" si="188"/>
        <v>06/01/19</v>
      </c>
      <c r="H2358" t="str">
        <f t="shared" si="183"/>
        <v/>
      </c>
      <c r="I2358" s="60" t="str">
        <f t="shared" si="184"/>
        <v/>
      </c>
      <c r="J2358" t="str">
        <f t="shared" si="185"/>
        <v/>
      </c>
      <c r="K2358" s="60" t="str">
        <f t="shared" si="186"/>
        <v/>
      </c>
      <c r="L2358" t="str">
        <f t="shared" si="187"/>
        <v/>
      </c>
    </row>
    <row r="2359" spans="1:12" x14ac:dyDescent="0.25">
      <c r="A2359" t="s">
        <v>2615</v>
      </c>
      <c r="G2359" t="str">
        <f t="shared" si="188"/>
        <v>06/01/19</v>
      </c>
      <c r="H2359" t="str">
        <f t="shared" si="183"/>
        <v>Detroit Tigers</v>
      </c>
      <c r="I2359" s="60">
        <f t="shared" si="184"/>
        <v>5</v>
      </c>
      <c r="J2359" t="str">
        <f t="shared" si="185"/>
        <v>Atlanta Braves</v>
      </c>
      <c r="K2359" s="60">
        <f t="shared" si="186"/>
        <v>10</v>
      </c>
      <c r="L2359">
        <f t="shared" si="187"/>
        <v>-5</v>
      </c>
    </row>
    <row r="2360" spans="1:12" x14ac:dyDescent="0.25">
      <c r="G2360" t="str">
        <f t="shared" si="188"/>
        <v>06/01/19</v>
      </c>
      <c r="H2360" t="str">
        <f t="shared" si="183"/>
        <v/>
      </c>
      <c r="I2360" s="60" t="str">
        <f t="shared" si="184"/>
        <v/>
      </c>
      <c r="J2360" t="str">
        <f t="shared" si="185"/>
        <v/>
      </c>
      <c r="K2360" s="60" t="str">
        <f t="shared" si="186"/>
        <v/>
      </c>
      <c r="L2360" t="str">
        <f t="shared" si="187"/>
        <v/>
      </c>
    </row>
    <row r="2361" spans="1:12" x14ac:dyDescent="0.25">
      <c r="A2361" t="s">
        <v>2616</v>
      </c>
      <c r="G2361" t="str">
        <f t="shared" si="188"/>
        <v>06/01/19</v>
      </c>
      <c r="H2361" t="str">
        <f t="shared" si="183"/>
        <v>San Francisco Giants</v>
      </c>
      <c r="I2361" s="60">
        <f t="shared" si="184"/>
        <v>8</v>
      </c>
      <c r="J2361" t="str">
        <f t="shared" si="185"/>
        <v>Baltimore Orioles</v>
      </c>
      <c r="K2361" s="60">
        <f t="shared" si="186"/>
        <v>2</v>
      </c>
      <c r="L2361">
        <f t="shared" si="187"/>
        <v>6</v>
      </c>
    </row>
    <row r="2362" spans="1:12" x14ac:dyDescent="0.25">
      <c r="G2362" t="str">
        <f t="shared" si="188"/>
        <v>06/01/19</v>
      </c>
      <c r="H2362" t="str">
        <f t="shared" si="183"/>
        <v/>
      </c>
      <c r="I2362" s="60" t="str">
        <f t="shared" si="184"/>
        <v/>
      </c>
      <c r="J2362" t="str">
        <f t="shared" si="185"/>
        <v/>
      </c>
      <c r="K2362" s="60" t="str">
        <f t="shared" si="186"/>
        <v/>
      </c>
      <c r="L2362" t="str">
        <f t="shared" si="187"/>
        <v/>
      </c>
    </row>
    <row r="2363" spans="1:12" x14ac:dyDescent="0.25">
      <c r="A2363" t="s">
        <v>2617</v>
      </c>
      <c r="G2363" t="str">
        <f t="shared" si="188"/>
        <v>06/01/19</v>
      </c>
      <c r="H2363" t="str">
        <f t="shared" si="183"/>
        <v>Cleveland Indians</v>
      </c>
      <c r="I2363" s="60">
        <f t="shared" si="184"/>
        <v>5</v>
      </c>
      <c r="J2363" t="str">
        <f t="shared" si="185"/>
        <v>Chicago White Sox</v>
      </c>
      <c r="K2363" s="60">
        <f t="shared" si="186"/>
        <v>2</v>
      </c>
      <c r="L2363">
        <f t="shared" si="187"/>
        <v>3</v>
      </c>
    </row>
    <row r="2364" spans="1:12" x14ac:dyDescent="0.25">
      <c r="G2364" t="str">
        <f t="shared" si="188"/>
        <v>06/01/19</v>
      </c>
      <c r="H2364" t="str">
        <f t="shared" si="183"/>
        <v/>
      </c>
      <c r="I2364" s="60" t="str">
        <f t="shared" si="184"/>
        <v/>
      </c>
      <c r="J2364" t="str">
        <f t="shared" si="185"/>
        <v/>
      </c>
      <c r="K2364" s="60" t="str">
        <f t="shared" si="186"/>
        <v/>
      </c>
      <c r="L2364" t="str">
        <f t="shared" si="187"/>
        <v/>
      </c>
    </row>
    <row r="2365" spans="1:12" x14ac:dyDescent="0.25">
      <c r="A2365" t="s">
        <v>2618</v>
      </c>
      <c r="G2365" t="str">
        <f t="shared" si="188"/>
        <v>06/01/19</v>
      </c>
      <c r="H2365" t="str">
        <f t="shared" si="183"/>
        <v>Washington Nationals</v>
      </c>
      <c r="I2365" s="60">
        <f t="shared" si="184"/>
        <v>5</v>
      </c>
      <c r="J2365" t="str">
        <f t="shared" si="185"/>
        <v>Cincinnati Reds</v>
      </c>
      <c r="K2365" s="60">
        <f t="shared" si="186"/>
        <v>2</v>
      </c>
      <c r="L2365">
        <f t="shared" si="187"/>
        <v>3</v>
      </c>
    </row>
    <row r="2366" spans="1:12" x14ac:dyDescent="0.25">
      <c r="G2366" t="str">
        <f t="shared" si="188"/>
        <v>06/01/19</v>
      </c>
      <c r="H2366" t="str">
        <f t="shared" si="183"/>
        <v/>
      </c>
      <c r="I2366" s="60" t="str">
        <f t="shared" si="184"/>
        <v/>
      </c>
      <c r="J2366" t="str">
        <f t="shared" si="185"/>
        <v/>
      </c>
      <c r="K2366" s="60" t="str">
        <f t="shared" si="186"/>
        <v/>
      </c>
      <c r="L2366" t="str">
        <f t="shared" si="187"/>
        <v/>
      </c>
    </row>
    <row r="2367" spans="1:12" x14ac:dyDescent="0.25">
      <c r="A2367" t="s">
        <v>2619</v>
      </c>
      <c r="G2367" t="str">
        <f t="shared" si="188"/>
        <v>06/01/19</v>
      </c>
      <c r="H2367" t="str">
        <f t="shared" si="183"/>
        <v>Toronto Blue Jays</v>
      </c>
      <c r="I2367" s="60">
        <f t="shared" si="184"/>
        <v>2</v>
      </c>
      <c r="J2367" t="str">
        <f t="shared" si="185"/>
        <v>Colorado Rockies</v>
      </c>
      <c r="K2367" s="60">
        <f t="shared" si="186"/>
        <v>4</v>
      </c>
      <c r="L2367">
        <f t="shared" si="187"/>
        <v>-2</v>
      </c>
    </row>
    <row r="2368" spans="1:12" x14ac:dyDescent="0.25">
      <c r="G2368" t="str">
        <f t="shared" si="188"/>
        <v>06/01/19</v>
      </c>
      <c r="H2368" t="str">
        <f t="shared" si="183"/>
        <v/>
      </c>
      <c r="I2368" s="60" t="str">
        <f t="shared" si="184"/>
        <v/>
      </c>
      <c r="J2368" t="str">
        <f t="shared" si="185"/>
        <v/>
      </c>
      <c r="K2368" s="60" t="str">
        <f t="shared" si="186"/>
        <v/>
      </c>
      <c r="L2368" t="str">
        <f t="shared" si="187"/>
        <v/>
      </c>
    </row>
    <row r="2369" spans="1:12" x14ac:dyDescent="0.25">
      <c r="A2369" t="s">
        <v>2620</v>
      </c>
      <c r="G2369" t="str">
        <f t="shared" si="188"/>
        <v>06/01/19</v>
      </c>
      <c r="H2369" t="str">
        <f t="shared" si="183"/>
        <v>Philadelphia Phillies</v>
      </c>
      <c r="I2369" s="60">
        <f t="shared" si="184"/>
        <v>3</v>
      </c>
      <c r="J2369" t="str">
        <f t="shared" si="185"/>
        <v>Los Angeles Dodgers</v>
      </c>
      <c r="K2369" s="60">
        <f t="shared" si="186"/>
        <v>4</v>
      </c>
      <c r="L2369">
        <f t="shared" si="187"/>
        <v>-1</v>
      </c>
    </row>
    <row r="2370" spans="1:12" x14ac:dyDescent="0.25">
      <c r="G2370" t="str">
        <f t="shared" si="188"/>
        <v>06/01/19</v>
      </c>
      <c r="H2370" t="str">
        <f t="shared" si="183"/>
        <v/>
      </c>
      <c r="I2370" s="60" t="str">
        <f t="shared" si="184"/>
        <v/>
      </c>
      <c r="J2370" t="str">
        <f t="shared" si="185"/>
        <v/>
      </c>
      <c r="K2370" s="60" t="str">
        <f t="shared" si="186"/>
        <v/>
      </c>
      <c r="L2370" t="str">
        <f t="shared" si="187"/>
        <v/>
      </c>
    </row>
    <row r="2371" spans="1:12" x14ac:dyDescent="0.25">
      <c r="A2371" t="s">
        <v>1942</v>
      </c>
      <c r="G2371" t="str">
        <f t="shared" si="188"/>
        <v>06/01/19</v>
      </c>
      <c r="H2371" t="str">
        <f t="shared" si="183"/>
        <v>Boston Red Sox</v>
      </c>
      <c r="I2371" s="60">
        <f t="shared" si="184"/>
        <v>3</v>
      </c>
      <c r="J2371" t="str">
        <f t="shared" si="185"/>
        <v>New York Yankees</v>
      </c>
      <c r="K2371" s="60">
        <f t="shared" si="186"/>
        <v>5</v>
      </c>
      <c r="L2371">
        <f t="shared" si="187"/>
        <v>-2</v>
      </c>
    </row>
    <row r="2372" spans="1:12" x14ac:dyDescent="0.25">
      <c r="G2372" t="str">
        <f t="shared" si="188"/>
        <v>06/01/19</v>
      </c>
      <c r="H2372" t="str">
        <f t="shared" si="183"/>
        <v/>
      </c>
      <c r="I2372" s="60" t="str">
        <f t="shared" si="184"/>
        <v/>
      </c>
      <c r="J2372" t="str">
        <f t="shared" si="185"/>
        <v/>
      </c>
      <c r="K2372" s="60" t="str">
        <f t="shared" si="186"/>
        <v/>
      </c>
      <c r="L2372" t="str">
        <f t="shared" si="187"/>
        <v/>
      </c>
    </row>
    <row r="2373" spans="1:12" x14ac:dyDescent="0.25">
      <c r="A2373" t="s">
        <v>2621</v>
      </c>
      <c r="G2373" t="str">
        <f t="shared" si="188"/>
        <v>06/01/19</v>
      </c>
      <c r="H2373" t="str">
        <f t="shared" si="183"/>
        <v>Houston Astros</v>
      </c>
      <c r="I2373" s="60">
        <f t="shared" si="184"/>
        <v>5</v>
      </c>
      <c r="J2373" t="str">
        <f t="shared" si="185"/>
        <v>Oakland Athletics</v>
      </c>
      <c r="K2373" s="60">
        <f t="shared" si="186"/>
        <v>1</v>
      </c>
      <c r="L2373">
        <f t="shared" si="187"/>
        <v>4</v>
      </c>
    </row>
    <row r="2374" spans="1:12" x14ac:dyDescent="0.25">
      <c r="G2374" t="str">
        <f t="shared" si="188"/>
        <v>06/01/19</v>
      </c>
      <c r="H2374" t="str">
        <f t="shared" si="183"/>
        <v/>
      </c>
      <c r="I2374" s="60" t="str">
        <f t="shared" si="184"/>
        <v/>
      </c>
      <c r="J2374" t="str">
        <f t="shared" si="185"/>
        <v/>
      </c>
      <c r="K2374" s="60" t="str">
        <f t="shared" si="186"/>
        <v/>
      </c>
      <c r="L2374" t="str">
        <f t="shared" si="187"/>
        <v/>
      </c>
    </row>
    <row r="2375" spans="1:12" x14ac:dyDescent="0.25">
      <c r="A2375" t="s">
        <v>2622</v>
      </c>
      <c r="G2375" t="str">
        <f t="shared" si="188"/>
        <v>06/01/19</v>
      </c>
      <c r="H2375" t="str">
        <f t="shared" si="183"/>
        <v>Milwaukee Brewers</v>
      </c>
      <c r="I2375" s="60">
        <f t="shared" si="184"/>
        <v>12</v>
      </c>
      <c r="J2375" t="str">
        <f t="shared" si="185"/>
        <v>Pittsburgh Pirates</v>
      </c>
      <c r="K2375" s="60">
        <f t="shared" si="186"/>
        <v>10</v>
      </c>
      <c r="L2375">
        <f t="shared" si="187"/>
        <v>2</v>
      </c>
    </row>
    <row r="2376" spans="1:12" x14ac:dyDescent="0.25">
      <c r="G2376" t="str">
        <f t="shared" si="188"/>
        <v>06/01/19</v>
      </c>
      <c r="H2376" t="str">
        <f t="shared" si="183"/>
        <v/>
      </c>
      <c r="I2376" s="60" t="str">
        <f t="shared" si="184"/>
        <v/>
      </c>
      <c r="J2376" t="str">
        <f t="shared" si="185"/>
        <v/>
      </c>
      <c r="K2376" s="60" t="str">
        <f t="shared" si="186"/>
        <v/>
      </c>
      <c r="L2376" t="str">
        <f t="shared" si="187"/>
        <v/>
      </c>
    </row>
    <row r="2377" spans="1:12" x14ac:dyDescent="0.25">
      <c r="A2377" t="s">
        <v>2623</v>
      </c>
      <c r="G2377" t="str">
        <f t="shared" si="188"/>
        <v>06/01/19</v>
      </c>
      <c r="H2377" t="str">
        <f t="shared" si="183"/>
        <v>Miami Marlins</v>
      </c>
      <c r="I2377" s="60">
        <f t="shared" si="184"/>
        <v>9</v>
      </c>
      <c r="J2377" t="str">
        <f t="shared" si="185"/>
        <v>San Diego Padres</v>
      </c>
      <c r="K2377" s="60">
        <f t="shared" si="186"/>
        <v>3</v>
      </c>
      <c r="L2377">
        <f t="shared" si="187"/>
        <v>6</v>
      </c>
    </row>
    <row r="2378" spans="1:12" x14ac:dyDescent="0.25">
      <c r="G2378" t="str">
        <f t="shared" si="188"/>
        <v>06/01/19</v>
      </c>
      <c r="H2378" t="str">
        <f t="shared" si="183"/>
        <v/>
      </c>
      <c r="I2378" s="60" t="str">
        <f t="shared" si="184"/>
        <v/>
      </c>
      <c r="J2378" t="str">
        <f t="shared" si="185"/>
        <v/>
      </c>
      <c r="K2378" s="60" t="str">
        <f t="shared" si="186"/>
        <v/>
      </c>
      <c r="L2378" t="str">
        <f t="shared" si="187"/>
        <v/>
      </c>
    </row>
    <row r="2379" spans="1:12" x14ac:dyDescent="0.25">
      <c r="A2379" t="s">
        <v>2624</v>
      </c>
      <c r="G2379" t="str">
        <f t="shared" si="188"/>
        <v>06/01/19</v>
      </c>
      <c r="H2379" t="str">
        <f t="shared" si="183"/>
        <v>Los Angeles Angels</v>
      </c>
      <c r="I2379" s="60">
        <f t="shared" si="184"/>
        <v>6</v>
      </c>
      <c r="J2379" t="str">
        <f t="shared" si="185"/>
        <v>Seattle Mariners</v>
      </c>
      <c r="K2379" s="60">
        <f t="shared" si="186"/>
        <v>3</v>
      </c>
      <c r="L2379">
        <f t="shared" si="187"/>
        <v>3</v>
      </c>
    </row>
    <row r="2380" spans="1:12" x14ac:dyDescent="0.25">
      <c r="G2380" t="str">
        <f t="shared" si="188"/>
        <v>06/01/19</v>
      </c>
      <c r="H2380" t="str">
        <f t="shared" si="183"/>
        <v/>
      </c>
      <c r="I2380" s="60" t="str">
        <f t="shared" si="184"/>
        <v/>
      </c>
      <c r="J2380" t="str">
        <f t="shared" si="185"/>
        <v/>
      </c>
      <c r="K2380" s="60" t="str">
        <f t="shared" si="186"/>
        <v/>
      </c>
      <c r="L2380" t="str">
        <f t="shared" si="187"/>
        <v/>
      </c>
    </row>
    <row r="2381" spans="1:12" x14ac:dyDescent="0.25">
      <c r="A2381" t="s">
        <v>2625</v>
      </c>
      <c r="G2381" t="str">
        <f t="shared" si="188"/>
        <v>06/01/19</v>
      </c>
      <c r="H2381" t="str">
        <f t="shared" si="183"/>
        <v>Chicago Cubs</v>
      </c>
      <c r="I2381" s="60">
        <f t="shared" si="184"/>
        <v>4</v>
      </c>
      <c r="J2381" t="str">
        <f t="shared" si="185"/>
        <v>St. Louis Cardinals</v>
      </c>
      <c r="K2381" s="60">
        <f t="shared" si="186"/>
        <v>7</v>
      </c>
      <c r="L2381">
        <f t="shared" si="187"/>
        <v>-3</v>
      </c>
    </row>
    <row r="2382" spans="1:12" x14ac:dyDescent="0.25">
      <c r="G2382" t="str">
        <f t="shared" si="188"/>
        <v>06/01/19</v>
      </c>
      <c r="H2382" t="str">
        <f t="shared" si="183"/>
        <v/>
      </c>
      <c r="I2382" s="60" t="str">
        <f t="shared" si="184"/>
        <v/>
      </c>
      <c r="J2382" t="str">
        <f t="shared" si="185"/>
        <v/>
      </c>
      <c r="K2382" s="60" t="str">
        <f t="shared" si="186"/>
        <v/>
      </c>
      <c r="L2382" t="str">
        <f t="shared" si="187"/>
        <v/>
      </c>
    </row>
    <row r="2383" spans="1:12" x14ac:dyDescent="0.25">
      <c r="A2383" t="s">
        <v>2626</v>
      </c>
      <c r="G2383" t="str">
        <f t="shared" si="188"/>
        <v>06/01/19</v>
      </c>
      <c r="H2383" t="str">
        <f t="shared" si="183"/>
        <v>Minnesota Twins</v>
      </c>
      <c r="I2383" s="60">
        <f t="shared" si="184"/>
        <v>6</v>
      </c>
      <c r="J2383" t="str">
        <f t="shared" si="185"/>
        <v>Tampa Bay Rays</v>
      </c>
      <c r="K2383" s="60">
        <f t="shared" si="186"/>
        <v>2</v>
      </c>
      <c r="L2383">
        <f t="shared" si="187"/>
        <v>4</v>
      </c>
    </row>
    <row r="2384" spans="1:12" x14ac:dyDescent="0.25">
      <c r="G2384" t="str">
        <f t="shared" si="188"/>
        <v>06/01/19</v>
      </c>
      <c r="H2384" t="str">
        <f t="shared" ref="H2384:H2447" si="189">IFERROR(LEFT(MID(A2384,1,SEARCH("@",A2384)-2),SEARCH("(",A2384)-2),"")</f>
        <v/>
      </c>
      <c r="I2384" s="60" t="str">
        <f t="shared" ref="I2384:I2447" si="190">IFERROR(VALUE(MID(A2384,SEARCH("(",A2384)+1,SEARCH(")",A2384)-SEARCH("(",A2384)-1)),"")</f>
        <v/>
      </c>
      <c r="J2384" t="str">
        <f t="shared" ref="J2384:J2447" si="191">IFERROR(MID(A2384,SEARCH("@",A2384)+2,SEARCH("(",A2384,SEARCH("@",A2384))-SEARCH("@",A2384)-3),"")</f>
        <v/>
      </c>
      <c r="K2384" s="60" t="str">
        <f t="shared" ref="K2384:K2447" si="192">IFERROR(VALUE(MID(A2384,SEARCH(J2384,A2384)+LEN(J2384)+2,(SEARCH(")",A2384,SEARCH("@",A2384))-SEARCH("(",A2384,SEARCH("@",A2384))-1))),"")</f>
        <v/>
      </c>
      <c r="L2384" t="str">
        <f t="shared" ref="L2384:L2447" si="193">IFERROR(I2384-K2384,"")</f>
        <v/>
      </c>
    </row>
    <row r="2385" spans="1:12" x14ac:dyDescent="0.25">
      <c r="A2385" t="s">
        <v>2611</v>
      </c>
      <c r="G2385" t="str">
        <f t="shared" si="188"/>
        <v>06/01/19</v>
      </c>
      <c r="H2385" t="str">
        <f t="shared" si="189"/>
        <v>Kansas City Royals</v>
      </c>
      <c r="I2385" s="60">
        <f t="shared" si="190"/>
        <v>2</v>
      </c>
      <c r="J2385" t="str">
        <f t="shared" si="191"/>
        <v>Texas Rangers</v>
      </c>
      <c r="K2385" s="60">
        <f t="shared" si="192"/>
        <v>6</v>
      </c>
      <c r="L2385">
        <f t="shared" si="193"/>
        <v>-4</v>
      </c>
    </row>
    <row r="2386" spans="1:12" x14ac:dyDescent="0.25">
      <c r="G2386" t="str">
        <f t="shared" si="188"/>
        <v>06/01/19</v>
      </c>
      <c r="H2386" t="str">
        <f t="shared" si="189"/>
        <v/>
      </c>
      <c r="I2386" s="60" t="str">
        <f t="shared" si="190"/>
        <v/>
      </c>
      <c r="J2386" t="str">
        <f t="shared" si="191"/>
        <v/>
      </c>
      <c r="K2386" s="60" t="str">
        <f t="shared" si="192"/>
        <v/>
      </c>
      <c r="L2386" t="str">
        <f t="shared" si="193"/>
        <v/>
      </c>
    </row>
    <row r="2387" spans="1:12" x14ac:dyDescent="0.25">
      <c r="A2387" t="s">
        <v>2627</v>
      </c>
      <c r="G2387" t="str">
        <f t="shared" si="188"/>
        <v>06/01/19</v>
      </c>
      <c r="H2387" t="str">
        <f t="shared" si="189"/>
        <v/>
      </c>
      <c r="I2387" s="60" t="str">
        <f t="shared" si="190"/>
        <v/>
      </c>
      <c r="J2387" t="str">
        <f t="shared" si="191"/>
        <v/>
      </c>
      <c r="K2387" s="60" t="str">
        <f t="shared" si="192"/>
        <v/>
      </c>
      <c r="L2387" t="str">
        <f t="shared" si="193"/>
        <v/>
      </c>
    </row>
    <row r="2388" spans="1:12" x14ac:dyDescent="0.25">
      <c r="G2388" t="str">
        <f t="shared" si="188"/>
        <v>06/01/19</v>
      </c>
      <c r="H2388" t="str">
        <f t="shared" si="189"/>
        <v/>
      </c>
      <c r="I2388" s="60" t="str">
        <f t="shared" si="190"/>
        <v/>
      </c>
      <c r="J2388" t="str">
        <f t="shared" si="191"/>
        <v/>
      </c>
      <c r="K2388" s="60" t="str">
        <f t="shared" si="192"/>
        <v/>
      </c>
      <c r="L2388" t="str">
        <f t="shared" si="193"/>
        <v/>
      </c>
    </row>
    <row r="2389" spans="1:12" x14ac:dyDescent="0.25">
      <c r="A2389" t="s">
        <v>2628</v>
      </c>
      <c r="G2389" t="str">
        <f t="shared" si="188"/>
        <v>06/02/19</v>
      </c>
      <c r="H2389" t="str">
        <f t="shared" si="189"/>
        <v/>
      </c>
      <c r="I2389" s="60" t="str">
        <f t="shared" si="190"/>
        <v/>
      </c>
      <c r="J2389" t="str">
        <f t="shared" si="191"/>
        <v/>
      </c>
      <c r="K2389" s="60" t="str">
        <f t="shared" si="192"/>
        <v/>
      </c>
      <c r="L2389" t="str">
        <f t="shared" si="193"/>
        <v/>
      </c>
    </row>
    <row r="2390" spans="1:12" x14ac:dyDescent="0.25">
      <c r="G2390" t="str">
        <f t="shared" si="188"/>
        <v>06/02/19</v>
      </c>
      <c r="H2390" t="str">
        <f t="shared" si="189"/>
        <v/>
      </c>
      <c r="I2390" s="60" t="str">
        <f t="shared" si="190"/>
        <v/>
      </c>
      <c r="J2390" t="str">
        <f t="shared" si="191"/>
        <v/>
      </c>
      <c r="K2390" s="60" t="str">
        <f t="shared" si="192"/>
        <v/>
      </c>
      <c r="L2390" t="str">
        <f t="shared" si="193"/>
        <v/>
      </c>
    </row>
    <row r="2391" spans="1:12" x14ac:dyDescent="0.25">
      <c r="A2391" t="s">
        <v>2629</v>
      </c>
      <c r="G2391" t="str">
        <f t="shared" si="188"/>
        <v>06/02/19</v>
      </c>
      <c r="H2391" t="str">
        <f t="shared" si="189"/>
        <v>New York Mets</v>
      </c>
      <c r="I2391" s="60">
        <f t="shared" si="190"/>
        <v>1</v>
      </c>
      <c r="J2391" t="str">
        <f t="shared" si="191"/>
        <v>Arizona D'Backs</v>
      </c>
      <c r="K2391" s="60">
        <f t="shared" si="192"/>
        <v>7</v>
      </c>
      <c r="L2391">
        <f t="shared" si="193"/>
        <v>-6</v>
      </c>
    </row>
    <row r="2392" spans="1:12" x14ac:dyDescent="0.25">
      <c r="G2392" t="str">
        <f t="shared" si="188"/>
        <v>06/02/19</v>
      </c>
      <c r="H2392" t="str">
        <f t="shared" si="189"/>
        <v/>
      </c>
      <c r="I2392" s="60" t="str">
        <f t="shared" si="190"/>
        <v/>
      </c>
      <c r="J2392" t="str">
        <f t="shared" si="191"/>
        <v/>
      </c>
      <c r="K2392" s="60" t="str">
        <f t="shared" si="192"/>
        <v/>
      </c>
      <c r="L2392" t="str">
        <f t="shared" si="193"/>
        <v/>
      </c>
    </row>
    <row r="2393" spans="1:12" x14ac:dyDescent="0.25">
      <c r="A2393" t="s">
        <v>2630</v>
      </c>
      <c r="G2393" t="str">
        <f t="shared" si="188"/>
        <v>06/02/19</v>
      </c>
      <c r="H2393" t="str">
        <f t="shared" si="189"/>
        <v>Detroit Tigers</v>
      </c>
      <c r="I2393" s="60">
        <f t="shared" si="190"/>
        <v>4</v>
      </c>
      <c r="J2393" t="str">
        <f t="shared" si="191"/>
        <v>Atlanta Braves</v>
      </c>
      <c r="K2393" s="60">
        <f t="shared" si="192"/>
        <v>7</v>
      </c>
      <c r="L2393">
        <f t="shared" si="193"/>
        <v>-3</v>
      </c>
    </row>
    <row r="2394" spans="1:12" x14ac:dyDescent="0.25">
      <c r="G2394" t="str">
        <f t="shared" si="188"/>
        <v>06/02/19</v>
      </c>
      <c r="H2394" t="str">
        <f t="shared" si="189"/>
        <v/>
      </c>
      <c r="I2394" s="60" t="str">
        <f t="shared" si="190"/>
        <v/>
      </c>
      <c r="J2394" t="str">
        <f t="shared" si="191"/>
        <v/>
      </c>
      <c r="K2394" s="60" t="str">
        <f t="shared" si="192"/>
        <v/>
      </c>
      <c r="L2394" t="str">
        <f t="shared" si="193"/>
        <v/>
      </c>
    </row>
    <row r="2395" spans="1:12" x14ac:dyDescent="0.25">
      <c r="A2395" t="s">
        <v>2631</v>
      </c>
      <c r="G2395" t="str">
        <f t="shared" si="188"/>
        <v>06/02/19</v>
      </c>
      <c r="H2395" t="str">
        <f t="shared" si="189"/>
        <v>San Francisco Giants</v>
      </c>
      <c r="I2395" s="60">
        <f t="shared" si="190"/>
        <v>8</v>
      </c>
      <c r="J2395" t="str">
        <f t="shared" si="191"/>
        <v>Baltimore Orioles</v>
      </c>
      <c r="K2395" s="60">
        <f t="shared" si="192"/>
        <v>1</v>
      </c>
      <c r="L2395">
        <f t="shared" si="193"/>
        <v>7</v>
      </c>
    </row>
    <row r="2396" spans="1:12" x14ac:dyDescent="0.25">
      <c r="G2396" t="str">
        <f t="shared" si="188"/>
        <v>06/02/19</v>
      </c>
      <c r="H2396" t="str">
        <f t="shared" si="189"/>
        <v/>
      </c>
      <c r="I2396" s="60" t="str">
        <f t="shared" si="190"/>
        <v/>
      </c>
      <c r="J2396" t="str">
        <f t="shared" si="191"/>
        <v/>
      </c>
      <c r="K2396" s="60" t="str">
        <f t="shared" si="192"/>
        <v/>
      </c>
      <c r="L2396" t="str">
        <f t="shared" si="193"/>
        <v/>
      </c>
    </row>
    <row r="2397" spans="1:12" x14ac:dyDescent="0.25">
      <c r="A2397" t="s">
        <v>2632</v>
      </c>
      <c r="G2397" t="str">
        <f t="shared" si="188"/>
        <v>06/02/19</v>
      </c>
      <c r="H2397" t="str">
        <f t="shared" si="189"/>
        <v>Cleveland Indians</v>
      </c>
      <c r="I2397" s="60">
        <f t="shared" si="190"/>
        <v>0</v>
      </c>
      <c r="J2397" t="str">
        <f t="shared" si="191"/>
        <v>Chicago White Sox</v>
      </c>
      <c r="K2397" s="60">
        <f t="shared" si="192"/>
        <v>2</v>
      </c>
      <c r="L2397">
        <f t="shared" si="193"/>
        <v>-2</v>
      </c>
    </row>
    <row r="2398" spans="1:12" x14ac:dyDescent="0.25">
      <c r="G2398" t="str">
        <f t="shared" si="188"/>
        <v>06/02/19</v>
      </c>
      <c r="H2398" t="str">
        <f t="shared" si="189"/>
        <v/>
      </c>
      <c r="I2398" s="60" t="str">
        <f t="shared" si="190"/>
        <v/>
      </c>
      <c r="J2398" t="str">
        <f t="shared" si="191"/>
        <v/>
      </c>
      <c r="K2398" s="60" t="str">
        <f t="shared" si="192"/>
        <v/>
      </c>
      <c r="L2398" t="str">
        <f t="shared" si="193"/>
        <v/>
      </c>
    </row>
    <row r="2399" spans="1:12" x14ac:dyDescent="0.25">
      <c r="A2399" t="s">
        <v>2633</v>
      </c>
      <c r="G2399" t="str">
        <f t="shared" si="188"/>
        <v>06/02/19</v>
      </c>
      <c r="H2399" t="str">
        <f t="shared" si="189"/>
        <v>Washington Nationals</v>
      </c>
      <c r="I2399" s="60">
        <f t="shared" si="190"/>
        <v>4</v>
      </c>
      <c r="J2399" t="str">
        <f t="shared" si="191"/>
        <v>Cincinnati Reds</v>
      </c>
      <c r="K2399" s="60">
        <f t="shared" si="192"/>
        <v>1</v>
      </c>
      <c r="L2399">
        <f t="shared" si="193"/>
        <v>3</v>
      </c>
    </row>
    <row r="2400" spans="1:12" x14ac:dyDescent="0.25">
      <c r="G2400" t="str">
        <f t="shared" si="188"/>
        <v>06/02/19</v>
      </c>
      <c r="H2400" t="str">
        <f t="shared" si="189"/>
        <v/>
      </c>
      <c r="I2400" s="60" t="str">
        <f t="shared" si="190"/>
        <v/>
      </c>
      <c r="J2400" t="str">
        <f t="shared" si="191"/>
        <v/>
      </c>
      <c r="K2400" s="60" t="str">
        <f t="shared" si="192"/>
        <v/>
      </c>
      <c r="L2400" t="str">
        <f t="shared" si="193"/>
        <v/>
      </c>
    </row>
    <row r="2401" spans="1:12" x14ac:dyDescent="0.25">
      <c r="A2401" t="s">
        <v>2634</v>
      </c>
      <c r="G2401" t="str">
        <f t="shared" si="188"/>
        <v>06/02/19</v>
      </c>
      <c r="H2401" t="str">
        <f t="shared" si="189"/>
        <v>Toronto Blue Jays</v>
      </c>
      <c r="I2401" s="60">
        <f t="shared" si="190"/>
        <v>1</v>
      </c>
      <c r="J2401" t="str">
        <f t="shared" si="191"/>
        <v>Colorado Rockies</v>
      </c>
      <c r="K2401" s="60">
        <f t="shared" si="192"/>
        <v>5</v>
      </c>
      <c r="L2401">
        <f t="shared" si="193"/>
        <v>-4</v>
      </c>
    </row>
    <row r="2402" spans="1:12" x14ac:dyDescent="0.25">
      <c r="G2402" t="str">
        <f t="shared" ref="G2402:G2465" si="194">IF(ISNUMBER(MATCH(IFERROR(LEFT(A2402,SEARCH(",",A2402)-1),""),$G$220:$M$220,0)),TEXT(MID(A2402,SEARCH(",",A2402)+2,LEN(A2402)),"mm/dd/yy"),G2401)</f>
        <v>06/02/19</v>
      </c>
      <c r="H2402" t="str">
        <f t="shared" si="189"/>
        <v/>
      </c>
      <c r="I2402" s="60" t="str">
        <f t="shared" si="190"/>
        <v/>
      </c>
      <c r="J2402" t="str">
        <f t="shared" si="191"/>
        <v/>
      </c>
      <c r="K2402" s="60" t="str">
        <f t="shared" si="192"/>
        <v/>
      </c>
      <c r="L2402" t="str">
        <f t="shared" si="193"/>
        <v/>
      </c>
    </row>
    <row r="2403" spans="1:12" x14ac:dyDescent="0.25">
      <c r="A2403" t="s">
        <v>2635</v>
      </c>
      <c r="G2403" t="str">
        <f t="shared" si="194"/>
        <v>06/02/19</v>
      </c>
      <c r="H2403" t="str">
        <f t="shared" si="189"/>
        <v>Philadelphia Phillies</v>
      </c>
      <c r="I2403" s="60">
        <f t="shared" si="190"/>
        <v>0</v>
      </c>
      <c r="J2403" t="str">
        <f t="shared" si="191"/>
        <v>Los Angeles Dodgers</v>
      </c>
      <c r="K2403" s="60">
        <f t="shared" si="192"/>
        <v>8</v>
      </c>
      <c r="L2403">
        <f t="shared" si="193"/>
        <v>-8</v>
      </c>
    </row>
    <row r="2404" spans="1:12" x14ac:dyDescent="0.25">
      <c r="G2404" t="str">
        <f t="shared" si="194"/>
        <v>06/02/19</v>
      </c>
      <c r="H2404" t="str">
        <f t="shared" si="189"/>
        <v/>
      </c>
      <c r="I2404" s="60" t="str">
        <f t="shared" si="190"/>
        <v/>
      </c>
      <c r="J2404" t="str">
        <f t="shared" si="191"/>
        <v/>
      </c>
      <c r="K2404" s="60" t="str">
        <f t="shared" si="192"/>
        <v/>
      </c>
      <c r="L2404" t="str">
        <f t="shared" si="193"/>
        <v/>
      </c>
    </row>
    <row r="2405" spans="1:12" x14ac:dyDescent="0.25">
      <c r="A2405" t="s">
        <v>2636</v>
      </c>
      <c r="G2405" t="str">
        <f t="shared" si="194"/>
        <v>06/02/19</v>
      </c>
      <c r="H2405" t="str">
        <f t="shared" si="189"/>
        <v>Boston Red Sox</v>
      </c>
      <c r="I2405" s="60">
        <f t="shared" si="190"/>
        <v>8</v>
      </c>
      <c r="J2405" t="str">
        <f t="shared" si="191"/>
        <v>New York Yankees</v>
      </c>
      <c r="K2405" s="60">
        <f t="shared" si="192"/>
        <v>5</v>
      </c>
      <c r="L2405">
        <f t="shared" si="193"/>
        <v>3</v>
      </c>
    </row>
    <row r="2406" spans="1:12" x14ac:dyDescent="0.25">
      <c r="G2406" t="str">
        <f t="shared" si="194"/>
        <v>06/02/19</v>
      </c>
      <c r="H2406" t="str">
        <f t="shared" si="189"/>
        <v/>
      </c>
      <c r="I2406" s="60" t="str">
        <f t="shared" si="190"/>
        <v/>
      </c>
      <c r="J2406" t="str">
        <f t="shared" si="191"/>
        <v/>
      </c>
      <c r="K2406" s="60" t="str">
        <f t="shared" si="192"/>
        <v/>
      </c>
      <c r="L2406" t="str">
        <f t="shared" si="193"/>
        <v/>
      </c>
    </row>
    <row r="2407" spans="1:12" x14ac:dyDescent="0.25">
      <c r="A2407" t="s">
        <v>2637</v>
      </c>
      <c r="G2407" t="str">
        <f t="shared" si="194"/>
        <v>06/02/19</v>
      </c>
      <c r="H2407" t="str">
        <f t="shared" si="189"/>
        <v>Houston Astros</v>
      </c>
      <c r="I2407" s="60">
        <f t="shared" si="190"/>
        <v>6</v>
      </c>
      <c r="J2407" t="str">
        <f t="shared" si="191"/>
        <v>Oakland Athletics</v>
      </c>
      <c r="K2407" s="60">
        <f t="shared" si="192"/>
        <v>4</v>
      </c>
      <c r="L2407">
        <f t="shared" si="193"/>
        <v>2</v>
      </c>
    </row>
    <row r="2408" spans="1:12" x14ac:dyDescent="0.25">
      <c r="G2408" t="str">
        <f t="shared" si="194"/>
        <v>06/02/19</v>
      </c>
      <c r="H2408" t="str">
        <f t="shared" si="189"/>
        <v/>
      </c>
      <c r="I2408" s="60" t="str">
        <f t="shared" si="190"/>
        <v/>
      </c>
      <c r="J2408" t="str">
        <f t="shared" si="191"/>
        <v/>
      </c>
      <c r="K2408" s="60" t="str">
        <f t="shared" si="192"/>
        <v/>
      </c>
      <c r="L2408" t="str">
        <f t="shared" si="193"/>
        <v/>
      </c>
    </row>
    <row r="2409" spans="1:12" x14ac:dyDescent="0.25">
      <c r="A2409" t="s">
        <v>2638</v>
      </c>
      <c r="G2409" t="str">
        <f t="shared" si="194"/>
        <v>06/02/19</v>
      </c>
      <c r="H2409" t="str">
        <f t="shared" si="189"/>
        <v>Milwaukee Brewers</v>
      </c>
      <c r="I2409" s="60">
        <f t="shared" si="190"/>
        <v>4</v>
      </c>
      <c r="J2409" t="str">
        <f t="shared" si="191"/>
        <v>Pittsburgh Pirates</v>
      </c>
      <c r="K2409" s="60">
        <f t="shared" si="192"/>
        <v>2</v>
      </c>
      <c r="L2409">
        <f t="shared" si="193"/>
        <v>2</v>
      </c>
    </row>
    <row r="2410" spans="1:12" x14ac:dyDescent="0.25">
      <c r="G2410" t="str">
        <f t="shared" si="194"/>
        <v>06/02/19</v>
      </c>
      <c r="H2410" t="str">
        <f t="shared" si="189"/>
        <v/>
      </c>
      <c r="I2410" s="60" t="str">
        <f t="shared" si="190"/>
        <v/>
      </c>
      <c r="J2410" t="str">
        <f t="shared" si="191"/>
        <v/>
      </c>
      <c r="K2410" s="60" t="str">
        <f t="shared" si="192"/>
        <v/>
      </c>
      <c r="L2410" t="str">
        <f t="shared" si="193"/>
        <v/>
      </c>
    </row>
    <row r="2411" spans="1:12" x14ac:dyDescent="0.25">
      <c r="A2411" t="s">
        <v>2623</v>
      </c>
      <c r="G2411" t="str">
        <f t="shared" si="194"/>
        <v>06/02/19</v>
      </c>
      <c r="H2411" t="str">
        <f t="shared" si="189"/>
        <v>Miami Marlins</v>
      </c>
      <c r="I2411" s="60">
        <f t="shared" si="190"/>
        <v>9</v>
      </c>
      <c r="J2411" t="str">
        <f t="shared" si="191"/>
        <v>San Diego Padres</v>
      </c>
      <c r="K2411" s="60">
        <f t="shared" si="192"/>
        <v>3</v>
      </c>
      <c r="L2411">
        <f t="shared" si="193"/>
        <v>6</v>
      </c>
    </row>
    <row r="2412" spans="1:12" x14ac:dyDescent="0.25">
      <c r="G2412" t="str">
        <f t="shared" si="194"/>
        <v>06/02/19</v>
      </c>
      <c r="H2412" t="str">
        <f t="shared" si="189"/>
        <v/>
      </c>
      <c r="I2412" s="60" t="str">
        <f t="shared" si="190"/>
        <v/>
      </c>
      <c r="J2412" t="str">
        <f t="shared" si="191"/>
        <v/>
      </c>
      <c r="K2412" s="60" t="str">
        <f t="shared" si="192"/>
        <v/>
      </c>
      <c r="L2412" t="str">
        <f t="shared" si="193"/>
        <v/>
      </c>
    </row>
    <row r="2413" spans="1:12" x14ac:dyDescent="0.25">
      <c r="A2413" t="s">
        <v>2639</v>
      </c>
      <c r="G2413" t="str">
        <f t="shared" si="194"/>
        <v>06/02/19</v>
      </c>
      <c r="H2413" t="str">
        <f t="shared" si="189"/>
        <v>Los Angeles Angels</v>
      </c>
      <c r="I2413" s="60">
        <f t="shared" si="190"/>
        <v>13</v>
      </c>
      <c r="J2413" t="str">
        <f t="shared" si="191"/>
        <v>Seattle Mariners</v>
      </c>
      <c r="K2413" s="60">
        <f t="shared" si="192"/>
        <v>3</v>
      </c>
      <c r="L2413">
        <f t="shared" si="193"/>
        <v>10</v>
      </c>
    </row>
    <row r="2414" spans="1:12" x14ac:dyDescent="0.25">
      <c r="G2414" t="str">
        <f t="shared" si="194"/>
        <v>06/02/19</v>
      </c>
      <c r="H2414" t="str">
        <f t="shared" si="189"/>
        <v/>
      </c>
      <c r="I2414" s="60" t="str">
        <f t="shared" si="190"/>
        <v/>
      </c>
      <c r="J2414" t="str">
        <f t="shared" si="191"/>
        <v/>
      </c>
      <c r="K2414" s="60" t="str">
        <f t="shared" si="192"/>
        <v/>
      </c>
      <c r="L2414" t="str">
        <f t="shared" si="193"/>
        <v/>
      </c>
    </row>
    <row r="2415" spans="1:12" x14ac:dyDescent="0.25">
      <c r="A2415" t="s">
        <v>2609</v>
      </c>
      <c r="G2415" t="str">
        <f t="shared" si="194"/>
        <v>06/02/19</v>
      </c>
      <c r="H2415" t="str">
        <f t="shared" si="189"/>
        <v>Chicago Cubs</v>
      </c>
      <c r="I2415" s="60">
        <f t="shared" si="190"/>
        <v>1</v>
      </c>
      <c r="J2415" t="str">
        <f t="shared" si="191"/>
        <v>St. Louis Cardinals</v>
      </c>
      <c r="K2415" s="60">
        <f t="shared" si="192"/>
        <v>2</v>
      </c>
      <c r="L2415">
        <f t="shared" si="193"/>
        <v>-1</v>
      </c>
    </row>
    <row r="2416" spans="1:12" x14ac:dyDescent="0.25">
      <c r="G2416" t="str">
        <f t="shared" si="194"/>
        <v>06/02/19</v>
      </c>
      <c r="H2416" t="str">
        <f t="shared" si="189"/>
        <v/>
      </c>
      <c r="I2416" s="60" t="str">
        <f t="shared" si="190"/>
        <v/>
      </c>
      <c r="J2416" t="str">
        <f t="shared" si="191"/>
        <v/>
      </c>
      <c r="K2416" s="60" t="str">
        <f t="shared" si="192"/>
        <v/>
      </c>
      <c r="L2416" t="str">
        <f t="shared" si="193"/>
        <v/>
      </c>
    </row>
    <row r="2417" spans="1:12" x14ac:dyDescent="0.25">
      <c r="A2417" t="s">
        <v>2640</v>
      </c>
      <c r="G2417" t="str">
        <f t="shared" si="194"/>
        <v>06/02/19</v>
      </c>
      <c r="H2417" t="str">
        <f t="shared" si="189"/>
        <v>Minnesota Twins</v>
      </c>
      <c r="I2417" s="60">
        <f t="shared" si="190"/>
        <v>9</v>
      </c>
      <c r="J2417" t="str">
        <f t="shared" si="191"/>
        <v>Tampa Bay Rays</v>
      </c>
      <c r="K2417" s="60">
        <f t="shared" si="192"/>
        <v>7</v>
      </c>
      <c r="L2417">
        <f t="shared" si="193"/>
        <v>2</v>
      </c>
    </row>
    <row r="2418" spans="1:12" x14ac:dyDescent="0.25">
      <c r="G2418" t="str">
        <f t="shared" si="194"/>
        <v>06/02/19</v>
      </c>
      <c r="H2418" t="str">
        <f t="shared" si="189"/>
        <v/>
      </c>
      <c r="I2418" s="60" t="str">
        <f t="shared" si="190"/>
        <v/>
      </c>
      <c r="J2418" t="str">
        <f t="shared" si="191"/>
        <v/>
      </c>
      <c r="K2418" s="60" t="str">
        <f t="shared" si="192"/>
        <v/>
      </c>
      <c r="L2418" t="str">
        <f t="shared" si="193"/>
        <v/>
      </c>
    </row>
    <row r="2419" spans="1:12" x14ac:dyDescent="0.25">
      <c r="A2419" t="s">
        <v>2641</v>
      </c>
      <c r="G2419" t="str">
        <f t="shared" si="194"/>
        <v>06/02/19</v>
      </c>
      <c r="H2419" t="str">
        <f t="shared" si="189"/>
        <v>Kansas City Royals</v>
      </c>
      <c r="I2419" s="60">
        <f t="shared" si="190"/>
        <v>1</v>
      </c>
      <c r="J2419" t="str">
        <f t="shared" si="191"/>
        <v>Texas Rangers</v>
      </c>
      <c r="K2419" s="60">
        <f t="shared" si="192"/>
        <v>5</v>
      </c>
      <c r="L2419">
        <f t="shared" si="193"/>
        <v>-4</v>
      </c>
    </row>
    <row r="2420" spans="1:12" x14ac:dyDescent="0.25">
      <c r="G2420" t="str">
        <f t="shared" si="194"/>
        <v>06/02/19</v>
      </c>
      <c r="H2420" t="str">
        <f t="shared" si="189"/>
        <v/>
      </c>
      <c r="I2420" s="60" t="str">
        <f t="shared" si="190"/>
        <v/>
      </c>
      <c r="J2420" t="str">
        <f t="shared" si="191"/>
        <v/>
      </c>
      <c r="K2420" s="60" t="str">
        <f t="shared" si="192"/>
        <v/>
      </c>
      <c r="L2420" t="str">
        <f t="shared" si="193"/>
        <v/>
      </c>
    </row>
    <row r="2421" spans="1:12" x14ac:dyDescent="0.25">
      <c r="A2421" t="s">
        <v>2642</v>
      </c>
      <c r="G2421" t="str">
        <f t="shared" si="194"/>
        <v>06/02/19</v>
      </c>
      <c r="H2421" t="str">
        <f t="shared" si="189"/>
        <v/>
      </c>
      <c r="I2421" s="60" t="str">
        <f t="shared" si="190"/>
        <v/>
      </c>
      <c r="J2421" t="str">
        <f t="shared" si="191"/>
        <v/>
      </c>
      <c r="K2421" s="60" t="str">
        <f t="shared" si="192"/>
        <v/>
      </c>
      <c r="L2421" t="str">
        <f t="shared" si="193"/>
        <v/>
      </c>
    </row>
    <row r="2422" spans="1:12" x14ac:dyDescent="0.25">
      <c r="G2422" t="str">
        <f t="shared" si="194"/>
        <v>06/02/19</v>
      </c>
      <c r="H2422" t="str">
        <f t="shared" si="189"/>
        <v/>
      </c>
      <c r="I2422" s="60" t="str">
        <f t="shared" si="190"/>
        <v/>
      </c>
      <c r="J2422" t="str">
        <f t="shared" si="191"/>
        <v/>
      </c>
      <c r="K2422" s="60" t="str">
        <f t="shared" si="192"/>
        <v/>
      </c>
      <c r="L2422" t="str">
        <f t="shared" si="193"/>
        <v/>
      </c>
    </row>
    <row r="2423" spans="1:12" x14ac:dyDescent="0.25">
      <c r="A2423" t="s">
        <v>2643</v>
      </c>
      <c r="G2423" t="str">
        <f t="shared" si="194"/>
        <v>06/03/19</v>
      </c>
      <c r="H2423" t="str">
        <f t="shared" si="189"/>
        <v/>
      </c>
      <c r="I2423" s="60" t="str">
        <f t="shared" si="190"/>
        <v/>
      </c>
      <c r="J2423" t="str">
        <f t="shared" si="191"/>
        <v/>
      </c>
      <c r="K2423" s="60" t="str">
        <f t="shared" si="192"/>
        <v/>
      </c>
      <c r="L2423" t="str">
        <f t="shared" si="193"/>
        <v/>
      </c>
    </row>
    <row r="2424" spans="1:12" x14ac:dyDescent="0.25">
      <c r="G2424" t="str">
        <f t="shared" si="194"/>
        <v>06/03/19</v>
      </c>
      <c r="H2424" t="str">
        <f t="shared" si="189"/>
        <v/>
      </c>
      <c r="I2424" s="60" t="str">
        <f t="shared" si="190"/>
        <v/>
      </c>
      <c r="J2424" t="str">
        <f t="shared" si="191"/>
        <v/>
      </c>
      <c r="K2424" s="60" t="str">
        <f t="shared" si="192"/>
        <v/>
      </c>
      <c r="L2424" t="str">
        <f t="shared" si="193"/>
        <v/>
      </c>
    </row>
    <row r="2425" spans="1:12" x14ac:dyDescent="0.25">
      <c r="A2425" t="s">
        <v>2644</v>
      </c>
      <c r="G2425" t="str">
        <f t="shared" si="194"/>
        <v>06/03/19</v>
      </c>
      <c r="H2425" t="str">
        <f t="shared" si="189"/>
        <v>Los Angeles Dodgers</v>
      </c>
      <c r="I2425" s="60">
        <f t="shared" si="190"/>
        <v>3</v>
      </c>
      <c r="J2425" t="str">
        <f t="shared" si="191"/>
        <v>Arizona D'Backs</v>
      </c>
      <c r="K2425" s="60">
        <f t="shared" si="192"/>
        <v>1</v>
      </c>
      <c r="L2425">
        <f t="shared" si="193"/>
        <v>2</v>
      </c>
    </row>
    <row r="2426" spans="1:12" x14ac:dyDescent="0.25">
      <c r="G2426" t="str">
        <f t="shared" si="194"/>
        <v>06/03/19</v>
      </c>
      <c r="H2426" t="str">
        <f t="shared" si="189"/>
        <v/>
      </c>
      <c r="I2426" s="60" t="str">
        <f t="shared" si="190"/>
        <v/>
      </c>
      <c r="J2426" t="str">
        <f t="shared" si="191"/>
        <v/>
      </c>
      <c r="K2426" s="60" t="str">
        <f t="shared" si="192"/>
        <v/>
      </c>
      <c r="L2426" t="str">
        <f t="shared" si="193"/>
        <v/>
      </c>
    </row>
    <row r="2427" spans="1:12" x14ac:dyDescent="0.25">
      <c r="A2427" t="s">
        <v>2645</v>
      </c>
      <c r="G2427" t="str">
        <f t="shared" si="194"/>
        <v>06/03/19</v>
      </c>
      <c r="H2427" t="str">
        <f t="shared" si="189"/>
        <v>Los Angeles Angels</v>
      </c>
      <c r="I2427" s="60">
        <f t="shared" si="190"/>
        <v>1</v>
      </c>
      <c r="J2427" t="str">
        <f t="shared" si="191"/>
        <v>Chicago Cubs</v>
      </c>
      <c r="K2427" s="60">
        <f t="shared" si="192"/>
        <v>8</v>
      </c>
      <c r="L2427">
        <f t="shared" si="193"/>
        <v>-7</v>
      </c>
    </row>
    <row r="2428" spans="1:12" x14ac:dyDescent="0.25">
      <c r="G2428" t="str">
        <f t="shared" si="194"/>
        <v>06/03/19</v>
      </c>
      <c r="H2428" t="str">
        <f t="shared" si="189"/>
        <v/>
      </c>
      <c r="I2428" s="60" t="str">
        <f t="shared" si="190"/>
        <v/>
      </c>
      <c r="J2428" t="str">
        <f t="shared" si="191"/>
        <v/>
      </c>
      <c r="K2428" s="60" t="str">
        <f t="shared" si="192"/>
        <v/>
      </c>
      <c r="L2428" t="str">
        <f t="shared" si="193"/>
        <v/>
      </c>
    </row>
    <row r="2429" spans="1:12" x14ac:dyDescent="0.25">
      <c r="A2429" t="s">
        <v>2646</v>
      </c>
      <c r="G2429" t="str">
        <f t="shared" si="194"/>
        <v>06/03/19</v>
      </c>
      <c r="H2429" t="str">
        <f t="shared" si="189"/>
        <v>Philadelphia Phillies</v>
      </c>
      <c r="I2429" s="60">
        <f t="shared" si="190"/>
        <v>2</v>
      </c>
      <c r="J2429" t="str">
        <f t="shared" si="191"/>
        <v>San Diego Padres</v>
      </c>
      <c r="K2429" s="60">
        <f t="shared" si="192"/>
        <v>8</v>
      </c>
      <c r="L2429">
        <f t="shared" si="193"/>
        <v>-6</v>
      </c>
    </row>
    <row r="2430" spans="1:12" x14ac:dyDescent="0.25">
      <c r="G2430" t="str">
        <f t="shared" si="194"/>
        <v>06/03/19</v>
      </c>
      <c r="H2430" t="str">
        <f t="shared" si="189"/>
        <v/>
      </c>
      <c r="I2430" s="60" t="str">
        <f t="shared" si="190"/>
        <v/>
      </c>
      <c r="J2430" t="str">
        <f t="shared" si="191"/>
        <v/>
      </c>
      <c r="K2430" s="60" t="str">
        <f t="shared" si="192"/>
        <v/>
      </c>
      <c r="L2430" t="str">
        <f t="shared" si="193"/>
        <v/>
      </c>
    </row>
    <row r="2431" spans="1:12" x14ac:dyDescent="0.25">
      <c r="A2431" t="s">
        <v>2647</v>
      </c>
      <c r="G2431" t="str">
        <f t="shared" si="194"/>
        <v>06/03/19</v>
      </c>
      <c r="H2431" t="str">
        <f t="shared" si="189"/>
        <v>Houston Astros</v>
      </c>
      <c r="I2431" s="60">
        <f t="shared" si="190"/>
        <v>4</v>
      </c>
      <c r="J2431" t="str">
        <f t="shared" si="191"/>
        <v>Seattle Mariners</v>
      </c>
      <c r="K2431" s="60">
        <f t="shared" si="192"/>
        <v>2</v>
      </c>
      <c r="L2431">
        <f t="shared" si="193"/>
        <v>2</v>
      </c>
    </row>
    <row r="2432" spans="1:12" x14ac:dyDescent="0.25">
      <c r="G2432" t="str">
        <f t="shared" si="194"/>
        <v>06/03/19</v>
      </c>
      <c r="H2432" t="str">
        <f t="shared" si="189"/>
        <v/>
      </c>
      <c r="I2432" s="60" t="str">
        <f t="shared" si="190"/>
        <v/>
      </c>
      <c r="J2432" t="str">
        <f t="shared" si="191"/>
        <v/>
      </c>
      <c r="K2432" s="60" t="str">
        <f t="shared" si="192"/>
        <v/>
      </c>
      <c r="L2432" t="str">
        <f t="shared" si="193"/>
        <v/>
      </c>
    </row>
    <row r="2433" spans="1:12" x14ac:dyDescent="0.25">
      <c r="A2433" t="s">
        <v>2648</v>
      </c>
      <c r="G2433" t="str">
        <f t="shared" si="194"/>
        <v>06/03/19</v>
      </c>
      <c r="H2433" t="str">
        <f t="shared" si="189"/>
        <v/>
      </c>
      <c r="I2433" s="60" t="str">
        <f t="shared" si="190"/>
        <v/>
      </c>
      <c r="J2433" t="str">
        <f t="shared" si="191"/>
        <v/>
      </c>
      <c r="K2433" s="60" t="str">
        <f t="shared" si="192"/>
        <v/>
      </c>
      <c r="L2433" t="str">
        <f t="shared" si="193"/>
        <v/>
      </c>
    </row>
    <row r="2434" spans="1:12" x14ac:dyDescent="0.25">
      <c r="G2434" t="str">
        <f t="shared" si="194"/>
        <v>06/03/19</v>
      </c>
      <c r="H2434" t="str">
        <f t="shared" si="189"/>
        <v/>
      </c>
      <c r="I2434" s="60" t="str">
        <f t="shared" si="190"/>
        <v/>
      </c>
      <c r="J2434" t="str">
        <f t="shared" si="191"/>
        <v/>
      </c>
      <c r="K2434" s="60" t="str">
        <f t="shared" si="192"/>
        <v/>
      </c>
      <c r="L2434" t="str">
        <f t="shared" si="193"/>
        <v/>
      </c>
    </row>
    <row r="2435" spans="1:12" x14ac:dyDescent="0.25">
      <c r="A2435" t="s">
        <v>2649</v>
      </c>
      <c r="G2435" t="str">
        <f t="shared" si="194"/>
        <v>06/04/19</v>
      </c>
      <c r="H2435" t="str">
        <f t="shared" si="189"/>
        <v/>
      </c>
      <c r="I2435" s="60" t="str">
        <f t="shared" si="190"/>
        <v/>
      </c>
      <c r="J2435" t="str">
        <f t="shared" si="191"/>
        <v/>
      </c>
      <c r="K2435" s="60" t="str">
        <f t="shared" si="192"/>
        <v/>
      </c>
      <c r="L2435" t="str">
        <f t="shared" si="193"/>
        <v/>
      </c>
    </row>
    <row r="2436" spans="1:12" x14ac:dyDescent="0.25">
      <c r="G2436" t="str">
        <f t="shared" si="194"/>
        <v>06/04/19</v>
      </c>
      <c r="H2436" t="str">
        <f t="shared" si="189"/>
        <v/>
      </c>
      <c r="I2436" s="60" t="str">
        <f t="shared" si="190"/>
        <v/>
      </c>
      <c r="J2436" t="str">
        <f t="shared" si="191"/>
        <v/>
      </c>
      <c r="K2436" s="60" t="str">
        <f t="shared" si="192"/>
        <v/>
      </c>
      <c r="L2436" t="str">
        <f t="shared" si="193"/>
        <v/>
      </c>
    </row>
    <row r="2437" spans="1:12" x14ac:dyDescent="0.25">
      <c r="A2437" t="s">
        <v>2650</v>
      </c>
      <c r="G2437" t="str">
        <f t="shared" si="194"/>
        <v>06/04/19</v>
      </c>
      <c r="H2437" t="str">
        <f t="shared" si="189"/>
        <v>Oakland Athletics</v>
      </c>
      <c r="I2437" s="60">
        <f t="shared" si="190"/>
        <v>4</v>
      </c>
      <c r="J2437" t="str">
        <f t="shared" si="191"/>
        <v>Los Angeles Angels</v>
      </c>
      <c r="K2437" s="60">
        <f t="shared" si="192"/>
        <v>2</v>
      </c>
      <c r="L2437">
        <f t="shared" si="193"/>
        <v>2</v>
      </c>
    </row>
    <row r="2438" spans="1:12" x14ac:dyDescent="0.25">
      <c r="G2438" t="str">
        <f t="shared" si="194"/>
        <v>06/04/19</v>
      </c>
      <c r="H2438" t="str">
        <f t="shared" si="189"/>
        <v/>
      </c>
      <c r="I2438" s="60" t="str">
        <f t="shared" si="190"/>
        <v/>
      </c>
      <c r="J2438" t="str">
        <f t="shared" si="191"/>
        <v/>
      </c>
      <c r="K2438" s="60" t="str">
        <f t="shared" si="192"/>
        <v/>
      </c>
      <c r="L2438" t="str">
        <f t="shared" si="193"/>
        <v/>
      </c>
    </row>
    <row r="2439" spans="1:12" x14ac:dyDescent="0.25">
      <c r="A2439" t="s">
        <v>2651</v>
      </c>
      <c r="G2439" t="str">
        <f t="shared" si="194"/>
        <v>06/04/19</v>
      </c>
      <c r="H2439" t="str">
        <f t="shared" si="189"/>
        <v>Los Angeles Dodgers</v>
      </c>
      <c r="I2439" s="60">
        <f t="shared" si="190"/>
        <v>9</v>
      </c>
      <c r="J2439" t="str">
        <f t="shared" si="191"/>
        <v>Arizona D'Backs</v>
      </c>
      <c r="K2439" s="60">
        <f t="shared" si="192"/>
        <v>0</v>
      </c>
      <c r="L2439">
        <f t="shared" si="193"/>
        <v>9</v>
      </c>
    </row>
    <row r="2440" spans="1:12" x14ac:dyDescent="0.25">
      <c r="G2440" t="str">
        <f t="shared" si="194"/>
        <v>06/04/19</v>
      </c>
      <c r="H2440" t="str">
        <f t="shared" si="189"/>
        <v/>
      </c>
      <c r="I2440" s="60" t="str">
        <f t="shared" si="190"/>
        <v/>
      </c>
      <c r="J2440" t="str">
        <f t="shared" si="191"/>
        <v/>
      </c>
      <c r="K2440" s="60" t="str">
        <f t="shared" si="192"/>
        <v/>
      </c>
      <c r="L2440" t="str">
        <f t="shared" si="193"/>
        <v/>
      </c>
    </row>
    <row r="2441" spans="1:12" x14ac:dyDescent="0.25">
      <c r="A2441" t="s">
        <v>2652</v>
      </c>
      <c r="G2441" t="str">
        <f t="shared" si="194"/>
        <v>06/04/19</v>
      </c>
      <c r="H2441" t="str">
        <f t="shared" si="189"/>
        <v>Colorado Rockies</v>
      </c>
      <c r="I2441" s="60">
        <f t="shared" si="190"/>
        <v>3</v>
      </c>
      <c r="J2441" t="str">
        <f t="shared" si="191"/>
        <v>Chicago Cubs</v>
      </c>
      <c r="K2441" s="60">
        <f t="shared" si="192"/>
        <v>6</v>
      </c>
      <c r="L2441">
        <f t="shared" si="193"/>
        <v>-3</v>
      </c>
    </row>
    <row r="2442" spans="1:12" x14ac:dyDescent="0.25">
      <c r="G2442" t="str">
        <f t="shared" si="194"/>
        <v>06/04/19</v>
      </c>
      <c r="H2442" t="str">
        <f t="shared" si="189"/>
        <v/>
      </c>
      <c r="I2442" s="60" t="str">
        <f t="shared" si="190"/>
        <v/>
      </c>
      <c r="J2442" t="str">
        <f t="shared" si="191"/>
        <v/>
      </c>
      <c r="K2442" s="60" t="str">
        <f t="shared" si="192"/>
        <v/>
      </c>
      <c r="L2442" t="str">
        <f t="shared" si="193"/>
        <v/>
      </c>
    </row>
    <row r="2443" spans="1:12" x14ac:dyDescent="0.25">
      <c r="A2443" t="s">
        <v>2653</v>
      </c>
      <c r="G2443" t="str">
        <f t="shared" si="194"/>
        <v>06/04/19</v>
      </c>
      <c r="H2443" t="str">
        <f t="shared" si="189"/>
        <v>Minnesota Twins</v>
      </c>
      <c r="I2443" s="60">
        <f t="shared" si="190"/>
        <v>2</v>
      </c>
      <c r="J2443" t="str">
        <f t="shared" si="191"/>
        <v>Cleveland Indians</v>
      </c>
      <c r="K2443" s="60">
        <f t="shared" si="192"/>
        <v>5</v>
      </c>
      <c r="L2443">
        <f t="shared" si="193"/>
        <v>-3</v>
      </c>
    </row>
    <row r="2444" spans="1:12" x14ac:dyDescent="0.25">
      <c r="G2444" t="str">
        <f t="shared" si="194"/>
        <v>06/04/19</v>
      </c>
      <c r="H2444" t="str">
        <f t="shared" si="189"/>
        <v/>
      </c>
      <c r="I2444" s="60" t="str">
        <f t="shared" si="190"/>
        <v/>
      </c>
      <c r="J2444" t="str">
        <f t="shared" si="191"/>
        <v/>
      </c>
      <c r="K2444" s="60" t="str">
        <f t="shared" si="192"/>
        <v/>
      </c>
      <c r="L2444" t="str">
        <f t="shared" si="193"/>
        <v/>
      </c>
    </row>
    <row r="2445" spans="1:12" x14ac:dyDescent="0.25">
      <c r="A2445" t="s">
        <v>2654</v>
      </c>
      <c r="G2445" t="str">
        <f t="shared" si="194"/>
        <v>06/04/19</v>
      </c>
      <c r="H2445" t="str">
        <f t="shared" si="189"/>
        <v>Tampa Bay Rays</v>
      </c>
      <c r="I2445" s="60">
        <f t="shared" si="190"/>
        <v>6</v>
      </c>
      <c r="J2445" t="str">
        <f t="shared" si="191"/>
        <v>Detroit Tigers</v>
      </c>
      <c r="K2445" s="60">
        <f t="shared" si="192"/>
        <v>9</v>
      </c>
      <c r="L2445">
        <f t="shared" si="193"/>
        <v>-3</v>
      </c>
    </row>
    <row r="2446" spans="1:12" x14ac:dyDescent="0.25">
      <c r="G2446" t="str">
        <f t="shared" si="194"/>
        <v>06/04/19</v>
      </c>
      <c r="H2446" t="str">
        <f t="shared" si="189"/>
        <v/>
      </c>
      <c r="I2446" s="60" t="str">
        <f t="shared" si="190"/>
        <v/>
      </c>
      <c r="J2446" t="str">
        <f t="shared" si="191"/>
        <v/>
      </c>
      <c r="K2446" s="60" t="str">
        <f t="shared" si="192"/>
        <v/>
      </c>
      <c r="L2446" t="str">
        <f t="shared" si="193"/>
        <v/>
      </c>
    </row>
    <row r="2447" spans="1:12" x14ac:dyDescent="0.25">
      <c r="A2447" t="s">
        <v>2655</v>
      </c>
      <c r="G2447" t="str">
        <f t="shared" si="194"/>
        <v>06/04/19</v>
      </c>
      <c r="H2447" t="str">
        <f t="shared" si="189"/>
        <v>Boston Red Sox</v>
      </c>
      <c r="I2447" s="60">
        <f t="shared" si="190"/>
        <v>8</v>
      </c>
      <c r="J2447" t="str">
        <f t="shared" si="191"/>
        <v>Kansas City Royals</v>
      </c>
      <c r="K2447" s="60">
        <f t="shared" si="192"/>
        <v>3</v>
      </c>
      <c r="L2447">
        <f t="shared" si="193"/>
        <v>5</v>
      </c>
    </row>
    <row r="2448" spans="1:12" x14ac:dyDescent="0.25">
      <c r="G2448" t="str">
        <f t="shared" si="194"/>
        <v>06/04/19</v>
      </c>
      <c r="H2448" t="str">
        <f t="shared" ref="H2448:H2511" si="195">IFERROR(LEFT(MID(A2448,1,SEARCH("@",A2448)-2),SEARCH("(",A2448)-2),"")</f>
        <v/>
      </c>
      <c r="I2448" s="60" t="str">
        <f t="shared" ref="I2448:I2511" si="196">IFERROR(VALUE(MID(A2448,SEARCH("(",A2448)+1,SEARCH(")",A2448)-SEARCH("(",A2448)-1)),"")</f>
        <v/>
      </c>
      <c r="J2448" t="str">
        <f t="shared" ref="J2448:J2511" si="197">IFERROR(MID(A2448,SEARCH("@",A2448)+2,SEARCH("(",A2448,SEARCH("@",A2448))-SEARCH("@",A2448)-3),"")</f>
        <v/>
      </c>
      <c r="K2448" s="60" t="str">
        <f t="shared" ref="K2448:K2511" si="198">IFERROR(VALUE(MID(A2448,SEARCH(J2448,A2448)+LEN(J2448)+2,(SEARCH(")",A2448,SEARCH("@",A2448))-SEARCH("(",A2448,SEARCH("@",A2448))-1))),"")</f>
        <v/>
      </c>
      <c r="L2448" t="str">
        <f t="shared" ref="L2448:L2511" si="199">IFERROR(I2448-K2448,"")</f>
        <v/>
      </c>
    </row>
    <row r="2449" spans="1:12" x14ac:dyDescent="0.25">
      <c r="A2449" t="s">
        <v>2656</v>
      </c>
      <c r="G2449" t="str">
        <f t="shared" si="194"/>
        <v>06/04/19</v>
      </c>
      <c r="H2449" t="str">
        <f t="shared" si="195"/>
        <v>Miami Marlins</v>
      </c>
      <c r="I2449" s="60">
        <f t="shared" si="196"/>
        <v>16</v>
      </c>
      <c r="J2449" t="str">
        <f t="shared" si="197"/>
        <v>Milwaukee Brewers</v>
      </c>
      <c r="K2449" s="60">
        <f t="shared" si="198"/>
        <v>0</v>
      </c>
      <c r="L2449">
        <f t="shared" si="199"/>
        <v>16</v>
      </c>
    </row>
    <row r="2450" spans="1:12" x14ac:dyDescent="0.25">
      <c r="G2450" t="str">
        <f t="shared" si="194"/>
        <v>06/04/19</v>
      </c>
      <c r="H2450" t="str">
        <f t="shared" si="195"/>
        <v/>
      </c>
      <c r="I2450" s="60" t="str">
        <f t="shared" si="196"/>
        <v/>
      </c>
      <c r="J2450" t="str">
        <f t="shared" si="197"/>
        <v/>
      </c>
      <c r="K2450" s="60" t="str">
        <f t="shared" si="198"/>
        <v/>
      </c>
      <c r="L2450" t="str">
        <f t="shared" si="199"/>
        <v/>
      </c>
    </row>
    <row r="2451" spans="1:12" x14ac:dyDescent="0.25">
      <c r="A2451" t="s">
        <v>2657</v>
      </c>
      <c r="G2451" t="str">
        <f t="shared" si="194"/>
        <v>06/04/19</v>
      </c>
      <c r="H2451" t="str">
        <f t="shared" si="195"/>
        <v>San Francisco Giants</v>
      </c>
      <c r="I2451" s="60">
        <f t="shared" si="196"/>
        <v>9</v>
      </c>
      <c r="J2451" t="str">
        <f t="shared" si="197"/>
        <v>New York Mets</v>
      </c>
      <c r="K2451" s="60">
        <f t="shared" si="198"/>
        <v>3</v>
      </c>
      <c r="L2451">
        <f t="shared" si="199"/>
        <v>6</v>
      </c>
    </row>
    <row r="2452" spans="1:12" x14ac:dyDescent="0.25">
      <c r="G2452" t="str">
        <f t="shared" si="194"/>
        <v>06/04/19</v>
      </c>
      <c r="H2452" t="str">
        <f t="shared" si="195"/>
        <v/>
      </c>
      <c r="I2452" s="60" t="str">
        <f t="shared" si="196"/>
        <v/>
      </c>
      <c r="J2452" t="str">
        <f t="shared" si="197"/>
        <v/>
      </c>
      <c r="K2452" s="60" t="str">
        <f t="shared" si="198"/>
        <v/>
      </c>
      <c r="L2452" t="str">
        <f t="shared" si="199"/>
        <v/>
      </c>
    </row>
    <row r="2453" spans="1:12" x14ac:dyDescent="0.25">
      <c r="A2453" t="s">
        <v>2658</v>
      </c>
      <c r="G2453" t="str">
        <f t="shared" si="194"/>
        <v>06/04/19</v>
      </c>
      <c r="H2453" t="str">
        <f t="shared" si="195"/>
        <v>Atlanta Braves</v>
      </c>
      <c r="I2453" s="60">
        <f t="shared" si="196"/>
        <v>12</v>
      </c>
      <c r="J2453" t="str">
        <f t="shared" si="197"/>
        <v>Pittsburgh Pirates</v>
      </c>
      <c r="K2453" s="60">
        <f t="shared" si="198"/>
        <v>5</v>
      </c>
      <c r="L2453">
        <f t="shared" si="199"/>
        <v>7</v>
      </c>
    </row>
    <row r="2454" spans="1:12" x14ac:dyDescent="0.25">
      <c r="G2454" t="str">
        <f t="shared" si="194"/>
        <v>06/04/19</v>
      </c>
      <c r="H2454" t="str">
        <f t="shared" si="195"/>
        <v/>
      </c>
      <c r="I2454" s="60" t="str">
        <f t="shared" si="196"/>
        <v/>
      </c>
      <c r="J2454" t="str">
        <f t="shared" si="197"/>
        <v/>
      </c>
      <c r="K2454" s="60" t="str">
        <f t="shared" si="198"/>
        <v/>
      </c>
      <c r="L2454" t="str">
        <f t="shared" si="199"/>
        <v/>
      </c>
    </row>
    <row r="2455" spans="1:12" x14ac:dyDescent="0.25">
      <c r="A2455" t="s">
        <v>2659</v>
      </c>
      <c r="G2455" t="str">
        <f t="shared" si="194"/>
        <v>06/04/19</v>
      </c>
      <c r="H2455" t="str">
        <f t="shared" si="195"/>
        <v>Philadelphia Phillies</v>
      </c>
      <c r="I2455" s="60">
        <f t="shared" si="196"/>
        <v>9</v>
      </c>
      <c r="J2455" t="str">
        <f t="shared" si="197"/>
        <v>San Diego Padres</v>
      </c>
      <c r="K2455" s="60">
        <f t="shared" si="198"/>
        <v>6</v>
      </c>
      <c r="L2455">
        <f t="shared" si="199"/>
        <v>3</v>
      </c>
    </row>
    <row r="2456" spans="1:12" x14ac:dyDescent="0.25">
      <c r="G2456" t="str">
        <f t="shared" si="194"/>
        <v>06/04/19</v>
      </c>
      <c r="H2456" t="str">
        <f t="shared" si="195"/>
        <v/>
      </c>
      <c r="I2456" s="60" t="str">
        <f t="shared" si="196"/>
        <v/>
      </c>
      <c r="J2456" t="str">
        <f t="shared" si="197"/>
        <v/>
      </c>
      <c r="K2456" s="60" t="str">
        <f t="shared" si="198"/>
        <v/>
      </c>
      <c r="L2456" t="str">
        <f t="shared" si="199"/>
        <v/>
      </c>
    </row>
    <row r="2457" spans="1:12" x14ac:dyDescent="0.25">
      <c r="A2457" t="s">
        <v>2660</v>
      </c>
      <c r="G2457" t="str">
        <f t="shared" si="194"/>
        <v>06/04/19</v>
      </c>
      <c r="H2457" t="str">
        <f t="shared" si="195"/>
        <v>Houston Astros</v>
      </c>
      <c r="I2457" s="60">
        <f t="shared" si="196"/>
        <v>11</v>
      </c>
      <c r="J2457" t="str">
        <f t="shared" si="197"/>
        <v>Seattle Mariners</v>
      </c>
      <c r="K2457" s="60">
        <f t="shared" si="198"/>
        <v>5</v>
      </c>
      <c r="L2457">
        <f t="shared" si="199"/>
        <v>6</v>
      </c>
    </row>
    <row r="2458" spans="1:12" x14ac:dyDescent="0.25">
      <c r="G2458" t="str">
        <f t="shared" si="194"/>
        <v>06/04/19</v>
      </c>
      <c r="H2458" t="str">
        <f t="shared" si="195"/>
        <v/>
      </c>
      <c r="I2458" s="60" t="str">
        <f t="shared" si="196"/>
        <v/>
      </c>
      <c r="J2458" t="str">
        <f t="shared" si="197"/>
        <v/>
      </c>
      <c r="K2458" s="60" t="str">
        <f t="shared" si="198"/>
        <v/>
      </c>
      <c r="L2458" t="str">
        <f t="shared" si="199"/>
        <v/>
      </c>
    </row>
    <row r="2459" spans="1:12" x14ac:dyDescent="0.25">
      <c r="A2459" t="s">
        <v>2661</v>
      </c>
      <c r="G2459" t="str">
        <f t="shared" si="194"/>
        <v>06/04/19</v>
      </c>
      <c r="H2459" t="str">
        <f t="shared" si="195"/>
        <v>Cincinnati Reds</v>
      </c>
      <c r="I2459" s="60">
        <f t="shared" si="196"/>
        <v>4</v>
      </c>
      <c r="J2459" t="str">
        <f t="shared" si="197"/>
        <v>St. Louis Cardinals</v>
      </c>
      <c r="K2459" s="60">
        <f t="shared" si="198"/>
        <v>1</v>
      </c>
      <c r="L2459">
        <f t="shared" si="199"/>
        <v>3</v>
      </c>
    </row>
    <row r="2460" spans="1:12" x14ac:dyDescent="0.25">
      <c r="G2460" t="str">
        <f t="shared" si="194"/>
        <v>06/04/19</v>
      </c>
      <c r="H2460" t="str">
        <f t="shared" si="195"/>
        <v/>
      </c>
      <c r="I2460" s="60" t="str">
        <f t="shared" si="196"/>
        <v/>
      </c>
      <c r="J2460" t="str">
        <f t="shared" si="197"/>
        <v/>
      </c>
      <c r="K2460" s="60" t="str">
        <f t="shared" si="198"/>
        <v/>
      </c>
      <c r="L2460" t="str">
        <f t="shared" si="199"/>
        <v/>
      </c>
    </row>
    <row r="2461" spans="1:12" x14ac:dyDescent="0.25">
      <c r="A2461" t="s">
        <v>2662</v>
      </c>
      <c r="G2461" t="str">
        <f t="shared" si="194"/>
        <v>06/04/19</v>
      </c>
      <c r="H2461" t="str">
        <f t="shared" si="195"/>
        <v>Baltimore Orioles</v>
      </c>
      <c r="I2461" s="60">
        <f t="shared" si="196"/>
        <v>12</v>
      </c>
      <c r="J2461" t="str">
        <f t="shared" si="197"/>
        <v>Texas Rangers</v>
      </c>
      <c r="K2461" s="60">
        <f t="shared" si="198"/>
        <v>11</v>
      </c>
      <c r="L2461">
        <f t="shared" si="199"/>
        <v>1</v>
      </c>
    </row>
    <row r="2462" spans="1:12" x14ac:dyDescent="0.25">
      <c r="G2462" t="str">
        <f t="shared" si="194"/>
        <v>06/04/19</v>
      </c>
      <c r="H2462" t="str">
        <f t="shared" si="195"/>
        <v/>
      </c>
      <c r="I2462" s="60" t="str">
        <f t="shared" si="196"/>
        <v/>
      </c>
      <c r="J2462" t="str">
        <f t="shared" si="197"/>
        <v/>
      </c>
      <c r="K2462" s="60" t="str">
        <f t="shared" si="198"/>
        <v/>
      </c>
      <c r="L2462" t="str">
        <f t="shared" si="199"/>
        <v/>
      </c>
    </row>
    <row r="2463" spans="1:12" x14ac:dyDescent="0.25">
      <c r="A2463" t="s">
        <v>2663</v>
      </c>
      <c r="G2463" t="str">
        <f t="shared" si="194"/>
        <v>06/04/19</v>
      </c>
      <c r="H2463" t="str">
        <f t="shared" si="195"/>
        <v>New York Yankees</v>
      </c>
      <c r="I2463" s="60">
        <f t="shared" si="196"/>
        <v>3</v>
      </c>
      <c r="J2463" t="str">
        <f t="shared" si="197"/>
        <v>Toronto Blue Jays</v>
      </c>
      <c r="K2463" s="60">
        <f t="shared" si="198"/>
        <v>4</v>
      </c>
      <c r="L2463">
        <f t="shared" si="199"/>
        <v>-1</v>
      </c>
    </row>
    <row r="2464" spans="1:12" x14ac:dyDescent="0.25">
      <c r="G2464" t="str">
        <f t="shared" si="194"/>
        <v>06/04/19</v>
      </c>
      <c r="H2464" t="str">
        <f t="shared" si="195"/>
        <v/>
      </c>
      <c r="I2464" s="60" t="str">
        <f t="shared" si="196"/>
        <v/>
      </c>
      <c r="J2464" t="str">
        <f t="shared" si="197"/>
        <v/>
      </c>
      <c r="K2464" s="60" t="str">
        <f t="shared" si="198"/>
        <v/>
      </c>
      <c r="L2464" t="str">
        <f t="shared" si="199"/>
        <v/>
      </c>
    </row>
    <row r="2465" spans="1:12" x14ac:dyDescent="0.25">
      <c r="A2465" t="s">
        <v>2664</v>
      </c>
      <c r="G2465" t="str">
        <f t="shared" si="194"/>
        <v>06/04/19</v>
      </c>
      <c r="H2465" t="str">
        <f t="shared" si="195"/>
        <v>Chicago White Sox</v>
      </c>
      <c r="I2465" s="60">
        <f t="shared" si="196"/>
        <v>5</v>
      </c>
      <c r="J2465" t="str">
        <f t="shared" si="197"/>
        <v>Washington Nationals</v>
      </c>
      <c r="K2465" s="60">
        <f t="shared" si="198"/>
        <v>9</v>
      </c>
      <c r="L2465">
        <f t="shared" si="199"/>
        <v>-4</v>
      </c>
    </row>
    <row r="2466" spans="1:12" x14ac:dyDescent="0.25">
      <c r="G2466" t="str">
        <f t="shared" ref="G2466:G2529" si="200">IF(ISNUMBER(MATCH(IFERROR(LEFT(A2466,SEARCH(",",A2466)-1),""),$G$220:$M$220,0)),TEXT(MID(A2466,SEARCH(",",A2466)+2,LEN(A2466)),"mm/dd/yy"),G2465)</f>
        <v>06/04/19</v>
      </c>
      <c r="H2466" t="str">
        <f t="shared" si="195"/>
        <v/>
      </c>
      <c r="I2466" s="60" t="str">
        <f t="shared" si="196"/>
        <v/>
      </c>
      <c r="J2466" t="str">
        <f t="shared" si="197"/>
        <v/>
      </c>
      <c r="K2466" s="60" t="str">
        <f t="shared" si="198"/>
        <v/>
      </c>
      <c r="L2466" t="str">
        <f t="shared" si="199"/>
        <v/>
      </c>
    </row>
    <row r="2467" spans="1:12" x14ac:dyDescent="0.25">
      <c r="A2467" t="s">
        <v>2665</v>
      </c>
      <c r="G2467" t="str">
        <f t="shared" si="200"/>
        <v>06/04/19</v>
      </c>
      <c r="H2467" t="str">
        <f t="shared" si="195"/>
        <v/>
      </c>
      <c r="I2467" s="60" t="str">
        <f t="shared" si="196"/>
        <v/>
      </c>
      <c r="J2467" t="str">
        <f t="shared" si="197"/>
        <v/>
      </c>
      <c r="K2467" s="60" t="str">
        <f t="shared" si="198"/>
        <v/>
      </c>
      <c r="L2467" t="str">
        <f t="shared" si="199"/>
        <v/>
      </c>
    </row>
    <row r="2468" spans="1:12" x14ac:dyDescent="0.25">
      <c r="G2468" t="str">
        <f t="shared" si="200"/>
        <v>06/04/19</v>
      </c>
      <c r="H2468" t="str">
        <f t="shared" si="195"/>
        <v/>
      </c>
      <c r="I2468" s="60" t="str">
        <f t="shared" si="196"/>
        <v/>
      </c>
      <c r="J2468" t="str">
        <f t="shared" si="197"/>
        <v/>
      </c>
      <c r="K2468" s="60" t="str">
        <f t="shared" si="198"/>
        <v/>
      </c>
      <c r="L2468" t="str">
        <f t="shared" si="199"/>
        <v/>
      </c>
    </row>
    <row r="2469" spans="1:12" x14ac:dyDescent="0.25">
      <c r="A2469" t="s">
        <v>2666</v>
      </c>
      <c r="G2469" t="str">
        <f t="shared" si="200"/>
        <v>06/05/19</v>
      </c>
      <c r="H2469" t="str">
        <f t="shared" si="195"/>
        <v/>
      </c>
      <c r="I2469" s="60" t="str">
        <f t="shared" si="196"/>
        <v/>
      </c>
      <c r="J2469" t="str">
        <f t="shared" si="197"/>
        <v/>
      </c>
      <c r="K2469" s="60" t="str">
        <f t="shared" si="198"/>
        <v/>
      </c>
      <c r="L2469" t="str">
        <f t="shared" si="199"/>
        <v/>
      </c>
    </row>
    <row r="2470" spans="1:12" x14ac:dyDescent="0.25">
      <c r="G2470" t="str">
        <f t="shared" si="200"/>
        <v>06/05/19</v>
      </c>
      <c r="H2470" t="str">
        <f t="shared" si="195"/>
        <v/>
      </c>
      <c r="I2470" s="60" t="str">
        <f t="shared" si="196"/>
        <v/>
      </c>
      <c r="J2470" t="str">
        <f t="shared" si="197"/>
        <v/>
      </c>
      <c r="K2470" s="60" t="str">
        <f t="shared" si="198"/>
        <v/>
      </c>
      <c r="L2470" t="str">
        <f t="shared" si="199"/>
        <v/>
      </c>
    </row>
    <row r="2471" spans="1:12" x14ac:dyDescent="0.25">
      <c r="A2471" t="s">
        <v>2667</v>
      </c>
      <c r="G2471" t="str">
        <f t="shared" si="200"/>
        <v>06/05/19</v>
      </c>
      <c r="H2471" t="str">
        <f t="shared" si="195"/>
        <v>Oakland Athletics</v>
      </c>
      <c r="I2471" s="60">
        <f t="shared" si="196"/>
        <v>9</v>
      </c>
      <c r="J2471" t="str">
        <f t="shared" si="197"/>
        <v>Los Angeles Angels</v>
      </c>
      <c r="K2471" s="60">
        <f t="shared" si="198"/>
        <v>10</v>
      </c>
      <c r="L2471">
        <f t="shared" si="199"/>
        <v>-1</v>
      </c>
    </row>
    <row r="2472" spans="1:12" x14ac:dyDescent="0.25">
      <c r="G2472" t="str">
        <f t="shared" si="200"/>
        <v>06/05/19</v>
      </c>
      <c r="H2472" t="str">
        <f t="shared" si="195"/>
        <v/>
      </c>
      <c r="I2472" s="60" t="str">
        <f t="shared" si="196"/>
        <v/>
      </c>
      <c r="J2472" t="str">
        <f t="shared" si="197"/>
        <v/>
      </c>
      <c r="K2472" s="60" t="str">
        <f t="shared" si="198"/>
        <v/>
      </c>
      <c r="L2472" t="str">
        <f t="shared" si="199"/>
        <v/>
      </c>
    </row>
    <row r="2473" spans="1:12" x14ac:dyDescent="0.25">
      <c r="A2473" t="s">
        <v>2668</v>
      </c>
      <c r="G2473" t="str">
        <f t="shared" si="200"/>
        <v>06/05/19</v>
      </c>
      <c r="H2473" t="str">
        <f t="shared" si="195"/>
        <v>Los Angeles Dodgers</v>
      </c>
      <c r="I2473" s="60">
        <f t="shared" si="196"/>
        <v>2</v>
      </c>
      <c r="J2473" t="str">
        <f t="shared" si="197"/>
        <v>Arizona D'Backs</v>
      </c>
      <c r="K2473" s="60">
        <f t="shared" si="198"/>
        <v>3</v>
      </c>
      <c r="L2473">
        <f t="shared" si="199"/>
        <v>-1</v>
      </c>
    </row>
    <row r="2474" spans="1:12" x14ac:dyDescent="0.25">
      <c r="G2474" t="str">
        <f t="shared" si="200"/>
        <v>06/05/19</v>
      </c>
      <c r="H2474" t="str">
        <f t="shared" si="195"/>
        <v/>
      </c>
      <c r="I2474" s="60" t="str">
        <f t="shared" si="196"/>
        <v/>
      </c>
      <c r="J2474" t="str">
        <f t="shared" si="197"/>
        <v/>
      </c>
      <c r="K2474" s="60" t="str">
        <f t="shared" si="198"/>
        <v/>
      </c>
      <c r="L2474" t="str">
        <f t="shared" si="199"/>
        <v/>
      </c>
    </row>
    <row r="2475" spans="1:12" x14ac:dyDescent="0.25">
      <c r="A2475" t="s">
        <v>2669</v>
      </c>
      <c r="G2475" t="str">
        <f t="shared" si="200"/>
        <v>06/05/19</v>
      </c>
      <c r="H2475" t="str">
        <f t="shared" si="195"/>
        <v>Colorado Rockies</v>
      </c>
      <c r="I2475" s="60">
        <f t="shared" si="196"/>
        <v>8</v>
      </c>
      <c r="J2475" t="str">
        <f t="shared" si="197"/>
        <v>Chicago Cubs</v>
      </c>
      <c r="K2475" s="60">
        <f t="shared" si="198"/>
        <v>9</v>
      </c>
      <c r="L2475">
        <f t="shared" si="199"/>
        <v>-1</v>
      </c>
    </row>
    <row r="2476" spans="1:12" x14ac:dyDescent="0.25">
      <c r="G2476" t="str">
        <f t="shared" si="200"/>
        <v>06/05/19</v>
      </c>
      <c r="H2476" t="str">
        <f t="shared" si="195"/>
        <v/>
      </c>
      <c r="I2476" s="60" t="str">
        <f t="shared" si="196"/>
        <v/>
      </c>
      <c r="J2476" t="str">
        <f t="shared" si="197"/>
        <v/>
      </c>
      <c r="K2476" s="60" t="str">
        <f t="shared" si="198"/>
        <v/>
      </c>
      <c r="L2476" t="str">
        <f t="shared" si="199"/>
        <v/>
      </c>
    </row>
    <row r="2477" spans="1:12" x14ac:dyDescent="0.25">
      <c r="A2477" t="s">
        <v>2670</v>
      </c>
      <c r="G2477" t="str">
        <f t="shared" si="200"/>
        <v>06/05/19</v>
      </c>
      <c r="H2477" t="str">
        <f t="shared" si="195"/>
        <v>Minnesota Twins</v>
      </c>
      <c r="I2477" s="60">
        <f t="shared" si="196"/>
        <v>7</v>
      </c>
      <c r="J2477" t="str">
        <f t="shared" si="197"/>
        <v>Cleveland Indians</v>
      </c>
      <c r="K2477" s="60">
        <f t="shared" si="198"/>
        <v>9</v>
      </c>
      <c r="L2477">
        <f t="shared" si="199"/>
        <v>-2</v>
      </c>
    </row>
    <row r="2478" spans="1:12" x14ac:dyDescent="0.25">
      <c r="G2478" t="str">
        <f t="shared" si="200"/>
        <v>06/05/19</v>
      </c>
      <c r="H2478" t="str">
        <f t="shared" si="195"/>
        <v/>
      </c>
      <c r="I2478" s="60" t="str">
        <f t="shared" si="196"/>
        <v/>
      </c>
      <c r="J2478" t="str">
        <f t="shared" si="197"/>
        <v/>
      </c>
      <c r="K2478" s="60" t="str">
        <f t="shared" si="198"/>
        <v/>
      </c>
      <c r="L2478" t="str">
        <f t="shared" si="199"/>
        <v/>
      </c>
    </row>
    <row r="2479" spans="1:12" x14ac:dyDescent="0.25">
      <c r="A2479" t="s">
        <v>2671</v>
      </c>
      <c r="G2479" t="str">
        <f t="shared" si="200"/>
        <v>06/05/19</v>
      </c>
      <c r="H2479" t="str">
        <f t="shared" si="195"/>
        <v>Tampa Bay Rays</v>
      </c>
      <c r="I2479" s="60">
        <f t="shared" si="196"/>
        <v>4</v>
      </c>
      <c r="J2479" t="str">
        <f t="shared" si="197"/>
        <v>Detroit Tigers</v>
      </c>
      <c r="K2479" s="60">
        <f t="shared" si="198"/>
        <v>0</v>
      </c>
      <c r="L2479">
        <f t="shared" si="199"/>
        <v>4</v>
      </c>
    </row>
    <row r="2480" spans="1:12" x14ac:dyDescent="0.25">
      <c r="G2480" t="str">
        <f t="shared" si="200"/>
        <v>06/05/19</v>
      </c>
      <c r="H2480" t="str">
        <f t="shared" si="195"/>
        <v/>
      </c>
      <c r="I2480" s="60" t="str">
        <f t="shared" si="196"/>
        <v/>
      </c>
      <c r="J2480" t="str">
        <f t="shared" si="197"/>
        <v/>
      </c>
      <c r="K2480" s="60" t="str">
        <f t="shared" si="198"/>
        <v/>
      </c>
      <c r="L2480" t="str">
        <f t="shared" si="199"/>
        <v/>
      </c>
    </row>
    <row r="2481" spans="1:12" x14ac:dyDescent="0.25">
      <c r="A2481" t="s">
        <v>2672</v>
      </c>
      <c r="G2481" t="str">
        <f t="shared" si="200"/>
        <v>06/05/19</v>
      </c>
      <c r="H2481" t="str">
        <f t="shared" si="195"/>
        <v>Boston Red Sox</v>
      </c>
      <c r="I2481" s="60">
        <f t="shared" si="196"/>
        <v>8</v>
      </c>
      <c r="J2481" t="str">
        <f t="shared" si="197"/>
        <v>Kansas City Royals</v>
      </c>
      <c r="K2481" s="60">
        <f t="shared" si="198"/>
        <v>0</v>
      </c>
      <c r="L2481">
        <f t="shared" si="199"/>
        <v>8</v>
      </c>
    </row>
    <row r="2482" spans="1:12" x14ac:dyDescent="0.25">
      <c r="G2482" t="str">
        <f t="shared" si="200"/>
        <v>06/05/19</v>
      </c>
      <c r="H2482" t="str">
        <f t="shared" si="195"/>
        <v/>
      </c>
      <c r="I2482" s="60" t="str">
        <f t="shared" si="196"/>
        <v/>
      </c>
      <c r="J2482" t="str">
        <f t="shared" si="197"/>
        <v/>
      </c>
      <c r="K2482" s="60" t="str">
        <f t="shared" si="198"/>
        <v/>
      </c>
      <c r="L2482" t="str">
        <f t="shared" si="199"/>
        <v/>
      </c>
    </row>
    <row r="2483" spans="1:12" x14ac:dyDescent="0.25">
      <c r="A2483" t="s">
        <v>2673</v>
      </c>
      <c r="G2483" t="str">
        <f t="shared" si="200"/>
        <v>06/05/19</v>
      </c>
      <c r="H2483" t="str">
        <f t="shared" si="195"/>
        <v>Miami Marlins</v>
      </c>
      <c r="I2483" s="60">
        <f t="shared" si="196"/>
        <v>8</v>
      </c>
      <c r="J2483" t="str">
        <f t="shared" si="197"/>
        <v>Milwaukee Brewers</v>
      </c>
      <c r="K2483" s="60">
        <f t="shared" si="198"/>
        <v>3</v>
      </c>
      <c r="L2483">
        <f t="shared" si="199"/>
        <v>5</v>
      </c>
    </row>
    <row r="2484" spans="1:12" x14ac:dyDescent="0.25">
      <c r="G2484" t="str">
        <f t="shared" si="200"/>
        <v>06/05/19</v>
      </c>
      <c r="H2484" t="str">
        <f t="shared" si="195"/>
        <v/>
      </c>
      <c r="I2484" s="60" t="str">
        <f t="shared" si="196"/>
        <v/>
      </c>
      <c r="J2484" t="str">
        <f t="shared" si="197"/>
        <v/>
      </c>
      <c r="K2484" s="60" t="str">
        <f t="shared" si="198"/>
        <v/>
      </c>
      <c r="L2484" t="str">
        <f t="shared" si="199"/>
        <v/>
      </c>
    </row>
    <row r="2485" spans="1:12" x14ac:dyDescent="0.25">
      <c r="A2485" t="s">
        <v>2674</v>
      </c>
      <c r="G2485" t="str">
        <f t="shared" si="200"/>
        <v>06/05/19</v>
      </c>
      <c r="H2485" t="str">
        <f t="shared" si="195"/>
        <v>San Francisco Giants</v>
      </c>
      <c r="I2485" s="60">
        <f t="shared" si="196"/>
        <v>0</v>
      </c>
      <c r="J2485" t="str">
        <f t="shared" si="197"/>
        <v>New York Mets</v>
      </c>
      <c r="K2485" s="60">
        <f t="shared" si="198"/>
        <v>7</v>
      </c>
      <c r="L2485">
        <f t="shared" si="199"/>
        <v>-7</v>
      </c>
    </row>
    <row r="2486" spans="1:12" x14ac:dyDescent="0.25">
      <c r="G2486" t="str">
        <f t="shared" si="200"/>
        <v>06/05/19</v>
      </c>
      <c r="H2486" t="str">
        <f t="shared" si="195"/>
        <v/>
      </c>
      <c r="I2486" s="60" t="str">
        <f t="shared" si="196"/>
        <v/>
      </c>
      <c r="J2486" t="str">
        <f t="shared" si="197"/>
        <v/>
      </c>
      <c r="K2486" s="60" t="str">
        <f t="shared" si="198"/>
        <v/>
      </c>
      <c r="L2486" t="str">
        <f t="shared" si="199"/>
        <v/>
      </c>
    </row>
    <row r="2487" spans="1:12" x14ac:dyDescent="0.25">
      <c r="A2487" t="s">
        <v>2675</v>
      </c>
      <c r="G2487" t="str">
        <f t="shared" si="200"/>
        <v>06/05/19</v>
      </c>
      <c r="H2487" t="str">
        <f t="shared" si="195"/>
        <v>Atlanta Braves</v>
      </c>
      <c r="I2487" s="60">
        <f t="shared" si="196"/>
        <v>4</v>
      </c>
      <c r="J2487" t="str">
        <f t="shared" si="197"/>
        <v>Pittsburgh Pirates</v>
      </c>
      <c r="K2487" s="60">
        <f t="shared" si="198"/>
        <v>7</v>
      </c>
      <c r="L2487">
        <f t="shared" si="199"/>
        <v>-3</v>
      </c>
    </row>
    <row r="2488" spans="1:12" x14ac:dyDescent="0.25">
      <c r="G2488" t="str">
        <f t="shared" si="200"/>
        <v>06/05/19</v>
      </c>
      <c r="H2488" t="str">
        <f t="shared" si="195"/>
        <v/>
      </c>
      <c r="I2488" s="60" t="str">
        <f t="shared" si="196"/>
        <v/>
      </c>
      <c r="J2488" t="str">
        <f t="shared" si="197"/>
        <v/>
      </c>
      <c r="K2488" s="60" t="str">
        <f t="shared" si="198"/>
        <v/>
      </c>
      <c r="L2488" t="str">
        <f t="shared" si="199"/>
        <v/>
      </c>
    </row>
    <row r="2489" spans="1:12" x14ac:dyDescent="0.25">
      <c r="A2489" t="s">
        <v>2676</v>
      </c>
      <c r="G2489" t="str">
        <f t="shared" si="200"/>
        <v>06/05/19</v>
      </c>
      <c r="H2489" t="str">
        <f t="shared" si="195"/>
        <v>Philadelphia Phillies</v>
      </c>
      <c r="I2489" s="60">
        <f t="shared" si="196"/>
        <v>7</v>
      </c>
      <c r="J2489" t="str">
        <f t="shared" si="197"/>
        <v>San Diego Padres</v>
      </c>
      <c r="K2489" s="60">
        <f t="shared" si="198"/>
        <v>5</v>
      </c>
      <c r="L2489">
        <f t="shared" si="199"/>
        <v>2</v>
      </c>
    </row>
    <row r="2490" spans="1:12" x14ac:dyDescent="0.25">
      <c r="G2490" t="str">
        <f t="shared" si="200"/>
        <v>06/05/19</v>
      </c>
      <c r="H2490" t="str">
        <f t="shared" si="195"/>
        <v/>
      </c>
      <c r="I2490" s="60" t="str">
        <f t="shared" si="196"/>
        <v/>
      </c>
      <c r="J2490" t="str">
        <f t="shared" si="197"/>
        <v/>
      </c>
      <c r="K2490" s="60" t="str">
        <f t="shared" si="198"/>
        <v/>
      </c>
      <c r="L2490" t="str">
        <f t="shared" si="199"/>
        <v/>
      </c>
    </row>
    <row r="2491" spans="1:12" x14ac:dyDescent="0.25">
      <c r="A2491" t="s">
        <v>2677</v>
      </c>
      <c r="G2491" t="str">
        <f t="shared" si="200"/>
        <v>06/05/19</v>
      </c>
      <c r="H2491" t="str">
        <f t="shared" si="195"/>
        <v>Houston Astros</v>
      </c>
      <c r="I2491" s="60">
        <f t="shared" si="196"/>
        <v>1</v>
      </c>
      <c r="J2491" t="str">
        <f t="shared" si="197"/>
        <v>Seattle Mariners</v>
      </c>
      <c r="K2491" s="60">
        <f t="shared" si="198"/>
        <v>14</v>
      </c>
      <c r="L2491">
        <f t="shared" si="199"/>
        <v>-13</v>
      </c>
    </row>
    <row r="2492" spans="1:12" x14ac:dyDescent="0.25">
      <c r="G2492" t="str">
        <f t="shared" si="200"/>
        <v>06/05/19</v>
      </c>
      <c r="H2492" t="str">
        <f t="shared" si="195"/>
        <v/>
      </c>
      <c r="I2492" s="60" t="str">
        <f t="shared" si="196"/>
        <v/>
      </c>
      <c r="J2492" t="str">
        <f t="shared" si="197"/>
        <v/>
      </c>
      <c r="K2492" s="60" t="str">
        <f t="shared" si="198"/>
        <v/>
      </c>
      <c r="L2492" t="str">
        <f t="shared" si="199"/>
        <v/>
      </c>
    </row>
    <row r="2493" spans="1:12" x14ac:dyDescent="0.25">
      <c r="A2493" t="s">
        <v>2678</v>
      </c>
      <c r="G2493" t="str">
        <f t="shared" si="200"/>
        <v>06/05/19</v>
      </c>
      <c r="H2493" t="str">
        <f t="shared" si="195"/>
        <v>Baltimore Orioles</v>
      </c>
      <c r="I2493" s="60">
        <f t="shared" si="196"/>
        <v>1</v>
      </c>
      <c r="J2493" t="str">
        <f t="shared" si="197"/>
        <v>Texas Rangers</v>
      </c>
      <c r="K2493" s="60">
        <f t="shared" si="198"/>
        <v>2</v>
      </c>
      <c r="L2493">
        <f t="shared" si="199"/>
        <v>-1</v>
      </c>
    </row>
    <row r="2494" spans="1:12" x14ac:dyDescent="0.25">
      <c r="G2494" t="str">
        <f t="shared" si="200"/>
        <v>06/05/19</v>
      </c>
      <c r="H2494" t="str">
        <f t="shared" si="195"/>
        <v/>
      </c>
      <c r="I2494" s="60" t="str">
        <f t="shared" si="196"/>
        <v/>
      </c>
      <c r="J2494" t="str">
        <f t="shared" si="197"/>
        <v/>
      </c>
      <c r="K2494" s="60" t="str">
        <f t="shared" si="198"/>
        <v/>
      </c>
      <c r="L2494" t="str">
        <f t="shared" si="199"/>
        <v/>
      </c>
    </row>
    <row r="2495" spans="1:12" x14ac:dyDescent="0.25">
      <c r="A2495" t="s">
        <v>2679</v>
      </c>
      <c r="G2495" t="str">
        <f t="shared" si="200"/>
        <v>06/05/19</v>
      </c>
      <c r="H2495" t="str">
        <f t="shared" si="195"/>
        <v>New York Yankees</v>
      </c>
      <c r="I2495" s="60">
        <f t="shared" si="196"/>
        <v>7</v>
      </c>
      <c r="J2495" t="str">
        <f t="shared" si="197"/>
        <v>Toronto Blue Jays</v>
      </c>
      <c r="K2495" s="60">
        <f t="shared" si="198"/>
        <v>11</v>
      </c>
      <c r="L2495">
        <f t="shared" si="199"/>
        <v>-4</v>
      </c>
    </row>
    <row r="2496" spans="1:12" x14ac:dyDescent="0.25">
      <c r="G2496" t="str">
        <f t="shared" si="200"/>
        <v>06/05/19</v>
      </c>
      <c r="H2496" t="str">
        <f t="shared" si="195"/>
        <v/>
      </c>
      <c r="I2496" s="60" t="str">
        <f t="shared" si="196"/>
        <v/>
      </c>
      <c r="J2496" t="str">
        <f t="shared" si="197"/>
        <v/>
      </c>
      <c r="K2496" s="60" t="str">
        <f t="shared" si="198"/>
        <v/>
      </c>
      <c r="L2496" t="str">
        <f t="shared" si="199"/>
        <v/>
      </c>
    </row>
    <row r="2497" spans="1:12" x14ac:dyDescent="0.25">
      <c r="A2497" t="s">
        <v>2680</v>
      </c>
      <c r="G2497" t="str">
        <f t="shared" si="200"/>
        <v>06/05/19</v>
      </c>
      <c r="H2497" t="str">
        <f t="shared" si="195"/>
        <v>Chicago White Sox</v>
      </c>
      <c r="I2497" s="60">
        <f t="shared" si="196"/>
        <v>4</v>
      </c>
      <c r="J2497" t="str">
        <f t="shared" si="197"/>
        <v>Washington Nationals</v>
      </c>
      <c r="K2497" s="60">
        <f t="shared" si="198"/>
        <v>6</v>
      </c>
      <c r="L2497">
        <f t="shared" si="199"/>
        <v>-2</v>
      </c>
    </row>
    <row r="2498" spans="1:12" x14ac:dyDescent="0.25">
      <c r="G2498" t="str">
        <f t="shared" si="200"/>
        <v>06/05/19</v>
      </c>
      <c r="H2498" t="str">
        <f t="shared" si="195"/>
        <v/>
      </c>
      <c r="I2498" s="60" t="str">
        <f t="shared" si="196"/>
        <v/>
      </c>
      <c r="J2498" t="str">
        <f t="shared" si="197"/>
        <v/>
      </c>
      <c r="K2498" s="60" t="str">
        <f t="shared" si="198"/>
        <v/>
      </c>
      <c r="L2498" t="str">
        <f t="shared" si="199"/>
        <v/>
      </c>
    </row>
    <row r="2499" spans="1:12" x14ac:dyDescent="0.25">
      <c r="A2499" t="s">
        <v>2681</v>
      </c>
      <c r="G2499" t="str">
        <f t="shared" si="200"/>
        <v>06/05/19</v>
      </c>
      <c r="H2499" t="str">
        <f t="shared" si="195"/>
        <v/>
      </c>
      <c r="I2499" s="60" t="str">
        <f t="shared" si="196"/>
        <v/>
      </c>
      <c r="J2499" t="str">
        <f t="shared" si="197"/>
        <v/>
      </c>
      <c r="K2499" s="60" t="str">
        <f t="shared" si="198"/>
        <v/>
      </c>
      <c r="L2499" t="str">
        <f t="shared" si="199"/>
        <v/>
      </c>
    </row>
    <row r="2500" spans="1:12" x14ac:dyDescent="0.25">
      <c r="G2500" t="str">
        <f t="shared" si="200"/>
        <v>06/05/19</v>
      </c>
      <c r="H2500" t="str">
        <f t="shared" si="195"/>
        <v/>
      </c>
      <c r="I2500" s="60" t="str">
        <f t="shared" si="196"/>
        <v/>
      </c>
      <c r="J2500" t="str">
        <f t="shared" si="197"/>
        <v/>
      </c>
      <c r="K2500" s="60" t="str">
        <f t="shared" si="198"/>
        <v/>
      </c>
      <c r="L2500" t="str">
        <f t="shared" si="199"/>
        <v/>
      </c>
    </row>
    <row r="2501" spans="1:12" x14ac:dyDescent="0.25">
      <c r="A2501" t="s">
        <v>2682</v>
      </c>
      <c r="G2501" t="str">
        <f t="shared" si="200"/>
        <v>06/06/19</v>
      </c>
      <c r="H2501" t="str">
        <f t="shared" si="195"/>
        <v/>
      </c>
      <c r="I2501" s="60" t="str">
        <f t="shared" si="196"/>
        <v/>
      </c>
      <c r="J2501" t="str">
        <f t="shared" si="197"/>
        <v/>
      </c>
      <c r="K2501" s="60" t="str">
        <f t="shared" si="198"/>
        <v/>
      </c>
      <c r="L2501" t="str">
        <f t="shared" si="199"/>
        <v/>
      </c>
    </row>
    <row r="2502" spans="1:12" x14ac:dyDescent="0.25">
      <c r="G2502" t="str">
        <f t="shared" si="200"/>
        <v>06/06/19</v>
      </c>
      <c r="H2502" t="str">
        <f t="shared" si="195"/>
        <v/>
      </c>
      <c r="I2502" s="60" t="str">
        <f t="shared" si="196"/>
        <v/>
      </c>
      <c r="J2502" t="str">
        <f t="shared" si="197"/>
        <v/>
      </c>
      <c r="K2502" s="60" t="str">
        <f t="shared" si="198"/>
        <v/>
      </c>
      <c r="L2502" t="str">
        <f t="shared" si="199"/>
        <v/>
      </c>
    </row>
    <row r="2503" spans="1:12" x14ac:dyDescent="0.25">
      <c r="A2503" t="s">
        <v>2683</v>
      </c>
      <c r="G2503" t="str">
        <f t="shared" si="200"/>
        <v>06/06/19</v>
      </c>
      <c r="H2503" t="str">
        <f t="shared" si="195"/>
        <v>Oakland Athletics</v>
      </c>
      <c r="I2503" s="60">
        <f t="shared" si="196"/>
        <v>7</v>
      </c>
      <c r="J2503" t="str">
        <f t="shared" si="197"/>
        <v>Los Angeles Angels</v>
      </c>
      <c r="K2503" s="60">
        <f t="shared" si="198"/>
        <v>4</v>
      </c>
      <c r="L2503">
        <f t="shared" si="199"/>
        <v>3</v>
      </c>
    </row>
    <row r="2504" spans="1:12" x14ac:dyDescent="0.25">
      <c r="G2504" t="str">
        <f t="shared" si="200"/>
        <v>06/06/19</v>
      </c>
      <c r="H2504" t="str">
        <f t="shared" si="195"/>
        <v/>
      </c>
      <c r="I2504" s="60" t="str">
        <f t="shared" si="196"/>
        <v/>
      </c>
      <c r="J2504" t="str">
        <f t="shared" si="197"/>
        <v/>
      </c>
      <c r="K2504" s="60" t="str">
        <f t="shared" si="198"/>
        <v/>
      </c>
      <c r="L2504" t="str">
        <f t="shared" si="199"/>
        <v/>
      </c>
    </row>
    <row r="2505" spans="1:12" x14ac:dyDescent="0.25">
      <c r="A2505" t="s">
        <v>2684</v>
      </c>
      <c r="G2505" t="str">
        <f t="shared" si="200"/>
        <v>06/06/19</v>
      </c>
      <c r="H2505" t="str">
        <f t="shared" si="195"/>
        <v>Colorado Rockies</v>
      </c>
      <c r="I2505" s="60">
        <f t="shared" si="196"/>
        <v>3</v>
      </c>
      <c r="J2505" t="str">
        <f t="shared" si="197"/>
        <v>Chicago Cubs</v>
      </c>
      <c r="K2505" s="60">
        <f t="shared" si="198"/>
        <v>1</v>
      </c>
      <c r="L2505">
        <f t="shared" si="199"/>
        <v>2</v>
      </c>
    </row>
    <row r="2506" spans="1:12" x14ac:dyDescent="0.25">
      <c r="G2506" t="str">
        <f t="shared" si="200"/>
        <v>06/06/19</v>
      </c>
      <c r="H2506" t="str">
        <f t="shared" si="195"/>
        <v/>
      </c>
      <c r="I2506" s="60" t="str">
        <f t="shared" si="196"/>
        <v/>
      </c>
      <c r="J2506" t="str">
        <f t="shared" si="197"/>
        <v/>
      </c>
      <c r="K2506" s="60" t="str">
        <f t="shared" si="198"/>
        <v/>
      </c>
      <c r="L2506" t="str">
        <f t="shared" si="199"/>
        <v/>
      </c>
    </row>
    <row r="2507" spans="1:12" x14ac:dyDescent="0.25">
      <c r="A2507" t="s">
        <v>2685</v>
      </c>
      <c r="G2507" t="str">
        <f t="shared" si="200"/>
        <v>06/06/19</v>
      </c>
      <c r="H2507" t="str">
        <f t="shared" si="195"/>
        <v>Minnesota Twins</v>
      </c>
      <c r="I2507" s="60">
        <f t="shared" si="196"/>
        <v>5</v>
      </c>
      <c r="J2507" t="str">
        <f t="shared" si="197"/>
        <v>Cleveland Indians</v>
      </c>
      <c r="K2507" s="60">
        <f t="shared" si="198"/>
        <v>4</v>
      </c>
      <c r="L2507">
        <f t="shared" si="199"/>
        <v>1</v>
      </c>
    </row>
    <row r="2508" spans="1:12" x14ac:dyDescent="0.25">
      <c r="G2508" t="str">
        <f t="shared" si="200"/>
        <v>06/06/19</v>
      </c>
      <c r="H2508" t="str">
        <f t="shared" si="195"/>
        <v/>
      </c>
      <c r="I2508" s="60" t="str">
        <f t="shared" si="196"/>
        <v/>
      </c>
      <c r="J2508" t="str">
        <f t="shared" si="197"/>
        <v/>
      </c>
      <c r="K2508" s="60" t="str">
        <f t="shared" si="198"/>
        <v/>
      </c>
      <c r="L2508" t="str">
        <f t="shared" si="199"/>
        <v/>
      </c>
    </row>
    <row r="2509" spans="1:12" x14ac:dyDescent="0.25">
      <c r="A2509" t="s">
        <v>2686</v>
      </c>
      <c r="G2509" t="str">
        <f t="shared" si="200"/>
        <v>06/06/19</v>
      </c>
      <c r="H2509" t="str">
        <f t="shared" si="195"/>
        <v>Tampa Bay Rays</v>
      </c>
      <c r="I2509" s="60">
        <f t="shared" si="196"/>
        <v>6</v>
      </c>
      <c r="J2509" t="str">
        <f t="shared" si="197"/>
        <v>Detroit Tigers</v>
      </c>
      <c r="K2509" s="60">
        <f t="shared" si="198"/>
        <v>1</v>
      </c>
      <c r="L2509">
        <f t="shared" si="199"/>
        <v>5</v>
      </c>
    </row>
    <row r="2510" spans="1:12" x14ac:dyDescent="0.25">
      <c r="G2510" t="str">
        <f t="shared" si="200"/>
        <v>06/06/19</v>
      </c>
      <c r="H2510" t="str">
        <f t="shared" si="195"/>
        <v/>
      </c>
      <c r="I2510" s="60" t="str">
        <f t="shared" si="196"/>
        <v/>
      </c>
      <c r="J2510" t="str">
        <f t="shared" si="197"/>
        <v/>
      </c>
      <c r="K2510" s="60" t="str">
        <f t="shared" si="198"/>
        <v/>
      </c>
      <c r="L2510" t="str">
        <f t="shared" si="199"/>
        <v/>
      </c>
    </row>
    <row r="2511" spans="1:12" x14ac:dyDescent="0.25">
      <c r="A2511" t="s">
        <v>2687</v>
      </c>
      <c r="G2511" t="str">
        <f t="shared" si="200"/>
        <v>06/06/19</v>
      </c>
      <c r="H2511" t="str">
        <f t="shared" si="195"/>
        <v>Boston Red Sox</v>
      </c>
      <c r="I2511" s="60">
        <f t="shared" si="196"/>
        <v>7</v>
      </c>
      <c r="J2511" t="str">
        <f t="shared" si="197"/>
        <v>Kansas City Royals</v>
      </c>
      <c r="K2511" s="60">
        <f t="shared" si="198"/>
        <v>5</v>
      </c>
      <c r="L2511">
        <f t="shared" si="199"/>
        <v>2</v>
      </c>
    </row>
    <row r="2512" spans="1:12" x14ac:dyDescent="0.25">
      <c r="G2512" t="str">
        <f t="shared" si="200"/>
        <v>06/06/19</v>
      </c>
      <c r="H2512" t="str">
        <f t="shared" ref="H2512:H2575" si="201">IFERROR(LEFT(MID(A2512,1,SEARCH("@",A2512)-2),SEARCH("(",A2512)-2),"")</f>
        <v/>
      </c>
      <c r="I2512" s="60" t="str">
        <f t="shared" ref="I2512:I2575" si="202">IFERROR(VALUE(MID(A2512,SEARCH("(",A2512)+1,SEARCH(")",A2512)-SEARCH("(",A2512)-1)),"")</f>
        <v/>
      </c>
      <c r="J2512" t="str">
        <f t="shared" ref="J2512:J2575" si="203">IFERROR(MID(A2512,SEARCH("@",A2512)+2,SEARCH("(",A2512,SEARCH("@",A2512))-SEARCH("@",A2512)-3),"")</f>
        <v/>
      </c>
      <c r="K2512" s="60" t="str">
        <f t="shared" ref="K2512:K2575" si="204">IFERROR(VALUE(MID(A2512,SEARCH(J2512,A2512)+LEN(J2512)+2,(SEARCH(")",A2512,SEARCH("@",A2512))-SEARCH("(",A2512,SEARCH("@",A2512))-1))),"")</f>
        <v/>
      </c>
      <c r="L2512" t="str">
        <f t="shared" ref="L2512:L2575" si="205">IFERROR(I2512-K2512,"")</f>
        <v/>
      </c>
    </row>
    <row r="2513" spans="1:12" x14ac:dyDescent="0.25">
      <c r="A2513" t="s">
        <v>2688</v>
      </c>
      <c r="G2513" t="str">
        <f t="shared" si="200"/>
        <v>06/06/19</v>
      </c>
      <c r="H2513" t="str">
        <f t="shared" si="201"/>
        <v>Miami Marlins</v>
      </c>
      <c r="I2513" s="60">
        <f t="shared" si="202"/>
        <v>1</v>
      </c>
      <c r="J2513" t="str">
        <f t="shared" si="203"/>
        <v>Milwaukee Brewers</v>
      </c>
      <c r="K2513" s="60">
        <f t="shared" si="204"/>
        <v>5</v>
      </c>
      <c r="L2513">
        <f t="shared" si="205"/>
        <v>-4</v>
      </c>
    </row>
    <row r="2514" spans="1:12" x14ac:dyDescent="0.25">
      <c r="G2514" t="str">
        <f t="shared" si="200"/>
        <v>06/06/19</v>
      </c>
      <c r="H2514" t="str">
        <f t="shared" si="201"/>
        <v/>
      </c>
      <c r="I2514" s="60" t="str">
        <f t="shared" si="202"/>
        <v/>
      </c>
      <c r="J2514" t="str">
        <f t="shared" si="203"/>
        <v/>
      </c>
      <c r="K2514" s="60" t="str">
        <f t="shared" si="204"/>
        <v/>
      </c>
      <c r="L2514" t="str">
        <f t="shared" si="205"/>
        <v/>
      </c>
    </row>
    <row r="2515" spans="1:12" x14ac:dyDescent="0.25">
      <c r="A2515" t="s">
        <v>2689</v>
      </c>
      <c r="G2515" t="str">
        <f t="shared" si="200"/>
        <v>06/06/19</v>
      </c>
      <c r="H2515" t="str">
        <f t="shared" si="201"/>
        <v>San Francisco Giants</v>
      </c>
      <c r="I2515" s="60">
        <f t="shared" si="202"/>
        <v>3</v>
      </c>
      <c r="J2515" t="str">
        <f t="shared" si="203"/>
        <v>New York Mets</v>
      </c>
      <c r="K2515" s="60">
        <f t="shared" si="204"/>
        <v>7</v>
      </c>
      <c r="L2515">
        <f t="shared" si="205"/>
        <v>-4</v>
      </c>
    </row>
    <row r="2516" spans="1:12" x14ac:dyDescent="0.25">
      <c r="G2516" t="str">
        <f t="shared" si="200"/>
        <v>06/06/19</v>
      </c>
      <c r="H2516" t="str">
        <f t="shared" si="201"/>
        <v/>
      </c>
      <c r="I2516" s="60" t="str">
        <f t="shared" si="202"/>
        <v/>
      </c>
      <c r="J2516" t="str">
        <f t="shared" si="203"/>
        <v/>
      </c>
      <c r="K2516" s="60" t="str">
        <f t="shared" si="204"/>
        <v/>
      </c>
      <c r="L2516" t="str">
        <f t="shared" si="205"/>
        <v/>
      </c>
    </row>
    <row r="2517" spans="1:12" x14ac:dyDescent="0.25">
      <c r="A2517" t="s">
        <v>2690</v>
      </c>
      <c r="G2517" t="str">
        <f t="shared" si="200"/>
        <v>06/06/19</v>
      </c>
      <c r="H2517" t="str">
        <f t="shared" si="201"/>
        <v>Atlanta Braves</v>
      </c>
      <c r="I2517" s="60">
        <f t="shared" si="202"/>
        <v>1</v>
      </c>
      <c r="J2517" t="str">
        <f t="shared" si="203"/>
        <v>Pittsburgh Pirates</v>
      </c>
      <c r="K2517" s="60">
        <f t="shared" si="204"/>
        <v>6</v>
      </c>
      <c r="L2517">
        <f t="shared" si="205"/>
        <v>-5</v>
      </c>
    </row>
    <row r="2518" spans="1:12" x14ac:dyDescent="0.25">
      <c r="G2518" t="str">
        <f t="shared" si="200"/>
        <v>06/06/19</v>
      </c>
      <c r="H2518" t="str">
        <f t="shared" si="201"/>
        <v/>
      </c>
      <c r="I2518" s="60" t="str">
        <f t="shared" si="202"/>
        <v/>
      </c>
      <c r="J2518" t="str">
        <f t="shared" si="203"/>
        <v/>
      </c>
      <c r="K2518" s="60" t="str">
        <f t="shared" si="204"/>
        <v/>
      </c>
      <c r="L2518" t="str">
        <f t="shared" si="205"/>
        <v/>
      </c>
    </row>
    <row r="2519" spans="1:12" x14ac:dyDescent="0.25">
      <c r="A2519" t="s">
        <v>2691</v>
      </c>
      <c r="G2519" t="str">
        <f t="shared" si="200"/>
        <v>06/06/19</v>
      </c>
      <c r="H2519" t="str">
        <f t="shared" si="201"/>
        <v>Washington Nationals</v>
      </c>
      <c r="I2519" s="60">
        <f t="shared" si="202"/>
        <v>4</v>
      </c>
      <c r="J2519" t="str">
        <f t="shared" si="203"/>
        <v>San Diego Padres</v>
      </c>
      <c r="K2519" s="60">
        <f t="shared" si="204"/>
        <v>5</v>
      </c>
      <c r="L2519">
        <f t="shared" si="205"/>
        <v>-1</v>
      </c>
    </row>
    <row r="2520" spans="1:12" x14ac:dyDescent="0.25">
      <c r="G2520" t="str">
        <f t="shared" si="200"/>
        <v>06/06/19</v>
      </c>
      <c r="H2520" t="str">
        <f t="shared" si="201"/>
        <v/>
      </c>
      <c r="I2520" s="60" t="str">
        <f t="shared" si="202"/>
        <v/>
      </c>
      <c r="J2520" t="str">
        <f t="shared" si="203"/>
        <v/>
      </c>
      <c r="K2520" s="60" t="str">
        <f t="shared" si="204"/>
        <v/>
      </c>
      <c r="L2520" t="str">
        <f t="shared" si="205"/>
        <v/>
      </c>
    </row>
    <row r="2521" spans="1:12" x14ac:dyDescent="0.25">
      <c r="A2521" t="s">
        <v>2692</v>
      </c>
      <c r="G2521" t="str">
        <f t="shared" si="200"/>
        <v>06/06/19</v>
      </c>
      <c r="H2521" t="str">
        <f t="shared" si="201"/>
        <v>Houston Astros</v>
      </c>
      <c r="I2521" s="60">
        <f t="shared" si="202"/>
        <v>8</v>
      </c>
      <c r="J2521" t="str">
        <f t="shared" si="203"/>
        <v>Seattle Mariners</v>
      </c>
      <c r="K2521" s="60">
        <f t="shared" si="204"/>
        <v>7</v>
      </c>
      <c r="L2521">
        <f t="shared" si="205"/>
        <v>1</v>
      </c>
    </row>
    <row r="2522" spans="1:12" x14ac:dyDescent="0.25">
      <c r="G2522" t="str">
        <f t="shared" si="200"/>
        <v>06/06/19</v>
      </c>
      <c r="H2522" t="str">
        <f t="shared" si="201"/>
        <v/>
      </c>
      <c r="I2522" s="60" t="str">
        <f t="shared" si="202"/>
        <v/>
      </c>
      <c r="J2522" t="str">
        <f t="shared" si="203"/>
        <v/>
      </c>
      <c r="K2522" s="60" t="str">
        <f t="shared" si="204"/>
        <v/>
      </c>
      <c r="L2522" t="str">
        <f t="shared" si="205"/>
        <v/>
      </c>
    </row>
    <row r="2523" spans="1:12" x14ac:dyDescent="0.25">
      <c r="A2523" t="s">
        <v>2693</v>
      </c>
      <c r="G2523" t="str">
        <f t="shared" si="200"/>
        <v>06/06/19</v>
      </c>
      <c r="H2523" t="str">
        <f t="shared" si="201"/>
        <v>Cincinnati Reds</v>
      </c>
      <c r="I2523" s="60">
        <f t="shared" si="202"/>
        <v>1</v>
      </c>
      <c r="J2523" t="str">
        <f t="shared" si="203"/>
        <v>St. Louis Cardinals</v>
      </c>
      <c r="K2523" s="60">
        <f t="shared" si="204"/>
        <v>3</v>
      </c>
      <c r="L2523">
        <f t="shared" si="205"/>
        <v>-2</v>
      </c>
    </row>
    <row r="2524" spans="1:12" x14ac:dyDescent="0.25">
      <c r="G2524" t="str">
        <f t="shared" si="200"/>
        <v>06/06/19</v>
      </c>
      <c r="H2524" t="str">
        <f t="shared" si="201"/>
        <v/>
      </c>
      <c r="I2524" s="60" t="str">
        <f t="shared" si="202"/>
        <v/>
      </c>
      <c r="J2524" t="str">
        <f t="shared" si="203"/>
        <v/>
      </c>
      <c r="K2524" s="60" t="str">
        <f t="shared" si="204"/>
        <v/>
      </c>
      <c r="L2524" t="str">
        <f t="shared" si="205"/>
        <v/>
      </c>
    </row>
    <row r="2525" spans="1:12" x14ac:dyDescent="0.25">
      <c r="A2525" t="s">
        <v>2694</v>
      </c>
      <c r="G2525" t="str">
        <f t="shared" si="200"/>
        <v>06/06/19</v>
      </c>
      <c r="H2525" t="str">
        <f t="shared" si="201"/>
        <v>Baltimore Orioles</v>
      </c>
      <c r="I2525" s="60">
        <f t="shared" si="202"/>
        <v>3</v>
      </c>
      <c r="J2525" t="str">
        <f t="shared" si="203"/>
        <v>Texas Rangers</v>
      </c>
      <c r="K2525" s="60">
        <f t="shared" si="204"/>
        <v>4</v>
      </c>
      <c r="L2525">
        <f t="shared" si="205"/>
        <v>-1</v>
      </c>
    </row>
    <row r="2526" spans="1:12" x14ac:dyDescent="0.25">
      <c r="G2526" t="str">
        <f t="shared" si="200"/>
        <v>06/06/19</v>
      </c>
      <c r="H2526" t="str">
        <f t="shared" si="201"/>
        <v/>
      </c>
      <c r="I2526" s="60" t="str">
        <f t="shared" si="202"/>
        <v/>
      </c>
      <c r="J2526" t="str">
        <f t="shared" si="203"/>
        <v/>
      </c>
      <c r="K2526" s="60" t="str">
        <f t="shared" si="204"/>
        <v/>
      </c>
      <c r="L2526" t="str">
        <f t="shared" si="205"/>
        <v/>
      </c>
    </row>
    <row r="2527" spans="1:12" x14ac:dyDescent="0.25">
      <c r="A2527" t="s">
        <v>2695</v>
      </c>
      <c r="G2527" t="str">
        <f t="shared" si="200"/>
        <v>06/06/19</v>
      </c>
      <c r="H2527" t="str">
        <f t="shared" si="201"/>
        <v>New York Yankees</v>
      </c>
      <c r="I2527" s="60">
        <f t="shared" si="202"/>
        <v>6</v>
      </c>
      <c r="J2527" t="str">
        <f t="shared" si="203"/>
        <v>Toronto Blue Jays</v>
      </c>
      <c r="K2527" s="60">
        <f t="shared" si="204"/>
        <v>2</v>
      </c>
      <c r="L2527">
        <f t="shared" si="205"/>
        <v>4</v>
      </c>
    </row>
    <row r="2528" spans="1:12" x14ac:dyDescent="0.25">
      <c r="G2528" t="str">
        <f t="shared" si="200"/>
        <v>06/06/19</v>
      </c>
      <c r="H2528" t="str">
        <f t="shared" si="201"/>
        <v/>
      </c>
      <c r="I2528" s="60" t="str">
        <f t="shared" si="202"/>
        <v/>
      </c>
      <c r="J2528" t="str">
        <f t="shared" si="203"/>
        <v/>
      </c>
      <c r="K2528" s="60" t="str">
        <f t="shared" si="204"/>
        <v/>
      </c>
      <c r="L2528" t="str">
        <f t="shared" si="205"/>
        <v/>
      </c>
    </row>
    <row r="2529" spans="1:12" x14ac:dyDescent="0.25">
      <c r="A2529" t="s">
        <v>2696</v>
      </c>
      <c r="G2529" t="str">
        <f t="shared" si="200"/>
        <v>06/06/19</v>
      </c>
      <c r="H2529" t="str">
        <f t="shared" si="201"/>
        <v/>
      </c>
      <c r="I2529" s="60" t="str">
        <f t="shared" si="202"/>
        <v/>
      </c>
      <c r="J2529" t="str">
        <f t="shared" si="203"/>
        <v/>
      </c>
      <c r="K2529" s="60" t="str">
        <f t="shared" si="204"/>
        <v/>
      </c>
      <c r="L2529" t="str">
        <f t="shared" si="205"/>
        <v/>
      </c>
    </row>
    <row r="2530" spans="1:12" x14ac:dyDescent="0.25">
      <c r="G2530" t="str">
        <f t="shared" ref="G2530:G2593" si="206">IF(ISNUMBER(MATCH(IFERROR(LEFT(A2530,SEARCH(",",A2530)-1),""),$G$220:$M$220,0)),TEXT(MID(A2530,SEARCH(",",A2530)+2,LEN(A2530)),"mm/dd/yy"),G2529)</f>
        <v>06/06/19</v>
      </c>
      <c r="H2530" t="str">
        <f t="shared" si="201"/>
        <v/>
      </c>
      <c r="I2530" s="60" t="str">
        <f t="shared" si="202"/>
        <v/>
      </c>
      <c r="J2530" t="str">
        <f t="shared" si="203"/>
        <v/>
      </c>
      <c r="K2530" s="60" t="str">
        <f t="shared" si="204"/>
        <v/>
      </c>
      <c r="L2530" t="str">
        <f t="shared" si="205"/>
        <v/>
      </c>
    </row>
    <row r="2531" spans="1:12" x14ac:dyDescent="0.25">
      <c r="A2531" t="s">
        <v>2697</v>
      </c>
      <c r="G2531" t="str">
        <f t="shared" si="206"/>
        <v>06/07/19</v>
      </c>
      <c r="H2531" t="str">
        <f t="shared" si="201"/>
        <v/>
      </c>
      <c r="I2531" s="60" t="str">
        <f t="shared" si="202"/>
        <v/>
      </c>
      <c r="J2531" t="str">
        <f t="shared" si="203"/>
        <v/>
      </c>
      <c r="K2531" s="60" t="str">
        <f t="shared" si="204"/>
        <v/>
      </c>
      <c r="L2531" t="str">
        <f t="shared" si="205"/>
        <v/>
      </c>
    </row>
    <row r="2532" spans="1:12" x14ac:dyDescent="0.25">
      <c r="G2532" t="str">
        <f t="shared" si="206"/>
        <v>06/07/19</v>
      </c>
      <c r="H2532" t="str">
        <f t="shared" si="201"/>
        <v/>
      </c>
      <c r="I2532" s="60" t="str">
        <f t="shared" si="202"/>
        <v/>
      </c>
      <c r="J2532" t="str">
        <f t="shared" si="203"/>
        <v/>
      </c>
      <c r="K2532" s="60" t="str">
        <f t="shared" si="204"/>
        <v/>
      </c>
      <c r="L2532" t="str">
        <f t="shared" si="205"/>
        <v/>
      </c>
    </row>
    <row r="2533" spans="1:12" x14ac:dyDescent="0.25">
      <c r="A2533" t="s">
        <v>2698</v>
      </c>
      <c r="G2533" t="str">
        <f t="shared" si="206"/>
        <v>06/07/19</v>
      </c>
      <c r="H2533" t="str">
        <f t="shared" si="201"/>
        <v>Seattle Mariners</v>
      </c>
      <c r="I2533" s="60">
        <f t="shared" si="202"/>
        <v>6</v>
      </c>
      <c r="J2533" t="str">
        <f t="shared" si="203"/>
        <v>Los Angeles Angels</v>
      </c>
      <c r="K2533" s="60">
        <f t="shared" si="204"/>
        <v>2</v>
      </c>
      <c r="L2533">
        <f t="shared" si="205"/>
        <v>4</v>
      </c>
    </row>
    <row r="2534" spans="1:12" x14ac:dyDescent="0.25">
      <c r="G2534" t="str">
        <f t="shared" si="206"/>
        <v>06/07/19</v>
      </c>
      <c r="H2534" t="str">
        <f t="shared" si="201"/>
        <v/>
      </c>
      <c r="I2534" s="60" t="str">
        <f t="shared" si="202"/>
        <v/>
      </c>
      <c r="J2534" t="str">
        <f t="shared" si="203"/>
        <v/>
      </c>
      <c r="K2534" s="60" t="str">
        <f t="shared" si="204"/>
        <v/>
      </c>
      <c r="L2534" t="str">
        <f t="shared" si="205"/>
        <v/>
      </c>
    </row>
    <row r="2535" spans="1:12" x14ac:dyDescent="0.25">
      <c r="A2535" t="s">
        <v>2699</v>
      </c>
      <c r="G2535" t="str">
        <f t="shared" si="206"/>
        <v>06/07/19</v>
      </c>
      <c r="H2535" t="str">
        <f t="shared" si="201"/>
        <v>Tampa Bay Rays</v>
      </c>
      <c r="I2535" s="60">
        <f t="shared" si="202"/>
        <v>5</v>
      </c>
      <c r="J2535" t="str">
        <f t="shared" si="203"/>
        <v>Boston Red Sox</v>
      </c>
      <c r="K2535" s="60">
        <f t="shared" si="204"/>
        <v>1</v>
      </c>
      <c r="L2535">
        <f t="shared" si="205"/>
        <v>4</v>
      </c>
    </row>
    <row r="2536" spans="1:12" x14ac:dyDescent="0.25">
      <c r="G2536" t="str">
        <f t="shared" si="206"/>
        <v>06/07/19</v>
      </c>
      <c r="H2536" t="str">
        <f t="shared" si="201"/>
        <v/>
      </c>
      <c r="I2536" s="60" t="str">
        <f t="shared" si="202"/>
        <v/>
      </c>
      <c r="J2536" t="str">
        <f t="shared" si="203"/>
        <v/>
      </c>
      <c r="K2536" s="60" t="str">
        <f t="shared" si="204"/>
        <v/>
      </c>
      <c r="L2536" t="str">
        <f t="shared" si="205"/>
        <v/>
      </c>
    </row>
    <row r="2537" spans="1:12" x14ac:dyDescent="0.25">
      <c r="A2537" t="s">
        <v>2700</v>
      </c>
      <c r="G2537" t="str">
        <f t="shared" si="206"/>
        <v>06/07/19</v>
      </c>
      <c r="H2537" t="str">
        <f t="shared" si="201"/>
        <v>St. Louis Cardinals</v>
      </c>
      <c r="I2537" s="60">
        <f t="shared" si="202"/>
        <v>1</v>
      </c>
      <c r="J2537" t="str">
        <f t="shared" si="203"/>
        <v>Chicago Cubs</v>
      </c>
      <c r="K2537" s="60">
        <f t="shared" si="204"/>
        <v>3</v>
      </c>
      <c r="L2537">
        <f t="shared" si="205"/>
        <v>-2</v>
      </c>
    </row>
    <row r="2538" spans="1:12" x14ac:dyDescent="0.25">
      <c r="G2538" t="str">
        <f t="shared" si="206"/>
        <v>06/07/19</v>
      </c>
      <c r="H2538" t="str">
        <f t="shared" si="201"/>
        <v/>
      </c>
      <c r="I2538" s="60" t="str">
        <f t="shared" si="202"/>
        <v/>
      </c>
      <c r="J2538" t="str">
        <f t="shared" si="203"/>
        <v/>
      </c>
      <c r="K2538" s="60" t="str">
        <f t="shared" si="204"/>
        <v/>
      </c>
      <c r="L2538" t="str">
        <f t="shared" si="205"/>
        <v/>
      </c>
    </row>
    <row r="2539" spans="1:12" x14ac:dyDescent="0.25">
      <c r="A2539" t="s">
        <v>2701</v>
      </c>
      <c r="G2539" t="str">
        <f t="shared" si="206"/>
        <v>06/07/19</v>
      </c>
      <c r="H2539" t="str">
        <f t="shared" si="201"/>
        <v>New York Yankees</v>
      </c>
      <c r="I2539" s="60">
        <f t="shared" si="202"/>
        <v>2</v>
      </c>
      <c r="J2539" t="str">
        <f t="shared" si="203"/>
        <v>Cleveland Indians</v>
      </c>
      <c r="K2539" s="60">
        <f t="shared" si="204"/>
        <v>5</v>
      </c>
      <c r="L2539">
        <f t="shared" si="205"/>
        <v>-3</v>
      </c>
    </row>
    <row r="2540" spans="1:12" x14ac:dyDescent="0.25">
      <c r="G2540" t="str">
        <f t="shared" si="206"/>
        <v>06/07/19</v>
      </c>
      <c r="H2540" t="str">
        <f t="shared" si="201"/>
        <v/>
      </c>
      <c r="I2540" s="60" t="str">
        <f t="shared" si="202"/>
        <v/>
      </c>
      <c r="J2540" t="str">
        <f t="shared" si="203"/>
        <v/>
      </c>
      <c r="K2540" s="60" t="str">
        <f t="shared" si="204"/>
        <v/>
      </c>
      <c r="L2540" t="str">
        <f t="shared" si="205"/>
        <v/>
      </c>
    </row>
    <row r="2541" spans="1:12" x14ac:dyDescent="0.25">
      <c r="A2541" t="s">
        <v>2702</v>
      </c>
      <c r="G2541" t="str">
        <f t="shared" si="206"/>
        <v>06/07/19</v>
      </c>
      <c r="H2541" t="str">
        <f t="shared" si="201"/>
        <v>Minnesota Twins</v>
      </c>
      <c r="I2541" s="60">
        <f t="shared" si="202"/>
        <v>6</v>
      </c>
      <c r="J2541" t="str">
        <f t="shared" si="203"/>
        <v>Detroit Tigers</v>
      </c>
      <c r="K2541" s="60">
        <f t="shared" si="204"/>
        <v>3</v>
      </c>
      <c r="L2541">
        <f t="shared" si="205"/>
        <v>3</v>
      </c>
    </row>
    <row r="2542" spans="1:12" x14ac:dyDescent="0.25">
      <c r="G2542" t="str">
        <f t="shared" si="206"/>
        <v>06/07/19</v>
      </c>
      <c r="H2542" t="str">
        <f t="shared" si="201"/>
        <v/>
      </c>
      <c r="I2542" s="60" t="str">
        <f t="shared" si="202"/>
        <v/>
      </c>
      <c r="J2542" t="str">
        <f t="shared" si="203"/>
        <v/>
      </c>
      <c r="K2542" s="60" t="str">
        <f t="shared" si="204"/>
        <v/>
      </c>
      <c r="L2542" t="str">
        <f t="shared" si="205"/>
        <v/>
      </c>
    </row>
    <row r="2543" spans="1:12" x14ac:dyDescent="0.25">
      <c r="A2543" t="s">
        <v>2703</v>
      </c>
      <c r="G2543" t="str">
        <f t="shared" si="206"/>
        <v>06/07/19</v>
      </c>
      <c r="H2543" t="str">
        <f t="shared" si="201"/>
        <v>Baltimore Orioles</v>
      </c>
      <c r="I2543" s="60">
        <f t="shared" si="202"/>
        <v>3</v>
      </c>
      <c r="J2543" t="str">
        <f t="shared" si="203"/>
        <v>Houston Astros</v>
      </c>
      <c r="K2543" s="60">
        <f t="shared" si="204"/>
        <v>4</v>
      </c>
      <c r="L2543">
        <f t="shared" si="205"/>
        <v>-1</v>
      </c>
    </row>
    <row r="2544" spans="1:12" x14ac:dyDescent="0.25">
      <c r="G2544" t="str">
        <f t="shared" si="206"/>
        <v>06/07/19</v>
      </c>
      <c r="H2544" t="str">
        <f t="shared" si="201"/>
        <v/>
      </c>
      <c r="I2544" s="60" t="str">
        <f t="shared" si="202"/>
        <v/>
      </c>
      <c r="J2544" t="str">
        <f t="shared" si="203"/>
        <v/>
      </c>
      <c r="K2544" s="60" t="str">
        <f t="shared" si="204"/>
        <v/>
      </c>
      <c r="L2544" t="str">
        <f t="shared" si="205"/>
        <v/>
      </c>
    </row>
    <row r="2545" spans="1:12" x14ac:dyDescent="0.25">
      <c r="A2545" t="s">
        <v>2704</v>
      </c>
      <c r="G2545" t="str">
        <f t="shared" si="206"/>
        <v>06/07/19</v>
      </c>
      <c r="H2545" t="str">
        <f t="shared" si="201"/>
        <v>Chicago White Sox</v>
      </c>
      <c r="I2545" s="60">
        <f t="shared" si="202"/>
        <v>4</v>
      </c>
      <c r="J2545" t="str">
        <f t="shared" si="203"/>
        <v>Kansas City Royals</v>
      </c>
      <c r="K2545" s="60">
        <f t="shared" si="204"/>
        <v>6</v>
      </c>
      <c r="L2545">
        <f t="shared" si="205"/>
        <v>-2</v>
      </c>
    </row>
    <row r="2546" spans="1:12" x14ac:dyDescent="0.25">
      <c r="G2546" t="str">
        <f t="shared" si="206"/>
        <v>06/07/19</v>
      </c>
      <c r="H2546" t="str">
        <f t="shared" si="201"/>
        <v/>
      </c>
      <c r="I2546" s="60" t="str">
        <f t="shared" si="202"/>
        <v/>
      </c>
      <c r="J2546" t="str">
        <f t="shared" si="203"/>
        <v/>
      </c>
      <c r="K2546" s="60" t="str">
        <f t="shared" si="204"/>
        <v/>
      </c>
      <c r="L2546" t="str">
        <f t="shared" si="205"/>
        <v/>
      </c>
    </row>
    <row r="2547" spans="1:12" x14ac:dyDescent="0.25">
      <c r="A2547" t="s">
        <v>2705</v>
      </c>
      <c r="G2547" t="str">
        <f t="shared" si="206"/>
        <v>06/07/19</v>
      </c>
      <c r="H2547" t="str">
        <f t="shared" si="201"/>
        <v>Atlanta Braves</v>
      </c>
      <c r="I2547" s="60">
        <f t="shared" si="202"/>
        <v>7</v>
      </c>
      <c r="J2547" t="str">
        <f t="shared" si="203"/>
        <v>Miami Marlins</v>
      </c>
      <c r="K2547" s="60">
        <f t="shared" si="204"/>
        <v>1</v>
      </c>
      <c r="L2547">
        <f t="shared" si="205"/>
        <v>6</v>
      </c>
    </row>
    <row r="2548" spans="1:12" x14ac:dyDescent="0.25">
      <c r="G2548" t="str">
        <f t="shared" si="206"/>
        <v>06/07/19</v>
      </c>
      <c r="H2548" t="str">
        <f t="shared" si="201"/>
        <v/>
      </c>
      <c r="I2548" s="60" t="str">
        <f t="shared" si="202"/>
        <v/>
      </c>
      <c r="J2548" t="str">
        <f t="shared" si="203"/>
        <v/>
      </c>
      <c r="K2548" s="60" t="str">
        <f t="shared" si="204"/>
        <v/>
      </c>
      <c r="L2548" t="str">
        <f t="shared" si="205"/>
        <v/>
      </c>
    </row>
    <row r="2549" spans="1:12" x14ac:dyDescent="0.25">
      <c r="A2549" t="s">
        <v>2706</v>
      </c>
      <c r="G2549" t="str">
        <f t="shared" si="206"/>
        <v>06/07/19</v>
      </c>
      <c r="H2549" t="str">
        <f t="shared" si="201"/>
        <v>Pittsburgh Pirates</v>
      </c>
      <c r="I2549" s="60">
        <f t="shared" si="202"/>
        <v>4</v>
      </c>
      <c r="J2549" t="str">
        <f t="shared" si="203"/>
        <v>Milwaukee Brewers</v>
      </c>
      <c r="K2549" s="60">
        <f t="shared" si="204"/>
        <v>10</v>
      </c>
      <c r="L2549">
        <f t="shared" si="205"/>
        <v>-6</v>
      </c>
    </row>
    <row r="2550" spans="1:12" x14ac:dyDescent="0.25">
      <c r="G2550" t="str">
        <f t="shared" si="206"/>
        <v>06/07/19</v>
      </c>
      <c r="H2550" t="str">
        <f t="shared" si="201"/>
        <v/>
      </c>
      <c r="I2550" s="60" t="str">
        <f t="shared" si="202"/>
        <v/>
      </c>
      <c r="J2550" t="str">
        <f t="shared" si="203"/>
        <v/>
      </c>
      <c r="K2550" s="60" t="str">
        <f t="shared" si="204"/>
        <v/>
      </c>
      <c r="L2550" t="str">
        <f t="shared" si="205"/>
        <v/>
      </c>
    </row>
    <row r="2551" spans="1:12" x14ac:dyDescent="0.25">
      <c r="A2551" t="s">
        <v>2707</v>
      </c>
      <c r="G2551" t="str">
        <f t="shared" si="206"/>
        <v>06/07/19</v>
      </c>
      <c r="H2551" t="str">
        <f t="shared" si="201"/>
        <v>Colorado Rockies</v>
      </c>
      <c r="I2551" s="60">
        <f t="shared" si="202"/>
        <v>5</v>
      </c>
      <c r="J2551" t="str">
        <f t="shared" si="203"/>
        <v>New York Mets</v>
      </c>
      <c r="K2551" s="60">
        <f t="shared" si="204"/>
        <v>1</v>
      </c>
      <c r="L2551">
        <f t="shared" si="205"/>
        <v>4</v>
      </c>
    </row>
    <row r="2552" spans="1:12" x14ac:dyDescent="0.25">
      <c r="G2552" t="str">
        <f t="shared" si="206"/>
        <v>06/07/19</v>
      </c>
      <c r="H2552" t="str">
        <f t="shared" si="201"/>
        <v/>
      </c>
      <c r="I2552" s="60" t="str">
        <f t="shared" si="202"/>
        <v/>
      </c>
      <c r="J2552" t="str">
        <f t="shared" si="203"/>
        <v/>
      </c>
      <c r="K2552" s="60" t="str">
        <f t="shared" si="204"/>
        <v/>
      </c>
      <c r="L2552" t="str">
        <f t="shared" si="205"/>
        <v/>
      </c>
    </row>
    <row r="2553" spans="1:12" x14ac:dyDescent="0.25">
      <c r="A2553" t="s">
        <v>2708</v>
      </c>
      <c r="G2553" t="str">
        <f t="shared" si="206"/>
        <v>06/07/19</v>
      </c>
      <c r="H2553" t="str">
        <f t="shared" si="201"/>
        <v>Cincinnati Reds</v>
      </c>
      <c r="I2553" s="60">
        <f t="shared" si="202"/>
        <v>2</v>
      </c>
      <c r="J2553" t="str">
        <f t="shared" si="203"/>
        <v>Philadelphia Phillies</v>
      </c>
      <c r="K2553" s="60">
        <f t="shared" si="204"/>
        <v>4</v>
      </c>
      <c r="L2553">
        <f t="shared" si="205"/>
        <v>-2</v>
      </c>
    </row>
    <row r="2554" spans="1:12" x14ac:dyDescent="0.25">
      <c r="G2554" t="str">
        <f t="shared" si="206"/>
        <v>06/07/19</v>
      </c>
      <c r="H2554" t="str">
        <f t="shared" si="201"/>
        <v/>
      </c>
      <c r="I2554" s="60" t="str">
        <f t="shared" si="202"/>
        <v/>
      </c>
      <c r="J2554" t="str">
        <f t="shared" si="203"/>
        <v/>
      </c>
      <c r="K2554" s="60" t="str">
        <f t="shared" si="204"/>
        <v/>
      </c>
      <c r="L2554" t="str">
        <f t="shared" si="205"/>
        <v/>
      </c>
    </row>
    <row r="2555" spans="1:12" x14ac:dyDescent="0.25">
      <c r="A2555" t="s">
        <v>2691</v>
      </c>
      <c r="G2555" t="str">
        <f t="shared" si="206"/>
        <v>06/07/19</v>
      </c>
      <c r="H2555" t="str">
        <f t="shared" si="201"/>
        <v>Washington Nationals</v>
      </c>
      <c r="I2555" s="60">
        <f t="shared" si="202"/>
        <v>4</v>
      </c>
      <c r="J2555" t="str">
        <f t="shared" si="203"/>
        <v>San Diego Padres</v>
      </c>
      <c r="K2555" s="60">
        <f t="shared" si="204"/>
        <v>5</v>
      </c>
      <c r="L2555">
        <f t="shared" si="205"/>
        <v>-1</v>
      </c>
    </row>
    <row r="2556" spans="1:12" x14ac:dyDescent="0.25">
      <c r="G2556" t="str">
        <f t="shared" si="206"/>
        <v>06/07/19</v>
      </c>
      <c r="H2556" t="str">
        <f t="shared" si="201"/>
        <v/>
      </c>
      <c r="I2556" s="60" t="str">
        <f t="shared" si="202"/>
        <v/>
      </c>
      <c r="J2556" t="str">
        <f t="shared" si="203"/>
        <v/>
      </c>
      <c r="K2556" s="60" t="str">
        <f t="shared" si="204"/>
        <v/>
      </c>
      <c r="L2556" t="str">
        <f t="shared" si="205"/>
        <v/>
      </c>
    </row>
    <row r="2557" spans="1:12" x14ac:dyDescent="0.25">
      <c r="A2557" t="s">
        <v>2158</v>
      </c>
      <c r="G2557" t="str">
        <f t="shared" si="206"/>
        <v>06/07/19</v>
      </c>
      <c r="H2557" t="str">
        <f t="shared" si="201"/>
        <v>Los Angeles Dodgers</v>
      </c>
      <c r="I2557" s="60">
        <f t="shared" si="202"/>
        <v>1</v>
      </c>
      <c r="J2557" t="str">
        <f t="shared" si="203"/>
        <v>San Francisco Giants</v>
      </c>
      <c r="K2557" s="60">
        <f t="shared" si="204"/>
        <v>2</v>
      </c>
      <c r="L2557">
        <f t="shared" si="205"/>
        <v>-1</v>
      </c>
    </row>
    <row r="2558" spans="1:12" x14ac:dyDescent="0.25">
      <c r="G2558" t="str">
        <f t="shared" si="206"/>
        <v>06/07/19</v>
      </c>
      <c r="H2558" t="str">
        <f t="shared" si="201"/>
        <v/>
      </c>
      <c r="I2558" s="60" t="str">
        <f t="shared" si="202"/>
        <v/>
      </c>
      <c r="J2558" t="str">
        <f t="shared" si="203"/>
        <v/>
      </c>
      <c r="K2558" s="60" t="str">
        <f t="shared" si="204"/>
        <v/>
      </c>
      <c r="L2558" t="str">
        <f t="shared" si="205"/>
        <v/>
      </c>
    </row>
    <row r="2559" spans="1:12" x14ac:dyDescent="0.25">
      <c r="A2559" t="s">
        <v>2709</v>
      </c>
      <c r="G2559" t="str">
        <f t="shared" si="206"/>
        <v>06/07/19</v>
      </c>
      <c r="H2559" t="str">
        <f t="shared" si="201"/>
        <v>Oakland Athletics</v>
      </c>
      <c r="I2559" s="60">
        <f t="shared" si="202"/>
        <v>5</v>
      </c>
      <c r="J2559" t="str">
        <f t="shared" si="203"/>
        <v>Texas Rangers</v>
      </c>
      <c r="K2559" s="60">
        <f t="shared" si="204"/>
        <v>3</v>
      </c>
      <c r="L2559">
        <f t="shared" si="205"/>
        <v>2</v>
      </c>
    </row>
    <row r="2560" spans="1:12" x14ac:dyDescent="0.25">
      <c r="G2560" t="str">
        <f t="shared" si="206"/>
        <v>06/07/19</v>
      </c>
      <c r="H2560" t="str">
        <f t="shared" si="201"/>
        <v/>
      </c>
      <c r="I2560" s="60" t="str">
        <f t="shared" si="202"/>
        <v/>
      </c>
      <c r="J2560" t="str">
        <f t="shared" si="203"/>
        <v/>
      </c>
      <c r="K2560" s="60" t="str">
        <f t="shared" si="204"/>
        <v/>
      </c>
      <c r="L2560" t="str">
        <f t="shared" si="205"/>
        <v/>
      </c>
    </row>
    <row r="2561" spans="1:12" x14ac:dyDescent="0.25">
      <c r="A2561" t="s">
        <v>2710</v>
      </c>
      <c r="G2561" t="str">
        <f t="shared" si="206"/>
        <v>06/07/19</v>
      </c>
      <c r="H2561" t="str">
        <f t="shared" si="201"/>
        <v>Arizona D'Backs</v>
      </c>
      <c r="I2561" s="60">
        <f t="shared" si="202"/>
        <v>8</v>
      </c>
      <c r="J2561" t="str">
        <f t="shared" si="203"/>
        <v>Toronto Blue Jays</v>
      </c>
      <c r="K2561" s="60">
        <f t="shared" si="204"/>
        <v>2</v>
      </c>
      <c r="L2561">
        <f t="shared" si="205"/>
        <v>6</v>
      </c>
    </row>
    <row r="2562" spans="1:12" x14ac:dyDescent="0.25">
      <c r="G2562" t="str">
        <f t="shared" si="206"/>
        <v>06/07/19</v>
      </c>
      <c r="H2562" t="str">
        <f t="shared" si="201"/>
        <v/>
      </c>
      <c r="I2562" s="60" t="str">
        <f t="shared" si="202"/>
        <v/>
      </c>
      <c r="J2562" t="str">
        <f t="shared" si="203"/>
        <v/>
      </c>
      <c r="K2562" s="60" t="str">
        <f t="shared" si="204"/>
        <v/>
      </c>
      <c r="L2562" t="str">
        <f t="shared" si="205"/>
        <v/>
      </c>
    </row>
    <row r="2563" spans="1:12" x14ac:dyDescent="0.25">
      <c r="A2563" t="s">
        <v>2711</v>
      </c>
      <c r="G2563" t="str">
        <f t="shared" si="206"/>
        <v>06/07/19</v>
      </c>
      <c r="H2563" t="str">
        <f t="shared" si="201"/>
        <v/>
      </c>
      <c r="I2563" s="60" t="str">
        <f t="shared" si="202"/>
        <v/>
      </c>
      <c r="J2563" t="str">
        <f t="shared" si="203"/>
        <v/>
      </c>
      <c r="K2563" s="60" t="str">
        <f t="shared" si="204"/>
        <v/>
      </c>
      <c r="L2563" t="str">
        <f t="shared" si="205"/>
        <v/>
      </c>
    </row>
    <row r="2564" spans="1:12" x14ac:dyDescent="0.25">
      <c r="G2564" t="str">
        <f t="shared" si="206"/>
        <v>06/07/19</v>
      </c>
      <c r="H2564" t="str">
        <f t="shared" si="201"/>
        <v/>
      </c>
      <c r="I2564" s="60" t="str">
        <f t="shared" si="202"/>
        <v/>
      </c>
      <c r="J2564" t="str">
        <f t="shared" si="203"/>
        <v/>
      </c>
      <c r="K2564" s="60" t="str">
        <f t="shared" si="204"/>
        <v/>
      </c>
      <c r="L2564" t="str">
        <f t="shared" si="205"/>
        <v/>
      </c>
    </row>
    <row r="2565" spans="1:12" x14ac:dyDescent="0.25">
      <c r="A2565" t="s">
        <v>2712</v>
      </c>
      <c r="G2565" t="str">
        <f t="shared" si="206"/>
        <v>06/08/19</v>
      </c>
      <c r="H2565" t="str">
        <f t="shared" si="201"/>
        <v/>
      </c>
      <c r="I2565" s="60" t="str">
        <f t="shared" si="202"/>
        <v/>
      </c>
      <c r="J2565" t="str">
        <f t="shared" si="203"/>
        <v/>
      </c>
      <c r="K2565" s="60" t="str">
        <f t="shared" si="204"/>
        <v/>
      </c>
      <c r="L2565" t="str">
        <f t="shared" si="205"/>
        <v/>
      </c>
    </row>
    <row r="2566" spans="1:12" x14ac:dyDescent="0.25">
      <c r="G2566" t="str">
        <f t="shared" si="206"/>
        <v>06/08/19</v>
      </c>
      <c r="H2566" t="str">
        <f t="shared" si="201"/>
        <v/>
      </c>
      <c r="I2566" s="60" t="str">
        <f t="shared" si="202"/>
        <v/>
      </c>
      <c r="J2566" t="str">
        <f t="shared" si="203"/>
        <v/>
      </c>
      <c r="K2566" s="60" t="str">
        <f t="shared" si="204"/>
        <v/>
      </c>
      <c r="L2566" t="str">
        <f t="shared" si="205"/>
        <v/>
      </c>
    </row>
    <row r="2567" spans="1:12" x14ac:dyDescent="0.25">
      <c r="A2567" t="s">
        <v>2713</v>
      </c>
      <c r="G2567" t="str">
        <f t="shared" si="206"/>
        <v>06/08/19</v>
      </c>
      <c r="H2567" t="str">
        <f t="shared" si="201"/>
        <v>Seattle Mariners</v>
      </c>
      <c r="I2567" s="60">
        <f t="shared" si="202"/>
        <v>3</v>
      </c>
      <c r="J2567" t="str">
        <f t="shared" si="203"/>
        <v>Los Angeles Angels</v>
      </c>
      <c r="K2567" s="60">
        <f t="shared" si="204"/>
        <v>12</v>
      </c>
      <c r="L2567">
        <f t="shared" si="205"/>
        <v>-9</v>
      </c>
    </row>
    <row r="2568" spans="1:12" x14ac:dyDescent="0.25">
      <c r="G2568" t="str">
        <f t="shared" si="206"/>
        <v>06/08/19</v>
      </c>
      <c r="H2568" t="str">
        <f t="shared" si="201"/>
        <v/>
      </c>
      <c r="I2568" s="60" t="str">
        <f t="shared" si="202"/>
        <v/>
      </c>
      <c r="J2568" t="str">
        <f t="shared" si="203"/>
        <v/>
      </c>
      <c r="K2568" s="60" t="str">
        <f t="shared" si="204"/>
        <v/>
      </c>
      <c r="L2568" t="str">
        <f t="shared" si="205"/>
        <v/>
      </c>
    </row>
    <row r="2569" spans="1:12" x14ac:dyDescent="0.25">
      <c r="A2569" t="s">
        <v>2714</v>
      </c>
      <c r="G2569" t="str">
        <f t="shared" si="206"/>
        <v>06/08/19</v>
      </c>
      <c r="H2569" t="str">
        <f t="shared" si="201"/>
        <v>Tampa Bay Rays</v>
      </c>
      <c r="I2569" s="60">
        <f t="shared" si="202"/>
        <v>9</v>
      </c>
      <c r="J2569" t="str">
        <f t="shared" si="203"/>
        <v>Boston Red Sox</v>
      </c>
      <c r="K2569" s="60">
        <f t="shared" si="204"/>
        <v>2</v>
      </c>
      <c r="L2569">
        <f t="shared" si="205"/>
        <v>7</v>
      </c>
    </row>
    <row r="2570" spans="1:12" x14ac:dyDescent="0.25">
      <c r="G2570" t="str">
        <f t="shared" si="206"/>
        <v>06/08/19</v>
      </c>
      <c r="H2570" t="str">
        <f t="shared" si="201"/>
        <v/>
      </c>
      <c r="I2570" s="60" t="str">
        <f t="shared" si="202"/>
        <v/>
      </c>
      <c r="J2570" t="str">
        <f t="shared" si="203"/>
        <v/>
      </c>
      <c r="K2570" s="60" t="str">
        <f t="shared" si="204"/>
        <v/>
      </c>
      <c r="L2570" t="str">
        <f t="shared" si="205"/>
        <v/>
      </c>
    </row>
    <row r="2571" spans="1:12" x14ac:dyDescent="0.25">
      <c r="A2571" t="s">
        <v>2715</v>
      </c>
      <c r="G2571" t="str">
        <f t="shared" si="206"/>
        <v>06/08/19</v>
      </c>
      <c r="H2571" t="str">
        <f t="shared" si="201"/>
        <v>Tampa Bay Rays</v>
      </c>
      <c r="I2571" s="60">
        <f t="shared" si="202"/>
        <v>1</v>
      </c>
      <c r="J2571" t="str">
        <f t="shared" si="203"/>
        <v>Boston Red Sox</v>
      </c>
      <c r="K2571" s="60">
        <f t="shared" si="204"/>
        <v>5</v>
      </c>
      <c r="L2571">
        <f t="shared" si="205"/>
        <v>-4</v>
      </c>
    </row>
    <row r="2572" spans="1:12" x14ac:dyDescent="0.25">
      <c r="G2572" t="str">
        <f t="shared" si="206"/>
        <v>06/08/19</v>
      </c>
      <c r="H2572" t="str">
        <f t="shared" si="201"/>
        <v/>
      </c>
      <c r="I2572" s="60" t="str">
        <f t="shared" si="202"/>
        <v/>
      </c>
      <c r="J2572" t="str">
        <f t="shared" si="203"/>
        <v/>
      </c>
      <c r="K2572" s="60" t="str">
        <f t="shared" si="204"/>
        <v/>
      </c>
      <c r="L2572" t="str">
        <f t="shared" si="205"/>
        <v/>
      </c>
    </row>
    <row r="2573" spans="1:12" x14ac:dyDescent="0.25">
      <c r="A2573" t="s">
        <v>2716</v>
      </c>
      <c r="G2573" t="str">
        <f t="shared" si="206"/>
        <v>06/08/19</v>
      </c>
      <c r="H2573" t="str">
        <f t="shared" si="201"/>
        <v>St. Louis Cardinals</v>
      </c>
      <c r="I2573" s="60">
        <f t="shared" si="202"/>
        <v>4</v>
      </c>
      <c r="J2573" t="str">
        <f t="shared" si="203"/>
        <v>Chicago Cubs</v>
      </c>
      <c r="K2573" s="60">
        <f t="shared" si="204"/>
        <v>9</v>
      </c>
      <c r="L2573">
        <f t="shared" si="205"/>
        <v>-5</v>
      </c>
    </row>
    <row r="2574" spans="1:12" x14ac:dyDescent="0.25">
      <c r="G2574" t="str">
        <f t="shared" si="206"/>
        <v>06/08/19</v>
      </c>
      <c r="H2574" t="str">
        <f t="shared" si="201"/>
        <v/>
      </c>
      <c r="I2574" s="60" t="str">
        <f t="shared" si="202"/>
        <v/>
      </c>
      <c r="J2574" t="str">
        <f t="shared" si="203"/>
        <v/>
      </c>
      <c r="K2574" s="60" t="str">
        <f t="shared" si="204"/>
        <v/>
      </c>
      <c r="L2574" t="str">
        <f t="shared" si="205"/>
        <v/>
      </c>
    </row>
    <row r="2575" spans="1:12" x14ac:dyDescent="0.25">
      <c r="A2575" t="s">
        <v>2717</v>
      </c>
      <c r="G2575" t="str">
        <f t="shared" si="206"/>
        <v>06/08/19</v>
      </c>
      <c r="H2575" t="str">
        <f t="shared" si="201"/>
        <v>New York Yankees</v>
      </c>
      <c r="I2575" s="60">
        <f t="shared" si="202"/>
        <v>4</v>
      </c>
      <c r="J2575" t="str">
        <f t="shared" si="203"/>
        <v>Cleveland Indians</v>
      </c>
      <c r="K2575" s="60">
        <f t="shared" si="204"/>
        <v>8</v>
      </c>
      <c r="L2575">
        <f t="shared" si="205"/>
        <v>-4</v>
      </c>
    </row>
    <row r="2576" spans="1:12" x14ac:dyDescent="0.25">
      <c r="G2576" t="str">
        <f t="shared" si="206"/>
        <v>06/08/19</v>
      </c>
      <c r="H2576" t="str">
        <f t="shared" ref="H2576:H2639" si="207">IFERROR(LEFT(MID(A2576,1,SEARCH("@",A2576)-2),SEARCH("(",A2576)-2),"")</f>
        <v/>
      </c>
      <c r="I2576" s="60" t="str">
        <f t="shared" ref="I2576:I2639" si="208">IFERROR(VALUE(MID(A2576,SEARCH("(",A2576)+1,SEARCH(")",A2576)-SEARCH("(",A2576)-1)),"")</f>
        <v/>
      </c>
      <c r="J2576" t="str">
        <f t="shared" ref="J2576:J2639" si="209">IFERROR(MID(A2576,SEARCH("@",A2576)+2,SEARCH("(",A2576,SEARCH("@",A2576))-SEARCH("@",A2576)-3),"")</f>
        <v/>
      </c>
      <c r="K2576" s="60" t="str">
        <f t="shared" ref="K2576:K2639" si="210">IFERROR(VALUE(MID(A2576,SEARCH(J2576,A2576)+LEN(J2576)+2,(SEARCH(")",A2576,SEARCH("@",A2576))-SEARCH("(",A2576,SEARCH("@",A2576))-1))),"")</f>
        <v/>
      </c>
      <c r="L2576" t="str">
        <f t="shared" ref="L2576:L2639" si="211">IFERROR(I2576-K2576,"")</f>
        <v/>
      </c>
    </row>
    <row r="2577" spans="1:12" x14ac:dyDescent="0.25">
      <c r="A2577" t="s">
        <v>2718</v>
      </c>
      <c r="G2577" t="str">
        <f t="shared" si="206"/>
        <v>06/08/19</v>
      </c>
      <c r="H2577" t="str">
        <f t="shared" si="207"/>
        <v>Minnesota Twins</v>
      </c>
      <c r="I2577" s="60">
        <f t="shared" si="208"/>
        <v>3</v>
      </c>
      <c r="J2577" t="str">
        <f t="shared" si="209"/>
        <v>Detroit Tigers</v>
      </c>
      <c r="K2577" s="60">
        <f t="shared" si="210"/>
        <v>9</v>
      </c>
      <c r="L2577">
        <f t="shared" si="211"/>
        <v>-6</v>
      </c>
    </row>
    <row r="2578" spans="1:12" x14ac:dyDescent="0.25">
      <c r="G2578" t="str">
        <f t="shared" si="206"/>
        <v>06/08/19</v>
      </c>
      <c r="H2578" t="str">
        <f t="shared" si="207"/>
        <v/>
      </c>
      <c r="I2578" s="60" t="str">
        <f t="shared" si="208"/>
        <v/>
      </c>
      <c r="J2578" t="str">
        <f t="shared" si="209"/>
        <v/>
      </c>
      <c r="K2578" s="60" t="str">
        <f t="shared" si="210"/>
        <v/>
      </c>
      <c r="L2578" t="str">
        <f t="shared" si="211"/>
        <v/>
      </c>
    </row>
    <row r="2579" spans="1:12" x14ac:dyDescent="0.25">
      <c r="A2579" t="s">
        <v>2719</v>
      </c>
      <c r="G2579" t="str">
        <f t="shared" si="206"/>
        <v>06/08/19</v>
      </c>
      <c r="H2579" t="str">
        <f t="shared" si="207"/>
        <v>Baltimore Orioles</v>
      </c>
      <c r="I2579" s="60">
        <f t="shared" si="208"/>
        <v>4</v>
      </c>
      <c r="J2579" t="str">
        <f t="shared" si="209"/>
        <v>Houston Astros</v>
      </c>
      <c r="K2579" s="60">
        <f t="shared" si="210"/>
        <v>1</v>
      </c>
      <c r="L2579">
        <f t="shared" si="211"/>
        <v>3</v>
      </c>
    </row>
    <row r="2580" spans="1:12" x14ac:dyDescent="0.25">
      <c r="G2580" t="str">
        <f t="shared" si="206"/>
        <v>06/08/19</v>
      </c>
      <c r="H2580" t="str">
        <f t="shared" si="207"/>
        <v/>
      </c>
      <c r="I2580" s="60" t="str">
        <f t="shared" si="208"/>
        <v/>
      </c>
      <c r="J2580" t="str">
        <f t="shared" si="209"/>
        <v/>
      </c>
      <c r="K2580" s="60" t="str">
        <f t="shared" si="210"/>
        <v/>
      </c>
      <c r="L2580" t="str">
        <f t="shared" si="211"/>
        <v/>
      </c>
    </row>
    <row r="2581" spans="1:12" x14ac:dyDescent="0.25">
      <c r="A2581" t="s">
        <v>2720</v>
      </c>
      <c r="G2581" t="str">
        <f t="shared" si="206"/>
        <v>06/08/19</v>
      </c>
      <c r="H2581" t="str">
        <f t="shared" si="207"/>
        <v>Chicago White Sox</v>
      </c>
      <c r="I2581" s="60">
        <f t="shared" si="208"/>
        <v>2</v>
      </c>
      <c r="J2581" t="str">
        <f t="shared" si="209"/>
        <v>Kansas City Royals</v>
      </c>
      <c r="K2581" s="60">
        <f t="shared" si="210"/>
        <v>0</v>
      </c>
      <c r="L2581">
        <f t="shared" si="211"/>
        <v>2</v>
      </c>
    </row>
    <row r="2582" spans="1:12" x14ac:dyDescent="0.25">
      <c r="G2582" t="str">
        <f t="shared" si="206"/>
        <v>06/08/19</v>
      </c>
      <c r="H2582" t="str">
        <f t="shared" si="207"/>
        <v/>
      </c>
      <c r="I2582" s="60" t="str">
        <f t="shared" si="208"/>
        <v/>
      </c>
      <c r="J2582" t="str">
        <f t="shared" si="209"/>
        <v/>
      </c>
      <c r="K2582" s="60" t="str">
        <f t="shared" si="210"/>
        <v/>
      </c>
      <c r="L2582" t="str">
        <f t="shared" si="211"/>
        <v/>
      </c>
    </row>
    <row r="2583" spans="1:12" x14ac:dyDescent="0.25">
      <c r="A2583" t="s">
        <v>2721</v>
      </c>
      <c r="G2583" t="str">
        <f t="shared" si="206"/>
        <v>06/08/19</v>
      </c>
      <c r="H2583" t="str">
        <f t="shared" si="207"/>
        <v>Atlanta Braves</v>
      </c>
      <c r="I2583" s="60">
        <f t="shared" si="208"/>
        <v>1</v>
      </c>
      <c r="J2583" t="str">
        <f t="shared" si="209"/>
        <v>Miami Marlins</v>
      </c>
      <c r="K2583" s="60">
        <f t="shared" si="210"/>
        <v>0</v>
      </c>
      <c r="L2583">
        <f t="shared" si="211"/>
        <v>1</v>
      </c>
    </row>
    <row r="2584" spans="1:12" x14ac:dyDescent="0.25">
      <c r="G2584" t="str">
        <f t="shared" si="206"/>
        <v>06/08/19</v>
      </c>
      <c r="H2584" t="str">
        <f t="shared" si="207"/>
        <v/>
      </c>
      <c r="I2584" s="60" t="str">
        <f t="shared" si="208"/>
        <v/>
      </c>
      <c r="J2584" t="str">
        <f t="shared" si="209"/>
        <v/>
      </c>
      <c r="K2584" s="60" t="str">
        <f t="shared" si="210"/>
        <v/>
      </c>
      <c r="L2584" t="str">
        <f t="shared" si="211"/>
        <v/>
      </c>
    </row>
    <row r="2585" spans="1:12" x14ac:dyDescent="0.25">
      <c r="A2585" t="s">
        <v>2722</v>
      </c>
      <c r="G2585" t="str">
        <f t="shared" si="206"/>
        <v>06/08/19</v>
      </c>
      <c r="H2585" t="str">
        <f t="shared" si="207"/>
        <v>Pittsburgh Pirates</v>
      </c>
      <c r="I2585" s="60">
        <f t="shared" si="208"/>
        <v>3</v>
      </c>
      <c r="J2585" t="str">
        <f t="shared" si="209"/>
        <v>Milwaukee Brewers</v>
      </c>
      <c r="K2585" s="60">
        <f t="shared" si="210"/>
        <v>5</v>
      </c>
      <c r="L2585">
        <f t="shared" si="211"/>
        <v>-2</v>
      </c>
    </row>
    <row r="2586" spans="1:12" x14ac:dyDescent="0.25">
      <c r="G2586" t="str">
        <f t="shared" si="206"/>
        <v>06/08/19</v>
      </c>
      <c r="H2586" t="str">
        <f t="shared" si="207"/>
        <v/>
      </c>
      <c r="I2586" s="60" t="str">
        <f t="shared" si="208"/>
        <v/>
      </c>
      <c r="J2586" t="str">
        <f t="shared" si="209"/>
        <v/>
      </c>
      <c r="K2586" s="60" t="str">
        <f t="shared" si="210"/>
        <v/>
      </c>
      <c r="L2586" t="str">
        <f t="shared" si="211"/>
        <v/>
      </c>
    </row>
    <row r="2587" spans="1:12" x14ac:dyDescent="0.25">
      <c r="A2587" t="s">
        <v>2723</v>
      </c>
      <c r="G2587" t="str">
        <f t="shared" si="206"/>
        <v>06/08/19</v>
      </c>
      <c r="H2587" t="str">
        <f t="shared" si="207"/>
        <v>Colorado Rockies</v>
      </c>
      <c r="I2587" s="60">
        <f t="shared" si="208"/>
        <v>3</v>
      </c>
      <c r="J2587" t="str">
        <f t="shared" si="209"/>
        <v>New York Mets</v>
      </c>
      <c r="K2587" s="60">
        <f t="shared" si="210"/>
        <v>5</v>
      </c>
      <c r="L2587">
        <f t="shared" si="211"/>
        <v>-2</v>
      </c>
    </row>
    <row r="2588" spans="1:12" x14ac:dyDescent="0.25">
      <c r="G2588" t="str">
        <f t="shared" si="206"/>
        <v>06/08/19</v>
      </c>
      <c r="H2588" t="str">
        <f t="shared" si="207"/>
        <v/>
      </c>
      <c r="I2588" s="60" t="str">
        <f t="shared" si="208"/>
        <v/>
      </c>
      <c r="J2588" t="str">
        <f t="shared" si="209"/>
        <v/>
      </c>
      <c r="K2588" s="60" t="str">
        <f t="shared" si="210"/>
        <v/>
      </c>
      <c r="L2588" t="str">
        <f t="shared" si="211"/>
        <v/>
      </c>
    </row>
    <row r="2589" spans="1:12" x14ac:dyDescent="0.25">
      <c r="A2589" t="s">
        <v>2724</v>
      </c>
      <c r="G2589" t="str">
        <f t="shared" si="206"/>
        <v>06/08/19</v>
      </c>
      <c r="H2589" t="str">
        <f t="shared" si="207"/>
        <v>Cincinnati Reds</v>
      </c>
      <c r="I2589" s="60">
        <f t="shared" si="208"/>
        <v>1</v>
      </c>
      <c r="J2589" t="str">
        <f t="shared" si="209"/>
        <v>Philadelphia Phillies</v>
      </c>
      <c r="K2589" s="60">
        <f t="shared" si="210"/>
        <v>4</v>
      </c>
      <c r="L2589">
        <f t="shared" si="211"/>
        <v>-3</v>
      </c>
    </row>
    <row r="2590" spans="1:12" x14ac:dyDescent="0.25">
      <c r="G2590" t="str">
        <f t="shared" si="206"/>
        <v>06/08/19</v>
      </c>
      <c r="H2590" t="str">
        <f t="shared" si="207"/>
        <v/>
      </c>
      <c r="I2590" s="60" t="str">
        <f t="shared" si="208"/>
        <v/>
      </c>
      <c r="J2590" t="str">
        <f t="shared" si="209"/>
        <v/>
      </c>
      <c r="K2590" s="60" t="str">
        <f t="shared" si="210"/>
        <v/>
      </c>
      <c r="L2590" t="str">
        <f t="shared" si="211"/>
        <v/>
      </c>
    </row>
    <row r="2591" spans="1:12" x14ac:dyDescent="0.25">
      <c r="A2591" t="s">
        <v>2725</v>
      </c>
      <c r="G2591" t="str">
        <f t="shared" si="206"/>
        <v>06/08/19</v>
      </c>
      <c r="H2591" t="str">
        <f t="shared" si="207"/>
        <v>Washington Nationals</v>
      </c>
      <c r="I2591" s="60">
        <f t="shared" si="208"/>
        <v>4</v>
      </c>
      <c r="J2591" t="str">
        <f t="shared" si="209"/>
        <v>San Diego Padres</v>
      </c>
      <c r="K2591" s="60">
        <f t="shared" si="210"/>
        <v>1</v>
      </c>
      <c r="L2591">
        <f t="shared" si="211"/>
        <v>3</v>
      </c>
    </row>
    <row r="2592" spans="1:12" x14ac:dyDescent="0.25">
      <c r="G2592" t="str">
        <f t="shared" si="206"/>
        <v>06/08/19</v>
      </c>
      <c r="H2592" t="str">
        <f t="shared" si="207"/>
        <v/>
      </c>
      <c r="I2592" s="60" t="str">
        <f t="shared" si="208"/>
        <v/>
      </c>
      <c r="J2592" t="str">
        <f t="shared" si="209"/>
        <v/>
      </c>
      <c r="K2592" s="60" t="str">
        <f t="shared" si="210"/>
        <v/>
      </c>
      <c r="L2592" t="str">
        <f t="shared" si="211"/>
        <v/>
      </c>
    </row>
    <row r="2593" spans="1:12" x14ac:dyDescent="0.25">
      <c r="A2593" t="s">
        <v>2726</v>
      </c>
      <c r="G2593" t="str">
        <f t="shared" si="206"/>
        <v>06/08/19</v>
      </c>
      <c r="H2593" t="str">
        <f t="shared" si="207"/>
        <v>Los Angeles Dodgers</v>
      </c>
      <c r="I2593" s="60">
        <f t="shared" si="208"/>
        <v>7</v>
      </c>
      <c r="J2593" t="str">
        <f t="shared" si="209"/>
        <v>San Francisco Giants</v>
      </c>
      <c r="K2593" s="60">
        <f t="shared" si="210"/>
        <v>2</v>
      </c>
      <c r="L2593">
        <f t="shared" si="211"/>
        <v>5</v>
      </c>
    </row>
    <row r="2594" spans="1:12" x14ac:dyDescent="0.25">
      <c r="G2594" t="str">
        <f t="shared" ref="G2594:G2657" si="212">IF(ISNUMBER(MATCH(IFERROR(LEFT(A2594,SEARCH(",",A2594)-1),""),$G$220:$M$220,0)),TEXT(MID(A2594,SEARCH(",",A2594)+2,LEN(A2594)),"mm/dd/yy"),G2593)</f>
        <v>06/08/19</v>
      </c>
      <c r="H2594" t="str">
        <f t="shared" si="207"/>
        <v/>
      </c>
      <c r="I2594" s="60" t="str">
        <f t="shared" si="208"/>
        <v/>
      </c>
      <c r="J2594" t="str">
        <f t="shared" si="209"/>
        <v/>
      </c>
      <c r="K2594" s="60" t="str">
        <f t="shared" si="210"/>
        <v/>
      </c>
      <c r="L2594" t="str">
        <f t="shared" si="211"/>
        <v/>
      </c>
    </row>
    <row r="2595" spans="1:12" x14ac:dyDescent="0.25">
      <c r="A2595" t="s">
        <v>2727</v>
      </c>
      <c r="G2595" t="str">
        <f t="shared" si="212"/>
        <v>06/08/19</v>
      </c>
      <c r="H2595" t="str">
        <f t="shared" si="207"/>
        <v>Oakland Athletics</v>
      </c>
      <c r="I2595" s="60">
        <f t="shared" si="208"/>
        <v>5</v>
      </c>
      <c r="J2595" t="str">
        <f t="shared" si="209"/>
        <v>Texas Rangers</v>
      </c>
      <c r="K2595" s="60">
        <f t="shared" si="210"/>
        <v>10</v>
      </c>
      <c r="L2595">
        <f t="shared" si="211"/>
        <v>-5</v>
      </c>
    </row>
    <row r="2596" spans="1:12" x14ac:dyDescent="0.25">
      <c r="G2596" t="str">
        <f t="shared" si="212"/>
        <v>06/08/19</v>
      </c>
      <c r="H2596" t="str">
        <f t="shared" si="207"/>
        <v/>
      </c>
      <c r="I2596" s="60" t="str">
        <f t="shared" si="208"/>
        <v/>
      </c>
      <c r="J2596" t="str">
        <f t="shared" si="209"/>
        <v/>
      </c>
      <c r="K2596" s="60" t="str">
        <f t="shared" si="210"/>
        <v/>
      </c>
      <c r="L2596" t="str">
        <f t="shared" si="211"/>
        <v/>
      </c>
    </row>
    <row r="2597" spans="1:12" x14ac:dyDescent="0.25">
      <c r="A2597" t="s">
        <v>2728</v>
      </c>
      <c r="G2597" t="str">
        <f t="shared" si="212"/>
        <v>06/08/19</v>
      </c>
      <c r="H2597" t="str">
        <f t="shared" si="207"/>
        <v>Oakland Athletics</v>
      </c>
      <c r="I2597" s="60">
        <f t="shared" si="208"/>
        <v>1</v>
      </c>
      <c r="J2597" t="str">
        <f t="shared" si="209"/>
        <v>Texas Rangers</v>
      </c>
      <c r="K2597" s="60">
        <f t="shared" si="210"/>
        <v>3</v>
      </c>
      <c r="L2597">
        <f t="shared" si="211"/>
        <v>-2</v>
      </c>
    </row>
    <row r="2598" spans="1:12" x14ac:dyDescent="0.25">
      <c r="G2598" t="str">
        <f t="shared" si="212"/>
        <v>06/08/19</v>
      </c>
      <c r="H2598" t="str">
        <f t="shared" si="207"/>
        <v/>
      </c>
      <c r="I2598" s="60" t="str">
        <f t="shared" si="208"/>
        <v/>
      </c>
      <c r="J2598" t="str">
        <f t="shared" si="209"/>
        <v/>
      </c>
      <c r="K2598" s="60" t="str">
        <f t="shared" si="210"/>
        <v/>
      </c>
      <c r="L2598" t="str">
        <f t="shared" si="211"/>
        <v/>
      </c>
    </row>
    <row r="2599" spans="1:12" x14ac:dyDescent="0.25">
      <c r="A2599" t="s">
        <v>2729</v>
      </c>
      <c r="G2599" t="str">
        <f t="shared" si="212"/>
        <v>06/08/19</v>
      </c>
      <c r="H2599" t="str">
        <f t="shared" si="207"/>
        <v>Arizona D'Backs</v>
      </c>
      <c r="I2599" s="60">
        <f t="shared" si="208"/>
        <v>6</v>
      </c>
      <c r="J2599" t="str">
        <f t="shared" si="209"/>
        <v>Toronto Blue Jays</v>
      </c>
      <c r="K2599" s="60">
        <f t="shared" si="210"/>
        <v>0</v>
      </c>
      <c r="L2599">
        <f t="shared" si="211"/>
        <v>6</v>
      </c>
    </row>
    <row r="2600" spans="1:12" x14ac:dyDescent="0.25">
      <c r="G2600" t="str">
        <f t="shared" si="212"/>
        <v>06/08/19</v>
      </c>
      <c r="H2600" t="str">
        <f t="shared" si="207"/>
        <v/>
      </c>
      <c r="I2600" s="60" t="str">
        <f t="shared" si="208"/>
        <v/>
      </c>
      <c r="J2600" t="str">
        <f t="shared" si="209"/>
        <v/>
      </c>
      <c r="K2600" s="60" t="str">
        <f t="shared" si="210"/>
        <v/>
      </c>
      <c r="L2600" t="str">
        <f t="shared" si="211"/>
        <v/>
      </c>
    </row>
    <row r="2601" spans="1:12" x14ac:dyDescent="0.25">
      <c r="A2601" t="s">
        <v>2730</v>
      </c>
      <c r="G2601" t="str">
        <f t="shared" si="212"/>
        <v>06/08/19</v>
      </c>
      <c r="H2601" t="str">
        <f t="shared" si="207"/>
        <v/>
      </c>
      <c r="I2601" s="60" t="str">
        <f t="shared" si="208"/>
        <v/>
      </c>
      <c r="J2601" t="str">
        <f t="shared" si="209"/>
        <v/>
      </c>
      <c r="K2601" s="60" t="str">
        <f t="shared" si="210"/>
        <v/>
      </c>
      <c r="L2601" t="str">
        <f t="shared" si="211"/>
        <v/>
      </c>
    </row>
    <row r="2602" spans="1:12" x14ac:dyDescent="0.25">
      <c r="G2602" t="str">
        <f t="shared" si="212"/>
        <v>06/08/19</v>
      </c>
      <c r="H2602" t="str">
        <f t="shared" si="207"/>
        <v/>
      </c>
      <c r="I2602" s="60" t="str">
        <f t="shared" si="208"/>
        <v/>
      </c>
      <c r="J2602" t="str">
        <f t="shared" si="209"/>
        <v/>
      </c>
      <c r="K2602" s="60" t="str">
        <f t="shared" si="210"/>
        <v/>
      </c>
      <c r="L2602" t="str">
        <f t="shared" si="211"/>
        <v/>
      </c>
    </row>
    <row r="2603" spans="1:12" x14ac:dyDescent="0.25">
      <c r="A2603" t="s">
        <v>2731</v>
      </c>
      <c r="G2603" t="str">
        <f t="shared" si="212"/>
        <v>06/09/19</v>
      </c>
      <c r="H2603" t="str">
        <f t="shared" si="207"/>
        <v/>
      </c>
      <c r="I2603" s="60" t="str">
        <f t="shared" si="208"/>
        <v/>
      </c>
      <c r="J2603" t="str">
        <f t="shared" si="209"/>
        <v/>
      </c>
      <c r="K2603" s="60" t="str">
        <f t="shared" si="210"/>
        <v/>
      </c>
      <c r="L2603" t="str">
        <f t="shared" si="211"/>
        <v/>
      </c>
    </row>
    <row r="2604" spans="1:12" x14ac:dyDescent="0.25">
      <c r="G2604" t="str">
        <f t="shared" si="212"/>
        <v>06/09/19</v>
      </c>
      <c r="H2604" t="str">
        <f t="shared" si="207"/>
        <v/>
      </c>
      <c r="I2604" s="60" t="str">
        <f t="shared" si="208"/>
        <v/>
      </c>
      <c r="J2604" t="str">
        <f t="shared" si="209"/>
        <v/>
      </c>
      <c r="K2604" s="60" t="str">
        <f t="shared" si="210"/>
        <v/>
      </c>
      <c r="L2604" t="str">
        <f t="shared" si="211"/>
        <v/>
      </c>
    </row>
    <row r="2605" spans="1:12" x14ac:dyDescent="0.25">
      <c r="A2605" t="s">
        <v>2732</v>
      </c>
      <c r="G2605" t="str">
        <f t="shared" si="212"/>
        <v>06/09/19</v>
      </c>
      <c r="H2605" t="str">
        <f t="shared" si="207"/>
        <v>Seattle Mariners</v>
      </c>
      <c r="I2605" s="60">
        <f t="shared" si="208"/>
        <v>9</v>
      </c>
      <c r="J2605" t="str">
        <f t="shared" si="209"/>
        <v>Los Angeles Angels</v>
      </c>
      <c r="K2605" s="60">
        <f t="shared" si="210"/>
        <v>3</v>
      </c>
      <c r="L2605">
        <f t="shared" si="211"/>
        <v>6</v>
      </c>
    </row>
    <row r="2606" spans="1:12" x14ac:dyDescent="0.25">
      <c r="G2606" t="str">
        <f t="shared" si="212"/>
        <v>06/09/19</v>
      </c>
      <c r="H2606" t="str">
        <f t="shared" si="207"/>
        <v/>
      </c>
      <c r="I2606" s="60" t="str">
        <f t="shared" si="208"/>
        <v/>
      </c>
      <c r="J2606" t="str">
        <f t="shared" si="209"/>
        <v/>
      </c>
      <c r="K2606" s="60" t="str">
        <f t="shared" si="210"/>
        <v/>
      </c>
      <c r="L2606" t="str">
        <f t="shared" si="211"/>
        <v/>
      </c>
    </row>
    <row r="2607" spans="1:12" x14ac:dyDescent="0.25">
      <c r="A2607" t="s">
        <v>2733</v>
      </c>
      <c r="G2607" t="str">
        <f t="shared" si="212"/>
        <v>06/09/19</v>
      </c>
      <c r="H2607" t="str">
        <f t="shared" si="207"/>
        <v>Tampa Bay Rays</v>
      </c>
      <c r="I2607" s="60">
        <f t="shared" si="208"/>
        <v>6</v>
      </c>
      <c r="J2607" t="str">
        <f t="shared" si="209"/>
        <v>Boston Red Sox</v>
      </c>
      <c r="K2607" s="60">
        <f t="shared" si="210"/>
        <v>1</v>
      </c>
      <c r="L2607">
        <f t="shared" si="211"/>
        <v>5</v>
      </c>
    </row>
    <row r="2608" spans="1:12" x14ac:dyDescent="0.25">
      <c r="G2608" t="str">
        <f t="shared" si="212"/>
        <v>06/09/19</v>
      </c>
      <c r="H2608" t="str">
        <f t="shared" si="207"/>
        <v/>
      </c>
      <c r="I2608" s="60" t="str">
        <f t="shared" si="208"/>
        <v/>
      </c>
      <c r="J2608" t="str">
        <f t="shared" si="209"/>
        <v/>
      </c>
      <c r="K2608" s="60" t="str">
        <f t="shared" si="210"/>
        <v/>
      </c>
      <c r="L2608" t="str">
        <f t="shared" si="211"/>
        <v/>
      </c>
    </row>
    <row r="2609" spans="1:12" x14ac:dyDescent="0.25">
      <c r="A2609" t="s">
        <v>2734</v>
      </c>
      <c r="G2609" t="str">
        <f t="shared" si="212"/>
        <v>06/09/19</v>
      </c>
      <c r="H2609" t="str">
        <f t="shared" si="207"/>
        <v>St. Louis Cardinals</v>
      </c>
      <c r="I2609" s="60">
        <f t="shared" si="208"/>
        <v>1</v>
      </c>
      <c r="J2609" t="str">
        <f t="shared" si="209"/>
        <v>Chicago Cubs</v>
      </c>
      <c r="K2609" s="60">
        <f t="shared" si="210"/>
        <v>5</v>
      </c>
      <c r="L2609">
        <f t="shared" si="211"/>
        <v>-4</v>
      </c>
    </row>
    <row r="2610" spans="1:12" x14ac:dyDescent="0.25">
      <c r="G2610" t="str">
        <f t="shared" si="212"/>
        <v>06/09/19</v>
      </c>
      <c r="H2610" t="str">
        <f t="shared" si="207"/>
        <v/>
      </c>
      <c r="I2610" s="60" t="str">
        <f t="shared" si="208"/>
        <v/>
      </c>
      <c r="J2610" t="str">
        <f t="shared" si="209"/>
        <v/>
      </c>
      <c r="K2610" s="60" t="str">
        <f t="shared" si="210"/>
        <v/>
      </c>
      <c r="L2610" t="str">
        <f t="shared" si="211"/>
        <v/>
      </c>
    </row>
    <row r="2611" spans="1:12" x14ac:dyDescent="0.25">
      <c r="A2611" t="s">
        <v>2735</v>
      </c>
      <c r="G2611" t="str">
        <f t="shared" si="212"/>
        <v>06/09/19</v>
      </c>
      <c r="H2611" t="str">
        <f t="shared" si="207"/>
        <v>New York Yankees</v>
      </c>
      <c r="I2611" s="60">
        <f t="shared" si="208"/>
        <v>7</v>
      </c>
      <c r="J2611" t="str">
        <f t="shared" si="209"/>
        <v>Cleveland Indians</v>
      </c>
      <c r="K2611" s="60">
        <f t="shared" si="210"/>
        <v>6</v>
      </c>
      <c r="L2611">
        <f t="shared" si="211"/>
        <v>1</v>
      </c>
    </row>
    <row r="2612" spans="1:12" x14ac:dyDescent="0.25">
      <c r="G2612" t="str">
        <f t="shared" si="212"/>
        <v>06/09/19</v>
      </c>
      <c r="H2612" t="str">
        <f t="shared" si="207"/>
        <v/>
      </c>
      <c r="I2612" s="60" t="str">
        <f t="shared" si="208"/>
        <v/>
      </c>
      <c r="J2612" t="str">
        <f t="shared" si="209"/>
        <v/>
      </c>
      <c r="K2612" s="60" t="str">
        <f t="shared" si="210"/>
        <v/>
      </c>
      <c r="L2612" t="str">
        <f t="shared" si="211"/>
        <v/>
      </c>
    </row>
    <row r="2613" spans="1:12" x14ac:dyDescent="0.25">
      <c r="A2613" t="s">
        <v>2736</v>
      </c>
      <c r="G2613" t="str">
        <f t="shared" si="212"/>
        <v>06/09/19</v>
      </c>
      <c r="H2613" t="str">
        <f t="shared" si="207"/>
        <v>Minnesota Twins</v>
      </c>
      <c r="I2613" s="60">
        <f t="shared" si="208"/>
        <v>12</v>
      </c>
      <c r="J2613" t="str">
        <f t="shared" si="209"/>
        <v>Detroit Tigers</v>
      </c>
      <c r="K2613" s="60">
        <f t="shared" si="210"/>
        <v>2</v>
      </c>
      <c r="L2613">
        <f t="shared" si="211"/>
        <v>10</v>
      </c>
    </row>
    <row r="2614" spans="1:12" x14ac:dyDescent="0.25">
      <c r="G2614" t="str">
        <f t="shared" si="212"/>
        <v>06/09/19</v>
      </c>
      <c r="H2614" t="str">
        <f t="shared" si="207"/>
        <v/>
      </c>
      <c r="I2614" s="60" t="str">
        <f t="shared" si="208"/>
        <v/>
      </c>
      <c r="J2614" t="str">
        <f t="shared" si="209"/>
        <v/>
      </c>
      <c r="K2614" s="60" t="str">
        <f t="shared" si="210"/>
        <v/>
      </c>
      <c r="L2614" t="str">
        <f t="shared" si="211"/>
        <v/>
      </c>
    </row>
    <row r="2615" spans="1:12" x14ac:dyDescent="0.25">
      <c r="A2615" t="s">
        <v>2737</v>
      </c>
      <c r="G2615" t="str">
        <f t="shared" si="212"/>
        <v>06/09/19</v>
      </c>
      <c r="H2615" t="str">
        <f t="shared" si="207"/>
        <v>Baltimore Orioles</v>
      </c>
      <c r="I2615" s="60">
        <f t="shared" si="208"/>
        <v>0</v>
      </c>
      <c r="J2615" t="str">
        <f t="shared" si="209"/>
        <v>Houston Astros</v>
      </c>
      <c r="K2615" s="60">
        <f t="shared" si="210"/>
        <v>4</v>
      </c>
      <c r="L2615">
        <f t="shared" si="211"/>
        <v>-4</v>
      </c>
    </row>
    <row r="2616" spans="1:12" x14ac:dyDescent="0.25">
      <c r="G2616" t="str">
        <f t="shared" si="212"/>
        <v>06/09/19</v>
      </c>
      <c r="H2616" t="str">
        <f t="shared" si="207"/>
        <v/>
      </c>
      <c r="I2616" s="60" t="str">
        <f t="shared" si="208"/>
        <v/>
      </c>
      <c r="J2616" t="str">
        <f t="shared" si="209"/>
        <v/>
      </c>
      <c r="K2616" s="60" t="str">
        <f t="shared" si="210"/>
        <v/>
      </c>
      <c r="L2616" t="str">
        <f t="shared" si="211"/>
        <v/>
      </c>
    </row>
    <row r="2617" spans="1:12" x14ac:dyDescent="0.25">
      <c r="A2617" t="s">
        <v>2738</v>
      </c>
      <c r="G2617" t="str">
        <f t="shared" si="212"/>
        <v>06/09/19</v>
      </c>
      <c r="H2617" t="str">
        <f t="shared" si="207"/>
        <v>Chicago White Sox</v>
      </c>
      <c r="I2617" s="60">
        <f t="shared" si="208"/>
        <v>5</v>
      </c>
      <c r="J2617" t="str">
        <f t="shared" si="209"/>
        <v>Kansas City Royals</v>
      </c>
      <c r="K2617" s="60">
        <f t="shared" si="210"/>
        <v>2</v>
      </c>
      <c r="L2617">
        <f t="shared" si="211"/>
        <v>3</v>
      </c>
    </row>
    <row r="2618" spans="1:12" x14ac:dyDescent="0.25">
      <c r="G2618" t="str">
        <f t="shared" si="212"/>
        <v>06/09/19</v>
      </c>
      <c r="H2618" t="str">
        <f t="shared" si="207"/>
        <v/>
      </c>
      <c r="I2618" s="60" t="str">
        <f t="shared" si="208"/>
        <v/>
      </c>
      <c r="J2618" t="str">
        <f t="shared" si="209"/>
        <v/>
      </c>
      <c r="K2618" s="60" t="str">
        <f t="shared" si="210"/>
        <v/>
      </c>
      <c r="L2618" t="str">
        <f t="shared" si="211"/>
        <v/>
      </c>
    </row>
    <row r="2619" spans="1:12" x14ac:dyDescent="0.25">
      <c r="A2619" t="s">
        <v>2739</v>
      </c>
      <c r="G2619" t="str">
        <f t="shared" si="212"/>
        <v>06/09/19</v>
      </c>
      <c r="H2619" t="str">
        <f t="shared" si="207"/>
        <v>Atlanta Braves</v>
      </c>
      <c r="I2619" s="60">
        <f t="shared" si="208"/>
        <v>7</v>
      </c>
      <c r="J2619" t="str">
        <f t="shared" si="209"/>
        <v>Miami Marlins</v>
      </c>
      <c r="K2619" s="60">
        <f t="shared" si="210"/>
        <v>6</v>
      </c>
      <c r="L2619">
        <f t="shared" si="211"/>
        <v>1</v>
      </c>
    </row>
    <row r="2620" spans="1:12" x14ac:dyDescent="0.25">
      <c r="G2620" t="str">
        <f t="shared" si="212"/>
        <v>06/09/19</v>
      </c>
      <c r="H2620" t="str">
        <f t="shared" si="207"/>
        <v/>
      </c>
      <c r="I2620" s="60" t="str">
        <f t="shared" si="208"/>
        <v/>
      </c>
      <c r="J2620" t="str">
        <f t="shared" si="209"/>
        <v/>
      </c>
      <c r="K2620" s="60" t="str">
        <f t="shared" si="210"/>
        <v/>
      </c>
      <c r="L2620" t="str">
        <f t="shared" si="211"/>
        <v/>
      </c>
    </row>
    <row r="2621" spans="1:12" x14ac:dyDescent="0.25">
      <c r="A2621" t="s">
        <v>2740</v>
      </c>
      <c r="G2621" t="str">
        <f t="shared" si="212"/>
        <v>06/09/19</v>
      </c>
      <c r="H2621" t="str">
        <f t="shared" si="207"/>
        <v>Pittsburgh Pirates</v>
      </c>
      <c r="I2621" s="60">
        <f t="shared" si="208"/>
        <v>2</v>
      </c>
      <c r="J2621" t="str">
        <f t="shared" si="209"/>
        <v>Milwaukee Brewers</v>
      </c>
      <c r="K2621" s="60">
        <f t="shared" si="210"/>
        <v>5</v>
      </c>
      <c r="L2621">
        <f t="shared" si="211"/>
        <v>-3</v>
      </c>
    </row>
    <row r="2622" spans="1:12" x14ac:dyDescent="0.25">
      <c r="G2622" t="str">
        <f t="shared" si="212"/>
        <v>06/09/19</v>
      </c>
      <c r="H2622" t="str">
        <f t="shared" si="207"/>
        <v/>
      </c>
      <c r="I2622" s="60" t="str">
        <f t="shared" si="208"/>
        <v/>
      </c>
      <c r="J2622" t="str">
        <f t="shared" si="209"/>
        <v/>
      </c>
      <c r="K2622" s="60" t="str">
        <f t="shared" si="210"/>
        <v/>
      </c>
      <c r="L2622" t="str">
        <f t="shared" si="211"/>
        <v/>
      </c>
    </row>
    <row r="2623" spans="1:12" x14ac:dyDescent="0.25">
      <c r="A2623" t="s">
        <v>2741</v>
      </c>
      <c r="G2623" t="str">
        <f t="shared" si="212"/>
        <v>06/09/19</v>
      </c>
      <c r="H2623" t="str">
        <f t="shared" si="207"/>
        <v>Colorado Rockies</v>
      </c>
      <c r="I2623" s="60">
        <f t="shared" si="208"/>
        <v>1</v>
      </c>
      <c r="J2623" t="str">
        <f t="shared" si="209"/>
        <v>New York Mets</v>
      </c>
      <c r="K2623" s="60">
        <f t="shared" si="210"/>
        <v>6</v>
      </c>
      <c r="L2623">
        <f t="shared" si="211"/>
        <v>-5</v>
      </c>
    </row>
    <row r="2624" spans="1:12" x14ac:dyDescent="0.25">
      <c r="G2624" t="str">
        <f t="shared" si="212"/>
        <v>06/09/19</v>
      </c>
      <c r="H2624" t="str">
        <f t="shared" si="207"/>
        <v/>
      </c>
      <c r="I2624" s="60" t="str">
        <f t="shared" si="208"/>
        <v/>
      </c>
      <c r="J2624" t="str">
        <f t="shared" si="209"/>
        <v/>
      </c>
      <c r="K2624" s="60" t="str">
        <f t="shared" si="210"/>
        <v/>
      </c>
      <c r="L2624" t="str">
        <f t="shared" si="211"/>
        <v/>
      </c>
    </row>
    <row r="2625" spans="1:12" x14ac:dyDescent="0.25">
      <c r="A2625" t="s">
        <v>2742</v>
      </c>
      <c r="G2625" t="str">
        <f t="shared" si="212"/>
        <v>06/09/19</v>
      </c>
      <c r="H2625" t="str">
        <f t="shared" si="207"/>
        <v>Cincinnati Reds</v>
      </c>
      <c r="I2625" s="60">
        <f t="shared" si="208"/>
        <v>4</v>
      </c>
      <c r="J2625" t="str">
        <f t="shared" si="209"/>
        <v>Philadelphia Phillies</v>
      </c>
      <c r="K2625" s="60">
        <f t="shared" si="210"/>
        <v>3</v>
      </c>
      <c r="L2625">
        <f t="shared" si="211"/>
        <v>1</v>
      </c>
    </row>
    <row r="2626" spans="1:12" x14ac:dyDescent="0.25">
      <c r="G2626" t="str">
        <f t="shared" si="212"/>
        <v>06/09/19</v>
      </c>
      <c r="H2626" t="str">
        <f t="shared" si="207"/>
        <v/>
      </c>
      <c r="I2626" s="60" t="str">
        <f t="shared" si="208"/>
        <v/>
      </c>
      <c r="J2626" t="str">
        <f t="shared" si="209"/>
        <v/>
      </c>
      <c r="K2626" s="60" t="str">
        <f t="shared" si="210"/>
        <v/>
      </c>
      <c r="L2626" t="str">
        <f t="shared" si="211"/>
        <v/>
      </c>
    </row>
    <row r="2627" spans="1:12" x14ac:dyDescent="0.25">
      <c r="A2627" t="s">
        <v>2743</v>
      </c>
      <c r="G2627" t="str">
        <f t="shared" si="212"/>
        <v>06/09/19</v>
      </c>
      <c r="H2627" t="str">
        <f t="shared" si="207"/>
        <v>Washington Nationals</v>
      </c>
      <c r="I2627" s="60">
        <f t="shared" si="208"/>
        <v>5</v>
      </c>
      <c r="J2627" t="str">
        <f t="shared" si="209"/>
        <v>San Diego Padres</v>
      </c>
      <c r="K2627" s="60">
        <f t="shared" si="210"/>
        <v>2</v>
      </c>
      <c r="L2627">
        <f t="shared" si="211"/>
        <v>3</v>
      </c>
    </row>
    <row r="2628" spans="1:12" x14ac:dyDescent="0.25">
      <c r="G2628" t="str">
        <f t="shared" si="212"/>
        <v>06/09/19</v>
      </c>
      <c r="H2628" t="str">
        <f t="shared" si="207"/>
        <v/>
      </c>
      <c r="I2628" s="60" t="str">
        <f t="shared" si="208"/>
        <v/>
      </c>
      <c r="J2628" t="str">
        <f t="shared" si="209"/>
        <v/>
      </c>
      <c r="K2628" s="60" t="str">
        <f t="shared" si="210"/>
        <v/>
      </c>
      <c r="L2628" t="str">
        <f t="shared" si="211"/>
        <v/>
      </c>
    </row>
    <row r="2629" spans="1:12" x14ac:dyDescent="0.25">
      <c r="A2629" t="s">
        <v>2744</v>
      </c>
      <c r="G2629" t="str">
        <f t="shared" si="212"/>
        <v>06/09/19</v>
      </c>
      <c r="H2629" t="str">
        <f t="shared" si="207"/>
        <v>Los Angeles Dodgers</v>
      </c>
      <c r="I2629" s="60">
        <f t="shared" si="208"/>
        <v>1</v>
      </c>
      <c r="J2629" t="str">
        <f t="shared" si="209"/>
        <v>San Francisco Giants</v>
      </c>
      <c r="K2629" s="60">
        <f t="shared" si="210"/>
        <v>0</v>
      </c>
      <c r="L2629">
        <f t="shared" si="211"/>
        <v>1</v>
      </c>
    </row>
    <row r="2630" spans="1:12" x14ac:dyDescent="0.25">
      <c r="G2630" t="str">
        <f t="shared" si="212"/>
        <v>06/09/19</v>
      </c>
      <c r="H2630" t="str">
        <f t="shared" si="207"/>
        <v/>
      </c>
      <c r="I2630" s="60" t="str">
        <f t="shared" si="208"/>
        <v/>
      </c>
      <c r="J2630" t="str">
        <f t="shared" si="209"/>
        <v/>
      </c>
      <c r="K2630" s="60" t="str">
        <f t="shared" si="210"/>
        <v/>
      </c>
      <c r="L2630" t="str">
        <f t="shared" si="211"/>
        <v/>
      </c>
    </row>
    <row r="2631" spans="1:12" x14ac:dyDescent="0.25">
      <c r="A2631" t="s">
        <v>2745</v>
      </c>
      <c r="G2631" t="str">
        <f t="shared" si="212"/>
        <v>06/09/19</v>
      </c>
      <c r="H2631" t="str">
        <f t="shared" si="207"/>
        <v>Oakland Athletics</v>
      </c>
      <c r="I2631" s="60">
        <f t="shared" si="208"/>
        <v>9</v>
      </c>
      <c r="J2631" t="str">
        <f t="shared" si="209"/>
        <v>Texas Rangers</v>
      </c>
      <c r="K2631" s="60">
        <f t="shared" si="210"/>
        <v>8</v>
      </c>
      <c r="L2631">
        <f t="shared" si="211"/>
        <v>1</v>
      </c>
    </row>
    <row r="2632" spans="1:12" x14ac:dyDescent="0.25">
      <c r="G2632" t="str">
        <f t="shared" si="212"/>
        <v>06/09/19</v>
      </c>
      <c r="H2632" t="str">
        <f t="shared" si="207"/>
        <v/>
      </c>
      <c r="I2632" s="60" t="str">
        <f t="shared" si="208"/>
        <v/>
      </c>
      <c r="J2632" t="str">
        <f t="shared" si="209"/>
        <v/>
      </c>
      <c r="K2632" s="60" t="str">
        <f t="shared" si="210"/>
        <v/>
      </c>
      <c r="L2632" t="str">
        <f t="shared" si="211"/>
        <v/>
      </c>
    </row>
    <row r="2633" spans="1:12" x14ac:dyDescent="0.25">
      <c r="A2633" t="s">
        <v>2710</v>
      </c>
      <c r="G2633" t="str">
        <f t="shared" si="212"/>
        <v>06/09/19</v>
      </c>
      <c r="H2633" t="str">
        <f t="shared" si="207"/>
        <v>Arizona D'Backs</v>
      </c>
      <c r="I2633" s="60">
        <f t="shared" si="208"/>
        <v>8</v>
      </c>
      <c r="J2633" t="str">
        <f t="shared" si="209"/>
        <v>Toronto Blue Jays</v>
      </c>
      <c r="K2633" s="60">
        <f t="shared" si="210"/>
        <v>2</v>
      </c>
      <c r="L2633">
        <f t="shared" si="211"/>
        <v>6</v>
      </c>
    </row>
    <row r="2634" spans="1:12" x14ac:dyDescent="0.25">
      <c r="G2634" t="str">
        <f t="shared" si="212"/>
        <v>06/09/19</v>
      </c>
      <c r="H2634" t="str">
        <f t="shared" si="207"/>
        <v/>
      </c>
      <c r="I2634" s="60" t="str">
        <f t="shared" si="208"/>
        <v/>
      </c>
      <c r="J2634" t="str">
        <f t="shared" si="209"/>
        <v/>
      </c>
      <c r="K2634" s="60" t="str">
        <f t="shared" si="210"/>
        <v/>
      </c>
      <c r="L2634" t="str">
        <f t="shared" si="211"/>
        <v/>
      </c>
    </row>
    <row r="2635" spans="1:12" x14ac:dyDescent="0.25">
      <c r="A2635" t="s">
        <v>2746</v>
      </c>
      <c r="G2635" t="str">
        <f t="shared" si="212"/>
        <v>06/09/19</v>
      </c>
      <c r="H2635" t="str">
        <f t="shared" si="207"/>
        <v/>
      </c>
      <c r="I2635" s="60" t="str">
        <f t="shared" si="208"/>
        <v/>
      </c>
      <c r="J2635" t="str">
        <f t="shared" si="209"/>
        <v/>
      </c>
      <c r="K2635" s="60" t="str">
        <f t="shared" si="210"/>
        <v/>
      </c>
      <c r="L2635" t="str">
        <f t="shared" si="211"/>
        <v/>
      </c>
    </row>
    <row r="2636" spans="1:12" x14ac:dyDescent="0.25">
      <c r="G2636" t="str">
        <f t="shared" si="212"/>
        <v>06/09/19</v>
      </c>
      <c r="H2636" t="str">
        <f t="shared" si="207"/>
        <v/>
      </c>
      <c r="I2636" s="60" t="str">
        <f t="shared" si="208"/>
        <v/>
      </c>
      <c r="J2636" t="str">
        <f t="shared" si="209"/>
        <v/>
      </c>
      <c r="K2636" s="60" t="str">
        <f t="shared" si="210"/>
        <v/>
      </c>
      <c r="L2636" t="str">
        <f t="shared" si="211"/>
        <v/>
      </c>
    </row>
    <row r="2637" spans="1:12" x14ac:dyDescent="0.25">
      <c r="A2637" t="s">
        <v>2747</v>
      </c>
      <c r="G2637" t="str">
        <f t="shared" si="212"/>
        <v>06/10/19</v>
      </c>
      <c r="H2637" t="str">
        <f t="shared" si="207"/>
        <v/>
      </c>
      <c r="I2637" s="60" t="str">
        <f t="shared" si="208"/>
        <v/>
      </c>
      <c r="J2637" t="str">
        <f t="shared" si="209"/>
        <v/>
      </c>
      <c r="K2637" s="60" t="str">
        <f t="shared" si="210"/>
        <v/>
      </c>
      <c r="L2637" t="str">
        <f t="shared" si="211"/>
        <v/>
      </c>
    </row>
    <row r="2638" spans="1:12" x14ac:dyDescent="0.25">
      <c r="G2638" t="str">
        <f t="shared" si="212"/>
        <v>06/10/19</v>
      </c>
      <c r="H2638" t="str">
        <f t="shared" si="207"/>
        <v/>
      </c>
      <c r="I2638" s="60" t="str">
        <f t="shared" si="208"/>
        <v/>
      </c>
      <c r="J2638" t="str">
        <f t="shared" si="209"/>
        <v/>
      </c>
      <c r="K2638" s="60" t="str">
        <f t="shared" si="210"/>
        <v/>
      </c>
      <c r="L2638" t="str">
        <f t="shared" si="211"/>
        <v/>
      </c>
    </row>
    <row r="2639" spans="1:12" x14ac:dyDescent="0.25">
      <c r="A2639" t="s">
        <v>2748</v>
      </c>
      <c r="G2639" t="str">
        <f t="shared" si="212"/>
        <v>06/10/19</v>
      </c>
      <c r="H2639" t="str">
        <f t="shared" si="207"/>
        <v>Los Angeles Dodgers</v>
      </c>
      <c r="I2639" s="60">
        <f t="shared" si="208"/>
        <v>3</v>
      </c>
      <c r="J2639" t="str">
        <f t="shared" si="209"/>
        <v>Los Angeles Angels</v>
      </c>
      <c r="K2639" s="60">
        <f t="shared" si="210"/>
        <v>5</v>
      </c>
      <c r="L2639">
        <f t="shared" si="211"/>
        <v>-2</v>
      </c>
    </row>
    <row r="2640" spans="1:12" x14ac:dyDescent="0.25">
      <c r="G2640" t="str">
        <f t="shared" si="212"/>
        <v>06/10/19</v>
      </c>
      <c r="H2640" t="str">
        <f t="shared" ref="H2640:H2703" si="213">IFERROR(LEFT(MID(A2640,1,SEARCH("@",A2640)-2),SEARCH("(",A2640)-2),"")</f>
        <v/>
      </c>
      <c r="I2640" s="60" t="str">
        <f t="shared" ref="I2640:I2703" si="214">IFERROR(VALUE(MID(A2640,SEARCH("(",A2640)+1,SEARCH(")",A2640)-SEARCH("(",A2640)-1)),"")</f>
        <v/>
      </c>
      <c r="J2640" t="str">
        <f t="shared" ref="J2640:J2703" si="215">IFERROR(MID(A2640,SEARCH("@",A2640)+2,SEARCH("(",A2640,SEARCH("@",A2640))-SEARCH("@",A2640)-3),"")</f>
        <v/>
      </c>
      <c r="K2640" s="60" t="str">
        <f t="shared" ref="K2640:K2703" si="216">IFERROR(VALUE(MID(A2640,SEARCH(J2640,A2640)+LEN(J2640)+2,(SEARCH(")",A2640,SEARCH("@",A2640))-SEARCH("(",A2640,SEARCH("@",A2640))-1))),"")</f>
        <v/>
      </c>
      <c r="L2640" t="str">
        <f t="shared" ref="L2640:L2703" si="217">IFERROR(I2640-K2640,"")</f>
        <v/>
      </c>
    </row>
    <row r="2641" spans="1:12" x14ac:dyDescent="0.25">
      <c r="A2641" t="s">
        <v>2749</v>
      </c>
      <c r="G2641" t="str">
        <f t="shared" si="212"/>
        <v>06/10/19</v>
      </c>
      <c r="H2641" t="str">
        <f t="shared" si="213"/>
        <v>Pittsburgh Pirates</v>
      </c>
      <c r="I2641" s="60">
        <f t="shared" si="214"/>
        <v>7</v>
      </c>
      <c r="J2641" t="str">
        <f t="shared" si="215"/>
        <v>Atlanta Braves</v>
      </c>
      <c r="K2641" s="60">
        <f t="shared" si="216"/>
        <v>13</v>
      </c>
      <c r="L2641">
        <f t="shared" si="217"/>
        <v>-6</v>
      </c>
    </row>
    <row r="2642" spans="1:12" x14ac:dyDescent="0.25">
      <c r="G2642" t="str">
        <f t="shared" si="212"/>
        <v>06/10/19</v>
      </c>
      <c r="H2642" t="str">
        <f t="shared" si="213"/>
        <v/>
      </c>
      <c r="I2642" s="60" t="str">
        <f t="shared" si="214"/>
        <v/>
      </c>
      <c r="J2642" t="str">
        <f t="shared" si="215"/>
        <v/>
      </c>
      <c r="K2642" s="60" t="str">
        <f t="shared" si="216"/>
        <v/>
      </c>
      <c r="L2642" t="str">
        <f t="shared" si="217"/>
        <v/>
      </c>
    </row>
    <row r="2643" spans="1:12" x14ac:dyDescent="0.25">
      <c r="A2643" t="s">
        <v>2750</v>
      </c>
      <c r="G2643" t="str">
        <f t="shared" si="212"/>
        <v>06/10/19</v>
      </c>
      <c r="H2643" t="str">
        <f t="shared" si="213"/>
        <v>Texas Rangers</v>
      </c>
      <c r="I2643" s="60">
        <f t="shared" si="214"/>
        <v>4</v>
      </c>
      <c r="J2643" t="str">
        <f t="shared" si="215"/>
        <v>Boston Red Sox</v>
      </c>
      <c r="K2643" s="60">
        <f t="shared" si="216"/>
        <v>3</v>
      </c>
      <c r="L2643">
        <f t="shared" si="217"/>
        <v>1</v>
      </c>
    </row>
    <row r="2644" spans="1:12" x14ac:dyDescent="0.25">
      <c r="G2644" t="str">
        <f t="shared" si="212"/>
        <v>06/10/19</v>
      </c>
      <c r="H2644" t="str">
        <f t="shared" si="213"/>
        <v/>
      </c>
      <c r="I2644" s="60" t="str">
        <f t="shared" si="214"/>
        <v/>
      </c>
      <c r="J2644" t="str">
        <f t="shared" si="215"/>
        <v/>
      </c>
      <c r="K2644" s="60" t="str">
        <f t="shared" si="216"/>
        <v/>
      </c>
      <c r="L2644" t="str">
        <f t="shared" si="217"/>
        <v/>
      </c>
    </row>
    <row r="2645" spans="1:12" x14ac:dyDescent="0.25">
      <c r="A2645" t="s">
        <v>2751</v>
      </c>
      <c r="G2645" t="str">
        <f t="shared" si="212"/>
        <v>06/10/19</v>
      </c>
      <c r="H2645" t="str">
        <f t="shared" si="213"/>
        <v>Washington Nationals</v>
      </c>
      <c r="I2645" s="60">
        <f t="shared" si="214"/>
        <v>12</v>
      </c>
      <c r="J2645" t="str">
        <f t="shared" si="215"/>
        <v>Chicago White Sox</v>
      </c>
      <c r="K2645" s="60">
        <f t="shared" si="216"/>
        <v>1</v>
      </c>
      <c r="L2645">
        <f t="shared" si="217"/>
        <v>11</v>
      </c>
    </row>
    <row r="2646" spans="1:12" x14ac:dyDescent="0.25">
      <c r="G2646" t="str">
        <f t="shared" si="212"/>
        <v>06/10/19</v>
      </c>
      <c r="H2646" t="str">
        <f t="shared" si="213"/>
        <v/>
      </c>
      <c r="I2646" s="60" t="str">
        <f t="shared" si="214"/>
        <v/>
      </c>
      <c r="J2646" t="str">
        <f t="shared" si="215"/>
        <v/>
      </c>
      <c r="K2646" s="60" t="str">
        <f t="shared" si="216"/>
        <v/>
      </c>
      <c r="L2646" t="str">
        <f t="shared" si="217"/>
        <v/>
      </c>
    </row>
    <row r="2647" spans="1:12" x14ac:dyDescent="0.25">
      <c r="A2647" t="s">
        <v>2752</v>
      </c>
      <c r="G2647" t="str">
        <f t="shared" si="212"/>
        <v>06/10/19</v>
      </c>
      <c r="H2647" t="str">
        <f t="shared" si="213"/>
        <v>Chicago Cubs</v>
      </c>
      <c r="I2647" s="60">
        <f t="shared" si="214"/>
        <v>5</v>
      </c>
      <c r="J2647" t="str">
        <f t="shared" si="215"/>
        <v>Colorado Rockies</v>
      </c>
      <c r="K2647" s="60">
        <f t="shared" si="216"/>
        <v>6</v>
      </c>
      <c r="L2647">
        <f t="shared" si="217"/>
        <v>-1</v>
      </c>
    </row>
    <row r="2648" spans="1:12" x14ac:dyDescent="0.25">
      <c r="G2648" t="str">
        <f t="shared" si="212"/>
        <v>06/10/19</v>
      </c>
      <c r="H2648" t="str">
        <f t="shared" si="213"/>
        <v/>
      </c>
      <c r="I2648" s="60" t="str">
        <f t="shared" si="214"/>
        <v/>
      </c>
      <c r="J2648" t="str">
        <f t="shared" si="215"/>
        <v/>
      </c>
      <c r="K2648" s="60" t="str">
        <f t="shared" si="216"/>
        <v/>
      </c>
      <c r="L2648" t="str">
        <f t="shared" si="217"/>
        <v/>
      </c>
    </row>
    <row r="2649" spans="1:12" x14ac:dyDescent="0.25">
      <c r="A2649" t="s">
        <v>2753</v>
      </c>
      <c r="G2649" t="str">
        <f t="shared" si="212"/>
        <v>06/10/19</v>
      </c>
      <c r="H2649" t="str">
        <f t="shared" si="213"/>
        <v>St. Louis Cardinals</v>
      </c>
      <c r="I2649" s="60">
        <f t="shared" si="214"/>
        <v>4</v>
      </c>
      <c r="J2649" t="str">
        <f t="shared" si="215"/>
        <v>Miami Marlins</v>
      </c>
      <c r="K2649" s="60">
        <f t="shared" si="216"/>
        <v>1</v>
      </c>
      <c r="L2649">
        <f t="shared" si="217"/>
        <v>3</v>
      </c>
    </row>
    <row r="2650" spans="1:12" x14ac:dyDescent="0.25">
      <c r="G2650" t="str">
        <f t="shared" si="212"/>
        <v>06/10/19</v>
      </c>
      <c r="H2650" t="str">
        <f t="shared" si="213"/>
        <v/>
      </c>
      <c r="I2650" s="60" t="str">
        <f t="shared" si="214"/>
        <v/>
      </c>
      <c r="J2650" t="str">
        <f t="shared" si="215"/>
        <v/>
      </c>
      <c r="K2650" s="60" t="str">
        <f t="shared" si="216"/>
        <v/>
      </c>
      <c r="L2650" t="str">
        <f t="shared" si="217"/>
        <v/>
      </c>
    </row>
    <row r="2651" spans="1:12" x14ac:dyDescent="0.25">
      <c r="A2651" t="s">
        <v>2754</v>
      </c>
      <c r="G2651" t="str">
        <f t="shared" si="212"/>
        <v>06/10/19</v>
      </c>
      <c r="H2651" t="str">
        <f t="shared" si="213"/>
        <v>Arizona D'Backs</v>
      </c>
      <c r="I2651" s="60">
        <f t="shared" si="214"/>
        <v>13</v>
      </c>
      <c r="J2651" t="str">
        <f t="shared" si="215"/>
        <v>Philadelphia Phillies</v>
      </c>
      <c r="K2651" s="60">
        <f t="shared" si="216"/>
        <v>8</v>
      </c>
      <c r="L2651">
        <f t="shared" si="217"/>
        <v>5</v>
      </c>
    </row>
    <row r="2652" spans="1:12" x14ac:dyDescent="0.25">
      <c r="G2652" t="str">
        <f t="shared" si="212"/>
        <v>06/10/19</v>
      </c>
      <c r="H2652" t="str">
        <f t="shared" si="213"/>
        <v/>
      </c>
      <c r="I2652" s="60" t="str">
        <f t="shared" si="214"/>
        <v/>
      </c>
      <c r="J2652" t="str">
        <f t="shared" si="215"/>
        <v/>
      </c>
      <c r="K2652" s="60" t="str">
        <f t="shared" si="216"/>
        <v/>
      </c>
      <c r="L2652" t="str">
        <f t="shared" si="217"/>
        <v/>
      </c>
    </row>
    <row r="2653" spans="1:12" x14ac:dyDescent="0.25">
      <c r="A2653" t="s">
        <v>2755</v>
      </c>
      <c r="G2653" t="str">
        <f t="shared" si="212"/>
        <v>06/10/19</v>
      </c>
      <c r="H2653" t="str">
        <f t="shared" si="213"/>
        <v>Oakland Athletics</v>
      </c>
      <c r="I2653" s="60">
        <f t="shared" si="214"/>
        <v>2</v>
      </c>
      <c r="J2653" t="str">
        <f t="shared" si="215"/>
        <v>Tampa Bay Rays</v>
      </c>
      <c r="K2653" s="60">
        <f t="shared" si="216"/>
        <v>6</v>
      </c>
      <c r="L2653">
        <f t="shared" si="217"/>
        <v>-4</v>
      </c>
    </row>
    <row r="2654" spans="1:12" x14ac:dyDescent="0.25">
      <c r="G2654" t="str">
        <f t="shared" si="212"/>
        <v>06/10/19</v>
      </c>
      <c r="H2654" t="str">
        <f t="shared" si="213"/>
        <v/>
      </c>
      <c r="I2654" s="60" t="str">
        <f t="shared" si="214"/>
        <v/>
      </c>
      <c r="J2654" t="str">
        <f t="shared" si="215"/>
        <v/>
      </c>
      <c r="K2654" s="60" t="str">
        <f t="shared" si="216"/>
        <v/>
      </c>
      <c r="L2654" t="str">
        <f t="shared" si="217"/>
        <v/>
      </c>
    </row>
    <row r="2655" spans="1:12" x14ac:dyDescent="0.25">
      <c r="A2655" t="s">
        <v>2756</v>
      </c>
      <c r="G2655" t="str">
        <f t="shared" si="212"/>
        <v>06/10/19</v>
      </c>
      <c r="H2655" t="str">
        <f t="shared" si="213"/>
        <v/>
      </c>
      <c r="I2655" s="60" t="str">
        <f t="shared" si="214"/>
        <v/>
      </c>
      <c r="J2655" t="str">
        <f t="shared" si="215"/>
        <v/>
      </c>
      <c r="K2655" s="60" t="str">
        <f t="shared" si="216"/>
        <v/>
      </c>
      <c r="L2655" t="str">
        <f t="shared" si="217"/>
        <v/>
      </c>
    </row>
    <row r="2656" spans="1:12" x14ac:dyDescent="0.25">
      <c r="G2656" t="str">
        <f t="shared" si="212"/>
        <v>06/10/19</v>
      </c>
      <c r="H2656" t="str">
        <f t="shared" si="213"/>
        <v/>
      </c>
      <c r="I2656" s="60" t="str">
        <f t="shared" si="214"/>
        <v/>
      </c>
      <c r="J2656" t="str">
        <f t="shared" si="215"/>
        <v/>
      </c>
      <c r="K2656" s="60" t="str">
        <f t="shared" si="216"/>
        <v/>
      </c>
      <c r="L2656" t="str">
        <f t="shared" si="217"/>
        <v/>
      </c>
    </row>
    <row r="2657" spans="1:12" x14ac:dyDescent="0.25">
      <c r="A2657" t="s">
        <v>2757</v>
      </c>
      <c r="G2657" t="str">
        <f t="shared" si="212"/>
        <v>06/11/19</v>
      </c>
      <c r="H2657" t="str">
        <f t="shared" si="213"/>
        <v/>
      </c>
      <c r="I2657" s="60" t="str">
        <f t="shared" si="214"/>
        <v/>
      </c>
      <c r="J2657" t="str">
        <f t="shared" si="215"/>
        <v/>
      </c>
      <c r="K2657" s="60" t="str">
        <f t="shared" si="216"/>
        <v/>
      </c>
      <c r="L2657" t="str">
        <f t="shared" si="217"/>
        <v/>
      </c>
    </row>
    <row r="2658" spans="1:12" x14ac:dyDescent="0.25">
      <c r="G2658" t="str">
        <f t="shared" ref="G2658:G2721" si="218">IF(ISNUMBER(MATCH(IFERROR(LEFT(A2658,SEARCH(",",A2658)-1),""),$G$220:$M$220,0)),TEXT(MID(A2658,SEARCH(",",A2658)+2,LEN(A2658)),"mm/dd/yy"),G2657)</f>
        <v>06/11/19</v>
      </c>
      <c r="H2658" t="str">
        <f t="shared" si="213"/>
        <v/>
      </c>
      <c r="I2658" s="60" t="str">
        <f t="shared" si="214"/>
        <v/>
      </c>
      <c r="J2658" t="str">
        <f t="shared" si="215"/>
        <v/>
      </c>
      <c r="K2658" s="60" t="str">
        <f t="shared" si="216"/>
        <v/>
      </c>
      <c r="L2658" t="str">
        <f t="shared" si="217"/>
        <v/>
      </c>
    </row>
    <row r="2659" spans="1:12" x14ac:dyDescent="0.25">
      <c r="A2659" t="s">
        <v>2748</v>
      </c>
      <c r="G2659" t="str">
        <f t="shared" si="218"/>
        <v>06/11/19</v>
      </c>
      <c r="H2659" t="str">
        <f t="shared" si="213"/>
        <v>Los Angeles Dodgers</v>
      </c>
      <c r="I2659" s="60">
        <f t="shared" si="214"/>
        <v>3</v>
      </c>
      <c r="J2659" t="str">
        <f t="shared" si="215"/>
        <v>Los Angeles Angels</v>
      </c>
      <c r="K2659" s="60">
        <f t="shared" si="216"/>
        <v>5</v>
      </c>
      <c r="L2659">
        <f t="shared" si="217"/>
        <v>-2</v>
      </c>
    </row>
    <row r="2660" spans="1:12" x14ac:dyDescent="0.25">
      <c r="G2660" t="str">
        <f t="shared" si="218"/>
        <v>06/11/19</v>
      </c>
      <c r="H2660" t="str">
        <f t="shared" si="213"/>
        <v/>
      </c>
      <c r="I2660" s="60" t="str">
        <f t="shared" si="214"/>
        <v/>
      </c>
      <c r="J2660" t="str">
        <f t="shared" si="215"/>
        <v/>
      </c>
      <c r="K2660" s="60" t="str">
        <f t="shared" si="216"/>
        <v/>
      </c>
      <c r="L2660" t="str">
        <f t="shared" si="217"/>
        <v/>
      </c>
    </row>
    <row r="2661" spans="1:12" x14ac:dyDescent="0.25">
      <c r="A2661" t="s">
        <v>2758</v>
      </c>
      <c r="G2661" t="str">
        <f t="shared" si="218"/>
        <v>06/11/19</v>
      </c>
      <c r="H2661" t="str">
        <f t="shared" si="213"/>
        <v>Pittsburgh Pirates</v>
      </c>
      <c r="I2661" s="60">
        <f t="shared" si="214"/>
        <v>5</v>
      </c>
      <c r="J2661" t="str">
        <f t="shared" si="215"/>
        <v>Atlanta Braves</v>
      </c>
      <c r="K2661" s="60">
        <f t="shared" si="216"/>
        <v>7</v>
      </c>
      <c r="L2661">
        <f t="shared" si="217"/>
        <v>-2</v>
      </c>
    </row>
    <row r="2662" spans="1:12" x14ac:dyDescent="0.25">
      <c r="G2662" t="str">
        <f t="shared" si="218"/>
        <v>06/11/19</v>
      </c>
      <c r="H2662" t="str">
        <f t="shared" si="213"/>
        <v/>
      </c>
      <c r="I2662" s="60" t="str">
        <f t="shared" si="214"/>
        <v/>
      </c>
      <c r="J2662" t="str">
        <f t="shared" si="215"/>
        <v/>
      </c>
      <c r="K2662" s="60" t="str">
        <f t="shared" si="216"/>
        <v/>
      </c>
      <c r="L2662" t="str">
        <f t="shared" si="217"/>
        <v/>
      </c>
    </row>
    <row r="2663" spans="1:12" x14ac:dyDescent="0.25">
      <c r="A2663" t="s">
        <v>2759</v>
      </c>
      <c r="G2663" t="str">
        <f t="shared" si="218"/>
        <v>06/11/19</v>
      </c>
      <c r="H2663" t="str">
        <f t="shared" si="213"/>
        <v>Toronto Blue Jays</v>
      </c>
      <c r="I2663" s="60">
        <f t="shared" si="214"/>
        <v>2</v>
      </c>
      <c r="J2663" t="str">
        <f t="shared" si="215"/>
        <v>Baltimore Orioles</v>
      </c>
      <c r="K2663" s="60">
        <f t="shared" si="216"/>
        <v>4</v>
      </c>
      <c r="L2663">
        <f t="shared" si="217"/>
        <v>-2</v>
      </c>
    </row>
    <row r="2664" spans="1:12" x14ac:dyDescent="0.25">
      <c r="G2664" t="str">
        <f t="shared" si="218"/>
        <v>06/11/19</v>
      </c>
      <c r="H2664" t="str">
        <f t="shared" si="213"/>
        <v/>
      </c>
      <c r="I2664" s="60" t="str">
        <f t="shared" si="214"/>
        <v/>
      </c>
      <c r="J2664" t="str">
        <f t="shared" si="215"/>
        <v/>
      </c>
      <c r="K2664" s="60" t="str">
        <f t="shared" si="216"/>
        <v/>
      </c>
      <c r="L2664" t="str">
        <f t="shared" si="217"/>
        <v/>
      </c>
    </row>
    <row r="2665" spans="1:12" x14ac:dyDescent="0.25">
      <c r="A2665" t="s">
        <v>2760</v>
      </c>
      <c r="G2665" t="str">
        <f t="shared" si="218"/>
        <v>06/11/19</v>
      </c>
      <c r="H2665" t="str">
        <f t="shared" si="213"/>
        <v>Texas Rangers</v>
      </c>
      <c r="I2665" s="60">
        <f t="shared" si="214"/>
        <v>9</v>
      </c>
      <c r="J2665" t="str">
        <f t="shared" si="215"/>
        <v>Boston Red Sox</v>
      </c>
      <c r="K2665" s="60">
        <f t="shared" si="216"/>
        <v>5</v>
      </c>
      <c r="L2665">
        <f t="shared" si="217"/>
        <v>4</v>
      </c>
    </row>
    <row r="2666" spans="1:12" x14ac:dyDescent="0.25">
      <c r="G2666" t="str">
        <f t="shared" si="218"/>
        <v>06/11/19</v>
      </c>
      <c r="H2666" t="str">
        <f t="shared" si="213"/>
        <v/>
      </c>
      <c r="I2666" s="60" t="str">
        <f t="shared" si="214"/>
        <v/>
      </c>
      <c r="J2666" t="str">
        <f t="shared" si="215"/>
        <v/>
      </c>
      <c r="K2666" s="60" t="str">
        <f t="shared" si="216"/>
        <v/>
      </c>
      <c r="L2666" t="str">
        <f t="shared" si="217"/>
        <v/>
      </c>
    </row>
    <row r="2667" spans="1:12" x14ac:dyDescent="0.25">
      <c r="A2667" t="s">
        <v>2761</v>
      </c>
      <c r="G2667" t="str">
        <f t="shared" si="218"/>
        <v>06/11/19</v>
      </c>
      <c r="H2667" t="str">
        <f t="shared" si="213"/>
        <v>Washington Nationals</v>
      </c>
      <c r="I2667" s="60">
        <f t="shared" si="214"/>
        <v>5</v>
      </c>
      <c r="J2667" t="str">
        <f t="shared" si="215"/>
        <v>Chicago White Sox</v>
      </c>
      <c r="K2667" s="60">
        <f t="shared" si="216"/>
        <v>7</v>
      </c>
      <c r="L2667">
        <f t="shared" si="217"/>
        <v>-2</v>
      </c>
    </row>
    <row r="2668" spans="1:12" x14ac:dyDescent="0.25">
      <c r="G2668" t="str">
        <f t="shared" si="218"/>
        <v>06/11/19</v>
      </c>
      <c r="H2668" t="str">
        <f t="shared" si="213"/>
        <v/>
      </c>
      <c r="I2668" s="60" t="str">
        <f t="shared" si="214"/>
        <v/>
      </c>
      <c r="J2668" t="str">
        <f t="shared" si="215"/>
        <v/>
      </c>
      <c r="K2668" s="60" t="str">
        <f t="shared" si="216"/>
        <v/>
      </c>
      <c r="L2668" t="str">
        <f t="shared" si="217"/>
        <v/>
      </c>
    </row>
    <row r="2669" spans="1:12" x14ac:dyDescent="0.25">
      <c r="A2669" t="s">
        <v>2762</v>
      </c>
      <c r="G2669" t="str">
        <f t="shared" si="218"/>
        <v>06/11/19</v>
      </c>
      <c r="H2669" t="str">
        <f t="shared" si="213"/>
        <v>Cincinnati Reds</v>
      </c>
      <c r="I2669" s="60">
        <f t="shared" si="214"/>
        <v>1</v>
      </c>
      <c r="J2669" t="str">
        <f t="shared" si="215"/>
        <v>Cleveland Indians</v>
      </c>
      <c r="K2669" s="60">
        <f t="shared" si="216"/>
        <v>2</v>
      </c>
      <c r="L2669">
        <f t="shared" si="217"/>
        <v>-1</v>
      </c>
    </row>
    <row r="2670" spans="1:12" x14ac:dyDescent="0.25">
      <c r="G2670" t="str">
        <f t="shared" si="218"/>
        <v>06/11/19</v>
      </c>
      <c r="H2670" t="str">
        <f t="shared" si="213"/>
        <v/>
      </c>
      <c r="I2670" s="60" t="str">
        <f t="shared" si="214"/>
        <v/>
      </c>
      <c r="J2670" t="str">
        <f t="shared" si="215"/>
        <v/>
      </c>
      <c r="K2670" s="60" t="str">
        <f t="shared" si="216"/>
        <v/>
      </c>
      <c r="L2670" t="str">
        <f t="shared" si="217"/>
        <v/>
      </c>
    </row>
    <row r="2671" spans="1:12" x14ac:dyDescent="0.25">
      <c r="A2671" t="s">
        <v>2763</v>
      </c>
      <c r="G2671" t="str">
        <f t="shared" si="218"/>
        <v>06/11/19</v>
      </c>
      <c r="H2671" t="str">
        <f t="shared" si="213"/>
        <v>Chicago Cubs</v>
      </c>
      <c r="I2671" s="60">
        <f t="shared" si="214"/>
        <v>3</v>
      </c>
      <c r="J2671" t="str">
        <f t="shared" si="215"/>
        <v>Colorado Rockies</v>
      </c>
      <c r="K2671" s="60">
        <f t="shared" si="216"/>
        <v>10</v>
      </c>
      <c r="L2671">
        <f t="shared" si="217"/>
        <v>-7</v>
      </c>
    </row>
    <row r="2672" spans="1:12" x14ac:dyDescent="0.25">
      <c r="G2672" t="str">
        <f t="shared" si="218"/>
        <v>06/11/19</v>
      </c>
      <c r="H2672" t="str">
        <f t="shared" si="213"/>
        <v/>
      </c>
      <c r="I2672" s="60" t="str">
        <f t="shared" si="214"/>
        <v/>
      </c>
      <c r="J2672" t="str">
        <f t="shared" si="215"/>
        <v/>
      </c>
      <c r="K2672" s="60" t="str">
        <f t="shared" si="216"/>
        <v/>
      </c>
      <c r="L2672" t="str">
        <f t="shared" si="217"/>
        <v/>
      </c>
    </row>
    <row r="2673" spans="1:12" x14ac:dyDescent="0.25">
      <c r="A2673" t="s">
        <v>2764</v>
      </c>
      <c r="G2673" t="str">
        <f t="shared" si="218"/>
        <v>06/11/19</v>
      </c>
      <c r="H2673" t="str">
        <f t="shared" si="213"/>
        <v>Milwaukee Brewers</v>
      </c>
      <c r="I2673" s="60">
        <f t="shared" si="214"/>
        <v>8</v>
      </c>
      <c r="J2673" t="str">
        <f t="shared" si="215"/>
        <v>Houston Astros</v>
      </c>
      <c r="K2673" s="60">
        <f t="shared" si="216"/>
        <v>10</v>
      </c>
      <c r="L2673">
        <f t="shared" si="217"/>
        <v>-2</v>
      </c>
    </row>
    <row r="2674" spans="1:12" x14ac:dyDescent="0.25">
      <c r="G2674" t="str">
        <f t="shared" si="218"/>
        <v>06/11/19</v>
      </c>
      <c r="H2674" t="str">
        <f t="shared" si="213"/>
        <v/>
      </c>
      <c r="I2674" s="60" t="str">
        <f t="shared" si="214"/>
        <v/>
      </c>
      <c r="J2674" t="str">
        <f t="shared" si="215"/>
        <v/>
      </c>
      <c r="K2674" s="60" t="str">
        <f t="shared" si="216"/>
        <v/>
      </c>
      <c r="L2674" t="str">
        <f t="shared" si="217"/>
        <v/>
      </c>
    </row>
    <row r="2675" spans="1:12" x14ac:dyDescent="0.25">
      <c r="A2675" t="s">
        <v>2765</v>
      </c>
      <c r="G2675" t="str">
        <f t="shared" si="218"/>
        <v>06/11/19</v>
      </c>
      <c r="H2675" t="str">
        <f t="shared" si="213"/>
        <v>Detroit Tigers</v>
      </c>
      <c r="I2675" s="60">
        <f t="shared" si="214"/>
        <v>2</v>
      </c>
      <c r="J2675" t="str">
        <f t="shared" si="215"/>
        <v>Kansas City Royals</v>
      </c>
      <c r="K2675" s="60">
        <f t="shared" si="216"/>
        <v>3</v>
      </c>
      <c r="L2675">
        <f t="shared" si="217"/>
        <v>-1</v>
      </c>
    </row>
    <row r="2676" spans="1:12" x14ac:dyDescent="0.25">
      <c r="G2676" t="str">
        <f t="shared" si="218"/>
        <v>06/11/19</v>
      </c>
      <c r="H2676" t="str">
        <f t="shared" si="213"/>
        <v/>
      </c>
      <c r="I2676" s="60" t="str">
        <f t="shared" si="214"/>
        <v/>
      </c>
      <c r="J2676" t="str">
        <f t="shared" si="215"/>
        <v/>
      </c>
      <c r="K2676" s="60" t="str">
        <f t="shared" si="216"/>
        <v/>
      </c>
      <c r="L2676" t="str">
        <f t="shared" si="217"/>
        <v/>
      </c>
    </row>
    <row r="2677" spans="1:12" x14ac:dyDescent="0.25">
      <c r="A2677" t="s">
        <v>2766</v>
      </c>
      <c r="G2677" t="str">
        <f t="shared" si="218"/>
        <v>06/11/19</v>
      </c>
      <c r="H2677" t="str">
        <f t="shared" si="213"/>
        <v>St. Louis Cardinals</v>
      </c>
      <c r="I2677" s="60">
        <f t="shared" si="214"/>
        <v>7</v>
      </c>
      <c r="J2677" t="str">
        <f t="shared" si="215"/>
        <v>Miami Marlins</v>
      </c>
      <c r="K2677" s="60">
        <f t="shared" si="216"/>
        <v>1</v>
      </c>
      <c r="L2677">
        <f t="shared" si="217"/>
        <v>6</v>
      </c>
    </row>
    <row r="2678" spans="1:12" x14ac:dyDescent="0.25">
      <c r="G2678" t="str">
        <f t="shared" si="218"/>
        <v>06/11/19</v>
      </c>
      <c r="H2678" t="str">
        <f t="shared" si="213"/>
        <v/>
      </c>
      <c r="I2678" s="60" t="str">
        <f t="shared" si="214"/>
        <v/>
      </c>
      <c r="J2678" t="str">
        <f t="shared" si="215"/>
        <v/>
      </c>
      <c r="K2678" s="60" t="str">
        <f t="shared" si="216"/>
        <v/>
      </c>
      <c r="L2678" t="str">
        <f t="shared" si="217"/>
        <v/>
      </c>
    </row>
    <row r="2679" spans="1:12" x14ac:dyDescent="0.25">
      <c r="A2679" t="s">
        <v>2767</v>
      </c>
      <c r="G2679" t="str">
        <f t="shared" si="218"/>
        <v>06/11/19</v>
      </c>
      <c r="H2679" t="str">
        <f t="shared" si="213"/>
        <v>Seattle Mariners</v>
      </c>
      <c r="I2679" s="60">
        <f t="shared" si="214"/>
        <v>5</v>
      </c>
      <c r="J2679" t="str">
        <f t="shared" si="215"/>
        <v>Minnesota Twins</v>
      </c>
      <c r="K2679" s="60">
        <f t="shared" si="216"/>
        <v>6</v>
      </c>
      <c r="L2679">
        <f t="shared" si="217"/>
        <v>-1</v>
      </c>
    </row>
    <row r="2680" spans="1:12" x14ac:dyDescent="0.25">
      <c r="G2680" t="str">
        <f t="shared" si="218"/>
        <v>06/11/19</v>
      </c>
      <c r="H2680" t="str">
        <f t="shared" si="213"/>
        <v/>
      </c>
      <c r="I2680" s="60" t="str">
        <f t="shared" si="214"/>
        <v/>
      </c>
      <c r="J2680" t="str">
        <f t="shared" si="215"/>
        <v/>
      </c>
      <c r="K2680" s="60" t="str">
        <f t="shared" si="216"/>
        <v/>
      </c>
      <c r="L2680" t="str">
        <f t="shared" si="217"/>
        <v/>
      </c>
    </row>
    <row r="2681" spans="1:12" x14ac:dyDescent="0.25">
      <c r="A2681" t="s">
        <v>2768</v>
      </c>
      <c r="G2681" t="str">
        <f t="shared" si="218"/>
        <v>06/11/19</v>
      </c>
      <c r="H2681" t="str">
        <f t="shared" si="213"/>
        <v>New York Mets</v>
      </c>
      <c r="I2681" s="60">
        <f t="shared" si="214"/>
        <v>5</v>
      </c>
      <c r="J2681" t="str">
        <f t="shared" si="215"/>
        <v>New York Yankees</v>
      </c>
      <c r="K2681" s="60">
        <f t="shared" si="216"/>
        <v>12</v>
      </c>
      <c r="L2681">
        <f t="shared" si="217"/>
        <v>-7</v>
      </c>
    </row>
    <row r="2682" spans="1:12" x14ac:dyDescent="0.25">
      <c r="G2682" t="str">
        <f t="shared" si="218"/>
        <v>06/11/19</v>
      </c>
      <c r="H2682" t="str">
        <f t="shared" si="213"/>
        <v/>
      </c>
      <c r="I2682" s="60" t="str">
        <f t="shared" si="214"/>
        <v/>
      </c>
      <c r="J2682" t="str">
        <f t="shared" si="215"/>
        <v/>
      </c>
      <c r="K2682" s="60" t="str">
        <f t="shared" si="216"/>
        <v/>
      </c>
      <c r="L2682" t="str">
        <f t="shared" si="217"/>
        <v/>
      </c>
    </row>
    <row r="2683" spans="1:12" x14ac:dyDescent="0.25">
      <c r="A2683" t="s">
        <v>2769</v>
      </c>
      <c r="G2683" t="str">
        <f t="shared" si="218"/>
        <v>06/11/19</v>
      </c>
      <c r="H2683" t="str">
        <f t="shared" si="213"/>
        <v>New York Mets</v>
      </c>
      <c r="I2683" s="60">
        <f t="shared" si="214"/>
        <v>10</v>
      </c>
      <c r="J2683" t="str">
        <f t="shared" si="215"/>
        <v>New York Yankees</v>
      </c>
      <c r="K2683" s="60">
        <f t="shared" si="216"/>
        <v>4</v>
      </c>
      <c r="L2683">
        <f t="shared" si="217"/>
        <v>6</v>
      </c>
    </row>
    <row r="2684" spans="1:12" x14ac:dyDescent="0.25">
      <c r="G2684" t="str">
        <f t="shared" si="218"/>
        <v>06/11/19</v>
      </c>
      <c r="H2684" t="str">
        <f t="shared" si="213"/>
        <v/>
      </c>
      <c r="I2684" s="60" t="str">
        <f t="shared" si="214"/>
        <v/>
      </c>
      <c r="J2684" t="str">
        <f t="shared" si="215"/>
        <v/>
      </c>
      <c r="K2684" s="60" t="str">
        <f t="shared" si="216"/>
        <v/>
      </c>
      <c r="L2684" t="str">
        <f t="shared" si="217"/>
        <v/>
      </c>
    </row>
    <row r="2685" spans="1:12" x14ac:dyDescent="0.25">
      <c r="A2685" t="s">
        <v>2770</v>
      </c>
      <c r="G2685" t="str">
        <f t="shared" si="218"/>
        <v>06/11/19</v>
      </c>
      <c r="H2685" t="str">
        <f t="shared" si="213"/>
        <v>Arizona D'Backs</v>
      </c>
      <c r="I2685" s="60">
        <f t="shared" si="214"/>
        <v>4</v>
      </c>
      <c r="J2685" t="str">
        <f t="shared" si="215"/>
        <v>Philadelphia Phillies</v>
      </c>
      <c r="K2685" s="60">
        <f t="shared" si="216"/>
        <v>7</v>
      </c>
      <c r="L2685">
        <f t="shared" si="217"/>
        <v>-3</v>
      </c>
    </row>
    <row r="2686" spans="1:12" x14ac:dyDescent="0.25">
      <c r="G2686" t="str">
        <f t="shared" si="218"/>
        <v>06/11/19</v>
      </c>
      <c r="H2686" t="str">
        <f t="shared" si="213"/>
        <v/>
      </c>
      <c r="I2686" s="60" t="str">
        <f t="shared" si="214"/>
        <v/>
      </c>
      <c r="J2686" t="str">
        <f t="shared" si="215"/>
        <v/>
      </c>
      <c r="K2686" s="60" t="str">
        <f t="shared" si="216"/>
        <v/>
      </c>
      <c r="L2686" t="str">
        <f t="shared" si="217"/>
        <v/>
      </c>
    </row>
    <row r="2687" spans="1:12" x14ac:dyDescent="0.25">
      <c r="A2687" t="s">
        <v>2771</v>
      </c>
      <c r="G2687" t="str">
        <f t="shared" si="218"/>
        <v>06/11/19</v>
      </c>
      <c r="H2687" t="str">
        <f t="shared" si="213"/>
        <v>San Diego Padres</v>
      </c>
      <c r="I2687" s="60">
        <f t="shared" si="214"/>
        <v>5</v>
      </c>
      <c r="J2687" t="str">
        <f t="shared" si="215"/>
        <v>San Francisco Giants</v>
      </c>
      <c r="K2687" s="60">
        <f t="shared" si="216"/>
        <v>6</v>
      </c>
      <c r="L2687">
        <f t="shared" si="217"/>
        <v>-1</v>
      </c>
    </row>
    <row r="2688" spans="1:12" x14ac:dyDescent="0.25">
      <c r="G2688" t="str">
        <f t="shared" si="218"/>
        <v>06/11/19</v>
      </c>
      <c r="H2688" t="str">
        <f t="shared" si="213"/>
        <v/>
      </c>
      <c r="I2688" s="60" t="str">
        <f t="shared" si="214"/>
        <v/>
      </c>
      <c r="J2688" t="str">
        <f t="shared" si="215"/>
        <v/>
      </c>
      <c r="K2688" s="60" t="str">
        <f t="shared" si="216"/>
        <v/>
      </c>
      <c r="L2688" t="str">
        <f t="shared" si="217"/>
        <v/>
      </c>
    </row>
    <row r="2689" spans="1:12" x14ac:dyDescent="0.25">
      <c r="A2689" t="s">
        <v>2772</v>
      </c>
      <c r="G2689" t="str">
        <f t="shared" si="218"/>
        <v>06/11/19</v>
      </c>
      <c r="H2689" t="str">
        <f t="shared" si="213"/>
        <v>Oakland Athletics</v>
      </c>
      <c r="I2689" s="60">
        <f t="shared" si="214"/>
        <v>4</v>
      </c>
      <c r="J2689" t="str">
        <f t="shared" si="215"/>
        <v>Tampa Bay Rays</v>
      </c>
      <c r="K2689" s="60">
        <f t="shared" si="216"/>
        <v>3</v>
      </c>
      <c r="L2689">
        <f t="shared" si="217"/>
        <v>1</v>
      </c>
    </row>
    <row r="2690" spans="1:12" x14ac:dyDescent="0.25">
      <c r="G2690" t="str">
        <f t="shared" si="218"/>
        <v>06/11/19</v>
      </c>
      <c r="H2690" t="str">
        <f t="shared" si="213"/>
        <v/>
      </c>
      <c r="I2690" s="60" t="str">
        <f t="shared" si="214"/>
        <v/>
      </c>
      <c r="J2690" t="str">
        <f t="shared" si="215"/>
        <v/>
      </c>
      <c r="K2690" s="60" t="str">
        <f t="shared" si="216"/>
        <v/>
      </c>
      <c r="L2690" t="str">
        <f t="shared" si="217"/>
        <v/>
      </c>
    </row>
    <row r="2691" spans="1:12" x14ac:dyDescent="0.25">
      <c r="A2691" t="s">
        <v>2773</v>
      </c>
      <c r="G2691" t="str">
        <f t="shared" si="218"/>
        <v>06/11/19</v>
      </c>
      <c r="H2691" t="str">
        <f t="shared" si="213"/>
        <v/>
      </c>
      <c r="I2691" s="60" t="str">
        <f t="shared" si="214"/>
        <v/>
      </c>
      <c r="J2691" t="str">
        <f t="shared" si="215"/>
        <v/>
      </c>
      <c r="K2691" s="60" t="str">
        <f t="shared" si="216"/>
        <v/>
      </c>
      <c r="L2691" t="str">
        <f t="shared" si="217"/>
        <v/>
      </c>
    </row>
    <row r="2692" spans="1:12" x14ac:dyDescent="0.25">
      <c r="G2692" t="str">
        <f t="shared" si="218"/>
        <v>06/11/19</v>
      </c>
      <c r="H2692" t="str">
        <f t="shared" si="213"/>
        <v/>
      </c>
      <c r="I2692" s="60" t="str">
        <f t="shared" si="214"/>
        <v/>
      </c>
      <c r="J2692" t="str">
        <f t="shared" si="215"/>
        <v/>
      </c>
      <c r="K2692" s="60" t="str">
        <f t="shared" si="216"/>
        <v/>
      </c>
      <c r="L2692" t="str">
        <f t="shared" si="217"/>
        <v/>
      </c>
    </row>
    <row r="2693" spans="1:12" x14ac:dyDescent="0.25">
      <c r="A2693" t="s">
        <v>2774</v>
      </c>
      <c r="G2693" t="str">
        <f t="shared" si="218"/>
        <v>06/12/19</v>
      </c>
      <c r="H2693" t="str">
        <f t="shared" si="213"/>
        <v/>
      </c>
      <c r="I2693" s="60" t="str">
        <f t="shared" si="214"/>
        <v/>
      </c>
      <c r="J2693" t="str">
        <f t="shared" si="215"/>
        <v/>
      </c>
      <c r="K2693" s="60" t="str">
        <f t="shared" si="216"/>
        <v/>
      </c>
      <c r="L2693" t="str">
        <f t="shared" si="217"/>
        <v/>
      </c>
    </row>
    <row r="2694" spans="1:12" x14ac:dyDescent="0.25">
      <c r="G2694" t="str">
        <f t="shared" si="218"/>
        <v>06/12/19</v>
      </c>
      <c r="H2694" t="str">
        <f t="shared" si="213"/>
        <v/>
      </c>
      <c r="I2694" s="60" t="str">
        <f t="shared" si="214"/>
        <v/>
      </c>
      <c r="J2694" t="str">
        <f t="shared" si="215"/>
        <v/>
      </c>
      <c r="K2694" s="60" t="str">
        <f t="shared" si="216"/>
        <v/>
      </c>
      <c r="L2694" t="str">
        <f t="shared" si="217"/>
        <v/>
      </c>
    </row>
    <row r="2695" spans="1:12" x14ac:dyDescent="0.25">
      <c r="A2695" t="s">
        <v>2775</v>
      </c>
      <c r="G2695" t="str">
        <f t="shared" si="218"/>
        <v>06/12/19</v>
      </c>
      <c r="H2695" t="str">
        <f t="shared" si="213"/>
        <v>Pittsburgh Pirates</v>
      </c>
      <c r="I2695" s="60">
        <f t="shared" si="214"/>
        <v>7</v>
      </c>
      <c r="J2695" t="str">
        <f t="shared" si="215"/>
        <v>Atlanta Braves</v>
      </c>
      <c r="K2695" s="60">
        <f t="shared" si="216"/>
        <v>8</v>
      </c>
      <c r="L2695">
        <f t="shared" si="217"/>
        <v>-1</v>
      </c>
    </row>
    <row r="2696" spans="1:12" x14ac:dyDescent="0.25">
      <c r="G2696" t="str">
        <f t="shared" si="218"/>
        <v>06/12/19</v>
      </c>
      <c r="H2696" t="str">
        <f t="shared" si="213"/>
        <v/>
      </c>
      <c r="I2696" s="60" t="str">
        <f t="shared" si="214"/>
        <v/>
      </c>
      <c r="J2696" t="str">
        <f t="shared" si="215"/>
        <v/>
      </c>
      <c r="K2696" s="60" t="str">
        <f t="shared" si="216"/>
        <v/>
      </c>
      <c r="L2696" t="str">
        <f t="shared" si="217"/>
        <v/>
      </c>
    </row>
    <row r="2697" spans="1:12" x14ac:dyDescent="0.25">
      <c r="A2697" t="s">
        <v>2776</v>
      </c>
      <c r="G2697" t="str">
        <f t="shared" si="218"/>
        <v>06/12/19</v>
      </c>
      <c r="H2697" t="str">
        <f t="shared" si="213"/>
        <v>Toronto Blue Jays</v>
      </c>
      <c r="I2697" s="60">
        <f t="shared" si="214"/>
        <v>8</v>
      </c>
      <c r="J2697" t="str">
        <f t="shared" si="215"/>
        <v>Baltimore Orioles</v>
      </c>
      <c r="K2697" s="60">
        <f t="shared" si="216"/>
        <v>6</v>
      </c>
      <c r="L2697">
        <f t="shared" si="217"/>
        <v>2</v>
      </c>
    </row>
    <row r="2698" spans="1:12" x14ac:dyDescent="0.25">
      <c r="G2698" t="str">
        <f t="shared" si="218"/>
        <v>06/12/19</v>
      </c>
      <c r="H2698" t="str">
        <f t="shared" si="213"/>
        <v/>
      </c>
      <c r="I2698" s="60" t="str">
        <f t="shared" si="214"/>
        <v/>
      </c>
      <c r="J2698" t="str">
        <f t="shared" si="215"/>
        <v/>
      </c>
      <c r="K2698" s="60" t="str">
        <f t="shared" si="216"/>
        <v/>
      </c>
      <c r="L2698" t="str">
        <f t="shared" si="217"/>
        <v/>
      </c>
    </row>
    <row r="2699" spans="1:12" x14ac:dyDescent="0.25">
      <c r="A2699" t="s">
        <v>2777</v>
      </c>
      <c r="G2699" t="str">
        <f t="shared" si="218"/>
        <v>06/12/19</v>
      </c>
      <c r="H2699" t="str">
        <f t="shared" si="213"/>
        <v>Texas Rangers</v>
      </c>
      <c r="I2699" s="60">
        <f t="shared" si="214"/>
        <v>3</v>
      </c>
      <c r="J2699" t="str">
        <f t="shared" si="215"/>
        <v>Boston Red Sox</v>
      </c>
      <c r="K2699" s="60">
        <f t="shared" si="216"/>
        <v>4</v>
      </c>
      <c r="L2699">
        <f t="shared" si="217"/>
        <v>-1</v>
      </c>
    </row>
    <row r="2700" spans="1:12" x14ac:dyDescent="0.25">
      <c r="G2700" t="str">
        <f t="shared" si="218"/>
        <v>06/12/19</v>
      </c>
      <c r="H2700" t="str">
        <f t="shared" si="213"/>
        <v/>
      </c>
      <c r="I2700" s="60" t="str">
        <f t="shared" si="214"/>
        <v/>
      </c>
      <c r="J2700" t="str">
        <f t="shared" si="215"/>
        <v/>
      </c>
      <c r="K2700" s="60" t="str">
        <f t="shared" si="216"/>
        <v/>
      </c>
      <c r="L2700" t="str">
        <f t="shared" si="217"/>
        <v/>
      </c>
    </row>
    <row r="2701" spans="1:12" x14ac:dyDescent="0.25">
      <c r="A2701" t="s">
        <v>2778</v>
      </c>
      <c r="G2701" t="str">
        <f t="shared" si="218"/>
        <v>06/12/19</v>
      </c>
      <c r="H2701" t="str">
        <f t="shared" si="213"/>
        <v>Cincinnati Reds</v>
      </c>
      <c r="I2701" s="60">
        <f t="shared" si="214"/>
        <v>7</v>
      </c>
      <c r="J2701" t="str">
        <f t="shared" si="215"/>
        <v>Cleveland Indians</v>
      </c>
      <c r="K2701" s="60">
        <f t="shared" si="216"/>
        <v>2</v>
      </c>
      <c r="L2701">
        <f t="shared" si="217"/>
        <v>5</v>
      </c>
    </row>
    <row r="2702" spans="1:12" x14ac:dyDescent="0.25">
      <c r="G2702" t="str">
        <f t="shared" si="218"/>
        <v>06/12/19</v>
      </c>
      <c r="H2702" t="str">
        <f t="shared" si="213"/>
        <v/>
      </c>
      <c r="I2702" s="60" t="str">
        <f t="shared" si="214"/>
        <v/>
      </c>
      <c r="J2702" t="str">
        <f t="shared" si="215"/>
        <v/>
      </c>
      <c r="K2702" s="60" t="str">
        <f t="shared" si="216"/>
        <v/>
      </c>
      <c r="L2702" t="str">
        <f t="shared" si="217"/>
        <v/>
      </c>
    </row>
    <row r="2703" spans="1:12" x14ac:dyDescent="0.25">
      <c r="A2703" t="s">
        <v>2779</v>
      </c>
      <c r="G2703" t="str">
        <f t="shared" si="218"/>
        <v>06/12/19</v>
      </c>
      <c r="H2703" t="str">
        <f t="shared" si="213"/>
        <v>Chicago Cubs</v>
      </c>
      <c r="I2703" s="60">
        <f t="shared" si="214"/>
        <v>10</v>
      </c>
      <c r="J2703" t="str">
        <f t="shared" si="215"/>
        <v>Colorado Rockies</v>
      </c>
      <c r="K2703" s="60">
        <f t="shared" si="216"/>
        <v>1</v>
      </c>
      <c r="L2703">
        <f t="shared" si="217"/>
        <v>9</v>
      </c>
    </row>
    <row r="2704" spans="1:12" x14ac:dyDescent="0.25">
      <c r="G2704" t="str">
        <f t="shared" si="218"/>
        <v>06/12/19</v>
      </c>
      <c r="H2704" t="str">
        <f t="shared" ref="H2704:H2767" si="219">IFERROR(LEFT(MID(A2704,1,SEARCH("@",A2704)-2),SEARCH("(",A2704)-2),"")</f>
        <v/>
      </c>
      <c r="I2704" s="60" t="str">
        <f t="shared" ref="I2704:I2767" si="220">IFERROR(VALUE(MID(A2704,SEARCH("(",A2704)+1,SEARCH(")",A2704)-SEARCH("(",A2704)-1)),"")</f>
        <v/>
      </c>
      <c r="J2704" t="str">
        <f t="shared" ref="J2704:J2767" si="221">IFERROR(MID(A2704,SEARCH("@",A2704)+2,SEARCH("(",A2704,SEARCH("@",A2704))-SEARCH("@",A2704)-3),"")</f>
        <v/>
      </c>
      <c r="K2704" s="60" t="str">
        <f t="shared" ref="K2704:K2767" si="222">IFERROR(VALUE(MID(A2704,SEARCH(J2704,A2704)+LEN(J2704)+2,(SEARCH(")",A2704,SEARCH("@",A2704))-SEARCH("(",A2704,SEARCH("@",A2704))-1))),"")</f>
        <v/>
      </c>
      <c r="L2704" t="str">
        <f t="shared" ref="L2704:L2767" si="223">IFERROR(I2704-K2704,"")</f>
        <v/>
      </c>
    </row>
    <row r="2705" spans="1:12" x14ac:dyDescent="0.25">
      <c r="A2705" t="s">
        <v>2780</v>
      </c>
      <c r="G2705" t="str">
        <f t="shared" si="218"/>
        <v>06/12/19</v>
      </c>
      <c r="H2705" t="str">
        <f t="shared" si="219"/>
        <v>Milwaukee Brewers</v>
      </c>
      <c r="I2705" s="60">
        <f t="shared" si="220"/>
        <v>6</v>
      </c>
      <c r="J2705" t="str">
        <f t="shared" si="221"/>
        <v>Houston Astros</v>
      </c>
      <c r="K2705" s="60">
        <f t="shared" si="222"/>
        <v>3</v>
      </c>
      <c r="L2705">
        <f t="shared" si="223"/>
        <v>3</v>
      </c>
    </row>
    <row r="2706" spans="1:12" x14ac:dyDescent="0.25">
      <c r="G2706" t="str">
        <f t="shared" si="218"/>
        <v>06/12/19</v>
      </c>
      <c r="H2706" t="str">
        <f t="shared" si="219"/>
        <v/>
      </c>
      <c r="I2706" s="60" t="str">
        <f t="shared" si="220"/>
        <v/>
      </c>
      <c r="J2706" t="str">
        <f t="shared" si="221"/>
        <v/>
      </c>
      <c r="K2706" s="60" t="str">
        <f t="shared" si="222"/>
        <v/>
      </c>
      <c r="L2706" t="str">
        <f t="shared" si="223"/>
        <v/>
      </c>
    </row>
    <row r="2707" spans="1:12" x14ac:dyDescent="0.25">
      <c r="A2707" t="s">
        <v>2781</v>
      </c>
      <c r="G2707" t="str">
        <f t="shared" si="218"/>
        <v>06/12/19</v>
      </c>
      <c r="H2707" t="str">
        <f t="shared" si="219"/>
        <v>Detroit Tigers</v>
      </c>
      <c r="I2707" s="60">
        <f t="shared" si="220"/>
        <v>3</v>
      </c>
      <c r="J2707" t="str">
        <f t="shared" si="221"/>
        <v>Kansas City Royals</v>
      </c>
      <c r="K2707" s="60">
        <f t="shared" si="222"/>
        <v>2</v>
      </c>
      <c r="L2707">
        <f t="shared" si="223"/>
        <v>1</v>
      </c>
    </row>
    <row r="2708" spans="1:12" x14ac:dyDescent="0.25">
      <c r="G2708" t="str">
        <f t="shared" si="218"/>
        <v>06/12/19</v>
      </c>
      <c r="H2708" t="str">
        <f t="shared" si="219"/>
        <v/>
      </c>
      <c r="I2708" s="60" t="str">
        <f t="shared" si="220"/>
        <v/>
      </c>
      <c r="J2708" t="str">
        <f t="shared" si="221"/>
        <v/>
      </c>
      <c r="K2708" s="60" t="str">
        <f t="shared" si="222"/>
        <v/>
      </c>
      <c r="L2708" t="str">
        <f t="shared" si="223"/>
        <v/>
      </c>
    </row>
    <row r="2709" spans="1:12" x14ac:dyDescent="0.25">
      <c r="A2709" t="s">
        <v>2782</v>
      </c>
      <c r="G2709" t="str">
        <f t="shared" si="218"/>
        <v>06/12/19</v>
      </c>
      <c r="H2709" t="str">
        <f t="shared" si="219"/>
        <v>St. Louis Cardinals</v>
      </c>
      <c r="I2709" s="60">
        <f t="shared" si="220"/>
        <v>0</v>
      </c>
      <c r="J2709" t="str">
        <f t="shared" si="221"/>
        <v>Miami Marlins</v>
      </c>
      <c r="K2709" s="60">
        <f t="shared" si="222"/>
        <v>9</v>
      </c>
      <c r="L2709">
        <f t="shared" si="223"/>
        <v>-9</v>
      </c>
    </row>
    <row r="2710" spans="1:12" x14ac:dyDescent="0.25">
      <c r="G2710" t="str">
        <f t="shared" si="218"/>
        <v>06/12/19</v>
      </c>
      <c r="H2710" t="str">
        <f t="shared" si="219"/>
        <v/>
      </c>
      <c r="I2710" s="60" t="str">
        <f t="shared" si="220"/>
        <v/>
      </c>
      <c r="J2710" t="str">
        <f t="shared" si="221"/>
        <v/>
      </c>
      <c r="K2710" s="60" t="str">
        <f t="shared" si="222"/>
        <v/>
      </c>
      <c r="L2710" t="str">
        <f t="shared" si="223"/>
        <v/>
      </c>
    </row>
    <row r="2711" spans="1:12" x14ac:dyDescent="0.25">
      <c r="A2711" t="s">
        <v>2783</v>
      </c>
      <c r="G2711" t="str">
        <f t="shared" si="218"/>
        <v>06/12/19</v>
      </c>
      <c r="H2711" t="str">
        <f t="shared" si="219"/>
        <v>Seattle Mariners</v>
      </c>
      <c r="I2711" s="60">
        <f t="shared" si="220"/>
        <v>9</v>
      </c>
      <c r="J2711" t="str">
        <f t="shared" si="221"/>
        <v>Minnesota Twins</v>
      </c>
      <c r="K2711" s="60">
        <f t="shared" si="222"/>
        <v>6</v>
      </c>
      <c r="L2711">
        <f t="shared" si="223"/>
        <v>3</v>
      </c>
    </row>
    <row r="2712" spans="1:12" x14ac:dyDescent="0.25">
      <c r="G2712" t="str">
        <f t="shared" si="218"/>
        <v>06/12/19</v>
      </c>
      <c r="H2712" t="str">
        <f t="shared" si="219"/>
        <v/>
      </c>
      <c r="I2712" s="60" t="str">
        <f t="shared" si="220"/>
        <v/>
      </c>
      <c r="J2712" t="str">
        <f t="shared" si="221"/>
        <v/>
      </c>
      <c r="K2712" s="60" t="str">
        <f t="shared" si="222"/>
        <v/>
      </c>
      <c r="L2712" t="str">
        <f t="shared" si="223"/>
        <v/>
      </c>
    </row>
    <row r="2713" spans="1:12" x14ac:dyDescent="0.25">
      <c r="A2713" t="s">
        <v>2784</v>
      </c>
      <c r="G2713" t="str">
        <f t="shared" si="218"/>
        <v>06/12/19</v>
      </c>
      <c r="H2713" t="str">
        <f t="shared" si="219"/>
        <v>Arizona D'Backs</v>
      </c>
      <c r="I2713" s="60">
        <f t="shared" si="220"/>
        <v>2</v>
      </c>
      <c r="J2713" t="str">
        <f t="shared" si="221"/>
        <v>Philadelphia Phillies</v>
      </c>
      <c r="K2713" s="60">
        <f t="shared" si="222"/>
        <v>0</v>
      </c>
      <c r="L2713">
        <f t="shared" si="223"/>
        <v>2</v>
      </c>
    </row>
    <row r="2714" spans="1:12" x14ac:dyDescent="0.25">
      <c r="G2714" t="str">
        <f t="shared" si="218"/>
        <v>06/12/19</v>
      </c>
      <c r="H2714" t="str">
        <f t="shared" si="219"/>
        <v/>
      </c>
      <c r="I2714" s="60" t="str">
        <f t="shared" si="220"/>
        <v/>
      </c>
      <c r="J2714" t="str">
        <f t="shared" si="221"/>
        <v/>
      </c>
      <c r="K2714" s="60" t="str">
        <f t="shared" si="222"/>
        <v/>
      </c>
      <c r="L2714" t="str">
        <f t="shared" si="223"/>
        <v/>
      </c>
    </row>
    <row r="2715" spans="1:12" x14ac:dyDescent="0.25">
      <c r="A2715" t="s">
        <v>2785</v>
      </c>
      <c r="G2715" t="str">
        <f t="shared" si="218"/>
        <v>06/12/19</v>
      </c>
      <c r="H2715" t="str">
        <f t="shared" si="219"/>
        <v>San Diego Padres</v>
      </c>
      <c r="I2715" s="60">
        <f t="shared" si="220"/>
        <v>2</v>
      </c>
      <c r="J2715" t="str">
        <f t="shared" si="221"/>
        <v>San Francisco Giants</v>
      </c>
      <c r="K2715" s="60">
        <f t="shared" si="222"/>
        <v>4</v>
      </c>
      <c r="L2715">
        <f t="shared" si="223"/>
        <v>-2</v>
      </c>
    </row>
    <row r="2716" spans="1:12" x14ac:dyDescent="0.25">
      <c r="G2716" t="str">
        <f t="shared" si="218"/>
        <v>06/12/19</v>
      </c>
      <c r="H2716" t="str">
        <f t="shared" si="219"/>
        <v/>
      </c>
      <c r="I2716" s="60" t="str">
        <f t="shared" si="220"/>
        <v/>
      </c>
      <c r="J2716" t="str">
        <f t="shared" si="221"/>
        <v/>
      </c>
      <c r="K2716" s="60" t="str">
        <f t="shared" si="222"/>
        <v/>
      </c>
      <c r="L2716" t="str">
        <f t="shared" si="223"/>
        <v/>
      </c>
    </row>
    <row r="2717" spans="1:12" x14ac:dyDescent="0.25">
      <c r="A2717" t="s">
        <v>2786</v>
      </c>
      <c r="G2717" t="str">
        <f t="shared" si="218"/>
        <v>06/12/19</v>
      </c>
      <c r="H2717" t="str">
        <f t="shared" si="219"/>
        <v>Oakland Athletics</v>
      </c>
      <c r="I2717" s="60">
        <f t="shared" si="220"/>
        <v>6</v>
      </c>
      <c r="J2717" t="str">
        <f t="shared" si="221"/>
        <v>Tampa Bay Rays</v>
      </c>
      <c r="K2717" s="60">
        <f t="shared" si="222"/>
        <v>2</v>
      </c>
      <c r="L2717">
        <f t="shared" si="223"/>
        <v>4</v>
      </c>
    </row>
    <row r="2718" spans="1:12" x14ac:dyDescent="0.25">
      <c r="G2718" t="str">
        <f t="shared" si="218"/>
        <v>06/12/19</v>
      </c>
      <c r="H2718" t="str">
        <f t="shared" si="219"/>
        <v/>
      </c>
      <c r="I2718" s="60" t="str">
        <f t="shared" si="220"/>
        <v/>
      </c>
      <c r="J2718" t="str">
        <f t="shared" si="221"/>
        <v/>
      </c>
      <c r="K2718" s="60" t="str">
        <f t="shared" si="222"/>
        <v/>
      </c>
      <c r="L2718" t="str">
        <f t="shared" si="223"/>
        <v/>
      </c>
    </row>
    <row r="2719" spans="1:12" x14ac:dyDescent="0.25">
      <c r="A2719" t="s">
        <v>2787</v>
      </c>
      <c r="G2719" t="str">
        <f t="shared" si="218"/>
        <v>06/12/19</v>
      </c>
      <c r="H2719" t="str">
        <f t="shared" si="219"/>
        <v/>
      </c>
      <c r="I2719" s="60" t="str">
        <f t="shared" si="220"/>
        <v/>
      </c>
      <c r="J2719" t="str">
        <f t="shared" si="221"/>
        <v/>
      </c>
      <c r="K2719" s="60" t="str">
        <f t="shared" si="222"/>
        <v/>
      </c>
      <c r="L2719" t="str">
        <f t="shared" si="223"/>
        <v/>
      </c>
    </row>
    <row r="2720" spans="1:12" x14ac:dyDescent="0.25">
      <c r="G2720" t="str">
        <f t="shared" si="218"/>
        <v>06/12/19</v>
      </c>
      <c r="H2720" t="str">
        <f t="shared" si="219"/>
        <v/>
      </c>
      <c r="I2720" s="60" t="str">
        <f t="shared" si="220"/>
        <v/>
      </c>
      <c r="J2720" t="str">
        <f t="shared" si="221"/>
        <v/>
      </c>
      <c r="K2720" s="60" t="str">
        <f t="shared" si="222"/>
        <v/>
      </c>
      <c r="L2720" t="str">
        <f t="shared" si="223"/>
        <v/>
      </c>
    </row>
    <row r="2721" spans="1:12" x14ac:dyDescent="0.25">
      <c r="A2721" t="s">
        <v>2788</v>
      </c>
      <c r="G2721" t="str">
        <f t="shared" si="218"/>
        <v>06/13/19</v>
      </c>
      <c r="H2721" t="str">
        <f t="shared" si="219"/>
        <v/>
      </c>
      <c r="I2721" s="60" t="str">
        <f t="shared" si="220"/>
        <v/>
      </c>
      <c r="J2721" t="str">
        <f t="shared" si="221"/>
        <v/>
      </c>
      <c r="K2721" s="60" t="str">
        <f t="shared" si="222"/>
        <v/>
      </c>
      <c r="L2721" t="str">
        <f t="shared" si="223"/>
        <v/>
      </c>
    </row>
    <row r="2722" spans="1:12" x14ac:dyDescent="0.25">
      <c r="G2722" t="str">
        <f t="shared" ref="G2722:G2785" si="224">IF(ISNUMBER(MATCH(IFERROR(LEFT(A2722,SEARCH(",",A2722)-1),""),$G$220:$M$220,0)),TEXT(MID(A2722,SEARCH(",",A2722)+2,LEN(A2722)),"mm/dd/yy"),G2721)</f>
        <v>06/13/19</v>
      </c>
      <c r="H2722" t="str">
        <f t="shared" si="219"/>
        <v/>
      </c>
      <c r="I2722" s="60" t="str">
        <f t="shared" si="220"/>
        <v/>
      </c>
      <c r="J2722" t="str">
        <f t="shared" si="221"/>
        <v/>
      </c>
      <c r="K2722" s="60" t="str">
        <f t="shared" si="222"/>
        <v/>
      </c>
      <c r="L2722" t="str">
        <f t="shared" si="223"/>
        <v/>
      </c>
    </row>
    <row r="2723" spans="1:12" x14ac:dyDescent="0.25">
      <c r="A2723" t="s">
        <v>2789</v>
      </c>
      <c r="G2723" t="str">
        <f t="shared" si="224"/>
        <v>06/13/19</v>
      </c>
      <c r="H2723" t="str">
        <f t="shared" si="219"/>
        <v>Pittsburgh Pirates</v>
      </c>
      <c r="I2723" s="60">
        <f t="shared" si="220"/>
        <v>5</v>
      </c>
      <c r="J2723" t="str">
        <f t="shared" si="221"/>
        <v>Atlanta Braves</v>
      </c>
      <c r="K2723" s="60">
        <f t="shared" si="222"/>
        <v>6</v>
      </c>
      <c r="L2723">
        <f t="shared" si="223"/>
        <v>-1</v>
      </c>
    </row>
    <row r="2724" spans="1:12" x14ac:dyDescent="0.25">
      <c r="G2724" t="str">
        <f t="shared" si="224"/>
        <v>06/13/19</v>
      </c>
      <c r="H2724" t="str">
        <f t="shared" si="219"/>
        <v/>
      </c>
      <c r="I2724" s="60" t="str">
        <f t="shared" si="220"/>
        <v/>
      </c>
      <c r="J2724" t="str">
        <f t="shared" si="221"/>
        <v/>
      </c>
      <c r="K2724" s="60" t="str">
        <f t="shared" si="222"/>
        <v/>
      </c>
      <c r="L2724" t="str">
        <f t="shared" si="223"/>
        <v/>
      </c>
    </row>
    <row r="2725" spans="1:12" x14ac:dyDescent="0.25">
      <c r="A2725" t="s">
        <v>2790</v>
      </c>
      <c r="G2725" t="str">
        <f t="shared" si="224"/>
        <v>06/13/19</v>
      </c>
      <c r="H2725" t="str">
        <f t="shared" si="219"/>
        <v>Toronto Blue Jays</v>
      </c>
      <c r="I2725" s="60">
        <f t="shared" si="220"/>
        <v>12</v>
      </c>
      <c r="J2725" t="str">
        <f t="shared" si="221"/>
        <v>Baltimore Orioles</v>
      </c>
      <c r="K2725" s="60">
        <f t="shared" si="222"/>
        <v>3</v>
      </c>
      <c r="L2725">
        <f t="shared" si="223"/>
        <v>9</v>
      </c>
    </row>
    <row r="2726" spans="1:12" x14ac:dyDescent="0.25">
      <c r="G2726" t="str">
        <f t="shared" si="224"/>
        <v>06/13/19</v>
      </c>
      <c r="H2726" t="str">
        <f t="shared" si="219"/>
        <v/>
      </c>
      <c r="I2726" s="60" t="str">
        <f t="shared" si="220"/>
        <v/>
      </c>
      <c r="J2726" t="str">
        <f t="shared" si="221"/>
        <v/>
      </c>
      <c r="K2726" s="60" t="str">
        <f t="shared" si="222"/>
        <v/>
      </c>
      <c r="L2726" t="str">
        <f t="shared" si="223"/>
        <v/>
      </c>
    </row>
    <row r="2727" spans="1:12" x14ac:dyDescent="0.25">
      <c r="A2727" t="s">
        <v>2791</v>
      </c>
      <c r="G2727" t="str">
        <f t="shared" si="224"/>
        <v>06/13/19</v>
      </c>
      <c r="H2727" t="str">
        <f t="shared" si="219"/>
        <v>Texas Rangers</v>
      </c>
      <c r="I2727" s="60">
        <f t="shared" si="220"/>
        <v>6</v>
      </c>
      <c r="J2727" t="str">
        <f t="shared" si="221"/>
        <v>Boston Red Sox</v>
      </c>
      <c r="K2727" s="60">
        <f t="shared" si="222"/>
        <v>7</v>
      </c>
      <c r="L2727">
        <f t="shared" si="223"/>
        <v>-1</v>
      </c>
    </row>
    <row r="2728" spans="1:12" x14ac:dyDescent="0.25">
      <c r="G2728" t="str">
        <f t="shared" si="224"/>
        <v>06/13/19</v>
      </c>
      <c r="H2728" t="str">
        <f t="shared" si="219"/>
        <v/>
      </c>
      <c r="I2728" s="60" t="str">
        <f t="shared" si="220"/>
        <v/>
      </c>
      <c r="J2728" t="str">
        <f t="shared" si="221"/>
        <v/>
      </c>
      <c r="K2728" s="60" t="str">
        <f t="shared" si="222"/>
        <v/>
      </c>
      <c r="L2728" t="str">
        <f t="shared" si="223"/>
        <v/>
      </c>
    </row>
    <row r="2729" spans="1:12" x14ac:dyDescent="0.25">
      <c r="A2729" t="s">
        <v>2792</v>
      </c>
      <c r="G2729" t="str">
        <f t="shared" si="224"/>
        <v>06/13/19</v>
      </c>
      <c r="H2729" t="str">
        <f t="shared" si="219"/>
        <v>New York Yankees</v>
      </c>
      <c r="I2729" s="60">
        <f t="shared" si="220"/>
        <v>4</v>
      </c>
      <c r="J2729" t="str">
        <f t="shared" si="221"/>
        <v>Chicago White Sox</v>
      </c>
      <c r="K2729" s="60">
        <f t="shared" si="222"/>
        <v>5</v>
      </c>
      <c r="L2729">
        <f t="shared" si="223"/>
        <v>-1</v>
      </c>
    </row>
    <row r="2730" spans="1:12" x14ac:dyDescent="0.25">
      <c r="G2730" t="str">
        <f t="shared" si="224"/>
        <v>06/13/19</v>
      </c>
      <c r="H2730" t="str">
        <f t="shared" si="219"/>
        <v/>
      </c>
      <c r="I2730" s="60" t="str">
        <f t="shared" si="220"/>
        <v/>
      </c>
      <c r="J2730" t="str">
        <f t="shared" si="221"/>
        <v/>
      </c>
      <c r="K2730" s="60" t="str">
        <f t="shared" si="222"/>
        <v/>
      </c>
      <c r="L2730" t="str">
        <f t="shared" si="223"/>
        <v/>
      </c>
    </row>
    <row r="2731" spans="1:12" x14ac:dyDescent="0.25">
      <c r="A2731" t="s">
        <v>2793</v>
      </c>
      <c r="G2731" t="str">
        <f t="shared" si="224"/>
        <v>06/13/19</v>
      </c>
      <c r="H2731" t="str">
        <f t="shared" si="219"/>
        <v>San Diego Padres</v>
      </c>
      <c r="I2731" s="60">
        <f t="shared" si="220"/>
        <v>6</v>
      </c>
      <c r="J2731" t="str">
        <f t="shared" si="221"/>
        <v>Colorado Rockies</v>
      </c>
      <c r="K2731" s="60">
        <f t="shared" si="222"/>
        <v>9</v>
      </c>
      <c r="L2731">
        <f t="shared" si="223"/>
        <v>-3</v>
      </c>
    </row>
    <row r="2732" spans="1:12" x14ac:dyDescent="0.25">
      <c r="G2732" t="str">
        <f t="shared" si="224"/>
        <v>06/13/19</v>
      </c>
      <c r="H2732" t="str">
        <f t="shared" si="219"/>
        <v/>
      </c>
      <c r="I2732" s="60" t="str">
        <f t="shared" si="220"/>
        <v/>
      </c>
      <c r="J2732" t="str">
        <f t="shared" si="221"/>
        <v/>
      </c>
      <c r="K2732" s="60" t="str">
        <f t="shared" si="222"/>
        <v/>
      </c>
      <c r="L2732" t="str">
        <f t="shared" si="223"/>
        <v/>
      </c>
    </row>
    <row r="2733" spans="1:12" x14ac:dyDescent="0.25">
      <c r="A2733" t="s">
        <v>2794</v>
      </c>
      <c r="G2733" t="str">
        <f t="shared" si="224"/>
        <v>06/13/19</v>
      </c>
      <c r="H2733" t="str">
        <f t="shared" si="219"/>
        <v>Detroit Tigers</v>
      </c>
      <c r="I2733" s="60">
        <f t="shared" si="220"/>
        <v>3</v>
      </c>
      <c r="J2733" t="str">
        <f t="shared" si="221"/>
        <v>Kansas City Royals</v>
      </c>
      <c r="K2733" s="60">
        <f t="shared" si="222"/>
        <v>7</v>
      </c>
      <c r="L2733">
        <f t="shared" si="223"/>
        <v>-4</v>
      </c>
    </row>
    <row r="2734" spans="1:12" x14ac:dyDescent="0.25">
      <c r="G2734" t="str">
        <f t="shared" si="224"/>
        <v>06/13/19</v>
      </c>
      <c r="H2734" t="str">
        <f t="shared" si="219"/>
        <v/>
      </c>
      <c r="I2734" s="60" t="str">
        <f t="shared" si="220"/>
        <v/>
      </c>
      <c r="J2734" t="str">
        <f t="shared" si="221"/>
        <v/>
      </c>
      <c r="K2734" s="60" t="str">
        <f t="shared" si="222"/>
        <v/>
      </c>
      <c r="L2734" t="str">
        <f t="shared" si="223"/>
        <v/>
      </c>
    </row>
    <row r="2735" spans="1:12" x14ac:dyDescent="0.25">
      <c r="A2735" t="s">
        <v>2795</v>
      </c>
      <c r="G2735" t="str">
        <f t="shared" si="224"/>
        <v>06/13/19</v>
      </c>
      <c r="H2735" t="str">
        <f t="shared" si="219"/>
        <v>Chicago Cubs</v>
      </c>
      <c r="I2735" s="60">
        <f t="shared" si="220"/>
        <v>3</v>
      </c>
      <c r="J2735" t="str">
        <f t="shared" si="221"/>
        <v>Los Angeles Dodgers</v>
      </c>
      <c r="K2735" s="60">
        <f t="shared" si="222"/>
        <v>7</v>
      </c>
      <c r="L2735">
        <f t="shared" si="223"/>
        <v>-4</v>
      </c>
    </row>
    <row r="2736" spans="1:12" x14ac:dyDescent="0.25">
      <c r="G2736" t="str">
        <f t="shared" si="224"/>
        <v>06/13/19</v>
      </c>
      <c r="H2736" t="str">
        <f t="shared" si="219"/>
        <v/>
      </c>
      <c r="I2736" s="60" t="str">
        <f t="shared" si="220"/>
        <v/>
      </c>
      <c r="J2736" t="str">
        <f t="shared" si="221"/>
        <v/>
      </c>
      <c r="K2736" s="60" t="str">
        <f t="shared" si="222"/>
        <v/>
      </c>
      <c r="L2736" t="str">
        <f t="shared" si="223"/>
        <v/>
      </c>
    </row>
    <row r="2737" spans="1:12" x14ac:dyDescent="0.25">
      <c r="A2737" t="s">
        <v>2796</v>
      </c>
      <c r="G2737" t="str">
        <f t="shared" si="224"/>
        <v>06/13/19</v>
      </c>
      <c r="H2737" t="str">
        <f t="shared" si="219"/>
        <v>Seattle Mariners</v>
      </c>
      <c r="I2737" s="60">
        <f t="shared" si="220"/>
        <v>5</v>
      </c>
      <c r="J2737" t="str">
        <f t="shared" si="221"/>
        <v>Minnesota Twins</v>
      </c>
      <c r="K2737" s="60">
        <f t="shared" si="222"/>
        <v>10</v>
      </c>
      <c r="L2737">
        <f t="shared" si="223"/>
        <v>-5</v>
      </c>
    </row>
    <row r="2738" spans="1:12" x14ac:dyDescent="0.25">
      <c r="G2738" t="str">
        <f t="shared" si="224"/>
        <v>06/13/19</v>
      </c>
      <c r="H2738" t="str">
        <f t="shared" si="219"/>
        <v/>
      </c>
      <c r="I2738" s="60" t="str">
        <f t="shared" si="220"/>
        <v/>
      </c>
      <c r="J2738" t="str">
        <f t="shared" si="221"/>
        <v/>
      </c>
      <c r="K2738" s="60" t="str">
        <f t="shared" si="222"/>
        <v/>
      </c>
      <c r="L2738" t="str">
        <f t="shared" si="223"/>
        <v/>
      </c>
    </row>
    <row r="2739" spans="1:12" x14ac:dyDescent="0.25">
      <c r="A2739" t="s">
        <v>2797</v>
      </c>
      <c r="G2739" t="str">
        <f t="shared" si="224"/>
        <v>06/13/19</v>
      </c>
      <c r="H2739" t="str">
        <f t="shared" si="219"/>
        <v>St. Louis Cardinals</v>
      </c>
      <c r="I2739" s="60">
        <f t="shared" si="220"/>
        <v>5</v>
      </c>
      <c r="J2739" t="str">
        <f t="shared" si="221"/>
        <v>New York Mets</v>
      </c>
      <c r="K2739" s="60">
        <f t="shared" si="222"/>
        <v>4</v>
      </c>
      <c r="L2739">
        <f t="shared" si="223"/>
        <v>1</v>
      </c>
    </row>
    <row r="2740" spans="1:12" x14ac:dyDescent="0.25">
      <c r="G2740" t="str">
        <f t="shared" si="224"/>
        <v>06/13/19</v>
      </c>
      <c r="H2740" t="str">
        <f t="shared" si="219"/>
        <v/>
      </c>
      <c r="I2740" s="60" t="str">
        <f t="shared" si="220"/>
        <v/>
      </c>
      <c r="J2740" t="str">
        <f t="shared" si="221"/>
        <v/>
      </c>
      <c r="K2740" s="60" t="str">
        <f t="shared" si="222"/>
        <v/>
      </c>
      <c r="L2740" t="str">
        <f t="shared" si="223"/>
        <v/>
      </c>
    </row>
    <row r="2741" spans="1:12" x14ac:dyDescent="0.25">
      <c r="A2741" t="s">
        <v>2798</v>
      </c>
      <c r="G2741" t="str">
        <f t="shared" si="224"/>
        <v>06/13/19</v>
      </c>
      <c r="H2741" t="str">
        <f t="shared" si="219"/>
        <v>Los Angeles Angels</v>
      </c>
      <c r="I2741" s="60">
        <f t="shared" si="220"/>
        <v>5</v>
      </c>
      <c r="J2741" t="str">
        <f t="shared" si="221"/>
        <v>Tampa Bay Rays</v>
      </c>
      <c r="K2741" s="60">
        <f t="shared" si="222"/>
        <v>3</v>
      </c>
      <c r="L2741">
        <f t="shared" si="223"/>
        <v>2</v>
      </c>
    </row>
    <row r="2742" spans="1:12" x14ac:dyDescent="0.25">
      <c r="G2742" t="str">
        <f t="shared" si="224"/>
        <v>06/13/19</v>
      </c>
      <c r="H2742" t="str">
        <f t="shared" si="219"/>
        <v/>
      </c>
      <c r="I2742" s="60" t="str">
        <f t="shared" si="220"/>
        <v/>
      </c>
      <c r="J2742" t="str">
        <f t="shared" si="221"/>
        <v/>
      </c>
      <c r="K2742" s="60" t="str">
        <f t="shared" si="222"/>
        <v/>
      </c>
      <c r="L2742" t="str">
        <f t="shared" si="223"/>
        <v/>
      </c>
    </row>
    <row r="2743" spans="1:12" x14ac:dyDescent="0.25">
      <c r="A2743" t="s">
        <v>2799</v>
      </c>
      <c r="G2743" t="str">
        <f t="shared" si="224"/>
        <v>06/13/19</v>
      </c>
      <c r="H2743" t="str">
        <f t="shared" si="219"/>
        <v>Arizona D'Backs</v>
      </c>
      <c r="I2743" s="60">
        <f t="shared" si="220"/>
        <v>5</v>
      </c>
      <c r="J2743" t="str">
        <f t="shared" si="221"/>
        <v>Washington Nationals</v>
      </c>
      <c r="K2743" s="60">
        <f t="shared" si="222"/>
        <v>0</v>
      </c>
      <c r="L2743">
        <f t="shared" si="223"/>
        <v>5</v>
      </c>
    </row>
    <row r="2744" spans="1:12" x14ac:dyDescent="0.25">
      <c r="G2744" t="str">
        <f t="shared" si="224"/>
        <v>06/13/19</v>
      </c>
      <c r="H2744" t="str">
        <f t="shared" si="219"/>
        <v/>
      </c>
      <c r="I2744" s="60" t="str">
        <f t="shared" si="220"/>
        <v/>
      </c>
      <c r="J2744" t="str">
        <f t="shared" si="221"/>
        <v/>
      </c>
      <c r="K2744" s="60" t="str">
        <f t="shared" si="222"/>
        <v/>
      </c>
      <c r="L2744" t="str">
        <f t="shared" si="223"/>
        <v/>
      </c>
    </row>
    <row r="2745" spans="1:12" x14ac:dyDescent="0.25">
      <c r="A2745" t="s">
        <v>2800</v>
      </c>
      <c r="G2745" t="str">
        <f t="shared" si="224"/>
        <v>06/13/19</v>
      </c>
      <c r="H2745" t="str">
        <f t="shared" si="219"/>
        <v/>
      </c>
      <c r="I2745" s="60" t="str">
        <f t="shared" si="220"/>
        <v/>
      </c>
      <c r="J2745" t="str">
        <f t="shared" si="221"/>
        <v/>
      </c>
      <c r="K2745" s="60" t="str">
        <f t="shared" si="222"/>
        <v/>
      </c>
      <c r="L2745" t="str">
        <f t="shared" si="223"/>
        <v/>
      </c>
    </row>
    <row r="2746" spans="1:12" x14ac:dyDescent="0.25">
      <c r="G2746" t="str">
        <f t="shared" si="224"/>
        <v>06/13/19</v>
      </c>
      <c r="H2746" t="str">
        <f t="shared" si="219"/>
        <v/>
      </c>
      <c r="I2746" s="60" t="str">
        <f t="shared" si="220"/>
        <v/>
      </c>
      <c r="J2746" t="str">
        <f t="shared" si="221"/>
        <v/>
      </c>
      <c r="K2746" s="60" t="str">
        <f t="shared" si="222"/>
        <v/>
      </c>
      <c r="L2746" t="str">
        <f t="shared" si="223"/>
        <v/>
      </c>
    </row>
    <row r="2747" spans="1:12" x14ac:dyDescent="0.25">
      <c r="A2747" t="s">
        <v>2801</v>
      </c>
      <c r="G2747" t="str">
        <f t="shared" si="224"/>
        <v>06/14/19</v>
      </c>
      <c r="H2747" t="str">
        <f t="shared" si="219"/>
        <v/>
      </c>
      <c r="I2747" s="60" t="str">
        <f t="shared" si="220"/>
        <v/>
      </c>
      <c r="J2747" t="str">
        <f t="shared" si="221"/>
        <v/>
      </c>
      <c r="K2747" s="60" t="str">
        <f t="shared" si="222"/>
        <v/>
      </c>
      <c r="L2747" t="str">
        <f t="shared" si="223"/>
        <v/>
      </c>
    </row>
    <row r="2748" spans="1:12" x14ac:dyDescent="0.25">
      <c r="G2748" t="str">
        <f t="shared" si="224"/>
        <v>06/14/19</v>
      </c>
      <c r="H2748" t="str">
        <f t="shared" si="219"/>
        <v/>
      </c>
      <c r="I2748" s="60" t="str">
        <f t="shared" si="220"/>
        <v/>
      </c>
      <c r="J2748" t="str">
        <f t="shared" si="221"/>
        <v/>
      </c>
      <c r="K2748" s="60" t="str">
        <f t="shared" si="222"/>
        <v/>
      </c>
      <c r="L2748" t="str">
        <f t="shared" si="223"/>
        <v/>
      </c>
    </row>
    <row r="2749" spans="1:12" x14ac:dyDescent="0.25">
      <c r="A2749" t="s">
        <v>2802</v>
      </c>
      <c r="G2749" t="str">
        <f t="shared" si="224"/>
        <v>06/14/19</v>
      </c>
      <c r="H2749" t="str">
        <f t="shared" si="219"/>
        <v>Philadelphia Phillies</v>
      </c>
      <c r="I2749" s="60">
        <f t="shared" si="220"/>
        <v>8</v>
      </c>
      <c r="J2749" t="str">
        <f t="shared" si="221"/>
        <v>Atlanta Braves</v>
      </c>
      <c r="K2749" s="60">
        <f t="shared" si="222"/>
        <v>9</v>
      </c>
      <c r="L2749">
        <f t="shared" si="223"/>
        <v>-1</v>
      </c>
    </row>
    <row r="2750" spans="1:12" x14ac:dyDescent="0.25">
      <c r="G2750" t="str">
        <f t="shared" si="224"/>
        <v>06/14/19</v>
      </c>
      <c r="H2750" t="str">
        <f t="shared" si="219"/>
        <v/>
      </c>
      <c r="I2750" s="60" t="str">
        <f t="shared" si="220"/>
        <v/>
      </c>
      <c r="J2750" t="str">
        <f t="shared" si="221"/>
        <v/>
      </c>
      <c r="K2750" s="60" t="str">
        <f t="shared" si="222"/>
        <v/>
      </c>
      <c r="L2750" t="str">
        <f t="shared" si="223"/>
        <v/>
      </c>
    </row>
    <row r="2751" spans="1:12" x14ac:dyDescent="0.25">
      <c r="A2751" t="s">
        <v>2803</v>
      </c>
      <c r="G2751" t="str">
        <f t="shared" si="224"/>
        <v>06/14/19</v>
      </c>
      <c r="H2751" t="str">
        <f t="shared" si="219"/>
        <v>Boston Red Sox</v>
      </c>
      <c r="I2751" s="60">
        <f t="shared" si="220"/>
        <v>13</v>
      </c>
      <c r="J2751" t="str">
        <f t="shared" si="221"/>
        <v>Baltimore Orioles</v>
      </c>
      <c r="K2751" s="60">
        <f t="shared" si="222"/>
        <v>2</v>
      </c>
      <c r="L2751">
        <f t="shared" si="223"/>
        <v>11</v>
      </c>
    </row>
    <row r="2752" spans="1:12" x14ac:dyDescent="0.25">
      <c r="G2752" t="str">
        <f t="shared" si="224"/>
        <v>06/14/19</v>
      </c>
      <c r="H2752" t="str">
        <f t="shared" si="219"/>
        <v/>
      </c>
      <c r="I2752" s="60" t="str">
        <f t="shared" si="220"/>
        <v/>
      </c>
      <c r="J2752" t="str">
        <f t="shared" si="221"/>
        <v/>
      </c>
      <c r="K2752" s="60" t="str">
        <f t="shared" si="222"/>
        <v/>
      </c>
      <c r="L2752" t="str">
        <f t="shared" si="223"/>
        <v/>
      </c>
    </row>
    <row r="2753" spans="1:12" x14ac:dyDescent="0.25">
      <c r="A2753" t="s">
        <v>2804</v>
      </c>
      <c r="G2753" t="str">
        <f t="shared" si="224"/>
        <v>06/14/19</v>
      </c>
      <c r="H2753" t="str">
        <f t="shared" si="219"/>
        <v>New York Yankees</v>
      </c>
      <c r="I2753" s="60">
        <f t="shared" si="220"/>
        <v>2</v>
      </c>
      <c r="J2753" t="str">
        <f t="shared" si="221"/>
        <v>Chicago White Sox</v>
      </c>
      <c r="K2753" s="60">
        <f t="shared" si="222"/>
        <v>10</v>
      </c>
      <c r="L2753">
        <f t="shared" si="223"/>
        <v>-8</v>
      </c>
    </row>
    <row r="2754" spans="1:12" x14ac:dyDescent="0.25">
      <c r="G2754" t="str">
        <f t="shared" si="224"/>
        <v>06/14/19</v>
      </c>
      <c r="H2754" t="str">
        <f t="shared" si="219"/>
        <v/>
      </c>
      <c r="I2754" s="60" t="str">
        <f t="shared" si="220"/>
        <v/>
      </c>
      <c r="J2754" t="str">
        <f t="shared" si="221"/>
        <v/>
      </c>
      <c r="K2754" s="60" t="str">
        <f t="shared" si="222"/>
        <v/>
      </c>
      <c r="L2754" t="str">
        <f t="shared" si="223"/>
        <v/>
      </c>
    </row>
    <row r="2755" spans="1:12" x14ac:dyDescent="0.25">
      <c r="A2755" t="s">
        <v>2805</v>
      </c>
      <c r="G2755" t="str">
        <f t="shared" si="224"/>
        <v>06/14/19</v>
      </c>
      <c r="H2755" t="str">
        <f t="shared" si="219"/>
        <v>Texas Rangers</v>
      </c>
      <c r="I2755" s="60">
        <f t="shared" si="220"/>
        <v>7</v>
      </c>
      <c r="J2755" t="str">
        <f t="shared" si="221"/>
        <v>Cincinnati Reds</v>
      </c>
      <c r="K2755" s="60">
        <f t="shared" si="222"/>
        <v>1</v>
      </c>
      <c r="L2755">
        <f t="shared" si="223"/>
        <v>6</v>
      </c>
    </row>
    <row r="2756" spans="1:12" x14ac:dyDescent="0.25">
      <c r="G2756" t="str">
        <f t="shared" si="224"/>
        <v>06/14/19</v>
      </c>
      <c r="H2756" t="str">
        <f t="shared" si="219"/>
        <v/>
      </c>
      <c r="I2756" s="60" t="str">
        <f t="shared" si="220"/>
        <v/>
      </c>
      <c r="J2756" t="str">
        <f t="shared" si="221"/>
        <v/>
      </c>
      <c r="K2756" s="60" t="str">
        <f t="shared" si="222"/>
        <v/>
      </c>
      <c r="L2756" t="str">
        <f t="shared" si="223"/>
        <v/>
      </c>
    </row>
    <row r="2757" spans="1:12" x14ac:dyDescent="0.25">
      <c r="A2757" t="s">
        <v>2806</v>
      </c>
      <c r="G2757" t="str">
        <f t="shared" si="224"/>
        <v>06/14/19</v>
      </c>
      <c r="H2757" t="str">
        <f t="shared" si="219"/>
        <v>San Diego Padres</v>
      </c>
      <c r="I2757" s="60">
        <f t="shared" si="220"/>
        <v>16</v>
      </c>
      <c r="J2757" t="str">
        <f t="shared" si="221"/>
        <v>Colorado Rockies</v>
      </c>
      <c r="K2757" s="60">
        <f t="shared" si="222"/>
        <v>12</v>
      </c>
      <c r="L2757">
        <f t="shared" si="223"/>
        <v>4</v>
      </c>
    </row>
    <row r="2758" spans="1:12" x14ac:dyDescent="0.25">
      <c r="G2758" t="str">
        <f t="shared" si="224"/>
        <v>06/14/19</v>
      </c>
      <c r="H2758" t="str">
        <f t="shared" si="219"/>
        <v/>
      </c>
      <c r="I2758" s="60" t="str">
        <f t="shared" si="220"/>
        <v/>
      </c>
      <c r="J2758" t="str">
        <f t="shared" si="221"/>
        <v/>
      </c>
      <c r="K2758" s="60" t="str">
        <f t="shared" si="222"/>
        <v/>
      </c>
      <c r="L2758" t="str">
        <f t="shared" si="223"/>
        <v/>
      </c>
    </row>
    <row r="2759" spans="1:12" x14ac:dyDescent="0.25">
      <c r="A2759" t="s">
        <v>2807</v>
      </c>
      <c r="G2759" t="str">
        <f t="shared" si="224"/>
        <v>06/14/19</v>
      </c>
      <c r="H2759" t="str">
        <f t="shared" si="219"/>
        <v>Cleveland Indians</v>
      </c>
      <c r="I2759" s="60">
        <f t="shared" si="220"/>
        <v>13</v>
      </c>
      <c r="J2759" t="str">
        <f t="shared" si="221"/>
        <v>Detroit Tigers</v>
      </c>
      <c r="K2759" s="60">
        <f t="shared" si="222"/>
        <v>4</v>
      </c>
      <c r="L2759">
        <f t="shared" si="223"/>
        <v>9</v>
      </c>
    </row>
    <row r="2760" spans="1:12" x14ac:dyDescent="0.25">
      <c r="G2760" t="str">
        <f t="shared" si="224"/>
        <v>06/14/19</v>
      </c>
      <c r="H2760" t="str">
        <f t="shared" si="219"/>
        <v/>
      </c>
      <c r="I2760" s="60" t="str">
        <f t="shared" si="220"/>
        <v/>
      </c>
      <c r="J2760" t="str">
        <f t="shared" si="221"/>
        <v/>
      </c>
      <c r="K2760" s="60" t="str">
        <f t="shared" si="222"/>
        <v/>
      </c>
      <c r="L2760" t="str">
        <f t="shared" si="223"/>
        <v/>
      </c>
    </row>
    <row r="2761" spans="1:12" x14ac:dyDescent="0.25">
      <c r="A2761" t="s">
        <v>2808</v>
      </c>
      <c r="G2761" t="str">
        <f t="shared" si="224"/>
        <v>06/14/19</v>
      </c>
      <c r="H2761" t="str">
        <f t="shared" si="219"/>
        <v>Toronto Blue Jays</v>
      </c>
      <c r="I2761" s="60">
        <f t="shared" si="220"/>
        <v>2</v>
      </c>
      <c r="J2761" t="str">
        <f t="shared" si="221"/>
        <v>Houston Astros</v>
      </c>
      <c r="K2761" s="60">
        <f t="shared" si="222"/>
        <v>15</v>
      </c>
      <c r="L2761">
        <f t="shared" si="223"/>
        <v>-13</v>
      </c>
    </row>
    <row r="2762" spans="1:12" x14ac:dyDescent="0.25">
      <c r="G2762" t="str">
        <f t="shared" si="224"/>
        <v>06/14/19</v>
      </c>
      <c r="H2762" t="str">
        <f t="shared" si="219"/>
        <v/>
      </c>
      <c r="I2762" s="60" t="str">
        <f t="shared" si="220"/>
        <v/>
      </c>
      <c r="J2762" t="str">
        <f t="shared" si="221"/>
        <v/>
      </c>
      <c r="K2762" s="60" t="str">
        <f t="shared" si="222"/>
        <v/>
      </c>
      <c r="L2762" t="str">
        <f t="shared" si="223"/>
        <v/>
      </c>
    </row>
    <row r="2763" spans="1:12" x14ac:dyDescent="0.25">
      <c r="A2763" t="s">
        <v>2809</v>
      </c>
      <c r="G2763" t="str">
        <f t="shared" si="224"/>
        <v>06/14/19</v>
      </c>
      <c r="H2763" t="str">
        <f t="shared" si="219"/>
        <v>Chicago Cubs</v>
      </c>
      <c r="I2763" s="60">
        <f t="shared" si="220"/>
        <v>3</v>
      </c>
      <c r="J2763" t="str">
        <f t="shared" si="221"/>
        <v>Los Angeles Dodgers</v>
      </c>
      <c r="K2763" s="60">
        <f t="shared" si="222"/>
        <v>5</v>
      </c>
      <c r="L2763">
        <f t="shared" si="223"/>
        <v>-2</v>
      </c>
    </row>
    <row r="2764" spans="1:12" x14ac:dyDescent="0.25">
      <c r="G2764" t="str">
        <f t="shared" si="224"/>
        <v>06/14/19</v>
      </c>
      <c r="H2764" t="str">
        <f t="shared" si="219"/>
        <v/>
      </c>
      <c r="I2764" s="60" t="str">
        <f t="shared" si="220"/>
        <v/>
      </c>
      <c r="J2764" t="str">
        <f t="shared" si="221"/>
        <v/>
      </c>
      <c r="K2764" s="60" t="str">
        <f t="shared" si="222"/>
        <v/>
      </c>
      <c r="L2764" t="str">
        <f t="shared" si="223"/>
        <v/>
      </c>
    </row>
    <row r="2765" spans="1:12" x14ac:dyDescent="0.25">
      <c r="A2765" t="s">
        <v>2810</v>
      </c>
      <c r="G2765" t="str">
        <f t="shared" si="224"/>
        <v>06/14/19</v>
      </c>
      <c r="H2765" t="str">
        <f t="shared" si="219"/>
        <v>Pittsburgh Pirates</v>
      </c>
      <c r="I2765" s="60">
        <f t="shared" si="220"/>
        <v>11</v>
      </c>
      <c r="J2765" t="str">
        <f t="shared" si="221"/>
        <v>Miami Marlins</v>
      </c>
      <c r="K2765" s="60">
        <f t="shared" si="222"/>
        <v>0</v>
      </c>
      <c r="L2765">
        <f t="shared" si="223"/>
        <v>11</v>
      </c>
    </row>
    <row r="2766" spans="1:12" x14ac:dyDescent="0.25">
      <c r="G2766" t="str">
        <f t="shared" si="224"/>
        <v>06/14/19</v>
      </c>
      <c r="H2766" t="str">
        <f t="shared" si="219"/>
        <v/>
      </c>
      <c r="I2766" s="60" t="str">
        <f t="shared" si="220"/>
        <v/>
      </c>
      <c r="J2766" t="str">
        <f t="shared" si="221"/>
        <v/>
      </c>
      <c r="K2766" s="60" t="str">
        <f t="shared" si="222"/>
        <v/>
      </c>
      <c r="L2766" t="str">
        <f t="shared" si="223"/>
        <v/>
      </c>
    </row>
    <row r="2767" spans="1:12" x14ac:dyDescent="0.25">
      <c r="A2767" t="s">
        <v>2811</v>
      </c>
      <c r="G2767" t="str">
        <f t="shared" si="224"/>
        <v>06/14/19</v>
      </c>
      <c r="H2767" t="str">
        <f t="shared" si="219"/>
        <v>Kansas City Royals</v>
      </c>
      <c r="I2767" s="60">
        <f t="shared" si="220"/>
        <v>0</v>
      </c>
      <c r="J2767" t="str">
        <f t="shared" si="221"/>
        <v>Minnesota Twins</v>
      </c>
      <c r="K2767" s="60">
        <f t="shared" si="222"/>
        <v>2</v>
      </c>
      <c r="L2767">
        <f t="shared" si="223"/>
        <v>-2</v>
      </c>
    </row>
    <row r="2768" spans="1:12" x14ac:dyDescent="0.25">
      <c r="G2768" t="str">
        <f t="shared" si="224"/>
        <v>06/14/19</v>
      </c>
      <c r="H2768" t="str">
        <f t="shared" ref="H2768:H2831" si="225">IFERROR(LEFT(MID(A2768,1,SEARCH("@",A2768)-2),SEARCH("(",A2768)-2),"")</f>
        <v/>
      </c>
      <c r="I2768" s="60" t="str">
        <f t="shared" ref="I2768:I2831" si="226">IFERROR(VALUE(MID(A2768,SEARCH("(",A2768)+1,SEARCH(")",A2768)-SEARCH("(",A2768)-1)),"")</f>
        <v/>
      </c>
      <c r="J2768" t="str">
        <f t="shared" ref="J2768:J2831" si="227">IFERROR(MID(A2768,SEARCH("@",A2768)+2,SEARCH("(",A2768,SEARCH("@",A2768))-SEARCH("@",A2768)-3),"")</f>
        <v/>
      </c>
      <c r="K2768" s="60" t="str">
        <f t="shared" ref="K2768:K2831" si="228">IFERROR(VALUE(MID(A2768,SEARCH(J2768,A2768)+LEN(J2768)+2,(SEARCH(")",A2768,SEARCH("@",A2768))-SEARCH("(",A2768,SEARCH("@",A2768))-1))),"")</f>
        <v/>
      </c>
      <c r="L2768" t="str">
        <f t="shared" ref="L2768:L2831" si="229">IFERROR(I2768-K2768,"")</f>
        <v/>
      </c>
    </row>
    <row r="2769" spans="1:12" x14ac:dyDescent="0.25">
      <c r="A2769" t="s">
        <v>2812</v>
      </c>
      <c r="G2769" t="str">
        <f t="shared" si="224"/>
        <v>06/14/19</v>
      </c>
      <c r="H2769" t="str">
        <f t="shared" si="225"/>
        <v>St. Louis Cardinals</v>
      </c>
      <c r="I2769" s="60">
        <f t="shared" si="226"/>
        <v>9</v>
      </c>
      <c r="J2769" t="str">
        <f t="shared" si="227"/>
        <v>New York Mets</v>
      </c>
      <c r="K2769" s="60">
        <f t="shared" si="228"/>
        <v>5</v>
      </c>
      <c r="L2769">
        <f t="shared" si="229"/>
        <v>4</v>
      </c>
    </row>
    <row r="2770" spans="1:12" x14ac:dyDescent="0.25">
      <c r="G2770" t="str">
        <f t="shared" si="224"/>
        <v>06/14/19</v>
      </c>
      <c r="H2770" t="str">
        <f t="shared" si="225"/>
        <v/>
      </c>
      <c r="I2770" s="60" t="str">
        <f t="shared" si="226"/>
        <v/>
      </c>
      <c r="J2770" t="str">
        <f t="shared" si="227"/>
        <v/>
      </c>
      <c r="K2770" s="60" t="str">
        <f t="shared" si="228"/>
        <v/>
      </c>
      <c r="L2770" t="str">
        <f t="shared" si="229"/>
        <v/>
      </c>
    </row>
    <row r="2771" spans="1:12" x14ac:dyDescent="0.25">
      <c r="A2771" t="s">
        <v>2813</v>
      </c>
      <c r="G2771" t="str">
        <f t="shared" si="224"/>
        <v>06/14/19</v>
      </c>
      <c r="H2771" t="str">
        <f t="shared" si="225"/>
        <v>Seattle Mariners</v>
      </c>
      <c r="I2771" s="60">
        <f t="shared" si="226"/>
        <v>9</v>
      </c>
      <c r="J2771" t="str">
        <f t="shared" si="227"/>
        <v>Oakland Athletics</v>
      </c>
      <c r="K2771" s="60">
        <f t="shared" si="228"/>
        <v>2</v>
      </c>
      <c r="L2771">
        <f t="shared" si="229"/>
        <v>7</v>
      </c>
    </row>
    <row r="2772" spans="1:12" x14ac:dyDescent="0.25">
      <c r="G2772" t="str">
        <f t="shared" si="224"/>
        <v>06/14/19</v>
      </c>
      <c r="H2772" t="str">
        <f t="shared" si="225"/>
        <v/>
      </c>
      <c r="I2772" s="60" t="str">
        <f t="shared" si="226"/>
        <v/>
      </c>
      <c r="J2772" t="str">
        <f t="shared" si="227"/>
        <v/>
      </c>
      <c r="K2772" s="60" t="str">
        <f t="shared" si="228"/>
        <v/>
      </c>
      <c r="L2772" t="str">
        <f t="shared" si="229"/>
        <v/>
      </c>
    </row>
    <row r="2773" spans="1:12" x14ac:dyDescent="0.25">
      <c r="A2773" t="s">
        <v>2814</v>
      </c>
      <c r="G2773" t="str">
        <f t="shared" si="224"/>
        <v>06/14/19</v>
      </c>
      <c r="H2773" t="str">
        <f t="shared" si="225"/>
        <v>Milwaukee Brewers</v>
      </c>
      <c r="I2773" s="60">
        <f t="shared" si="226"/>
        <v>3</v>
      </c>
      <c r="J2773" t="str">
        <f t="shared" si="227"/>
        <v>San Francisco Giants</v>
      </c>
      <c r="K2773" s="60">
        <f t="shared" si="228"/>
        <v>5</v>
      </c>
      <c r="L2773">
        <f t="shared" si="229"/>
        <v>-2</v>
      </c>
    </row>
    <row r="2774" spans="1:12" x14ac:dyDescent="0.25">
      <c r="G2774" t="str">
        <f t="shared" si="224"/>
        <v>06/14/19</v>
      </c>
      <c r="H2774" t="str">
        <f t="shared" si="225"/>
        <v/>
      </c>
      <c r="I2774" s="60" t="str">
        <f t="shared" si="226"/>
        <v/>
      </c>
      <c r="J2774" t="str">
        <f t="shared" si="227"/>
        <v/>
      </c>
      <c r="K2774" s="60" t="str">
        <f t="shared" si="228"/>
        <v/>
      </c>
      <c r="L2774" t="str">
        <f t="shared" si="229"/>
        <v/>
      </c>
    </row>
    <row r="2775" spans="1:12" x14ac:dyDescent="0.25">
      <c r="A2775" t="s">
        <v>2815</v>
      </c>
      <c r="G2775" t="str">
        <f t="shared" si="224"/>
        <v>06/14/19</v>
      </c>
      <c r="H2775" t="str">
        <f t="shared" si="225"/>
        <v>Los Angeles Angels</v>
      </c>
      <c r="I2775" s="60">
        <f t="shared" si="226"/>
        <v>4</v>
      </c>
      <c r="J2775" t="str">
        <f t="shared" si="227"/>
        <v>Tampa Bay Rays</v>
      </c>
      <c r="K2775" s="60">
        <f t="shared" si="228"/>
        <v>9</v>
      </c>
      <c r="L2775">
        <f t="shared" si="229"/>
        <v>-5</v>
      </c>
    </row>
    <row r="2776" spans="1:12" x14ac:dyDescent="0.25">
      <c r="G2776" t="str">
        <f t="shared" si="224"/>
        <v>06/14/19</v>
      </c>
      <c r="H2776" t="str">
        <f t="shared" si="225"/>
        <v/>
      </c>
      <c r="I2776" s="60" t="str">
        <f t="shared" si="226"/>
        <v/>
      </c>
      <c r="J2776" t="str">
        <f t="shared" si="227"/>
        <v/>
      </c>
      <c r="K2776" s="60" t="str">
        <f t="shared" si="228"/>
        <v/>
      </c>
      <c r="L2776" t="str">
        <f t="shared" si="229"/>
        <v/>
      </c>
    </row>
    <row r="2777" spans="1:12" x14ac:dyDescent="0.25">
      <c r="A2777" t="s">
        <v>2816</v>
      </c>
      <c r="G2777" t="str">
        <f t="shared" si="224"/>
        <v>06/14/19</v>
      </c>
      <c r="H2777" t="str">
        <f t="shared" si="225"/>
        <v>Arizona D'Backs</v>
      </c>
      <c r="I2777" s="60">
        <f t="shared" si="226"/>
        <v>3</v>
      </c>
      <c r="J2777" t="str">
        <f t="shared" si="227"/>
        <v>Washington Nationals</v>
      </c>
      <c r="K2777" s="60">
        <f t="shared" si="228"/>
        <v>7</v>
      </c>
      <c r="L2777">
        <f t="shared" si="229"/>
        <v>-4</v>
      </c>
    </row>
    <row r="2778" spans="1:12" x14ac:dyDescent="0.25">
      <c r="G2778" t="str">
        <f t="shared" si="224"/>
        <v>06/14/19</v>
      </c>
      <c r="H2778" t="str">
        <f t="shared" si="225"/>
        <v/>
      </c>
      <c r="I2778" s="60" t="str">
        <f t="shared" si="226"/>
        <v/>
      </c>
      <c r="J2778" t="str">
        <f t="shared" si="227"/>
        <v/>
      </c>
      <c r="K2778" s="60" t="str">
        <f t="shared" si="228"/>
        <v/>
      </c>
      <c r="L2778" t="str">
        <f t="shared" si="229"/>
        <v/>
      </c>
    </row>
    <row r="2779" spans="1:12" x14ac:dyDescent="0.25">
      <c r="A2779" t="s">
        <v>2817</v>
      </c>
      <c r="G2779" t="str">
        <f t="shared" si="224"/>
        <v>06/14/19</v>
      </c>
      <c r="H2779" t="str">
        <f t="shared" si="225"/>
        <v/>
      </c>
      <c r="I2779" s="60" t="str">
        <f t="shared" si="226"/>
        <v/>
      </c>
      <c r="J2779" t="str">
        <f t="shared" si="227"/>
        <v/>
      </c>
      <c r="K2779" s="60" t="str">
        <f t="shared" si="228"/>
        <v/>
      </c>
      <c r="L2779" t="str">
        <f t="shared" si="229"/>
        <v/>
      </c>
    </row>
    <row r="2780" spans="1:12" x14ac:dyDescent="0.25">
      <c r="G2780" t="str">
        <f t="shared" si="224"/>
        <v>06/14/19</v>
      </c>
      <c r="H2780" t="str">
        <f t="shared" si="225"/>
        <v/>
      </c>
      <c r="I2780" s="60" t="str">
        <f t="shared" si="226"/>
        <v/>
      </c>
      <c r="J2780" t="str">
        <f t="shared" si="227"/>
        <v/>
      </c>
      <c r="K2780" s="60" t="str">
        <f t="shared" si="228"/>
        <v/>
      </c>
      <c r="L2780" t="str">
        <f t="shared" si="229"/>
        <v/>
      </c>
    </row>
    <row r="2781" spans="1:12" x14ac:dyDescent="0.25">
      <c r="A2781" t="s">
        <v>2818</v>
      </c>
      <c r="G2781" t="str">
        <f t="shared" si="224"/>
        <v>06/15/19</v>
      </c>
      <c r="H2781" t="str">
        <f t="shared" si="225"/>
        <v/>
      </c>
      <c r="I2781" s="60" t="str">
        <f t="shared" si="226"/>
        <v/>
      </c>
      <c r="J2781" t="str">
        <f t="shared" si="227"/>
        <v/>
      </c>
      <c r="K2781" s="60" t="str">
        <f t="shared" si="228"/>
        <v/>
      </c>
      <c r="L2781" t="str">
        <f t="shared" si="229"/>
        <v/>
      </c>
    </row>
    <row r="2782" spans="1:12" x14ac:dyDescent="0.25">
      <c r="G2782" t="str">
        <f t="shared" si="224"/>
        <v>06/15/19</v>
      </c>
      <c r="H2782" t="str">
        <f t="shared" si="225"/>
        <v/>
      </c>
      <c r="I2782" s="60" t="str">
        <f t="shared" si="226"/>
        <v/>
      </c>
      <c r="J2782" t="str">
        <f t="shared" si="227"/>
        <v/>
      </c>
      <c r="K2782" s="60" t="str">
        <f t="shared" si="228"/>
        <v/>
      </c>
      <c r="L2782" t="str">
        <f t="shared" si="229"/>
        <v/>
      </c>
    </row>
    <row r="2783" spans="1:12" x14ac:dyDescent="0.25">
      <c r="A2783" t="s">
        <v>2819</v>
      </c>
      <c r="G2783" t="str">
        <f t="shared" si="224"/>
        <v>06/15/19</v>
      </c>
      <c r="H2783" t="str">
        <f t="shared" si="225"/>
        <v>Philadelphia Phillies</v>
      </c>
      <c r="I2783" s="60">
        <f t="shared" si="226"/>
        <v>6</v>
      </c>
      <c r="J2783" t="str">
        <f t="shared" si="227"/>
        <v>Atlanta Braves</v>
      </c>
      <c r="K2783" s="60">
        <f t="shared" si="228"/>
        <v>5</v>
      </c>
      <c r="L2783">
        <f t="shared" si="229"/>
        <v>1</v>
      </c>
    </row>
    <row r="2784" spans="1:12" x14ac:dyDescent="0.25">
      <c r="G2784" t="str">
        <f t="shared" si="224"/>
        <v>06/15/19</v>
      </c>
      <c r="H2784" t="str">
        <f t="shared" si="225"/>
        <v/>
      </c>
      <c r="I2784" s="60" t="str">
        <f t="shared" si="226"/>
        <v/>
      </c>
      <c r="J2784" t="str">
        <f t="shared" si="227"/>
        <v/>
      </c>
      <c r="K2784" s="60" t="str">
        <f t="shared" si="228"/>
        <v/>
      </c>
      <c r="L2784" t="str">
        <f t="shared" si="229"/>
        <v/>
      </c>
    </row>
    <row r="2785" spans="1:12" x14ac:dyDescent="0.25">
      <c r="A2785" t="s">
        <v>2820</v>
      </c>
      <c r="G2785" t="str">
        <f t="shared" si="224"/>
        <v>06/15/19</v>
      </c>
      <c r="H2785" t="str">
        <f t="shared" si="225"/>
        <v>Boston Red Sox</v>
      </c>
      <c r="I2785" s="60">
        <f t="shared" si="226"/>
        <v>7</v>
      </c>
      <c r="J2785" t="str">
        <f t="shared" si="227"/>
        <v>Baltimore Orioles</v>
      </c>
      <c r="K2785" s="60">
        <f t="shared" si="228"/>
        <v>2</v>
      </c>
      <c r="L2785">
        <f t="shared" si="229"/>
        <v>5</v>
      </c>
    </row>
    <row r="2786" spans="1:12" x14ac:dyDescent="0.25">
      <c r="G2786" t="str">
        <f t="shared" ref="G2786:G2849" si="230">IF(ISNUMBER(MATCH(IFERROR(LEFT(A2786,SEARCH(",",A2786)-1),""),$G$220:$M$220,0)),TEXT(MID(A2786,SEARCH(",",A2786)+2,LEN(A2786)),"mm/dd/yy"),G2785)</f>
        <v>06/15/19</v>
      </c>
      <c r="H2786" t="str">
        <f t="shared" si="225"/>
        <v/>
      </c>
      <c r="I2786" s="60" t="str">
        <f t="shared" si="226"/>
        <v/>
      </c>
      <c r="J2786" t="str">
        <f t="shared" si="227"/>
        <v/>
      </c>
      <c r="K2786" s="60" t="str">
        <f t="shared" si="228"/>
        <v/>
      </c>
      <c r="L2786" t="str">
        <f t="shared" si="229"/>
        <v/>
      </c>
    </row>
    <row r="2787" spans="1:12" x14ac:dyDescent="0.25">
      <c r="A2787" t="s">
        <v>2821</v>
      </c>
      <c r="G2787" t="str">
        <f t="shared" si="230"/>
        <v>06/15/19</v>
      </c>
      <c r="H2787" t="str">
        <f t="shared" si="225"/>
        <v>New York Yankees</v>
      </c>
      <c r="I2787" s="60">
        <f t="shared" si="226"/>
        <v>8</v>
      </c>
      <c r="J2787" t="str">
        <f t="shared" si="227"/>
        <v>Chicago White Sox</v>
      </c>
      <c r="K2787" s="60">
        <f t="shared" si="228"/>
        <v>4</v>
      </c>
      <c r="L2787">
        <f t="shared" si="229"/>
        <v>4</v>
      </c>
    </row>
    <row r="2788" spans="1:12" x14ac:dyDescent="0.25">
      <c r="G2788" t="str">
        <f t="shared" si="230"/>
        <v>06/15/19</v>
      </c>
      <c r="H2788" t="str">
        <f t="shared" si="225"/>
        <v/>
      </c>
      <c r="I2788" s="60" t="str">
        <f t="shared" si="226"/>
        <v/>
      </c>
      <c r="J2788" t="str">
        <f t="shared" si="227"/>
        <v/>
      </c>
      <c r="K2788" s="60" t="str">
        <f t="shared" si="228"/>
        <v/>
      </c>
      <c r="L2788" t="str">
        <f t="shared" si="229"/>
        <v/>
      </c>
    </row>
    <row r="2789" spans="1:12" x14ac:dyDescent="0.25">
      <c r="A2789" t="s">
        <v>2822</v>
      </c>
      <c r="G2789" t="str">
        <f t="shared" si="230"/>
        <v>06/15/19</v>
      </c>
      <c r="H2789" t="str">
        <f t="shared" si="225"/>
        <v>Texas Rangers</v>
      </c>
      <c r="I2789" s="60">
        <f t="shared" si="226"/>
        <v>4</v>
      </c>
      <c r="J2789" t="str">
        <f t="shared" si="227"/>
        <v>Cincinnati Reds</v>
      </c>
      <c r="K2789" s="60">
        <f t="shared" si="228"/>
        <v>3</v>
      </c>
      <c r="L2789">
        <f t="shared" si="229"/>
        <v>1</v>
      </c>
    </row>
    <row r="2790" spans="1:12" x14ac:dyDescent="0.25">
      <c r="G2790" t="str">
        <f t="shared" si="230"/>
        <v>06/15/19</v>
      </c>
      <c r="H2790" t="str">
        <f t="shared" si="225"/>
        <v/>
      </c>
      <c r="I2790" s="60" t="str">
        <f t="shared" si="226"/>
        <v/>
      </c>
      <c r="J2790" t="str">
        <f t="shared" si="227"/>
        <v/>
      </c>
      <c r="K2790" s="60" t="str">
        <f t="shared" si="228"/>
        <v/>
      </c>
      <c r="L2790" t="str">
        <f t="shared" si="229"/>
        <v/>
      </c>
    </row>
    <row r="2791" spans="1:12" x14ac:dyDescent="0.25">
      <c r="A2791" t="s">
        <v>2823</v>
      </c>
      <c r="G2791" t="str">
        <f t="shared" si="230"/>
        <v>06/15/19</v>
      </c>
      <c r="H2791" t="str">
        <f t="shared" si="225"/>
        <v>San Diego Padres</v>
      </c>
      <c r="I2791" s="60">
        <f t="shared" si="226"/>
        <v>8</v>
      </c>
      <c r="J2791" t="str">
        <f t="shared" si="227"/>
        <v>Colorado Rockies</v>
      </c>
      <c r="K2791" s="60">
        <f t="shared" si="228"/>
        <v>14</v>
      </c>
      <c r="L2791">
        <f t="shared" si="229"/>
        <v>-6</v>
      </c>
    </row>
    <row r="2792" spans="1:12" x14ac:dyDescent="0.25">
      <c r="G2792" t="str">
        <f t="shared" si="230"/>
        <v>06/15/19</v>
      </c>
      <c r="H2792" t="str">
        <f t="shared" si="225"/>
        <v/>
      </c>
      <c r="I2792" s="60" t="str">
        <f t="shared" si="226"/>
        <v/>
      </c>
      <c r="J2792" t="str">
        <f t="shared" si="227"/>
        <v/>
      </c>
      <c r="K2792" s="60" t="str">
        <f t="shared" si="228"/>
        <v/>
      </c>
      <c r="L2792" t="str">
        <f t="shared" si="229"/>
        <v/>
      </c>
    </row>
    <row r="2793" spans="1:12" x14ac:dyDescent="0.25">
      <c r="A2793" t="s">
        <v>2824</v>
      </c>
      <c r="G2793" t="str">
        <f t="shared" si="230"/>
        <v>06/15/19</v>
      </c>
      <c r="H2793" t="str">
        <f t="shared" si="225"/>
        <v>Cleveland Indians</v>
      </c>
      <c r="I2793" s="60">
        <f t="shared" si="226"/>
        <v>4</v>
      </c>
      <c r="J2793" t="str">
        <f t="shared" si="227"/>
        <v>Detroit Tigers</v>
      </c>
      <c r="K2793" s="60">
        <f t="shared" si="228"/>
        <v>2</v>
      </c>
      <c r="L2793">
        <f t="shared" si="229"/>
        <v>2</v>
      </c>
    </row>
    <row r="2794" spans="1:12" x14ac:dyDescent="0.25">
      <c r="G2794" t="str">
        <f t="shared" si="230"/>
        <v>06/15/19</v>
      </c>
      <c r="H2794" t="str">
        <f t="shared" si="225"/>
        <v/>
      </c>
      <c r="I2794" s="60" t="str">
        <f t="shared" si="226"/>
        <v/>
      </c>
      <c r="J2794" t="str">
        <f t="shared" si="227"/>
        <v/>
      </c>
      <c r="K2794" s="60" t="str">
        <f t="shared" si="228"/>
        <v/>
      </c>
      <c r="L2794" t="str">
        <f t="shared" si="229"/>
        <v/>
      </c>
    </row>
    <row r="2795" spans="1:12" x14ac:dyDescent="0.25">
      <c r="A2795" t="s">
        <v>2825</v>
      </c>
      <c r="G2795" t="str">
        <f t="shared" si="230"/>
        <v>06/15/19</v>
      </c>
      <c r="H2795" t="str">
        <f t="shared" si="225"/>
        <v>Toronto Blue Jays</v>
      </c>
      <c r="I2795" s="60">
        <f t="shared" si="226"/>
        <v>2</v>
      </c>
      <c r="J2795" t="str">
        <f t="shared" si="227"/>
        <v>Houston Astros</v>
      </c>
      <c r="K2795" s="60">
        <f t="shared" si="228"/>
        <v>7</v>
      </c>
      <c r="L2795">
        <f t="shared" si="229"/>
        <v>-5</v>
      </c>
    </row>
    <row r="2796" spans="1:12" x14ac:dyDescent="0.25">
      <c r="G2796" t="str">
        <f t="shared" si="230"/>
        <v>06/15/19</v>
      </c>
      <c r="H2796" t="str">
        <f t="shared" si="225"/>
        <v/>
      </c>
      <c r="I2796" s="60" t="str">
        <f t="shared" si="226"/>
        <v/>
      </c>
      <c r="J2796" t="str">
        <f t="shared" si="227"/>
        <v/>
      </c>
      <c r="K2796" s="60" t="str">
        <f t="shared" si="228"/>
        <v/>
      </c>
      <c r="L2796" t="str">
        <f t="shared" si="229"/>
        <v/>
      </c>
    </row>
    <row r="2797" spans="1:12" x14ac:dyDescent="0.25">
      <c r="A2797" t="s">
        <v>2826</v>
      </c>
      <c r="G2797" t="str">
        <f t="shared" si="230"/>
        <v>06/15/19</v>
      </c>
      <c r="H2797" t="str">
        <f t="shared" si="225"/>
        <v>Chicago Cubs</v>
      </c>
      <c r="I2797" s="60">
        <f t="shared" si="226"/>
        <v>2</v>
      </c>
      <c r="J2797" t="str">
        <f t="shared" si="227"/>
        <v>Los Angeles Dodgers</v>
      </c>
      <c r="K2797" s="60">
        <f t="shared" si="228"/>
        <v>1</v>
      </c>
      <c r="L2797">
        <f t="shared" si="229"/>
        <v>1</v>
      </c>
    </row>
    <row r="2798" spans="1:12" x14ac:dyDescent="0.25">
      <c r="G2798" t="str">
        <f t="shared" si="230"/>
        <v>06/15/19</v>
      </c>
      <c r="H2798" t="str">
        <f t="shared" si="225"/>
        <v/>
      </c>
      <c r="I2798" s="60" t="str">
        <f t="shared" si="226"/>
        <v/>
      </c>
      <c r="J2798" t="str">
        <f t="shared" si="227"/>
        <v/>
      </c>
      <c r="K2798" s="60" t="str">
        <f t="shared" si="228"/>
        <v/>
      </c>
      <c r="L2798" t="str">
        <f t="shared" si="229"/>
        <v/>
      </c>
    </row>
    <row r="2799" spans="1:12" x14ac:dyDescent="0.25">
      <c r="A2799" t="s">
        <v>2827</v>
      </c>
      <c r="G2799" t="str">
        <f t="shared" si="230"/>
        <v>06/15/19</v>
      </c>
      <c r="H2799" t="str">
        <f t="shared" si="225"/>
        <v>Pittsburgh Pirates</v>
      </c>
      <c r="I2799" s="60">
        <f t="shared" si="226"/>
        <v>3</v>
      </c>
      <c r="J2799" t="str">
        <f t="shared" si="227"/>
        <v>Miami Marlins</v>
      </c>
      <c r="K2799" s="60">
        <f t="shared" si="228"/>
        <v>4</v>
      </c>
      <c r="L2799">
        <f t="shared" si="229"/>
        <v>-1</v>
      </c>
    </row>
    <row r="2800" spans="1:12" x14ac:dyDescent="0.25">
      <c r="G2800" t="str">
        <f t="shared" si="230"/>
        <v>06/15/19</v>
      </c>
      <c r="H2800" t="str">
        <f t="shared" si="225"/>
        <v/>
      </c>
      <c r="I2800" s="60" t="str">
        <f t="shared" si="226"/>
        <v/>
      </c>
      <c r="J2800" t="str">
        <f t="shared" si="227"/>
        <v/>
      </c>
      <c r="K2800" s="60" t="str">
        <f t="shared" si="228"/>
        <v/>
      </c>
      <c r="L2800" t="str">
        <f t="shared" si="229"/>
        <v/>
      </c>
    </row>
    <row r="2801" spans="1:12" x14ac:dyDescent="0.25">
      <c r="A2801" t="s">
        <v>2828</v>
      </c>
      <c r="G2801" t="str">
        <f t="shared" si="230"/>
        <v>06/15/19</v>
      </c>
      <c r="H2801" t="str">
        <f t="shared" si="225"/>
        <v>Kansas City Royals</v>
      </c>
      <c r="I2801" s="60">
        <f t="shared" si="226"/>
        <v>4</v>
      </c>
      <c r="J2801" t="str">
        <f t="shared" si="227"/>
        <v>Minnesota Twins</v>
      </c>
      <c r="K2801" s="60">
        <f t="shared" si="228"/>
        <v>5</v>
      </c>
      <c r="L2801">
        <f t="shared" si="229"/>
        <v>-1</v>
      </c>
    </row>
    <row r="2802" spans="1:12" x14ac:dyDescent="0.25">
      <c r="G2802" t="str">
        <f t="shared" si="230"/>
        <v>06/15/19</v>
      </c>
      <c r="H2802" t="str">
        <f t="shared" si="225"/>
        <v/>
      </c>
      <c r="I2802" s="60" t="str">
        <f t="shared" si="226"/>
        <v/>
      </c>
      <c r="J2802" t="str">
        <f t="shared" si="227"/>
        <v/>
      </c>
      <c r="K2802" s="60" t="str">
        <f t="shared" si="228"/>
        <v/>
      </c>
      <c r="L2802" t="str">
        <f t="shared" si="229"/>
        <v/>
      </c>
    </row>
    <row r="2803" spans="1:12" x14ac:dyDescent="0.25">
      <c r="A2803" t="s">
        <v>2829</v>
      </c>
      <c r="G2803" t="str">
        <f t="shared" si="230"/>
        <v>06/15/19</v>
      </c>
      <c r="H2803" t="str">
        <f t="shared" si="225"/>
        <v>St. Louis Cardinals</v>
      </c>
      <c r="I2803" s="60">
        <f t="shared" si="226"/>
        <v>7</v>
      </c>
      <c r="J2803" t="str">
        <f t="shared" si="227"/>
        <v>New York Mets</v>
      </c>
      <c r="K2803" s="60">
        <f t="shared" si="228"/>
        <v>8</v>
      </c>
      <c r="L2803">
        <f t="shared" si="229"/>
        <v>-1</v>
      </c>
    </row>
    <row r="2804" spans="1:12" x14ac:dyDescent="0.25">
      <c r="G2804" t="str">
        <f t="shared" si="230"/>
        <v>06/15/19</v>
      </c>
      <c r="H2804" t="str">
        <f t="shared" si="225"/>
        <v/>
      </c>
      <c r="I2804" s="60" t="str">
        <f t="shared" si="226"/>
        <v/>
      </c>
      <c r="J2804" t="str">
        <f t="shared" si="227"/>
        <v/>
      </c>
      <c r="K2804" s="60" t="str">
        <f t="shared" si="228"/>
        <v/>
      </c>
      <c r="L2804" t="str">
        <f t="shared" si="229"/>
        <v/>
      </c>
    </row>
    <row r="2805" spans="1:12" x14ac:dyDescent="0.25">
      <c r="A2805" t="s">
        <v>2830</v>
      </c>
      <c r="G2805" t="str">
        <f t="shared" si="230"/>
        <v>06/15/19</v>
      </c>
      <c r="H2805" t="str">
        <f t="shared" si="225"/>
        <v>Seattle Mariners</v>
      </c>
      <c r="I2805" s="60">
        <f t="shared" si="226"/>
        <v>2</v>
      </c>
      <c r="J2805" t="str">
        <f t="shared" si="227"/>
        <v>Oakland Athletics</v>
      </c>
      <c r="K2805" s="60">
        <f t="shared" si="228"/>
        <v>11</v>
      </c>
      <c r="L2805">
        <f t="shared" si="229"/>
        <v>-9</v>
      </c>
    </row>
    <row r="2806" spans="1:12" x14ac:dyDescent="0.25">
      <c r="G2806" t="str">
        <f t="shared" si="230"/>
        <v>06/15/19</v>
      </c>
      <c r="H2806" t="str">
        <f t="shared" si="225"/>
        <v/>
      </c>
      <c r="I2806" s="60" t="str">
        <f t="shared" si="226"/>
        <v/>
      </c>
      <c r="J2806" t="str">
        <f t="shared" si="227"/>
        <v/>
      </c>
      <c r="K2806" s="60" t="str">
        <f t="shared" si="228"/>
        <v/>
      </c>
      <c r="L2806" t="str">
        <f t="shared" si="229"/>
        <v/>
      </c>
    </row>
    <row r="2807" spans="1:12" x14ac:dyDescent="0.25">
      <c r="A2807" t="s">
        <v>2831</v>
      </c>
      <c r="G2807" t="str">
        <f t="shared" si="230"/>
        <v>06/15/19</v>
      </c>
      <c r="H2807" t="str">
        <f t="shared" si="225"/>
        <v>Milwaukee Brewers</v>
      </c>
      <c r="I2807" s="60">
        <f t="shared" si="226"/>
        <v>7</v>
      </c>
      <c r="J2807" t="str">
        <f t="shared" si="227"/>
        <v>San Francisco Giants</v>
      </c>
      <c r="K2807" s="60">
        <f t="shared" si="228"/>
        <v>8</v>
      </c>
      <c r="L2807">
        <f t="shared" si="229"/>
        <v>-1</v>
      </c>
    </row>
    <row r="2808" spans="1:12" x14ac:dyDescent="0.25">
      <c r="G2808" t="str">
        <f t="shared" si="230"/>
        <v>06/15/19</v>
      </c>
      <c r="H2808" t="str">
        <f t="shared" si="225"/>
        <v/>
      </c>
      <c r="I2808" s="60" t="str">
        <f t="shared" si="226"/>
        <v/>
      </c>
      <c r="J2808" t="str">
        <f t="shared" si="227"/>
        <v/>
      </c>
      <c r="K2808" s="60" t="str">
        <f t="shared" si="228"/>
        <v/>
      </c>
      <c r="L2808" t="str">
        <f t="shared" si="229"/>
        <v/>
      </c>
    </row>
    <row r="2809" spans="1:12" x14ac:dyDescent="0.25">
      <c r="A2809" t="s">
        <v>2798</v>
      </c>
      <c r="G2809" t="str">
        <f t="shared" si="230"/>
        <v>06/15/19</v>
      </c>
      <c r="H2809" t="str">
        <f t="shared" si="225"/>
        <v>Los Angeles Angels</v>
      </c>
      <c r="I2809" s="60">
        <f t="shared" si="226"/>
        <v>5</v>
      </c>
      <c r="J2809" t="str">
        <f t="shared" si="227"/>
        <v>Tampa Bay Rays</v>
      </c>
      <c r="K2809" s="60">
        <f t="shared" si="228"/>
        <v>3</v>
      </c>
      <c r="L2809">
        <f t="shared" si="229"/>
        <v>2</v>
      </c>
    </row>
    <row r="2810" spans="1:12" x14ac:dyDescent="0.25">
      <c r="G2810" t="str">
        <f t="shared" si="230"/>
        <v>06/15/19</v>
      </c>
      <c r="H2810" t="str">
        <f t="shared" si="225"/>
        <v/>
      </c>
      <c r="I2810" s="60" t="str">
        <f t="shared" si="226"/>
        <v/>
      </c>
      <c r="J2810" t="str">
        <f t="shared" si="227"/>
        <v/>
      </c>
      <c r="K2810" s="60" t="str">
        <f t="shared" si="228"/>
        <v/>
      </c>
      <c r="L2810" t="str">
        <f t="shared" si="229"/>
        <v/>
      </c>
    </row>
    <row r="2811" spans="1:12" x14ac:dyDescent="0.25">
      <c r="A2811" t="s">
        <v>2832</v>
      </c>
      <c r="G2811" t="str">
        <f t="shared" si="230"/>
        <v>06/15/19</v>
      </c>
      <c r="H2811" t="str">
        <f t="shared" si="225"/>
        <v>Arizona D'Backs</v>
      </c>
      <c r="I2811" s="60">
        <f t="shared" si="226"/>
        <v>10</v>
      </c>
      <c r="J2811" t="str">
        <f t="shared" si="227"/>
        <v>Washington Nationals</v>
      </c>
      <c r="K2811" s="60">
        <f t="shared" si="228"/>
        <v>3</v>
      </c>
      <c r="L2811">
        <f t="shared" si="229"/>
        <v>7</v>
      </c>
    </row>
    <row r="2812" spans="1:12" x14ac:dyDescent="0.25">
      <c r="G2812" t="str">
        <f t="shared" si="230"/>
        <v>06/15/19</v>
      </c>
      <c r="H2812" t="str">
        <f t="shared" si="225"/>
        <v/>
      </c>
      <c r="I2812" s="60" t="str">
        <f t="shared" si="226"/>
        <v/>
      </c>
      <c r="J2812" t="str">
        <f t="shared" si="227"/>
        <v/>
      </c>
      <c r="K2812" s="60" t="str">
        <f t="shared" si="228"/>
        <v/>
      </c>
      <c r="L2812" t="str">
        <f t="shared" si="229"/>
        <v/>
      </c>
    </row>
    <row r="2813" spans="1:12" x14ac:dyDescent="0.25">
      <c r="A2813" t="s">
        <v>2833</v>
      </c>
      <c r="G2813" t="str">
        <f t="shared" si="230"/>
        <v>06/15/19</v>
      </c>
      <c r="H2813" t="str">
        <f t="shared" si="225"/>
        <v/>
      </c>
      <c r="I2813" s="60" t="str">
        <f t="shared" si="226"/>
        <v/>
      </c>
      <c r="J2813" t="str">
        <f t="shared" si="227"/>
        <v/>
      </c>
      <c r="K2813" s="60" t="str">
        <f t="shared" si="228"/>
        <v/>
      </c>
      <c r="L2813" t="str">
        <f t="shared" si="229"/>
        <v/>
      </c>
    </row>
    <row r="2814" spans="1:12" x14ac:dyDescent="0.25">
      <c r="G2814" t="str">
        <f t="shared" si="230"/>
        <v>06/15/19</v>
      </c>
      <c r="H2814" t="str">
        <f t="shared" si="225"/>
        <v/>
      </c>
      <c r="I2814" s="60" t="str">
        <f t="shared" si="226"/>
        <v/>
      </c>
      <c r="J2814" t="str">
        <f t="shared" si="227"/>
        <v/>
      </c>
      <c r="K2814" s="60" t="str">
        <f t="shared" si="228"/>
        <v/>
      </c>
      <c r="L2814" t="str">
        <f t="shared" si="229"/>
        <v/>
      </c>
    </row>
    <row r="2815" spans="1:12" x14ac:dyDescent="0.25">
      <c r="A2815" t="s">
        <v>2834</v>
      </c>
      <c r="G2815" t="str">
        <f t="shared" si="230"/>
        <v>06/16/19</v>
      </c>
      <c r="H2815" t="str">
        <f t="shared" si="225"/>
        <v/>
      </c>
      <c r="I2815" s="60" t="str">
        <f t="shared" si="226"/>
        <v/>
      </c>
      <c r="J2815" t="str">
        <f t="shared" si="227"/>
        <v/>
      </c>
      <c r="K2815" s="60" t="str">
        <f t="shared" si="228"/>
        <v/>
      </c>
      <c r="L2815" t="str">
        <f t="shared" si="229"/>
        <v/>
      </c>
    </row>
    <row r="2816" spans="1:12" x14ac:dyDescent="0.25">
      <c r="G2816" t="str">
        <f t="shared" si="230"/>
        <v>06/16/19</v>
      </c>
      <c r="H2816" t="str">
        <f t="shared" si="225"/>
        <v/>
      </c>
      <c r="I2816" s="60" t="str">
        <f t="shared" si="226"/>
        <v/>
      </c>
      <c r="J2816" t="str">
        <f t="shared" si="227"/>
        <v/>
      </c>
      <c r="K2816" s="60" t="str">
        <f t="shared" si="228"/>
        <v/>
      </c>
      <c r="L2816" t="str">
        <f t="shared" si="229"/>
        <v/>
      </c>
    </row>
    <row r="2817" spans="1:12" x14ac:dyDescent="0.25">
      <c r="A2817" t="s">
        <v>2835</v>
      </c>
      <c r="G2817" t="str">
        <f t="shared" si="230"/>
        <v>06/16/19</v>
      </c>
      <c r="H2817" t="str">
        <f t="shared" si="225"/>
        <v>Philadelphia Phillies</v>
      </c>
      <c r="I2817" s="60">
        <f t="shared" si="226"/>
        <v>1</v>
      </c>
      <c r="J2817" t="str">
        <f t="shared" si="227"/>
        <v>Atlanta Braves</v>
      </c>
      <c r="K2817" s="60">
        <f t="shared" si="228"/>
        <v>15</v>
      </c>
      <c r="L2817">
        <f t="shared" si="229"/>
        <v>-14</v>
      </c>
    </row>
    <row r="2818" spans="1:12" x14ac:dyDescent="0.25">
      <c r="G2818" t="str">
        <f t="shared" si="230"/>
        <v>06/16/19</v>
      </c>
      <c r="H2818" t="str">
        <f t="shared" si="225"/>
        <v/>
      </c>
      <c r="I2818" s="60" t="str">
        <f t="shared" si="226"/>
        <v/>
      </c>
      <c r="J2818" t="str">
        <f t="shared" si="227"/>
        <v/>
      </c>
      <c r="K2818" s="60" t="str">
        <f t="shared" si="228"/>
        <v/>
      </c>
      <c r="L2818" t="str">
        <f t="shared" si="229"/>
        <v/>
      </c>
    </row>
    <row r="2819" spans="1:12" x14ac:dyDescent="0.25">
      <c r="A2819" t="s">
        <v>2836</v>
      </c>
      <c r="G2819" t="str">
        <f t="shared" si="230"/>
        <v>06/16/19</v>
      </c>
      <c r="H2819" t="str">
        <f t="shared" si="225"/>
        <v>Boston Red Sox</v>
      </c>
      <c r="I2819" s="60">
        <f t="shared" si="226"/>
        <v>8</v>
      </c>
      <c r="J2819" t="str">
        <f t="shared" si="227"/>
        <v>Baltimore Orioles</v>
      </c>
      <c r="K2819" s="60">
        <f t="shared" si="228"/>
        <v>6</v>
      </c>
      <c r="L2819">
        <f t="shared" si="229"/>
        <v>2</v>
      </c>
    </row>
    <row r="2820" spans="1:12" x14ac:dyDescent="0.25">
      <c r="G2820" t="str">
        <f t="shared" si="230"/>
        <v>06/16/19</v>
      </c>
      <c r="H2820" t="str">
        <f t="shared" si="225"/>
        <v/>
      </c>
      <c r="I2820" s="60" t="str">
        <f t="shared" si="226"/>
        <v/>
      </c>
      <c r="J2820" t="str">
        <f t="shared" si="227"/>
        <v/>
      </c>
      <c r="K2820" s="60" t="str">
        <f t="shared" si="228"/>
        <v/>
      </c>
      <c r="L2820" t="str">
        <f t="shared" si="229"/>
        <v/>
      </c>
    </row>
    <row r="2821" spans="1:12" x14ac:dyDescent="0.25">
      <c r="A2821" t="s">
        <v>2837</v>
      </c>
      <c r="G2821" t="str">
        <f t="shared" si="230"/>
        <v>06/16/19</v>
      </c>
      <c r="H2821" t="str">
        <f t="shared" si="225"/>
        <v>New York Yankees</v>
      </c>
      <c r="I2821" s="60">
        <f t="shared" si="226"/>
        <v>10</v>
      </c>
      <c r="J2821" t="str">
        <f t="shared" si="227"/>
        <v>Chicago White Sox</v>
      </c>
      <c r="K2821" s="60">
        <f t="shared" si="228"/>
        <v>3</v>
      </c>
      <c r="L2821">
        <f t="shared" si="229"/>
        <v>7</v>
      </c>
    </row>
    <row r="2822" spans="1:12" x14ac:dyDescent="0.25">
      <c r="G2822" t="str">
        <f t="shared" si="230"/>
        <v>06/16/19</v>
      </c>
      <c r="H2822" t="str">
        <f t="shared" si="225"/>
        <v/>
      </c>
      <c r="I2822" s="60" t="str">
        <f t="shared" si="226"/>
        <v/>
      </c>
      <c r="J2822" t="str">
        <f t="shared" si="227"/>
        <v/>
      </c>
      <c r="K2822" s="60" t="str">
        <f t="shared" si="228"/>
        <v/>
      </c>
      <c r="L2822" t="str">
        <f t="shared" si="229"/>
        <v/>
      </c>
    </row>
    <row r="2823" spans="1:12" x14ac:dyDescent="0.25">
      <c r="A2823" t="s">
        <v>2838</v>
      </c>
      <c r="G2823" t="str">
        <f t="shared" si="230"/>
        <v>06/16/19</v>
      </c>
      <c r="H2823" t="str">
        <f t="shared" si="225"/>
        <v>Texas Rangers</v>
      </c>
      <c r="I2823" s="60">
        <f t="shared" si="226"/>
        <v>3</v>
      </c>
      <c r="J2823" t="str">
        <f t="shared" si="227"/>
        <v>Cincinnati Reds</v>
      </c>
      <c r="K2823" s="60">
        <f t="shared" si="228"/>
        <v>11</v>
      </c>
      <c r="L2823">
        <f t="shared" si="229"/>
        <v>-8</v>
      </c>
    </row>
    <row r="2824" spans="1:12" x14ac:dyDescent="0.25">
      <c r="G2824" t="str">
        <f t="shared" si="230"/>
        <v>06/16/19</v>
      </c>
      <c r="H2824" t="str">
        <f t="shared" si="225"/>
        <v/>
      </c>
      <c r="I2824" s="60" t="str">
        <f t="shared" si="226"/>
        <v/>
      </c>
      <c r="J2824" t="str">
        <f t="shared" si="227"/>
        <v/>
      </c>
      <c r="K2824" s="60" t="str">
        <f t="shared" si="228"/>
        <v/>
      </c>
      <c r="L2824" t="str">
        <f t="shared" si="229"/>
        <v/>
      </c>
    </row>
    <row r="2825" spans="1:12" x14ac:dyDescent="0.25">
      <c r="A2825" t="s">
        <v>2839</v>
      </c>
      <c r="G2825" t="str">
        <f t="shared" si="230"/>
        <v>06/16/19</v>
      </c>
      <c r="H2825" t="str">
        <f t="shared" si="225"/>
        <v>San Diego Padres</v>
      </c>
      <c r="I2825" s="60">
        <f t="shared" si="226"/>
        <v>14</v>
      </c>
      <c r="J2825" t="str">
        <f t="shared" si="227"/>
        <v>Colorado Rockies</v>
      </c>
      <c r="K2825" s="60">
        <f t="shared" si="228"/>
        <v>13</v>
      </c>
      <c r="L2825">
        <f t="shared" si="229"/>
        <v>1</v>
      </c>
    </row>
    <row r="2826" spans="1:12" x14ac:dyDescent="0.25">
      <c r="G2826" t="str">
        <f t="shared" si="230"/>
        <v>06/16/19</v>
      </c>
      <c r="H2826" t="str">
        <f t="shared" si="225"/>
        <v/>
      </c>
      <c r="I2826" s="60" t="str">
        <f t="shared" si="226"/>
        <v/>
      </c>
      <c r="J2826" t="str">
        <f t="shared" si="227"/>
        <v/>
      </c>
      <c r="K2826" s="60" t="str">
        <f t="shared" si="228"/>
        <v/>
      </c>
      <c r="L2826" t="str">
        <f t="shared" si="229"/>
        <v/>
      </c>
    </row>
    <row r="2827" spans="1:12" x14ac:dyDescent="0.25">
      <c r="A2827" t="s">
        <v>2840</v>
      </c>
      <c r="G2827" t="str">
        <f t="shared" si="230"/>
        <v>06/16/19</v>
      </c>
      <c r="H2827" t="str">
        <f t="shared" si="225"/>
        <v>Cleveland Indians</v>
      </c>
      <c r="I2827" s="60">
        <f t="shared" si="226"/>
        <v>8</v>
      </c>
      <c r="J2827" t="str">
        <f t="shared" si="227"/>
        <v>Detroit Tigers</v>
      </c>
      <c r="K2827" s="60">
        <f t="shared" si="228"/>
        <v>0</v>
      </c>
      <c r="L2827">
        <f t="shared" si="229"/>
        <v>8</v>
      </c>
    </row>
    <row r="2828" spans="1:12" x14ac:dyDescent="0.25">
      <c r="G2828" t="str">
        <f t="shared" si="230"/>
        <v>06/16/19</v>
      </c>
      <c r="H2828" t="str">
        <f t="shared" si="225"/>
        <v/>
      </c>
      <c r="I2828" s="60" t="str">
        <f t="shared" si="226"/>
        <v/>
      </c>
      <c r="J2828" t="str">
        <f t="shared" si="227"/>
        <v/>
      </c>
      <c r="K2828" s="60" t="str">
        <f t="shared" si="228"/>
        <v/>
      </c>
      <c r="L2828" t="str">
        <f t="shared" si="229"/>
        <v/>
      </c>
    </row>
    <row r="2829" spans="1:12" x14ac:dyDescent="0.25">
      <c r="A2829" t="s">
        <v>2841</v>
      </c>
      <c r="G2829" t="str">
        <f t="shared" si="230"/>
        <v>06/16/19</v>
      </c>
      <c r="H2829" t="str">
        <f t="shared" si="225"/>
        <v>Toronto Blue Jays</v>
      </c>
      <c r="I2829" s="60">
        <f t="shared" si="226"/>
        <v>12</v>
      </c>
      <c r="J2829" t="str">
        <f t="shared" si="227"/>
        <v>Houston Astros</v>
      </c>
      <c r="K2829" s="60">
        <f t="shared" si="228"/>
        <v>0</v>
      </c>
      <c r="L2829">
        <f t="shared" si="229"/>
        <v>12</v>
      </c>
    </row>
    <row r="2830" spans="1:12" x14ac:dyDescent="0.25">
      <c r="G2830" t="str">
        <f t="shared" si="230"/>
        <v>06/16/19</v>
      </c>
      <c r="H2830" t="str">
        <f t="shared" si="225"/>
        <v/>
      </c>
      <c r="I2830" s="60" t="str">
        <f t="shared" si="226"/>
        <v/>
      </c>
      <c r="J2830" t="str">
        <f t="shared" si="227"/>
        <v/>
      </c>
      <c r="K2830" s="60" t="str">
        <f t="shared" si="228"/>
        <v/>
      </c>
      <c r="L2830" t="str">
        <f t="shared" si="229"/>
        <v/>
      </c>
    </row>
    <row r="2831" spans="1:12" x14ac:dyDescent="0.25">
      <c r="A2831" t="s">
        <v>2842</v>
      </c>
      <c r="G2831" t="str">
        <f t="shared" si="230"/>
        <v>06/16/19</v>
      </c>
      <c r="H2831" t="str">
        <f t="shared" si="225"/>
        <v>Chicago Cubs</v>
      </c>
      <c r="I2831" s="60">
        <f t="shared" si="226"/>
        <v>2</v>
      </c>
      <c r="J2831" t="str">
        <f t="shared" si="227"/>
        <v>Los Angeles Dodgers</v>
      </c>
      <c r="K2831" s="60">
        <f t="shared" si="228"/>
        <v>3</v>
      </c>
      <c r="L2831">
        <f t="shared" si="229"/>
        <v>-1</v>
      </c>
    </row>
    <row r="2832" spans="1:12" x14ac:dyDescent="0.25">
      <c r="G2832" t="str">
        <f t="shared" si="230"/>
        <v>06/16/19</v>
      </c>
      <c r="H2832" t="str">
        <f t="shared" ref="H2832:H2895" si="231">IFERROR(LEFT(MID(A2832,1,SEARCH("@",A2832)-2),SEARCH("(",A2832)-2),"")</f>
        <v/>
      </c>
      <c r="I2832" s="60" t="str">
        <f t="shared" ref="I2832:I2895" si="232">IFERROR(VALUE(MID(A2832,SEARCH("(",A2832)+1,SEARCH(")",A2832)-SEARCH("(",A2832)-1)),"")</f>
        <v/>
      </c>
      <c r="J2832" t="str">
        <f t="shared" ref="J2832:J2895" si="233">IFERROR(MID(A2832,SEARCH("@",A2832)+2,SEARCH("(",A2832,SEARCH("@",A2832))-SEARCH("@",A2832)-3),"")</f>
        <v/>
      </c>
      <c r="K2832" s="60" t="str">
        <f t="shared" ref="K2832:K2895" si="234">IFERROR(VALUE(MID(A2832,SEARCH(J2832,A2832)+LEN(J2832)+2,(SEARCH(")",A2832,SEARCH("@",A2832))-SEARCH("(",A2832,SEARCH("@",A2832))-1))),"")</f>
        <v/>
      </c>
      <c r="L2832" t="str">
        <f t="shared" ref="L2832:L2895" si="235">IFERROR(I2832-K2832,"")</f>
        <v/>
      </c>
    </row>
    <row r="2833" spans="1:12" x14ac:dyDescent="0.25">
      <c r="A2833" t="s">
        <v>2843</v>
      </c>
      <c r="G2833" t="str">
        <f t="shared" si="230"/>
        <v>06/16/19</v>
      </c>
      <c r="H2833" t="str">
        <f t="shared" si="231"/>
        <v>Pittsburgh Pirates</v>
      </c>
      <c r="I2833" s="60">
        <f t="shared" si="232"/>
        <v>5</v>
      </c>
      <c r="J2833" t="str">
        <f t="shared" si="233"/>
        <v>Miami Marlins</v>
      </c>
      <c r="K2833" s="60">
        <f t="shared" si="234"/>
        <v>4</v>
      </c>
      <c r="L2833">
        <f t="shared" si="235"/>
        <v>1</v>
      </c>
    </row>
    <row r="2834" spans="1:12" x14ac:dyDescent="0.25">
      <c r="G2834" t="str">
        <f t="shared" si="230"/>
        <v>06/16/19</v>
      </c>
      <c r="H2834" t="str">
        <f t="shared" si="231"/>
        <v/>
      </c>
      <c r="I2834" s="60" t="str">
        <f t="shared" si="232"/>
        <v/>
      </c>
      <c r="J2834" t="str">
        <f t="shared" si="233"/>
        <v/>
      </c>
      <c r="K2834" s="60" t="str">
        <f t="shared" si="234"/>
        <v/>
      </c>
      <c r="L2834" t="str">
        <f t="shared" si="235"/>
        <v/>
      </c>
    </row>
    <row r="2835" spans="1:12" x14ac:dyDescent="0.25">
      <c r="A2835" t="s">
        <v>2844</v>
      </c>
      <c r="G2835" t="str">
        <f t="shared" si="230"/>
        <v>06/16/19</v>
      </c>
      <c r="H2835" t="str">
        <f t="shared" si="231"/>
        <v>Kansas City Royals</v>
      </c>
      <c r="I2835" s="60">
        <f t="shared" si="232"/>
        <v>8</v>
      </c>
      <c r="J2835" t="str">
        <f t="shared" si="233"/>
        <v>Minnesota Twins</v>
      </c>
      <c r="K2835" s="60">
        <f t="shared" si="234"/>
        <v>6</v>
      </c>
      <c r="L2835">
        <f t="shared" si="235"/>
        <v>2</v>
      </c>
    </row>
    <row r="2836" spans="1:12" x14ac:dyDescent="0.25">
      <c r="G2836" t="str">
        <f t="shared" si="230"/>
        <v>06/16/19</v>
      </c>
      <c r="H2836" t="str">
        <f t="shared" si="231"/>
        <v/>
      </c>
      <c r="I2836" s="60" t="str">
        <f t="shared" si="232"/>
        <v/>
      </c>
      <c r="J2836" t="str">
        <f t="shared" si="233"/>
        <v/>
      </c>
      <c r="K2836" s="60" t="str">
        <f t="shared" si="234"/>
        <v/>
      </c>
      <c r="L2836" t="str">
        <f t="shared" si="235"/>
        <v/>
      </c>
    </row>
    <row r="2837" spans="1:12" x14ac:dyDescent="0.25">
      <c r="A2837" t="s">
        <v>2845</v>
      </c>
      <c r="G2837" t="str">
        <f t="shared" si="230"/>
        <v>06/16/19</v>
      </c>
      <c r="H2837" t="str">
        <f t="shared" si="231"/>
        <v>St. Louis Cardinals</v>
      </c>
      <c r="I2837" s="60">
        <f t="shared" si="232"/>
        <v>4</v>
      </c>
      <c r="J2837" t="str">
        <f t="shared" si="233"/>
        <v>New York Mets</v>
      </c>
      <c r="K2837" s="60">
        <f t="shared" si="234"/>
        <v>3</v>
      </c>
      <c r="L2837">
        <f t="shared" si="235"/>
        <v>1</v>
      </c>
    </row>
    <row r="2838" spans="1:12" x14ac:dyDescent="0.25">
      <c r="G2838" t="str">
        <f t="shared" si="230"/>
        <v>06/16/19</v>
      </c>
      <c r="H2838" t="str">
        <f t="shared" si="231"/>
        <v/>
      </c>
      <c r="I2838" s="60" t="str">
        <f t="shared" si="232"/>
        <v/>
      </c>
      <c r="J2838" t="str">
        <f t="shared" si="233"/>
        <v/>
      </c>
      <c r="K2838" s="60" t="str">
        <f t="shared" si="234"/>
        <v/>
      </c>
      <c r="L2838" t="str">
        <f t="shared" si="235"/>
        <v/>
      </c>
    </row>
    <row r="2839" spans="1:12" x14ac:dyDescent="0.25">
      <c r="A2839" t="s">
        <v>2846</v>
      </c>
      <c r="G2839" t="str">
        <f t="shared" si="230"/>
        <v>06/16/19</v>
      </c>
      <c r="H2839" t="str">
        <f t="shared" si="231"/>
        <v>Seattle Mariners</v>
      </c>
      <c r="I2839" s="60">
        <f t="shared" si="232"/>
        <v>6</v>
      </c>
      <c r="J2839" t="str">
        <f t="shared" si="233"/>
        <v>Oakland Athletics</v>
      </c>
      <c r="K2839" s="60">
        <f t="shared" si="234"/>
        <v>3</v>
      </c>
      <c r="L2839">
        <f t="shared" si="235"/>
        <v>3</v>
      </c>
    </row>
    <row r="2840" spans="1:12" x14ac:dyDescent="0.25">
      <c r="G2840" t="str">
        <f t="shared" si="230"/>
        <v>06/16/19</v>
      </c>
      <c r="H2840" t="str">
        <f t="shared" si="231"/>
        <v/>
      </c>
      <c r="I2840" s="60" t="str">
        <f t="shared" si="232"/>
        <v/>
      </c>
      <c r="J2840" t="str">
        <f t="shared" si="233"/>
        <v/>
      </c>
      <c r="K2840" s="60" t="str">
        <f t="shared" si="234"/>
        <v/>
      </c>
      <c r="L2840" t="str">
        <f t="shared" si="235"/>
        <v/>
      </c>
    </row>
    <row r="2841" spans="1:12" x14ac:dyDescent="0.25">
      <c r="A2841" t="s">
        <v>2847</v>
      </c>
      <c r="G2841" t="str">
        <f t="shared" si="230"/>
        <v>06/16/19</v>
      </c>
      <c r="H2841" t="str">
        <f t="shared" si="231"/>
        <v>Milwaukee Brewers</v>
      </c>
      <c r="I2841" s="60">
        <f t="shared" si="232"/>
        <v>5</v>
      </c>
      <c r="J2841" t="str">
        <f t="shared" si="233"/>
        <v>San Francisco Giants</v>
      </c>
      <c r="K2841" s="60">
        <f t="shared" si="234"/>
        <v>3</v>
      </c>
      <c r="L2841">
        <f t="shared" si="235"/>
        <v>2</v>
      </c>
    </row>
    <row r="2842" spans="1:12" x14ac:dyDescent="0.25">
      <c r="G2842" t="str">
        <f t="shared" si="230"/>
        <v>06/16/19</v>
      </c>
      <c r="H2842" t="str">
        <f t="shared" si="231"/>
        <v/>
      </c>
      <c r="I2842" s="60" t="str">
        <f t="shared" si="232"/>
        <v/>
      </c>
      <c r="J2842" t="str">
        <f t="shared" si="233"/>
        <v/>
      </c>
      <c r="K2842" s="60" t="str">
        <f t="shared" si="234"/>
        <v/>
      </c>
      <c r="L2842" t="str">
        <f t="shared" si="235"/>
        <v/>
      </c>
    </row>
    <row r="2843" spans="1:12" x14ac:dyDescent="0.25">
      <c r="A2843" t="s">
        <v>2848</v>
      </c>
      <c r="G2843" t="str">
        <f t="shared" si="230"/>
        <v>06/16/19</v>
      </c>
      <c r="H2843" t="str">
        <f t="shared" si="231"/>
        <v>Los Angeles Angels</v>
      </c>
      <c r="I2843" s="60">
        <f t="shared" si="232"/>
        <v>5</v>
      </c>
      <c r="J2843" t="str">
        <f t="shared" si="233"/>
        <v>Tampa Bay Rays</v>
      </c>
      <c r="K2843" s="60">
        <f t="shared" si="234"/>
        <v>6</v>
      </c>
      <c r="L2843">
        <f t="shared" si="235"/>
        <v>-1</v>
      </c>
    </row>
    <row r="2844" spans="1:12" x14ac:dyDescent="0.25">
      <c r="G2844" t="str">
        <f t="shared" si="230"/>
        <v>06/16/19</v>
      </c>
      <c r="H2844" t="str">
        <f t="shared" si="231"/>
        <v/>
      </c>
      <c r="I2844" s="60" t="str">
        <f t="shared" si="232"/>
        <v/>
      </c>
      <c r="J2844" t="str">
        <f t="shared" si="233"/>
        <v/>
      </c>
      <c r="K2844" s="60" t="str">
        <f t="shared" si="234"/>
        <v/>
      </c>
      <c r="L2844" t="str">
        <f t="shared" si="235"/>
        <v/>
      </c>
    </row>
    <row r="2845" spans="1:12" x14ac:dyDescent="0.25">
      <c r="A2845" t="s">
        <v>2849</v>
      </c>
      <c r="G2845" t="str">
        <f t="shared" si="230"/>
        <v>06/16/19</v>
      </c>
      <c r="H2845" t="str">
        <f t="shared" si="231"/>
        <v>Arizona D'Backs</v>
      </c>
      <c r="I2845" s="60">
        <f t="shared" si="232"/>
        <v>5</v>
      </c>
      <c r="J2845" t="str">
        <f t="shared" si="233"/>
        <v>Washington Nationals</v>
      </c>
      <c r="K2845" s="60">
        <f t="shared" si="234"/>
        <v>15</v>
      </c>
      <c r="L2845">
        <f t="shared" si="235"/>
        <v>-10</v>
      </c>
    </row>
    <row r="2846" spans="1:12" x14ac:dyDescent="0.25">
      <c r="G2846" t="str">
        <f t="shared" si="230"/>
        <v>06/16/19</v>
      </c>
      <c r="H2846" t="str">
        <f t="shared" si="231"/>
        <v/>
      </c>
      <c r="I2846" s="60" t="str">
        <f t="shared" si="232"/>
        <v/>
      </c>
      <c r="J2846" t="str">
        <f t="shared" si="233"/>
        <v/>
      </c>
      <c r="K2846" s="60" t="str">
        <f t="shared" si="234"/>
        <v/>
      </c>
      <c r="L2846" t="str">
        <f t="shared" si="235"/>
        <v/>
      </c>
    </row>
    <row r="2847" spans="1:12" x14ac:dyDescent="0.25">
      <c r="A2847" t="s">
        <v>2850</v>
      </c>
      <c r="G2847" t="str">
        <f t="shared" si="230"/>
        <v>06/16/19</v>
      </c>
      <c r="H2847" t="str">
        <f t="shared" si="231"/>
        <v/>
      </c>
      <c r="I2847" s="60" t="str">
        <f t="shared" si="232"/>
        <v/>
      </c>
      <c r="J2847" t="str">
        <f t="shared" si="233"/>
        <v/>
      </c>
      <c r="K2847" s="60" t="str">
        <f t="shared" si="234"/>
        <v/>
      </c>
      <c r="L2847" t="str">
        <f t="shared" si="235"/>
        <v/>
      </c>
    </row>
    <row r="2848" spans="1:12" x14ac:dyDescent="0.25">
      <c r="G2848" t="str">
        <f t="shared" si="230"/>
        <v>06/16/19</v>
      </c>
      <c r="H2848" t="str">
        <f t="shared" si="231"/>
        <v/>
      </c>
      <c r="I2848" s="60" t="str">
        <f t="shared" si="232"/>
        <v/>
      </c>
      <c r="J2848" t="str">
        <f t="shared" si="233"/>
        <v/>
      </c>
      <c r="K2848" s="60" t="str">
        <f t="shared" si="234"/>
        <v/>
      </c>
      <c r="L2848" t="str">
        <f t="shared" si="235"/>
        <v/>
      </c>
    </row>
    <row r="2849" spans="1:12" x14ac:dyDescent="0.25">
      <c r="A2849" t="s">
        <v>2851</v>
      </c>
      <c r="G2849" t="str">
        <f t="shared" si="230"/>
        <v>06/17/19</v>
      </c>
      <c r="H2849" t="str">
        <f t="shared" si="231"/>
        <v/>
      </c>
      <c r="I2849" s="60" t="str">
        <f t="shared" si="232"/>
        <v/>
      </c>
      <c r="J2849" t="str">
        <f t="shared" si="233"/>
        <v/>
      </c>
      <c r="K2849" s="60" t="str">
        <f t="shared" si="234"/>
        <v/>
      </c>
      <c r="L2849" t="str">
        <f t="shared" si="235"/>
        <v/>
      </c>
    </row>
    <row r="2850" spans="1:12" x14ac:dyDescent="0.25">
      <c r="G2850" t="str">
        <f t="shared" ref="G2850:G2913" si="236">IF(ISNUMBER(MATCH(IFERROR(LEFT(A2850,SEARCH(",",A2850)-1),""),$G$220:$M$220,0)),TEXT(MID(A2850,SEARCH(",",A2850)+2,LEN(A2850)),"mm/dd/yy"),G2849)</f>
        <v>06/17/19</v>
      </c>
      <c r="H2850" t="str">
        <f t="shared" si="231"/>
        <v/>
      </c>
      <c r="I2850" s="60" t="str">
        <f t="shared" si="232"/>
        <v/>
      </c>
      <c r="J2850" t="str">
        <f t="shared" si="233"/>
        <v/>
      </c>
      <c r="K2850" s="60" t="str">
        <f t="shared" si="234"/>
        <v/>
      </c>
      <c r="L2850" t="str">
        <f t="shared" si="235"/>
        <v/>
      </c>
    </row>
    <row r="2851" spans="1:12" x14ac:dyDescent="0.25">
      <c r="A2851" t="s">
        <v>2852</v>
      </c>
      <c r="G2851" t="str">
        <f t="shared" si="236"/>
        <v>06/17/19</v>
      </c>
      <c r="H2851" t="str">
        <f t="shared" si="231"/>
        <v>New York Mets</v>
      </c>
      <c r="I2851" s="60">
        <f t="shared" si="232"/>
        <v>3</v>
      </c>
      <c r="J2851" t="str">
        <f t="shared" si="233"/>
        <v>Atlanta Braves</v>
      </c>
      <c r="K2851" s="60">
        <f t="shared" si="234"/>
        <v>12</v>
      </c>
      <c r="L2851">
        <f t="shared" si="235"/>
        <v>-9</v>
      </c>
    </row>
    <row r="2852" spans="1:12" x14ac:dyDescent="0.25">
      <c r="G2852" t="str">
        <f t="shared" si="236"/>
        <v>06/17/19</v>
      </c>
      <c r="H2852" t="str">
        <f t="shared" si="231"/>
        <v/>
      </c>
      <c r="I2852" s="60" t="str">
        <f t="shared" si="232"/>
        <v/>
      </c>
      <c r="J2852" t="str">
        <f t="shared" si="233"/>
        <v/>
      </c>
      <c r="K2852" s="60" t="str">
        <f t="shared" si="234"/>
        <v/>
      </c>
      <c r="L2852" t="str">
        <f t="shared" si="235"/>
        <v/>
      </c>
    </row>
    <row r="2853" spans="1:12" x14ac:dyDescent="0.25">
      <c r="A2853" t="s">
        <v>2853</v>
      </c>
      <c r="G2853" t="str">
        <f t="shared" si="236"/>
        <v>06/17/19</v>
      </c>
      <c r="H2853" t="str">
        <f t="shared" si="231"/>
        <v>Houston Astros</v>
      </c>
      <c r="I2853" s="60">
        <f t="shared" si="232"/>
        <v>2</v>
      </c>
      <c r="J2853" t="str">
        <f t="shared" si="233"/>
        <v>Cincinnati Reds</v>
      </c>
      <c r="K2853" s="60">
        <f t="shared" si="234"/>
        <v>3</v>
      </c>
      <c r="L2853">
        <f t="shared" si="235"/>
        <v>-1</v>
      </c>
    </row>
    <row r="2854" spans="1:12" x14ac:dyDescent="0.25">
      <c r="G2854" t="str">
        <f t="shared" si="236"/>
        <v>06/17/19</v>
      </c>
      <c r="H2854" t="str">
        <f t="shared" si="231"/>
        <v/>
      </c>
      <c r="I2854" s="60" t="str">
        <f t="shared" si="232"/>
        <v/>
      </c>
      <c r="J2854" t="str">
        <f t="shared" si="233"/>
        <v/>
      </c>
      <c r="K2854" s="60" t="str">
        <f t="shared" si="234"/>
        <v/>
      </c>
      <c r="L2854" t="str">
        <f t="shared" si="235"/>
        <v/>
      </c>
    </row>
    <row r="2855" spans="1:12" x14ac:dyDescent="0.25">
      <c r="A2855" t="s">
        <v>2854</v>
      </c>
      <c r="G2855" t="str">
        <f t="shared" si="236"/>
        <v>06/17/19</v>
      </c>
      <c r="H2855" t="str">
        <f t="shared" si="231"/>
        <v>San Francisco Giants</v>
      </c>
      <c r="I2855" s="60">
        <f t="shared" si="232"/>
        <v>3</v>
      </c>
      <c r="J2855" t="str">
        <f t="shared" si="233"/>
        <v>Los Angeles Dodgers</v>
      </c>
      <c r="K2855" s="60">
        <f t="shared" si="234"/>
        <v>2</v>
      </c>
      <c r="L2855">
        <f t="shared" si="235"/>
        <v>1</v>
      </c>
    </row>
    <row r="2856" spans="1:12" x14ac:dyDescent="0.25">
      <c r="G2856" t="str">
        <f t="shared" si="236"/>
        <v>06/17/19</v>
      </c>
      <c r="H2856" t="str">
        <f t="shared" si="231"/>
        <v/>
      </c>
      <c r="I2856" s="60" t="str">
        <f t="shared" si="232"/>
        <v/>
      </c>
      <c r="J2856" t="str">
        <f t="shared" si="233"/>
        <v/>
      </c>
      <c r="K2856" s="60" t="str">
        <f t="shared" si="234"/>
        <v/>
      </c>
      <c r="L2856" t="str">
        <f t="shared" si="235"/>
        <v/>
      </c>
    </row>
    <row r="2857" spans="1:12" x14ac:dyDescent="0.25">
      <c r="A2857" t="s">
        <v>2855</v>
      </c>
      <c r="G2857" t="str">
        <f t="shared" si="236"/>
        <v>06/17/19</v>
      </c>
      <c r="H2857" t="str">
        <f t="shared" si="231"/>
        <v>Boston Red Sox</v>
      </c>
      <c r="I2857" s="60">
        <f t="shared" si="232"/>
        <v>2</v>
      </c>
      <c r="J2857" t="str">
        <f t="shared" si="233"/>
        <v>Minnesota Twins</v>
      </c>
      <c r="K2857" s="60">
        <f t="shared" si="234"/>
        <v>0</v>
      </c>
      <c r="L2857">
        <f t="shared" si="235"/>
        <v>2</v>
      </c>
    </row>
    <row r="2858" spans="1:12" x14ac:dyDescent="0.25">
      <c r="G2858" t="str">
        <f t="shared" si="236"/>
        <v>06/17/19</v>
      </c>
      <c r="H2858" t="str">
        <f t="shared" si="231"/>
        <v/>
      </c>
      <c r="I2858" s="60" t="str">
        <f t="shared" si="232"/>
        <v/>
      </c>
      <c r="J2858" t="str">
        <f t="shared" si="233"/>
        <v/>
      </c>
      <c r="K2858" s="60" t="str">
        <f t="shared" si="234"/>
        <v/>
      </c>
      <c r="L2858" t="str">
        <f t="shared" si="235"/>
        <v/>
      </c>
    </row>
    <row r="2859" spans="1:12" x14ac:dyDescent="0.25">
      <c r="A2859" t="s">
        <v>2856</v>
      </c>
      <c r="G2859" t="str">
        <f t="shared" si="236"/>
        <v>06/17/19</v>
      </c>
      <c r="H2859" t="str">
        <f t="shared" si="231"/>
        <v>Tampa Bay Rays</v>
      </c>
      <c r="I2859" s="60">
        <f t="shared" si="232"/>
        <v>0</v>
      </c>
      <c r="J2859" t="str">
        <f t="shared" si="233"/>
        <v>New York Yankees</v>
      </c>
      <c r="K2859" s="60">
        <f t="shared" si="234"/>
        <v>3</v>
      </c>
      <c r="L2859">
        <f t="shared" si="235"/>
        <v>-3</v>
      </c>
    </row>
    <row r="2860" spans="1:12" x14ac:dyDescent="0.25">
      <c r="G2860" t="str">
        <f t="shared" si="236"/>
        <v>06/17/19</v>
      </c>
      <c r="H2860" t="str">
        <f t="shared" si="231"/>
        <v/>
      </c>
      <c r="I2860" s="60" t="str">
        <f t="shared" si="232"/>
        <v/>
      </c>
      <c r="J2860" t="str">
        <f t="shared" si="233"/>
        <v/>
      </c>
      <c r="K2860" s="60" t="str">
        <f t="shared" si="234"/>
        <v/>
      </c>
      <c r="L2860" t="str">
        <f t="shared" si="235"/>
        <v/>
      </c>
    </row>
    <row r="2861" spans="1:12" x14ac:dyDescent="0.25">
      <c r="A2861" t="s">
        <v>2857</v>
      </c>
      <c r="G2861" t="str">
        <f t="shared" si="236"/>
        <v>06/17/19</v>
      </c>
      <c r="H2861" t="str">
        <f t="shared" si="231"/>
        <v>Baltimore Orioles</v>
      </c>
      <c r="I2861" s="60">
        <f t="shared" si="232"/>
        <v>2</v>
      </c>
      <c r="J2861" t="str">
        <f t="shared" si="233"/>
        <v>Oakland Athletics</v>
      </c>
      <c r="K2861" s="60">
        <f t="shared" si="234"/>
        <v>3</v>
      </c>
      <c r="L2861">
        <f t="shared" si="235"/>
        <v>-1</v>
      </c>
    </row>
    <row r="2862" spans="1:12" x14ac:dyDescent="0.25">
      <c r="G2862" t="str">
        <f t="shared" si="236"/>
        <v>06/17/19</v>
      </c>
      <c r="H2862" t="str">
        <f t="shared" si="231"/>
        <v/>
      </c>
      <c r="I2862" s="60" t="str">
        <f t="shared" si="232"/>
        <v/>
      </c>
      <c r="J2862" t="str">
        <f t="shared" si="233"/>
        <v/>
      </c>
      <c r="K2862" s="60" t="str">
        <f t="shared" si="234"/>
        <v/>
      </c>
      <c r="L2862" t="str">
        <f t="shared" si="235"/>
        <v/>
      </c>
    </row>
    <row r="2863" spans="1:12" x14ac:dyDescent="0.25">
      <c r="A2863" t="s">
        <v>2858</v>
      </c>
      <c r="G2863" t="str">
        <f t="shared" si="236"/>
        <v>06/17/19</v>
      </c>
      <c r="H2863" t="str">
        <f t="shared" si="231"/>
        <v>Milwaukee Brewers</v>
      </c>
      <c r="I2863" s="60">
        <f t="shared" si="232"/>
        <v>0</v>
      </c>
      <c r="J2863" t="str">
        <f t="shared" si="233"/>
        <v>San Diego Padres</v>
      </c>
      <c r="K2863" s="60">
        <f t="shared" si="234"/>
        <v>2</v>
      </c>
      <c r="L2863">
        <f t="shared" si="235"/>
        <v>-2</v>
      </c>
    </row>
    <row r="2864" spans="1:12" x14ac:dyDescent="0.25">
      <c r="G2864" t="str">
        <f t="shared" si="236"/>
        <v>06/17/19</v>
      </c>
      <c r="H2864" t="str">
        <f t="shared" si="231"/>
        <v/>
      </c>
      <c r="I2864" s="60" t="str">
        <f t="shared" si="232"/>
        <v/>
      </c>
      <c r="J2864" t="str">
        <f t="shared" si="233"/>
        <v/>
      </c>
      <c r="K2864" s="60" t="str">
        <f t="shared" si="234"/>
        <v/>
      </c>
      <c r="L2864" t="str">
        <f t="shared" si="235"/>
        <v/>
      </c>
    </row>
    <row r="2865" spans="1:12" x14ac:dyDescent="0.25">
      <c r="A2865" t="s">
        <v>2859</v>
      </c>
      <c r="G2865" t="str">
        <f t="shared" si="236"/>
        <v>06/17/19</v>
      </c>
      <c r="H2865" t="str">
        <f t="shared" si="231"/>
        <v>Kansas City Royals</v>
      </c>
      <c r="I2865" s="60">
        <f t="shared" si="232"/>
        <v>6</v>
      </c>
      <c r="J2865" t="str">
        <f t="shared" si="233"/>
        <v>Seattle Mariners</v>
      </c>
      <c r="K2865" s="60">
        <f t="shared" si="234"/>
        <v>4</v>
      </c>
      <c r="L2865">
        <f t="shared" si="235"/>
        <v>2</v>
      </c>
    </row>
    <row r="2866" spans="1:12" x14ac:dyDescent="0.25">
      <c r="G2866" t="str">
        <f t="shared" si="236"/>
        <v>06/17/19</v>
      </c>
      <c r="H2866" t="str">
        <f t="shared" si="231"/>
        <v/>
      </c>
      <c r="I2866" s="60" t="str">
        <f t="shared" si="232"/>
        <v/>
      </c>
      <c r="J2866" t="str">
        <f t="shared" si="233"/>
        <v/>
      </c>
      <c r="K2866" s="60" t="str">
        <f t="shared" si="234"/>
        <v/>
      </c>
      <c r="L2866" t="str">
        <f t="shared" si="235"/>
        <v/>
      </c>
    </row>
    <row r="2867" spans="1:12" x14ac:dyDescent="0.25">
      <c r="A2867" t="s">
        <v>2860</v>
      </c>
      <c r="G2867" t="str">
        <f t="shared" si="236"/>
        <v>06/17/19</v>
      </c>
      <c r="H2867" t="str">
        <f t="shared" si="231"/>
        <v>Miami Marlins</v>
      </c>
      <c r="I2867" s="60">
        <f t="shared" si="232"/>
        <v>0</v>
      </c>
      <c r="J2867" t="str">
        <f t="shared" si="233"/>
        <v>St. Louis Cardinals</v>
      </c>
      <c r="K2867" s="60">
        <f t="shared" si="234"/>
        <v>5</v>
      </c>
      <c r="L2867">
        <f t="shared" si="235"/>
        <v>-5</v>
      </c>
    </row>
    <row r="2868" spans="1:12" x14ac:dyDescent="0.25">
      <c r="G2868" t="str">
        <f t="shared" si="236"/>
        <v>06/17/19</v>
      </c>
      <c r="H2868" t="str">
        <f t="shared" si="231"/>
        <v/>
      </c>
      <c r="I2868" s="60" t="str">
        <f t="shared" si="232"/>
        <v/>
      </c>
      <c r="J2868" t="str">
        <f t="shared" si="233"/>
        <v/>
      </c>
      <c r="K2868" s="60" t="str">
        <f t="shared" si="234"/>
        <v/>
      </c>
      <c r="L2868" t="str">
        <f t="shared" si="235"/>
        <v/>
      </c>
    </row>
    <row r="2869" spans="1:12" x14ac:dyDescent="0.25">
      <c r="A2869" t="s">
        <v>2861</v>
      </c>
      <c r="G2869" t="str">
        <f t="shared" si="236"/>
        <v>06/17/19</v>
      </c>
      <c r="H2869" t="str">
        <f t="shared" si="231"/>
        <v>Cleveland Indians</v>
      </c>
      <c r="I2869" s="60">
        <f t="shared" si="232"/>
        <v>2</v>
      </c>
      <c r="J2869" t="str">
        <f t="shared" si="233"/>
        <v>Texas Rangers</v>
      </c>
      <c r="K2869" s="60">
        <f t="shared" si="234"/>
        <v>7</v>
      </c>
      <c r="L2869">
        <f t="shared" si="235"/>
        <v>-5</v>
      </c>
    </row>
    <row r="2870" spans="1:12" x14ac:dyDescent="0.25">
      <c r="G2870" t="str">
        <f t="shared" si="236"/>
        <v>06/17/19</v>
      </c>
      <c r="H2870" t="str">
        <f t="shared" si="231"/>
        <v/>
      </c>
      <c r="I2870" s="60" t="str">
        <f t="shared" si="232"/>
        <v/>
      </c>
      <c r="J2870" t="str">
        <f t="shared" si="233"/>
        <v/>
      </c>
      <c r="K2870" s="60" t="str">
        <f t="shared" si="234"/>
        <v/>
      </c>
      <c r="L2870" t="str">
        <f t="shared" si="235"/>
        <v/>
      </c>
    </row>
    <row r="2871" spans="1:12" x14ac:dyDescent="0.25">
      <c r="A2871" t="s">
        <v>2862</v>
      </c>
      <c r="G2871" t="str">
        <f t="shared" si="236"/>
        <v>06/17/19</v>
      </c>
      <c r="H2871" t="str">
        <f t="shared" si="231"/>
        <v>Los Angeles Angels</v>
      </c>
      <c r="I2871" s="60">
        <f t="shared" si="232"/>
        <v>10</v>
      </c>
      <c r="J2871" t="str">
        <f t="shared" si="233"/>
        <v>Toronto Blue Jays</v>
      </c>
      <c r="K2871" s="60">
        <f t="shared" si="234"/>
        <v>5</v>
      </c>
      <c r="L2871">
        <f t="shared" si="235"/>
        <v>5</v>
      </c>
    </row>
    <row r="2872" spans="1:12" x14ac:dyDescent="0.25">
      <c r="G2872" t="str">
        <f t="shared" si="236"/>
        <v>06/17/19</v>
      </c>
      <c r="H2872" t="str">
        <f t="shared" si="231"/>
        <v/>
      </c>
      <c r="I2872" s="60" t="str">
        <f t="shared" si="232"/>
        <v/>
      </c>
      <c r="J2872" t="str">
        <f t="shared" si="233"/>
        <v/>
      </c>
      <c r="K2872" s="60" t="str">
        <f t="shared" si="234"/>
        <v/>
      </c>
      <c r="L2872" t="str">
        <f t="shared" si="235"/>
        <v/>
      </c>
    </row>
    <row r="2873" spans="1:12" x14ac:dyDescent="0.25">
      <c r="A2873" t="s">
        <v>2863</v>
      </c>
      <c r="G2873" t="str">
        <f t="shared" si="236"/>
        <v>06/17/19</v>
      </c>
      <c r="H2873" t="str">
        <f t="shared" si="231"/>
        <v/>
      </c>
      <c r="I2873" s="60" t="str">
        <f t="shared" si="232"/>
        <v/>
      </c>
      <c r="J2873" t="str">
        <f t="shared" si="233"/>
        <v/>
      </c>
      <c r="K2873" s="60" t="str">
        <f t="shared" si="234"/>
        <v/>
      </c>
      <c r="L2873" t="str">
        <f t="shared" si="235"/>
        <v/>
      </c>
    </row>
    <row r="2874" spans="1:12" x14ac:dyDescent="0.25">
      <c r="G2874" t="str">
        <f t="shared" si="236"/>
        <v>06/17/19</v>
      </c>
      <c r="H2874" t="str">
        <f t="shared" si="231"/>
        <v/>
      </c>
      <c r="I2874" s="60" t="str">
        <f t="shared" si="232"/>
        <v/>
      </c>
      <c r="J2874" t="str">
        <f t="shared" si="233"/>
        <v/>
      </c>
      <c r="K2874" s="60" t="str">
        <f t="shared" si="234"/>
        <v/>
      </c>
      <c r="L2874" t="str">
        <f t="shared" si="235"/>
        <v/>
      </c>
    </row>
    <row r="2875" spans="1:12" x14ac:dyDescent="0.25">
      <c r="A2875" t="s">
        <v>2864</v>
      </c>
      <c r="G2875" t="str">
        <f t="shared" si="236"/>
        <v>06/18/19</v>
      </c>
      <c r="H2875" t="str">
        <f t="shared" si="231"/>
        <v/>
      </c>
      <c r="I2875" s="60" t="str">
        <f t="shared" si="232"/>
        <v/>
      </c>
      <c r="J2875" t="str">
        <f t="shared" si="233"/>
        <v/>
      </c>
      <c r="K2875" s="60" t="str">
        <f t="shared" si="234"/>
        <v/>
      </c>
      <c r="L2875" t="str">
        <f t="shared" si="235"/>
        <v/>
      </c>
    </row>
    <row r="2876" spans="1:12" x14ac:dyDescent="0.25">
      <c r="G2876" t="str">
        <f t="shared" si="236"/>
        <v>06/18/19</v>
      </c>
      <c r="H2876" t="str">
        <f t="shared" si="231"/>
        <v/>
      </c>
      <c r="I2876" s="60" t="str">
        <f t="shared" si="232"/>
        <v/>
      </c>
      <c r="J2876" t="str">
        <f t="shared" si="233"/>
        <v/>
      </c>
      <c r="K2876" s="60" t="str">
        <f t="shared" si="234"/>
        <v/>
      </c>
      <c r="L2876" t="str">
        <f t="shared" si="235"/>
        <v/>
      </c>
    </row>
    <row r="2877" spans="1:12" x14ac:dyDescent="0.25">
      <c r="A2877" t="s">
        <v>2865</v>
      </c>
      <c r="G2877" t="str">
        <f t="shared" si="236"/>
        <v>06/18/19</v>
      </c>
      <c r="H2877" t="str">
        <f t="shared" si="231"/>
        <v>Colorado Rockies</v>
      </c>
      <c r="I2877" s="60">
        <f t="shared" si="232"/>
        <v>8</v>
      </c>
      <c r="J2877" t="str">
        <f t="shared" si="233"/>
        <v>Arizona D'Backs</v>
      </c>
      <c r="K2877" s="60">
        <f t="shared" si="234"/>
        <v>1</v>
      </c>
      <c r="L2877">
        <f t="shared" si="235"/>
        <v>7</v>
      </c>
    </row>
    <row r="2878" spans="1:12" x14ac:dyDescent="0.25">
      <c r="G2878" t="str">
        <f t="shared" si="236"/>
        <v>06/18/19</v>
      </c>
      <c r="H2878" t="str">
        <f t="shared" si="231"/>
        <v/>
      </c>
      <c r="I2878" s="60" t="str">
        <f t="shared" si="232"/>
        <v/>
      </c>
      <c r="J2878" t="str">
        <f t="shared" si="233"/>
        <v/>
      </c>
      <c r="K2878" s="60" t="str">
        <f t="shared" si="234"/>
        <v/>
      </c>
      <c r="L2878" t="str">
        <f t="shared" si="235"/>
        <v/>
      </c>
    </row>
    <row r="2879" spans="1:12" x14ac:dyDescent="0.25">
      <c r="A2879" t="s">
        <v>2866</v>
      </c>
      <c r="G2879" t="str">
        <f t="shared" si="236"/>
        <v>06/18/19</v>
      </c>
      <c r="H2879" t="str">
        <f t="shared" si="231"/>
        <v>New York Mets</v>
      </c>
      <c r="I2879" s="60">
        <f t="shared" si="232"/>
        <v>10</v>
      </c>
      <c r="J2879" t="str">
        <f t="shared" si="233"/>
        <v>Atlanta Braves</v>
      </c>
      <c r="K2879" s="60">
        <f t="shared" si="234"/>
        <v>2</v>
      </c>
      <c r="L2879">
        <f t="shared" si="235"/>
        <v>8</v>
      </c>
    </row>
    <row r="2880" spans="1:12" x14ac:dyDescent="0.25">
      <c r="G2880" t="str">
        <f t="shared" si="236"/>
        <v>06/18/19</v>
      </c>
      <c r="H2880" t="str">
        <f t="shared" si="231"/>
        <v/>
      </c>
      <c r="I2880" s="60" t="str">
        <f t="shared" si="232"/>
        <v/>
      </c>
      <c r="J2880" t="str">
        <f t="shared" si="233"/>
        <v/>
      </c>
      <c r="K2880" s="60" t="str">
        <f t="shared" si="234"/>
        <v/>
      </c>
      <c r="L2880" t="str">
        <f t="shared" si="235"/>
        <v/>
      </c>
    </row>
    <row r="2881" spans="1:12" x14ac:dyDescent="0.25">
      <c r="A2881" t="s">
        <v>2867</v>
      </c>
      <c r="G2881" t="str">
        <f t="shared" si="236"/>
        <v>06/18/19</v>
      </c>
      <c r="H2881" t="str">
        <f t="shared" si="231"/>
        <v>Chicago White Sox</v>
      </c>
      <c r="I2881" s="60">
        <f t="shared" si="232"/>
        <v>3</v>
      </c>
      <c r="J2881" t="str">
        <f t="shared" si="233"/>
        <v>Chicago Cubs</v>
      </c>
      <c r="K2881" s="60">
        <f t="shared" si="234"/>
        <v>1</v>
      </c>
      <c r="L2881">
        <f t="shared" si="235"/>
        <v>2</v>
      </c>
    </row>
    <row r="2882" spans="1:12" x14ac:dyDescent="0.25">
      <c r="G2882" t="str">
        <f t="shared" si="236"/>
        <v>06/18/19</v>
      </c>
      <c r="H2882" t="str">
        <f t="shared" si="231"/>
        <v/>
      </c>
      <c r="I2882" s="60" t="str">
        <f t="shared" si="232"/>
        <v/>
      </c>
      <c r="J2882" t="str">
        <f t="shared" si="233"/>
        <v/>
      </c>
      <c r="K2882" s="60" t="str">
        <f t="shared" si="234"/>
        <v/>
      </c>
      <c r="L2882" t="str">
        <f t="shared" si="235"/>
        <v/>
      </c>
    </row>
    <row r="2883" spans="1:12" x14ac:dyDescent="0.25">
      <c r="A2883" t="s">
        <v>2868</v>
      </c>
      <c r="G2883" t="str">
        <f t="shared" si="236"/>
        <v>06/18/19</v>
      </c>
      <c r="H2883" t="str">
        <f t="shared" si="231"/>
        <v>Houston Astros</v>
      </c>
      <c r="I2883" s="60">
        <f t="shared" si="232"/>
        <v>3</v>
      </c>
      <c r="J2883" t="str">
        <f t="shared" si="233"/>
        <v>Cincinnati Reds</v>
      </c>
      <c r="K2883" s="60">
        <f t="shared" si="234"/>
        <v>4</v>
      </c>
      <c r="L2883">
        <f t="shared" si="235"/>
        <v>-1</v>
      </c>
    </row>
    <row r="2884" spans="1:12" x14ac:dyDescent="0.25">
      <c r="G2884" t="str">
        <f t="shared" si="236"/>
        <v>06/18/19</v>
      </c>
      <c r="H2884" t="str">
        <f t="shared" si="231"/>
        <v/>
      </c>
      <c r="I2884" s="60" t="str">
        <f t="shared" si="232"/>
        <v/>
      </c>
      <c r="J2884" t="str">
        <f t="shared" si="233"/>
        <v/>
      </c>
      <c r="K2884" s="60" t="str">
        <f t="shared" si="234"/>
        <v/>
      </c>
      <c r="L2884" t="str">
        <f t="shared" si="235"/>
        <v/>
      </c>
    </row>
    <row r="2885" spans="1:12" x14ac:dyDescent="0.25">
      <c r="A2885" t="s">
        <v>2869</v>
      </c>
      <c r="G2885" t="str">
        <f t="shared" si="236"/>
        <v>06/18/19</v>
      </c>
      <c r="H2885" t="str">
        <f t="shared" si="231"/>
        <v>San Francisco Giants</v>
      </c>
      <c r="I2885" s="60">
        <f t="shared" si="232"/>
        <v>0</v>
      </c>
      <c r="J2885" t="str">
        <f t="shared" si="233"/>
        <v>Los Angeles Dodgers</v>
      </c>
      <c r="K2885" s="60">
        <f t="shared" si="234"/>
        <v>9</v>
      </c>
      <c r="L2885">
        <f t="shared" si="235"/>
        <v>-9</v>
      </c>
    </row>
    <row r="2886" spans="1:12" x14ac:dyDescent="0.25">
      <c r="G2886" t="str">
        <f t="shared" si="236"/>
        <v>06/18/19</v>
      </c>
      <c r="H2886" t="str">
        <f t="shared" si="231"/>
        <v/>
      </c>
      <c r="I2886" s="60" t="str">
        <f t="shared" si="232"/>
        <v/>
      </c>
      <c r="J2886" t="str">
        <f t="shared" si="233"/>
        <v/>
      </c>
      <c r="K2886" s="60" t="str">
        <f t="shared" si="234"/>
        <v/>
      </c>
      <c r="L2886" t="str">
        <f t="shared" si="235"/>
        <v/>
      </c>
    </row>
    <row r="2887" spans="1:12" x14ac:dyDescent="0.25">
      <c r="A2887" t="s">
        <v>2870</v>
      </c>
      <c r="G2887" t="str">
        <f t="shared" si="236"/>
        <v>06/18/19</v>
      </c>
      <c r="H2887" t="str">
        <f t="shared" si="231"/>
        <v>Boston Red Sox</v>
      </c>
      <c r="I2887" s="60">
        <f t="shared" si="232"/>
        <v>3</v>
      </c>
      <c r="J2887" t="str">
        <f t="shared" si="233"/>
        <v>Minnesota Twins</v>
      </c>
      <c r="K2887" s="60">
        <f t="shared" si="234"/>
        <v>4</v>
      </c>
      <c r="L2887">
        <f t="shared" si="235"/>
        <v>-1</v>
      </c>
    </row>
    <row r="2888" spans="1:12" x14ac:dyDescent="0.25">
      <c r="G2888" t="str">
        <f t="shared" si="236"/>
        <v>06/18/19</v>
      </c>
      <c r="H2888" t="str">
        <f t="shared" si="231"/>
        <v/>
      </c>
      <c r="I2888" s="60" t="str">
        <f t="shared" si="232"/>
        <v/>
      </c>
      <c r="J2888" t="str">
        <f t="shared" si="233"/>
        <v/>
      </c>
      <c r="K2888" s="60" t="str">
        <f t="shared" si="234"/>
        <v/>
      </c>
      <c r="L2888" t="str">
        <f t="shared" si="235"/>
        <v/>
      </c>
    </row>
    <row r="2889" spans="1:12" x14ac:dyDescent="0.25">
      <c r="A2889" t="s">
        <v>2871</v>
      </c>
      <c r="G2889" t="str">
        <f t="shared" si="236"/>
        <v>06/18/19</v>
      </c>
      <c r="H2889" t="str">
        <f t="shared" si="231"/>
        <v>Tampa Bay Rays</v>
      </c>
      <c r="I2889" s="60">
        <f t="shared" si="232"/>
        <v>3</v>
      </c>
      <c r="J2889" t="str">
        <f t="shared" si="233"/>
        <v>New York Yankees</v>
      </c>
      <c r="K2889" s="60">
        <f t="shared" si="234"/>
        <v>6</v>
      </c>
      <c r="L2889">
        <f t="shared" si="235"/>
        <v>-3</v>
      </c>
    </row>
    <row r="2890" spans="1:12" x14ac:dyDescent="0.25">
      <c r="G2890" t="str">
        <f t="shared" si="236"/>
        <v>06/18/19</v>
      </c>
      <c r="H2890" t="str">
        <f t="shared" si="231"/>
        <v/>
      </c>
      <c r="I2890" s="60" t="str">
        <f t="shared" si="232"/>
        <v/>
      </c>
      <c r="J2890" t="str">
        <f t="shared" si="233"/>
        <v/>
      </c>
      <c r="K2890" s="60" t="str">
        <f t="shared" si="234"/>
        <v/>
      </c>
      <c r="L2890" t="str">
        <f t="shared" si="235"/>
        <v/>
      </c>
    </row>
    <row r="2891" spans="1:12" x14ac:dyDescent="0.25">
      <c r="A2891" t="s">
        <v>2872</v>
      </c>
      <c r="G2891" t="str">
        <f t="shared" si="236"/>
        <v>06/18/19</v>
      </c>
      <c r="H2891" t="str">
        <f t="shared" si="231"/>
        <v>Baltimore Orioles</v>
      </c>
      <c r="I2891" s="60">
        <f t="shared" si="232"/>
        <v>2</v>
      </c>
      <c r="J2891" t="str">
        <f t="shared" si="233"/>
        <v>Oakland Athletics</v>
      </c>
      <c r="K2891" s="60">
        <f t="shared" si="234"/>
        <v>16</v>
      </c>
      <c r="L2891">
        <f t="shared" si="235"/>
        <v>-14</v>
      </c>
    </row>
    <row r="2892" spans="1:12" x14ac:dyDescent="0.25">
      <c r="G2892" t="str">
        <f t="shared" si="236"/>
        <v>06/18/19</v>
      </c>
      <c r="H2892" t="str">
        <f t="shared" si="231"/>
        <v/>
      </c>
      <c r="I2892" s="60" t="str">
        <f t="shared" si="232"/>
        <v/>
      </c>
      <c r="J2892" t="str">
        <f t="shared" si="233"/>
        <v/>
      </c>
      <c r="K2892" s="60" t="str">
        <f t="shared" si="234"/>
        <v/>
      </c>
      <c r="L2892" t="str">
        <f t="shared" si="235"/>
        <v/>
      </c>
    </row>
    <row r="2893" spans="1:12" x14ac:dyDescent="0.25">
      <c r="A2893" t="s">
        <v>2873</v>
      </c>
      <c r="G2893" t="str">
        <f t="shared" si="236"/>
        <v>06/18/19</v>
      </c>
      <c r="H2893" t="str">
        <f t="shared" si="231"/>
        <v>Detroit Tigers</v>
      </c>
      <c r="I2893" s="60">
        <f t="shared" si="232"/>
        <v>5</v>
      </c>
      <c r="J2893" t="str">
        <f t="shared" si="233"/>
        <v>Pittsburgh Pirates</v>
      </c>
      <c r="K2893" s="60">
        <f t="shared" si="234"/>
        <v>4</v>
      </c>
      <c r="L2893">
        <f t="shared" si="235"/>
        <v>1</v>
      </c>
    </row>
    <row r="2894" spans="1:12" x14ac:dyDescent="0.25">
      <c r="G2894" t="str">
        <f t="shared" si="236"/>
        <v>06/18/19</v>
      </c>
      <c r="H2894" t="str">
        <f t="shared" si="231"/>
        <v/>
      </c>
      <c r="I2894" s="60" t="str">
        <f t="shared" si="232"/>
        <v/>
      </c>
      <c r="J2894" t="str">
        <f t="shared" si="233"/>
        <v/>
      </c>
      <c r="K2894" s="60" t="str">
        <f t="shared" si="234"/>
        <v/>
      </c>
      <c r="L2894" t="str">
        <f t="shared" si="235"/>
        <v/>
      </c>
    </row>
    <row r="2895" spans="1:12" x14ac:dyDescent="0.25">
      <c r="A2895" t="s">
        <v>2874</v>
      </c>
      <c r="G2895" t="str">
        <f t="shared" si="236"/>
        <v>06/18/19</v>
      </c>
      <c r="H2895" t="str">
        <f t="shared" si="231"/>
        <v>Milwaukee Brewers</v>
      </c>
      <c r="I2895" s="60">
        <f t="shared" si="232"/>
        <v>1</v>
      </c>
      <c r="J2895" t="str">
        <f t="shared" si="233"/>
        <v>San Diego Padres</v>
      </c>
      <c r="K2895" s="60">
        <f t="shared" si="234"/>
        <v>4</v>
      </c>
      <c r="L2895">
        <f t="shared" si="235"/>
        <v>-3</v>
      </c>
    </row>
    <row r="2896" spans="1:12" x14ac:dyDescent="0.25">
      <c r="G2896" t="str">
        <f t="shared" si="236"/>
        <v>06/18/19</v>
      </c>
      <c r="H2896" t="str">
        <f t="shared" ref="H2896:H2959" si="237">IFERROR(LEFT(MID(A2896,1,SEARCH("@",A2896)-2),SEARCH("(",A2896)-2),"")</f>
        <v/>
      </c>
      <c r="I2896" s="60" t="str">
        <f t="shared" ref="I2896:I2959" si="238">IFERROR(VALUE(MID(A2896,SEARCH("(",A2896)+1,SEARCH(")",A2896)-SEARCH("(",A2896)-1)),"")</f>
        <v/>
      </c>
      <c r="J2896" t="str">
        <f t="shared" ref="J2896:J2959" si="239">IFERROR(MID(A2896,SEARCH("@",A2896)+2,SEARCH("(",A2896,SEARCH("@",A2896))-SEARCH("@",A2896)-3),"")</f>
        <v/>
      </c>
      <c r="K2896" s="60" t="str">
        <f t="shared" ref="K2896:K2959" si="240">IFERROR(VALUE(MID(A2896,SEARCH(J2896,A2896)+LEN(J2896)+2,(SEARCH(")",A2896,SEARCH("@",A2896))-SEARCH("(",A2896,SEARCH("@",A2896))-1))),"")</f>
        <v/>
      </c>
      <c r="L2896" t="str">
        <f t="shared" ref="L2896:L2959" si="241">IFERROR(I2896-K2896,"")</f>
        <v/>
      </c>
    </row>
    <row r="2897" spans="1:12" x14ac:dyDescent="0.25">
      <c r="A2897" t="s">
        <v>2875</v>
      </c>
      <c r="G2897" t="str">
        <f t="shared" si="236"/>
        <v>06/18/19</v>
      </c>
      <c r="H2897" t="str">
        <f t="shared" si="237"/>
        <v>Kansas City Royals</v>
      </c>
      <c r="I2897" s="60">
        <f t="shared" si="238"/>
        <v>9</v>
      </c>
      <c r="J2897" t="str">
        <f t="shared" si="239"/>
        <v>Seattle Mariners</v>
      </c>
      <c r="K2897" s="60">
        <f t="shared" si="240"/>
        <v>0</v>
      </c>
      <c r="L2897">
        <f t="shared" si="241"/>
        <v>9</v>
      </c>
    </row>
    <row r="2898" spans="1:12" x14ac:dyDescent="0.25">
      <c r="G2898" t="str">
        <f t="shared" si="236"/>
        <v>06/18/19</v>
      </c>
      <c r="H2898" t="str">
        <f t="shared" si="237"/>
        <v/>
      </c>
      <c r="I2898" s="60" t="str">
        <f t="shared" si="238"/>
        <v/>
      </c>
      <c r="J2898" t="str">
        <f t="shared" si="239"/>
        <v/>
      </c>
      <c r="K2898" s="60" t="str">
        <f t="shared" si="240"/>
        <v/>
      </c>
      <c r="L2898" t="str">
        <f t="shared" si="241"/>
        <v/>
      </c>
    </row>
    <row r="2899" spans="1:12" x14ac:dyDescent="0.25">
      <c r="A2899" t="s">
        <v>2876</v>
      </c>
      <c r="G2899" t="str">
        <f t="shared" si="236"/>
        <v>06/18/19</v>
      </c>
      <c r="H2899" t="str">
        <f t="shared" si="237"/>
        <v>Miami Marlins</v>
      </c>
      <c r="I2899" s="60">
        <f t="shared" si="238"/>
        <v>6</v>
      </c>
      <c r="J2899" t="str">
        <f t="shared" si="239"/>
        <v>St. Louis Cardinals</v>
      </c>
      <c r="K2899" s="60">
        <f t="shared" si="240"/>
        <v>0</v>
      </c>
      <c r="L2899">
        <f t="shared" si="241"/>
        <v>6</v>
      </c>
    </row>
    <row r="2900" spans="1:12" x14ac:dyDescent="0.25">
      <c r="G2900" t="str">
        <f t="shared" si="236"/>
        <v>06/18/19</v>
      </c>
      <c r="H2900" t="str">
        <f t="shared" si="237"/>
        <v/>
      </c>
      <c r="I2900" s="60" t="str">
        <f t="shared" si="238"/>
        <v/>
      </c>
      <c r="J2900" t="str">
        <f t="shared" si="239"/>
        <v/>
      </c>
      <c r="K2900" s="60" t="str">
        <f t="shared" si="240"/>
        <v/>
      </c>
      <c r="L2900" t="str">
        <f t="shared" si="241"/>
        <v/>
      </c>
    </row>
    <row r="2901" spans="1:12" x14ac:dyDescent="0.25">
      <c r="A2901" t="s">
        <v>2877</v>
      </c>
      <c r="G2901" t="str">
        <f t="shared" si="236"/>
        <v>06/18/19</v>
      </c>
      <c r="H2901" t="str">
        <f t="shared" si="237"/>
        <v>Cleveland Indians</v>
      </c>
      <c r="I2901" s="60">
        <f t="shared" si="238"/>
        <v>10</v>
      </c>
      <c r="J2901" t="str">
        <f t="shared" si="239"/>
        <v>Texas Rangers</v>
      </c>
      <c r="K2901" s="60">
        <f t="shared" si="240"/>
        <v>3</v>
      </c>
      <c r="L2901">
        <f t="shared" si="241"/>
        <v>7</v>
      </c>
    </row>
    <row r="2902" spans="1:12" x14ac:dyDescent="0.25">
      <c r="G2902" t="str">
        <f t="shared" si="236"/>
        <v>06/18/19</v>
      </c>
      <c r="H2902" t="str">
        <f t="shared" si="237"/>
        <v/>
      </c>
      <c r="I2902" s="60" t="str">
        <f t="shared" si="238"/>
        <v/>
      </c>
      <c r="J2902" t="str">
        <f t="shared" si="239"/>
        <v/>
      </c>
      <c r="K2902" s="60" t="str">
        <f t="shared" si="240"/>
        <v/>
      </c>
      <c r="L2902" t="str">
        <f t="shared" si="241"/>
        <v/>
      </c>
    </row>
    <row r="2903" spans="1:12" x14ac:dyDescent="0.25">
      <c r="A2903" t="s">
        <v>2878</v>
      </c>
      <c r="G2903" t="str">
        <f t="shared" si="236"/>
        <v>06/18/19</v>
      </c>
      <c r="H2903" t="str">
        <f t="shared" si="237"/>
        <v>Los Angeles Angels</v>
      </c>
      <c r="I2903" s="60">
        <f t="shared" si="238"/>
        <v>3</v>
      </c>
      <c r="J2903" t="str">
        <f t="shared" si="239"/>
        <v>Toronto Blue Jays</v>
      </c>
      <c r="K2903" s="60">
        <f t="shared" si="240"/>
        <v>1</v>
      </c>
      <c r="L2903">
        <f t="shared" si="241"/>
        <v>2</v>
      </c>
    </row>
    <row r="2904" spans="1:12" x14ac:dyDescent="0.25">
      <c r="G2904" t="str">
        <f t="shared" si="236"/>
        <v>06/18/19</v>
      </c>
      <c r="H2904" t="str">
        <f t="shared" si="237"/>
        <v/>
      </c>
      <c r="I2904" s="60" t="str">
        <f t="shared" si="238"/>
        <v/>
      </c>
      <c r="J2904" t="str">
        <f t="shared" si="239"/>
        <v/>
      </c>
      <c r="K2904" s="60" t="str">
        <f t="shared" si="240"/>
        <v/>
      </c>
      <c r="L2904" t="str">
        <f t="shared" si="241"/>
        <v/>
      </c>
    </row>
    <row r="2905" spans="1:12" x14ac:dyDescent="0.25">
      <c r="A2905" t="s">
        <v>2879</v>
      </c>
      <c r="G2905" t="str">
        <f t="shared" si="236"/>
        <v>06/18/19</v>
      </c>
      <c r="H2905" t="str">
        <f t="shared" si="237"/>
        <v/>
      </c>
      <c r="I2905" s="60" t="str">
        <f t="shared" si="238"/>
        <v/>
      </c>
      <c r="J2905" t="str">
        <f t="shared" si="239"/>
        <v/>
      </c>
      <c r="K2905" s="60" t="str">
        <f t="shared" si="240"/>
        <v/>
      </c>
      <c r="L2905" t="str">
        <f t="shared" si="241"/>
        <v/>
      </c>
    </row>
    <row r="2906" spans="1:12" x14ac:dyDescent="0.25">
      <c r="G2906" t="str">
        <f t="shared" si="236"/>
        <v>06/18/19</v>
      </c>
      <c r="H2906" t="str">
        <f t="shared" si="237"/>
        <v/>
      </c>
      <c r="I2906" s="60" t="str">
        <f t="shared" si="238"/>
        <v/>
      </c>
      <c r="J2906" t="str">
        <f t="shared" si="239"/>
        <v/>
      </c>
      <c r="K2906" s="60" t="str">
        <f t="shared" si="240"/>
        <v/>
      </c>
      <c r="L2906" t="str">
        <f t="shared" si="241"/>
        <v/>
      </c>
    </row>
    <row r="2907" spans="1:12" x14ac:dyDescent="0.25">
      <c r="A2907" t="s">
        <v>2880</v>
      </c>
      <c r="G2907" t="str">
        <f t="shared" si="236"/>
        <v>06/19/19</v>
      </c>
      <c r="H2907" t="str">
        <f t="shared" si="237"/>
        <v/>
      </c>
      <c r="I2907" s="60" t="str">
        <f t="shared" si="238"/>
        <v/>
      </c>
      <c r="J2907" t="str">
        <f t="shared" si="239"/>
        <v/>
      </c>
      <c r="K2907" s="60" t="str">
        <f t="shared" si="240"/>
        <v/>
      </c>
      <c r="L2907" t="str">
        <f t="shared" si="241"/>
        <v/>
      </c>
    </row>
    <row r="2908" spans="1:12" x14ac:dyDescent="0.25">
      <c r="G2908" t="str">
        <f t="shared" si="236"/>
        <v>06/19/19</v>
      </c>
      <c r="H2908" t="str">
        <f t="shared" si="237"/>
        <v/>
      </c>
      <c r="I2908" s="60" t="str">
        <f t="shared" si="238"/>
        <v/>
      </c>
      <c r="J2908" t="str">
        <f t="shared" si="239"/>
        <v/>
      </c>
      <c r="K2908" s="60" t="str">
        <f t="shared" si="240"/>
        <v/>
      </c>
      <c r="L2908" t="str">
        <f t="shared" si="241"/>
        <v/>
      </c>
    </row>
    <row r="2909" spans="1:12" x14ac:dyDescent="0.25">
      <c r="A2909" t="s">
        <v>2881</v>
      </c>
      <c r="G2909" t="str">
        <f t="shared" si="236"/>
        <v>06/19/19</v>
      </c>
      <c r="H2909" t="str">
        <f t="shared" si="237"/>
        <v>Colorado Rockies</v>
      </c>
      <c r="I2909" s="60">
        <f t="shared" si="238"/>
        <v>6</v>
      </c>
      <c r="J2909" t="str">
        <f t="shared" si="239"/>
        <v>Arizona D'Backs</v>
      </c>
      <c r="K2909" s="60">
        <f t="shared" si="240"/>
        <v>4</v>
      </c>
      <c r="L2909">
        <f t="shared" si="241"/>
        <v>2</v>
      </c>
    </row>
    <row r="2910" spans="1:12" x14ac:dyDescent="0.25">
      <c r="G2910" t="str">
        <f t="shared" si="236"/>
        <v>06/19/19</v>
      </c>
      <c r="H2910" t="str">
        <f t="shared" si="237"/>
        <v/>
      </c>
      <c r="I2910" s="60" t="str">
        <f t="shared" si="238"/>
        <v/>
      </c>
      <c r="J2910" t="str">
        <f t="shared" si="239"/>
        <v/>
      </c>
      <c r="K2910" s="60" t="str">
        <f t="shared" si="240"/>
        <v/>
      </c>
      <c r="L2910" t="str">
        <f t="shared" si="241"/>
        <v/>
      </c>
    </row>
    <row r="2911" spans="1:12" x14ac:dyDescent="0.25">
      <c r="A2911" t="s">
        <v>2882</v>
      </c>
      <c r="G2911" t="str">
        <f t="shared" si="236"/>
        <v>06/19/19</v>
      </c>
      <c r="H2911" t="str">
        <f t="shared" si="237"/>
        <v>New York Mets</v>
      </c>
      <c r="I2911" s="60">
        <f t="shared" si="238"/>
        <v>2</v>
      </c>
      <c r="J2911" t="str">
        <f t="shared" si="239"/>
        <v>Atlanta Braves</v>
      </c>
      <c r="K2911" s="60">
        <f t="shared" si="240"/>
        <v>7</v>
      </c>
      <c r="L2911">
        <f t="shared" si="241"/>
        <v>-5</v>
      </c>
    </row>
    <row r="2912" spans="1:12" x14ac:dyDescent="0.25">
      <c r="G2912" t="str">
        <f t="shared" si="236"/>
        <v>06/19/19</v>
      </c>
      <c r="H2912" t="str">
        <f t="shared" si="237"/>
        <v/>
      </c>
      <c r="I2912" s="60" t="str">
        <f t="shared" si="238"/>
        <v/>
      </c>
      <c r="J2912" t="str">
        <f t="shared" si="239"/>
        <v/>
      </c>
      <c r="K2912" s="60" t="str">
        <f t="shared" si="240"/>
        <v/>
      </c>
      <c r="L2912" t="str">
        <f t="shared" si="241"/>
        <v/>
      </c>
    </row>
    <row r="2913" spans="1:12" x14ac:dyDescent="0.25">
      <c r="A2913" t="s">
        <v>2883</v>
      </c>
      <c r="G2913" t="str">
        <f t="shared" si="236"/>
        <v>06/19/19</v>
      </c>
      <c r="H2913" t="str">
        <f t="shared" si="237"/>
        <v>Chicago White Sox</v>
      </c>
      <c r="I2913" s="60">
        <f t="shared" si="238"/>
        <v>3</v>
      </c>
      <c r="J2913" t="str">
        <f t="shared" si="239"/>
        <v>Chicago Cubs</v>
      </c>
      <c r="K2913" s="60">
        <f t="shared" si="240"/>
        <v>7</v>
      </c>
      <c r="L2913">
        <f t="shared" si="241"/>
        <v>-4</v>
      </c>
    </row>
    <row r="2914" spans="1:12" x14ac:dyDescent="0.25">
      <c r="G2914" t="str">
        <f t="shared" ref="G2914:G2977" si="242">IF(ISNUMBER(MATCH(IFERROR(LEFT(A2914,SEARCH(",",A2914)-1),""),$G$220:$M$220,0)),TEXT(MID(A2914,SEARCH(",",A2914)+2,LEN(A2914)),"mm/dd/yy"),G2913)</f>
        <v>06/19/19</v>
      </c>
      <c r="H2914" t="str">
        <f t="shared" si="237"/>
        <v/>
      </c>
      <c r="I2914" s="60" t="str">
        <f t="shared" si="238"/>
        <v/>
      </c>
      <c r="J2914" t="str">
        <f t="shared" si="239"/>
        <v/>
      </c>
      <c r="K2914" s="60" t="str">
        <f t="shared" si="240"/>
        <v/>
      </c>
      <c r="L2914" t="str">
        <f t="shared" si="241"/>
        <v/>
      </c>
    </row>
    <row r="2915" spans="1:12" x14ac:dyDescent="0.25">
      <c r="A2915" t="s">
        <v>2853</v>
      </c>
      <c r="G2915" t="str">
        <f t="shared" si="242"/>
        <v>06/19/19</v>
      </c>
      <c r="H2915" t="str">
        <f t="shared" si="237"/>
        <v>Houston Astros</v>
      </c>
      <c r="I2915" s="60">
        <f t="shared" si="238"/>
        <v>2</v>
      </c>
      <c r="J2915" t="str">
        <f t="shared" si="239"/>
        <v>Cincinnati Reds</v>
      </c>
      <c r="K2915" s="60">
        <f t="shared" si="240"/>
        <v>3</v>
      </c>
      <c r="L2915">
        <f t="shared" si="241"/>
        <v>-1</v>
      </c>
    </row>
    <row r="2916" spans="1:12" x14ac:dyDescent="0.25">
      <c r="G2916" t="str">
        <f t="shared" si="242"/>
        <v>06/19/19</v>
      </c>
      <c r="H2916" t="str">
        <f t="shared" si="237"/>
        <v/>
      </c>
      <c r="I2916" s="60" t="str">
        <f t="shared" si="238"/>
        <v/>
      </c>
      <c r="J2916" t="str">
        <f t="shared" si="239"/>
        <v/>
      </c>
      <c r="K2916" s="60" t="str">
        <f t="shared" si="240"/>
        <v/>
      </c>
      <c r="L2916" t="str">
        <f t="shared" si="241"/>
        <v/>
      </c>
    </row>
    <row r="2917" spans="1:12" x14ac:dyDescent="0.25">
      <c r="A2917" t="s">
        <v>2884</v>
      </c>
      <c r="G2917" t="str">
        <f t="shared" si="242"/>
        <v>06/19/19</v>
      </c>
      <c r="H2917" t="str">
        <f t="shared" si="237"/>
        <v>San Francisco Giants</v>
      </c>
      <c r="I2917" s="60">
        <f t="shared" si="238"/>
        <v>2</v>
      </c>
      <c r="J2917" t="str">
        <f t="shared" si="239"/>
        <v>Los Angeles Dodgers</v>
      </c>
      <c r="K2917" s="60">
        <f t="shared" si="240"/>
        <v>9</v>
      </c>
      <c r="L2917">
        <f t="shared" si="241"/>
        <v>-7</v>
      </c>
    </row>
    <row r="2918" spans="1:12" x14ac:dyDescent="0.25">
      <c r="G2918" t="str">
        <f t="shared" si="242"/>
        <v>06/19/19</v>
      </c>
      <c r="H2918" t="str">
        <f t="shared" si="237"/>
        <v/>
      </c>
      <c r="I2918" s="60" t="str">
        <f t="shared" si="238"/>
        <v/>
      </c>
      <c r="J2918" t="str">
        <f t="shared" si="239"/>
        <v/>
      </c>
      <c r="K2918" s="60" t="str">
        <f t="shared" si="240"/>
        <v/>
      </c>
      <c r="L2918" t="str">
        <f t="shared" si="241"/>
        <v/>
      </c>
    </row>
    <row r="2919" spans="1:12" x14ac:dyDescent="0.25">
      <c r="A2919" t="s">
        <v>2885</v>
      </c>
      <c r="G2919" t="str">
        <f t="shared" si="242"/>
        <v>06/19/19</v>
      </c>
      <c r="H2919" t="str">
        <f t="shared" si="237"/>
        <v>Boston Red Sox</v>
      </c>
      <c r="I2919" s="60">
        <f t="shared" si="238"/>
        <v>9</v>
      </c>
      <c r="J2919" t="str">
        <f t="shared" si="239"/>
        <v>Minnesota Twins</v>
      </c>
      <c r="K2919" s="60">
        <f t="shared" si="240"/>
        <v>4</v>
      </c>
      <c r="L2919">
        <f t="shared" si="241"/>
        <v>5</v>
      </c>
    </row>
    <row r="2920" spans="1:12" x14ac:dyDescent="0.25">
      <c r="G2920" t="str">
        <f t="shared" si="242"/>
        <v>06/19/19</v>
      </c>
      <c r="H2920" t="str">
        <f t="shared" si="237"/>
        <v/>
      </c>
      <c r="I2920" s="60" t="str">
        <f t="shared" si="238"/>
        <v/>
      </c>
      <c r="J2920" t="str">
        <f t="shared" si="239"/>
        <v/>
      </c>
      <c r="K2920" s="60" t="str">
        <f t="shared" si="240"/>
        <v/>
      </c>
      <c r="L2920" t="str">
        <f t="shared" si="241"/>
        <v/>
      </c>
    </row>
    <row r="2921" spans="1:12" x14ac:dyDescent="0.25">
      <c r="A2921" t="s">
        <v>2886</v>
      </c>
      <c r="G2921" t="str">
        <f t="shared" si="242"/>
        <v>06/19/19</v>
      </c>
      <c r="H2921" t="str">
        <f t="shared" si="237"/>
        <v>Tampa Bay Rays</v>
      </c>
      <c r="I2921" s="60">
        <f t="shared" si="238"/>
        <v>1</v>
      </c>
      <c r="J2921" t="str">
        <f t="shared" si="239"/>
        <v>New York Yankees</v>
      </c>
      <c r="K2921" s="60">
        <f t="shared" si="240"/>
        <v>12</v>
      </c>
      <c r="L2921">
        <f t="shared" si="241"/>
        <v>-11</v>
      </c>
    </row>
    <row r="2922" spans="1:12" x14ac:dyDescent="0.25">
      <c r="G2922" t="str">
        <f t="shared" si="242"/>
        <v>06/19/19</v>
      </c>
      <c r="H2922" t="str">
        <f t="shared" si="237"/>
        <v/>
      </c>
      <c r="I2922" s="60" t="str">
        <f t="shared" si="238"/>
        <v/>
      </c>
      <c r="J2922" t="str">
        <f t="shared" si="239"/>
        <v/>
      </c>
      <c r="K2922" s="60" t="str">
        <f t="shared" si="240"/>
        <v/>
      </c>
      <c r="L2922" t="str">
        <f t="shared" si="241"/>
        <v/>
      </c>
    </row>
    <row r="2923" spans="1:12" x14ac:dyDescent="0.25">
      <c r="A2923" t="s">
        <v>2887</v>
      </c>
      <c r="G2923" t="str">
        <f t="shared" si="242"/>
        <v>06/19/19</v>
      </c>
      <c r="H2923" t="str">
        <f t="shared" si="237"/>
        <v>Baltimore Orioles</v>
      </c>
      <c r="I2923" s="60">
        <f t="shared" si="238"/>
        <v>3</v>
      </c>
      <c r="J2923" t="str">
        <f t="shared" si="239"/>
        <v>Oakland Athletics</v>
      </c>
      <c r="K2923" s="60">
        <f t="shared" si="240"/>
        <v>8</v>
      </c>
      <c r="L2923">
        <f t="shared" si="241"/>
        <v>-5</v>
      </c>
    </row>
    <row r="2924" spans="1:12" x14ac:dyDescent="0.25">
      <c r="G2924" t="str">
        <f t="shared" si="242"/>
        <v>06/19/19</v>
      </c>
      <c r="H2924" t="str">
        <f t="shared" si="237"/>
        <v/>
      </c>
      <c r="I2924" s="60" t="str">
        <f t="shared" si="238"/>
        <v/>
      </c>
      <c r="J2924" t="str">
        <f t="shared" si="239"/>
        <v/>
      </c>
      <c r="K2924" s="60" t="str">
        <f t="shared" si="240"/>
        <v/>
      </c>
      <c r="L2924" t="str">
        <f t="shared" si="241"/>
        <v/>
      </c>
    </row>
    <row r="2925" spans="1:12" x14ac:dyDescent="0.25">
      <c r="A2925" t="s">
        <v>2888</v>
      </c>
      <c r="G2925" t="str">
        <f t="shared" si="242"/>
        <v>06/19/19</v>
      </c>
      <c r="H2925" t="str">
        <f t="shared" si="237"/>
        <v>Detroit Tigers</v>
      </c>
      <c r="I2925" s="60">
        <f t="shared" si="238"/>
        <v>7</v>
      </c>
      <c r="J2925" t="str">
        <f t="shared" si="239"/>
        <v>Pittsburgh Pirates</v>
      </c>
      <c r="K2925" s="60">
        <f t="shared" si="240"/>
        <v>8</v>
      </c>
      <c r="L2925">
        <f t="shared" si="241"/>
        <v>-1</v>
      </c>
    </row>
    <row r="2926" spans="1:12" x14ac:dyDescent="0.25">
      <c r="G2926" t="str">
        <f t="shared" si="242"/>
        <v>06/19/19</v>
      </c>
      <c r="H2926" t="str">
        <f t="shared" si="237"/>
        <v/>
      </c>
      <c r="I2926" s="60" t="str">
        <f t="shared" si="238"/>
        <v/>
      </c>
      <c r="J2926" t="str">
        <f t="shared" si="239"/>
        <v/>
      </c>
      <c r="K2926" s="60" t="str">
        <f t="shared" si="240"/>
        <v/>
      </c>
      <c r="L2926" t="str">
        <f t="shared" si="241"/>
        <v/>
      </c>
    </row>
    <row r="2927" spans="1:12" x14ac:dyDescent="0.25">
      <c r="A2927" t="s">
        <v>2889</v>
      </c>
      <c r="G2927" t="str">
        <f t="shared" si="242"/>
        <v>06/19/19</v>
      </c>
      <c r="H2927" t="str">
        <f t="shared" si="237"/>
        <v>Milwaukee Brewers</v>
      </c>
      <c r="I2927" s="60">
        <f t="shared" si="238"/>
        <v>7</v>
      </c>
      <c r="J2927" t="str">
        <f t="shared" si="239"/>
        <v>San Diego Padres</v>
      </c>
      <c r="K2927" s="60">
        <f t="shared" si="240"/>
        <v>8</v>
      </c>
      <c r="L2927">
        <f t="shared" si="241"/>
        <v>-1</v>
      </c>
    </row>
    <row r="2928" spans="1:12" x14ac:dyDescent="0.25">
      <c r="G2928" t="str">
        <f t="shared" si="242"/>
        <v>06/19/19</v>
      </c>
      <c r="H2928" t="str">
        <f t="shared" si="237"/>
        <v/>
      </c>
      <c r="I2928" s="60" t="str">
        <f t="shared" si="238"/>
        <v/>
      </c>
      <c r="J2928" t="str">
        <f t="shared" si="239"/>
        <v/>
      </c>
      <c r="K2928" s="60" t="str">
        <f t="shared" si="240"/>
        <v/>
      </c>
      <c r="L2928" t="str">
        <f t="shared" si="241"/>
        <v/>
      </c>
    </row>
    <row r="2929" spans="1:12" x14ac:dyDescent="0.25">
      <c r="A2929" t="s">
        <v>2890</v>
      </c>
      <c r="G2929" t="str">
        <f t="shared" si="242"/>
        <v>06/19/19</v>
      </c>
      <c r="H2929" t="str">
        <f t="shared" si="237"/>
        <v>Kansas City Royals</v>
      </c>
      <c r="I2929" s="60">
        <f t="shared" si="238"/>
        <v>2</v>
      </c>
      <c r="J2929" t="str">
        <f t="shared" si="239"/>
        <v>Seattle Mariners</v>
      </c>
      <c r="K2929" s="60">
        <f t="shared" si="240"/>
        <v>8</v>
      </c>
      <c r="L2929">
        <f t="shared" si="241"/>
        <v>-6</v>
      </c>
    </row>
    <row r="2930" spans="1:12" x14ac:dyDescent="0.25">
      <c r="G2930" t="str">
        <f t="shared" si="242"/>
        <v>06/19/19</v>
      </c>
      <c r="H2930" t="str">
        <f t="shared" si="237"/>
        <v/>
      </c>
      <c r="I2930" s="60" t="str">
        <f t="shared" si="238"/>
        <v/>
      </c>
      <c r="J2930" t="str">
        <f t="shared" si="239"/>
        <v/>
      </c>
      <c r="K2930" s="60" t="str">
        <f t="shared" si="240"/>
        <v/>
      </c>
      <c r="L2930" t="str">
        <f t="shared" si="241"/>
        <v/>
      </c>
    </row>
    <row r="2931" spans="1:12" x14ac:dyDescent="0.25">
      <c r="A2931" t="s">
        <v>2891</v>
      </c>
      <c r="G2931" t="str">
        <f t="shared" si="242"/>
        <v>06/19/19</v>
      </c>
      <c r="H2931" t="str">
        <f t="shared" si="237"/>
        <v>Miami Marlins</v>
      </c>
      <c r="I2931" s="60">
        <f t="shared" si="238"/>
        <v>1</v>
      </c>
      <c r="J2931" t="str">
        <f t="shared" si="239"/>
        <v>St. Louis Cardinals</v>
      </c>
      <c r="K2931" s="60">
        <f t="shared" si="240"/>
        <v>2</v>
      </c>
      <c r="L2931">
        <f t="shared" si="241"/>
        <v>-1</v>
      </c>
    </row>
    <row r="2932" spans="1:12" x14ac:dyDescent="0.25">
      <c r="G2932" t="str">
        <f t="shared" si="242"/>
        <v>06/19/19</v>
      </c>
      <c r="H2932" t="str">
        <f t="shared" si="237"/>
        <v/>
      </c>
      <c r="I2932" s="60" t="str">
        <f t="shared" si="238"/>
        <v/>
      </c>
      <c r="J2932" t="str">
        <f t="shared" si="239"/>
        <v/>
      </c>
      <c r="K2932" s="60" t="str">
        <f t="shared" si="240"/>
        <v/>
      </c>
      <c r="L2932" t="str">
        <f t="shared" si="241"/>
        <v/>
      </c>
    </row>
    <row r="2933" spans="1:12" x14ac:dyDescent="0.25">
      <c r="A2933" t="s">
        <v>2892</v>
      </c>
      <c r="G2933" t="str">
        <f t="shared" si="242"/>
        <v>06/19/19</v>
      </c>
      <c r="H2933" t="str">
        <f t="shared" si="237"/>
        <v>Cleveland Indians</v>
      </c>
      <c r="I2933" s="60">
        <f t="shared" si="238"/>
        <v>10</v>
      </c>
      <c r="J2933" t="str">
        <f t="shared" si="239"/>
        <v>Texas Rangers</v>
      </c>
      <c r="K2933" s="60">
        <f t="shared" si="240"/>
        <v>4</v>
      </c>
      <c r="L2933">
        <f t="shared" si="241"/>
        <v>6</v>
      </c>
    </row>
    <row r="2934" spans="1:12" x14ac:dyDescent="0.25">
      <c r="G2934" t="str">
        <f t="shared" si="242"/>
        <v>06/19/19</v>
      </c>
      <c r="H2934" t="str">
        <f t="shared" si="237"/>
        <v/>
      </c>
      <c r="I2934" s="60" t="str">
        <f t="shared" si="238"/>
        <v/>
      </c>
      <c r="J2934" t="str">
        <f t="shared" si="239"/>
        <v/>
      </c>
      <c r="K2934" s="60" t="str">
        <f t="shared" si="240"/>
        <v/>
      </c>
      <c r="L2934" t="str">
        <f t="shared" si="241"/>
        <v/>
      </c>
    </row>
    <row r="2935" spans="1:12" x14ac:dyDescent="0.25">
      <c r="A2935" t="s">
        <v>2893</v>
      </c>
      <c r="G2935" t="str">
        <f t="shared" si="242"/>
        <v>06/19/19</v>
      </c>
      <c r="H2935" t="str">
        <f t="shared" si="237"/>
        <v>Los Angeles Angels</v>
      </c>
      <c r="I2935" s="60">
        <f t="shared" si="238"/>
        <v>11</v>
      </c>
      <c r="J2935" t="str">
        <f t="shared" si="239"/>
        <v>Toronto Blue Jays</v>
      </c>
      <c r="K2935" s="60">
        <f t="shared" si="240"/>
        <v>6</v>
      </c>
      <c r="L2935">
        <f t="shared" si="241"/>
        <v>5</v>
      </c>
    </row>
    <row r="2936" spans="1:12" x14ac:dyDescent="0.25">
      <c r="G2936" t="str">
        <f t="shared" si="242"/>
        <v>06/19/19</v>
      </c>
      <c r="H2936" t="str">
        <f t="shared" si="237"/>
        <v/>
      </c>
      <c r="I2936" s="60" t="str">
        <f t="shared" si="238"/>
        <v/>
      </c>
      <c r="J2936" t="str">
        <f t="shared" si="239"/>
        <v/>
      </c>
      <c r="K2936" s="60" t="str">
        <f t="shared" si="240"/>
        <v/>
      </c>
      <c r="L2936" t="str">
        <f t="shared" si="241"/>
        <v/>
      </c>
    </row>
    <row r="2937" spans="1:12" x14ac:dyDescent="0.25">
      <c r="A2937" t="s">
        <v>2894</v>
      </c>
      <c r="G2937" t="str">
        <f t="shared" si="242"/>
        <v>06/19/19</v>
      </c>
      <c r="H2937" t="str">
        <f t="shared" si="237"/>
        <v>Philadelphia Phillies</v>
      </c>
      <c r="I2937" s="60">
        <f t="shared" si="238"/>
        <v>2</v>
      </c>
      <c r="J2937" t="str">
        <f t="shared" si="239"/>
        <v>Washington Nationals</v>
      </c>
      <c r="K2937" s="60">
        <f t="shared" si="240"/>
        <v>6</v>
      </c>
      <c r="L2937">
        <f t="shared" si="241"/>
        <v>-4</v>
      </c>
    </row>
    <row r="2938" spans="1:12" x14ac:dyDescent="0.25">
      <c r="G2938" t="str">
        <f t="shared" si="242"/>
        <v>06/19/19</v>
      </c>
      <c r="H2938" t="str">
        <f t="shared" si="237"/>
        <v/>
      </c>
      <c r="I2938" s="60" t="str">
        <f t="shared" si="238"/>
        <v/>
      </c>
      <c r="J2938" t="str">
        <f t="shared" si="239"/>
        <v/>
      </c>
      <c r="K2938" s="60" t="str">
        <f t="shared" si="240"/>
        <v/>
      </c>
      <c r="L2938" t="str">
        <f t="shared" si="241"/>
        <v/>
      </c>
    </row>
    <row r="2939" spans="1:12" x14ac:dyDescent="0.25">
      <c r="A2939" t="s">
        <v>2895</v>
      </c>
      <c r="G2939" t="str">
        <f t="shared" si="242"/>
        <v>06/19/19</v>
      </c>
      <c r="H2939" t="str">
        <f t="shared" si="237"/>
        <v>Philadelphia Phillies</v>
      </c>
      <c r="I2939" s="60">
        <f t="shared" si="238"/>
        <v>0</v>
      </c>
      <c r="J2939" t="str">
        <f t="shared" si="239"/>
        <v>Washington Nationals</v>
      </c>
      <c r="K2939" s="60">
        <f t="shared" si="240"/>
        <v>2</v>
      </c>
      <c r="L2939">
        <f t="shared" si="241"/>
        <v>-2</v>
      </c>
    </row>
    <row r="2940" spans="1:12" x14ac:dyDescent="0.25">
      <c r="G2940" t="str">
        <f t="shared" si="242"/>
        <v>06/19/19</v>
      </c>
      <c r="H2940" t="str">
        <f t="shared" si="237"/>
        <v/>
      </c>
      <c r="I2940" s="60" t="str">
        <f t="shared" si="238"/>
        <v/>
      </c>
      <c r="J2940" t="str">
        <f t="shared" si="239"/>
        <v/>
      </c>
      <c r="K2940" s="60" t="str">
        <f t="shared" si="240"/>
        <v/>
      </c>
      <c r="L2940" t="str">
        <f t="shared" si="241"/>
        <v/>
      </c>
    </row>
    <row r="2941" spans="1:12" x14ac:dyDescent="0.25">
      <c r="A2941" t="s">
        <v>2896</v>
      </c>
      <c r="G2941" t="str">
        <f t="shared" si="242"/>
        <v>06/19/19</v>
      </c>
      <c r="H2941" t="str">
        <f t="shared" si="237"/>
        <v/>
      </c>
      <c r="I2941" s="60" t="str">
        <f t="shared" si="238"/>
        <v/>
      </c>
      <c r="J2941" t="str">
        <f t="shared" si="239"/>
        <v/>
      </c>
      <c r="K2941" s="60" t="str">
        <f t="shared" si="240"/>
        <v/>
      </c>
      <c r="L2941" t="str">
        <f t="shared" si="241"/>
        <v/>
      </c>
    </row>
    <row r="2942" spans="1:12" x14ac:dyDescent="0.25">
      <c r="G2942" t="str">
        <f t="shared" si="242"/>
        <v>06/19/19</v>
      </c>
      <c r="H2942" t="str">
        <f t="shared" si="237"/>
        <v/>
      </c>
      <c r="I2942" s="60" t="str">
        <f t="shared" si="238"/>
        <v/>
      </c>
      <c r="J2942" t="str">
        <f t="shared" si="239"/>
        <v/>
      </c>
      <c r="K2942" s="60" t="str">
        <f t="shared" si="240"/>
        <v/>
      </c>
      <c r="L2942" t="str">
        <f t="shared" si="241"/>
        <v/>
      </c>
    </row>
    <row r="2943" spans="1:12" x14ac:dyDescent="0.25">
      <c r="A2943" t="s">
        <v>2897</v>
      </c>
      <c r="G2943" t="str">
        <f t="shared" si="242"/>
        <v>06/20/19</v>
      </c>
      <c r="H2943" t="str">
        <f t="shared" si="237"/>
        <v/>
      </c>
      <c r="I2943" s="60" t="str">
        <f t="shared" si="238"/>
        <v/>
      </c>
      <c r="J2943" t="str">
        <f t="shared" si="239"/>
        <v/>
      </c>
      <c r="K2943" s="60" t="str">
        <f t="shared" si="240"/>
        <v/>
      </c>
      <c r="L2943" t="str">
        <f t="shared" si="241"/>
        <v/>
      </c>
    </row>
    <row r="2944" spans="1:12" x14ac:dyDescent="0.25">
      <c r="G2944" t="str">
        <f t="shared" si="242"/>
        <v>06/20/19</v>
      </c>
      <c r="H2944" t="str">
        <f t="shared" si="237"/>
        <v/>
      </c>
      <c r="I2944" s="60" t="str">
        <f t="shared" si="238"/>
        <v/>
      </c>
      <c r="J2944" t="str">
        <f t="shared" si="239"/>
        <v/>
      </c>
      <c r="K2944" s="60" t="str">
        <f t="shared" si="240"/>
        <v/>
      </c>
      <c r="L2944" t="str">
        <f t="shared" si="241"/>
        <v/>
      </c>
    </row>
    <row r="2945" spans="1:12" x14ac:dyDescent="0.25">
      <c r="A2945" t="s">
        <v>2881</v>
      </c>
      <c r="G2945" t="str">
        <f t="shared" si="242"/>
        <v>06/20/19</v>
      </c>
      <c r="H2945" t="str">
        <f t="shared" si="237"/>
        <v>Colorado Rockies</v>
      </c>
      <c r="I2945" s="60">
        <f t="shared" si="238"/>
        <v>6</v>
      </c>
      <c r="J2945" t="str">
        <f t="shared" si="239"/>
        <v>Arizona D'Backs</v>
      </c>
      <c r="K2945" s="60">
        <f t="shared" si="240"/>
        <v>4</v>
      </c>
      <c r="L2945">
        <f t="shared" si="241"/>
        <v>2</v>
      </c>
    </row>
    <row r="2946" spans="1:12" x14ac:dyDescent="0.25">
      <c r="G2946" t="str">
        <f t="shared" si="242"/>
        <v>06/20/19</v>
      </c>
      <c r="H2946" t="str">
        <f t="shared" si="237"/>
        <v/>
      </c>
      <c r="I2946" s="60" t="str">
        <f t="shared" si="238"/>
        <v/>
      </c>
      <c r="J2946" t="str">
        <f t="shared" si="239"/>
        <v/>
      </c>
      <c r="K2946" s="60" t="str">
        <f t="shared" si="240"/>
        <v/>
      </c>
      <c r="L2946" t="str">
        <f t="shared" si="241"/>
        <v/>
      </c>
    </row>
    <row r="2947" spans="1:12" x14ac:dyDescent="0.25">
      <c r="A2947" t="s">
        <v>2898</v>
      </c>
      <c r="G2947" t="str">
        <f t="shared" si="242"/>
        <v>06/20/19</v>
      </c>
      <c r="H2947" t="str">
        <f t="shared" si="237"/>
        <v>New York Mets</v>
      </c>
      <c r="I2947" s="60">
        <f t="shared" si="238"/>
        <v>4</v>
      </c>
      <c r="J2947" t="str">
        <f t="shared" si="239"/>
        <v>Chicago Cubs</v>
      </c>
      <c r="K2947" s="60">
        <f t="shared" si="240"/>
        <v>7</v>
      </c>
      <c r="L2947">
        <f t="shared" si="241"/>
        <v>-3</v>
      </c>
    </row>
    <row r="2948" spans="1:12" x14ac:dyDescent="0.25">
      <c r="G2948" t="str">
        <f t="shared" si="242"/>
        <v>06/20/19</v>
      </c>
      <c r="H2948" t="str">
        <f t="shared" si="237"/>
        <v/>
      </c>
      <c r="I2948" s="60" t="str">
        <f t="shared" si="238"/>
        <v/>
      </c>
      <c r="J2948" t="str">
        <f t="shared" si="239"/>
        <v/>
      </c>
      <c r="K2948" s="60" t="str">
        <f t="shared" si="240"/>
        <v/>
      </c>
      <c r="L2948" t="str">
        <f t="shared" si="241"/>
        <v/>
      </c>
    </row>
    <row r="2949" spans="1:12" x14ac:dyDescent="0.25">
      <c r="A2949" t="s">
        <v>2899</v>
      </c>
      <c r="G2949" t="str">
        <f t="shared" si="242"/>
        <v>06/20/19</v>
      </c>
      <c r="H2949" t="str">
        <f t="shared" si="237"/>
        <v>Minnesota Twins</v>
      </c>
      <c r="I2949" s="60">
        <f t="shared" si="238"/>
        <v>1</v>
      </c>
      <c r="J2949" t="str">
        <f t="shared" si="239"/>
        <v>Kansas City Royals</v>
      </c>
      <c r="K2949" s="60">
        <f t="shared" si="240"/>
        <v>4</v>
      </c>
      <c r="L2949">
        <f t="shared" si="241"/>
        <v>-3</v>
      </c>
    </row>
    <row r="2950" spans="1:12" x14ac:dyDescent="0.25">
      <c r="G2950" t="str">
        <f t="shared" si="242"/>
        <v>06/20/19</v>
      </c>
      <c r="H2950" t="str">
        <f t="shared" si="237"/>
        <v/>
      </c>
      <c r="I2950" s="60" t="str">
        <f t="shared" si="238"/>
        <v/>
      </c>
      <c r="J2950" t="str">
        <f t="shared" si="239"/>
        <v/>
      </c>
      <c r="K2950" s="60" t="str">
        <f t="shared" si="240"/>
        <v/>
      </c>
      <c r="L2950" t="str">
        <f t="shared" si="241"/>
        <v/>
      </c>
    </row>
    <row r="2951" spans="1:12" x14ac:dyDescent="0.25">
      <c r="A2951" t="s">
        <v>2900</v>
      </c>
      <c r="G2951" t="str">
        <f t="shared" si="242"/>
        <v>06/20/19</v>
      </c>
      <c r="H2951" t="str">
        <f t="shared" si="237"/>
        <v>San Francisco Giants</v>
      </c>
      <c r="I2951" s="60">
        <f t="shared" si="238"/>
        <v>8</v>
      </c>
      <c r="J2951" t="str">
        <f t="shared" si="239"/>
        <v>Los Angeles Dodgers</v>
      </c>
      <c r="K2951" s="60">
        <f t="shared" si="240"/>
        <v>9</v>
      </c>
      <c r="L2951">
        <f t="shared" si="241"/>
        <v>-1</v>
      </c>
    </row>
    <row r="2952" spans="1:12" x14ac:dyDescent="0.25">
      <c r="G2952" t="str">
        <f t="shared" si="242"/>
        <v>06/20/19</v>
      </c>
      <c r="H2952" t="str">
        <f t="shared" si="237"/>
        <v/>
      </c>
      <c r="I2952" s="60" t="str">
        <f t="shared" si="238"/>
        <v/>
      </c>
      <c r="J2952" t="str">
        <f t="shared" si="239"/>
        <v/>
      </c>
      <c r="K2952" s="60" t="str">
        <f t="shared" si="240"/>
        <v/>
      </c>
      <c r="L2952" t="str">
        <f t="shared" si="241"/>
        <v/>
      </c>
    </row>
    <row r="2953" spans="1:12" x14ac:dyDescent="0.25">
      <c r="A2953" t="s">
        <v>2901</v>
      </c>
      <c r="G2953" t="str">
        <f t="shared" si="242"/>
        <v>06/20/19</v>
      </c>
      <c r="H2953" t="str">
        <f t="shared" si="237"/>
        <v>Cincinnati Reds</v>
      </c>
      <c r="I2953" s="60">
        <f t="shared" si="238"/>
        <v>7</v>
      </c>
      <c r="J2953" t="str">
        <f t="shared" si="239"/>
        <v>Milwaukee Brewers</v>
      </c>
      <c r="K2953" s="60">
        <f t="shared" si="240"/>
        <v>1</v>
      </c>
      <c r="L2953">
        <f t="shared" si="241"/>
        <v>6</v>
      </c>
    </row>
    <row r="2954" spans="1:12" x14ac:dyDescent="0.25">
      <c r="G2954" t="str">
        <f t="shared" si="242"/>
        <v>06/20/19</v>
      </c>
      <c r="H2954" t="str">
        <f t="shared" si="237"/>
        <v/>
      </c>
      <c r="I2954" s="60" t="str">
        <f t="shared" si="238"/>
        <v/>
      </c>
      <c r="J2954" t="str">
        <f t="shared" si="239"/>
        <v/>
      </c>
      <c r="K2954" s="60" t="str">
        <f t="shared" si="240"/>
        <v/>
      </c>
      <c r="L2954" t="str">
        <f t="shared" si="241"/>
        <v/>
      </c>
    </row>
    <row r="2955" spans="1:12" x14ac:dyDescent="0.25">
      <c r="A2955" t="s">
        <v>2902</v>
      </c>
      <c r="G2955" t="str">
        <f t="shared" si="242"/>
        <v>06/20/19</v>
      </c>
      <c r="H2955" t="str">
        <f t="shared" si="237"/>
        <v>Houston Astros</v>
      </c>
      <c r="I2955" s="60">
        <f t="shared" si="238"/>
        <v>6</v>
      </c>
      <c r="J2955" t="str">
        <f t="shared" si="239"/>
        <v>New York Yankees</v>
      </c>
      <c r="K2955" s="60">
        <f t="shared" si="240"/>
        <v>10</v>
      </c>
      <c r="L2955">
        <f t="shared" si="241"/>
        <v>-4</v>
      </c>
    </row>
    <row r="2956" spans="1:12" x14ac:dyDescent="0.25">
      <c r="G2956" t="str">
        <f t="shared" si="242"/>
        <v>06/20/19</v>
      </c>
      <c r="H2956" t="str">
        <f t="shared" si="237"/>
        <v/>
      </c>
      <c r="I2956" s="60" t="str">
        <f t="shared" si="238"/>
        <v/>
      </c>
      <c r="J2956" t="str">
        <f t="shared" si="239"/>
        <v/>
      </c>
      <c r="K2956" s="60" t="str">
        <f t="shared" si="240"/>
        <v/>
      </c>
      <c r="L2956" t="str">
        <f t="shared" si="241"/>
        <v/>
      </c>
    </row>
    <row r="2957" spans="1:12" x14ac:dyDescent="0.25">
      <c r="A2957" t="s">
        <v>2903</v>
      </c>
      <c r="G2957" t="str">
        <f t="shared" si="242"/>
        <v>06/20/19</v>
      </c>
      <c r="H2957" t="str">
        <f t="shared" si="237"/>
        <v>Tampa Bay Rays</v>
      </c>
      <c r="I2957" s="60">
        <f t="shared" si="238"/>
        <v>4</v>
      </c>
      <c r="J2957" t="str">
        <f t="shared" si="239"/>
        <v>Oakland Athletics</v>
      </c>
      <c r="K2957" s="60">
        <f t="shared" si="240"/>
        <v>5</v>
      </c>
      <c r="L2957">
        <f t="shared" si="241"/>
        <v>-1</v>
      </c>
    </row>
    <row r="2958" spans="1:12" x14ac:dyDescent="0.25">
      <c r="G2958" t="str">
        <f t="shared" si="242"/>
        <v>06/20/19</v>
      </c>
      <c r="H2958" t="str">
        <f t="shared" si="237"/>
        <v/>
      </c>
      <c r="I2958" s="60" t="str">
        <f t="shared" si="238"/>
        <v/>
      </c>
      <c r="J2958" t="str">
        <f t="shared" si="239"/>
        <v/>
      </c>
      <c r="K2958" s="60" t="str">
        <f t="shared" si="240"/>
        <v/>
      </c>
      <c r="L2958" t="str">
        <f t="shared" si="241"/>
        <v/>
      </c>
    </row>
    <row r="2959" spans="1:12" x14ac:dyDescent="0.25">
      <c r="A2959" t="s">
        <v>2904</v>
      </c>
      <c r="G2959" t="str">
        <f t="shared" si="242"/>
        <v>06/20/19</v>
      </c>
      <c r="H2959" t="str">
        <f t="shared" si="237"/>
        <v>Baltimore Orioles</v>
      </c>
      <c r="I2959" s="60">
        <f t="shared" si="238"/>
        <v>2</v>
      </c>
      <c r="J2959" t="str">
        <f t="shared" si="239"/>
        <v>Seattle Mariners</v>
      </c>
      <c r="K2959" s="60">
        <f t="shared" si="240"/>
        <v>5</v>
      </c>
      <c r="L2959">
        <f t="shared" si="241"/>
        <v>-3</v>
      </c>
    </row>
    <row r="2960" spans="1:12" x14ac:dyDescent="0.25">
      <c r="G2960" t="str">
        <f t="shared" si="242"/>
        <v>06/20/19</v>
      </c>
      <c r="H2960" t="str">
        <f t="shared" ref="H2960:H3023" si="243">IFERROR(LEFT(MID(A2960,1,SEARCH("@",A2960)-2),SEARCH("(",A2960)-2),"")</f>
        <v/>
      </c>
      <c r="I2960" s="60" t="str">
        <f t="shared" ref="I2960:I3023" si="244">IFERROR(VALUE(MID(A2960,SEARCH("(",A2960)+1,SEARCH(")",A2960)-SEARCH("(",A2960)-1)),"")</f>
        <v/>
      </c>
      <c r="J2960" t="str">
        <f t="shared" ref="J2960:J3023" si="245">IFERROR(MID(A2960,SEARCH("@",A2960)+2,SEARCH("(",A2960,SEARCH("@",A2960))-SEARCH("@",A2960)-3),"")</f>
        <v/>
      </c>
      <c r="K2960" s="60" t="str">
        <f t="shared" ref="K2960:K3023" si="246">IFERROR(VALUE(MID(A2960,SEARCH(J2960,A2960)+LEN(J2960)+2,(SEARCH(")",A2960,SEARCH("@",A2960))-SEARCH("(",A2960,SEARCH("@",A2960))-1))),"")</f>
        <v/>
      </c>
      <c r="L2960" t="str">
        <f t="shared" ref="L2960:L3023" si="247">IFERROR(I2960-K2960,"")</f>
        <v/>
      </c>
    </row>
    <row r="2961" spans="1:12" x14ac:dyDescent="0.25">
      <c r="A2961" t="s">
        <v>2905</v>
      </c>
      <c r="G2961" t="str">
        <f t="shared" si="242"/>
        <v>06/20/19</v>
      </c>
      <c r="H2961" t="str">
        <f t="shared" si="243"/>
        <v>Miami Marlins</v>
      </c>
      <c r="I2961" s="60">
        <f t="shared" si="244"/>
        <v>7</v>
      </c>
      <c r="J2961" t="str">
        <f t="shared" si="245"/>
        <v>St. Louis Cardinals</v>
      </c>
      <c r="K2961" s="60">
        <f t="shared" si="246"/>
        <v>6</v>
      </c>
      <c r="L2961">
        <f t="shared" si="247"/>
        <v>1</v>
      </c>
    </row>
    <row r="2962" spans="1:12" x14ac:dyDescent="0.25">
      <c r="G2962" t="str">
        <f t="shared" si="242"/>
        <v>06/20/19</v>
      </c>
      <c r="H2962" t="str">
        <f t="shared" si="243"/>
        <v/>
      </c>
      <c r="I2962" s="60" t="str">
        <f t="shared" si="244"/>
        <v/>
      </c>
      <c r="J2962" t="str">
        <f t="shared" si="245"/>
        <v/>
      </c>
      <c r="K2962" s="60" t="str">
        <f t="shared" si="246"/>
        <v/>
      </c>
      <c r="L2962" t="str">
        <f t="shared" si="247"/>
        <v/>
      </c>
    </row>
    <row r="2963" spans="1:12" x14ac:dyDescent="0.25">
      <c r="A2963" t="s">
        <v>2906</v>
      </c>
      <c r="G2963" t="str">
        <f t="shared" si="242"/>
        <v>06/20/19</v>
      </c>
      <c r="H2963" t="str">
        <f t="shared" si="243"/>
        <v>Cleveland Indians</v>
      </c>
      <c r="I2963" s="60">
        <f t="shared" si="244"/>
        <v>2</v>
      </c>
      <c r="J2963" t="str">
        <f t="shared" si="245"/>
        <v>Texas Rangers</v>
      </c>
      <c r="K2963" s="60">
        <f t="shared" si="246"/>
        <v>4</v>
      </c>
      <c r="L2963">
        <f t="shared" si="247"/>
        <v>-2</v>
      </c>
    </row>
    <row r="2964" spans="1:12" x14ac:dyDescent="0.25">
      <c r="G2964" t="str">
        <f t="shared" si="242"/>
        <v>06/20/19</v>
      </c>
      <c r="H2964" t="str">
        <f t="shared" si="243"/>
        <v/>
      </c>
      <c r="I2964" s="60" t="str">
        <f t="shared" si="244"/>
        <v/>
      </c>
      <c r="J2964" t="str">
        <f t="shared" si="245"/>
        <v/>
      </c>
      <c r="K2964" s="60" t="str">
        <f t="shared" si="246"/>
        <v/>
      </c>
      <c r="L2964" t="str">
        <f t="shared" si="247"/>
        <v/>
      </c>
    </row>
    <row r="2965" spans="1:12" x14ac:dyDescent="0.25">
      <c r="A2965" t="s">
        <v>2907</v>
      </c>
      <c r="G2965" t="str">
        <f t="shared" si="242"/>
        <v>06/20/19</v>
      </c>
      <c r="H2965" t="str">
        <f t="shared" si="243"/>
        <v>Los Angeles Angels</v>
      </c>
      <c r="I2965" s="60">
        <f t="shared" si="244"/>
        <v>5</v>
      </c>
      <c r="J2965" t="str">
        <f t="shared" si="245"/>
        <v>Toronto Blue Jays</v>
      </c>
      <c r="K2965" s="60">
        <f t="shared" si="246"/>
        <v>7</v>
      </c>
      <c r="L2965">
        <f t="shared" si="247"/>
        <v>-2</v>
      </c>
    </row>
    <row r="2966" spans="1:12" x14ac:dyDescent="0.25">
      <c r="G2966" t="str">
        <f t="shared" si="242"/>
        <v>06/20/19</v>
      </c>
      <c r="H2966" t="str">
        <f t="shared" si="243"/>
        <v/>
      </c>
      <c r="I2966" s="60" t="str">
        <f t="shared" si="244"/>
        <v/>
      </c>
      <c r="J2966" t="str">
        <f t="shared" si="245"/>
        <v/>
      </c>
      <c r="K2966" s="60" t="str">
        <f t="shared" si="246"/>
        <v/>
      </c>
      <c r="L2966" t="str">
        <f t="shared" si="247"/>
        <v/>
      </c>
    </row>
    <row r="2967" spans="1:12" x14ac:dyDescent="0.25">
      <c r="A2967" t="s">
        <v>2908</v>
      </c>
      <c r="G2967" t="str">
        <f t="shared" si="242"/>
        <v>06/20/19</v>
      </c>
      <c r="H2967" t="str">
        <f t="shared" si="243"/>
        <v>Philadelphia Phillies</v>
      </c>
      <c r="I2967" s="60">
        <f t="shared" si="244"/>
        <v>4</v>
      </c>
      <c r="J2967" t="str">
        <f t="shared" si="245"/>
        <v>Washington Nationals</v>
      </c>
      <c r="K2967" s="60">
        <f t="shared" si="246"/>
        <v>7</v>
      </c>
      <c r="L2967">
        <f t="shared" si="247"/>
        <v>-3</v>
      </c>
    </row>
    <row r="2968" spans="1:12" x14ac:dyDescent="0.25">
      <c r="G2968" t="str">
        <f t="shared" si="242"/>
        <v>06/20/19</v>
      </c>
      <c r="H2968" t="str">
        <f t="shared" si="243"/>
        <v/>
      </c>
      <c r="I2968" s="60" t="str">
        <f t="shared" si="244"/>
        <v/>
      </c>
      <c r="J2968" t="str">
        <f t="shared" si="245"/>
        <v/>
      </c>
      <c r="K2968" s="60" t="str">
        <f t="shared" si="246"/>
        <v/>
      </c>
      <c r="L2968" t="str">
        <f t="shared" si="247"/>
        <v/>
      </c>
    </row>
    <row r="2969" spans="1:12" x14ac:dyDescent="0.25">
      <c r="A2969" t="s">
        <v>2909</v>
      </c>
      <c r="G2969" t="str">
        <f t="shared" si="242"/>
        <v>06/20/19</v>
      </c>
      <c r="H2969" t="str">
        <f t="shared" si="243"/>
        <v/>
      </c>
      <c r="I2969" s="60" t="str">
        <f t="shared" si="244"/>
        <v/>
      </c>
      <c r="J2969" t="str">
        <f t="shared" si="245"/>
        <v/>
      </c>
      <c r="K2969" s="60" t="str">
        <f t="shared" si="246"/>
        <v/>
      </c>
      <c r="L2969" t="str">
        <f t="shared" si="247"/>
        <v/>
      </c>
    </row>
    <row r="2970" spans="1:12" x14ac:dyDescent="0.25">
      <c r="G2970" t="str">
        <f t="shared" si="242"/>
        <v>06/20/19</v>
      </c>
      <c r="H2970" t="str">
        <f t="shared" si="243"/>
        <v/>
      </c>
      <c r="I2970" s="60" t="str">
        <f t="shared" si="244"/>
        <v/>
      </c>
      <c r="J2970" t="str">
        <f t="shared" si="245"/>
        <v/>
      </c>
      <c r="K2970" s="60" t="str">
        <f t="shared" si="246"/>
        <v/>
      </c>
      <c r="L2970" t="str">
        <f t="shared" si="247"/>
        <v/>
      </c>
    </row>
    <row r="2971" spans="1:12" x14ac:dyDescent="0.25">
      <c r="A2971" t="s">
        <v>2910</v>
      </c>
      <c r="G2971" t="str">
        <f t="shared" si="242"/>
        <v>06/21/19</v>
      </c>
      <c r="H2971" t="str">
        <f t="shared" si="243"/>
        <v/>
      </c>
      <c r="I2971" s="60" t="str">
        <f t="shared" si="244"/>
        <v/>
      </c>
      <c r="J2971" t="str">
        <f t="shared" si="245"/>
        <v/>
      </c>
      <c r="K2971" s="60" t="str">
        <f t="shared" si="246"/>
        <v/>
      </c>
      <c r="L2971" t="str">
        <f t="shared" si="247"/>
        <v/>
      </c>
    </row>
    <row r="2972" spans="1:12" x14ac:dyDescent="0.25">
      <c r="G2972" t="str">
        <f t="shared" si="242"/>
        <v>06/21/19</v>
      </c>
      <c r="H2972" t="str">
        <f t="shared" si="243"/>
        <v/>
      </c>
      <c r="I2972" s="60" t="str">
        <f t="shared" si="244"/>
        <v/>
      </c>
      <c r="J2972" t="str">
        <f t="shared" si="245"/>
        <v/>
      </c>
      <c r="K2972" s="60" t="str">
        <f t="shared" si="246"/>
        <v/>
      </c>
      <c r="L2972" t="str">
        <f t="shared" si="247"/>
        <v/>
      </c>
    </row>
    <row r="2973" spans="1:12" x14ac:dyDescent="0.25">
      <c r="A2973" t="s">
        <v>2911</v>
      </c>
      <c r="G2973" t="str">
        <f t="shared" si="242"/>
        <v>06/21/19</v>
      </c>
      <c r="H2973" t="str">
        <f t="shared" si="243"/>
        <v>San Francisco Giants</v>
      </c>
      <c r="I2973" s="60">
        <f t="shared" si="244"/>
        <v>11</v>
      </c>
      <c r="J2973" t="str">
        <f t="shared" si="245"/>
        <v>Arizona D'Backs</v>
      </c>
      <c r="K2973" s="60">
        <f t="shared" si="246"/>
        <v>5</v>
      </c>
      <c r="L2973">
        <f t="shared" si="247"/>
        <v>6</v>
      </c>
    </row>
    <row r="2974" spans="1:12" x14ac:dyDescent="0.25">
      <c r="G2974" t="str">
        <f t="shared" si="242"/>
        <v>06/21/19</v>
      </c>
      <c r="H2974" t="str">
        <f t="shared" si="243"/>
        <v/>
      </c>
      <c r="I2974" s="60" t="str">
        <f t="shared" si="244"/>
        <v/>
      </c>
      <c r="J2974" t="str">
        <f t="shared" si="245"/>
        <v/>
      </c>
      <c r="K2974" s="60" t="str">
        <f t="shared" si="246"/>
        <v/>
      </c>
      <c r="L2974" t="str">
        <f t="shared" si="247"/>
        <v/>
      </c>
    </row>
    <row r="2975" spans="1:12" x14ac:dyDescent="0.25">
      <c r="A2975" t="s">
        <v>2912</v>
      </c>
      <c r="G2975" t="str">
        <f t="shared" si="242"/>
        <v>06/21/19</v>
      </c>
      <c r="H2975" t="str">
        <f t="shared" si="243"/>
        <v>Toronto Blue Jays</v>
      </c>
      <c r="I2975" s="60">
        <f t="shared" si="244"/>
        <v>5</v>
      </c>
      <c r="J2975" t="str">
        <f t="shared" si="245"/>
        <v>Boston Red Sox</v>
      </c>
      <c r="K2975" s="60">
        <f t="shared" si="246"/>
        <v>7</v>
      </c>
      <c r="L2975">
        <f t="shared" si="247"/>
        <v>-2</v>
      </c>
    </row>
    <row r="2976" spans="1:12" x14ac:dyDescent="0.25">
      <c r="G2976" t="str">
        <f t="shared" si="242"/>
        <v>06/21/19</v>
      </c>
      <c r="H2976" t="str">
        <f t="shared" si="243"/>
        <v/>
      </c>
      <c r="I2976" s="60" t="str">
        <f t="shared" si="244"/>
        <v/>
      </c>
      <c r="J2976" t="str">
        <f t="shared" si="245"/>
        <v/>
      </c>
      <c r="K2976" s="60" t="str">
        <f t="shared" si="246"/>
        <v/>
      </c>
      <c r="L2976" t="str">
        <f t="shared" si="247"/>
        <v/>
      </c>
    </row>
    <row r="2977" spans="1:12" x14ac:dyDescent="0.25">
      <c r="A2977" t="s">
        <v>2913</v>
      </c>
      <c r="G2977" t="str">
        <f t="shared" si="242"/>
        <v>06/21/19</v>
      </c>
      <c r="H2977" t="str">
        <f t="shared" si="243"/>
        <v>New York Mets</v>
      </c>
      <c r="I2977" s="60">
        <f t="shared" si="244"/>
        <v>5</v>
      </c>
      <c r="J2977" t="str">
        <f t="shared" si="245"/>
        <v>Chicago Cubs</v>
      </c>
      <c r="K2977" s="60">
        <f t="shared" si="246"/>
        <v>4</v>
      </c>
      <c r="L2977">
        <f t="shared" si="247"/>
        <v>1</v>
      </c>
    </row>
    <row r="2978" spans="1:12" x14ac:dyDescent="0.25">
      <c r="G2978" t="str">
        <f t="shared" ref="G2978:G3041" si="248">IF(ISNUMBER(MATCH(IFERROR(LEFT(A2978,SEARCH(",",A2978)-1),""),$G$220:$M$220,0)),TEXT(MID(A2978,SEARCH(",",A2978)+2,LEN(A2978)),"mm/dd/yy"),G2977)</f>
        <v>06/21/19</v>
      </c>
      <c r="H2978" t="str">
        <f t="shared" si="243"/>
        <v/>
      </c>
      <c r="I2978" s="60" t="str">
        <f t="shared" si="244"/>
        <v/>
      </c>
      <c r="J2978" t="str">
        <f t="shared" si="245"/>
        <v/>
      </c>
      <c r="K2978" s="60" t="str">
        <f t="shared" si="246"/>
        <v/>
      </c>
      <c r="L2978" t="str">
        <f t="shared" si="247"/>
        <v/>
      </c>
    </row>
    <row r="2979" spans="1:12" x14ac:dyDescent="0.25">
      <c r="A2979" t="s">
        <v>2914</v>
      </c>
      <c r="G2979" t="str">
        <f t="shared" si="248"/>
        <v>06/21/19</v>
      </c>
      <c r="H2979" t="str">
        <f t="shared" si="243"/>
        <v>Detroit Tigers</v>
      </c>
      <c r="I2979" s="60">
        <f t="shared" si="244"/>
        <v>6</v>
      </c>
      <c r="J2979" t="str">
        <f t="shared" si="245"/>
        <v>Cleveland Indians</v>
      </c>
      <c r="K2979" s="60">
        <f t="shared" si="246"/>
        <v>7</v>
      </c>
      <c r="L2979">
        <f t="shared" si="247"/>
        <v>-1</v>
      </c>
    </row>
    <row r="2980" spans="1:12" x14ac:dyDescent="0.25">
      <c r="G2980" t="str">
        <f t="shared" si="248"/>
        <v>06/21/19</v>
      </c>
      <c r="H2980" t="str">
        <f t="shared" si="243"/>
        <v/>
      </c>
      <c r="I2980" s="60" t="str">
        <f t="shared" si="244"/>
        <v/>
      </c>
      <c r="J2980" t="str">
        <f t="shared" si="245"/>
        <v/>
      </c>
      <c r="K2980" s="60" t="str">
        <f t="shared" si="246"/>
        <v/>
      </c>
      <c r="L2980" t="str">
        <f t="shared" si="247"/>
        <v/>
      </c>
    </row>
    <row r="2981" spans="1:12" x14ac:dyDescent="0.25">
      <c r="A2981" t="s">
        <v>2915</v>
      </c>
      <c r="G2981" t="str">
        <f t="shared" si="248"/>
        <v>06/21/19</v>
      </c>
      <c r="H2981" t="str">
        <f t="shared" si="243"/>
        <v>Minnesota Twins</v>
      </c>
      <c r="I2981" s="60">
        <f t="shared" si="244"/>
        <v>8</v>
      </c>
      <c r="J2981" t="str">
        <f t="shared" si="245"/>
        <v>Kansas City Royals</v>
      </c>
      <c r="K2981" s="60">
        <f t="shared" si="246"/>
        <v>7</v>
      </c>
      <c r="L2981">
        <f t="shared" si="247"/>
        <v>1</v>
      </c>
    </row>
    <row r="2982" spans="1:12" x14ac:dyDescent="0.25">
      <c r="G2982" t="str">
        <f t="shared" si="248"/>
        <v>06/21/19</v>
      </c>
      <c r="H2982" t="str">
        <f t="shared" si="243"/>
        <v/>
      </c>
      <c r="I2982" s="60" t="str">
        <f t="shared" si="244"/>
        <v/>
      </c>
      <c r="J2982" t="str">
        <f t="shared" si="245"/>
        <v/>
      </c>
      <c r="K2982" s="60" t="str">
        <f t="shared" si="246"/>
        <v/>
      </c>
      <c r="L2982" t="str">
        <f t="shared" si="247"/>
        <v/>
      </c>
    </row>
    <row r="2983" spans="1:12" x14ac:dyDescent="0.25">
      <c r="A2983" t="s">
        <v>2916</v>
      </c>
      <c r="G2983" t="str">
        <f t="shared" si="248"/>
        <v>06/21/19</v>
      </c>
      <c r="H2983" t="str">
        <f t="shared" si="243"/>
        <v>Colorado Rockies</v>
      </c>
      <c r="I2983" s="60">
        <f t="shared" si="244"/>
        <v>2</v>
      </c>
      <c r="J2983" t="str">
        <f t="shared" si="245"/>
        <v>Los Angeles Dodgers</v>
      </c>
      <c r="K2983" s="60">
        <f t="shared" si="246"/>
        <v>4</v>
      </c>
      <c r="L2983">
        <f t="shared" si="247"/>
        <v>-2</v>
      </c>
    </row>
    <row r="2984" spans="1:12" x14ac:dyDescent="0.25">
      <c r="G2984" t="str">
        <f t="shared" si="248"/>
        <v>06/21/19</v>
      </c>
      <c r="H2984" t="str">
        <f t="shared" si="243"/>
        <v/>
      </c>
      <c r="I2984" s="60" t="str">
        <f t="shared" si="244"/>
        <v/>
      </c>
      <c r="J2984" t="str">
        <f t="shared" si="245"/>
        <v/>
      </c>
      <c r="K2984" s="60" t="str">
        <f t="shared" si="246"/>
        <v/>
      </c>
      <c r="L2984" t="str">
        <f t="shared" si="247"/>
        <v/>
      </c>
    </row>
    <row r="2985" spans="1:12" x14ac:dyDescent="0.25">
      <c r="A2985" t="s">
        <v>2917</v>
      </c>
      <c r="G2985" t="str">
        <f t="shared" si="248"/>
        <v>06/21/19</v>
      </c>
      <c r="H2985" t="str">
        <f t="shared" si="243"/>
        <v>Cincinnati Reds</v>
      </c>
      <c r="I2985" s="60">
        <f t="shared" si="244"/>
        <v>11</v>
      </c>
      <c r="J2985" t="str">
        <f t="shared" si="245"/>
        <v>Milwaukee Brewers</v>
      </c>
      <c r="K2985" s="60">
        <f t="shared" si="246"/>
        <v>7</v>
      </c>
      <c r="L2985">
        <f t="shared" si="247"/>
        <v>4</v>
      </c>
    </row>
    <row r="2986" spans="1:12" x14ac:dyDescent="0.25">
      <c r="G2986" t="str">
        <f t="shared" si="248"/>
        <v>06/21/19</v>
      </c>
      <c r="H2986" t="str">
        <f t="shared" si="243"/>
        <v/>
      </c>
      <c r="I2986" s="60" t="str">
        <f t="shared" si="244"/>
        <v/>
      </c>
      <c r="J2986" t="str">
        <f t="shared" si="245"/>
        <v/>
      </c>
      <c r="K2986" s="60" t="str">
        <f t="shared" si="246"/>
        <v/>
      </c>
      <c r="L2986" t="str">
        <f t="shared" si="247"/>
        <v/>
      </c>
    </row>
    <row r="2987" spans="1:12" x14ac:dyDescent="0.25">
      <c r="A2987" t="s">
        <v>2918</v>
      </c>
      <c r="G2987" t="str">
        <f t="shared" si="248"/>
        <v>06/21/19</v>
      </c>
      <c r="H2987" t="str">
        <f t="shared" si="243"/>
        <v>Houston Astros</v>
      </c>
      <c r="I2987" s="60">
        <f t="shared" si="244"/>
        <v>1</v>
      </c>
      <c r="J2987" t="str">
        <f t="shared" si="245"/>
        <v>New York Yankees</v>
      </c>
      <c r="K2987" s="60">
        <f t="shared" si="246"/>
        <v>4</v>
      </c>
      <c r="L2987">
        <f t="shared" si="247"/>
        <v>-3</v>
      </c>
    </row>
    <row r="2988" spans="1:12" x14ac:dyDescent="0.25">
      <c r="G2988" t="str">
        <f t="shared" si="248"/>
        <v>06/21/19</v>
      </c>
      <c r="H2988" t="str">
        <f t="shared" si="243"/>
        <v/>
      </c>
      <c r="I2988" s="60" t="str">
        <f t="shared" si="244"/>
        <v/>
      </c>
      <c r="J2988" t="str">
        <f t="shared" si="245"/>
        <v/>
      </c>
      <c r="K2988" s="60" t="str">
        <f t="shared" si="246"/>
        <v/>
      </c>
      <c r="L2988" t="str">
        <f t="shared" si="247"/>
        <v/>
      </c>
    </row>
    <row r="2989" spans="1:12" x14ac:dyDescent="0.25">
      <c r="A2989" t="s">
        <v>2919</v>
      </c>
      <c r="G2989" t="str">
        <f t="shared" si="248"/>
        <v>06/21/19</v>
      </c>
      <c r="H2989" t="str">
        <f t="shared" si="243"/>
        <v>Tampa Bay Rays</v>
      </c>
      <c r="I2989" s="60">
        <f t="shared" si="244"/>
        <v>5</v>
      </c>
      <c r="J2989" t="str">
        <f t="shared" si="245"/>
        <v>Oakland Athletics</v>
      </c>
      <c r="K2989" s="60">
        <f t="shared" si="246"/>
        <v>3</v>
      </c>
      <c r="L2989">
        <f t="shared" si="247"/>
        <v>2</v>
      </c>
    </row>
    <row r="2990" spans="1:12" x14ac:dyDescent="0.25">
      <c r="G2990" t="str">
        <f t="shared" si="248"/>
        <v>06/21/19</v>
      </c>
      <c r="H2990" t="str">
        <f t="shared" si="243"/>
        <v/>
      </c>
      <c r="I2990" s="60" t="str">
        <f t="shared" si="244"/>
        <v/>
      </c>
      <c r="J2990" t="str">
        <f t="shared" si="245"/>
        <v/>
      </c>
      <c r="K2990" s="60" t="str">
        <f t="shared" si="246"/>
        <v/>
      </c>
      <c r="L2990" t="str">
        <f t="shared" si="247"/>
        <v/>
      </c>
    </row>
    <row r="2991" spans="1:12" x14ac:dyDescent="0.25">
      <c r="A2991" t="s">
        <v>2920</v>
      </c>
      <c r="G2991" t="str">
        <f t="shared" si="248"/>
        <v>06/21/19</v>
      </c>
      <c r="H2991" t="str">
        <f t="shared" si="243"/>
        <v>Miami Marlins</v>
      </c>
      <c r="I2991" s="60">
        <f t="shared" si="244"/>
        <v>2</v>
      </c>
      <c r="J2991" t="str">
        <f t="shared" si="245"/>
        <v>Philadelphia Phillies</v>
      </c>
      <c r="K2991" s="60">
        <f t="shared" si="246"/>
        <v>1</v>
      </c>
      <c r="L2991">
        <f t="shared" si="247"/>
        <v>1</v>
      </c>
    </row>
    <row r="2992" spans="1:12" x14ac:dyDescent="0.25">
      <c r="G2992" t="str">
        <f t="shared" si="248"/>
        <v>06/21/19</v>
      </c>
      <c r="H2992" t="str">
        <f t="shared" si="243"/>
        <v/>
      </c>
      <c r="I2992" s="60" t="str">
        <f t="shared" si="244"/>
        <v/>
      </c>
      <c r="J2992" t="str">
        <f t="shared" si="245"/>
        <v/>
      </c>
      <c r="K2992" s="60" t="str">
        <f t="shared" si="246"/>
        <v/>
      </c>
      <c r="L2992" t="str">
        <f t="shared" si="247"/>
        <v/>
      </c>
    </row>
    <row r="2993" spans="1:12" x14ac:dyDescent="0.25">
      <c r="A2993" t="s">
        <v>2921</v>
      </c>
      <c r="G2993" t="str">
        <f t="shared" si="248"/>
        <v>06/21/19</v>
      </c>
      <c r="H2993" t="str">
        <f t="shared" si="243"/>
        <v>San Diego Padres</v>
      </c>
      <c r="I2993" s="60">
        <f t="shared" si="244"/>
        <v>1</v>
      </c>
      <c r="J2993" t="str">
        <f t="shared" si="245"/>
        <v>Pittsburgh Pirates</v>
      </c>
      <c r="K2993" s="60">
        <f t="shared" si="246"/>
        <v>2</v>
      </c>
      <c r="L2993">
        <f t="shared" si="247"/>
        <v>-1</v>
      </c>
    </row>
    <row r="2994" spans="1:12" x14ac:dyDescent="0.25">
      <c r="G2994" t="str">
        <f t="shared" si="248"/>
        <v>06/21/19</v>
      </c>
      <c r="H2994" t="str">
        <f t="shared" si="243"/>
        <v/>
      </c>
      <c r="I2994" s="60" t="str">
        <f t="shared" si="244"/>
        <v/>
      </c>
      <c r="J2994" t="str">
        <f t="shared" si="245"/>
        <v/>
      </c>
      <c r="K2994" s="60" t="str">
        <f t="shared" si="246"/>
        <v/>
      </c>
      <c r="L2994" t="str">
        <f t="shared" si="247"/>
        <v/>
      </c>
    </row>
    <row r="2995" spans="1:12" x14ac:dyDescent="0.25">
      <c r="A2995" t="s">
        <v>2922</v>
      </c>
      <c r="G2995" t="str">
        <f t="shared" si="248"/>
        <v>06/21/19</v>
      </c>
      <c r="H2995" t="str">
        <f t="shared" si="243"/>
        <v>Baltimore Orioles</v>
      </c>
      <c r="I2995" s="60">
        <f t="shared" si="244"/>
        <v>9</v>
      </c>
      <c r="J2995" t="str">
        <f t="shared" si="245"/>
        <v>Seattle Mariners</v>
      </c>
      <c r="K2995" s="60">
        <f t="shared" si="246"/>
        <v>10</v>
      </c>
      <c r="L2995">
        <f t="shared" si="247"/>
        <v>-1</v>
      </c>
    </row>
    <row r="2996" spans="1:12" x14ac:dyDescent="0.25">
      <c r="G2996" t="str">
        <f t="shared" si="248"/>
        <v>06/21/19</v>
      </c>
      <c r="H2996" t="str">
        <f t="shared" si="243"/>
        <v/>
      </c>
      <c r="I2996" s="60" t="str">
        <f t="shared" si="244"/>
        <v/>
      </c>
      <c r="J2996" t="str">
        <f t="shared" si="245"/>
        <v/>
      </c>
      <c r="K2996" s="60" t="str">
        <f t="shared" si="246"/>
        <v/>
      </c>
      <c r="L2996" t="str">
        <f t="shared" si="247"/>
        <v/>
      </c>
    </row>
    <row r="2997" spans="1:12" x14ac:dyDescent="0.25">
      <c r="A2997" t="s">
        <v>2923</v>
      </c>
      <c r="G2997" t="str">
        <f t="shared" si="248"/>
        <v>06/21/19</v>
      </c>
      <c r="H2997" t="str">
        <f t="shared" si="243"/>
        <v>Los Angeles Angels</v>
      </c>
      <c r="I2997" s="60">
        <f t="shared" si="244"/>
        <v>1</v>
      </c>
      <c r="J2997" t="str">
        <f t="shared" si="245"/>
        <v>St. Louis Cardinals</v>
      </c>
      <c r="K2997" s="60">
        <f t="shared" si="246"/>
        <v>5</v>
      </c>
      <c r="L2997">
        <f t="shared" si="247"/>
        <v>-4</v>
      </c>
    </row>
    <row r="2998" spans="1:12" x14ac:dyDescent="0.25">
      <c r="G2998" t="str">
        <f t="shared" si="248"/>
        <v>06/21/19</v>
      </c>
      <c r="H2998" t="str">
        <f t="shared" si="243"/>
        <v/>
      </c>
      <c r="I2998" s="60" t="str">
        <f t="shared" si="244"/>
        <v/>
      </c>
      <c r="J2998" t="str">
        <f t="shared" si="245"/>
        <v/>
      </c>
      <c r="K2998" s="60" t="str">
        <f t="shared" si="246"/>
        <v/>
      </c>
      <c r="L2998" t="str">
        <f t="shared" si="247"/>
        <v/>
      </c>
    </row>
    <row r="2999" spans="1:12" x14ac:dyDescent="0.25">
      <c r="A2999" t="s">
        <v>2924</v>
      </c>
      <c r="G2999" t="str">
        <f t="shared" si="248"/>
        <v>06/21/19</v>
      </c>
      <c r="H2999" t="str">
        <f t="shared" si="243"/>
        <v>Chicago White Sox</v>
      </c>
      <c r="I2999" s="60">
        <f t="shared" si="244"/>
        <v>5</v>
      </c>
      <c r="J2999" t="str">
        <f t="shared" si="245"/>
        <v>Texas Rangers</v>
      </c>
      <c r="K2999" s="60">
        <f t="shared" si="246"/>
        <v>4</v>
      </c>
      <c r="L2999">
        <f t="shared" si="247"/>
        <v>1</v>
      </c>
    </row>
    <row r="3000" spans="1:12" x14ac:dyDescent="0.25">
      <c r="G3000" t="str">
        <f t="shared" si="248"/>
        <v>06/21/19</v>
      </c>
      <c r="H3000" t="str">
        <f t="shared" si="243"/>
        <v/>
      </c>
      <c r="I3000" s="60" t="str">
        <f t="shared" si="244"/>
        <v/>
      </c>
      <c r="J3000" t="str">
        <f t="shared" si="245"/>
        <v/>
      </c>
      <c r="K3000" s="60" t="str">
        <f t="shared" si="246"/>
        <v/>
      </c>
      <c r="L3000" t="str">
        <f t="shared" si="247"/>
        <v/>
      </c>
    </row>
    <row r="3001" spans="1:12" x14ac:dyDescent="0.25">
      <c r="A3001" t="s">
        <v>2925</v>
      </c>
      <c r="G3001" t="str">
        <f t="shared" si="248"/>
        <v>06/21/19</v>
      </c>
      <c r="H3001" t="str">
        <f t="shared" si="243"/>
        <v>Atlanta Braves</v>
      </c>
      <c r="I3001" s="60">
        <f t="shared" si="244"/>
        <v>3</v>
      </c>
      <c r="J3001" t="str">
        <f t="shared" si="245"/>
        <v>Washington Nationals</v>
      </c>
      <c r="K3001" s="60">
        <f t="shared" si="246"/>
        <v>4</v>
      </c>
      <c r="L3001">
        <f t="shared" si="247"/>
        <v>-1</v>
      </c>
    </row>
    <row r="3002" spans="1:12" x14ac:dyDescent="0.25">
      <c r="G3002" t="str">
        <f t="shared" si="248"/>
        <v>06/21/19</v>
      </c>
      <c r="H3002" t="str">
        <f t="shared" si="243"/>
        <v/>
      </c>
      <c r="I3002" s="60" t="str">
        <f t="shared" si="244"/>
        <v/>
      </c>
      <c r="J3002" t="str">
        <f t="shared" si="245"/>
        <v/>
      </c>
      <c r="K3002" s="60" t="str">
        <f t="shared" si="246"/>
        <v/>
      </c>
      <c r="L3002" t="str">
        <f t="shared" si="247"/>
        <v/>
      </c>
    </row>
    <row r="3003" spans="1:12" x14ac:dyDescent="0.25">
      <c r="A3003" t="s">
        <v>2926</v>
      </c>
      <c r="G3003" t="str">
        <f t="shared" si="248"/>
        <v>06/21/19</v>
      </c>
      <c r="H3003" t="str">
        <f t="shared" si="243"/>
        <v/>
      </c>
      <c r="I3003" s="60" t="str">
        <f t="shared" si="244"/>
        <v/>
      </c>
      <c r="J3003" t="str">
        <f t="shared" si="245"/>
        <v/>
      </c>
      <c r="K3003" s="60" t="str">
        <f t="shared" si="246"/>
        <v/>
      </c>
      <c r="L3003" t="str">
        <f t="shared" si="247"/>
        <v/>
      </c>
    </row>
    <row r="3004" spans="1:12" x14ac:dyDescent="0.25">
      <c r="G3004" t="str">
        <f t="shared" si="248"/>
        <v>06/21/19</v>
      </c>
      <c r="H3004" t="str">
        <f t="shared" si="243"/>
        <v/>
      </c>
      <c r="I3004" s="60" t="str">
        <f t="shared" si="244"/>
        <v/>
      </c>
      <c r="J3004" t="str">
        <f t="shared" si="245"/>
        <v/>
      </c>
      <c r="K3004" s="60" t="str">
        <f t="shared" si="246"/>
        <v/>
      </c>
      <c r="L3004" t="str">
        <f t="shared" si="247"/>
        <v/>
      </c>
    </row>
    <row r="3005" spans="1:12" x14ac:dyDescent="0.25">
      <c r="A3005" t="s">
        <v>2927</v>
      </c>
      <c r="G3005" t="str">
        <f t="shared" si="248"/>
        <v>06/22/19</v>
      </c>
      <c r="H3005" t="str">
        <f t="shared" si="243"/>
        <v/>
      </c>
      <c r="I3005" s="60" t="str">
        <f t="shared" si="244"/>
        <v/>
      </c>
      <c r="J3005" t="str">
        <f t="shared" si="245"/>
        <v/>
      </c>
      <c r="K3005" s="60" t="str">
        <f t="shared" si="246"/>
        <v/>
      </c>
      <c r="L3005" t="str">
        <f t="shared" si="247"/>
        <v/>
      </c>
    </row>
    <row r="3006" spans="1:12" x14ac:dyDescent="0.25">
      <c r="G3006" t="str">
        <f t="shared" si="248"/>
        <v>06/22/19</v>
      </c>
      <c r="H3006" t="str">
        <f t="shared" si="243"/>
        <v/>
      </c>
      <c r="I3006" s="60" t="str">
        <f t="shared" si="244"/>
        <v/>
      </c>
      <c r="J3006" t="str">
        <f t="shared" si="245"/>
        <v/>
      </c>
      <c r="K3006" s="60" t="str">
        <f t="shared" si="246"/>
        <v/>
      </c>
      <c r="L3006" t="str">
        <f t="shared" si="247"/>
        <v/>
      </c>
    </row>
    <row r="3007" spans="1:12" x14ac:dyDescent="0.25">
      <c r="A3007" t="s">
        <v>2928</v>
      </c>
      <c r="G3007" t="str">
        <f t="shared" si="248"/>
        <v>06/22/19</v>
      </c>
      <c r="H3007" t="str">
        <f t="shared" si="243"/>
        <v>San Francisco Giants</v>
      </c>
      <c r="I3007" s="60">
        <f t="shared" si="244"/>
        <v>7</v>
      </c>
      <c r="J3007" t="str">
        <f t="shared" si="245"/>
        <v>Arizona D'Backs</v>
      </c>
      <c r="K3007" s="60">
        <f t="shared" si="246"/>
        <v>4</v>
      </c>
      <c r="L3007">
        <f t="shared" si="247"/>
        <v>3</v>
      </c>
    </row>
    <row r="3008" spans="1:12" x14ac:dyDescent="0.25">
      <c r="G3008" t="str">
        <f t="shared" si="248"/>
        <v>06/22/19</v>
      </c>
      <c r="H3008" t="str">
        <f t="shared" si="243"/>
        <v/>
      </c>
      <c r="I3008" s="60" t="str">
        <f t="shared" si="244"/>
        <v/>
      </c>
      <c r="J3008" t="str">
        <f t="shared" si="245"/>
        <v/>
      </c>
      <c r="K3008" s="60" t="str">
        <f t="shared" si="246"/>
        <v/>
      </c>
      <c r="L3008" t="str">
        <f t="shared" si="247"/>
        <v/>
      </c>
    </row>
    <row r="3009" spans="1:12" x14ac:dyDescent="0.25">
      <c r="A3009" t="s">
        <v>2929</v>
      </c>
      <c r="G3009" t="str">
        <f t="shared" si="248"/>
        <v>06/22/19</v>
      </c>
      <c r="H3009" t="str">
        <f t="shared" si="243"/>
        <v>Toronto Blue Jays</v>
      </c>
      <c r="I3009" s="60">
        <f t="shared" si="244"/>
        <v>8</v>
      </c>
      <c r="J3009" t="str">
        <f t="shared" si="245"/>
        <v>Boston Red Sox</v>
      </c>
      <c r="K3009" s="60">
        <f t="shared" si="246"/>
        <v>7</v>
      </c>
      <c r="L3009">
        <f t="shared" si="247"/>
        <v>1</v>
      </c>
    </row>
    <row r="3010" spans="1:12" x14ac:dyDescent="0.25">
      <c r="G3010" t="str">
        <f t="shared" si="248"/>
        <v>06/22/19</v>
      </c>
      <c r="H3010" t="str">
        <f t="shared" si="243"/>
        <v/>
      </c>
      <c r="I3010" s="60" t="str">
        <f t="shared" si="244"/>
        <v/>
      </c>
      <c r="J3010" t="str">
        <f t="shared" si="245"/>
        <v/>
      </c>
      <c r="K3010" s="60" t="str">
        <f t="shared" si="246"/>
        <v/>
      </c>
      <c r="L3010" t="str">
        <f t="shared" si="247"/>
        <v/>
      </c>
    </row>
    <row r="3011" spans="1:12" x14ac:dyDescent="0.25">
      <c r="A3011" t="s">
        <v>2930</v>
      </c>
      <c r="G3011" t="str">
        <f t="shared" si="248"/>
        <v>06/22/19</v>
      </c>
      <c r="H3011" t="str">
        <f t="shared" si="243"/>
        <v>New York Mets</v>
      </c>
      <c r="I3011" s="60">
        <f t="shared" si="244"/>
        <v>10</v>
      </c>
      <c r="J3011" t="str">
        <f t="shared" si="245"/>
        <v>Chicago Cubs</v>
      </c>
      <c r="K3011" s="60">
        <f t="shared" si="246"/>
        <v>2</v>
      </c>
      <c r="L3011">
        <f t="shared" si="247"/>
        <v>8</v>
      </c>
    </row>
    <row r="3012" spans="1:12" x14ac:dyDescent="0.25">
      <c r="G3012" t="str">
        <f t="shared" si="248"/>
        <v>06/22/19</v>
      </c>
      <c r="H3012" t="str">
        <f t="shared" si="243"/>
        <v/>
      </c>
      <c r="I3012" s="60" t="str">
        <f t="shared" si="244"/>
        <v/>
      </c>
      <c r="J3012" t="str">
        <f t="shared" si="245"/>
        <v/>
      </c>
      <c r="K3012" s="60" t="str">
        <f t="shared" si="246"/>
        <v/>
      </c>
      <c r="L3012" t="str">
        <f t="shared" si="247"/>
        <v/>
      </c>
    </row>
    <row r="3013" spans="1:12" x14ac:dyDescent="0.25">
      <c r="A3013" t="s">
        <v>2931</v>
      </c>
      <c r="G3013" t="str">
        <f t="shared" si="248"/>
        <v>06/22/19</v>
      </c>
      <c r="H3013" t="str">
        <f t="shared" si="243"/>
        <v>Detroit Tigers</v>
      </c>
      <c r="I3013" s="60">
        <f t="shared" si="244"/>
        <v>0</v>
      </c>
      <c r="J3013" t="str">
        <f t="shared" si="245"/>
        <v>Cleveland Indians</v>
      </c>
      <c r="K3013" s="60">
        <f t="shared" si="246"/>
        <v>2</v>
      </c>
      <c r="L3013">
        <f t="shared" si="247"/>
        <v>-2</v>
      </c>
    </row>
    <row r="3014" spans="1:12" x14ac:dyDescent="0.25">
      <c r="G3014" t="str">
        <f t="shared" si="248"/>
        <v>06/22/19</v>
      </c>
      <c r="H3014" t="str">
        <f t="shared" si="243"/>
        <v/>
      </c>
      <c r="I3014" s="60" t="str">
        <f t="shared" si="244"/>
        <v/>
      </c>
      <c r="J3014" t="str">
        <f t="shared" si="245"/>
        <v/>
      </c>
      <c r="K3014" s="60" t="str">
        <f t="shared" si="246"/>
        <v/>
      </c>
      <c r="L3014" t="str">
        <f t="shared" si="247"/>
        <v/>
      </c>
    </row>
    <row r="3015" spans="1:12" x14ac:dyDescent="0.25">
      <c r="A3015" t="s">
        <v>2932</v>
      </c>
      <c r="G3015" t="str">
        <f t="shared" si="248"/>
        <v>06/22/19</v>
      </c>
      <c r="H3015" t="str">
        <f t="shared" si="243"/>
        <v>Minnesota Twins</v>
      </c>
      <c r="I3015" s="60">
        <f t="shared" si="244"/>
        <v>5</v>
      </c>
      <c r="J3015" t="str">
        <f t="shared" si="245"/>
        <v>Kansas City Royals</v>
      </c>
      <c r="K3015" s="60">
        <f t="shared" si="246"/>
        <v>3</v>
      </c>
      <c r="L3015">
        <f t="shared" si="247"/>
        <v>2</v>
      </c>
    </row>
    <row r="3016" spans="1:12" x14ac:dyDescent="0.25">
      <c r="G3016" t="str">
        <f t="shared" si="248"/>
        <v>06/22/19</v>
      </c>
      <c r="H3016" t="str">
        <f t="shared" si="243"/>
        <v/>
      </c>
      <c r="I3016" s="60" t="str">
        <f t="shared" si="244"/>
        <v/>
      </c>
      <c r="J3016" t="str">
        <f t="shared" si="245"/>
        <v/>
      </c>
      <c r="K3016" s="60" t="str">
        <f t="shared" si="246"/>
        <v/>
      </c>
      <c r="L3016" t="str">
        <f t="shared" si="247"/>
        <v/>
      </c>
    </row>
    <row r="3017" spans="1:12" x14ac:dyDescent="0.25">
      <c r="A3017" t="s">
        <v>2933</v>
      </c>
      <c r="G3017" t="str">
        <f t="shared" si="248"/>
        <v>06/22/19</v>
      </c>
      <c r="H3017" t="str">
        <f t="shared" si="243"/>
        <v>Colorado Rockies</v>
      </c>
      <c r="I3017" s="60">
        <f t="shared" si="244"/>
        <v>4</v>
      </c>
      <c r="J3017" t="str">
        <f t="shared" si="245"/>
        <v>Los Angeles Dodgers</v>
      </c>
      <c r="K3017" s="60">
        <f t="shared" si="246"/>
        <v>5</v>
      </c>
      <c r="L3017">
        <f t="shared" si="247"/>
        <v>-1</v>
      </c>
    </row>
    <row r="3018" spans="1:12" x14ac:dyDescent="0.25">
      <c r="G3018" t="str">
        <f t="shared" si="248"/>
        <v>06/22/19</v>
      </c>
      <c r="H3018" t="str">
        <f t="shared" si="243"/>
        <v/>
      </c>
      <c r="I3018" s="60" t="str">
        <f t="shared" si="244"/>
        <v/>
      </c>
      <c r="J3018" t="str">
        <f t="shared" si="245"/>
        <v/>
      </c>
      <c r="K3018" s="60" t="str">
        <f t="shared" si="246"/>
        <v/>
      </c>
      <c r="L3018" t="str">
        <f t="shared" si="247"/>
        <v/>
      </c>
    </row>
    <row r="3019" spans="1:12" x14ac:dyDescent="0.25">
      <c r="A3019" t="s">
        <v>2934</v>
      </c>
      <c r="G3019" t="str">
        <f t="shared" si="248"/>
        <v>06/22/19</v>
      </c>
      <c r="H3019" t="str">
        <f t="shared" si="243"/>
        <v>Cincinnati Reds</v>
      </c>
      <c r="I3019" s="60">
        <f t="shared" si="244"/>
        <v>5</v>
      </c>
      <c r="J3019" t="str">
        <f t="shared" si="245"/>
        <v>Milwaukee Brewers</v>
      </c>
      <c r="K3019" s="60">
        <f t="shared" si="246"/>
        <v>6</v>
      </c>
      <c r="L3019">
        <f t="shared" si="247"/>
        <v>-1</v>
      </c>
    </row>
    <row r="3020" spans="1:12" x14ac:dyDescent="0.25">
      <c r="G3020" t="str">
        <f t="shared" si="248"/>
        <v>06/22/19</v>
      </c>
      <c r="H3020" t="str">
        <f t="shared" si="243"/>
        <v/>
      </c>
      <c r="I3020" s="60" t="str">
        <f t="shared" si="244"/>
        <v/>
      </c>
      <c r="J3020" t="str">
        <f t="shared" si="245"/>
        <v/>
      </c>
      <c r="K3020" s="60" t="str">
        <f t="shared" si="246"/>
        <v/>
      </c>
      <c r="L3020" t="str">
        <f t="shared" si="247"/>
        <v/>
      </c>
    </row>
    <row r="3021" spans="1:12" x14ac:dyDescent="0.25">
      <c r="A3021" t="s">
        <v>2935</v>
      </c>
      <c r="G3021" t="str">
        <f t="shared" si="248"/>
        <v>06/22/19</v>
      </c>
      <c r="H3021" t="str">
        <f t="shared" si="243"/>
        <v>Houston Astros</v>
      </c>
      <c r="I3021" s="60">
        <f t="shared" si="244"/>
        <v>5</v>
      </c>
      <c r="J3021" t="str">
        <f t="shared" si="245"/>
        <v>New York Yankees</v>
      </c>
      <c r="K3021" s="60">
        <f t="shared" si="246"/>
        <v>7</v>
      </c>
      <c r="L3021">
        <f t="shared" si="247"/>
        <v>-2</v>
      </c>
    </row>
    <row r="3022" spans="1:12" x14ac:dyDescent="0.25">
      <c r="G3022" t="str">
        <f t="shared" si="248"/>
        <v>06/22/19</v>
      </c>
      <c r="H3022" t="str">
        <f t="shared" si="243"/>
        <v/>
      </c>
      <c r="I3022" s="60" t="str">
        <f t="shared" si="244"/>
        <v/>
      </c>
      <c r="J3022" t="str">
        <f t="shared" si="245"/>
        <v/>
      </c>
      <c r="K3022" s="60" t="str">
        <f t="shared" si="246"/>
        <v/>
      </c>
      <c r="L3022" t="str">
        <f t="shared" si="247"/>
        <v/>
      </c>
    </row>
    <row r="3023" spans="1:12" x14ac:dyDescent="0.25">
      <c r="A3023" t="s">
        <v>2936</v>
      </c>
      <c r="G3023" t="str">
        <f t="shared" si="248"/>
        <v>06/22/19</v>
      </c>
      <c r="H3023" t="str">
        <f t="shared" si="243"/>
        <v>Tampa Bay Rays</v>
      </c>
      <c r="I3023" s="60">
        <f t="shared" si="244"/>
        <v>2</v>
      </c>
      <c r="J3023" t="str">
        <f t="shared" si="245"/>
        <v>Oakland Athletics</v>
      </c>
      <c r="K3023" s="60">
        <f t="shared" si="246"/>
        <v>4</v>
      </c>
      <c r="L3023">
        <f t="shared" si="247"/>
        <v>-2</v>
      </c>
    </row>
    <row r="3024" spans="1:12" x14ac:dyDescent="0.25">
      <c r="G3024" t="str">
        <f t="shared" si="248"/>
        <v>06/22/19</v>
      </c>
      <c r="H3024" t="str">
        <f t="shared" ref="H3024:H3087" si="249">IFERROR(LEFT(MID(A3024,1,SEARCH("@",A3024)-2),SEARCH("(",A3024)-2),"")</f>
        <v/>
      </c>
      <c r="I3024" s="60" t="str">
        <f t="shared" ref="I3024:I3087" si="250">IFERROR(VALUE(MID(A3024,SEARCH("(",A3024)+1,SEARCH(")",A3024)-SEARCH("(",A3024)-1)),"")</f>
        <v/>
      </c>
      <c r="J3024" t="str">
        <f t="shared" ref="J3024:J3087" si="251">IFERROR(MID(A3024,SEARCH("@",A3024)+2,SEARCH("(",A3024,SEARCH("@",A3024))-SEARCH("@",A3024)-3),"")</f>
        <v/>
      </c>
      <c r="K3024" s="60" t="str">
        <f t="shared" ref="K3024:K3087" si="252">IFERROR(VALUE(MID(A3024,SEARCH(J3024,A3024)+LEN(J3024)+2,(SEARCH(")",A3024,SEARCH("@",A3024))-SEARCH("(",A3024,SEARCH("@",A3024))-1))),"")</f>
        <v/>
      </c>
      <c r="L3024" t="str">
        <f t="shared" ref="L3024:L3087" si="253">IFERROR(I3024-K3024,"")</f>
        <v/>
      </c>
    </row>
    <row r="3025" spans="1:12" x14ac:dyDescent="0.25">
      <c r="A3025" t="s">
        <v>2937</v>
      </c>
      <c r="G3025" t="str">
        <f t="shared" si="248"/>
        <v>06/22/19</v>
      </c>
      <c r="H3025" t="str">
        <f t="shared" si="249"/>
        <v>Miami Marlins</v>
      </c>
      <c r="I3025" s="60">
        <f t="shared" si="250"/>
        <v>5</v>
      </c>
      <c r="J3025" t="str">
        <f t="shared" si="251"/>
        <v>Philadelphia Phillies</v>
      </c>
      <c r="K3025" s="60">
        <f t="shared" si="252"/>
        <v>3</v>
      </c>
      <c r="L3025">
        <f t="shared" si="253"/>
        <v>2</v>
      </c>
    </row>
    <row r="3026" spans="1:12" x14ac:dyDescent="0.25">
      <c r="G3026" t="str">
        <f t="shared" si="248"/>
        <v>06/22/19</v>
      </c>
      <c r="H3026" t="str">
        <f t="shared" si="249"/>
        <v/>
      </c>
      <c r="I3026" s="60" t="str">
        <f t="shared" si="250"/>
        <v/>
      </c>
      <c r="J3026" t="str">
        <f t="shared" si="251"/>
        <v/>
      </c>
      <c r="K3026" s="60" t="str">
        <f t="shared" si="252"/>
        <v/>
      </c>
      <c r="L3026" t="str">
        <f t="shared" si="253"/>
        <v/>
      </c>
    </row>
    <row r="3027" spans="1:12" x14ac:dyDescent="0.25">
      <c r="A3027" t="s">
        <v>2938</v>
      </c>
      <c r="G3027" t="str">
        <f t="shared" si="248"/>
        <v>06/22/19</v>
      </c>
      <c r="H3027" t="str">
        <f t="shared" si="249"/>
        <v>San Diego Padres</v>
      </c>
      <c r="I3027" s="60">
        <f t="shared" si="250"/>
        <v>3</v>
      </c>
      <c r="J3027" t="str">
        <f t="shared" si="251"/>
        <v>Pittsburgh Pirates</v>
      </c>
      <c r="K3027" s="60">
        <f t="shared" si="252"/>
        <v>6</v>
      </c>
      <c r="L3027">
        <f t="shared" si="253"/>
        <v>-3</v>
      </c>
    </row>
    <row r="3028" spans="1:12" x14ac:dyDescent="0.25">
      <c r="G3028" t="str">
        <f t="shared" si="248"/>
        <v>06/22/19</v>
      </c>
      <c r="H3028" t="str">
        <f t="shared" si="249"/>
        <v/>
      </c>
      <c r="I3028" s="60" t="str">
        <f t="shared" si="250"/>
        <v/>
      </c>
      <c r="J3028" t="str">
        <f t="shared" si="251"/>
        <v/>
      </c>
      <c r="K3028" s="60" t="str">
        <f t="shared" si="252"/>
        <v/>
      </c>
      <c r="L3028" t="str">
        <f t="shared" si="253"/>
        <v/>
      </c>
    </row>
    <row r="3029" spans="1:12" x14ac:dyDescent="0.25">
      <c r="A3029" t="s">
        <v>2939</v>
      </c>
      <c r="G3029" t="str">
        <f t="shared" si="248"/>
        <v>06/22/19</v>
      </c>
      <c r="H3029" t="str">
        <f t="shared" si="249"/>
        <v>Baltimore Orioles</v>
      </c>
      <c r="I3029" s="60">
        <f t="shared" si="250"/>
        <v>8</v>
      </c>
      <c r="J3029" t="str">
        <f t="shared" si="251"/>
        <v>Seattle Mariners</v>
      </c>
      <c r="K3029" s="60">
        <f t="shared" si="252"/>
        <v>4</v>
      </c>
      <c r="L3029">
        <f t="shared" si="253"/>
        <v>4</v>
      </c>
    </row>
    <row r="3030" spans="1:12" x14ac:dyDescent="0.25">
      <c r="G3030" t="str">
        <f t="shared" si="248"/>
        <v>06/22/19</v>
      </c>
      <c r="H3030" t="str">
        <f t="shared" si="249"/>
        <v/>
      </c>
      <c r="I3030" s="60" t="str">
        <f t="shared" si="250"/>
        <v/>
      </c>
      <c r="J3030" t="str">
        <f t="shared" si="251"/>
        <v/>
      </c>
      <c r="K3030" s="60" t="str">
        <f t="shared" si="252"/>
        <v/>
      </c>
      <c r="L3030" t="str">
        <f t="shared" si="253"/>
        <v/>
      </c>
    </row>
    <row r="3031" spans="1:12" x14ac:dyDescent="0.25">
      <c r="A3031" t="s">
        <v>2940</v>
      </c>
      <c r="G3031" t="str">
        <f t="shared" si="248"/>
        <v>06/22/19</v>
      </c>
      <c r="H3031" t="str">
        <f t="shared" si="249"/>
        <v>Los Angeles Angels</v>
      </c>
      <c r="I3031" s="60">
        <f t="shared" si="250"/>
        <v>2</v>
      </c>
      <c r="J3031" t="str">
        <f t="shared" si="251"/>
        <v>St. Louis Cardinals</v>
      </c>
      <c r="K3031" s="60">
        <f t="shared" si="252"/>
        <v>4</v>
      </c>
      <c r="L3031">
        <f t="shared" si="253"/>
        <v>-2</v>
      </c>
    </row>
    <row r="3032" spans="1:12" x14ac:dyDescent="0.25">
      <c r="G3032" t="str">
        <f t="shared" si="248"/>
        <v>06/22/19</v>
      </c>
      <c r="H3032" t="str">
        <f t="shared" si="249"/>
        <v/>
      </c>
      <c r="I3032" s="60" t="str">
        <f t="shared" si="250"/>
        <v/>
      </c>
      <c r="J3032" t="str">
        <f t="shared" si="251"/>
        <v/>
      </c>
      <c r="K3032" s="60" t="str">
        <f t="shared" si="252"/>
        <v/>
      </c>
      <c r="L3032" t="str">
        <f t="shared" si="253"/>
        <v/>
      </c>
    </row>
    <row r="3033" spans="1:12" x14ac:dyDescent="0.25">
      <c r="A3033" t="s">
        <v>2941</v>
      </c>
      <c r="G3033" t="str">
        <f t="shared" si="248"/>
        <v>06/22/19</v>
      </c>
      <c r="H3033" t="str">
        <f t="shared" si="249"/>
        <v>Chicago White Sox</v>
      </c>
      <c r="I3033" s="60">
        <f t="shared" si="250"/>
        <v>5</v>
      </c>
      <c r="J3033" t="str">
        <f t="shared" si="251"/>
        <v>Texas Rangers</v>
      </c>
      <c r="K3033" s="60">
        <f t="shared" si="252"/>
        <v>6</v>
      </c>
      <c r="L3033">
        <f t="shared" si="253"/>
        <v>-1</v>
      </c>
    </row>
    <row r="3034" spans="1:12" x14ac:dyDescent="0.25">
      <c r="G3034" t="str">
        <f t="shared" si="248"/>
        <v>06/22/19</v>
      </c>
      <c r="H3034" t="str">
        <f t="shared" si="249"/>
        <v/>
      </c>
      <c r="I3034" s="60" t="str">
        <f t="shared" si="250"/>
        <v/>
      </c>
      <c r="J3034" t="str">
        <f t="shared" si="251"/>
        <v/>
      </c>
      <c r="K3034" s="60" t="str">
        <f t="shared" si="252"/>
        <v/>
      </c>
      <c r="L3034" t="str">
        <f t="shared" si="253"/>
        <v/>
      </c>
    </row>
    <row r="3035" spans="1:12" x14ac:dyDescent="0.25">
      <c r="A3035" t="s">
        <v>2942</v>
      </c>
      <c r="G3035" t="str">
        <f t="shared" si="248"/>
        <v>06/22/19</v>
      </c>
      <c r="H3035" t="str">
        <f t="shared" si="249"/>
        <v>Atlanta Braves</v>
      </c>
      <c r="I3035" s="60">
        <f t="shared" si="250"/>
        <v>13</v>
      </c>
      <c r="J3035" t="str">
        <f t="shared" si="251"/>
        <v>Washington Nationals</v>
      </c>
      <c r="K3035" s="60">
        <f t="shared" si="252"/>
        <v>9</v>
      </c>
      <c r="L3035">
        <f t="shared" si="253"/>
        <v>4</v>
      </c>
    </row>
    <row r="3036" spans="1:12" x14ac:dyDescent="0.25">
      <c r="G3036" t="str">
        <f t="shared" si="248"/>
        <v>06/22/19</v>
      </c>
      <c r="H3036" t="str">
        <f t="shared" si="249"/>
        <v/>
      </c>
      <c r="I3036" s="60" t="str">
        <f t="shared" si="250"/>
        <v/>
      </c>
      <c r="J3036" t="str">
        <f t="shared" si="251"/>
        <v/>
      </c>
      <c r="K3036" s="60" t="str">
        <f t="shared" si="252"/>
        <v/>
      </c>
      <c r="L3036" t="str">
        <f t="shared" si="253"/>
        <v/>
      </c>
    </row>
    <row r="3037" spans="1:12" x14ac:dyDescent="0.25">
      <c r="A3037" t="s">
        <v>2943</v>
      </c>
      <c r="G3037" t="str">
        <f t="shared" si="248"/>
        <v>06/22/19</v>
      </c>
      <c r="H3037" t="str">
        <f t="shared" si="249"/>
        <v/>
      </c>
      <c r="I3037" s="60" t="str">
        <f t="shared" si="250"/>
        <v/>
      </c>
      <c r="J3037" t="str">
        <f t="shared" si="251"/>
        <v/>
      </c>
      <c r="K3037" s="60" t="str">
        <f t="shared" si="252"/>
        <v/>
      </c>
      <c r="L3037" t="str">
        <f t="shared" si="253"/>
        <v/>
      </c>
    </row>
    <row r="3038" spans="1:12" x14ac:dyDescent="0.25">
      <c r="G3038" t="str">
        <f t="shared" si="248"/>
        <v>06/22/19</v>
      </c>
      <c r="H3038" t="str">
        <f t="shared" si="249"/>
        <v/>
      </c>
      <c r="I3038" s="60" t="str">
        <f t="shared" si="250"/>
        <v/>
      </c>
      <c r="J3038" t="str">
        <f t="shared" si="251"/>
        <v/>
      </c>
      <c r="K3038" s="60" t="str">
        <f t="shared" si="252"/>
        <v/>
      </c>
      <c r="L3038" t="str">
        <f t="shared" si="253"/>
        <v/>
      </c>
    </row>
    <row r="3039" spans="1:12" x14ac:dyDescent="0.25">
      <c r="A3039" t="s">
        <v>2944</v>
      </c>
      <c r="G3039" t="str">
        <f t="shared" si="248"/>
        <v>06/23/19</v>
      </c>
      <c r="H3039" t="str">
        <f t="shared" si="249"/>
        <v/>
      </c>
      <c r="I3039" s="60" t="str">
        <f t="shared" si="250"/>
        <v/>
      </c>
      <c r="J3039" t="str">
        <f t="shared" si="251"/>
        <v/>
      </c>
      <c r="K3039" s="60" t="str">
        <f t="shared" si="252"/>
        <v/>
      </c>
      <c r="L3039" t="str">
        <f t="shared" si="253"/>
        <v/>
      </c>
    </row>
    <row r="3040" spans="1:12" x14ac:dyDescent="0.25">
      <c r="G3040" t="str">
        <f t="shared" si="248"/>
        <v>06/23/19</v>
      </c>
      <c r="H3040" t="str">
        <f t="shared" si="249"/>
        <v/>
      </c>
      <c r="I3040" s="60" t="str">
        <f t="shared" si="250"/>
        <v/>
      </c>
      <c r="J3040" t="str">
        <f t="shared" si="251"/>
        <v/>
      </c>
      <c r="K3040" s="60" t="str">
        <f t="shared" si="252"/>
        <v/>
      </c>
      <c r="L3040" t="str">
        <f t="shared" si="253"/>
        <v/>
      </c>
    </row>
    <row r="3041" spans="1:12" x14ac:dyDescent="0.25">
      <c r="A3041" t="s">
        <v>2945</v>
      </c>
      <c r="G3041" t="str">
        <f t="shared" si="248"/>
        <v>06/23/19</v>
      </c>
      <c r="H3041" t="str">
        <f t="shared" si="249"/>
        <v>San Francisco Giants</v>
      </c>
      <c r="I3041" s="60">
        <f t="shared" si="250"/>
        <v>2</v>
      </c>
      <c r="J3041" t="str">
        <f t="shared" si="251"/>
        <v>Arizona D'Backs</v>
      </c>
      <c r="K3041" s="60">
        <f t="shared" si="252"/>
        <v>3</v>
      </c>
      <c r="L3041">
        <f t="shared" si="253"/>
        <v>-1</v>
      </c>
    </row>
    <row r="3042" spans="1:12" x14ac:dyDescent="0.25">
      <c r="G3042" t="str">
        <f t="shared" ref="G3042:G3105" si="254">IF(ISNUMBER(MATCH(IFERROR(LEFT(A3042,SEARCH(",",A3042)-1),""),$G$220:$M$220,0)),TEXT(MID(A3042,SEARCH(",",A3042)+2,LEN(A3042)),"mm/dd/yy"),G3041)</f>
        <v>06/23/19</v>
      </c>
      <c r="H3042" t="str">
        <f t="shared" si="249"/>
        <v/>
      </c>
      <c r="I3042" s="60" t="str">
        <f t="shared" si="250"/>
        <v/>
      </c>
      <c r="J3042" t="str">
        <f t="shared" si="251"/>
        <v/>
      </c>
      <c r="K3042" s="60" t="str">
        <f t="shared" si="252"/>
        <v/>
      </c>
      <c r="L3042" t="str">
        <f t="shared" si="253"/>
        <v/>
      </c>
    </row>
    <row r="3043" spans="1:12" x14ac:dyDescent="0.25">
      <c r="A3043" t="s">
        <v>2946</v>
      </c>
      <c r="G3043" t="str">
        <f t="shared" si="254"/>
        <v>06/23/19</v>
      </c>
      <c r="H3043" t="str">
        <f t="shared" si="249"/>
        <v>Toronto Blue Jays</v>
      </c>
      <c r="I3043" s="60">
        <f t="shared" si="250"/>
        <v>6</v>
      </c>
      <c r="J3043" t="str">
        <f t="shared" si="251"/>
        <v>Boston Red Sox</v>
      </c>
      <c r="K3043" s="60">
        <f t="shared" si="252"/>
        <v>1</v>
      </c>
      <c r="L3043">
        <f t="shared" si="253"/>
        <v>5</v>
      </c>
    </row>
    <row r="3044" spans="1:12" x14ac:dyDescent="0.25">
      <c r="G3044" t="str">
        <f t="shared" si="254"/>
        <v>06/23/19</v>
      </c>
      <c r="H3044" t="str">
        <f t="shared" si="249"/>
        <v/>
      </c>
      <c r="I3044" s="60" t="str">
        <f t="shared" si="250"/>
        <v/>
      </c>
      <c r="J3044" t="str">
        <f t="shared" si="251"/>
        <v/>
      </c>
      <c r="K3044" s="60" t="str">
        <f t="shared" si="252"/>
        <v/>
      </c>
      <c r="L3044" t="str">
        <f t="shared" si="253"/>
        <v/>
      </c>
    </row>
    <row r="3045" spans="1:12" x14ac:dyDescent="0.25">
      <c r="A3045" t="s">
        <v>2947</v>
      </c>
      <c r="G3045" t="str">
        <f t="shared" si="254"/>
        <v>06/23/19</v>
      </c>
      <c r="H3045" t="str">
        <f t="shared" si="249"/>
        <v>New York Mets</v>
      </c>
      <c r="I3045" s="60">
        <f t="shared" si="250"/>
        <v>3</v>
      </c>
      <c r="J3045" t="str">
        <f t="shared" si="251"/>
        <v>Chicago Cubs</v>
      </c>
      <c r="K3045" s="60">
        <f t="shared" si="252"/>
        <v>5</v>
      </c>
      <c r="L3045">
        <f t="shared" si="253"/>
        <v>-2</v>
      </c>
    </row>
    <row r="3046" spans="1:12" x14ac:dyDescent="0.25">
      <c r="G3046" t="str">
        <f t="shared" si="254"/>
        <v>06/23/19</v>
      </c>
      <c r="H3046" t="str">
        <f t="shared" si="249"/>
        <v/>
      </c>
      <c r="I3046" s="60" t="str">
        <f t="shared" si="250"/>
        <v/>
      </c>
      <c r="J3046" t="str">
        <f t="shared" si="251"/>
        <v/>
      </c>
      <c r="K3046" s="60" t="str">
        <f t="shared" si="252"/>
        <v/>
      </c>
      <c r="L3046" t="str">
        <f t="shared" si="253"/>
        <v/>
      </c>
    </row>
    <row r="3047" spans="1:12" x14ac:dyDescent="0.25">
      <c r="A3047" t="s">
        <v>2948</v>
      </c>
      <c r="G3047" t="str">
        <f t="shared" si="254"/>
        <v>06/23/19</v>
      </c>
      <c r="H3047" t="str">
        <f t="shared" si="249"/>
        <v>Detroit Tigers</v>
      </c>
      <c r="I3047" s="60">
        <f t="shared" si="250"/>
        <v>3</v>
      </c>
      <c r="J3047" t="str">
        <f t="shared" si="251"/>
        <v>Cleveland Indians</v>
      </c>
      <c r="K3047" s="60">
        <f t="shared" si="252"/>
        <v>8</v>
      </c>
      <c r="L3047">
        <f t="shared" si="253"/>
        <v>-5</v>
      </c>
    </row>
    <row r="3048" spans="1:12" x14ac:dyDescent="0.25">
      <c r="G3048" t="str">
        <f t="shared" si="254"/>
        <v>06/23/19</v>
      </c>
      <c r="H3048" t="str">
        <f t="shared" si="249"/>
        <v/>
      </c>
      <c r="I3048" s="60" t="str">
        <f t="shared" si="250"/>
        <v/>
      </c>
      <c r="J3048" t="str">
        <f t="shared" si="251"/>
        <v/>
      </c>
      <c r="K3048" s="60" t="str">
        <f t="shared" si="252"/>
        <v/>
      </c>
      <c r="L3048" t="str">
        <f t="shared" si="253"/>
        <v/>
      </c>
    </row>
    <row r="3049" spans="1:12" x14ac:dyDescent="0.25">
      <c r="A3049" t="s">
        <v>2949</v>
      </c>
      <c r="G3049" t="str">
        <f t="shared" si="254"/>
        <v>06/23/19</v>
      </c>
      <c r="H3049" t="str">
        <f t="shared" si="249"/>
        <v>Minnesota Twins</v>
      </c>
      <c r="I3049" s="60">
        <f t="shared" si="250"/>
        <v>1</v>
      </c>
      <c r="J3049" t="str">
        <f t="shared" si="251"/>
        <v>Kansas City Royals</v>
      </c>
      <c r="K3049" s="60">
        <f t="shared" si="252"/>
        <v>6</v>
      </c>
      <c r="L3049">
        <f t="shared" si="253"/>
        <v>-5</v>
      </c>
    </row>
    <row r="3050" spans="1:12" x14ac:dyDescent="0.25">
      <c r="G3050" t="str">
        <f t="shared" si="254"/>
        <v>06/23/19</v>
      </c>
      <c r="H3050" t="str">
        <f t="shared" si="249"/>
        <v/>
      </c>
      <c r="I3050" s="60" t="str">
        <f t="shared" si="250"/>
        <v/>
      </c>
      <c r="J3050" t="str">
        <f t="shared" si="251"/>
        <v/>
      </c>
      <c r="K3050" s="60" t="str">
        <f t="shared" si="252"/>
        <v/>
      </c>
      <c r="L3050" t="str">
        <f t="shared" si="253"/>
        <v/>
      </c>
    </row>
    <row r="3051" spans="1:12" x14ac:dyDescent="0.25">
      <c r="A3051" t="s">
        <v>2950</v>
      </c>
      <c r="G3051" t="str">
        <f t="shared" si="254"/>
        <v>06/23/19</v>
      </c>
      <c r="H3051" t="str">
        <f t="shared" si="249"/>
        <v>Colorado Rockies</v>
      </c>
      <c r="I3051" s="60">
        <f t="shared" si="250"/>
        <v>3</v>
      </c>
      <c r="J3051" t="str">
        <f t="shared" si="251"/>
        <v>Los Angeles Dodgers</v>
      </c>
      <c r="K3051" s="60">
        <f t="shared" si="252"/>
        <v>6</v>
      </c>
      <c r="L3051">
        <f t="shared" si="253"/>
        <v>-3</v>
      </c>
    </row>
    <row r="3052" spans="1:12" x14ac:dyDescent="0.25">
      <c r="G3052" t="str">
        <f t="shared" si="254"/>
        <v>06/23/19</v>
      </c>
      <c r="H3052" t="str">
        <f t="shared" si="249"/>
        <v/>
      </c>
      <c r="I3052" s="60" t="str">
        <f t="shared" si="250"/>
        <v/>
      </c>
      <c r="J3052" t="str">
        <f t="shared" si="251"/>
        <v/>
      </c>
      <c r="K3052" s="60" t="str">
        <f t="shared" si="252"/>
        <v/>
      </c>
      <c r="L3052" t="str">
        <f t="shared" si="253"/>
        <v/>
      </c>
    </row>
    <row r="3053" spans="1:12" x14ac:dyDescent="0.25">
      <c r="A3053" t="s">
        <v>2951</v>
      </c>
      <c r="G3053" t="str">
        <f t="shared" si="254"/>
        <v>06/23/19</v>
      </c>
      <c r="H3053" t="str">
        <f t="shared" si="249"/>
        <v>Cincinnati Reds</v>
      </c>
      <c r="I3053" s="60">
        <f t="shared" si="250"/>
        <v>5</v>
      </c>
      <c r="J3053" t="str">
        <f t="shared" si="251"/>
        <v>Milwaukee Brewers</v>
      </c>
      <c r="K3053" s="60">
        <f t="shared" si="252"/>
        <v>7</v>
      </c>
      <c r="L3053">
        <f t="shared" si="253"/>
        <v>-2</v>
      </c>
    </row>
    <row r="3054" spans="1:12" x14ac:dyDescent="0.25">
      <c r="G3054" t="str">
        <f t="shared" si="254"/>
        <v>06/23/19</v>
      </c>
      <c r="H3054" t="str">
        <f t="shared" si="249"/>
        <v/>
      </c>
      <c r="I3054" s="60" t="str">
        <f t="shared" si="250"/>
        <v/>
      </c>
      <c r="J3054" t="str">
        <f t="shared" si="251"/>
        <v/>
      </c>
      <c r="K3054" s="60" t="str">
        <f t="shared" si="252"/>
        <v/>
      </c>
      <c r="L3054" t="str">
        <f t="shared" si="253"/>
        <v/>
      </c>
    </row>
    <row r="3055" spans="1:12" x14ac:dyDescent="0.25">
      <c r="A3055" t="s">
        <v>2952</v>
      </c>
      <c r="G3055" t="str">
        <f t="shared" si="254"/>
        <v>06/23/19</v>
      </c>
      <c r="H3055" t="str">
        <f t="shared" si="249"/>
        <v>Houston Astros</v>
      </c>
      <c r="I3055" s="60">
        <f t="shared" si="250"/>
        <v>9</v>
      </c>
      <c r="J3055" t="str">
        <f t="shared" si="251"/>
        <v>New York Yankees</v>
      </c>
      <c r="K3055" s="60">
        <f t="shared" si="252"/>
        <v>4</v>
      </c>
      <c r="L3055">
        <f t="shared" si="253"/>
        <v>5</v>
      </c>
    </row>
    <row r="3056" spans="1:12" x14ac:dyDescent="0.25">
      <c r="G3056" t="str">
        <f t="shared" si="254"/>
        <v>06/23/19</v>
      </c>
      <c r="H3056" t="str">
        <f t="shared" si="249"/>
        <v/>
      </c>
      <c r="I3056" s="60" t="str">
        <f t="shared" si="250"/>
        <v/>
      </c>
      <c r="J3056" t="str">
        <f t="shared" si="251"/>
        <v/>
      </c>
      <c r="K3056" s="60" t="str">
        <f t="shared" si="252"/>
        <v/>
      </c>
      <c r="L3056" t="str">
        <f t="shared" si="253"/>
        <v/>
      </c>
    </row>
    <row r="3057" spans="1:12" x14ac:dyDescent="0.25">
      <c r="A3057" t="s">
        <v>2953</v>
      </c>
      <c r="G3057" t="str">
        <f t="shared" si="254"/>
        <v>06/23/19</v>
      </c>
      <c r="H3057" t="str">
        <f t="shared" si="249"/>
        <v>Tampa Bay Rays</v>
      </c>
      <c r="I3057" s="60">
        <f t="shared" si="250"/>
        <v>8</v>
      </c>
      <c r="J3057" t="str">
        <f t="shared" si="251"/>
        <v>Oakland Athletics</v>
      </c>
      <c r="K3057" s="60">
        <f t="shared" si="252"/>
        <v>2</v>
      </c>
      <c r="L3057">
        <f t="shared" si="253"/>
        <v>6</v>
      </c>
    </row>
    <row r="3058" spans="1:12" x14ac:dyDescent="0.25">
      <c r="G3058" t="str">
        <f t="shared" si="254"/>
        <v>06/23/19</v>
      </c>
      <c r="H3058" t="str">
        <f t="shared" si="249"/>
        <v/>
      </c>
      <c r="I3058" s="60" t="str">
        <f t="shared" si="250"/>
        <v/>
      </c>
      <c r="J3058" t="str">
        <f t="shared" si="251"/>
        <v/>
      </c>
      <c r="K3058" s="60" t="str">
        <f t="shared" si="252"/>
        <v/>
      </c>
      <c r="L3058" t="str">
        <f t="shared" si="253"/>
        <v/>
      </c>
    </row>
    <row r="3059" spans="1:12" x14ac:dyDescent="0.25">
      <c r="A3059" t="s">
        <v>2954</v>
      </c>
      <c r="G3059" t="str">
        <f t="shared" si="254"/>
        <v>06/23/19</v>
      </c>
      <c r="H3059" t="str">
        <f t="shared" si="249"/>
        <v>Miami Marlins</v>
      </c>
      <c r="I3059" s="60">
        <f t="shared" si="250"/>
        <v>6</v>
      </c>
      <c r="J3059" t="str">
        <f t="shared" si="251"/>
        <v>Philadelphia Phillies</v>
      </c>
      <c r="K3059" s="60">
        <f t="shared" si="252"/>
        <v>4</v>
      </c>
      <c r="L3059">
        <f t="shared" si="253"/>
        <v>2</v>
      </c>
    </row>
    <row r="3060" spans="1:12" x14ac:dyDescent="0.25">
      <c r="G3060" t="str">
        <f t="shared" si="254"/>
        <v>06/23/19</v>
      </c>
      <c r="H3060" t="str">
        <f t="shared" si="249"/>
        <v/>
      </c>
      <c r="I3060" s="60" t="str">
        <f t="shared" si="250"/>
        <v/>
      </c>
      <c r="J3060" t="str">
        <f t="shared" si="251"/>
        <v/>
      </c>
      <c r="K3060" s="60" t="str">
        <f t="shared" si="252"/>
        <v/>
      </c>
      <c r="L3060" t="str">
        <f t="shared" si="253"/>
        <v/>
      </c>
    </row>
    <row r="3061" spans="1:12" x14ac:dyDescent="0.25">
      <c r="A3061" t="s">
        <v>2955</v>
      </c>
      <c r="G3061" t="str">
        <f t="shared" si="254"/>
        <v>06/23/19</v>
      </c>
      <c r="H3061" t="str">
        <f t="shared" si="249"/>
        <v>San Diego Padres</v>
      </c>
      <c r="I3061" s="60">
        <f t="shared" si="250"/>
        <v>10</v>
      </c>
      <c r="J3061" t="str">
        <f t="shared" si="251"/>
        <v>Pittsburgh Pirates</v>
      </c>
      <c r="K3061" s="60">
        <f t="shared" si="252"/>
        <v>11</v>
      </c>
      <c r="L3061">
        <f t="shared" si="253"/>
        <v>-1</v>
      </c>
    </row>
    <row r="3062" spans="1:12" x14ac:dyDescent="0.25">
      <c r="G3062" t="str">
        <f t="shared" si="254"/>
        <v>06/23/19</v>
      </c>
      <c r="H3062" t="str">
        <f t="shared" si="249"/>
        <v/>
      </c>
      <c r="I3062" s="60" t="str">
        <f t="shared" si="250"/>
        <v/>
      </c>
      <c r="J3062" t="str">
        <f t="shared" si="251"/>
        <v/>
      </c>
      <c r="K3062" s="60" t="str">
        <f t="shared" si="252"/>
        <v/>
      </c>
      <c r="L3062" t="str">
        <f t="shared" si="253"/>
        <v/>
      </c>
    </row>
    <row r="3063" spans="1:12" x14ac:dyDescent="0.25">
      <c r="A3063" t="s">
        <v>2956</v>
      </c>
      <c r="G3063" t="str">
        <f t="shared" si="254"/>
        <v>06/23/19</v>
      </c>
      <c r="H3063" t="str">
        <f t="shared" si="249"/>
        <v>Baltimore Orioles</v>
      </c>
      <c r="I3063" s="60">
        <f t="shared" si="250"/>
        <v>3</v>
      </c>
      <c r="J3063" t="str">
        <f t="shared" si="251"/>
        <v>Seattle Mariners</v>
      </c>
      <c r="K3063" s="60">
        <f t="shared" si="252"/>
        <v>13</v>
      </c>
      <c r="L3063">
        <f t="shared" si="253"/>
        <v>-10</v>
      </c>
    </row>
    <row r="3064" spans="1:12" x14ac:dyDescent="0.25">
      <c r="G3064" t="str">
        <f t="shared" si="254"/>
        <v>06/23/19</v>
      </c>
      <c r="H3064" t="str">
        <f t="shared" si="249"/>
        <v/>
      </c>
      <c r="I3064" s="60" t="str">
        <f t="shared" si="250"/>
        <v/>
      </c>
      <c r="J3064" t="str">
        <f t="shared" si="251"/>
        <v/>
      </c>
      <c r="K3064" s="60" t="str">
        <f t="shared" si="252"/>
        <v/>
      </c>
      <c r="L3064" t="str">
        <f t="shared" si="253"/>
        <v/>
      </c>
    </row>
    <row r="3065" spans="1:12" x14ac:dyDescent="0.25">
      <c r="A3065" t="s">
        <v>2957</v>
      </c>
      <c r="G3065" t="str">
        <f t="shared" si="254"/>
        <v>06/23/19</v>
      </c>
      <c r="H3065" t="str">
        <f t="shared" si="249"/>
        <v>Los Angeles Angels</v>
      </c>
      <c r="I3065" s="60">
        <f t="shared" si="250"/>
        <v>6</v>
      </c>
      <c r="J3065" t="str">
        <f t="shared" si="251"/>
        <v>St. Louis Cardinals</v>
      </c>
      <c r="K3065" s="60">
        <f t="shared" si="252"/>
        <v>4</v>
      </c>
      <c r="L3065">
        <f t="shared" si="253"/>
        <v>2</v>
      </c>
    </row>
    <row r="3066" spans="1:12" x14ac:dyDescent="0.25">
      <c r="G3066" t="str">
        <f t="shared" si="254"/>
        <v>06/23/19</v>
      </c>
      <c r="H3066" t="str">
        <f t="shared" si="249"/>
        <v/>
      </c>
      <c r="I3066" s="60" t="str">
        <f t="shared" si="250"/>
        <v/>
      </c>
      <c r="J3066" t="str">
        <f t="shared" si="251"/>
        <v/>
      </c>
      <c r="K3066" s="60" t="str">
        <f t="shared" si="252"/>
        <v/>
      </c>
      <c r="L3066" t="str">
        <f t="shared" si="253"/>
        <v/>
      </c>
    </row>
    <row r="3067" spans="1:12" x14ac:dyDescent="0.25">
      <c r="A3067" t="s">
        <v>2958</v>
      </c>
      <c r="G3067" t="str">
        <f t="shared" si="254"/>
        <v>06/23/19</v>
      </c>
      <c r="H3067" t="str">
        <f t="shared" si="249"/>
        <v>Chicago White Sox</v>
      </c>
      <c r="I3067" s="60">
        <f t="shared" si="250"/>
        <v>4</v>
      </c>
      <c r="J3067" t="str">
        <f t="shared" si="251"/>
        <v>Texas Rangers</v>
      </c>
      <c r="K3067" s="60">
        <f t="shared" si="252"/>
        <v>7</v>
      </c>
      <c r="L3067">
        <f t="shared" si="253"/>
        <v>-3</v>
      </c>
    </row>
    <row r="3068" spans="1:12" x14ac:dyDescent="0.25">
      <c r="G3068" t="str">
        <f t="shared" si="254"/>
        <v>06/23/19</v>
      </c>
      <c r="H3068" t="str">
        <f t="shared" si="249"/>
        <v/>
      </c>
      <c r="I3068" s="60" t="str">
        <f t="shared" si="250"/>
        <v/>
      </c>
      <c r="J3068" t="str">
        <f t="shared" si="251"/>
        <v/>
      </c>
      <c r="K3068" s="60" t="str">
        <f t="shared" si="252"/>
        <v/>
      </c>
      <c r="L3068" t="str">
        <f t="shared" si="253"/>
        <v/>
      </c>
    </row>
    <row r="3069" spans="1:12" x14ac:dyDescent="0.25">
      <c r="A3069" t="s">
        <v>2959</v>
      </c>
      <c r="G3069" t="str">
        <f t="shared" si="254"/>
        <v>06/23/19</v>
      </c>
      <c r="H3069" t="str">
        <f t="shared" si="249"/>
        <v>Atlanta Braves</v>
      </c>
      <c r="I3069" s="60">
        <f t="shared" si="250"/>
        <v>4</v>
      </c>
      <c r="J3069" t="str">
        <f t="shared" si="251"/>
        <v>Washington Nationals</v>
      </c>
      <c r="K3069" s="60">
        <f t="shared" si="252"/>
        <v>3</v>
      </c>
      <c r="L3069">
        <f t="shared" si="253"/>
        <v>1</v>
      </c>
    </row>
    <row r="3070" spans="1:12" x14ac:dyDescent="0.25">
      <c r="G3070" t="str">
        <f t="shared" si="254"/>
        <v>06/23/19</v>
      </c>
      <c r="H3070" t="str">
        <f t="shared" si="249"/>
        <v/>
      </c>
      <c r="I3070" s="60" t="str">
        <f t="shared" si="250"/>
        <v/>
      </c>
      <c r="J3070" t="str">
        <f t="shared" si="251"/>
        <v/>
      </c>
      <c r="K3070" s="60" t="str">
        <f t="shared" si="252"/>
        <v/>
      </c>
      <c r="L3070" t="str">
        <f t="shared" si="253"/>
        <v/>
      </c>
    </row>
    <row r="3071" spans="1:12" x14ac:dyDescent="0.25">
      <c r="A3071" t="s">
        <v>2960</v>
      </c>
      <c r="G3071" t="str">
        <f t="shared" si="254"/>
        <v>06/23/19</v>
      </c>
      <c r="H3071" t="str">
        <f t="shared" si="249"/>
        <v/>
      </c>
      <c r="I3071" s="60" t="str">
        <f t="shared" si="250"/>
        <v/>
      </c>
      <c r="J3071" t="str">
        <f t="shared" si="251"/>
        <v/>
      </c>
      <c r="K3071" s="60" t="str">
        <f t="shared" si="252"/>
        <v/>
      </c>
      <c r="L3071" t="str">
        <f t="shared" si="253"/>
        <v/>
      </c>
    </row>
    <row r="3072" spans="1:12" x14ac:dyDescent="0.25">
      <c r="G3072" t="str">
        <f t="shared" si="254"/>
        <v>06/23/19</v>
      </c>
      <c r="H3072" t="str">
        <f t="shared" si="249"/>
        <v/>
      </c>
      <c r="I3072" s="60" t="str">
        <f t="shared" si="250"/>
        <v/>
      </c>
      <c r="J3072" t="str">
        <f t="shared" si="251"/>
        <v/>
      </c>
      <c r="K3072" s="60" t="str">
        <f t="shared" si="252"/>
        <v/>
      </c>
      <c r="L3072" t="str">
        <f t="shared" si="253"/>
        <v/>
      </c>
    </row>
    <row r="3073" spans="1:12" x14ac:dyDescent="0.25">
      <c r="A3073" t="s">
        <v>2961</v>
      </c>
      <c r="G3073" t="str">
        <f t="shared" si="254"/>
        <v>06/24/19</v>
      </c>
      <c r="H3073" t="str">
        <f t="shared" si="249"/>
        <v/>
      </c>
      <c r="I3073" s="60" t="str">
        <f t="shared" si="250"/>
        <v/>
      </c>
      <c r="J3073" t="str">
        <f t="shared" si="251"/>
        <v/>
      </c>
      <c r="K3073" s="60" t="str">
        <f t="shared" si="252"/>
        <v/>
      </c>
      <c r="L3073" t="str">
        <f t="shared" si="253"/>
        <v/>
      </c>
    </row>
    <row r="3074" spans="1:12" x14ac:dyDescent="0.25">
      <c r="G3074" t="str">
        <f t="shared" si="254"/>
        <v>06/24/19</v>
      </c>
      <c r="H3074" t="str">
        <f t="shared" si="249"/>
        <v/>
      </c>
      <c r="I3074" s="60" t="str">
        <f t="shared" si="250"/>
        <v/>
      </c>
      <c r="J3074" t="str">
        <f t="shared" si="251"/>
        <v/>
      </c>
      <c r="K3074" s="60" t="str">
        <f t="shared" si="252"/>
        <v/>
      </c>
      <c r="L3074" t="str">
        <f t="shared" si="253"/>
        <v/>
      </c>
    </row>
    <row r="3075" spans="1:12" x14ac:dyDescent="0.25">
      <c r="A3075" t="s">
        <v>2962</v>
      </c>
      <c r="G3075" t="str">
        <f t="shared" si="254"/>
        <v>06/24/19</v>
      </c>
      <c r="H3075" t="str">
        <f t="shared" si="249"/>
        <v>Los Angeles Dodgers</v>
      </c>
      <c r="I3075" s="60">
        <f t="shared" si="250"/>
        <v>5</v>
      </c>
      <c r="J3075" t="str">
        <f t="shared" si="251"/>
        <v>Arizona D'Backs</v>
      </c>
      <c r="K3075" s="60">
        <f t="shared" si="252"/>
        <v>8</v>
      </c>
      <c r="L3075">
        <f t="shared" si="253"/>
        <v>-3</v>
      </c>
    </row>
    <row r="3076" spans="1:12" x14ac:dyDescent="0.25">
      <c r="G3076" t="str">
        <f t="shared" si="254"/>
        <v>06/24/19</v>
      </c>
      <c r="H3076" t="str">
        <f t="shared" si="249"/>
        <v/>
      </c>
      <c r="I3076" s="60" t="str">
        <f t="shared" si="250"/>
        <v/>
      </c>
      <c r="J3076" t="str">
        <f t="shared" si="251"/>
        <v/>
      </c>
      <c r="K3076" s="60" t="str">
        <f t="shared" si="252"/>
        <v/>
      </c>
      <c r="L3076" t="str">
        <f t="shared" si="253"/>
        <v/>
      </c>
    </row>
    <row r="3077" spans="1:12" x14ac:dyDescent="0.25">
      <c r="A3077" t="s">
        <v>2963</v>
      </c>
      <c r="G3077" t="str">
        <f t="shared" si="254"/>
        <v>06/24/19</v>
      </c>
      <c r="H3077" t="str">
        <f t="shared" si="249"/>
        <v>Chicago White Sox</v>
      </c>
      <c r="I3077" s="60">
        <f t="shared" si="250"/>
        <v>5</v>
      </c>
      <c r="J3077" t="str">
        <f t="shared" si="251"/>
        <v>Boston Red Sox</v>
      </c>
      <c r="K3077" s="60">
        <f t="shared" si="252"/>
        <v>6</v>
      </c>
      <c r="L3077">
        <f t="shared" si="253"/>
        <v>-1</v>
      </c>
    </row>
    <row r="3078" spans="1:12" x14ac:dyDescent="0.25">
      <c r="G3078" t="str">
        <f t="shared" si="254"/>
        <v>06/24/19</v>
      </c>
      <c r="H3078" t="str">
        <f t="shared" si="249"/>
        <v/>
      </c>
      <c r="I3078" s="60" t="str">
        <f t="shared" si="250"/>
        <v/>
      </c>
      <c r="J3078" t="str">
        <f t="shared" si="251"/>
        <v/>
      </c>
      <c r="K3078" s="60" t="str">
        <f t="shared" si="252"/>
        <v/>
      </c>
      <c r="L3078" t="str">
        <f t="shared" si="253"/>
        <v/>
      </c>
    </row>
    <row r="3079" spans="1:12" x14ac:dyDescent="0.25">
      <c r="A3079" t="s">
        <v>2964</v>
      </c>
      <c r="G3079" t="str">
        <f t="shared" si="254"/>
        <v>06/24/19</v>
      </c>
      <c r="H3079" t="str">
        <f t="shared" si="249"/>
        <v>Atlanta Braves</v>
      </c>
      <c r="I3079" s="60">
        <f t="shared" si="250"/>
        <v>3</v>
      </c>
      <c r="J3079" t="str">
        <f t="shared" si="251"/>
        <v>Chicago Cubs</v>
      </c>
      <c r="K3079" s="60">
        <f t="shared" si="252"/>
        <v>8</v>
      </c>
      <c r="L3079">
        <f t="shared" si="253"/>
        <v>-5</v>
      </c>
    </row>
    <row r="3080" spans="1:12" x14ac:dyDescent="0.25">
      <c r="G3080" t="str">
        <f t="shared" si="254"/>
        <v>06/24/19</v>
      </c>
      <c r="H3080" t="str">
        <f t="shared" si="249"/>
        <v/>
      </c>
      <c r="I3080" s="60" t="str">
        <f t="shared" si="250"/>
        <v/>
      </c>
      <c r="J3080" t="str">
        <f t="shared" si="251"/>
        <v/>
      </c>
      <c r="K3080" s="60" t="str">
        <f t="shared" si="252"/>
        <v/>
      </c>
      <c r="L3080" t="str">
        <f t="shared" si="253"/>
        <v/>
      </c>
    </row>
    <row r="3081" spans="1:12" x14ac:dyDescent="0.25">
      <c r="A3081" t="s">
        <v>2965</v>
      </c>
      <c r="G3081" t="str">
        <f t="shared" si="254"/>
        <v>06/24/19</v>
      </c>
      <c r="H3081" t="str">
        <f t="shared" si="249"/>
        <v>Kansas City Royals</v>
      </c>
      <c r="I3081" s="60">
        <f t="shared" si="250"/>
        <v>2</v>
      </c>
      <c r="J3081" t="str">
        <f t="shared" si="251"/>
        <v>Cleveland Indians</v>
      </c>
      <c r="K3081" s="60">
        <f t="shared" si="252"/>
        <v>3</v>
      </c>
      <c r="L3081">
        <f t="shared" si="253"/>
        <v>-1</v>
      </c>
    </row>
    <row r="3082" spans="1:12" x14ac:dyDescent="0.25">
      <c r="G3082" t="str">
        <f t="shared" si="254"/>
        <v>06/24/19</v>
      </c>
      <c r="H3082" t="str">
        <f t="shared" si="249"/>
        <v/>
      </c>
      <c r="I3082" s="60" t="str">
        <f t="shared" si="250"/>
        <v/>
      </c>
      <c r="J3082" t="str">
        <f t="shared" si="251"/>
        <v/>
      </c>
      <c r="K3082" s="60" t="str">
        <f t="shared" si="252"/>
        <v/>
      </c>
      <c r="L3082" t="str">
        <f t="shared" si="253"/>
        <v/>
      </c>
    </row>
    <row r="3083" spans="1:12" x14ac:dyDescent="0.25">
      <c r="A3083" t="s">
        <v>2966</v>
      </c>
      <c r="G3083" t="str">
        <f t="shared" si="254"/>
        <v>06/24/19</v>
      </c>
      <c r="H3083" t="str">
        <f t="shared" si="249"/>
        <v>Toronto Blue Jays</v>
      </c>
      <c r="I3083" s="60">
        <f t="shared" si="250"/>
        <v>8</v>
      </c>
      <c r="J3083" t="str">
        <f t="shared" si="251"/>
        <v>New York Yankees</v>
      </c>
      <c r="K3083" s="60">
        <f t="shared" si="252"/>
        <v>10</v>
      </c>
      <c r="L3083">
        <f t="shared" si="253"/>
        <v>-2</v>
      </c>
    </row>
    <row r="3084" spans="1:12" x14ac:dyDescent="0.25">
      <c r="G3084" t="str">
        <f t="shared" si="254"/>
        <v>06/24/19</v>
      </c>
      <c r="H3084" t="str">
        <f t="shared" si="249"/>
        <v/>
      </c>
      <c r="I3084" s="60" t="str">
        <f t="shared" si="250"/>
        <v/>
      </c>
      <c r="J3084" t="str">
        <f t="shared" si="251"/>
        <v/>
      </c>
      <c r="K3084" s="60" t="str">
        <f t="shared" si="252"/>
        <v/>
      </c>
      <c r="L3084" t="str">
        <f t="shared" si="253"/>
        <v/>
      </c>
    </row>
    <row r="3085" spans="1:12" x14ac:dyDescent="0.25">
      <c r="A3085" t="s">
        <v>2967</v>
      </c>
      <c r="G3085" t="str">
        <f t="shared" si="254"/>
        <v>06/24/19</v>
      </c>
      <c r="H3085" t="str">
        <f t="shared" si="249"/>
        <v>New York Mets</v>
      </c>
      <c r="I3085" s="60">
        <f t="shared" si="250"/>
        <v>7</v>
      </c>
      <c r="J3085" t="str">
        <f t="shared" si="251"/>
        <v>Philadelphia Phillies</v>
      </c>
      <c r="K3085" s="60">
        <f t="shared" si="252"/>
        <v>13</v>
      </c>
      <c r="L3085">
        <f t="shared" si="253"/>
        <v>-6</v>
      </c>
    </row>
    <row r="3086" spans="1:12" x14ac:dyDescent="0.25">
      <c r="G3086" t="str">
        <f t="shared" si="254"/>
        <v>06/24/19</v>
      </c>
      <c r="H3086" t="str">
        <f t="shared" si="249"/>
        <v/>
      </c>
      <c r="I3086" s="60" t="str">
        <f t="shared" si="250"/>
        <v/>
      </c>
      <c r="J3086" t="str">
        <f t="shared" si="251"/>
        <v/>
      </c>
      <c r="K3086" s="60" t="str">
        <f t="shared" si="252"/>
        <v/>
      </c>
      <c r="L3086" t="str">
        <f t="shared" si="253"/>
        <v/>
      </c>
    </row>
    <row r="3087" spans="1:12" x14ac:dyDescent="0.25">
      <c r="A3087" t="s">
        <v>2968</v>
      </c>
      <c r="G3087" t="str">
        <f t="shared" si="254"/>
        <v>06/24/19</v>
      </c>
      <c r="H3087" t="str">
        <f t="shared" si="249"/>
        <v>Colorado Rockies</v>
      </c>
      <c r="I3087" s="60">
        <f t="shared" si="250"/>
        <v>2</v>
      </c>
      <c r="J3087" t="str">
        <f t="shared" si="251"/>
        <v>San Francisco Giants</v>
      </c>
      <c r="K3087" s="60">
        <f t="shared" si="252"/>
        <v>0</v>
      </c>
      <c r="L3087">
        <f t="shared" si="253"/>
        <v>2</v>
      </c>
    </row>
    <row r="3088" spans="1:12" x14ac:dyDescent="0.25">
      <c r="G3088" t="str">
        <f t="shared" si="254"/>
        <v>06/24/19</v>
      </c>
      <c r="H3088" t="str">
        <f t="shared" ref="H3088:H3151" si="255">IFERROR(LEFT(MID(A3088,1,SEARCH("@",A3088)-2),SEARCH("(",A3088)-2),"")</f>
        <v/>
      </c>
      <c r="I3088" s="60" t="str">
        <f t="shared" ref="I3088:I3151" si="256">IFERROR(VALUE(MID(A3088,SEARCH("(",A3088)+1,SEARCH(")",A3088)-SEARCH("(",A3088)-1)),"")</f>
        <v/>
      </c>
      <c r="J3088" t="str">
        <f t="shared" ref="J3088:J3151" si="257">IFERROR(MID(A3088,SEARCH("@",A3088)+2,SEARCH("(",A3088,SEARCH("@",A3088))-SEARCH("@",A3088)-3),"")</f>
        <v/>
      </c>
      <c r="K3088" s="60" t="str">
        <f t="shared" ref="K3088:K3151" si="258">IFERROR(VALUE(MID(A3088,SEARCH(J3088,A3088)+LEN(J3088)+2,(SEARCH(")",A3088,SEARCH("@",A3088))-SEARCH("(",A3088,SEARCH("@",A3088))-1))),"")</f>
        <v/>
      </c>
      <c r="L3088" t="str">
        <f t="shared" ref="L3088:L3151" si="259">IFERROR(I3088-K3088,"")</f>
        <v/>
      </c>
    </row>
    <row r="3089" spans="1:12" x14ac:dyDescent="0.25">
      <c r="A3089" t="s">
        <v>2969</v>
      </c>
      <c r="G3089" t="str">
        <f t="shared" si="254"/>
        <v>06/24/19</v>
      </c>
      <c r="H3089" t="str">
        <f t="shared" si="255"/>
        <v/>
      </c>
      <c r="I3089" s="60" t="str">
        <f t="shared" si="256"/>
        <v/>
      </c>
      <c r="J3089" t="str">
        <f t="shared" si="257"/>
        <v/>
      </c>
      <c r="K3089" s="60" t="str">
        <f t="shared" si="258"/>
        <v/>
      </c>
      <c r="L3089" t="str">
        <f t="shared" si="259"/>
        <v/>
      </c>
    </row>
    <row r="3090" spans="1:12" x14ac:dyDescent="0.25">
      <c r="G3090" t="str">
        <f t="shared" si="254"/>
        <v>06/24/19</v>
      </c>
      <c r="H3090" t="str">
        <f t="shared" si="255"/>
        <v/>
      </c>
      <c r="I3090" s="60" t="str">
        <f t="shared" si="256"/>
        <v/>
      </c>
      <c r="J3090" t="str">
        <f t="shared" si="257"/>
        <v/>
      </c>
      <c r="K3090" s="60" t="str">
        <f t="shared" si="258"/>
        <v/>
      </c>
      <c r="L3090" t="str">
        <f t="shared" si="259"/>
        <v/>
      </c>
    </row>
    <row r="3091" spans="1:12" x14ac:dyDescent="0.25">
      <c r="A3091" t="s">
        <v>2970</v>
      </c>
      <c r="G3091" t="str">
        <f t="shared" si="254"/>
        <v>06/25/19</v>
      </c>
      <c r="H3091" t="str">
        <f t="shared" si="255"/>
        <v/>
      </c>
      <c r="I3091" s="60" t="str">
        <f t="shared" si="256"/>
        <v/>
      </c>
      <c r="J3091" t="str">
        <f t="shared" si="257"/>
        <v/>
      </c>
      <c r="K3091" s="60" t="str">
        <f t="shared" si="258"/>
        <v/>
      </c>
      <c r="L3091" t="str">
        <f t="shared" si="259"/>
        <v/>
      </c>
    </row>
    <row r="3092" spans="1:12" x14ac:dyDescent="0.25">
      <c r="G3092" t="str">
        <f t="shared" si="254"/>
        <v>06/25/19</v>
      </c>
      <c r="H3092" t="str">
        <f t="shared" si="255"/>
        <v/>
      </c>
      <c r="I3092" s="60" t="str">
        <f t="shared" si="256"/>
        <v/>
      </c>
      <c r="J3092" t="str">
        <f t="shared" si="257"/>
        <v/>
      </c>
      <c r="K3092" s="60" t="str">
        <f t="shared" si="258"/>
        <v/>
      </c>
      <c r="L3092" t="str">
        <f t="shared" si="259"/>
        <v/>
      </c>
    </row>
    <row r="3093" spans="1:12" x14ac:dyDescent="0.25">
      <c r="A3093" t="s">
        <v>2971</v>
      </c>
      <c r="G3093" t="str">
        <f t="shared" si="254"/>
        <v>06/25/19</v>
      </c>
      <c r="H3093" t="str">
        <f t="shared" si="255"/>
        <v>Cincinnati Reds</v>
      </c>
      <c r="I3093" s="60">
        <f t="shared" si="256"/>
        <v>1</v>
      </c>
      <c r="J3093" t="str">
        <f t="shared" si="257"/>
        <v>Los Angeles Angels</v>
      </c>
      <c r="K3093" s="60">
        <f t="shared" si="258"/>
        <v>5</v>
      </c>
      <c r="L3093">
        <f t="shared" si="259"/>
        <v>-4</v>
      </c>
    </row>
    <row r="3094" spans="1:12" x14ac:dyDescent="0.25">
      <c r="G3094" t="str">
        <f t="shared" si="254"/>
        <v>06/25/19</v>
      </c>
      <c r="H3094" t="str">
        <f t="shared" si="255"/>
        <v/>
      </c>
      <c r="I3094" s="60" t="str">
        <f t="shared" si="256"/>
        <v/>
      </c>
      <c r="J3094" t="str">
        <f t="shared" si="257"/>
        <v/>
      </c>
      <c r="K3094" s="60" t="str">
        <f t="shared" si="258"/>
        <v/>
      </c>
      <c r="L3094" t="str">
        <f t="shared" si="259"/>
        <v/>
      </c>
    </row>
    <row r="3095" spans="1:12" x14ac:dyDescent="0.25">
      <c r="A3095" t="s">
        <v>2972</v>
      </c>
      <c r="G3095" t="str">
        <f t="shared" si="254"/>
        <v>06/25/19</v>
      </c>
      <c r="H3095" t="str">
        <f t="shared" si="255"/>
        <v>Los Angeles Dodgers</v>
      </c>
      <c r="I3095" s="60">
        <f t="shared" si="256"/>
        <v>3</v>
      </c>
      <c r="J3095" t="str">
        <f t="shared" si="257"/>
        <v>Arizona D'Backs</v>
      </c>
      <c r="K3095" s="60">
        <f t="shared" si="258"/>
        <v>2</v>
      </c>
      <c r="L3095">
        <f t="shared" si="259"/>
        <v>1</v>
      </c>
    </row>
    <row r="3096" spans="1:12" x14ac:dyDescent="0.25">
      <c r="G3096" t="str">
        <f t="shared" si="254"/>
        <v>06/25/19</v>
      </c>
      <c r="H3096" t="str">
        <f t="shared" si="255"/>
        <v/>
      </c>
      <c r="I3096" s="60" t="str">
        <f t="shared" si="256"/>
        <v/>
      </c>
      <c r="J3096" t="str">
        <f t="shared" si="257"/>
        <v/>
      </c>
      <c r="K3096" s="60" t="str">
        <f t="shared" si="258"/>
        <v/>
      </c>
      <c r="L3096" t="str">
        <f t="shared" si="259"/>
        <v/>
      </c>
    </row>
    <row r="3097" spans="1:12" x14ac:dyDescent="0.25">
      <c r="A3097" t="s">
        <v>2973</v>
      </c>
      <c r="G3097" t="str">
        <f t="shared" si="254"/>
        <v>06/25/19</v>
      </c>
      <c r="H3097" t="str">
        <f t="shared" si="255"/>
        <v>San Diego Padres</v>
      </c>
      <c r="I3097" s="60">
        <f t="shared" si="256"/>
        <v>8</v>
      </c>
      <c r="J3097" t="str">
        <f t="shared" si="257"/>
        <v>Baltimore Orioles</v>
      </c>
      <c r="K3097" s="60">
        <f t="shared" si="258"/>
        <v>3</v>
      </c>
      <c r="L3097">
        <f t="shared" si="259"/>
        <v>5</v>
      </c>
    </row>
    <row r="3098" spans="1:12" x14ac:dyDescent="0.25">
      <c r="G3098" t="str">
        <f t="shared" si="254"/>
        <v>06/25/19</v>
      </c>
      <c r="H3098" t="str">
        <f t="shared" si="255"/>
        <v/>
      </c>
      <c r="I3098" s="60" t="str">
        <f t="shared" si="256"/>
        <v/>
      </c>
      <c r="J3098" t="str">
        <f t="shared" si="257"/>
        <v/>
      </c>
      <c r="K3098" s="60" t="str">
        <f t="shared" si="258"/>
        <v/>
      </c>
      <c r="L3098" t="str">
        <f t="shared" si="259"/>
        <v/>
      </c>
    </row>
    <row r="3099" spans="1:12" x14ac:dyDescent="0.25">
      <c r="A3099" t="s">
        <v>2974</v>
      </c>
      <c r="G3099" t="str">
        <f t="shared" si="254"/>
        <v>06/25/19</v>
      </c>
      <c r="H3099" t="str">
        <f t="shared" si="255"/>
        <v>Chicago White Sox</v>
      </c>
      <c r="I3099" s="60">
        <f t="shared" si="256"/>
        <v>3</v>
      </c>
      <c r="J3099" t="str">
        <f t="shared" si="257"/>
        <v>Boston Red Sox</v>
      </c>
      <c r="K3099" s="60">
        <f t="shared" si="258"/>
        <v>6</v>
      </c>
      <c r="L3099">
        <f t="shared" si="259"/>
        <v>-3</v>
      </c>
    </row>
    <row r="3100" spans="1:12" x14ac:dyDescent="0.25">
      <c r="G3100" t="str">
        <f t="shared" si="254"/>
        <v>06/25/19</v>
      </c>
      <c r="H3100" t="str">
        <f t="shared" si="255"/>
        <v/>
      </c>
      <c r="I3100" s="60" t="str">
        <f t="shared" si="256"/>
        <v/>
      </c>
      <c r="J3100" t="str">
        <f t="shared" si="257"/>
        <v/>
      </c>
      <c r="K3100" s="60" t="str">
        <f t="shared" si="258"/>
        <v/>
      </c>
      <c r="L3100" t="str">
        <f t="shared" si="259"/>
        <v/>
      </c>
    </row>
    <row r="3101" spans="1:12" x14ac:dyDescent="0.25">
      <c r="A3101" t="s">
        <v>2975</v>
      </c>
      <c r="G3101" t="str">
        <f t="shared" si="254"/>
        <v>06/25/19</v>
      </c>
      <c r="H3101" t="str">
        <f t="shared" si="255"/>
        <v>Atlanta Braves</v>
      </c>
      <c r="I3101" s="60">
        <f t="shared" si="256"/>
        <v>3</v>
      </c>
      <c r="J3101" t="str">
        <f t="shared" si="257"/>
        <v>Chicago Cubs</v>
      </c>
      <c r="K3101" s="60">
        <f t="shared" si="258"/>
        <v>2</v>
      </c>
      <c r="L3101">
        <f t="shared" si="259"/>
        <v>1</v>
      </c>
    </row>
    <row r="3102" spans="1:12" x14ac:dyDescent="0.25">
      <c r="G3102" t="str">
        <f t="shared" si="254"/>
        <v>06/25/19</v>
      </c>
      <c r="H3102" t="str">
        <f t="shared" si="255"/>
        <v/>
      </c>
      <c r="I3102" s="60" t="str">
        <f t="shared" si="256"/>
        <v/>
      </c>
      <c r="J3102" t="str">
        <f t="shared" si="257"/>
        <v/>
      </c>
      <c r="K3102" s="60" t="str">
        <f t="shared" si="258"/>
        <v/>
      </c>
      <c r="L3102" t="str">
        <f t="shared" si="259"/>
        <v/>
      </c>
    </row>
    <row r="3103" spans="1:12" x14ac:dyDescent="0.25">
      <c r="A3103" t="s">
        <v>2976</v>
      </c>
      <c r="G3103" t="str">
        <f t="shared" si="254"/>
        <v>06/25/19</v>
      </c>
      <c r="H3103" t="str">
        <f t="shared" si="255"/>
        <v>Kansas City Royals</v>
      </c>
      <c r="I3103" s="60">
        <f t="shared" si="256"/>
        <v>8</v>
      </c>
      <c r="J3103" t="str">
        <f t="shared" si="257"/>
        <v>Cleveland Indians</v>
      </c>
      <c r="K3103" s="60">
        <f t="shared" si="258"/>
        <v>6</v>
      </c>
      <c r="L3103">
        <f t="shared" si="259"/>
        <v>2</v>
      </c>
    </row>
    <row r="3104" spans="1:12" x14ac:dyDescent="0.25">
      <c r="G3104" t="str">
        <f t="shared" si="254"/>
        <v>06/25/19</v>
      </c>
      <c r="H3104" t="str">
        <f t="shared" si="255"/>
        <v/>
      </c>
      <c r="I3104" s="60" t="str">
        <f t="shared" si="256"/>
        <v/>
      </c>
      <c r="J3104" t="str">
        <f t="shared" si="257"/>
        <v/>
      </c>
      <c r="K3104" s="60" t="str">
        <f t="shared" si="258"/>
        <v/>
      </c>
      <c r="L3104" t="str">
        <f t="shared" si="259"/>
        <v/>
      </c>
    </row>
    <row r="3105" spans="1:12" x14ac:dyDescent="0.25">
      <c r="A3105" t="s">
        <v>2977</v>
      </c>
      <c r="G3105" t="str">
        <f t="shared" si="254"/>
        <v>06/25/19</v>
      </c>
      <c r="H3105" t="str">
        <f t="shared" si="255"/>
        <v>Texas Rangers</v>
      </c>
      <c r="I3105" s="60">
        <f t="shared" si="256"/>
        <v>5</v>
      </c>
      <c r="J3105" t="str">
        <f t="shared" si="257"/>
        <v>Detroit Tigers</v>
      </c>
      <c r="K3105" s="60">
        <f t="shared" si="258"/>
        <v>3</v>
      </c>
      <c r="L3105">
        <f t="shared" si="259"/>
        <v>2</v>
      </c>
    </row>
    <row r="3106" spans="1:12" x14ac:dyDescent="0.25">
      <c r="G3106" t="str">
        <f t="shared" ref="G3106:G3169" si="260">IF(ISNUMBER(MATCH(IFERROR(LEFT(A3106,SEARCH(",",A3106)-1),""),$G$220:$M$220,0)),TEXT(MID(A3106,SEARCH(",",A3106)+2,LEN(A3106)),"mm/dd/yy"),G3105)</f>
        <v>06/25/19</v>
      </c>
      <c r="H3106" t="str">
        <f t="shared" si="255"/>
        <v/>
      </c>
      <c r="I3106" s="60" t="str">
        <f t="shared" si="256"/>
        <v/>
      </c>
      <c r="J3106" t="str">
        <f t="shared" si="257"/>
        <v/>
      </c>
      <c r="K3106" s="60" t="str">
        <f t="shared" si="258"/>
        <v/>
      </c>
      <c r="L3106" t="str">
        <f t="shared" si="259"/>
        <v/>
      </c>
    </row>
    <row r="3107" spans="1:12" x14ac:dyDescent="0.25">
      <c r="A3107" t="s">
        <v>2978</v>
      </c>
      <c r="G3107" t="str">
        <f t="shared" si="260"/>
        <v>06/25/19</v>
      </c>
      <c r="H3107" t="str">
        <f t="shared" si="255"/>
        <v>Pittsburgh Pirates</v>
      </c>
      <c r="I3107" s="60">
        <f t="shared" si="256"/>
        <v>1</v>
      </c>
      <c r="J3107" t="str">
        <f t="shared" si="257"/>
        <v>Houston Astros</v>
      </c>
      <c r="K3107" s="60">
        <f t="shared" si="258"/>
        <v>5</v>
      </c>
      <c r="L3107">
        <f t="shared" si="259"/>
        <v>-4</v>
      </c>
    </row>
    <row r="3108" spans="1:12" x14ac:dyDescent="0.25">
      <c r="G3108" t="str">
        <f t="shared" si="260"/>
        <v>06/25/19</v>
      </c>
      <c r="H3108" t="str">
        <f t="shared" si="255"/>
        <v/>
      </c>
      <c r="I3108" s="60" t="str">
        <f t="shared" si="256"/>
        <v/>
      </c>
      <c r="J3108" t="str">
        <f t="shared" si="257"/>
        <v/>
      </c>
      <c r="K3108" s="60" t="str">
        <f t="shared" si="258"/>
        <v/>
      </c>
      <c r="L3108" t="str">
        <f t="shared" si="259"/>
        <v/>
      </c>
    </row>
    <row r="3109" spans="1:12" x14ac:dyDescent="0.25">
      <c r="A3109" t="s">
        <v>2979</v>
      </c>
      <c r="G3109" t="str">
        <f t="shared" si="260"/>
        <v>06/25/19</v>
      </c>
      <c r="H3109" t="str">
        <f t="shared" si="255"/>
        <v>Washington Nationals</v>
      </c>
      <c r="I3109" s="60">
        <f t="shared" si="256"/>
        <v>6</v>
      </c>
      <c r="J3109" t="str">
        <f t="shared" si="257"/>
        <v>Miami Marlins</v>
      </c>
      <c r="K3109" s="60">
        <f t="shared" si="258"/>
        <v>1</v>
      </c>
      <c r="L3109">
        <f t="shared" si="259"/>
        <v>5</v>
      </c>
    </row>
    <row r="3110" spans="1:12" x14ac:dyDescent="0.25">
      <c r="G3110" t="str">
        <f t="shared" si="260"/>
        <v>06/25/19</v>
      </c>
      <c r="H3110" t="str">
        <f t="shared" si="255"/>
        <v/>
      </c>
      <c r="I3110" s="60" t="str">
        <f t="shared" si="256"/>
        <v/>
      </c>
      <c r="J3110" t="str">
        <f t="shared" si="257"/>
        <v/>
      </c>
      <c r="K3110" s="60" t="str">
        <f t="shared" si="258"/>
        <v/>
      </c>
      <c r="L3110" t="str">
        <f t="shared" si="259"/>
        <v/>
      </c>
    </row>
    <row r="3111" spans="1:12" x14ac:dyDescent="0.25">
      <c r="A3111" t="s">
        <v>2980</v>
      </c>
      <c r="G3111" t="str">
        <f t="shared" si="260"/>
        <v>06/25/19</v>
      </c>
      <c r="H3111" t="str">
        <f t="shared" si="255"/>
        <v>Seattle Mariners</v>
      </c>
      <c r="I3111" s="60">
        <f t="shared" si="256"/>
        <v>8</v>
      </c>
      <c r="J3111" t="str">
        <f t="shared" si="257"/>
        <v>Milwaukee Brewers</v>
      </c>
      <c r="K3111" s="60">
        <f t="shared" si="258"/>
        <v>3</v>
      </c>
      <c r="L3111">
        <f t="shared" si="259"/>
        <v>5</v>
      </c>
    </row>
    <row r="3112" spans="1:12" x14ac:dyDescent="0.25">
      <c r="G3112" t="str">
        <f t="shared" si="260"/>
        <v>06/25/19</v>
      </c>
      <c r="H3112" t="str">
        <f t="shared" si="255"/>
        <v/>
      </c>
      <c r="I3112" s="60" t="str">
        <f t="shared" si="256"/>
        <v/>
      </c>
      <c r="J3112" t="str">
        <f t="shared" si="257"/>
        <v/>
      </c>
      <c r="K3112" s="60" t="str">
        <f t="shared" si="258"/>
        <v/>
      </c>
      <c r="L3112" t="str">
        <f t="shared" si="259"/>
        <v/>
      </c>
    </row>
    <row r="3113" spans="1:12" x14ac:dyDescent="0.25">
      <c r="A3113" t="s">
        <v>2981</v>
      </c>
      <c r="G3113" t="str">
        <f t="shared" si="260"/>
        <v>06/25/19</v>
      </c>
      <c r="H3113" t="str">
        <f t="shared" si="255"/>
        <v>Tampa Bay Rays</v>
      </c>
      <c r="I3113" s="60">
        <f t="shared" si="256"/>
        <v>4</v>
      </c>
      <c r="J3113" t="str">
        <f t="shared" si="257"/>
        <v>Minnesota Twins</v>
      </c>
      <c r="K3113" s="60">
        <f t="shared" si="258"/>
        <v>9</v>
      </c>
      <c r="L3113">
        <f t="shared" si="259"/>
        <v>-5</v>
      </c>
    </row>
    <row r="3114" spans="1:12" x14ac:dyDescent="0.25">
      <c r="G3114" t="str">
        <f t="shared" si="260"/>
        <v>06/25/19</v>
      </c>
      <c r="H3114" t="str">
        <f t="shared" si="255"/>
        <v/>
      </c>
      <c r="I3114" s="60" t="str">
        <f t="shared" si="256"/>
        <v/>
      </c>
      <c r="J3114" t="str">
        <f t="shared" si="257"/>
        <v/>
      </c>
      <c r="K3114" s="60" t="str">
        <f t="shared" si="258"/>
        <v/>
      </c>
      <c r="L3114" t="str">
        <f t="shared" si="259"/>
        <v/>
      </c>
    </row>
    <row r="3115" spans="1:12" x14ac:dyDescent="0.25">
      <c r="A3115" t="s">
        <v>2982</v>
      </c>
      <c r="G3115" t="str">
        <f t="shared" si="260"/>
        <v>06/25/19</v>
      </c>
      <c r="H3115" t="str">
        <f t="shared" si="255"/>
        <v>Toronto Blue Jays</v>
      </c>
      <c r="I3115" s="60">
        <f t="shared" si="256"/>
        <v>3</v>
      </c>
      <c r="J3115" t="str">
        <f t="shared" si="257"/>
        <v>New York Yankees</v>
      </c>
      <c r="K3115" s="60">
        <f t="shared" si="258"/>
        <v>4</v>
      </c>
      <c r="L3115">
        <f t="shared" si="259"/>
        <v>-1</v>
      </c>
    </row>
    <row r="3116" spans="1:12" x14ac:dyDescent="0.25">
      <c r="G3116" t="str">
        <f t="shared" si="260"/>
        <v>06/25/19</v>
      </c>
      <c r="H3116" t="str">
        <f t="shared" si="255"/>
        <v/>
      </c>
      <c r="I3116" s="60" t="str">
        <f t="shared" si="256"/>
        <v/>
      </c>
      <c r="J3116" t="str">
        <f t="shared" si="257"/>
        <v/>
      </c>
      <c r="K3116" s="60" t="str">
        <f t="shared" si="258"/>
        <v/>
      </c>
      <c r="L3116" t="str">
        <f t="shared" si="259"/>
        <v/>
      </c>
    </row>
    <row r="3117" spans="1:12" x14ac:dyDescent="0.25">
      <c r="A3117" t="s">
        <v>2983</v>
      </c>
      <c r="G3117" t="str">
        <f t="shared" si="260"/>
        <v>06/25/19</v>
      </c>
      <c r="H3117" t="str">
        <f t="shared" si="255"/>
        <v>New York Mets</v>
      </c>
      <c r="I3117" s="60">
        <f t="shared" si="256"/>
        <v>5</v>
      </c>
      <c r="J3117" t="str">
        <f t="shared" si="257"/>
        <v>Philadelphia Phillies</v>
      </c>
      <c r="K3117" s="60">
        <f t="shared" si="258"/>
        <v>7</v>
      </c>
      <c r="L3117">
        <f t="shared" si="259"/>
        <v>-2</v>
      </c>
    </row>
    <row r="3118" spans="1:12" x14ac:dyDescent="0.25">
      <c r="G3118" t="str">
        <f t="shared" si="260"/>
        <v>06/25/19</v>
      </c>
      <c r="H3118" t="str">
        <f t="shared" si="255"/>
        <v/>
      </c>
      <c r="I3118" s="60" t="str">
        <f t="shared" si="256"/>
        <v/>
      </c>
      <c r="J3118" t="str">
        <f t="shared" si="257"/>
        <v/>
      </c>
      <c r="K3118" s="60" t="str">
        <f t="shared" si="258"/>
        <v/>
      </c>
      <c r="L3118" t="str">
        <f t="shared" si="259"/>
        <v/>
      </c>
    </row>
    <row r="3119" spans="1:12" x14ac:dyDescent="0.25">
      <c r="A3119" t="s">
        <v>2984</v>
      </c>
      <c r="G3119" t="str">
        <f t="shared" si="260"/>
        <v>06/25/19</v>
      </c>
      <c r="H3119" t="str">
        <f t="shared" si="255"/>
        <v>Colorado Rockies</v>
      </c>
      <c r="I3119" s="60">
        <f t="shared" si="256"/>
        <v>2</v>
      </c>
      <c r="J3119" t="str">
        <f t="shared" si="257"/>
        <v>San Francisco Giants</v>
      </c>
      <c r="K3119" s="60">
        <f t="shared" si="258"/>
        <v>4</v>
      </c>
      <c r="L3119">
        <f t="shared" si="259"/>
        <v>-2</v>
      </c>
    </row>
    <row r="3120" spans="1:12" x14ac:dyDescent="0.25">
      <c r="G3120" t="str">
        <f t="shared" si="260"/>
        <v>06/25/19</v>
      </c>
      <c r="H3120" t="str">
        <f t="shared" si="255"/>
        <v/>
      </c>
      <c r="I3120" s="60" t="str">
        <f t="shared" si="256"/>
        <v/>
      </c>
      <c r="J3120" t="str">
        <f t="shared" si="257"/>
        <v/>
      </c>
      <c r="K3120" s="60" t="str">
        <f t="shared" si="258"/>
        <v/>
      </c>
      <c r="L3120" t="str">
        <f t="shared" si="259"/>
        <v/>
      </c>
    </row>
    <row r="3121" spans="1:12" x14ac:dyDescent="0.25">
      <c r="A3121" t="s">
        <v>2985</v>
      </c>
      <c r="G3121" t="str">
        <f t="shared" si="260"/>
        <v>06/25/19</v>
      </c>
      <c r="H3121" t="str">
        <f t="shared" si="255"/>
        <v>Oakland Athletics</v>
      </c>
      <c r="I3121" s="60">
        <f t="shared" si="256"/>
        <v>7</v>
      </c>
      <c r="J3121" t="str">
        <f t="shared" si="257"/>
        <v>St. Louis Cardinals</v>
      </c>
      <c r="K3121" s="60">
        <f t="shared" si="258"/>
        <v>3</v>
      </c>
      <c r="L3121">
        <f t="shared" si="259"/>
        <v>4</v>
      </c>
    </row>
    <row r="3122" spans="1:12" x14ac:dyDescent="0.25">
      <c r="G3122" t="str">
        <f t="shared" si="260"/>
        <v>06/25/19</v>
      </c>
      <c r="H3122" t="str">
        <f t="shared" si="255"/>
        <v/>
      </c>
      <c r="I3122" s="60" t="str">
        <f t="shared" si="256"/>
        <v/>
      </c>
      <c r="J3122" t="str">
        <f t="shared" si="257"/>
        <v/>
      </c>
      <c r="K3122" s="60" t="str">
        <f t="shared" si="258"/>
        <v/>
      </c>
      <c r="L3122" t="str">
        <f t="shared" si="259"/>
        <v/>
      </c>
    </row>
    <row r="3123" spans="1:12" x14ac:dyDescent="0.25">
      <c r="A3123" t="s">
        <v>2986</v>
      </c>
      <c r="G3123" t="str">
        <f t="shared" si="260"/>
        <v>06/25/19</v>
      </c>
      <c r="H3123" t="str">
        <f t="shared" si="255"/>
        <v/>
      </c>
      <c r="I3123" s="60" t="str">
        <f t="shared" si="256"/>
        <v/>
      </c>
      <c r="J3123" t="str">
        <f t="shared" si="257"/>
        <v/>
      </c>
      <c r="K3123" s="60" t="str">
        <f t="shared" si="258"/>
        <v/>
      </c>
      <c r="L3123" t="str">
        <f t="shared" si="259"/>
        <v/>
      </c>
    </row>
    <row r="3124" spans="1:12" x14ac:dyDescent="0.25">
      <c r="G3124" t="str">
        <f t="shared" si="260"/>
        <v>06/25/19</v>
      </c>
      <c r="H3124" t="str">
        <f t="shared" si="255"/>
        <v/>
      </c>
      <c r="I3124" s="60" t="str">
        <f t="shared" si="256"/>
        <v/>
      </c>
      <c r="J3124" t="str">
        <f t="shared" si="257"/>
        <v/>
      </c>
      <c r="K3124" s="60" t="str">
        <f t="shared" si="258"/>
        <v/>
      </c>
      <c r="L3124" t="str">
        <f t="shared" si="259"/>
        <v/>
      </c>
    </row>
    <row r="3125" spans="1:12" x14ac:dyDescent="0.25">
      <c r="A3125" t="s">
        <v>2987</v>
      </c>
      <c r="G3125" t="str">
        <f t="shared" si="260"/>
        <v>06/26/19</v>
      </c>
      <c r="H3125" t="str">
        <f t="shared" si="255"/>
        <v/>
      </c>
      <c r="I3125" s="60" t="str">
        <f t="shared" si="256"/>
        <v/>
      </c>
      <c r="J3125" t="str">
        <f t="shared" si="257"/>
        <v/>
      </c>
      <c r="K3125" s="60" t="str">
        <f t="shared" si="258"/>
        <v/>
      </c>
      <c r="L3125" t="str">
        <f t="shared" si="259"/>
        <v/>
      </c>
    </row>
    <row r="3126" spans="1:12" x14ac:dyDescent="0.25">
      <c r="G3126" t="str">
        <f t="shared" si="260"/>
        <v>06/26/19</v>
      </c>
      <c r="H3126" t="str">
        <f t="shared" si="255"/>
        <v/>
      </c>
      <c r="I3126" s="60" t="str">
        <f t="shared" si="256"/>
        <v/>
      </c>
      <c r="J3126" t="str">
        <f t="shared" si="257"/>
        <v/>
      </c>
      <c r="K3126" s="60" t="str">
        <f t="shared" si="258"/>
        <v/>
      </c>
      <c r="L3126" t="str">
        <f t="shared" si="259"/>
        <v/>
      </c>
    </row>
    <row r="3127" spans="1:12" x14ac:dyDescent="0.25">
      <c r="A3127" t="s">
        <v>2971</v>
      </c>
      <c r="G3127" t="str">
        <f t="shared" si="260"/>
        <v>06/26/19</v>
      </c>
      <c r="H3127" t="str">
        <f t="shared" si="255"/>
        <v>Cincinnati Reds</v>
      </c>
      <c r="I3127" s="60">
        <f t="shared" si="256"/>
        <v>1</v>
      </c>
      <c r="J3127" t="str">
        <f t="shared" si="257"/>
        <v>Los Angeles Angels</v>
      </c>
      <c r="K3127" s="60">
        <f t="shared" si="258"/>
        <v>5</v>
      </c>
      <c r="L3127">
        <f t="shared" si="259"/>
        <v>-4</v>
      </c>
    </row>
    <row r="3128" spans="1:12" x14ac:dyDescent="0.25">
      <c r="G3128" t="str">
        <f t="shared" si="260"/>
        <v>06/26/19</v>
      </c>
      <c r="H3128" t="str">
        <f t="shared" si="255"/>
        <v/>
      </c>
      <c r="I3128" s="60" t="str">
        <f t="shared" si="256"/>
        <v/>
      </c>
      <c r="J3128" t="str">
        <f t="shared" si="257"/>
        <v/>
      </c>
      <c r="K3128" s="60" t="str">
        <f t="shared" si="258"/>
        <v/>
      </c>
      <c r="L3128" t="str">
        <f t="shared" si="259"/>
        <v/>
      </c>
    </row>
    <row r="3129" spans="1:12" x14ac:dyDescent="0.25">
      <c r="A3129" t="s">
        <v>2988</v>
      </c>
      <c r="G3129" t="str">
        <f t="shared" si="260"/>
        <v>06/26/19</v>
      </c>
      <c r="H3129" t="str">
        <f t="shared" si="255"/>
        <v>Los Angeles Dodgers</v>
      </c>
      <c r="I3129" s="60">
        <f t="shared" si="256"/>
        <v>2</v>
      </c>
      <c r="J3129" t="str">
        <f t="shared" si="257"/>
        <v>Arizona D'Backs</v>
      </c>
      <c r="K3129" s="60">
        <f t="shared" si="258"/>
        <v>8</v>
      </c>
      <c r="L3129">
        <f t="shared" si="259"/>
        <v>-6</v>
      </c>
    </row>
    <row r="3130" spans="1:12" x14ac:dyDescent="0.25">
      <c r="G3130" t="str">
        <f t="shared" si="260"/>
        <v>06/26/19</v>
      </c>
      <c r="H3130" t="str">
        <f t="shared" si="255"/>
        <v/>
      </c>
      <c r="I3130" s="60" t="str">
        <f t="shared" si="256"/>
        <v/>
      </c>
      <c r="J3130" t="str">
        <f t="shared" si="257"/>
        <v/>
      </c>
      <c r="K3130" s="60" t="str">
        <f t="shared" si="258"/>
        <v/>
      </c>
      <c r="L3130" t="str">
        <f t="shared" si="259"/>
        <v/>
      </c>
    </row>
    <row r="3131" spans="1:12" x14ac:dyDescent="0.25">
      <c r="A3131" t="s">
        <v>2989</v>
      </c>
      <c r="G3131" t="str">
        <f t="shared" si="260"/>
        <v>06/26/19</v>
      </c>
      <c r="H3131" t="str">
        <f t="shared" si="255"/>
        <v>San Diego Padres</v>
      </c>
      <c r="I3131" s="60">
        <f t="shared" si="256"/>
        <v>10</v>
      </c>
      <c r="J3131" t="str">
        <f t="shared" si="257"/>
        <v>Baltimore Orioles</v>
      </c>
      <c r="K3131" s="60">
        <f t="shared" si="258"/>
        <v>5</v>
      </c>
      <c r="L3131">
        <f t="shared" si="259"/>
        <v>5</v>
      </c>
    </row>
    <row r="3132" spans="1:12" x14ac:dyDescent="0.25">
      <c r="G3132" t="str">
        <f t="shared" si="260"/>
        <v>06/26/19</v>
      </c>
      <c r="H3132" t="str">
        <f t="shared" si="255"/>
        <v/>
      </c>
      <c r="I3132" s="60" t="str">
        <f t="shared" si="256"/>
        <v/>
      </c>
      <c r="J3132" t="str">
        <f t="shared" si="257"/>
        <v/>
      </c>
      <c r="K3132" s="60" t="str">
        <f t="shared" si="258"/>
        <v/>
      </c>
      <c r="L3132" t="str">
        <f t="shared" si="259"/>
        <v/>
      </c>
    </row>
    <row r="3133" spans="1:12" x14ac:dyDescent="0.25">
      <c r="A3133" t="s">
        <v>2990</v>
      </c>
      <c r="G3133" t="str">
        <f t="shared" si="260"/>
        <v>06/26/19</v>
      </c>
      <c r="H3133" t="str">
        <f t="shared" si="255"/>
        <v>Chicago White Sox</v>
      </c>
      <c r="I3133" s="60">
        <f t="shared" si="256"/>
        <v>8</v>
      </c>
      <c r="J3133" t="str">
        <f t="shared" si="257"/>
        <v>Boston Red Sox</v>
      </c>
      <c r="K3133" s="60">
        <f t="shared" si="258"/>
        <v>7</v>
      </c>
      <c r="L3133">
        <f t="shared" si="259"/>
        <v>1</v>
      </c>
    </row>
    <row r="3134" spans="1:12" x14ac:dyDescent="0.25">
      <c r="G3134" t="str">
        <f t="shared" si="260"/>
        <v>06/26/19</v>
      </c>
      <c r="H3134" t="str">
        <f t="shared" si="255"/>
        <v/>
      </c>
      <c r="I3134" s="60" t="str">
        <f t="shared" si="256"/>
        <v/>
      </c>
      <c r="J3134" t="str">
        <f t="shared" si="257"/>
        <v/>
      </c>
      <c r="K3134" s="60" t="str">
        <f t="shared" si="258"/>
        <v/>
      </c>
      <c r="L3134" t="str">
        <f t="shared" si="259"/>
        <v/>
      </c>
    </row>
    <row r="3135" spans="1:12" x14ac:dyDescent="0.25">
      <c r="A3135" t="s">
        <v>2991</v>
      </c>
      <c r="G3135" t="str">
        <f t="shared" si="260"/>
        <v>06/26/19</v>
      </c>
      <c r="H3135" t="str">
        <f t="shared" si="255"/>
        <v>Atlanta Braves</v>
      </c>
      <c r="I3135" s="60">
        <f t="shared" si="256"/>
        <v>5</v>
      </c>
      <c r="J3135" t="str">
        <f t="shared" si="257"/>
        <v>Chicago Cubs</v>
      </c>
      <c r="K3135" s="60">
        <f t="shared" si="258"/>
        <v>3</v>
      </c>
      <c r="L3135">
        <f t="shared" si="259"/>
        <v>2</v>
      </c>
    </row>
    <row r="3136" spans="1:12" x14ac:dyDescent="0.25">
      <c r="G3136" t="str">
        <f t="shared" si="260"/>
        <v>06/26/19</v>
      </c>
      <c r="H3136" t="str">
        <f t="shared" si="255"/>
        <v/>
      </c>
      <c r="I3136" s="60" t="str">
        <f t="shared" si="256"/>
        <v/>
      </c>
      <c r="J3136" t="str">
        <f t="shared" si="257"/>
        <v/>
      </c>
      <c r="K3136" s="60" t="str">
        <f t="shared" si="258"/>
        <v/>
      </c>
      <c r="L3136" t="str">
        <f t="shared" si="259"/>
        <v/>
      </c>
    </row>
    <row r="3137" spans="1:12" x14ac:dyDescent="0.25">
      <c r="A3137" t="s">
        <v>2992</v>
      </c>
      <c r="G3137" t="str">
        <f t="shared" si="260"/>
        <v>06/26/19</v>
      </c>
      <c r="H3137" t="str">
        <f t="shared" si="255"/>
        <v>Kansas City Royals</v>
      </c>
      <c r="I3137" s="60">
        <f t="shared" si="256"/>
        <v>3</v>
      </c>
      <c r="J3137" t="str">
        <f t="shared" si="257"/>
        <v>Cleveland Indians</v>
      </c>
      <c r="K3137" s="60">
        <f t="shared" si="258"/>
        <v>5</v>
      </c>
      <c r="L3137">
        <f t="shared" si="259"/>
        <v>-2</v>
      </c>
    </row>
    <row r="3138" spans="1:12" x14ac:dyDescent="0.25">
      <c r="G3138" t="str">
        <f t="shared" si="260"/>
        <v>06/26/19</v>
      </c>
      <c r="H3138" t="str">
        <f t="shared" si="255"/>
        <v/>
      </c>
      <c r="I3138" s="60" t="str">
        <f t="shared" si="256"/>
        <v/>
      </c>
      <c r="J3138" t="str">
        <f t="shared" si="257"/>
        <v/>
      </c>
      <c r="K3138" s="60" t="str">
        <f t="shared" si="258"/>
        <v/>
      </c>
      <c r="L3138" t="str">
        <f t="shared" si="259"/>
        <v/>
      </c>
    </row>
    <row r="3139" spans="1:12" x14ac:dyDescent="0.25">
      <c r="A3139" t="s">
        <v>2993</v>
      </c>
      <c r="G3139" t="str">
        <f t="shared" si="260"/>
        <v>06/26/19</v>
      </c>
      <c r="H3139" t="str">
        <f t="shared" si="255"/>
        <v>Texas Rangers</v>
      </c>
      <c r="I3139" s="60">
        <f t="shared" si="256"/>
        <v>4</v>
      </c>
      <c r="J3139" t="str">
        <f t="shared" si="257"/>
        <v>Detroit Tigers</v>
      </c>
      <c r="K3139" s="60">
        <f t="shared" si="258"/>
        <v>1</v>
      </c>
      <c r="L3139">
        <f t="shared" si="259"/>
        <v>3</v>
      </c>
    </row>
    <row r="3140" spans="1:12" x14ac:dyDescent="0.25">
      <c r="G3140" t="str">
        <f t="shared" si="260"/>
        <v>06/26/19</v>
      </c>
      <c r="H3140" t="str">
        <f t="shared" si="255"/>
        <v/>
      </c>
      <c r="I3140" s="60" t="str">
        <f t="shared" si="256"/>
        <v/>
      </c>
      <c r="J3140" t="str">
        <f t="shared" si="257"/>
        <v/>
      </c>
      <c r="K3140" s="60" t="str">
        <f t="shared" si="258"/>
        <v/>
      </c>
      <c r="L3140" t="str">
        <f t="shared" si="259"/>
        <v/>
      </c>
    </row>
    <row r="3141" spans="1:12" x14ac:dyDescent="0.25">
      <c r="A3141" t="s">
        <v>2994</v>
      </c>
      <c r="G3141" t="str">
        <f t="shared" si="260"/>
        <v>06/26/19</v>
      </c>
      <c r="H3141" t="str">
        <f t="shared" si="255"/>
        <v>Pittsburgh Pirates</v>
      </c>
      <c r="I3141" s="60">
        <f t="shared" si="256"/>
        <v>14</v>
      </c>
      <c r="J3141" t="str">
        <f t="shared" si="257"/>
        <v>Houston Astros</v>
      </c>
      <c r="K3141" s="60">
        <f t="shared" si="258"/>
        <v>2</v>
      </c>
      <c r="L3141">
        <f t="shared" si="259"/>
        <v>12</v>
      </c>
    </row>
    <row r="3142" spans="1:12" x14ac:dyDescent="0.25">
      <c r="G3142" t="str">
        <f t="shared" si="260"/>
        <v>06/26/19</v>
      </c>
      <c r="H3142" t="str">
        <f t="shared" si="255"/>
        <v/>
      </c>
      <c r="I3142" s="60" t="str">
        <f t="shared" si="256"/>
        <v/>
      </c>
      <c r="J3142" t="str">
        <f t="shared" si="257"/>
        <v/>
      </c>
      <c r="K3142" s="60" t="str">
        <f t="shared" si="258"/>
        <v/>
      </c>
      <c r="L3142" t="str">
        <f t="shared" si="259"/>
        <v/>
      </c>
    </row>
    <row r="3143" spans="1:12" x14ac:dyDescent="0.25">
      <c r="A3143" t="s">
        <v>2995</v>
      </c>
      <c r="G3143" t="str">
        <f t="shared" si="260"/>
        <v>06/26/19</v>
      </c>
      <c r="H3143" t="str">
        <f t="shared" si="255"/>
        <v>Washington Nationals</v>
      </c>
      <c r="I3143" s="60">
        <f t="shared" si="256"/>
        <v>7</v>
      </c>
      <c r="J3143" t="str">
        <f t="shared" si="257"/>
        <v>Miami Marlins</v>
      </c>
      <c r="K3143" s="60">
        <f t="shared" si="258"/>
        <v>5</v>
      </c>
      <c r="L3143">
        <f t="shared" si="259"/>
        <v>2</v>
      </c>
    </row>
    <row r="3144" spans="1:12" x14ac:dyDescent="0.25">
      <c r="G3144" t="str">
        <f t="shared" si="260"/>
        <v>06/26/19</v>
      </c>
      <c r="H3144" t="str">
        <f t="shared" si="255"/>
        <v/>
      </c>
      <c r="I3144" s="60" t="str">
        <f t="shared" si="256"/>
        <v/>
      </c>
      <c r="J3144" t="str">
        <f t="shared" si="257"/>
        <v/>
      </c>
      <c r="K3144" s="60" t="str">
        <f t="shared" si="258"/>
        <v/>
      </c>
      <c r="L3144" t="str">
        <f t="shared" si="259"/>
        <v/>
      </c>
    </row>
    <row r="3145" spans="1:12" x14ac:dyDescent="0.25">
      <c r="A3145" t="s">
        <v>2996</v>
      </c>
      <c r="G3145" t="str">
        <f t="shared" si="260"/>
        <v>06/26/19</v>
      </c>
      <c r="H3145" t="str">
        <f t="shared" si="255"/>
        <v>Seattle Mariners</v>
      </c>
      <c r="I3145" s="60">
        <f t="shared" si="256"/>
        <v>4</v>
      </c>
      <c r="J3145" t="str">
        <f t="shared" si="257"/>
        <v>Milwaukee Brewers</v>
      </c>
      <c r="K3145" s="60">
        <f t="shared" si="258"/>
        <v>2</v>
      </c>
      <c r="L3145">
        <f t="shared" si="259"/>
        <v>2</v>
      </c>
    </row>
    <row r="3146" spans="1:12" x14ac:dyDescent="0.25">
      <c r="G3146" t="str">
        <f t="shared" si="260"/>
        <v>06/26/19</v>
      </c>
      <c r="H3146" t="str">
        <f t="shared" si="255"/>
        <v/>
      </c>
      <c r="I3146" s="60" t="str">
        <f t="shared" si="256"/>
        <v/>
      </c>
      <c r="J3146" t="str">
        <f t="shared" si="257"/>
        <v/>
      </c>
      <c r="K3146" s="60" t="str">
        <f t="shared" si="258"/>
        <v/>
      </c>
      <c r="L3146" t="str">
        <f t="shared" si="259"/>
        <v/>
      </c>
    </row>
    <row r="3147" spans="1:12" x14ac:dyDescent="0.25">
      <c r="A3147" t="s">
        <v>2997</v>
      </c>
      <c r="G3147" t="str">
        <f t="shared" si="260"/>
        <v>06/26/19</v>
      </c>
      <c r="H3147" t="str">
        <f t="shared" si="255"/>
        <v>Tampa Bay Rays</v>
      </c>
      <c r="I3147" s="60">
        <f t="shared" si="256"/>
        <v>4</v>
      </c>
      <c r="J3147" t="str">
        <f t="shared" si="257"/>
        <v>Minnesota Twins</v>
      </c>
      <c r="K3147" s="60">
        <f t="shared" si="258"/>
        <v>6</v>
      </c>
      <c r="L3147">
        <f t="shared" si="259"/>
        <v>-2</v>
      </c>
    </row>
    <row r="3148" spans="1:12" x14ac:dyDescent="0.25">
      <c r="G3148" t="str">
        <f t="shared" si="260"/>
        <v>06/26/19</v>
      </c>
      <c r="H3148" t="str">
        <f t="shared" si="255"/>
        <v/>
      </c>
      <c r="I3148" s="60" t="str">
        <f t="shared" si="256"/>
        <v/>
      </c>
      <c r="J3148" t="str">
        <f t="shared" si="257"/>
        <v/>
      </c>
      <c r="K3148" s="60" t="str">
        <f t="shared" si="258"/>
        <v/>
      </c>
      <c r="L3148" t="str">
        <f t="shared" si="259"/>
        <v/>
      </c>
    </row>
    <row r="3149" spans="1:12" x14ac:dyDescent="0.25">
      <c r="A3149" t="s">
        <v>2998</v>
      </c>
      <c r="G3149" t="str">
        <f t="shared" si="260"/>
        <v>06/26/19</v>
      </c>
      <c r="H3149" t="str">
        <f t="shared" si="255"/>
        <v>Toronto Blue Jays</v>
      </c>
      <c r="I3149" s="60">
        <f t="shared" si="256"/>
        <v>7</v>
      </c>
      <c r="J3149" t="str">
        <f t="shared" si="257"/>
        <v>New York Yankees</v>
      </c>
      <c r="K3149" s="60">
        <f t="shared" si="258"/>
        <v>8</v>
      </c>
      <c r="L3149">
        <f t="shared" si="259"/>
        <v>-1</v>
      </c>
    </row>
    <row r="3150" spans="1:12" x14ac:dyDescent="0.25">
      <c r="G3150" t="str">
        <f t="shared" si="260"/>
        <v>06/26/19</v>
      </c>
      <c r="H3150" t="str">
        <f t="shared" si="255"/>
        <v/>
      </c>
      <c r="I3150" s="60" t="str">
        <f t="shared" si="256"/>
        <v/>
      </c>
      <c r="J3150" t="str">
        <f t="shared" si="257"/>
        <v/>
      </c>
      <c r="K3150" s="60" t="str">
        <f t="shared" si="258"/>
        <v/>
      </c>
      <c r="L3150" t="str">
        <f t="shared" si="259"/>
        <v/>
      </c>
    </row>
    <row r="3151" spans="1:12" x14ac:dyDescent="0.25">
      <c r="A3151" t="s">
        <v>2999</v>
      </c>
      <c r="G3151" t="str">
        <f t="shared" si="260"/>
        <v>06/26/19</v>
      </c>
      <c r="H3151" t="str">
        <f t="shared" si="255"/>
        <v>New York Mets</v>
      </c>
      <c r="I3151" s="60">
        <f t="shared" si="256"/>
        <v>4</v>
      </c>
      <c r="J3151" t="str">
        <f t="shared" si="257"/>
        <v>Philadelphia Phillies</v>
      </c>
      <c r="K3151" s="60">
        <f t="shared" si="258"/>
        <v>5</v>
      </c>
      <c r="L3151">
        <f t="shared" si="259"/>
        <v>-1</v>
      </c>
    </row>
    <row r="3152" spans="1:12" x14ac:dyDescent="0.25">
      <c r="G3152" t="str">
        <f t="shared" si="260"/>
        <v>06/26/19</v>
      </c>
      <c r="H3152" t="str">
        <f t="shared" ref="H3152:H3215" si="261">IFERROR(LEFT(MID(A3152,1,SEARCH("@",A3152)-2),SEARCH("(",A3152)-2),"")</f>
        <v/>
      </c>
      <c r="I3152" s="60" t="str">
        <f t="shared" ref="I3152:I3215" si="262">IFERROR(VALUE(MID(A3152,SEARCH("(",A3152)+1,SEARCH(")",A3152)-SEARCH("(",A3152)-1)),"")</f>
        <v/>
      </c>
      <c r="J3152" t="str">
        <f t="shared" ref="J3152:J3215" si="263">IFERROR(MID(A3152,SEARCH("@",A3152)+2,SEARCH("(",A3152,SEARCH("@",A3152))-SEARCH("@",A3152)-3),"")</f>
        <v/>
      </c>
      <c r="K3152" s="60" t="str">
        <f t="shared" ref="K3152:K3215" si="264">IFERROR(VALUE(MID(A3152,SEARCH(J3152,A3152)+LEN(J3152)+2,(SEARCH(")",A3152,SEARCH("@",A3152))-SEARCH("(",A3152,SEARCH("@",A3152))-1))),"")</f>
        <v/>
      </c>
      <c r="L3152" t="str">
        <f t="shared" ref="L3152:L3215" si="265">IFERROR(I3152-K3152,"")</f>
        <v/>
      </c>
    </row>
    <row r="3153" spans="1:12" x14ac:dyDescent="0.25">
      <c r="A3153" t="s">
        <v>3000</v>
      </c>
      <c r="G3153" t="str">
        <f t="shared" si="260"/>
        <v>06/26/19</v>
      </c>
      <c r="H3153" t="str">
        <f t="shared" si="261"/>
        <v>Colorado Rockies</v>
      </c>
      <c r="I3153" s="60">
        <f t="shared" si="262"/>
        <v>6</v>
      </c>
      <c r="J3153" t="str">
        <f t="shared" si="263"/>
        <v>San Francisco Giants</v>
      </c>
      <c r="K3153" s="60">
        <f t="shared" si="264"/>
        <v>3</v>
      </c>
      <c r="L3153">
        <f t="shared" si="265"/>
        <v>3</v>
      </c>
    </row>
    <row r="3154" spans="1:12" x14ac:dyDescent="0.25">
      <c r="G3154" t="str">
        <f t="shared" si="260"/>
        <v>06/26/19</v>
      </c>
      <c r="H3154" t="str">
        <f t="shared" si="261"/>
        <v/>
      </c>
      <c r="I3154" s="60" t="str">
        <f t="shared" si="262"/>
        <v/>
      </c>
      <c r="J3154" t="str">
        <f t="shared" si="263"/>
        <v/>
      </c>
      <c r="K3154" s="60" t="str">
        <f t="shared" si="264"/>
        <v/>
      </c>
      <c r="L3154" t="str">
        <f t="shared" si="265"/>
        <v/>
      </c>
    </row>
    <row r="3155" spans="1:12" x14ac:dyDescent="0.25">
      <c r="A3155" t="s">
        <v>3001</v>
      </c>
      <c r="G3155" t="str">
        <f t="shared" si="260"/>
        <v>06/26/19</v>
      </c>
      <c r="H3155" t="str">
        <f t="shared" si="261"/>
        <v>Oakland Athletics</v>
      </c>
      <c r="I3155" s="60">
        <f t="shared" si="262"/>
        <v>2</v>
      </c>
      <c r="J3155" t="str">
        <f t="shared" si="263"/>
        <v>St. Louis Cardinals</v>
      </c>
      <c r="K3155" s="60">
        <f t="shared" si="264"/>
        <v>0</v>
      </c>
      <c r="L3155">
        <f t="shared" si="265"/>
        <v>2</v>
      </c>
    </row>
    <row r="3156" spans="1:12" x14ac:dyDescent="0.25">
      <c r="G3156" t="str">
        <f t="shared" si="260"/>
        <v>06/26/19</v>
      </c>
      <c r="H3156" t="str">
        <f t="shared" si="261"/>
        <v/>
      </c>
      <c r="I3156" s="60" t="str">
        <f t="shared" si="262"/>
        <v/>
      </c>
      <c r="J3156" t="str">
        <f t="shared" si="263"/>
        <v/>
      </c>
      <c r="K3156" s="60" t="str">
        <f t="shared" si="264"/>
        <v/>
      </c>
      <c r="L3156" t="str">
        <f t="shared" si="265"/>
        <v/>
      </c>
    </row>
    <row r="3157" spans="1:12" x14ac:dyDescent="0.25">
      <c r="A3157" t="s">
        <v>3002</v>
      </c>
      <c r="G3157" t="str">
        <f t="shared" si="260"/>
        <v>06/26/19</v>
      </c>
      <c r="H3157" t="str">
        <f t="shared" si="261"/>
        <v/>
      </c>
      <c r="I3157" s="60" t="str">
        <f t="shared" si="262"/>
        <v/>
      </c>
      <c r="J3157" t="str">
        <f t="shared" si="263"/>
        <v/>
      </c>
      <c r="K3157" s="60" t="str">
        <f t="shared" si="264"/>
        <v/>
      </c>
      <c r="L3157" t="str">
        <f t="shared" si="265"/>
        <v/>
      </c>
    </row>
    <row r="3158" spans="1:12" x14ac:dyDescent="0.25">
      <c r="G3158" t="str">
        <f t="shared" si="260"/>
        <v>06/26/19</v>
      </c>
      <c r="H3158" t="str">
        <f t="shared" si="261"/>
        <v/>
      </c>
      <c r="I3158" s="60" t="str">
        <f t="shared" si="262"/>
        <v/>
      </c>
      <c r="J3158" t="str">
        <f t="shared" si="263"/>
        <v/>
      </c>
      <c r="K3158" s="60" t="str">
        <f t="shared" si="264"/>
        <v/>
      </c>
      <c r="L3158" t="str">
        <f t="shared" si="265"/>
        <v/>
      </c>
    </row>
    <row r="3159" spans="1:12" x14ac:dyDescent="0.25">
      <c r="A3159" t="s">
        <v>3003</v>
      </c>
      <c r="G3159" t="str">
        <f t="shared" si="260"/>
        <v>06/27/19</v>
      </c>
      <c r="H3159" t="str">
        <f t="shared" si="261"/>
        <v/>
      </c>
      <c r="I3159" s="60" t="str">
        <f t="shared" si="262"/>
        <v/>
      </c>
      <c r="J3159" t="str">
        <f t="shared" si="263"/>
        <v/>
      </c>
      <c r="K3159" s="60" t="str">
        <f t="shared" si="264"/>
        <v/>
      </c>
      <c r="L3159" t="str">
        <f t="shared" si="265"/>
        <v/>
      </c>
    </row>
    <row r="3160" spans="1:12" x14ac:dyDescent="0.25">
      <c r="G3160" t="str">
        <f t="shared" si="260"/>
        <v>06/27/19</v>
      </c>
      <c r="H3160" t="str">
        <f t="shared" si="261"/>
        <v/>
      </c>
      <c r="I3160" s="60" t="str">
        <f t="shared" si="262"/>
        <v/>
      </c>
      <c r="J3160" t="str">
        <f t="shared" si="263"/>
        <v/>
      </c>
      <c r="K3160" s="60" t="str">
        <f t="shared" si="264"/>
        <v/>
      </c>
      <c r="L3160" t="str">
        <f t="shared" si="265"/>
        <v/>
      </c>
    </row>
    <row r="3161" spans="1:12" x14ac:dyDescent="0.25">
      <c r="A3161" t="s">
        <v>3004</v>
      </c>
      <c r="G3161" t="str">
        <f t="shared" si="260"/>
        <v>06/27/19</v>
      </c>
      <c r="H3161" t="str">
        <f t="shared" si="261"/>
        <v>Oakland Athletics</v>
      </c>
      <c r="I3161" s="60">
        <f t="shared" si="262"/>
        <v>3</v>
      </c>
      <c r="J3161" t="str">
        <f t="shared" si="263"/>
        <v>Los Angeles Angels</v>
      </c>
      <c r="K3161" s="60">
        <f t="shared" si="264"/>
        <v>8</v>
      </c>
      <c r="L3161">
        <f t="shared" si="265"/>
        <v>-5</v>
      </c>
    </row>
    <row r="3162" spans="1:12" x14ac:dyDescent="0.25">
      <c r="G3162" t="str">
        <f t="shared" si="260"/>
        <v>06/27/19</v>
      </c>
      <c r="H3162" t="str">
        <f t="shared" si="261"/>
        <v/>
      </c>
      <c r="I3162" s="60" t="str">
        <f t="shared" si="262"/>
        <v/>
      </c>
      <c r="J3162" t="str">
        <f t="shared" si="263"/>
        <v/>
      </c>
      <c r="K3162" s="60" t="str">
        <f t="shared" si="264"/>
        <v/>
      </c>
      <c r="L3162" t="str">
        <f t="shared" si="265"/>
        <v/>
      </c>
    </row>
    <row r="3163" spans="1:12" x14ac:dyDescent="0.25">
      <c r="A3163" t="s">
        <v>3005</v>
      </c>
      <c r="G3163" t="str">
        <f t="shared" si="260"/>
        <v>06/27/19</v>
      </c>
      <c r="H3163" t="str">
        <f t="shared" si="261"/>
        <v>Atlanta Braves</v>
      </c>
      <c r="I3163" s="60">
        <f t="shared" si="262"/>
        <v>7</v>
      </c>
      <c r="J3163" t="str">
        <f t="shared" si="263"/>
        <v>Chicago Cubs</v>
      </c>
      <c r="K3163" s="60">
        <f t="shared" si="264"/>
        <v>9</v>
      </c>
      <c r="L3163">
        <f t="shared" si="265"/>
        <v>-2</v>
      </c>
    </row>
    <row r="3164" spans="1:12" x14ac:dyDescent="0.25">
      <c r="G3164" t="str">
        <f t="shared" si="260"/>
        <v>06/27/19</v>
      </c>
      <c r="H3164" t="str">
        <f t="shared" si="261"/>
        <v/>
      </c>
      <c r="I3164" s="60" t="str">
        <f t="shared" si="262"/>
        <v/>
      </c>
      <c r="J3164" t="str">
        <f t="shared" si="263"/>
        <v/>
      </c>
      <c r="K3164" s="60" t="str">
        <f t="shared" si="264"/>
        <v/>
      </c>
      <c r="L3164" t="str">
        <f t="shared" si="265"/>
        <v/>
      </c>
    </row>
    <row r="3165" spans="1:12" x14ac:dyDescent="0.25">
      <c r="A3165" t="s">
        <v>3006</v>
      </c>
      <c r="G3165" t="str">
        <f t="shared" si="260"/>
        <v>06/27/19</v>
      </c>
      <c r="H3165" t="str">
        <f t="shared" si="261"/>
        <v>Los Angeles Dodgers</v>
      </c>
      <c r="I3165" s="60">
        <f t="shared" si="262"/>
        <v>12</v>
      </c>
      <c r="J3165" t="str">
        <f t="shared" si="263"/>
        <v>Colorado Rockies</v>
      </c>
      <c r="K3165" s="60">
        <f t="shared" si="264"/>
        <v>8</v>
      </c>
      <c r="L3165">
        <f t="shared" si="265"/>
        <v>4</v>
      </c>
    </row>
    <row r="3166" spans="1:12" x14ac:dyDescent="0.25">
      <c r="G3166" t="str">
        <f t="shared" si="260"/>
        <v>06/27/19</v>
      </c>
      <c r="H3166" t="str">
        <f t="shared" si="261"/>
        <v/>
      </c>
      <c r="I3166" s="60" t="str">
        <f t="shared" si="262"/>
        <v/>
      </c>
      <c r="J3166" t="str">
        <f t="shared" si="263"/>
        <v/>
      </c>
      <c r="K3166" s="60" t="str">
        <f t="shared" si="264"/>
        <v/>
      </c>
      <c r="L3166" t="str">
        <f t="shared" si="265"/>
        <v/>
      </c>
    </row>
    <row r="3167" spans="1:12" x14ac:dyDescent="0.25">
      <c r="A3167" t="s">
        <v>3007</v>
      </c>
      <c r="G3167" t="str">
        <f t="shared" si="260"/>
        <v>06/27/19</v>
      </c>
      <c r="H3167" t="str">
        <f t="shared" si="261"/>
        <v>Texas Rangers</v>
      </c>
      <c r="I3167" s="60">
        <f t="shared" si="262"/>
        <v>3</v>
      </c>
      <c r="J3167" t="str">
        <f t="shared" si="263"/>
        <v>Detroit Tigers</v>
      </c>
      <c r="K3167" s="60">
        <f t="shared" si="264"/>
        <v>1</v>
      </c>
      <c r="L3167">
        <f t="shared" si="265"/>
        <v>2</v>
      </c>
    </row>
    <row r="3168" spans="1:12" x14ac:dyDescent="0.25">
      <c r="G3168" t="str">
        <f t="shared" si="260"/>
        <v>06/27/19</v>
      </c>
      <c r="H3168" t="str">
        <f t="shared" si="261"/>
        <v/>
      </c>
      <c r="I3168" s="60" t="str">
        <f t="shared" si="262"/>
        <v/>
      </c>
      <c r="J3168" t="str">
        <f t="shared" si="263"/>
        <v/>
      </c>
      <c r="K3168" s="60" t="str">
        <f t="shared" si="264"/>
        <v/>
      </c>
      <c r="L3168" t="str">
        <f t="shared" si="265"/>
        <v/>
      </c>
    </row>
    <row r="3169" spans="1:12" x14ac:dyDescent="0.25">
      <c r="A3169" t="s">
        <v>3008</v>
      </c>
      <c r="G3169" t="str">
        <f t="shared" si="260"/>
        <v>06/27/19</v>
      </c>
      <c r="H3169" t="str">
        <f t="shared" si="261"/>
        <v>Pittsburgh Pirates</v>
      </c>
      <c r="I3169" s="60">
        <f t="shared" si="262"/>
        <v>10</v>
      </c>
      <c r="J3169" t="str">
        <f t="shared" si="263"/>
        <v>Houston Astros</v>
      </c>
      <c r="K3169" s="60">
        <f t="shared" si="264"/>
        <v>0</v>
      </c>
      <c r="L3169">
        <f t="shared" si="265"/>
        <v>10</v>
      </c>
    </row>
    <row r="3170" spans="1:12" x14ac:dyDescent="0.25">
      <c r="G3170" t="str">
        <f t="shared" ref="G3170:G3233" si="266">IF(ISNUMBER(MATCH(IFERROR(LEFT(A3170,SEARCH(",",A3170)-1),""),$G$220:$M$220,0)),TEXT(MID(A3170,SEARCH(",",A3170)+2,LEN(A3170)),"mm/dd/yy"),G3169)</f>
        <v>06/27/19</v>
      </c>
      <c r="H3170" t="str">
        <f t="shared" si="261"/>
        <v/>
      </c>
      <c r="I3170" s="60" t="str">
        <f t="shared" si="262"/>
        <v/>
      </c>
      <c r="J3170" t="str">
        <f t="shared" si="263"/>
        <v/>
      </c>
      <c r="K3170" s="60" t="str">
        <f t="shared" si="264"/>
        <v/>
      </c>
      <c r="L3170" t="str">
        <f t="shared" si="265"/>
        <v/>
      </c>
    </row>
    <row r="3171" spans="1:12" x14ac:dyDescent="0.25">
      <c r="A3171" t="s">
        <v>3009</v>
      </c>
      <c r="G3171" t="str">
        <f t="shared" si="266"/>
        <v>06/27/19</v>
      </c>
      <c r="H3171" t="str">
        <f t="shared" si="261"/>
        <v>Washington Nationals</v>
      </c>
      <c r="I3171" s="60">
        <f t="shared" si="262"/>
        <v>8</v>
      </c>
      <c r="J3171" t="str">
        <f t="shared" si="263"/>
        <v>Miami Marlins</v>
      </c>
      <c r="K3171" s="60">
        <f t="shared" si="264"/>
        <v>5</v>
      </c>
      <c r="L3171">
        <f t="shared" si="265"/>
        <v>3</v>
      </c>
    </row>
    <row r="3172" spans="1:12" x14ac:dyDescent="0.25">
      <c r="G3172" t="str">
        <f t="shared" si="266"/>
        <v>06/27/19</v>
      </c>
      <c r="H3172" t="str">
        <f t="shared" si="261"/>
        <v/>
      </c>
      <c r="I3172" s="60" t="str">
        <f t="shared" si="262"/>
        <v/>
      </c>
      <c r="J3172" t="str">
        <f t="shared" si="263"/>
        <v/>
      </c>
      <c r="K3172" s="60" t="str">
        <f t="shared" si="264"/>
        <v/>
      </c>
      <c r="L3172" t="str">
        <f t="shared" si="265"/>
        <v/>
      </c>
    </row>
    <row r="3173" spans="1:12" x14ac:dyDescent="0.25">
      <c r="A3173" t="s">
        <v>3010</v>
      </c>
      <c r="G3173" t="str">
        <f t="shared" si="266"/>
        <v>06/27/19</v>
      </c>
      <c r="H3173" t="str">
        <f t="shared" si="261"/>
        <v>Seattle Mariners</v>
      </c>
      <c r="I3173" s="60">
        <f t="shared" si="262"/>
        <v>2</v>
      </c>
      <c r="J3173" t="str">
        <f t="shared" si="263"/>
        <v>Milwaukee Brewers</v>
      </c>
      <c r="K3173" s="60">
        <f t="shared" si="264"/>
        <v>4</v>
      </c>
      <c r="L3173">
        <f t="shared" si="265"/>
        <v>-2</v>
      </c>
    </row>
    <row r="3174" spans="1:12" x14ac:dyDescent="0.25">
      <c r="G3174" t="str">
        <f t="shared" si="266"/>
        <v>06/27/19</v>
      </c>
      <c r="H3174" t="str">
        <f t="shared" si="261"/>
        <v/>
      </c>
      <c r="I3174" s="60" t="str">
        <f t="shared" si="262"/>
        <v/>
      </c>
      <c r="J3174" t="str">
        <f t="shared" si="263"/>
        <v/>
      </c>
      <c r="K3174" s="60" t="str">
        <f t="shared" si="264"/>
        <v/>
      </c>
      <c r="L3174" t="str">
        <f t="shared" si="265"/>
        <v/>
      </c>
    </row>
    <row r="3175" spans="1:12" x14ac:dyDescent="0.25">
      <c r="A3175" t="s">
        <v>3011</v>
      </c>
      <c r="G3175" t="str">
        <f t="shared" si="266"/>
        <v>06/27/19</v>
      </c>
      <c r="H3175" t="str">
        <f t="shared" si="261"/>
        <v>Tampa Bay Rays</v>
      </c>
      <c r="I3175" s="60">
        <f t="shared" si="262"/>
        <v>5</v>
      </c>
      <c r="J3175" t="str">
        <f t="shared" si="263"/>
        <v>Minnesota Twins</v>
      </c>
      <c r="K3175" s="60">
        <f t="shared" si="264"/>
        <v>2</v>
      </c>
      <c r="L3175">
        <f t="shared" si="265"/>
        <v>3</v>
      </c>
    </row>
    <row r="3176" spans="1:12" x14ac:dyDescent="0.25">
      <c r="G3176" t="str">
        <f t="shared" si="266"/>
        <v>06/27/19</v>
      </c>
      <c r="H3176" t="str">
        <f t="shared" si="261"/>
        <v/>
      </c>
      <c r="I3176" s="60" t="str">
        <f t="shared" si="262"/>
        <v/>
      </c>
      <c r="J3176" t="str">
        <f t="shared" si="263"/>
        <v/>
      </c>
      <c r="K3176" s="60" t="str">
        <f t="shared" si="264"/>
        <v/>
      </c>
      <c r="L3176" t="str">
        <f t="shared" si="265"/>
        <v/>
      </c>
    </row>
    <row r="3177" spans="1:12" x14ac:dyDescent="0.25">
      <c r="A3177" t="s">
        <v>3012</v>
      </c>
      <c r="G3177" t="str">
        <f t="shared" si="266"/>
        <v>06/27/19</v>
      </c>
      <c r="H3177" t="str">
        <f t="shared" si="261"/>
        <v>New York Mets</v>
      </c>
      <c r="I3177" s="60">
        <f t="shared" si="262"/>
        <v>3</v>
      </c>
      <c r="J3177" t="str">
        <f t="shared" si="263"/>
        <v>Philadelphia Phillies</v>
      </c>
      <c r="K3177" s="60">
        <f t="shared" si="264"/>
        <v>6</v>
      </c>
      <c r="L3177">
        <f t="shared" si="265"/>
        <v>-3</v>
      </c>
    </row>
    <row r="3178" spans="1:12" x14ac:dyDescent="0.25">
      <c r="G3178" t="str">
        <f t="shared" si="266"/>
        <v>06/27/19</v>
      </c>
      <c r="H3178" t="str">
        <f t="shared" si="261"/>
        <v/>
      </c>
      <c r="I3178" s="60" t="str">
        <f t="shared" si="262"/>
        <v/>
      </c>
      <c r="J3178" t="str">
        <f t="shared" si="263"/>
        <v/>
      </c>
      <c r="K3178" s="60" t="str">
        <f t="shared" si="264"/>
        <v/>
      </c>
      <c r="L3178" t="str">
        <f t="shared" si="265"/>
        <v/>
      </c>
    </row>
    <row r="3179" spans="1:12" x14ac:dyDescent="0.25">
      <c r="A3179" t="s">
        <v>3013</v>
      </c>
      <c r="G3179" t="str">
        <f t="shared" si="266"/>
        <v>06/27/19</v>
      </c>
      <c r="H3179" t="str">
        <f t="shared" si="261"/>
        <v>Arizona D'Backs</v>
      </c>
      <c r="I3179" s="60">
        <f t="shared" si="262"/>
        <v>5</v>
      </c>
      <c r="J3179" t="str">
        <f t="shared" si="263"/>
        <v>San Francisco Giants</v>
      </c>
      <c r="K3179" s="60">
        <f t="shared" si="264"/>
        <v>1</v>
      </c>
      <c r="L3179">
        <f t="shared" si="265"/>
        <v>4</v>
      </c>
    </row>
    <row r="3180" spans="1:12" x14ac:dyDescent="0.25">
      <c r="G3180" t="str">
        <f t="shared" si="266"/>
        <v>06/27/19</v>
      </c>
      <c r="H3180" t="str">
        <f t="shared" si="261"/>
        <v/>
      </c>
      <c r="I3180" s="60" t="str">
        <f t="shared" si="262"/>
        <v/>
      </c>
      <c r="J3180" t="str">
        <f t="shared" si="263"/>
        <v/>
      </c>
      <c r="K3180" s="60" t="str">
        <f t="shared" si="264"/>
        <v/>
      </c>
      <c r="L3180" t="str">
        <f t="shared" si="265"/>
        <v/>
      </c>
    </row>
    <row r="3181" spans="1:12" x14ac:dyDescent="0.25">
      <c r="A3181" t="s">
        <v>3014</v>
      </c>
      <c r="G3181" t="str">
        <f t="shared" si="266"/>
        <v>06/27/19</v>
      </c>
      <c r="H3181" t="str">
        <f t="shared" si="261"/>
        <v/>
      </c>
      <c r="I3181" s="60" t="str">
        <f t="shared" si="262"/>
        <v/>
      </c>
      <c r="J3181" t="str">
        <f t="shared" si="263"/>
        <v/>
      </c>
      <c r="K3181" s="60" t="str">
        <f t="shared" si="264"/>
        <v/>
      </c>
      <c r="L3181" t="str">
        <f t="shared" si="265"/>
        <v/>
      </c>
    </row>
    <row r="3182" spans="1:12" x14ac:dyDescent="0.25">
      <c r="G3182" t="str">
        <f t="shared" si="266"/>
        <v>06/27/19</v>
      </c>
      <c r="H3182" t="str">
        <f t="shared" si="261"/>
        <v/>
      </c>
      <c r="I3182" s="60" t="str">
        <f t="shared" si="262"/>
        <v/>
      </c>
      <c r="J3182" t="str">
        <f t="shared" si="263"/>
        <v/>
      </c>
      <c r="K3182" s="60" t="str">
        <f t="shared" si="264"/>
        <v/>
      </c>
      <c r="L3182" t="str">
        <f t="shared" si="265"/>
        <v/>
      </c>
    </row>
    <row r="3183" spans="1:12" x14ac:dyDescent="0.25">
      <c r="A3183" t="s">
        <v>3015</v>
      </c>
      <c r="G3183" t="str">
        <f t="shared" si="266"/>
        <v>06/28/19</v>
      </c>
      <c r="H3183" t="str">
        <f t="shared" si="261"/>
        <v/>
      </c>
      <c r="I3183" s="60" t="str">
        <f t="shared" si="262"/>
        <v/>
      </c>
      <c r="J3183" t="str">
        <f t="shared" si="263"/>
        <v/>
      </c>
      <c r="K3183" s="60" t="str">
        <f t="shared" si="264"/>
        <v/>
      </c>
      <c r="L3183" t="str">
        <f t="shared" si="265"/>
        <v/>
      </c>
    </row>
    <row r="3184" spans="1:12" x14ac:dyDescent="0.25">
      <c r="G3184" t="str">
        <f t="shared" si="266"/>
        <v>06/28/19</v>
      </c>
      <c r="H3184" t="str">
        <f t="shared" si="261"/>
        <v/>
      </c>
      <c r="I3184" s="60" t="str">
        <f t="shared" si="262"/>
        <v/>
      </c>
      <c r="J3184" t="str">
        <f t="shared" si="263"/>
        <v/>
      </c>
      <c r="K3184" s="60" t="str">
        <f t="shared" si="264"/>
        <v/>
      </c>
      <c r="L3184" t="str">
        <f t="shared" si="265"/>
        <v/>
      </c>
    </row>
    <row r="3185" spans="1:12" x14ac:dyDescent="0.25">
      <c r="A3185" t="s">
        <v>3016</v>
      </c>
      <c r="G3185" t="str">
        <f t="shared" si="266"/>
        <v>06/28/19</v>
      </c>
      <c r="H3185" t="str">
        <f t="shared" si="261"/>
        <v>Oakland Athletics</v>
      </c>
      <c r="I3185" s="60">
        <f t="shared" si="262"/>
        <v>7</v>
      </c>
      <c r="J3185" t="str">
        <f t="shared" si="263"/>
        <v>Los Angeles Angels</v>
      </c>
      <c r="K3185" s="60">
        <f t="shared" si="264"/>
        <v>2</v>
      </c>
      <c r="L3185">
        <f t="shared" si="265"/>
        <v>5</v>
      </c>
    </row>
    <row r="3186" spans="1:12" x14ac:dyDescent="0.25">
      <c r="G3186" t="str">
        <f t="shared" si="266"/>
        <v>06/28/19</v>
      </c>
      <c r="H3186" t="str">
        <f t="shared" si="261"/>
        <v/>
      </c>
      <c r="I3186" s="60" t="str">
        <f t="shared" si="262"/>
        <v/>
      </c>
      <c r="J3186" t="str">
        <f t="shared" si="263"/>
        <v/>
      </c>
      <c r="K3186" s="60" t="str">
        <f t="shared" si="264"/>
        <v/>
      </c>
      <c r="L3186" t="str">
        <f t="shared" si="265"/>
        <v/>
      </c>
    </row>
    <row r="3187" spans="1:12" x14ac:dyDescent="0.25">
      <c r="A3187" t="s">
        <v>3017</v>
      </c>
      <c r="G3187" t="str">
        <f t="shared" si="266"/>
        <v>06/28/19</v>
      </c>
      <c r="H3187" t="str">
        <f t="shared" si="261"/>
        <v>Cleveland Indians</v>
      </c>
      <c r="I3187" s="60">
        <f t="shared" si="262"/>
        <v>0</v>
      </c>
      <c r="J3187" t="str">
        <f t="shared" si="263"/>
        <v>Baltimore Orioles</v>
      </c>
      <c r="K3187" s="60">
        <f t="shared" si="264"/>
        <v>13</v>
      </c>
      <c r="L3187">
        <f t="shared" si="265"/>
        <v>-13</v>
      </c>
    </row>
    <row r="3188" spans="1:12" x14ac:dyDescent="0.25">
      <c r="G3188" t="str">
        <f t="shared" si="266"/>
        <v>06/28/19</v>
      </c>
      <c r="H3188" t="str">
        <f t="shared" si="261"/>
        <v/>
      </c>
      <c r="I3188" s="60" t="str">
        <f t="shared" si="262"/>
        <v/>
      </c>
      <c r="J3188" t="str">
        <f t="shared" si="263"/>
        <v/>
      </c>
      <c r="K3188" s="60" t="str">
        <f t="shared" si="264"/>
        <v/>
      </c>
      <c r="L3188" t="str">
        <f t="shared" si="265"/>
        <v/>
      </c>
    </row>
    <row r="3189" spans="1:12" x14ac:dyDescent="0.25">
      <c r="A3189" t="s">
        <v>3018</v>
      </c>
      <c r="G3189" t="str">
        <f t="shared" si="266"/>
        <v>06/28/19</v>
      </c>
      <c r="H3189" t="str">
        <f t="shared" si="261"/>
        <v>Minnesota Twins</v>
      </c>
      <c r="I3189" s="60">
        <f t="shared" si="262"/>
        <v>4</v>
      </c>
      <c r="J3189" t="str">
        <f t="shared" si="263"/>
        <v>Chicago White Sox</v>
      </c>
      <c r="K3189" s="60">
        <f t="shared" si="264"/>
        <v>6</v>
      </c>
      <c r="L3189">
        <f t="shared" si="265"/>
        <v>-2</v>
      </c>
    </row>
    <row r="3190" spans="1:12" x14ac:dyDescent="0.25">
      <c r="G3190" t="str">
        <f t="shared" si="266"/>
        <v>06/28/19</v>
      </c>
      <c r="H3190" t="str">
        <f t="shared" si="261"/>
        <v/>
      </c>
      <c r="I3190" s="60" t="str">
        <f t="shared" si="262"/>
        <v/>
      </c>
      <c r="J3190" t="str">
        <f t="shared" si="263"/>
        <v/>
      </c>
      <c r="K3190" s="60" t="str">
        <f t="shared" si="264"/>
        <v/>
      </c>
      <c r="L3190" t="str">
        <f t="shared" si="265"/>
        <v/>
      </c>
    </row>
    <row r="3191" spans="1:12" x14ac:dyDescent="0.25">
      <c r="A3191" t="s">
        <v>3019</v>
      </c>
      <c r="G3191" t="str">
        <f t="shared" si="266"/>
        <v>06/28/19</v>
      </c>
      <c r="H3191" t="str">
        <f t="shared" si="261"/>
        <v>Chicago Cubs</v>
      </c>
      <c r="I3191" s="60">
        <f t="shared" si="262"/>
        <v>3</v>
      </c>
      <c r="J3191" t="str">
        <f t="shared" si="263"/>
        <v>Cincinnati Reds</v>
      </c>
      <c r="K3191" s="60">
        <f t="shared" si="264"/>
        <v>6</v>
      </c>
      <c r="L3191">
        <f t="shared" si="265"/>
        <v>-3</v>
      </c>
    </row>
    <row r="3192" spans="1:12" x14ac:dyDescent="0.25">
      <c r="G3192" t="str">
        <f t="shared" si="266"/>
        <v>06/28/19</v>
      </c>
      <c r="H3192" t="str">
        <f t="shared" si="261"/>
        <v/>
      </c>
      <c r="I3192" s="60" t="str">
        <f t="shared" si="262"/>
        <v/>
      </c>
      <c r="J3192" t="str">
        <f t="shared" si="263"/>
        <v/>
      </c>
      <c r="K3192" s="60" t="str">
        <f t="shared" si="264"/>
        <v/>
      </c>
      <c r="L3192" t="str">
        <f t="shared" si="265"/>
        <v/>
      </c>
    </row>
    <row r="3193" spans="1:12" x14ac:dyDescent="0.25">
      <c r="A3193" t="s">
        <v>3020</v>
      </c>
      <c r="G3193" t="str">
        <f t="shared" si="266"/>
        <v>06/28/19</v>
      </c>
      <c r="H3193" t="str">
        <f t="shared" si="261"/>
        <v>Los Angeles Dodgers</v>
      </c>
      <c r="I3193" s="60">
        <f t="shared" si="262"/>
        <v>9</v>
      </c>
      <c r="J3193" t="str">
        <f t="shared" si="263"/>
        <v>Colorado Rockies</v>
      </c>
      <c r="K3193" s="60">
        <f t="shared" si="264"/>
        <v>13</v>
      </c>
      <c r="L3193">
        <f t="shared" si="265"/>
        <v>-4</v>
      </c>
    </row>
    <row r="3194" spans="1:12" x14ac:dyDescent="0.25">
      <c r="G3194" t="str">
        <f t="shared" si="266"/>
        <v>06/28/19</v>
      </c>
      <c r="H3194" t="str">
        <f t="shared" si="261"/>
        <v/>
      </c>
      <c r="I3194" s="60" t="str">
        <f t="shared" si="262"/>
        <v/>
      </c>
      <c r="J3194" t="str">
        <f t="shared" si="263"/>
        <v/>
      </c>
      <c r="K3194" s="60" t="str">
        <f t="shared" si="264"/>
        <v/>
      </c>
      <c r="L3194" t="str">
        <f t="shared" si="265"/>
        <v/>
      </c>
    </row>
    <row r="3195" spans="1:12" x14ac:dyDescent="0.25">
      <c r="A3195" t="s">
        <v>3021</v>
      </c>
      <c r="G3195" t="str">
        <f t="shared" si="266"/>
        <v>06/28/19</v>
      </c>
      <c r="H3195" t="str">
        <f t="shared" si="261"/>
        <v>Washington Nationals</v>
      </c>
      <c r="I3195" s="60">
        <f t="shared" si="262"/>
        <v>3</v>
      </c>
      <c r="J3195" t="str">
        <f t="shared" si="263"/>
        <v>Detroit Tigers</v>
      </c>
      <c r="K3195" s="60">
        <f t="shared" si="264"/>
        <v>1</v>
      </c>
      <c r="L3195">
        <f t="shared" si="265"/>
        <v>2</v>
      </c>
    </row>
    <row r="3196" spans="1:12" x14ac:dyDescent="0.25">
      <c r="G3196" t="str">
        <f t="shared" si="266"/>
        <v>06/28/19</v>
      </c>
      <c r="H3196" t="str">
        <f t="shared" si="261"/>
        <v/>
      </c>
      <c r="I3196" s="60" t="str">
        <f t="shared" si="262"/>
        <v/>
      </c>
      <c r="J3196" t="str">
        <f t="shared" si="263"/>
        <v/>
      </c>
      <c r="K3196" s="60" t="str">
        <f t="shared" si="264"/>
        <v/>
      </c>
      <c r="L3196" t="str">
        <f t="shared" si="265"/>
        <v/>
      </c>
    </row>
    <row r="3197" spans="1:12" x14ac:dyDescent="0.25">
      <c r="A3197" t="s">
        <v>3022</v>
      </c>
      <c r="G3197" t="str">
        <f t="shared" si="266"/>
        <v>06/28/19</v>
      </c>
      <c r="H3197" t="str">
        <f t="shared" si="261"/>
        <v>Seattle Mariners</v>
      </c>
      <c r="I3197" s="60">
        <f t="shared" si="262"/>
        <v>1</v>
      </c>
      <c r="J3197" t="str">
        <f t="shared" si="263"/>
        <v>Houston Astros</v>
      </c>
      <c r="K3197" s="60">
        <f t="shared" si="264"/>
        <v>2</v>
      </c>
      <c r="L3197">
        <f t="shared" si="265"/>
        <v>-1</v>
      </c>
    </row>
    <row r="3198" spans="1:12" x14ac:dyDescent="0.25">
      <c r="G3198" t="str">
        <f t="shared" si="266"/>
        <v>06/28/19</v>
      </c>
      <c r="H3198" t="str">
        <f t="shared" si="261"/>
        <v/>
      </c>
      <c r="I3198" s="60" t="str">
        <f t="shared" si="262"/>
        <v/>
      </c>
      <c r="J3198" t="str">
        <f t="shared" si="263"/>
        <v/>
      </c>
      <c r="K3198" s="60" t="str">
        <f t="shared" si="264"/>
        <v/>
      </c>
      <c r="L3198" t="str">
        <f t="shared" si="265"/>
        <v/>
      </c>
    </row>
    <row r="3199" spans="1:12" x14ac:dyDescent="0.25">
      <c r="A3199" t="s">
        <v>3023</v>
      </c>
      <c r="G3199" t="str">
        <f t="shared" si="266"/>
        <v>06/28/19</v>
      </c>
      <c r="H3199" t="str">
        <f t="shared" si="261"/>
        <v>Philadelphia Phillies</v>
      </c>
      <c r="I3199" s="60">
        <f t="shared" si="262"/>
        <v>2</v>
      </c>
      <c r="J3199" t="str">
        <f t="shared" si="263"/>
        <v>Miami Marlins</v>
      </c>
      <c r="K3199" s="60">
        <f t="shared" si="264"/>
        <v>6</v>
      </c>
      <c r="L3199">
        <f t="shared" si="265"/>
        <v>-4</v>
      </c>
    </row>
    <row r="3200" spans="1:12" x14ac:dyDescent="0.25">
      <c r="G3200" t="str">
        <f t="shared" si="266"/>
        <v>06/28/19</v>
      </c>
      <c r="H3200" t="str">
        <f t="shared" si="261"/>
        <v/>
      </c>
      <c r="I3200" s="60" t="str">
        <f t="shared" si="262"/>
        <v/>
      </c>
      <c r="J3200" t="str">
        <f t="shared" si="263"/>
        <v/>
      </c>
      <c r="K3200" s="60" t="str">
        <f t="shared" si="264"/>
        <v/>
      </c>
      <c r="L3200" t="str">
        <f t="shared" si="265"/>
        <v/>
      </c>
    </row>
    <row r="3201" spans="1:12" x14ac:dyDescent="0.25">
      <c r="A3201" t="s">
        <v>3024</v>
      </c>
      <c r="G3201" t="str">
        <f t="shared" si="266"/>
        <v>06/28/19</v>
      </c>
      <c r="H3201" t="str">
        <f t="shared" si="261"/>
        <v>Pittsburgh Pirates</v>
      </c>
      <c r="I3201" s="60">
        <f t="shared" si="262"/>
        <v>3</v>
      </c>
      <c r="J3201" t="str">
        <f t="shared" si="263"/>
        <v>Milwaukee Brewers</v>
      </c>
      <c r="K3201" s="60">
        <f t="shared" si="264"/>
        <v>2</v>
      </c>
      <c r="L3201">
        <f t="shared" si="265"/>
        <v>1</v>
      </c>
    </row>
    <row r="3202" spans="1:12" x14ac:dyDescent="0.25">
      <c r="G3202" t="str">
        <f t="shared" si="266"/>
        <v>06/28/19</v>
      </c>
      <c r="H3202" t="str">
        <f t="shared" si="261"/>
        <v/>
      </c>
      <c r="I3202" s="60" t="str">
        <f t="shared" si="262"/>
        <v/>
      </c>
      <c r="J3202" t="str">
        <f t="shared" si="263"/>
        <v/>
      </c>
      <c r="K3202" s="60" t="str">
        <f t="shared" si="264"/>
        <v/>
      </c>
      <c r="L3202" t="str">
        <f t="shared" si="265"/>
        <v/>
      </c>
    </row>
    <row r="3203" spans="1:12" x14ac:dyDescent="0.25">
      <c r="A3203" t="s">
        <v>3025</v>
      </c>
      <c r="G3203" t="str">
        <f t="shared" si="266"/>
        <v>06/28/19</v>
      </c>
      <c r="H3203" t="str">
        <f t="shared" si="261"/>
        <v>Atlanta Braves</v>
      </c>
      <c r="I3203" s="60">
        <f t="shared" si="262"/>
        <v>6</v>
      </c>
      <c r="J3203" t="str">
        <f t="shared" si="263"/>
        <v>New York Mets</v>
      </c>
      <c r="K3203" s="60">
        <f t="shared" si="264"/>
        <v>2</v>
      </c>
      <c r="L3203">
        <f t="shared" si="265"/>
        <v>4</v>
      </c>
    </row>
    <row r="3204" spans="1:12" x14ac:dyDescent="0.25">
      <c r="G3204" t="str">
        <f t="shared" si="266"/>
        <v>06/28/19</v>
      </c>
      <c r="H3204" t="str">
        <f t="shared" si="261"/>
        <v/>
      </c>
      <c r="I3204" s="60" t="str">
        <f t="shared" si="262"/>
        <v/>
      </c>
      <c r="J3204" t="str">
        <f t="shared" si="263"/>
        <v/>
      </c>
      <c r="K3204" s="60" t="str">
        <f t="shared" si="264"/>
        <v/>
      </c>
      <c r="L3204" t="str">
        <f t="shared" si="265"/>
        <v/>
      </c>
    </row>
    <row r="3205" spans="1:12" x14ac:dyDescent="0.25">
      <c r="A3205" t="s">
        <v>3026</v>
      </c>
      <c r="G3205" t="str">
        <f t="shared" si="266"/>
        <v>06/28/19</v>
      </c>
      <c r="H3205" t="str">
        <f t="shared" si="261"/>
        <v>St. Louis Cardinals</v>
      </c>
      <c r="I3205" s="60">
        <f t="shared" si="262"/>
        <v>1</v>
      </c>
      <c r="J3205" t="str">
        <f t="shared" si="263"/>
        <v>San Diego Padres</v>
      </c>
      <c r="K3205" s="60">
        <f t="shared" si="264"/>
        <v>3</v>
      </c>
      <c r="L3205">
        <f t="shared" si="265"/>
        <v>-2</v>
      </c>
    </row>
    <row r="3206" spans="1:12" x14ac:dyDescent="0.25">
      <c r="G3206" t="str">
        <f t="shared" si="266"/>
        <v>06/28/19</v>
      </c>
      <c r="H3206" t="str">
        <f t="shared" si="261"/>
        <v/>
      </c>
      <c r="I3206" s="60" t="str">
        <f t="shared" si="262"/>
        <v/>
      </c>
      <c r="J3206" t="str">
        <f t="shared" si="263"/>
        <v/>
      </c>
      <c r="K3206" s="60" t="str">
        <f t="shared" si="264"/>
        <v/>
      </c>
      <c r="L3206" t="str">
        <f t="shared" si="265"/>
        <v/>
      </c>
    </row>
    <row r="3207" spans="1:12" x14ac:dyDescent="0.25">
      <c r="A3207" t="s">
        <v>3027</v>
      </c>
      <c r="G3207" t="str">
        <f t="shared" si="266"/>
        <v>06/28/19</v>
      </c>
      <c r="H3207" t="str">
        <f t="shared" si="261"/>
        <v>Arizona D'Backs</v>
      </c>
      <c r="I3207" s="60">
        <f t="shared" si="262"/>
        <v>3</v>
      </c>
      <c r="J3207" t="str">
        <f t="shared" si="263"/>
        <v>San Francisco Giants</v>
      </c>
      <c r="K3207" s="60">
        <f t="shared" si="264"/>
        <v>6</v>
      </c>
      <c r="L3207">
        <f t="shared" si="265"/>
        <v>-3</v>
      </c>
    </row>
    <row r="3208" spans="1:12" x14ac:dyDescent="0.25">
      <c r="G3208" t="str">
        <f t="shared" si="266"/>
        <v>06/28/19</v>
      </c>
      <c r="H3208" t="str">
        <f t="shared" si="261"/>
        <v/>
      </c>
      <c r="I3208" s="60" t="str">
        <f t="shared" si="262"/>
        <v/>
      </c>
      <c r="J3208" t="str">
        <f t="shared" si="263"/>
        <v/>
      </c>
      <c r="K3208" s="60" t="str">
        <f t="shared" si="264"/>
        <v/>
      </c>
      <c r="L3208" t="str">
        <f t="shared" si="265"/>
        <v/>
      </c>
    </row>
    <row r="3209" spans="1:12" x14ac:dyDescent="0.25">
      <c r="A3209" t="s">
        <v>3028</v>
      </c>
      <c r="G3209" t="str">
        <f t="shared" si="266"/>
        <v>06/28/19</v>
      </c>
      <c r="H3209" t="str">
        <f t="shared" si="261"/>
        <v>Texas Rangers</v>
      </c>
      <c r="I3209" s="60">
        <f t="shared" si="262"/>
        <v>5</v>
      </c>
      <c r="J3209" t="str">
        <f t="shared" si="263"/>
        <v>Tampa Bay Rays</v>
      </c>
      <c r="K3209" s="60">
        <f t="shared" si="264"/>
        <v>0</v>
      </c>
      <c r="L3209">
        <f t="shared" si="265"/>
        <v>5</v>
      </c>
    </row>
    <row r="3210" spans="1:12" x14ac:dyDescent="0.25">
      <c r="G3210" t="str">
        <f t="shared" si="266"/>
        <v>06/28/19</v>
      </c>
      <c r="H3210" t="str">
        <f t="shared" si="261"/>
        <v/>
      </c>
      <c r="I3210" s="60" t="str">
        <f t="shared" si="262"/>
        <v/>
      </c>
      <c r="J3210" t="str">
        <f t="shared" si="263"/>
        <v/>
      </c>
      <c r="K3210" s="60" t="str">
        <f t="shared" si="264"/>
        <v/>
      </c>
      <c r="L3210" t="str">
        <f t="shared" si="265"/>
        <v/>
      </c>
    </row>
    <row r="3211" spans="1:12" x14ac:dyDescent="0.25">
      <c r="A3211" t="s">
        <v>3029</v>
      </c>
      <c r="G3211" t="str">
        <f t="shared" si="266"/>
        <v>06/28/19</v>
      </c>
      <c r="H3211" t="str">
        <f t="shared" si="261"/>
        <v>Kansas City Royals</v>
      </c>
      <c r="I3211" s="60">
        <f t="shared" si="262"/>
        <v>2</v>
      </c>
      <c r="J3211" t="str">
        <f t="shared" si="263"/>
        <v>Toronto Blue Jays</v>
      </c>
      <c r="K3211" s="60">
        <f t="shared" si="264"/>
        <v>6</v>
      </c>
      <c r="L3211">
        <f t="shared" si="265"/>
        <v>-4</v>
      </c>
    </row>
    <row r="3212" spans="1:12" x14ac:dyDescent="0.25">
      <c r="G3212" t="str">
        <f t="shared" si="266"/>
        <v>06/28/19</v>
      </c>
      <c r="H3212" t="str">
        <f t="shared" si="261"/>
        <v/>
      </c>
      <c r="I3212" s="60" t="str">
        <f t="shared" si="262"/>
        <v/>
      </c>
      <c r="J3212" t="str">
        <f t="shared" si="263"/>
        <v/>
      </c>
      <c r="K3212" s="60" t="str">
        <f t="shared" si="264"/>
        <v/>
      </c>
      <c r="L3212" t="str">
        <f t="shared" si="265"/>
        <v/>
      </c>
    </row>
    <row r="3213" spans="1:12" x14ac:dyDescent="0.25">
      <c r="A3213" t="s">
        <v>3030</v>
      </c>
      <c r="G3213" t="str">
        <f t="shared" si="266"/>
        <v>06/28/19</v>
      </c>
      <c r="H3213" t="str">
        <f t="shared" si="261"/>
        <v/>
      </c>
      <c r="I3213" s="60" t="str">
        <f t="shared" si="262"/>
        <v/>
      </c>
      <c r="J3213" t="str">
        <f t="shared" si="263"/>
        <v/>
      </c>
      <c r="K3213" s="60" t="str">
        <f t="shared" si="264"/>
        <v/>
      </c>
      <c r="L3213" t="str">
        <f t="shared" si="265"/>
        <v/>
      </c>
    </row>
    <row r="3214" spans="1:12" x14ac:dyDescent="0.25">
      <c r="G3214" t="str">
        <f t="shared" si="266"/>
        <v>06/28/19</v>
      </c>
      <c r="H3214" t="str">
        <f t="shared" si="261"/>
        <v/>
      </c>
      <c r="I3214" s="60" t="str">
        <f t="shared" si="262"/>
        <v/>
      </c>
      <c r="J3214" t="str">
        <f t="shared" si="263"/>
        <v/>
      </c>
      <c r="K3214" s="60" t="str">
        <f t="shared" si="264"/>
        <v/>
      </c>
      <c r="L3214" t="str">
        <f t="shared" si="265"/>
        <v/>
      </c>
    </row>
    <row r="3215" spans="1:12" x14ac:dyDescent="0.25">
      <c r="A3215" t="s">
        <v>3031</v>
      </c>
      <c r="G3215" t="str">
        <f t="shared" si="266"/>
        <v>06/29/19</v>
      </c>
      <c r="H3215" t="str">
        <f t="shared" si="261"/>
        <v/>
      </c>
      <c r="I3215" s="60" t="str">
        <f t="shared" si="262"/>
        <v/>
      </c>
      <c r="J3215" t="str">
        <f t="shared" si="263"/>
        <v/>
      </c>
      <c r="K3215" s="60" t="str">
        <f t="shared" si="264"/>
        <v/>
      </c>
      <c r="L3215" t="str">
        <f t="shared" si="265"/>
        <v/>
      </c>
    </row>
    <row r="3216" spans="1:12" x14ac:dyDescent="0.25">
      <c r="G3216" t="str">
        <f t="shared" si="266"/>
        <v>06/29/19</v>
      </c>
      <c r="H3216" t="str">
        <f t="shared" ref="H3216:H3279" si="267">IFERROR(LEFT(MID(A3216,1,SEARCH("@",A3216)-2),SEARCH("(",A3216)-2),"")</f>
        <v/>
      </c>
      <c r="I3216" s="60" t="str">
        <f t="shared" ref="I3216:I3279" si="268">IFERROR(VALUE(MID(A3216,SEARCH("(",A3216)+1,SEARCH(")",A3216)-SEARCH("(",A3216)-1)),"")</f>
        <v/>
      </c>
      <c r="J3216" t="str">
        <f t="shared" ref="J3216:J3279" si="269">IFERROR(MID(A3216,SEARCH("@",A3216)+2,SEARCH("(",A3216,SEARCH("@",A3216))-SEARCH("@",A3216)-3),"")</f>
        <v/>
      </c>
      <c r="K3216" s="60" t="str">
        <f t="shared" ref="K3216:K3279" si="270">IFERROR(VALUE(MID(A3216,SEARCH(J3216,A3216)+LEN(J3216)+2,(SEARCH(")",A3216,SEARCH("@",A3216))-SEARCH("(",A3216,SEARCH("@",A3216))-1))),"")</f>
        <v/>
      </c>
      <c r="L3216" t="str">
        <f t="shared" ref="L3216:L3279" si="271">IFERROR(I3216-K3216,"")</f>
        <v/>
      </c>
    </row>
    <row r="3217" spans="1:12" x14ac:dyDescent="0.25">
      <c r="A3217" t="s">
        <v>3032</v>
      </c>
      <c r="G3217" t="str">
        <f t="shared" si="266"/>
        <v>06/29/19</v>
      </c>
      <c r="H3217" t="str">
        <f t="shared" si="267"/>
        <v>Oakland Athletics</v>
      </c>
      <c r="I3217" s="60">
        <f t="shared" si="268"/>
        <v>4</v>
      </c>
      <c r="J3217" t="str">
        <f t="shared" si="269"/>
        <v>Los Angeles Angels</v>
      </c>
      <c r="K3217" s="60">
        <f t="shared" si="270"/>
        <v>0</v>
      </c>
      <c r="L3217">
        <f t="shared" si="271"/>
        <v>4</v>
      </c>
    </row>
    <row r="3218" spans="1:12" x14ac:dyDescent="0.25">
      <c r="G3218" t="str">
        <f t="shared" si="266"/>
        <v>06/29/19</v>
      </c>
      <c r="H3218" t="str">
        <f t="shared" si="267"/>
        <v/>
      </c>
      <c r="I3218" s="60" t="str">
        <f t="shared" si="268"/>
        <v/>
      </c>
      <c r="J3218" t="str">
        <f t="shared" si="269"/>
        <v/>
      </c>
      <c r="K3218" s="60" t="str">
        <f t="shared" si="270"/>
        <v/>
      </c>
      <c r="L3218" t="str">
        <f t="shared" si="271"/>
        <v/>
      </c>
    </row>
    <row r="3219" spans="1:12" x14ac:dyDescent="0.25">
      <c r="A3219" t="s">
        <v>3017</v>
      </c>
      <c r="G3219" t="str">
        <f t="shared" si="266"/>
        <v>06/29/19</v>
      </c>
      <c r="H3219" t="str">
        <f t="shared" si="267"/>
        <v>Cleveland Indians</v>
      </c>
      <c r="I3219" s="60">
        <f t="shared" si="268"/>
        <v>0</v>
      </c>
      <c r="J3219" t="str">
        <f t="shared" si="269"/>
        <v>Baltimore Orioles</v>
      </c>
      <c r="K3219" s="60">
        <f t="shared" si="270"/>
        <v>13</v>
      </c>
      <c r="L3219">
        <f t="shared" si="271"/>
        <v>-13</v>
      </c>
    </row>
    <row r="3220" spans="1:12" x14ac:dyDescent="0.25">
      <c r="G3220" t="str">
        <f t="shared" si="266"/>
        <v>06/29/19</v>
      </c>
      <c r="H3220" t="str">
        <f t="shared" si="267"/>
        <v/>
      </c>
      <c r="I3220" s="60" t="str">
        <f t="shared" si="268"/>
        <v/>
      </c>
      <c r="J3220" t="str">
        <f t="shared" si="269"/>
        <v/>
      </c>
      <c r="K3220" s="60" t="str">
        <f t="shared" si="270"/>
        <v/>
      </c>
      <c r="L3220" t="str">
        <f t="shared" si="271"/>
        <v/>
      </c>
    </row>
    <row r="3221" spans="1:12" x14ac:dyDescent="0.25">
      <c r="A3221" t="s">
        <v>3033</v>
      </c>
      <c r="G3221" t="str">
        <f t="shared" si="266"/>
        <v>06/29/19</v>
      </c>
      <c r="H3221" t="str">
        <f t="shared" si="267"/>
        <v>New York Yankees</v>
      </c>
      <c r="I3221" s="60">
        <f t="shared" si="268"/>
        <v>17</v>
      </c>
      <c r="J3221" t="str">
        <f t="shared" si="269"/>
        <v>Boston Red Sox</v>
      </c>
      <c r="K3221" s="60">
        <f t="shared" si="270"/>
        <v>13</v>
      </c>
      <c r="L3221">
        <f t="shared" si="271"/>
        <v>4</v>
      </c>
    </row>
    <row r="3222" spans="1:12" x14ac:dyDescent="0.25">
      <c r="G3222" t="str">
        <f t="shared" si="266"/>
        <v>06/29/19</v>
      </c>
      <c r="H3222" t="str">
        <f t="shared" si="267"/>
        <v/>
      </c>
      <c r="I3222" s="60" t="str">
        <f t="shared" si="268"/>
        <v/>
      </c>
      <c r="J3222" t="str">
        <f t="shared" si="269"/>
        <v/>
      </c>
      <c r="K3222" s="60" t="str">
        <f t="shared" si="270"/>
        <v/>
      </c>
      <c r="L3222" t="str">
        <f t="shared" si="271"/>
        <v/>
      </c>
    </row>
    <row r="3223" spans="1:12" x14ac:dyDescent="0.25">
      <c r="A3223" t="s">
        <v>3034</v>
      </c>
      <c r="G3223" t="str">
        <f t="shared" si="266"/>
        <v>06/29/19</v>
      </c>
      <c r="H3223" t="str">
        <f t="shared" si="267"/>
        <v>Minnesota Twins</v>
      </c>
      <c r="I3223" s="60">
        <f t="shared" si="268"/>
        <v>10</v>
      </c>
      <c r="J3223" t="str">
        <f t="shared" si="269"/>
        <v>Chicago White Sox</v>
      </c>
      <c r="K3223" s="60">
        <f t="shared" si="270"/>
        <v>3</v>
      </c>
      <c r="L3223">
        <f t="shared" si="271"/>
        <v>7</v>
      </c>
    </row>
    <row r="3224" spans="1:12" x14ac:dyDescent="0.25">
      <c r="G3224" t="str">
        <f t="shared" si="266"/>
        <v>06/29/19</v>
      </c>
      <c r="H3224" t="str">
        <f t="shared" si="267"/>
        <v/>
      </c>
      <c r="I3224" s="60" t="str">
        <f t="shared" si="268"/>
        <v/>
      </c>
      <c r="J3224" t="str">
        <f t="shared" si="269"/>
        <v/>
      </c>
      <c r="K3224" s="60" t="str">
        <f t="shared" si="270"/>
        <v/>
      </c>
      <c r="L3224" t="str">
        <f t="shared" si="271"/>
        <v/>
      </c>
    </row>
    <row r="3225" spans="1:12" x14ac:dyDescent="0.25">
      <c r="A3225" t="s">
        <v>3035</v>
      </c>
      <c r="G3225" t="str">
        <f t="shared" si="266"/>
        <v>06/29/19</v>
      </c>
      <c r="H3225" t="str">
        <f t="shared" si="267"/>
        <v>Chicago Cubs</v>
      </c>
      <c r="I3225" s="60">
        <f t="shared" si="268"/>
        <v>6</v>
      </c>
      <c r="J3225" t="str">
        <f t="shared" si="269"/>
        <v>Cincinnati Reds</v>
      </c>
      <c r="K3225" s="60">
        <f t="shared" si="270"/>
        <v>0</v>
      </c>
      <c r="L3225">
        <f t="shared" si="271"/>
        <v>6</v>
      </c>
    </row>
    <row r="3226" spans="1:12" x14ac:dyDescent="0.25">
      <c r="G3226" t="str">
        <f t="shared" si="266"/>
        <v>06/29/19</v>
      </c>
      <c r="H3226" t="str">
        <f t="shared" si="267"/>
        <v/>
      </c>
      <c r="I3226" s="60" t="str">
        <f t="shared" si="268"/>
        <v/>
      </c>
      <c r="J3226" t="str">
        <f t="shared" si="269"/>
        <v/>
      </c>
      <c r="K3226" s="60" t="str">
        <f t="shared" si="270"/>
        <v/>
      </c>
      <c r="L3226" t="str">
        <f t="shared" si="271"/>
        <v/>
      </c>
    </row>
    <row r="3227" spans="1:12" x14ac:dyDescent="0.25">
      <c r="A3227" t="s">
        <v>3036</v>
      </c>
      <c r="G3227" t="str">
        <f t="shared" si="266"/>
        <v>06/29/19</v>
      </c>
      <c r="H3227" t="str">
        <f t="shared" si="267"/>
        <v>Los Angeles Dodgers</v>
      </c>
      <c r="I3227" s="60">
        <f t="shared" si="268"/>
        <v>3</v>
      </c>
      <c r="J3227" t="str">
        <f t="shared" si="269"/>
        <v>Colorado Rockies</v>
      </c>
      <c r="K3227" s="60">
        <f t="shared" si="270"/>
        <v>5</v>
      </c>
      <c r="L3227">
        <f t="shared" si="271"/>
        <v>-2</v>
      </c>
    </row>
    <row r="3228" spans="1:12" x14ac:dyDescent="0.25">
      <c r="G3228" t="str">
        <f t="shared" si="266"/>
        <v>06/29/19</v>
      </c>
      <c r="H3228" t="str">
        <f t="shared" si="267"/>
        <v/>
      </c>
      <c r="I3228" s="60" t="str">
        <f t="shared" si="268"/>
        <v/>
      </c>
      <c r="J3228" t="str">
        <f t="shared" si="269"/>
        <v/>
      </c>
      <c r="K3228" s="60" t="str">
        <f t="shared" si="270"/>
        <v/>
      </c>
      <c r="L3228" t="str">
        <f t="shared" si="271"/>
        <v/>
      </c>
    </row>
    <row r="3229" spans="1:12" x14ac:dyDescent="0.25">
      <c r="A3229" t="s">
        <v>3037</v>
      </c>
      <c r="G3229" t="str">
        <f t="shared" si="266"/>
        <v>06/29/19</v>
      </c>
      <c r="H3229" t="str">
        <f t="shared" si="267"/>
        <v>Washington Nationals</v>
      </c>
      <c r="I3229" s="60">
        <f t="shared" si="268"/>
        <v>5</v>
      </c>
      <c r="J3229" t="str">
        <f t="shared" si="269"/>
        <v>Detroit Tigers</v>
      </c>
      <c r="K3229" s="60">
        <f t="shared" si="270"/>
        <v>7</v>
      </c>
      <c r="L3229">
        <f t="shared" si="271"/>
        <v>-2</v>
      </c>
    </row>
    <row r="3230" spans="1:12" x14ac:dyDescent="0.25">
      <c r="G3230" t="str">
        <f t="shared" si="266"/>
        <v>06/29/19</v>
      </c>
      <c r="H3230" t="str">
        <f t="shared" si="267"/>
        <v/>
      </c>
      <c r="I3230" s="60" t="str">
        <f t="shared" si="268"/>
        <v/>
      </c>
      <c r="J3230" t="str">
        <f t="shared" si="269"/>
        <v/>
      </c>
      <c r="K3230" s="60" t="str">
        <f t="shared" si="270"/>
        <v/>
      </c>
      <c r="L3230" t="str">
        <f t="shared" si="271"/>
        <v/>
      </c>
    </row>
    <row r="3231" spans="1:12" x14ac:dyDescent="0.25">
      <c r="A3231" t="s">
        <v>3038</v>
      </c>
      <c r="G3231" t="str">
        <f t="shared" si="266"/>
        <v>06/29/19</v>
      </c>
      <c r="H3231" t="str">
        <f t="shared" si="267"/>
        <v>Seattle Mariners</v>
      </c>
      <c r="I3231" s="60">
        <f t="shared" si="268"/>
        <v>5</v>
      </c>
      <c r="J3231" t="str">
        <f t="shared" si="269"/>
        <v>Houston Astros</v>
      </c>
      <c r="K3231" s="60">
        <f t="shared" si="270"/>
        <v>6</v>
      </c>
      <c r="L3231">
        <f t="shared" si="271"/>
        <v>-1</v>
      </c>
    </row>
    <row r="3232" spans="1:12" x14ac:dyDescent="0.25">
      <c r="G3232" t="str">
        <f t="shared" si="266"/>
        <v>06/29/19</v>
      </c>
      <c r="H3232" t="str">
        <f t="shared" si="267"/>
        <v/>
      </c>
      <c r="I3232" s="60" t="str">
        <f t="shared" si="268"/>
        <v/>
      </c>
      <c r="J3232" t="str">
        <f t="shared" si="269"/>
        <v/>
      </c>
      <c r="K3232" s="60" t="str">
        <f t="shared" si="270"/>
        <v/>
      </c>
      <c r="L3232" t="str">
        <f t="shared" si="271"/>
        <v/>
      </c>
    </row>
    <row r="3233" spans="1:12" x14ac:dyDescent="0.25">
      <c r="A3233" t="s">
        <v>3039</v>
      </c>
      <c r="G3233" t="str">
        <f t="shared" si="266"/>
        <v>06/29/19</v>
      </c>
      <c r="H3233" t="str">
        <f t="shared" si="267"/>
        <v>Philadelphia Phillies</v>
      </c>
      <c r="I3233" s="60">
        <f t="shared" si="268"/>
        <v>6</v>
      </c>
      <c r="J3233" t="str">
        <f t="shared" si="269"/>
        <v>Miami Marlins</v>
      </c>
      <c r="K3233" s="60">
        <f t="shared" si="270"/>
        <v>9</v>
      </c>
      <c r="L3233">
        <f t="shared" si="271"/>
        <v>-3</v>
      </c>
    </row>
    <row r="3234" spans="1:12" x14ac:dyDescent="0.25">
      <c r="G3234" t="str">
        <f t="shared" ref="G3234:G3297" si="272">IF(ISNUMBER(MATCH(IFERROR(LEFT(A3234,SEARCH(",",A3234)-1),""),$G$220:$M$220,0)),TEXT(MID(A3234,SEARCH(",",A3234)+2,LEN(A3234)),"mm/dd/yy"),G3233)</f>
        <v>06/29/19</v>
      </c>
      <c r="H3234" t="str">
        <f t="shared" si="267"/>
        <v/>
      </c>
      <c r="I3234" s="60" t="str">
        <f t="shared" si="268"/>
        <v/>
      </c>
      <c r="J3234" t="str">
        <f t="shared" si="269"/>
        <v/>
      </c>
      <c r="K3234" s="60" t="str">
        <f t="shared" si="270"/>
        <v/>
      </c>
      <c r="L3234" t="str">
        <f t="shared" si="271"/>
        <v/>
      </c>
    </row>
    <row r="3235" spans="1:12" x14ac:dyDescent="0.25">
      <c r="A3235" t="s">
        <v>3040</v>
      </c>
      <c r="G3235" t="str">
        <f t="shared" si="272"/>
        <v>06/29/19</v>
      </c>
      <c r="H3235" t="str">
        <f t="shared" si="267"/>
        <v>Pittsburgh Pirates</v>
      </c>
      <c r="I3235" s="60">
        <f t="shared" si="268"/>
        <v>1</v>
      </c>
      <c r="J3235" t="str">
        <f t="shared" si="269"/>
        <v>Milwaukee Brewers</v>
      </c>
      <c r="K3235" s="60">
        <f t="shared" si="270"/>
        <v>3</v>
      </c>
      <c r="L3235">
        <f t="shared" si="271"/>
        <v>-2</v>
      </c>
    </row>
    <row r="3236" spans="1:12" x14ac:dyDescent="0.25">
      <c r="G3236" t="str">
        <f t="shared" si="272"/>
        <v>06/29/19</v>
      </c>
      <c r="H3236" t="str">
        <f t="shared" si="267"/>
        <v/>
      </c>
      <c r="I3236" s="60" t="str">
        <f t="shared" si="268"/>
        <v/>
      </c>
      <c r="J3236" t="str">
        <f t="shared" si="269"/>
        <v/>
      </c>
      <c r="K3236" s="60" t="str">
        <f t="shared" si="270"/>
        <v/>
      </c>
      <c r="L3236" t="str">
        <f t="shared" si="271"/>
        <v/>
      </c>
    </row>
    <row r="3237" spans="1:12" x14ac:dyDescent="0.25">
      <c r="A3237" t="s">
        <v>3041</v>
      </c>
      <c r="G3237" t="str">
        <f t="shared" si="272"/>
        <v>06/29/19</v>
      </c>
      <c r="H3237" t="str">
        <f t="shared" si="267"/>
        <v>Atlanta Braves</v>
      </c>
      <c r="I3237" s="60">
        <f t="shared" si="268"/>
        <v>5</v>
      </c>
      <c r="J3237" t="str">
        <f t="shared" si="269"/>
        <v>New York Mets</v>
      </c>
      <c r="K3237" s="60">
        <f t="shared" si="270"/>
        <v>4</v>
      </c>
      <c r="L3237">
        <f t="shared" si="271"/>
        <v>1</v>
      </c>
    </row>
    <row r="3238" spans="1:12" x14ac:dyDescent="0.25">
      <c r="G3238" t="str">
        <f t="shared" si="272"/>
        <v>06/29/19</v>
      </c>
      <c r="H3238" t="str">
        <f t="shared" si="267"/>
        <v/>
      </c>
      <c r="I3238" s="60" t="str">
        <f t="shared" si="268"/>
        <v/>
      </c>
      <c r="J3238" t="str">
        <f t="shared" si="269"/>
        <v/>
      </c>
      <c r="K3238" s="60" t="str">
        <f t="shared" si="270"/>
        <v/>
      </c>
      <c r="L3238" t="str">
        <f t="shared" si="271"/>
        <v/>
      </c>
    </row>
    <row r="3239" spans="1:12" x14ac:dyDescent="0.25">
      <c r="A3239" t="s">
        <v>3042</v>
      </c>
      <c r="G3239" t="str">
        <f t="shared" si="272"/>
        <v>06/29/19</v>
      </c>
      <c r="H3239" t="str">
        <f t="shared" si="267"/>
        <v>St. Louis Cardinals</v>
      </c>
      <c r="I3239" s="60">
        <f t="shared" si="268"/>
        <v>2</v>
      </c>
      <c r="J3239" t="str">
        <f t="shared" si="269"/>
        <v>San Diego Padres</v>
      </c>
      <c r="K3239" s="60">
        <f t="shared" si="270"/>
        <v>12</v>
      </c>
      <c r="L3239">
        <f t="shared" si="271"/>
        <v>-10</v>
      </c>
    </row>
    <row r="3240" spans="1:12" x14ac:dyDescent="0.25">
      <c r="G3240" t="str">
        <f t="shared" si="272"/>
        <v>06/29/19</v>
      </c>
      <c r="H3240" t="str">
        <f t="shared" si="267"/>
        <v/>
      </c>
      <c r="I3240" s="60" t="str">
        <f t="shared" si="268"/>
        <v/>
      </c>
      <c r="J3240" t="str">
        <f t="shared" si="269"/>
        <v/>
      </c>
      <c r="K3240" s="60" t="str">
        <f t="shared" si="270"/>
        <v/>
      </c>
      <c r="L3240" t="str">
        <f t="shared" si="271"/>
        <v/>
      </c>
    </row>
    <row r="3241" spans="1:12" x14ac:dyDescent="0.25">
      <c r="A3241" t="s">
        <v>3043</v>
      </c>
      <c r="G3241" t="str">
        <f t="shared" si="272"/>
        <v>06/29/19</v>
      </c>
      <c r="H3241" t="str">
        <f t="shared" si="267"/>
        <v>Arizona D'Backs</v>
      </c>
      <c r="I3241" s="60">
        <f t="shared" si="268"/>
        <v>4</v>
      </c>
      <c r="J3241" t="str">
        <f t="shared" si="269"/>
        <v>San Francisco Giants</v>
      </c>
      <c r="K3241" s="60">
        <f t="shared" si="270"/>
        <v>3</v>
      </c>
      <c r="L3241">
        <f t="shared" si="271"/>
        <v>1</v>
      </c>
    </row>
    <row r="3242" spans="1:12" x14ac:dyDescent="0.25">
      <c r="G3242" t="str">
        <f t="shared" si="272"/>
        <v>06/29/19</v>
      </c>
      <c r="H3242" t="str">
        <f t="shared" si="267"/>
        <v/>
      </c>
      <c r="I3242" s="60" t="str">
        <f t="shared" si="268"/>
        <v/>
      </c>
      <c r="J3242" t="str">
        <f t="shared" si="269"/>
        <v/>
      </c>
      <c r="K3242" s="60" t="str">
        <f t="shared" si="270"/>
        <v/>
      </c>
      <c r="L3242" t="str">
        <f t="shared" si="271"/>
        <v/>
      </c>
    </row>
    <row r="3243" spans="1:12" x14ac:dyDescent="0.25">
      <c r="A3243" t="s">
        <v>3044</v>
      </c>
      <c r="G3243" t="str">
        <f t="shared" si="272"/>
        <v>06/29/19</v>
      </c>
      <c r="H3243" t="str">
        <f t="shared" si="267"/>
        <v>Texas Rangers</v>
      </c>
      <c r="I3243" s="60">
        <f t="shared" si="268"/>
        <v>2</v>
      </c>
      <c r="J3243" t="str">
        <f t="shared" si="269"/>
        <v>Tampa Bay Rays</v>
      </c>
      <c r="K3243" s="60">
        <f t="shared" si="270"/>
        <v>5</v>
      </c>
      <c r="L3243">
        <f t="shared" si="271"/>
        <v>-3</v>
      </c>
    </row>
    <row r="3244" spans="1:12" x14ac:dyDescent="0.25">
      <c r="G3244" t="str">
        <f t="shared" si="272"/>
        <v>06/29/19</v>
      </c>
      <c r="H3244" t="str">
        <f t="shared" si="267"/>
        <v/>
      </c>
      <c r="I3244" s="60" t="str">
        <f t="shared" si="268"/>
        <v/>
      </c>
      <c r="J3244" t="str">
        <f t="shared" si="269"/>
        <v/>
      </c>
      <c r="K3244" s="60" t="str">
        <f t="shared" si="270"/>
        <v/>
      </c>
      <c r="L3244" t="str">
        <f t="shared" si="271"/>
        <v/>
      </c>
    </row>
    <row r="3245" spans="1:12" x14ac:dyDescent="0.25">
      <c r="A3245" t="s">
        <v>3045</v>
      </c>
      <c r="G3245" t="str">
        <f t="shared" si="272"/>
        <v>06/29/19</v>
      </c>
      <c r="H3245" t="str">
        <f t="shared" si="267"/>
        <v>Kansas City Royals</v>
      </c>
      <c r="I3245" s="60">
        <f t="shared" si="268"/>
        <v>5</v>
      </c>
      <c r="J3245" t="str">
        <f t="shared" si="269"/>
        <v>Toronto Blue Jays</v>
      </c>
      <c r="K3245" s="60">
        <f t="shared" si="270"/>
        <v>7</v>
      </c>
      <c r="L3245">
        <f t="shared" si="271"/>
        <v>-2</v>
      </c>
    </row>
    <row r="3246" spans="1:12" x14ac:dyDescent="0.25">
      <c r="G3246" t="str">
        <f t="shared" si="272"/>
        <v>06/29/19</v>
      </c>
      <c r="H3246" t="str">
        <f t="shared" si="267"/>
        <v/>
      </c>
      <c r="I3246" s="60" t="str">
        <f t="shared" si="268"/>
        <v/>
      </c>
      <c r="J3246" t="str">
        <f t="shared" si="269"/>
        <v/>
      </c>
      <c r="K3246" s="60" t="str">
        <f t="shared" si="270"/>
        <v/>
      </c>
      <c r="L3246" t="str">
        <f t="shared" si="271"/>
        <v/>
      </c>
    </row>
    <row r="3247" spans="1:12" x14ac:dyDescent="0.25">
      <c r="A3247" t="s">
        <v>3046</v>
      </c>
      <c r="G3247" t="str">
        <f t="shared" si="272"/>
        <v>06/29/19</v>
      </c>
      <c r="H3247" t="str">
        <f t="shared" si="267"/>
        <v/>
      </c>
      <c r="I3247" s="60" t="str">
        <f t="shared" si="268"/>
        <v/>
      </c>
      <c r="J3247" t="str">
        <f t="shared" si="269"/>
        <v/>
      </c>
      <c r="K3247" s="60" t="str">
        <f t="shared" si="270"/>
        <v/>
      </c>
      <c r="L3247" t="str">
        <f t="shared" si="271"/>
        <v/>
      </c>
    </row>
    <row r="3248" spans="1:12" x14ac:dyDescent="0.25">
      <c r="G3248" t="str">
        <f t="shared" si="272"/>
        <v>06/29/19</v>
      </c>
      <c r="H3248" t="str">
        <f t="shared" si="267"/>
        <v/>
      </c>
      <c r="I3248" s="60" t="str">
        <f t="shared" si="268"/>
        <v/>
      </c>
      <c r="J3248" t="str">
        <f t="shared" si="269"/>
        <v/>
      </c>
      <c r="K3248" s="60" t="str">
        <f t="shared" si="270"/>
        <v/>
      </c>
      <c r="L3248" t="str">
        <f t="shared" si="271"/>
        <v/>
      </c>
    </row>
    <row r="3249" spans="1:12" x14ac:dyDescent="0.25">
      <c r="A3249" t="s">
        <v>3047</v>
      </c>
      <c r="G3249" t="str">
        <f t="shared" si="272"/>
        <v>06/30/19</v>
      </c>
      <c r="H3249" t="str">
        <f t="shared" si="267"/>
        <v/>
      </c>
      <c r="I3249" s="60" t="str">
        <f t="shared" si="268"/>
        <v/>
      </c>
      <c r="J3249" t="str">
        <f t="shared" si="269"/>
        <v/>
      </c>
      <c r="K3249" s="60" t="str">
        <f t="shared" si="270"/>
        <v/>
      </c>
      <c r="L3249" t="str">
        <f t="shared" si="271"/>
        <v/>
      </c>
    </row>
    <row r="3250" spans="1:12" x14ac:dyDescent="0.25">
      <c r="G3250" t="str">
        <f t="shared" si="272"/>
        <v>06/30/19</v>
      </c>
      <c r="H3250" t="str">
        <f t="shared" si="267"/>
        <v/>
      </c>
      <c r="I3250" s="60" t="str">
        <f t="shared" si="268"/>
        <v/>
      </c>
      <c r="J3250" t="str">
        <f t="shared" si="269"/>
        <v/>
      </c>
      <c r="K3250" s="60" t="str">
        <f t="shared" si="270"/>
        <v/>
      </c>
      <c r="L3250" t="str">
        <f t="shared" si="271"/>
        <v/>
      </c>
    </row>
    <row r="3251" spans="1:12" x14ac:dyDescent="0.25">
      <c r="A3251" t="s">
        <v>3048</v>
      </c>
      <c r="G3251" t="str">
        <f t="shared" si="272"/>
        <v>06/30/19</v>
      </c>
      <c r="H3251" t="str">
        <f t="shared" si="267"/>
        <v>Oakland Athletics</v>
      </c>
      <c r="I3251" s="60">
        <f t="shared" si="268"/>
        <v>12</v>
      </c>
      <c r="J3251" t="str">
        <f t="shared" si="269"/>
        <v>Los Angeles Angels</v>
      </c>
      <c r="K3251" s="60">
        <f t="shared" si="270"/>
        <v>3</v>
      </c>
      <c r="L3251">
        <f t="shared" si="271"/>
        <v>9</v>
      </c>
    </row>
    <row r="3252" spans="1:12" x14ac:dyDescent="0.25">
      <c r="G3252" t="str">
        <f t="shared" si="272"/>
        <v>06/30/19</v>
      </c>
      <c r="H3252" t="str">
        <f t="shared" si="267"/>
        <v/>
      </c>
      <c r="I3252" s="60" t="str">
        <f t="shared" si="268"/>
        <v/>
      </c>
      <c r="J3252" t="str">
        <f t="shared" si="269"/>
        <v/>
      </c>
      <c r="K3252" s="60" t="str">
        <f t="shared" si="270"/>
        <v/>
      </c>
      <c r="L3252" t="str">
        <f t="shared" si="271"/>
        <v/>
      </c>
    </row>
    <row r="3253" spans="1:12" x14ac:dyDescent="0.25">
      <c r="A3253" t="s">
        <v>3049</v>
      </c>
      <c r="G3253" t="str">
        <f t="shared" si="272"/>
        <v>06/30/19</v>
      </c>
      <c r="H3253" t="str">
        <f t="shared" si="267"/>
        <v>Cleveland Indians</v>
      </c>
      <c r="I3253" s="60">
        <f t="shared" si="268"/>
        <v>2</v>
      </c>
      <c r="J3253" t="str">
        <f t="shared" si="269"/>
        <v>Baltimore Orioles</v>
      </c>
      <c r="K3253" s="60">
        <f t="shared" si="270"/>
        <v>0</v>
      </c>
      <c r="L3253">
        <f t="shared" si="271"/>
        <v>2</v>
      </c>
    </row>
    <row r="3254" spans="1:12" x14ac:dyDescent="0.25">
      <c r="G3254" t="str">
        <f t="shared" si="272"/>
        <v>06/30/19</v>
      </c>
      <c r="H3254" t="str">
        <f t="shared" si="267"/>
        <v/>
      </c>
      <c r="I3254" s="60" t="str">
        <f t="shared" si="268"/>
        <v/>
      </c>
      <c r="J3254" t="str">
        <f t="shared" si="269"/>
        <v/>
      </c>
      <c r="K3254" s="60" t="str">
        <f t="shared" si="270"/>
        <v/>
      </c>
      <c r="L3254" t="str">
        <f t="shared" si="271"/>
        <v/>
      </c>
    </row>
    <row r="3255" spans="1:12" x14ac:dyDescent="0.25">
      <c r="A3255" t="s">
        <v>3050</v>
      </c>
      <c r="G3255" t="str">
        <f t="shared" si="272"/>
        <v>06/30/19</v>
      </c>
      <c r="H3255" t="str">
        <f t="shared" si="267"/>
        <v>New York Yankees</v>
      </c>
      <c r="I3255" s="60">
        <f t="shared" si="268"/>
        <v>12</v>
      </c>
      <c r="J3255" t="str">
        <f t="shared" si="269"/>
        <v>Boston Red Sox</v>
      </c>
      <c r="K3255" s="60">
        <f t="shared" si="270"/>
        <v>8</v>
      </c>
      <c r="L3255">
        <f t="shared" si="271"/>
        <v>4</v>
      </c>
    </row>
    <row r="3256" spans="1:12" x14ac:dyDescent="0.25">
      <c r="G3256" t="str">
        <f t="shared" si="272"/>
        <v>06/30/19</v>
      </c>
      <c r="H3256" t="str">
        <f t="shared" si="267"/>
        <v/>
      </c>
      <c r="I3256" s="60" t="str">
        <f t="shared" si="268"/>
        <v/>
      </c>
      <c r="J3256" t="str">
        <f t="shared" si="269"/>
        <v/>
      </c>
      <c r="K3256" s="60" t="str">
        <f t="shared" si="270"/>
        <v/>
      </c>
      <c r="L3256" t="str">
        <f t="shared" si="271"/>
        <v/>
      </c>
    </row>
    <row r="3257" spans="1:12" x14ac:dyDescent="0.25">
      <c r="A3257" t="s">
        <v>3051</v>
      </c>
      <c r="G3257" t="str">
        <f t="shared" si="272"/>
        <v>06/30/19</v>
      </c>
      <c r="H3257" t="str">
        <f t="shared" si="267"/>
        <v>Minnesota Twins</v>
      </c>
      <c r="I3257" s="60">
        <f t="shared" si="268"/>
        <v>3</v>
      </c>
      <c r="J3257" t="str">
        <f t="shared" si="269"/>
        <v>Chicago White Sox</v>
      </c>
      <c r="K3257" s="60">
        <f t="shared" si="270"/>
        <v>4</v>
      </c>
      <c r="L3257">
        <f t="shared" si="271"/>
        <v>-1</v>
      </c>
    </row>
    <row r="3258" spans="1:12" x14ac:dyDescent="0.25">
      <c r="G3258" t="str">
        <f t="shared" si="272"/>
        <v>06/30/19</v>
      </c>
      <c r="H3258" t="str">
        <f t="shared" si="267"/>
        <v/>
      </c>
      <c r="I3258" s="60" t="str">
        <f t="shared" si="268"/>
        <v/>
      </c>
      <c r="J3258" t="str">
        <f t="shared" si="269"/>
        <v/>
      </c>
      <c r="K3258" s="60" t="str">
        <f t="shared" si="270"/>
        <v/>
      </c>
      <c r="L3258" t="str">
        <f t="shared" si="271"/>
        <v/>
      </c>
    </row>
    <row r="3259" spans="1:12" x14ac:dyDescent="0.25">
      <c r="A3259" t="s">
        <v>3052</v>
      </c>
      <c r="G3259" t="str">
        <f t="shared" si="272"/>
        <v>06/30/19</v>
      </c>
      <c r="H3259" t="str">
        <f t="shared" si="267"/>
        <v>Chicago Cubs</v>
      </c>
      <c r="I3259" s="60">
        <f t="shared" si="268"/>
        <v>6</v>
      </c>
      <c r="J3259" t="str">
        <f t="shared" si="269"/>
        <v>Cincinnati Reds</v>
      </c>
      <c r="K3259" s="60">
        <f t="shared" si="270"/>
        <v>8</v>
      </c>
      <c r="L3259">
        <f t="shared" si="271"/>
        <v>-2</v>
      </c>
    </row>
    <row r="3260" spans="1:12" x14ac:dyDescent="0.25">
      <c r="G3260" t="str">
        <f t="shared" si="272"/>
        <v>06/30/19</v>
      </c>
      <c r="H3260" t="str">
        <f t="shared" si="267"/>
        <v/>
      </c>
      <c r="I3260" s="60" t="str">
        <f t="shared" si="268"/>
        <v/>
      </c>
      <c r="J3260" t="str">
        <f t="shared" si="269"/>
        <v/>
      </c>
      <c r="K3260" s="60" t="str">
        <f t="shared" si="270"/>
        <v/>
      </c>
      <c r="L3260" t="str">
        <f t="shared" si="271"/>
        <v/>
      </c>
    </row>
    <row r="3261" spans="1:12" x14ac:dyDescent="0.25">
      <c r="A3261" t="s">
        <v>3053</v>
      </c>
      <c r="G3261" t="str">
        <f t="shared" si="272"/>
        <v>06/30/19</v>
      </c>
      <c r="H3261" t="str">
        <f t="shared" si="267"/>
        <v>Los Angeles Dodgers</v>
      </c>
      <c r="I3261" s="60">
        <f t="shared" si="268"/>
        <v>10</v>
      </c>
      <c r="J3261" t="str">
        <f t="shared" si="269"/>
        <v>Colorado Rockies</v>
      </c>
      <c r="K3261" s="60">
        <f t="shared" si="270"/>
        <v>5</v>
      </c>
      <c r="L3261">
        <f t="shared" si="271"/>
        <v>5</v>
      </c>
    </row>
    <row r="3262" spans="1:12" x14ac:dyDescent="0.25">
      <c r="G3262" t="str">
        <f t="shared" si="272"/>
        <v>06/30/19</v>
      </c>
      <c r="H3262" t="str">
        <f t="shared" si="267"/>
        <v/>
      </c>
      <c r="I3262" s="60" t="str">
        <f t="shared" si="268"/>
        <v/>
      </c>
      <c r="J3262" t="str">
        <f t="shared" si="269"/>
        <v/>
      </c>
      <c r="K3262" s="60" t="str">
        <f t="shared" si="270"/>
        <v/>
      </c>
      <c r="L3262" t="str">
        <f t="shared" si="271"/>
        <v/>
      </c>
    </row>
    <row r="3263" spans="1:12" x14ac:dyDescent="0.25">
      <c r="A3263" t="s">
        <v>3054</v>
      </c>
      <c r="G3263" t="str">
        <f t="shared" si="272"/>
        <v>06/30/19</v>
      </c>
      <c r="H3263" t="str">
        <f t="shared" si="267"/>
        <v>Washington Nationals</v>
      </c>
      <c r="I3263" s="60">
        <f t="shared" si="268"/>
        <v>2</v>
      </c>
      <c r="J3263" t="str">
        <f t="shared" si="269"/>
        <v>Detroit Tigers</v>
      </c>
      <c r="K3263" s="60">
        <f t="shared" si="270"/>
        <v>1</v>
      </c>
      <c r="L3263">
        <f t="shared" si="271"/>
        <v>1</v>
      </c>
    </row>
    <row r="3264" spans="1:12" x14ac:dyDescent="0.25">
      <c r="G3264" t="str">
        <f t="shared" si="272"/>
        <v>06/30/19</v>
      </c>
      <c r="H3264" t="str">
        <f t="shared" si="267"/>
        <v/>
      </c>
      <c r="I3264" s="60" t="str">
        <f t="shared" si="268"/>
        <v/>
      </c>
      <c r="J3264" t="str">
        <f t="shared" si="269"/>
        <v/>
      </c>
      <c r="K3264" s="60" t="str">
        <f t="shared" si="270"/>
        <v/>
      </c>
      <c r="L3264" t="str">
        <f t="shared" si="271"/>
        <v/>
      </c>
    </row>
    <row r="3265" spans="1:12" x14ac:dyDescent="0.25">
      <c r="A3265" t="s">
        <v>3055</v>
      </c>
      <c r="G3265" t="str">
        <f t="shared" si="272"/>
        <v>06/30/19</v>
      </c>
      <c r="H3265" t="str">
        <f t="shared" si="267"/>
        <v>Seattle Mariners</v>
      </c>
      <c r="I3265" s="60">
        <f t="shared" si="268"/>
        <v>1</v>
      </c>
      <c r="J3265" t="str">
        <f t="shared" si="269"/>
        <v>Houston Astros</v>
      </c>
      <c r="K3265" s="60">
        <f t="shared" si="270"/>
        <v>6</v>
      </c>
      <c r="L3265">
        <f t="shared" si="271"/>
        <v>-5</v>
      </c>
    </row>
    <row r="3266" spans="1:12" x14ac:dyDescent="0.25">
      <c r="G3266" t="str">
        <f t="shared" si="272"/>
        <v>06/30/19</v>
      </c>
      <c r="H3266" t="str">
        <f t="shared" si="267"/>
        <v/>
      </c>
      <c r="I3266" s="60" t="str">
        <f t="shared" si="268"/>
        <v/>
      </c>
      <c r="J3266" t="str">
        <f t="shared" si="269"/>
        <v/>
      </c>
      <c r="K3266" s="60" t="str">
        <f t="shared" si="270"/>
        <v/>
      </c>
      <c r="L3266" t="str">
        <f t="shared" si="271"/>
        <v/>
      </c>
    </row>
    <row r="3267" spans="1:12" x14ac:dyDescent="0.25">
      <c r="A3267" t="s">
        <v>3056</v>
      </c>
      <c r="G3267" t="str">
        <f t="shared" si="272"/>
        <v>06/30/19</v>
      </c>
      <c r="H3267" t="str">
        <f t="shared" si="267"/>
        <v>Philadelphia Phillies</v>
      </c>
      <c r="I3267" s="60">
        <f t="shared" si="268"/>
        <v>13</v>
      </c>
      <c r="J3267" t="str">
        <f t="shared" si="269"/>
        <v>Miami Marlins</v>
      </c>
      <c r="K3267" s="60">
        <f t="shared" si="270"/>
        <v>6</v>
      </c>
      <c r="L3267">
        <f t="shared" si="271"/>
        <v>7</v>
      </c>
    </row>
    <row r="3268" spans="1:12" x14ac:dyDescent="0.25">
      <c r="G3268" t="str">
        <f t="shared" si="272"/>
        <v>06/30/19</v>
      </c>
      <c r="H3268" t="str">
        <f t="shared" si="267"/>
        <v/>
      </c>
      <c r="I3268" s="60" t="str">
        <f t="shared" si="268"/>
        <v/>
      </c>
      <c r="J3268" t="str">
        <f t="shared" si="269"/>
        <v/>
      </c>
      <c r="K3268" s="60" t="str">
        <f t="shared" si="270"/>
        <v/>
      </c>
      <c r="L3268" t="str">
        <f t="shared" si="271"/>
        <v/>
      </c>
    </row>
    <row r="3269" spans="1:12" x14ac:dyDescent="0.25">
      <c r="A3269" t="s">
        <v>3057</v>
      </c>
      <c r="G3269" t="str">
        <f t="shared" si="272"/>
        <v>06/30/19</v>
      </c>
      <c r="H3269" t="str">
        <f t="shared" si="267"/>
        <v>Pittsburgh Pirates</v>
      </c>
      <c r="I3269" s="60">
        <f t="shared" si="268"/>
        <v>1</v>
      </c>
      <c r="J3269" t="str">
        <f t="shared" si="269"/>
        <v>Milwaukee Brewers</v>
      </c>
      <c r="K3269" s="60">
        <f t="shared" si="270"/>
        <v>2</v>
      </c>
      <c r="L3269">
        <f t="shared" si="271"/>
        <v>-1</v>
      </c>
    </row>
    <row r="3270" spans="1:12" x14ac:dyDescent="0.25">
      <c r="G3270" t="str">
        <f t="shared" si="272"/>
        <v>06/30/19</v>
      </c>
      <c r="H3270" t="str">
        <f t="shared" si="267"/>
        <v/>
      </c>
      <c r="I3270" s="60" t="str">
        <f t="shared" si="268"/>
        <v/>
      </c>
      <c r="J3270" t="str">
        <f t="shared" si="269"/>
        <v/>
      </c>
      <c r="K3270" s="60" t="str">
        <f t="shared" si="270"/>
        <v/>
      </c>
      <c r="L3270" t="str">
        <f t="shared" si="271"/>
        <v/>
      </c>
    </row>
    <row r="3271" spans="1:12" x14ac:dyDescent="0.25">
      <c r="A3271" t="s">
        <v>3058</v>
      </c>
      <c r="G3271" t="str">
        <f t="shared" si="272"/>
        <v>06/30/19</v>
      </c>
      <c r="H3271" t="str">
        <f t="shared" si="267"/>
        <v>Atlanta Braves</v>
      </c>
      <c r="I3271" s="60">
        <f t="shared" si="268"/>
        <v>5</v>
      </c>
      <c r="J3271" t="str">
        <f t="shared" si="269"/>
        <v>New York Mets</v>
      </c>
      <c r="K3271" s="60">
        <f t="shared" si="270"/>
        <v>8</v>
      </c>
      <c r="L3271">
        <f t="shared" si="271"/>
        <v>-3</v>
      </c>
    </row>
    <row r="3272" spans="1:12" x14ac:dyDescent="0.25">
      <c r="G3272" t="str">
        <f t="shared" si="272"/>
        <v>06/30/19</v>
      </c>
      <c r="H3272" t="str">
        <f t="shared" si="267"/>
        <v/>
      </c>
      <c r="I3272" s="60" t="str">
        <f t="shared" si="268"/>
        <v/>
      </c>
      <c r="J3272" t="str">
        <f t="shared" si="269"/>
        <v/>
      </c>
      <c r="K3272" s="60" t="str">
        <f t="shared" si="270"/>
        <v/>
      </c>
      <c r="L3272" t="str">
        <f t="shared" si="271"/>
        <v/>
      </c>
    </row>
    <row r="3273" spans="1:12" x14ac:dyDescent="0.25">
      <c r="A3273" t="s">
        <v>3059</v>
      </c>
      <c r="G3273" t="str">
        <f t="shared" si="272"/>
        <v>06/30/19</v>
      </c>
      <c r="H3273" t="str">
        <f t="shared" si="267"/>
        <v>St. Louis Cardinals</v>
      </c>
      <c r="I3273" s="60">
        <f t="shared" si="268"/>
        <v>5</v>
      </c>
      <c r="J3273" t="str">
        <f t="shared" si="269"/>
        <v>San Diego Padres</v>
      </c>
      <c r="K3273" s="60">
        <f t="shared" si="270"/>
        <v>3</v>
      </c>
      <c r="L3273">
        <f t="shared" si="271"/>
        <v>2</v>
      </c>
    </row>
    <row r="3274" spans="1:12" x14ac:dyDescent="0.25">
      <c r="G3274" t="str">
        <f t="shared" si="272"/>
        <v>06/30/19</v>
      </c>
      <c r="H3274" t="str">
        <f t="shared" si="267"/>
        <v/>
      </c>
      <c r="I3274" s="60" t="str">
        <f t="shared" si="268"/>
        <v/>
      </c>
      <c r="J3274" t="str">
        <f t="shared" si="269"/>
        <v/>
      </c>
      <c r="K3274" s="60" t="str">
        <f t="shared" si="270"/>
        <v/>
      </c>
      <c r="L3274" t="str">
        <f t="shared" si="271"/>
        <v/>
      </c>
    </row>
    <row r="3275" spans="1:12" x14ac:dyDescent="0.25">
      <c r="A3275" t="s">
        <v>3060</v>
      </c>
      <c r="G3275" t="str">
        <f t="shared" si="272"/>
        <v>06/30/19</v>
      </c>
      <c r="H3275" t="str">
        <f t="shared" si="267"/>
        <v>Arizona D'Backs</v>
      </c>
      <c r="I3275" s="60">
        <f t="shared" si="268"/>
        <v>4</v>
      </c>
      <c r="J3275" t="str">
        <f t="shared" si="269"/>
        <v>San Francisco Giants</v>
      </c>
      <c r="K3275" s="60">
        <f t="shared" si="270"/>
        <v>10</v>
      </c>
      <c r="L3275">
        <f t="shared" si="271"/>
        <v>-6</v>
      </c>
    </row>
    <row r="3276" spans="1:12" x14ac:dyDescent="0.25">
      <c r="G3276" t="str">
        <f t="shared" si="272"/>
        <v>06/30/19</v>
      </c>
      <c r="H3276" t="str">
        <f t="shared" si="267"/>
        <v/>
      </c>
      <c r="I3276" s="60" t="str">
        <f t="shared" si="268"/>
        <v/>
      </c>
      <c r="J3276" t="str">
        <f t="shared" si="269"/>
        <v/>
      </c>
      <c r="K3276" s="60" t="str">
        <f t="shared" si="270"/>
        <v/>
      </c>
      <c r="L3276" t="str">
        <f t="shared" si="271"/>
        <v/>
      </c>
    </row>
    <row r="3277" spans="1:12" x14ac:dyDescent="0.25">
      <c r="A3277" t="s">
        <v>3061</v>
      </c>
      <c r="G3277" t="str">
        <f t="shared" si="272"/>
        <v>06/30/19</v>
      </c>
      <c r="H3277" t="str">
        <f t="shared" si="267"/>
        <v>Texas Rangers</v>
      </c>
      <c r="I3277" s="60">
        <f t="shared" si="268"/>
        <v>2</v>
      </c>
      <c r="J3277" t="str">
        <f t="shared" si="269"/>
        <v>Tampa Bay Rays</v>
      </c>
      <c r="K3277" s="60">
        <f t="shared" si="270"/>
        <v>6</v>
      </c>
      <c r="L3277">
        <f t="shared" si="271"/>
        <v>-4</v>
      </c>
    </row>
    <row r="3278" spans="1:12" x14ac:dyDescent="0.25">
      <c r="G3278" t="str">
        <f t="shared" si="272"/>
        <v>06/30/19</v>
      </c>
      <c r="H3278" t="str">
        <f t="shared" si="267"/>
        <v/>
      </c>
      <c r="I3278" s="60" t="str">
        <f t="shared" si="268"/>
        <v/>
      </c>
      <c r="J3278" t="str">
        <f t="shared" si="269"/>
        <v/>
      </c>
      <c r="K3278" s="60" t="str">
        <f t="shared" si="270"/>
        <v/>
      </c>
      <c r="L3278" t="str">
        <f t="shared" si="271"/>
        <v/>
      </c>
    </row>
    <row r="3279" spans="1:12" x14ac:dyDescent="0.25">
      <c r="A3279" t="s">
        <v>3062</v>
      </c>
      <c r="G3279" t="str">
        <f t="shared" si="272"/>
        <v>06/30/19</v>
      </c>
      <c r="H3279" t="str">
        <f t="shared" si="267"/>
        <v>Kansas City Royals</v>
      </c>
      <c r="I3279" s="60">
        <f t="shared" si="268"/>
        <v>7</v>
      </c>
      <c r="J3279" t="str">
        <f t="shared" si="269"/>
        <v>Toronto Blue Jays</v>
      </c>
      <c r="K3279" s="60">
        <f t="shared" si="270"/>
        <v>6</v>
      </c>
      <c r="L3279">
        <f t="shared" si="271"/>
        <v>1</v>
      </c>
    </row>
    <row r="3280" spans="1:12" x14ac:dyDescent="0.25">
      <c r="G3280" t="str">
        <f t="shared" si="272"/>
        <v>06/30/19</v>
      </c>
      <c r="H3280" t="str">
        <f t="shared" ref="H3280:H3343" si="273">IFERROR(LEFT(MID(A3280,1,SEARCH("@",A3280)-2),SEARCH("(",A3280)-2),"")</f>
        <v/>
      </c>
      <c r="I3280" s="60" t="str">
        <f t="shared" ref="I3280:I3343" si="274">IFERROR(VALUE(MID(A3280,SEARCH("(",A3280)+1,SEARCH(")",A3280)-SEARCH("(",A3280)-1)),"")</f>
        <v/>
      </c>
      <c r="J3280" t="str">
        <f t="shared" ref="J3280:J3343" si="275">IFERROR(MID(A3280,SEARCH("@",A3280)+2,SEARCH("(",A3280,SEARCH("@",A3280))-SEARCH("@",A3280)-3),"")</f>
        <v/>
      </c>
      <c r="K3280" s="60" t="str">
        <f t="shared" ref="K3280:K3343" si="276">IFERROR(VALUE(MID(A3280,SEARCH(J3280,A3280)+LEN(J3280)+2,(SEARCH(")",A3280,SEARCH("@",A3280))-SEARCH("(",A3280,SEARCH("@",A3280))-1))),"")</f>
        <v/>
      </c>
      <c r="L3280" t="str">
        <f t="shared" ref="L3280:L3343" si="277">IFERROR(I3280-K3280,"")</f>
        <v/>
      </c>
    </row>
    <row r="3281" spans="1:12" x14ac:dyDescent="0.25">
      <c r="A3281" t="s">
        <v>3063</v>
      </c>
      <c r="G3281" t="str">
        <f t="shared" si="272"/>
        <v>06/30/19</v>
      </c>
      <c r="H3281" t="str">
        <f t="shared" si="273"/>
        <v/>
      </c>
      <c r="I3281" s="60" t="str">
        <f t="shared" si="274"/>
        <v/>
      </c>
      <c r="J3281" t="str">
        <f t="shared" si="275"/>
        <v/>
      </c>
      <c r="K3281" s="60" t="str">
        <f t="shared" si="276"/>
        <v/>
      </c>
      <c r="L3281" t="str">
        <f t="shared" si="277"/>
        <v/>
      </c>
    </row>
    <row r="3282" spans="1:12" x14ac:dyDescent="0.25">
      <c r="G3282" t="str">
        <f t="shared" si="272"/>
        <v>06/30/19</v>
      </c>
      <c r="H3282" t="str">
        <f t="shared" si="273"/>
        <v/>
      </c>
      <c r="I3282" s="60" t="str">
        <f t="shared" si="274"/>
        <v/>
      </c>
      <c r="J3282" t="str">
        <f t="shared" si="275"/>
        <v/>
      </c>
      <c r="K3282" s="60" t="str">
        <f t="shared" si="276"/>
        <v/>
      </c>
      <c r="L3282" t="str">
        <f t="shared" si="277"/>
        <v/>
      </c>
    </row>
    <row r="3283" spans="1:12" x14ac:dyDescent="0.25">
      <c r="A3283" t="s">
        <v>3064</v>
      </c>
      <c r="G3283" t="str">
        <f t="shared" si="272"/>
        <v>07/01/19</v>
      </c>
      <c r="H3283" t="str">
        <f t="shared" si="273"/>
        <v/>
      </c>
      <c r="I3283" s="60" t="str">
        <f t="shared" si="274"/>
        <v/>
      </c>
      <c r="J3283" t="str">
        <f t="shared" si="275"/>
        <v/>
      </c>
      <c r="K3283" s="60" t="str">
        <f t="shared" si="276"/>
        <v/>
      </c>
      <c r="L3283" t="str">
        <f t="shared" si="277"/>
        <v/>
      </c>
    </row>
    <row r="3284" spans="1:12" x14ac:dyDescent="0.25">
      <c r="G3284" t="str">
        <f t="shared" si="272"/>
        <v>07/01/19</v>
      </c>
      <c r="H3284" t="str">
        <f t="shared" si="273"/>
        <v/>
      </c>
      <c r="I3284" s="60" t="str">
        <f t="shared" si="274"/>
        <v/>
      </c>
      <c r="J3284" t="str">
        <f t="shared" si="275"/>
        <v/>
      </c>
      <c r="K3284" s="60" t="str">
        <f t="shared" si="276"/>
        <v/>
      </c>
      <c r="L3284" t="str">
        <f t="shared" si="277"/>
        <v/>
      </c>
    </row>
    <row r="3285" spans="1:12" x14ac:dyDescent="0.25">
      <c r="A3285" t="s">
        <v>3065</v>
      </c>
      <c r="G3285" t="str">
        <f t="shared" si="272"/>
        <v>07/01/19</v>
      </c>
      <c r="H3285" t="str">
        <f t="shared" si="273"/>
        <v>Milwaukee Brewers</v>
      </c>
      <c r="I3285" s="60">
        <f t="shared" si="274"/>
        <v>8</v>
      </c>
      <c r="J3285" t="str">
        <f t="shared" si="275"/>
        <v>Cincinnati Reds</v>
      </c>
      <c r="K3285" s="60">
        <f t="shared" si="276"/>
        <v>6</v>
      </c>
      <c r="L3285">
        <f t="shared" si="277"/>
        <v>2</v>
      </c>
    </row>
    <row r="3286" spans="1:12" x14ac:dyDescent="0.25">
      <c r="G3286" t="str">
        <f t="shared" si="272"/>
        <v>07/01/19</v>
      </c>
      <c r="H3286" t="str">
        <f t="shared" si="273"/>
        <v/>
      </c>
      <c r="I3286" s="60" t="str">
        <f t="shared" si="274"/>
        <v/>
      </c>
      <c r="J3286" t="str">
        <f t="shared" si="275"/>
        <v/>
      </c>
      <c r="K3286" s="60" t="str">
        <f t="shared" si="276"/>
        <v/>
      </c>
      <c r="L3286" t="str">
        <f t="shared" si="277"/>
        <v/>
      </c>
    </row>
    <row r="3287" spans="1:12" x14ac:dyDescent="0.25">
      <c r="A3287" t="s">
        <v>3066</v>
      </c>
      <c r="G3287" t="str">
        <f t="shared" si="272"/>
        <v>07/01/19</v>
      </c>
      <c r="H3287" t="str">
        <f t="shared" si="273"/>
        <v>Chicago Cubs</v>
      </c>
      <c r="I3287" s="60">
        <f t="shared" si="274"/>
        <v>5</v>
      </c>
      <c r="J3287" t="str">
        <f t="shared" si="275"/>
        <v>Pittsburgh Pirates</v>
      </c>
      <c r="K3287" s="60">
        <f t="shared" si="276"/>
        <v>18</v>
      </c>
      <c r="L3287">
        <f t="shared" si="277"/>
        <v>-13</v>
      </c>
    </row>
    <row r="3288" spans="1:12" x14ac:dyDescent="0.25">
      <c r="G3288" t="str">
        <f t="shared" si="272"/>
        <v>07/01/19</v>
      </c>
      <c r="H3288" t="str">
        <f t="shared" si="273"/>
        <v/>
      </c>
      <c r="I3288" s="60" t="str">
        <f t="shared" si="274"/>
        <v/>
      </c>
      <c r="J3288" t="str">
        <f t="shared" si="275"/>
        <v/>
      </c>
      <c r="K3288" s="60" t="str">
        <f t="shared" si="276"/>
        <v/>
      </c>
      <c r="L3288" t="str">
        <f t="shared" si="277"/>
        <v/>
      </c>
    </row>
    <row r="3289" spans="1:12" x14ac:dyDescent="0.25">
      <c r="A3289" t="s">
        <v>3067</v>
      </c>
      <c r="G3289" t="str">
        <f t="shared" si="272"/>
        <v>07/01/19</v>
      </c>
      <c r="H3289" t="str">
        <f t="shared" si="273"/>
        <v>San Francisco Giants</v>
      </c>
      <c r="I3289" s="60">
        <f t="shared" si="274"/>
        <v>13</v>
      </c>
      <c r="J3289" t="str">
        <f t="shared" si="275"/>
        <v>San Diego Padres</v>
      </c>
      <c r="K3289" s="60">
        <f t="shared" si="276"/>
        <v>2</v>
      </c>
      <c r="L3289">
        <f t="shared" si="277"/>
        <v>11</v>
      </c>
    </row>
    <row r="3290" spans="1:12" x14ac:dyDescent="0.25">
      <c r="G3290" t="str">
        <f t="shared" si="272"/>
        <v>07/01/19</v>
      </c>
      <c r="H3290" t="str">
        <f t="shared" si="273"/>
        <v/>
      </c>
      <c r="I3290" s="60" t="str">
        <f t="shared" si="274"/>
        <v/>
      </c>
      <c r="J3290" t="str">
        <f t="shared" si="275"/>
        <v/>
      </c>
      <c r="K3290" s="60" t="str">
        <f t="shared" si="276"/>
        <v/>
      </c>
      <c r="L3290" t="str">
        <f t="shared" si="277"/>
        <v/>
      </c>
    </row>
    <row r="3291" spans="1:12" x14ac:dyDescent="0.25">
      <c r="A3291" t="s">
        <v>3068</v>
      </c>
      <c r="G3291" t="str">
        <f t="shared" si="272"/>
        <v>07/01/19</v>
      </c>
      <c r="H3291" t="str">
        <f t="shared" si="273"/>
        <v>Baltimore Orioles</v>
      </c>
      <c r="I3291" s="60">
        <f t="shared" si="274"/>
        <v>3</v>
      </c>
      <c r="J3291" t="str">
        <f t="shared" si="275"/>
        <v>Tampa Bay Rays</v>
      </c>
      <c r="K3291" s="60">
        <f t="shared" si="276"/>
        <v>6</v>
      </c>
      <c r="L3291">
        <f t="shared" si="277"/>
        <v>-3</v>
      </c>
    </row>
    <row r="3292" spans="1:12" x14ac:dyDescent="0.25">
      <c r="G3292" t="str">
        <f t="shared" si="272"/>
        <v>07/01/19</v>
      </c>
      <c r="H3292" t="str">
        <f t="shared" si="273"/>
        <v/>
      </c>
      <c r="I3292" s="60" t="str">
        <f t="shared" si="274"/>
        <v/>
      </c>
      <c r="J3292" t="str">
        <f t="shared" si="275"/>
        <v/>
      </c>
      <c r="K3292" s="60" t="str">
        <f t="shared" si="276"/>
        <v/>
      </c>
      <c r="L3292" t="str">
        <f t="shared" si="277"/>
        <v/>
      </c>
    </row>
    <row r="3293" spans="1:12" x14ac:dyDescent="0.25">
      <c r="A3293" t="s">
        <v>3069</v>
      </c>
      <c r="G3293" t="str">
        <f t="shared" si="272"/>
        <v>07/01/19</v>
      </c>
      <c r="H3293" t="str">
        <f t="shared" si="273"/>
        <v>Kansas City Royals</v>
      </c>
      <c r="I3293" s="60">
        <f t="shared" si="274"/>
        <v>4</v>
      </c>
      <c r="J3293" t="str">
        <f t="shared" si="275"/>
        <v>Toronto Blue Jays</v>
      </c>
      <c r="K3293" s="60">
        <f t="shared" si="276"/>
        <v>11</v>
      </c>
      <c r="L3293">
        <f t="shared" si="277"/>
        <v>-7</v>
      </c>
    </row>
    <row r="3294" spans="1:12" x14ac:dyDescent="0.25">
      <c r="G3294" t="str">
        <f t="shared" si="272"/>
        <v>07/01/19</v>
      </c>
      <c r="H3294" t="str">
        <f t="shared" si="273"/>
        <v/>
      </c>
      <c r="I3294" s="60" t="str">
        <f t="shared" si="274"/>
        <v/>
      </c>
      <c r="J3294" t="str">
        <f t="shared" si="275"/>
        <v/>
      </c>
      <c r="K3294" s="60" t="str">
        <f t="shared" si="276"/>
        <v/>
      </c>
      <c r="L3294" t="str">
        <f t="shared" si="277"/>
        <v/>
      </c>
    </row>
    <row r="3295" spans="1:12" x14ac:dyDescent="0.25">
      <c r="A3295" t="s">
        <v>3070</v>
      </c>
      <c r="G3295" t="str">
        <f t="shared" si="272"/>
        <v>07/01/19</v>
      </c>
      <c r="H3295" t="str">
        <f t="shared" si="273"/>
        <v/>
      </c>
      <c r="I3295" s="60" t="str">
        <f t="shared" si="274"/>
        <v/>
      </c>
      <c r="J3295" t="str">
        <f t="shared" si="275"/>
        <v/>
      </c>
      <c r="K3295" s="60" t="str">
        <f t="shared" si="276"/>
        <v/>
      </c>
      <c r="L3295" t="str">
        <f t="shared" si="277"/>
        <v/>
      </c>
    </row>
    <row r="3296" spans="1:12" x14ac:dyDescent="0.25">
      <c r="G3296" t="str">
        <f t="shared" si="272"/>
        <v>07/01/19</v>
      </c>
      <c r="H3296" t="str">
        <f t="shared" si="273"/>
        <v/>
      </c>
      <c r="I3296" s="60" t="str">
        <f t="shared" si="274"/>
        <v/>
      </c>
      <c r="J3296" t="str">
        <f t="shared" si="275"/>
        <v/>
      </c>
      <c r="K3296" s="60" t="str">
        <f t="shared" si="276"/>
        <v/>
      </c>
      <c r="L3296" t="str">
        <f t="shared" si="277"/>
        <v/>
      </c>
    </row>
    <row r="3297" spans="1:12" x14ac:dyDescent="0.25">
      <c r="A3297" t="s">
        <v>3071</v>
      </c>
      <c r="G3297" t="str">
        <f t="shared" si="272"/>
        <v>07/02/19</v>
      </c>
      <c r="H3297" t="str">
        <f t="shared" si="273"/>
        <v/>
      </c>
      <c r="I3297" s="60" t="str">
        <f t="shared" si="274"/>
        <v/>
      </c>
      <c r="J3297" t="str">
        <f t="shared" si="275"/>
        <v/>
      </c>
      <c r="K3297" s="60" t="str">
        <f t="shared" si="276"/>
        <v/>
      </c>
      <c r="L3297" t="str">
        <f t="shared" si="277"/>
        <v/>
      </c>
    </row>
    <row r="3298" spans="1:12" x14ac:dyDescent="0.25">
      <c r="G3298" t="str">
        <f t="shared" ref="G3298:G3361" si="278">IF(ISNUMBER(MATCH(IFERROR(LEFT(A3298,SEARCH(",",A3298)-1),""),$G$220:$M$220,0)),TEXT(MID(A3298,SEARCH(",",A3298)+2,LEN(A3298)),"mm/dd/yy"),G3297)</f>
        <v>07/02/19</v>
      </c>
      <c r="H3298" t="str">
        <f t="shared" si="273"/>
        <v/>
      </c>
      <c r="I3298" s="60" t="str">
        <f t="shared" si="274"/>
        <v/>
      </c>
      <c r="J3298" t="str">
        <f t="shared" si="275"/>
        <v/>
      </c>
      <c r="K3298" s="60" t="str">
        <f t="shared" si="276"/>
        <v/>
      </c>
      <c r="L3298" t="str">
        <f t="shared" si="277"/>
        <v/>
      </c>
    </row>
    <row r="3299" spans="1:12" x14ac:dyDescent="0.25">
      <c r="A3299" t="s">
        <v>3072</v>
      </c>
      <c r="G3299" t="str">
        <f t="shared" si="278"/>
        <v>07/02/19</v>
      </c>
      <c r="H3299" t="str">
        <f t="shared" si="273"/>
        <v>Philadelphia Phillies</v>
      </c>
      <c r="I3299" s="60">
        <f t="shared" si="274"/>
        <v>2</v>
      </c>
      <c r="J3299" t="str">
        <f t="shared" si="275"/>
        <v>Atlanta Braves</v>
      </c>
      <c r="K3299" s="60">
        <f t="shared" si="276"/>
        <v>0</v>
      </c>
      <c r="L3299">
        <f t="shared" si="277"/>
        <v>2</v>
      </c>
    </row>
    <row r="3300" spans="1:12" x14ac:dyDescent="0.25">
      <c r="G3300" t="str">
        <f t="shared" si="278"/>
        <v>07/02/19</v>
      </c>
      <c r="H3300" t="str">
        <f t="shared" si="273"/>
        <v/>
      </c>
      <c r="I3300" s="60" t="str">
        <f t="shared" si="274"/>
        <v/>
      </c>
      <c r="J3300" t="str">
        <f t="shared" si="275"/>
        <v/>
      </c>
      <c r="K3300" s="60" t="str">
        <f t="shared" si="276"/>
        <v/>
      </c>
      <c r="L3300" t="str">
        <f t="shared" si="277"/>
        <v/>
      </c>
    </row>
    <row r="3301" spans="1:12" x14ac:dyDescent="0.25">
      <c r="A3301" t="s">
        <v>3073</v>
      </c>
      <c r="G3301" t="str">
        <f t="shared" si="278"/>
        <v>07/02/19</v>
      </c>
      <c r="H3301" t="str">
        <f t="shared" si="273"/>
        <v>Milwaukee Brewers</v>
      </c>
      <c r="I3301" s="60">
        <f t="shared" si="274"/>
        <v>4</v>
      </c>
      <c r="J3301" t="str">
        <f t="shared" si="275"/>
        <v>Cincinnati Reds</v>
      </c>
      <c r="K3301" s="60">
        <f t="shared" si="276"/>
        <v>5</v>
      </c>
      <c r="L3301">
        <f t="shared" si="277"/>
        <v>-1</v>
      </c>
    </row>
    <row r="3302" spans="1:12" x14ac:dyDescent="0.25">
      <c r="G3302" t="str">
        <f t="shared" si="278"/>
        <v>07/02/19</v>
      </c>
      <c r="H3302" t="str">
        <f t="shared" si="273"/>
        <v/>
      </c>
      <c r="I3302" s="60" t="str">
        <f t="shared" si="274"/>
        <v/>
      </c>
      <c r="J3302" t="str">
        <f t="shared" si="275"/>
        <v/>
      </c>
      <c r="K3302" s="60" t="str">
        <f t="shared" si="276"/>
        <v/>
      </c>
      <c r="L3302" t="str">
        <f t="shared" si="277"/>
        <v/>
      </c>
    </row>
    <row r="3303" spans="1:12" x14ac:dyDescent="0.25">
      <c r="A3303" t="s">
        <v>3074</v>
      </c>
      <c r="G3303" t="str">
        <f t="shared" si="278"/>
        <v>07/02/19</v>
      </c>
      <c r="H3303" t="str">
        <f t="shared" si="273"/>
        <v>Houston Astros</v>
      </c>
      <c r="I3303" s="60">
        <f t="shared" si="274"/>
        <v>9</v>
      </c>
      <c r="J3303" t="str">
        <f t="shared" si="275"/>
        <v>Colorado Rockies</v>
      </c>
      <c r="K3303" s="60">
        <f t="shared" si="276"/>
        <v>8</v>
      </c>
      <c r="L3303">
        <f t="shared" si="277"/>
        <v>1</v>
      </c>
    </row>
    <row r="3304" spans="1:12" x14ac:dyDescent="0.25">
      <c r="G3304" t="str">
        <f t="shared" si="278"/>
        <v>07/02/19</v>
      </c>
      <c r="H3304" t="str">
        <f t="shared" si="273"/>
        <v/>
      </c>
      <c r="I3304" s="60" t="str">
        <f t="shared" si="274"/>
        <v/>
      </c>
      <c r="J3304" t="str">
        <f t="shared" si="275"/>
        <v/>
      </c>
      <c r="K3304" s="60" t="str">
        <f t="shared" si="276"/>
        <v/>
      </c>
      <c r="L3304" t="str">
        <f t="shared" si="277"/>
        <v/>
      </c>
    </row>
    <row r="3305" spans="1:12" x14ac:dyDescent="0.25">
      <c r="A3305" t="s">
        <v>3075</v>
      </c>
      <c r="G3305" t="str">
        <f t="shared" si="278"/>
        <v>07/02/19</v>
      </c>
      <c r="H3305" t="str">
        <f t="shared" si="273"/>
        <v>Cleveland Indians</v>
      </c>
      <c r="I3305" s="60">
        <f t="shared" si="274"/>
        <v>9</v>
      </c>
      <c r="J3305" t="str">
        <f t="shared" si="275"/>
        <v>Kansas City Royals</v>
      </c>
      <c r="K3305" s="60">
        <f t="shared" si="276"/>
        <v>5</v>
      </c>
      <c r="L3305">
        <f t="shared" si="277"/>
        <v>4</v>
      </c>
    </row>
    <row r="3306" spans="1:12" x14ac:dyDescent="0.25">
      <c r="G3306" t="str">
        <f t="shared" si="278"/>
        <v>07/02/19</v>
      </c>
      <c r="H3306" t="str">
        <f t="shared" si="273"/>
        <v/>
      </c>
      <c r="I3306" s="60" t="str">
        <f t="shared" si="274"/>
        <v/>
      </c>
      <c r="J3306" t="str">
        <f t="shared" si="275"/>
        <v/>
      </c>
      <c r="K3306" s="60" t="str">
        <f t="shared" si="276"/>
        <v/>
      </c>
      <c r="L3306" t="str">
        <f t="shared" si="277"/>
        <v/>
      </c>
    </row>
    <row r="3307" spans="1:12" x14ac:dyDescent="0.25">
      <c r="A3307" t="s">
        <v>3076</v>
      </c>
      <c r="G3307" t="str">
        <f t="shared" si="278"/>
        <v>07/02/19</v>
      </c>
      <c r="H3307" t="str">
        <f t="shared" si="273"/>
        <v>Arizona D'Backs</v>
      </c>
      <c r="I3307" s="60">
        <f t="shared" si="274"/>
        <v>4</v>
      </c>
      <c r="J3307" t="str">
        <f t="shared" si="275"/>
        <v>Los Angeles Dodgers</v>
      </c>
      <c r="K3307" s="60">
        <f t="shared" si="276"/>
        <v>5</v>
      </c>
      <c r="L3307">
        <f t="shared" si="277"/>
        <v>-1</v>
      </c>
    </row>
    <row r="3308" spans="1:12" x14ac:dyDescent="0.25">
      <c r="G3308" t="str">
        <f t="shared" si="278"/>
        <v>07/02/19</v>
      </c>
      <c r="H3308" t="str">
        <f t="shared" si="273"/>
        <v/>
      </c>
      <c r="I3308" s="60" t="str">
        <f t="shared" si="274"/>
        <v/>
      </c>
      <c r="J3308" t="str">
        <f t="shared" si="275"/>
        <v/>
      </c>
      <c r="K3308" s="60" t="str">
        <f t="shared" si="276"/>
        <v/>
      </c>
      <c r="L3308" t="str">
        <f t="shared" si="277"/>
        <v/>
      </c>
    </row>
    <row r="3309" spans="1:12" x14ac:dyDescent="0.25">
      <c r="A3309" t="s">
        <v>3077</v>
      </c>
      <c r="G3309" t="str">
        <f t="shared" si="278"/>
        <v>07/02/19</v>
      </c>
      <c r="H3309" t="str">
        <f t="shared" si="273"/>
        <v>New York Yankees</v>
      </c>
      <c r="I3309" s="60">
        <f t="shared" si="274"/>
        <v>2</v>
      </c>
      <c r="J3309" t="str">
        <f t="shared" si="275"/>
        <v>New York Mets</v>
      </c>
      <c r="K3309" s="60">
        <f t="shared" si="276"/>
        <v>4</v>
      </c>
      <c r="L3309">
        <f t="shared" si="277"/>
        <v>-2</v>
      </c>
    </row>
    <row r="3310" spans="1:12" x14ac:dyDescent="0.25">
      <c r="G3310" t="str">
        <f t="shared" si="278"/>
        <v>07/02/19</v>
      </c>
      <c r="H3310" t="str">
        <f t="shared" si="273"/>
        <v/>
      </c>
      <c r="I3310" s="60" t="str">
        <f t="shared" si="274"/>
        <v/>
      </c>
      <c r="J3310" t="str">
        <f t="shared" si="275"/>
        <v/>
      </c>
      <c r="K3310" s="60" t="str">
        <f t="shared" si="276"/>
        <v/>
      </c>
      <c r="L3310" t="str">
        <f t="shared" si="277"/>
        <v/>
      </c>
    </row>
    <row r="3311" spans="1:12" x14ac:dyDescent="0.25">
      <c r="A3311" t="s">
        <v>3078</v>
      </c>
      <c r="G3311" t="str">
        <f t="shared" si="278"/>
        <v>07/02/19</v>
      </c>
      <c r="H3311" t="str">
        <f t="shared" si="273"/>
        <v>Minnesota Twins</v>
      </c>
      <c r="I3311" s="60">
        <f t="shared" si="274"/>
        <v>6</v>
      </c>
      <c r="J3311" t="str">
        <f t="shared" si="275"/>
        <v>Oakland Athletics</v>
      </c>
      <c r="K3311" s="60">
        <f t="shared" si="276"/>
        <v>8</v>
      </c>
      <c r="L3311">
        <f t="shared" si="277"/>
        <v>-2</v>
      </c>
    </row>
    <row r="3312" spans="1:12" x14ac:dyDescent="0.25">
      <c r="G3312" t="str">
        <f t="shared" si="278"/>
        <v>07/02/19</v>
      </c>
      <c r="H3312" t="str">
        <f t="shared" si="273"/>
        <v/>
      </c>
      <c r="I3312" s="60" t="str">
        <f t="shared" si="274"/>
        <v/>
      </c>
      <c r="J3312" t="str">
        <f t="shared" si="275"/>
        <v/>
      </c>
      <c r="K3312" s="60" t="str">
        <f t="shared" si="276"/>
        <v/>
      </c>
      <c r="L3312" t="str">
        <f t="shared" si="277"/>
        <v/>
      </c>
    </row>
    <row r="3313" spans="1:12" x14ac:dyDescent="0.25">
      <c r="A3313" t="s">
        <v>3079</v>
      </c>
      <c r="G3313" t="str">
        <f t="shared" si="278"/>
        <v>07/02/19</v>
      </c>
      <c r="H3313" t="str">
        <f t="shared" si="273"/>
        <v>Chicago Cubs</v>
      </c>
      <c r="I3313" s="60">
        <f t="shared" si="274"/>
        <v>1</v>
      </c>
      <c r="J3313" t="str">
        <f t="shared" si="275"/>
        <v>Pittsburgh Pirates</v>
      </c>
      <c r="K3313" s="60">
        <f t="shared" si="276"/>
        <v>5</v>
      </c>
      <c r="L3313">
        <f t="shared" si="277"/>
        <v>-4</v>
      </c>
    </row>
    <row r="3314" spans="1:12" x14ac:dyDescent="0.25">
      <c r="G3314" t="str">
        <f t="shared" si="278"/>
        <v>07/02/19</v>
      </c>
      <c r="H3314" t="str">
        <f t="shared" si="273"/>
        <v/>
      </c>
      <c r="I3314" s="60" t="str">
        <f t="shared" si="274"/>
        <v/>
      </c>
      <c r="J3314" t="str">
        <f t="shared" si="275"/>
        <v/>
      </c>
      <c r="K3314" s="60" t="str">
        <f t="shared" si="276"/>
        <v/>
      </c>
      <c r="L3314" t="str">
        <f t="shared" si="277"/>
        <v/>
      </c>
    </row>
    <row r="3315" spans="1:12" x14ac:dyDescent="0.25">
      <c r="A3315" t="s">
        <v>3080</v>
      </c>
      <c r="G3315" t="str">
        <f t="shared" si="278"/>
        <v>07/02/19</v>
      </c>
      <c r="H3315" t="str">
        <f t="shared" si="273"/>
        <v>San Francisco Giants</v>
      </c>
      <c r="I3315" s="60">
        <f t="shared" si="274"/>
        <v>10</v>
      </c>
      <c r="J3315" t="str">
        <f t="shared" si="275"/>
        <v>San Diego Padres</v>
      </c>
      <c r="K3315" s="60">
        <f t="shared" si="276"/>
        <v>4</v>
      </c>
      <c r="L3315">
        <f t="shared" si="277"/>
        <v>6</v>
      </c>
    </row>
    <row r="3316" spans="1:12" x14ac:dyDescent="0.25">
      <c r="G3316" t="str">
        <f t="shared" si="278"/>
        <v>07/02/19</v>
      </c>
      <c r="H3316" t="str">
        <f t="shared" si="273"/>
        <v/>
      </c>
      <c r="I3316" s="60" t="str">
        <f t="shared" si="274"/>
        <v/>
      </c>
      <c r="J3316" t="str">
        <f t="shared" si="275"/>
        <v/>
      </c>
      <c r="K3316" s="60" t="str">
        <f t="shared" si="276"/>
        <v/>
      </c>
      <c r="L3316" t="str">
        <f t="shared" si="277"/>
        <v/>
      </c>
    </row>
    <row r="3317" spans="1:12" x14ac:dyDescent="0.25">
      <c r="A3317" t="s">
        <v>3081</v>
      </c>
      <c r="G3317" t="str">
        <f t="shared" si="278"/>
        <v>07/02/19</v>
      </c>
      <c r="H3317" t="str">
        <f t="shared" si="273"/>
        <v>St. Louis Cardinals</v>
      </c>
      <c r="I3317" s="60">
        <f t="shared" si="274"/>
        <v>4</v>
      </c>
      <c r="J3317" t="str">
        <f t="shared" si="275"/>
        <v>Seattle Mariners</v>
      </c>
      <c r="K3317" s="60">
        <f t="shared" si="276"/>
        <v>5</v>
      </c>
      <c r="L3317">
        <f t="shared" si="277"/>
        <v>-1</v>
      </c>
    </row>
    <row r="3318" spans="1:12" x14ac:dyDescent="0.25">
      <c r="G3318" t="str">
        <f t="shared" si="278"/>
        <v>07/02/19</v>
      </c>
      <c r="H3318" t="str">
        <f t="shared" si="273"/>
        <v/>
      </c>
      <c r="I3318" s="60" t="str">
        <f t="shared" si="274"/>
        <v/>
      </c>
      <c r="J3318" t="str">
        <f t="shared" si="275"/>
        <v/>
      </c>
      <c r="K3318" s="60" t="str">
        <f t="shared" si="276"/>
        <v/>
      </c>
      <c r="L3318" t="str">
        <f t="shared" si="277"/>
        <v/>
      </c>
    </row>
    <row r="3319" spans="1:12" x14ac:dyDescent="0.25">
      <c r="A3319" t="s">
        <v>3068</v>
      </c>
      <c r="G3319" t="str">
        <f t="shared" si="278"/>
        <v>07/02/19</v>
      </c>
      <c r="H3319" t="str">
        <f t="shared" si="273"/>
        <v>Baltimore Orioles</v>
      </c>
      <c r="I3319" s="60">
        <f t="shared" si="274"/>
        <v>3</v>
      </c>
      <c r="J3319" t="str">
        <f t="shared" si="275"/>
        <v>Tampa Bay Rays</v>
      </c>
      <c r="K3319" s="60">
        <f t="shared" si="276"/>
        <v>6</v>
      </c>
      <c r="L3319">
        <f t="shared" si="277"/>
        <v>-3</v>
      </c>
    </row>
    <row r="3320" spans="1:12" x14ac:dyDescent="0.25">
      <c r="G3320" t="str">
        <f t="shared" si="278"/>
        <v>07/02/19</v>
      </c>
      <c r="H3320" t="str">
        <f t="shared" si="273"/>
        <v/>
      </c>
      <c r="I3320" s="60" t="str">
        <f t="shared" si="274"/>
        <v/>
      </c>
      <c r="J3320" t="str">
        <f t="shared" si="275"/>
        <v/>
      </c>
      <c r="K3320" s="60" t="str">
        <f t="shared" si="276"/>
        <v/>
      </c>
      <c r="L3320" t="str">
        <f t="shared" si="277"/>
        <v/>
      </c>
    </row>
    <row r="3321" spans="1:12" x14ac:dyDescent="0.25">
      <c r="A3321" t="s">
        <v>3082</v>
      </c>
      <c r="G3321" t="str">
        <f t="shared" si="278"/>
        <v>07/02/19</v>
      </c>
      <c r="H3321" t="str">
        <f t="shared" si="273"/>
        <v>Los Angeles Angels</v>
      </c>
      <c r="I3321" s="60">
        <f t="shared" si="274"/>
        <v>9</v>
      </c>
      <c r="J3321" t="str">
        <f t="shared" si="275"/>
        <v>Texas Rangers</v>
      </c>
      <c r="K3321" s="60">
        <f t="shared" si="276"/>
        <v>4</v>
      </c>
      <c r="L3321">
        <f t="shared" si="277"/>
        <v>5</v>
      </c>
    </row>
    <row r="3322" spans="1:12" x14ac:dyDescent="0.25">
      <c r="G3322" t="str">
        <f t="shared" si="278"/>
        <v>07/02/19</v>
      </c>
      <c r="H3322" t="str">
        <f t="shared" si="273"/>
        <v/>
      </c>
      <c r="I3322" s="60" t="str">
        <f t="shared" si="274"/>
        <v/>
      </c>
      <c r="J3322" t="str">
        <f t="shared" si="275"/>
        <v/>
      </c>
      <c r="K3322" s="60" t="str">
        <f t="shared" si="276"/>
        <v/>
      </c>
      <c r="L3322" t="str">
        <f t="shared" si="277"/>
        <v/>
      </c>
    </row>
    <row r="3323" spans="1:12" x14ac:dyDescent="0.25">
      <c r="A3323" t="s">
        <v>3083</v>
      </c>
      <c r="G3323" t="str">
        <f t="shared" si="278"/>
        <v>07/02/19</v>
      </c>
      <c r="H3323" t="str">
        <f t="shared" si="273"/>
        <v>Boston Red Sox</v>
      </c>
      <c r="I3323" s="60">
        <f t="shared" si="274"/>
        <v>10</v>
      </c>
      <c r="J3323" t="str">
        <f t="shared" si="275"/>
        <v>Toronto Blue Jays</v>
      </c>
      <c r="K3323" s="60">
        <f t="shared" si="276"/>
        <v>6</v>
      </c>
      <c r="L3323">
        <f t="shared" si="277"/>
        <v>4</v>
      </c>
    </row>
    <row r="3324" spans="1:12" x14ac:dyDescent="0.25">
      <c r="G3324" t="str">
        <f t="shared" si="278"/>
        <v>07/02/19</v>
      </c>
      <c r="H3324" t="str">
        <f t="shared" si="273"/>
        <v/>
      </c>
      <c r="I3324" s="60" t="str">
        <f t="shared" si="274"/>
        <v/>
      </c>
      <c r="J3324" t="str">
        <f t="shared" si="275"/>
        <v/>
      </c>
      <c r="K3324" s="60" t="str">
        <f t="shared" si="276"/>
        <v/>
      </c>
      <c r="L3324" t="str">
        <f t="shared" si="277"/>
        <v/>
      </c>
    </row>
    <row r="3325" spans="1:12" x14ac:dyDescent="0.25">
      <c r="A3325" t="s">
        <v>3084</v>
      </c>
      <c r="G3325" t="str">
        <f t="shared" si="278"/>
        <v>07/02/19</v>
      </c>
      <c r="H3325" t="str">
        <f t="shared" si="273"/>
        <v>Miami Marlins</v>
      </c>
      <c r="I3325" s="60">
        <f t="shared" si="274"/>
        <v>2</v>
      </c>
      <c r="J3325" t="str">
        <f t="shared" si="275"/>
        <v>Washington Nationals</v>
      </c>
      <c r="K3325" s="60">
        <f t="shared" si="276"/>
        <v>3</v>
      </c>
      <c r="L3325">
        <f t="shared" si="277"/>
        <v>-1</v>
      </c>
    </row>
    <row r="3326" spans="1:12" x14ac:dyDescent="0.25">
      <c r="G3326" t="str">
        <f t="shared" si="278"/>
        <v>07/02/19</v>
      </c>
      <c r="H3326" t="str">
        <f t="shared" si="273"/>
        <v/>
      </c>
      <c r="I3326" s="60" t="str">
        <f t="shared" si="274"/>
        <v/>
      </c>
      <c r="J3326" t="str">
        <f t="shared" si="275"/>
        <v/>
      </c>
      <c r="K3326" s="60" t="str">
        <f t="shared" si="276"/>
        <v/>
      </c>
      <c r="L3326" t="str">
        <f t="shared" si="277"/>
        <v/>
      </c>
    </row>
    <row r="3327" spans="1:12" x14ac:dyDescent="0.25">
      <c r="A3327" t="s">
        <v>3085</v>
      </c>
      <c r="G3327" t="str">
        <f t="shared" si="278"/>
        <v>07/02/19</v>
      </c>
      <c r="H3327" t="str">
        <f t="shared" si="273"/>
        <v/>
      </c>
      <c r="I3327" s="60" t="str">
        <f t="shared" si="274"/>
        <v/>
      </c>
      <c r="J3327" t="str">
        <f t="shared" si="275"/>
        <v/>
      </c>
      <c r="K3327" s="60" t="str">
        <f t="shared" si="276"/>
        <v/>
      </c>
      <c r="L3327" t="str">
        <f t="shared" si="277"/>
        <v/>
      </c>
    </row>
    <row r="3328" spans="1:12" x14ac:dyDescent="0.25">
      <c r="G3328" t="str">
        <f t="shared" si="278"/>
        <v>07/02/19</v>
      </c>
      <c r="H3328" t="str">
        <f t="shared" si="273"/>
        <v/>
      </c>
      <c r="I3328" s="60" t="str">
        <f t="shared" si="274"/>
        <v/>
      </c>
      <c r="J3328" t="str">
        <f t="shared" si="275"/>
        <v/>
      </c>
      <c r="K3328" s="60" t="str">
        <f t="shared" si="276"/>
        <v/>
      </c>
      <c r="L3328" t="str">
        <f t="shared" si="277"/>
        <v/>
      </c>
    </row>
    <row r="3329" spans="1:12" x14ac:dyDescent="0.25">
      <c r="A3329" t="s">
        <v>3086</v>
      </c>
      <c r="G3329" t="str">
        <f t="shared" si="278"/>
        <v>07/03/19</v>
      </c>
      <c r="H3329" t="str">
        <f t="shared" si="273"/>
        <v/>
      </c>
      <c r="I3329" s="60" t="str">
        <f t="shared" si="274"/>
        <v/>
      </c>
      <c r="J3329" t="str">
        <f t="shared" si="275"/>
        <v/>
      </c>
      <c r="K3329" s="60" t="str">
        <f t="shared" si="276"/>
        <v/>
      </c>
      <c r="L3329" t="str">
        <f t="shared" si="277"/>
        <v/>
      </c>
    </row>
    <row r="3330" spans="1:12" x14ac:dyDescent="0.25">
      <c r="G3330" t="str">
        <f t="shared" si="278"/>
        <v>07/03/19</v>
      </c>
      <c r="H3330" t="str">
        <f t="shared" si="273"/>
        <v/>
      </c>
      <c r="I3330" s="60" t="str">
        <f t="shared" si="274"/>
        <v/>
      </c>
      <c r="J3330" t="str">
        <f t="shared" si="275"/>
        <v/>
      </c>
      <c r="K3330" s="60" t="str">
        <f t="shared" si="276"/>
        <v/>
      </c>
      <c r="L3330" t="str">
        <f t="shared" si="277"/>
        <v/>
      </c>
    </row>
    <row r="3331" spans="1:12" x14ac:dyDescent="0.25">
      <c r="A3331" t="s">
        <v>3087</v>
      </c>
      <c r="G3331" t="str">
        <f t="shared" si="278"/>
        <v>07/03/19</v>
      </c>
      <c r="H3331" t="str">
        <f t="shared" si="273"/>
        <v>Philadelphia Phillies</v>
      </c>
      <c r="I3331" s="60">
        <f t="shared" si="274"/>
        <v>2</v>
      </c>
      <c r="J3331" t="str">
        <f t="shared" si="275"/>
        <v>Atlanta Braves</v>
      </c>
      <c r="K3331" s="60">
        <f t="shared" si="276"/>
        <v>9</v>
      </c>
      <c r="L3331">
        <f t="shared" si="277"/>
        <v>-7</v>
      </c>
    </row>
    <row r="3332" spans="1:12" x14ac:dyDescent="0.25">
      <c r="G3332" t="str">
        <f t="shared" si="278"/>
        <v>07/03/19</v>
      </c>
      <c r="H3332" t="str">
        <f t="shared" si="273"/>
        <v/>
      </c>
      <c r="I3332" s="60" t="str">
        <f t="shared" si="274"/>
        <v/>
      </c>
      <c r="J3332" t="str">
        <f t="shared" si="275"/>
        <v/>
      </c>
      <c r="K3332" s="60" t="str">
        <f t="shared" si="276"/>
        <v/>
      </c>
      <c r="L3332" t="str">
        <f t="shared" si="277"/>
        <v/>
      </c>
    </row>
    <row r="3333" spans="1:12" x14ac:dyDescent="0.25">
      <c r="A3333" t="s">
        <v>3088</v>
      </c>
      <c r="G3333" t="str">
        <f t="shared" si="278"/>
        <v>07/03/19</v>
      </c>
      <c r="H3333" t="str">
        <f t="shared" si="273"/>
        <v>Detroit Tigers</v>
      </c>
      <c r="I3333" s="60">
        <f t="shared" si="274"/>
        <v>5</v>
      </c>
      <c r="J3333" t="str">
        <f t="shared" si="275"/>
        <v>Chicago White Sox</v>
      </c>
      <c r="K3333" s="60">
        <f t="shared" si="276"/>
        <v>7</v>
      </c>
      <c r="L3333">
        <f t="shared" si="277"/>
        <v>-2</v>
      </c>
    </row>
    <row r="3334" spans="1:12" x14ac:dyDescent="0.25">
      <c r="G3334" t="str">
        <f t="shared" si="278"/>
        <v>07/03/19</v>
      </c>
      <c r="H3334" t="str">
        <f t="shared" si="273"/>
        <v/>
      </c>
      <c r="I3334" s="60" t="str">
        <f t="shared" si="274"/>
        <v/>
      </c>
      <c r="J3334" t="str">
        <f t="shared" si="275"/>
        <v/>
      </c>
      <c r="K3334" s="60" t="str">
        <f t="shared" si="276"/>
        <v/>
      </c>
      <c r="L3334" t="str">
        <f t="shared" si="277"/>
        <v/>
      </c>
    </row>
    <row r="3335" spans="1:12" x14ac:dyDescent="0.25">
      <c r="A3335" t="s">
        <v>3089</v>
      </c>
      <c r="G3335" t="str">
        <f t="shared" si="278"/>
        <v>07/03/19</v>
      </c>
      <c r="H3335" t="str">
        <f t="shared" si="273"/>
        <v>Detroit Tigers</v>
      </c>
      <c r="I3335" s="60">
        <f t="shared" si="274"/>
        <v>6</v>
      </c>
      <c r="J3335" t="str">
        <f t="shared" si="275"/>
        <v>Chicago White Sox</v>
      </c>
      <c r="K3335" s="60">
        <f t="shared" si="276"/>
        <v>9</v>
      </c>
      <c r="L3335">
        <f t="shared" si="277"/>
        <v>-3</v>
      </c>
    </row>
    <row r="3336" spans="1:12" x14ac:dyDescent="0.25">
      <c r="G3336" t="str">
        <f t="shared" si="278"/>
        <v>07/03/19</v>
      </c>
      <c r="H3336" t="str">
        <f t="shared" si="273"/>
        <v/>
      </c>
      <c r="I3336" s="60" t="str">
        <f t="shared" si="274"/>
        <v/>
      </c>
      <c r="J3336" t="str">
        <f t="shared" si="275"/>
        <v/>
      </c>
      <c r="K3336" s="60" t="str">
        <f t="shared" si="276"/>
        <v/>
      </c>
      <c r="L3336" t="str">
        <f t="shared" si="277"/>
        <v/>
      </c>
    </row>
    <row r="3337" spans="1:12" x14ac:dyDescent="0.25">
      <c r="A3337" t="s">
        <v>3090</v>
      </c>
      <c r="G3337" t="str">
        <f t="shared" si="278"/>
        <v>07/03/19</v>
      </c>
      <c r="H3337" t="str">
        <f t="shared" si="273"/>
        <v>Milwaukee Brewers</v>
      </c>
      <c r="I3337" s="60">
        <f t="shared" si="274"/>
        <v>0</v>
      </c>
      <c r="J3337" t="str">
        <f t="shared" si="275"/>
        <v>Cincinnati Reds</v>
      </c>
      <c r="K3337" s="60">
        <f t="shared" si="276"/>
        <v>3</v>
      </c>
      <c r="L3337">
        <f t="shared" si="277"/>
        <v>-3</v>
      </c>
    </row>
    <row r="3338" spans="1:12" x14ac:dyDescent="0.25">
      <c r="G3338" t="str">
        <f t="shared" si="278"/>
        <v>07/03/19</v>
      </c>
      <c r="H3338" t="str">
        <f t="shared" si="273"/>
        <v/>
      </c>
      <c r="I3338" s="60" t="str">
        <f t="shared" si="274"/>
        <v/>
      </c>
      <c r="J3338" t="str">
        <f t="shared" si="275"/>
        <v/>
      </c>
      <c r="K3338" s="60" t="str">
        <f t="shared" si="276"/>
        <v/>
      </c>
      <c r="L3338" t="str">
        <f t="shared" si="277"/>
        <v/>
      </c>
    </row>
    <row r="3339" spans="1:12" x14ac:dyDescent="0.25">
      <c r="A3339" t="s">
        <v>3091</v>
      </c>
      <c r="G3339" t="str">
        <f t="shared" si="278"/>
        <v>07/03/19</v>
      </c>
      <c r="H3339" t="str">
        <f t="shared" si="273"/>
        <v>Houston Astros</v>
      </c>
      <c r="I3339" s="60">
        <f t="shared" si="274"/>
        <v>4</v>
      </c>
      <c r="J3339" t="str">
        <f t="shared" si="275"/>
        <v>Colorado Rockies</v>
      </c>
      <c r="K3339" s="60">
        <f t="shared" si="276"/>
        <v>2</v>
      </c>
      <c r="L3339">
        <f t="shared" si="277"/>
        <v>2</v>
      </c>
    </row>
    <row r="3340" spans="1:12" x14ac:dyDescent="0.25">
      <c r="G3340" t="str">
        <f t="shared" si="278"/>
        <v>07/03/19</v>
      </c>
      <c r="H3340" t="str">
        <f t="shared" si="273"/>
        <v/>
      </c>
      <c r="I3340" s="60" t="str">
        <f t="shared" si="274"/>
        <v/>
      </c>
      <c r="J3340" t="str">
        <f t="shared" si="275"/>
        <v/>
      </c>
      <c r="K3340" s="60" t="str">
        <f t="shared" si="276"/>
        <v/>
      </c>
      <c r="L3340" t="str">
        <f t="shared" si="277"/>
        <v/>
      </c>
    </row>
    <row r="3341" spans="1:12" x14ac:dyDescent="0.25">
      <c r="A3341" t="s">
        <v>3092</v>
      </c>
      <c r="G3341" t="str">
        <f t="shared" si="278"/>
        <v>07/03/19</v>
      </c>
      <c r="H3341" t="str">
        <f t="shared" si="273"/>
        <v>Cleveland Indians</v>
      </c>
      <c r="I3341" s="60">
        <f t="shared" si="274"/>
        <v>4</v>
      </c>
      <c r="J3341" t="str">
        <f t="shared" si="275"/>
        <v>Kansas City Royals</v>
      </c>
      <c r="K3341" s="60">
        <f t="shared" si="276"/>
        <v>0</v>
      </c>
      <c r="L3341">
        <f t="shared" si="277"/>
        <v>4</v>
      </c>
    </row>
    <row r="3342" spans="1:12" x14ac:dyDescent="0.25">
      <c r="G3342" t="str">
        <f t="shared" si="278"/>
        <v>07/03/19</v>
      </c>
      <c r="H3342" t="str">
        <f t="shared" si="273"/>
        <v/>
      </c>
      <c r="I3342" s="60" t="str">
        <f t="shared" si="274"/>
        <v/>
      </c>
      <c r="J3342" t="str">
        <f t="shared" si="275"/>
        <v/>
      </c>
      <c r="K3342" s="60" t="str">
        <f t="shared" si="276"/>
        <v/>
      </c>
      <c r="L3342" t="str">
        <f t="shared" si="277"/>
        <v/>
      </c>
    </row>
    <row r="3343" spans="1:12" x14ac:dyDescent="0.25">
      <c r="A3343" t="s">
        <v>3076</v>
      </c>
      <c r="G3343" t="str">
        <f t="shared" si="278"/>
        <v>07/03/19</v>
      </c>
      <c r="H3343" t="str">
        <f t="shared" si="273"/>
        <v>Arizona D'Backs</v>
      </c>
      <c r="I3343" s="60">
        <f t="shared" si="274"/>
        <v>4</v>
      </c>
      <c r="J3343" t="str">
        <f t="shared" si="275"/>
        <v>Los Angeles Dodgers</v>
      </c>
      <c r="K3343" s="60">
        <f t="shared" si="276"/>
        <v>5</v>
      </c>
      <c r="L3343">
        <f t="shared" si="277"/>
        <v>-1</v>
      </c>
    </row>
    <row r="3344" spans="1:12" x14ac:dyDescent="0.25">
      <c r="G3344" t="str">
        <f t="shared" si="278"/>
        <v>07/03/19</v>
      </c>
      <c r="H3344" t="str">
        <f t="shared" ref="H3344:H3407" si="279">IFERROR(LEFT(MID(A3344,1,SEARCH("@",A3344)-2),SEARCH("(",A3344)-2),"")</f>
        <v/>
      </c>
      <c r="I3344" s="60" t="str">
        <f t="shared" ref="I3344:I3407" si="280">IFERROR(VALUE(MID(A3344,SEARCH("(",A3344)+1,SEARCH(")",A3344)-SEARCH("(",A3344)-1)),"")</f>
        <v/>
      </c>
      <c r="J3344" t="str">
        <f t="shared" ref="J3344:J3407" si="281">IFERROR(MID(A3344,SEARCH("@",A3344)+2,SEARCH("(",A3344,SEARCH("@",A3344))-SEARCH("@",A3344)-3),"")</f>
        <v/>
      </c>
      <c r="K3344" s="60" t="str">
        <f t="shared" ref="K3344:K3407" si="282">IFERROR(VALUE(MID(A3344,SEARCH(J3344,A3344)+LEN(J3344)+2,(SEARCH(")",A3344,SEARCH("@",A3344))-SEARCH("(",A3344,SEARCH("@",A3344))-1))),"")</f>
        <v/>
      </c>
      <c r="L3344" t="str">
        <f t="shared" ref="L3344:L3407" si="283">IFERROR(I3344-K3344,"")</f>
        <v/>
      </c>
    </row>
    <row r="3345" spans="1:12" x14ac:dyDescent="0.25">
      <c r="A3345" t="s">
        <v>3093</v>
      </c>
      <c r="G3345" t="str">
        <f t="shared" si="278"/>
        <v>07/03/19</v>
      </c>
      <c r="H3345" t="str">
        <f t="shared" si="279"/>
        <v>New York Yankees</v>
      </c>
      <c r="I3345" s="60">
        <f t="shared" si="280"/>
        <v>5</v>
      </c>
      <c r="J3345" t="str">
        <f t="shared" si="281"/>
        <v>New York Mets</v>
      </c>
      <c r="K3345" s="60">
        <f t="shared" si="282"/>
        <v>1</v>
      </c>
      <c r="L3345">
        <f t="shared" si="283"/>
        <v>4</v>
      </c>
    </row>
    <row r="3346" spans="1:12" x14ac:dyDescent="0.25">
      <c r="G3346" t="str">
        <f t="shared" si="278"/>
        <v>07/03/19</v>
      </c>
      <c r="H3346" t="str">
        <f t="shared" si="279"/>
        <v/>
      </c>
      <c r="I3346" s="60" t="str">
        <f t="shared" si="280"/>
        <v/>
      </c>
      <c r="J3346" t="str">
        <f t="shared" si="281"/>
        <v/>
      </c>
      <c r="K3346" s="60" t="str">
        <f t="shared" si="282"/>
        <v/>
      </c>
      <c r="L3346" t="str">
        <f t="shared" si="283"/>
        <v/>
      </c>
    </row>
    <row r="3347" spans="1:12" x14ac:dyDescent="0.25">
      <c r="A3347" t="s">
        <v>3094</v>
      </c>
      <c r="G3347" t="str">
        <f t="shared" si="278"/>
        <v>07/03/19</v>
      </c>
      <c r="H3347" t="str">
        <f t="shared" si="279"/>
        <v>Minnesota Twins</v>
      </c>
      <c r="I3347" s="60">
        <f t="shared" si="280"/>
        <v>4</v>
      </c>
      <c r="J3347" t="str">
        <f t="shared" si="281"/>
        <v>Oakland Athletics</v>
      </c>
      <c r="K3347" s="60">
        <f t="shared" si="282"/>
        <v>3</v>
      </c>
      <c r="L3347">
        <f t="shared" si="283"/>
        <v>1</v>
      </c>
    </row>
    <row r="3348" spans="1:12" x14ac:dyDescent="0.25">
      <c r="G3348" t="str">
        <f t="shared" si="278"/>
        <v>07/03/19</v>
      </c>
      <c r="H3348" t="str">
        <f t="shared" si="279"/>
        <v/>
      </c>
      <c r="I3348" s="60" t="str">
        <f t="shared" si="280"/>
        <v/>
      </c>
      <c r="J3348" t="str">
        <f t="shared" si="281"/>
        <v/>
      </c>
      <c r="K3348" s="60" t="str">
        <f t="shared" si="282"/>
        <v/>
      </c>
      <c r="L3348" t="str">
        <f t="shared" si="283"/>
        <v/>
      </c>
    </row>
    <row r="3349" spans="1:12" x14ac:dyDescent="0.25">
      <c r="A3349" t="s">
        <v>3095</v>
      </c>
      <c r="G3349" t="str">
        <f t="shared" si="278"/>
        <v>07/03/19</v>
      </c>
      <c r="H3349" t="str">
        <f t="shared" si="279"/>
        <v>Chicago Cubs</v>
      </c>
      <c r="I3349" s="60">
        <f t="shared" si="280"/>
        <v>5</v>
      </c>
      <c r="J3349" t="str">
        <f t="shared" si="281"/>
        <v>Pittsburgh Pirates</v>
      </c>
      <c r="K3349" s="60">
        <f t="shared" si="282"/>
        <v>6</v>
      </c>
      <c r="L3349">
        <f t="shared" si="283"/>
        <v>-1</v>
      </c>
    </row>
    <row r="3350" spans="1:12" x14ac:dyDescent="0.25">
      <c r="G3350" t="str">
        <f t="shared" si="278"/>
        <v>07/03/19</v>
      </c>
      <c r="H3350" t="str">
        <f t="shared" si="279"/>
        <v/>
      </c>
      <c r="I3350" s="60" t="str">
        <f t="shared" si="280"/>
        <v/>
      </c>
      <c r="J3350" t="str">
        <f t="shared" si="281"/>
        <v/>
      </c>
      <c r="K3350" s="60" t="str">
        <f t="shared" si="282"/>
        <v/>
      </c>
      <c r="L3350" t="str">
        <f t="shared" si="283"/>
        <v/>
      </c>
    </row>
    <row r="3351" spans="1:12" x14ac:dyDescent="0.25">
      <c r="A3351" t="s">
        <v>3096</v>
      </c>
      <c r="G3351" t="str">
        <f t="shared" si="278"/>
        <v>07/03/19</v>
      </c>
      <c r="H3351" t="str">
        <f t="shared" si="279"/>
        <v>San Francisco Giants</v>
      </c>
      <c r="I3351" s="60">
        <f t="shared" si="280"/>
        <v>7</v>
      </c>
      <c r="J3351" t="str">
        <f t="shared" si="281"/>
        <v>San Diego Padres</v>
      </c>
      <c r="K3351" s="60">
        <f t="shared" si="282"/>
        <v>5</v>
      </c>
      <c r="L3351">
        <f t="shared" si="283"/>
        <v>2</v>
      </c>
    </row>
    <row r="3352" spans="1:12" x14ac:dyDescent="0.25">
      <c r="G3352" t="str">
        <f t="shared" si="278"/>
        <v>07/03/19</v>
      </c>
      <c r="H3352" t="str">
        <f t="shared" si="279"/>
        <v/>
      </c>
      <c r="I3352" s="60" t="str">
        <f t="shared" si="280"/>
        <v/>
      </c>
      <c r="J3352" t="str">
        <f t="shared" si="281"/>
        <v/>
      </c>
      <c r="K3352" s="60" t="str">
        <f t="shared" si="282"/>
        <v/>
      </c>
      <c r="L3352" t="str">
        <f t="shared" si="283"/>
        <v/>
      </c>
    </row>
    <row r="3353" spans="1:12" x14ac:dyDescent="0.25">
      <c r="A3353" t="s">
        <v>3097</v>
      </c>
      <c r="G3353" t="str">
        <f t="shared" si="278"/>
        <v>07/03/19</v>
      </c>
      <c r="H3353" t="str">
        <f t="shared" si="279"/>
        <v>St. Louis Cardinals</v>
      </c>
      <c r="I3353" s="60">
        <f t="shared" si="280"/>
        <v>5</v>
      </c>
      <c r="J3353" t="str">
        <f t="shared" si="281"/>
        <v>Seattle Mariners</v>
      </c>
      <c r="K3353" s="60">
        <f t="shared" si="282"/>
        <v>2</v>
      </c>
      <c r="L3353">
        <f t="shared" si="283"/>
        <v>3</v>
      </c>
    </row>
    <row r="3354" spans="1:12" x14ac:dyDescent="0.25">
      <c r="G3354" t="str">
        <f t="shared" si="278"/>
        <v>07/03/19</v>
      </c>
      <c r="H3354" t="str">
        <f t="shared" si="279"/>
        <v/>
      </c>
      <c r="I3354" s="60" t="str">
        <f t="shared" si="280"/>
        <v/>
      </c>
      <c r="J3354" t="str">
        <f t="shared" si="281"/>
        <v/>
      </c>
      <c r="K3354" s="60" t="str">
        <f t="shared" si="282"/>
        <v/>
      </c>
      <c r="L3354" t="str">
        <f t="shared" si="283"/>
        <v/>
      </c>
    </row>
    <row r="3355" spans="1:12" x14ac:dyDescent="0.25">
      <c r="A3355" t="s">
        <v>3098</v>
      </c>
      <c r="G3355" t="str">
        <f t="shared" si="278"/>
        <v>07/03/19</v>
      </c>
      <c r="H3355" t="str">
        <f t="shared" si="279"/>
        <v>Baltimore Orioles</v>
      </c>
      <c r="I3355" s="60">
        <f t="shared" si="280"/>
        <v>9</v>
      </c>
      <c r="J3355" t="str">
        <f t="shared" si="281"/>
        <v>Tampa Bay Rays</v>
      </c>
      <c r="K3355" s="60">
        <f t="shared" si="282"/>
        <v>6</v>
      </c>
      <c r="L3355">
        <f t="shared" si="283"/>
        <v>3</v>
      </c>
    </row>
    <row r="3356" spans="1:12" x14ac:dyDescent="0.25">
      <c r="G3356" t="str">
        <f t="shared" si="278"/>
        <v>07/03/19</v>
      </c>
      <c r="H3356" t="str">
        <f t="shared" si="279"/>
        <v/>
      </c>
      <c r="I3356" s="60" t="str">
        <f t="shared" si="280"/>
        <v/>
      </c>
      <c r="J3356" t="str">
        <f t="shared" si="281"/>
        <v/>
      </c>
      <c r="K3356" s="60" t="str">
        <f t="shared" si="282"/>
        <v/>
      </c>
      <c r="L3356" t="str">
        <f t="shared" si="283"/>
        <v/>
      </c>
    </row>
    <row r="3357" spans="1:12" x14ac:dyDescent="0.25">
      <c r="A3357" t="s">
        <v>3099</v>
      </c>
      <c r="G3357" t="str">
        <f t="shared" si="278"/>
        <v>07/03/19</v>
      </c>
      <c r="H3357" t="str">
        <f t="shared" si="279"/>
        <v>Los Angeles Angels</v>
      </c>
      <c r="I3357" s="60">
        <f t="shared" si="280"/>
        <v>6</v>
      </c>
      <c r="J3357" t="str">
        <f t="shared" si="281"/>
        <v>Texas Rangers</v>
      </c>
      <c r="K3357" s="60">
        <f t="shared" si="282"/>
        <v>2</v>
      </c>
      <c r="L3357">
        <f t="shared" si="283"/>
        <v>4</v>
      </c>
    </row>
    <row r="3358" spans="1:12" x14ac:dyDescent="0.25">
      <c r="G3358" t="str">
        <f t="shared" si="278"/>
        <v>07/03/19</v>
      </c>
      <c r="H3358" t="str">
        <f t="shared" si="279"/>
        <v/>
      </c>
      <c r="I3358" s="60" t="str">
        <f t="shared" si="280"/>
        <v/>
      </c>
      <c r="J3358" t="str">
        <f t="shared" si="281"/>
        <v/>
      </c>
      <c r="K3358" s="60" t="str">
        <f t="shared" si="282"/>
        <v/>
      </c>
      <c r="L3358" t="str">
        <f t="shared" si="283"/>
        <v/>
      </c>
    </row>
    <row r="3359" spans="1:12" x14ac:dyDescent="0.25">
      <c r="A3359" t="s">
        <v>3100</v>
      </c>
      <c r="G3359" t="str">
        <f t="shared" si="278"/>
        <v>07/03/19</v>
      </c>
      <c r="H3359" t="str">
        <f t="shared" si="279"/>
        <v>Boston Red Sox</v>
      </c>
      <c r="I3359" s="60">
        <f t="shared" si="280"/>
        <v>3</v>
      </c>
      <c r="J3359" t="str">
        <f t="shared" si="281"/>
        <v>Toronto Blue Jays</v>
      </c>
      <c r="K3359" s="60">
        <f t="shared" si="282"/>
        <v>6</v>
      </c>
      <c r="L3359">
        <f t="shared" si="283"/>
        <v>-3</v>
      </c>
    </row>
    <row r="3360" spans="1:12" x14ac:dyDescent="0.25">
      <c r="G3360" t="str">
        <f t="shared" si="278"/>
        <v>07/03/19</v>
      </c>
      <c r="H3360" t="str">
        <f t="shared" si="279"/>
        <v/>
      </c>
      <c r="I3360" s="60" t="str">
        <f t="shared" si="280"/>
        <v/>
      </c>
      <c r="J3360" t="str">
        <f t="shared" si="281"/>
        <v/>
      </c>
      <c r="K3360" s="60" t="str">
        <f t="shared" si="282"/>
        <v/>
      </c>
      <c r="L3360" t="str">
        <f t="shared" si="283"/>
        <v/>
      </c>
    </row>
    <row r="3361" spans="1:12" x14ac:dyDescent="0.25">
      <c r="A3361" t="s">
        <v>3101</v>
      </c>
      <c r="G3361" t="str">
        <f t="shared" si="278"/>
        <v>07/03/19</v>
      </c>
      <c r="H3361" t="str">
        <f t="shared" si="279"/>
        <v>Miami Marlins</v>
      </c>
      <c r="I3361" s="60">
        <f t="shared" si="280"/>
        <v>1</v>
      </c>
      <c r="J3361" t="str">
        <f t="shared" si="281"/>
        <v>Washington Nationals</v>
      </c>
      <c r="K3361" s="60">
        <f t="shared" si="282"/>
        <v>3</v>
      </c>
      <c r="L3361">
        <f t="shared" si="283"/>
        <v>-2</v>
      </c>
    </row>
    <row r="3362" spans="1:12" x14ac:dyDescent="0.25">
      <c r="G3362" t="str">
        <f t="shared" ref="G3362:G3425" si="284">IF(ISNUMBER(MATCH(IFERROR(LEFT(A3362,SEARCH(",",A3362)-1),""),$G$220:$M$220,0)),TEXT(MID(A3362,SEARCH(",",A3362)+2,LEN(A3362)),"mm/dd/yy"),G3361)</f>
        <v>07/03/19</v>
      </c>
      <c r="H3362" t="str">
        <f t="shared" si="279"/>
        <v/>
      </c>
      <c r="I3362" s="60" t="str">
        <f t="shared" si="280"/>
        <v/>
      </c>
      <c r="J3362" t="str">
        <f t="shared" si="281"/>
        <v/>
      </c>
      <c r="K3362" s="60" t="str">
        <f t="shared" si="282"/>
        <v/>
      </c>
      <c r="L3362" t="str">
        <f t="shared" si="283"/>
        <v/>
      </c>
    </row>
    <row r="3363" spans="1:12" x14ac:dyDescent="0.25">
      <c r="A3363" t="s">
        <v>3102</v>
      </c>
      <c r="G3363" t="str">
        <f t="shared" si="284"/>
        <v>07/03/19</v>
      </c>
      <c r="H3363" t="str">
        <f t="shared" si="279"/>
        <v/>
      </c>
      <c r="I3363" s="60" t="str">
        <f t="shared" si="280"/>
        <v/>
      </c>
      <c r="J3363" t="str">
        <f t="shared" si="281"/>
        <v/>
      </c>
      <c r="K3363" s="60" t="str">
        <f t="shared" si="282"/>
        <v/>
      </c>
      <c r="L3363" t="str">
        <f t="shared" si="283"/>
        <v/>
      </c>
    </row>
    <row r="3364" spans="1:12" x14ac:dyDescent="0.25">
      <c r="G3364" t="str">
        <f t="shared" si="284"/>
        <v>07/03/19</v>
      </c>
      <c r="H3364" t="str">
        <f t="shared" si="279"/>
        <v/>
      </c>
      <c r="I3364" s="60" t="str">
        <f t="shared" si="280"/>
        <v/>
      </c>
      <c r="J3364" t="str">
        <f t="shared" si="281"/>
        <v/>
      </c>
      <c r="K3364" s="60" t="str">
        <f t="shared" si="282"/>
        <v/>
      </c>
      <c r="L3364" t="str">
        <f t="shared" si="283"/>
        <v/>
      </c>
    </row>
    <row r="3365" spans="1:12" x14ac:dyDescent="0.25">
      <c r="A3365" t="s">
        <v>3103</v>
      </c>
      <c r="G3365" t="str">
        <f t="shared" si="284"/>
        <v>07/04/19</v>
      </c>
      <c r="H3365" t="str">
        <f t="shared" si="279"/>
        <v/>
      </c>
      <c r="I3365" s="60" t="str">
        <f t="shared" si="280"/>
        <v/>
      </c>
      <c r="J3365" t="str">
        <f t="shared" si="281"/>
        <v/>
      </c>
      <c r="K3365" s="60" t="str">
        <f t="shared" si="282"/>
        <v/>
      </c>
      <c r="L3365" t="str">
        <f t="shared" si="283"/>
        <v/>
      </c>
    </row>
    <row r="3366" spans="1:12" x14ac:dyDescent="0.25">
      <c r="G3366" t="str">
        <f t="shared" si="284"/>
        <v>07/04/19</v>
      </c>
      <c r="H3366" t="str">
        <f t="shared" si="279"/>
        <v/>
      </c>
      <c r="I3366" s="60" t="str">
        <f t="shared" si="280"/>
        <v/>
      </c>
      <c r="J3366" t="str">
        <f t="shared" si="281"/>
        <v/>
      </c>
      <c r="K3366" s="60" t="str">
        <f t="shared" si="282"/>
        <v/>
      </c>
      <c r="L3366" t="str">
        <f t="shared" si="283"/>
        <v/>
      </c>
    </row>
    <row r="3367" spans="1:12" x14ac:dyDescent="0.25">
      <c r="A3367" t="s">
        <v>3104</v>
      </c>
      <c r="G3367" t="str">
        <f t="shared" si="284"/>
        <v>07/04/19</v>
      </c>
      <c r="H3367" t="str">
        <f t="shared" si="279"/>
        <v>Philadelphia Phillies</v>
      </c>
      <c r="I3367" s="60">
        <f t="shared" si="280"/>
        <v>6</v>
      </c>
      <c r="J3367" t="str">
        <f t="shared" si="281"/>
        <v>Atlanta Braves</v>
      </c>
      <c r="K3367" s="60">
        <f t="shared" si="282"/>
        <v>12</v>
      </c>
      <c r="L3367">
        <f t="shared" si="283"/>
        <v>-6</v>
      </c>
    </row>
    <row r="3368" spans="1:12" x14ac:dyDescent="0.25">
      <c r="G3368" t="str">
        <f t="shared" si="284"/>
        <v>07/04/19</v>
      </c>
      <c r="H3368" t="str">
        <f t="shared" si="279"/>
        <v/>
      </c>
      <c r="I3368" s="60" t="str">
        <f t="shared" si="280"/>
        <v/>
      </c>
      <c r="J3368" t="str">
        <f t="shared" si="281"/>
        <v/>
      </c>
      <c r="K3368" s="60" t="str">
        <f t="shared" si="282"/>
        <v/>
      </c>
      <c r="L3368" t="str">
        <f t="shared" si="283"/>
        <v/>
      </c>
    </row>
    <row r="3369" spans="1:12" x14ac:dyDescent="0.25">
      <c r="A3369" t="s">
        <v>3105</v>
      </c>
      <c r="G3369" t="str">
        <f t="shared" si="284"/>
        <v>07/04/19</v>
      </c>
      <c r="H3369" t="str">
        <f t="shared" si="279"/>
        <v>Detroit Tigers</v>
      </c>
      <c r="I3369" s="60">
        <f t="shared" si="280"/>
        <v>11</v>
      </c>
      <c r="J3369" t="str">
        <f t="shared" si="281"/>
        <v>Chicago White Sox</v>
      </c>
      <c r="K3369" s="60">
        <f t="shared" si="282"/>
        <v>5</v>
      </c>
      <c r="L3369">
        <f t="shared" si="283"/>
        <v>6</v>
      </c>
    </row>
    <row r="3370" spans="1:12" x14ac:dyDescent="0.25">
      <c r="G3370" t="str">
        <f t="shared" si="284"/>
        <v>07/04/19</v>
      </c>
      <c r="H3370" t="str">
        <f t="shared" si="279"/>
        <v/>
      </c>
      <c r="I3370" s="60" t="str">
        <f t="shared" si="280"/>
        <v/>
      </c>
      <c r="J3370" t="str">
        <f t="shared" si="281"/>
        <v/>
      </c>
      <c r="K3370" s="60" t="str">
        <f t="shared" si="282"/>
        <v/>
      </c>
      <c r="L3370" t="str">
        <f t="shared" si="283"/>
        <v/>
      </c>
    </row>
    <row r="3371" spans="1:12" x14ac:dyDescent="0.25">
      <c r="A3371" t="s">
        <v>3106</v>
      </c>
      <c r="G3371" t="str">
        <f t="shared" si="284"/>
        <v>07/04/19</v>
      </c>
      <c r="H3371" t="str">
        <f t="shared" si="279"/>
        <v>Milwaukee Brewers</v>
      </c>
      <c r="I3371" s="60">
        <f t="shared" si="280"/>
        <v>0</v>
      </c>
      <c r="J3371" t="str">
        <f t="shared" si="281"/>
        <v>Cincinnati Reds</v>
      </c>
      <c r="K3371" s="60">
        <f t="shared" si="282"/>
        <v>1</v>
      </c>
      <c r="L3371">
        <f t="shared" si="283"/>
        <v>-1</v>
      </c>
    </row>
    <row r="3372" spans="1:12" x14ac:dyDescent="0.25">
      <c r="G3372" t="str">
        <f t="shared" si="284"/>
        <v>07/04/19</v>
      </c>
      <c r="H3372" t="str">
        <f t="shared" si="279"/>
        <v/>
      </c>
      <c r="I3372" s="60" t="str">
        <f t="shared" si="280"/>
        <v/>
      </c>
      <c r="J3372" t="str">
        <f t="shared" si="281"/>
        <v/>
      </c>
      <c r="K3372" s="60" t="str">
        <f t="shared" si="282"/>
        <v/>
      </c>
      <c r="L3372" t="str">
        <f t="shared" si="283"/>
        <v/>
      </c>
    </row>
    <row r="3373" spans="1:12" x14ac:dyDescent="0.25">
      <c r="A3373" t="s">
        <v>3107</v>
      </c>
      <c r="G3373" t="str">
        <f t="shared" si="284"/>
        <v>07/04/19</v>
      </c>
      <c r="H3373" t="str">
        <f t="shared" si="279"/>
        <v>Cleveland Indians</v>
      </c>
      <c r="I3373" s="60">
        <f t="shared" si="280"/>
        <v>8</v>
      </c>
      <c r="J3373" t="str">
        <f t="shared" si="281"/>
        <v>Kansas City Royals</v>
      </c>
      <c r="K3373" s="60">
        <f t="shared" si="282"/>
        <v>4</v>
      </c>
      <c r="L3373">
        <f t="shared" si="283"/>
        <v>4</v>
      </c>
    </row>
    <row r="3374" spans="1:12" x14ac:dyDescent="0.25">
      <c r="G3374" t="str">
        <f t="shared" si="284"/>
        <v>07/04/19</v>
      </c>
      <c r="H3374" t="str">
        <f t="shared" si="279"/>
        <v/>
      </c>
      <c r="I3374" s="60" t="str">
        <f t="shared" si="280"/>
        <v/>
      </c>
      <c r="J3374" t="str">
        <f t="shared" si="281"/>
        <v/>
      </c>
      <c r="K3374" s="60" t="str">
        <f t="shared" si="282"/>
        <v/>
      </c>
      <c r="L3374" t="str">
        <f t="shared" si="283"/>
        <v/>
      </c>
    </row>
    <row r="3375" spans="1:12" x14ac:dyDescent="0.25">
      <c r="A3375" t="s">
        <v>3108</v>
      </c>
      <c r="G3375" t="str">
        <f t="shared" si="284"/>
        <v>07/04/19</v>
      </c>
      <c r="H3375" t="str">
        <f t="shared" si="279"/>
        <v>San Diego Padres</v>
      </c>
      <c r="I3375" s="60">
        <f t="shared" si="280"/>
        <v>1</v>
      </c>
      <c r="J3375" t="str">
        <f t="shared" si="281"/>
        <v>Los Angeles Dodgers</v>
      </c>
      <c r="K3375" s="60">
        <f t="shared" si="282"/>
        <v>5</v>
      </c>
      <c r="L3375">
        <f t="shared" si="283"/>
        <v>-4</v>
      </c>
    </row>
    <row r="3376" spans="1:12" x14ac:dyDescent="0.25">
      <c r="G3376" t="str">
        <f t="shared" si="284"/>
        <v>07/04/19</v>
      </c>
      <c r="H3376" t="str">
        <f t="shared" si="279"/>
        <v/>
      </c>
      <c r="I3376" s="60" t="str">
        <f t="shared" si="280"/>
        <v/>
      </c>
      <c r="J3376" t="str">
        <f t="shared" si="281"/>
        <v/>
      </c>
      <c r="K3376" s="60" t="str">
        <f t="shared" si="282"/>
        <v/>
      </c>
      <c r="L3376" t="str">
        <f t="shared" si="283"/>
        <v/>
      </c>
    </row>
    <row r="3377" spans="1:12" x14ac:dyDescent="0.25">
      <c r="A3377" t="s">
        <v>3109</v>
      </c>
      <c r="G3377" t="str">
        <f t="shared" si="284"/>
        <v>07/04/19</v>
      </c>
      <c r="H3377" t="str">
        <f t="shared" si="279"/>
        <v>Minnesota Twins</v>
      </c>
      <c r="I3377" s="60">
        <f t="shared" si="280"/>
        <v>2</v>
      </c>
      <c r="J3377" t="str">
        <f t="shared" si="281"/>
        <v>Oakland Athletics</v>
      </c>
      <c r="K3377" s="60">
        <f t="shared" si="282"/>
        <v>7</v>
      </c>
      <c r="L3377">
        <f t="shared" si="283"/>
        <v>-5</v>
      </c>
    </row>
    <row r="3378" spans="1:12" x14ac:dyDescent="0.25">
      <c r="G3378" t="str">
        <f t="shared" si="284"/>
        <v>07/04/19</v>
      </c>
      <c r="H3378" t="str">
        <f t="shared" si="279"/>
        <v/>
      </c>
      <c r="I3378" s="60" t="str">
        <f t="shared" si="280"/>
        <v/>
      </c>
      <c r="J3378" t="str">
        <f t="shared" si="281"/>
        <v/>
      </c>
      <c r="K3378" s="60" t="str">
        <f t="shared" si="282"/>
        <v/>
      </c>
      <c r="L3378" t="str">
        <f t="shared" si="283"/>
        <v/>
      </c>
    </row>
    <row r="3379" spans="1:12" x14ac:dyDescent="0.25">
      <c r="A3379" t="s">
        <v>3110</v>
      </c>
      <c r="G3379" t="str">
        <f t="shared" si="284"/>
        <v>07/04/19</v>
      </c>
      <c r="H3379" t="str">
        <f t="shared" si="279"/>
        <v>Chicago Cubs</v>
      </c>
      <c r="I3379" s="60">
        <f t="shared" si="280"/>
        <v>11</v>
      </c>
      <c r="J3379" t="str">
        <f t="shared" si="281"/>
        <v>Pittsburgh Pirates</v>
      </c>
      <c r="K3379" s="60">
        <f t="shared" si="282"/>
        <v>3</v>
      </c>
      <c r="L3379">
        <f t="shared" si="283"/>
        <v>8</v>
      </c>
    </row>
    <row r="3380" spans="1:12" x14ac:dyDescent="0.25">
      <c r="G3380" t="str">
        <f t="shared" si="284"/>
        <v>07/04/19</v>
      </c>
      <c r="H3380" t="str">
        <f t="shared" si="279"/>
        <v/>
      </c>
      <c r="I3380" s="60" t="str">
        <f t="shared" si="280"/>
        <v/>
      </c>
      <c r="J3380" t="str">
        <f t="shared" si="281"/>
        <v/>
      </c>
      <c r="K3380" s="60" t="str">
        <f t="shared" si="282"/>
        <v/>
      </c>
      <c r="L3380" t="str">
        <f t="shared" si="283"/>
        <v/>
      </c>
    </row>
    <row r="3381" spans="1:12" x14ac:dyDescent="0.25">
      <c r="A3381" t="s">
        <v>3111</v>
      </c>
      <c r="G3381" t="str">
        <f t="shared" si="284"/>
        <v>07/04/19</v>
      </c>
      <c r="H3381" t="str">
        <f t="shared" si="279"/>
        <v>St. Louis Cardinals</v>
      </c>
      <c r="I3381" s="60">
        <f t="shared" si="280"/>
        <v>5</v>
      </c>
      <c r="J3381" t="str">
        <f t="shared" si="281"/>
        <v>Seattle Mariners</v>
      </c>
      <c r="K3381" s="60">
        <f t="shared" si="282"/>
        <v>4</v>
      </c>
      <c r="L3381">
        <f t="shared" si="283"/>
        <v>1</v>
      </c>
    </row>
    <row r="3382" spans="1:12" x14ac:dyDescent="0.25">
      <c r="G3382" t="str">
        <f t="shared" si="284"/>
        <v>07/04/19</v>
      </c>
      <c r="H3382" t="str">
        <f t="shared" si="279"/>
        <v/>
      </c>
      <c r="I3382" s="60" t="str">
        <f t="shared" si="280"/>
        <v/>
      </c>
      <c r="J3382" t="str">
        <f t="shared" si="281"/>
        <v/>
      </c>
      <c r="K3382" s="60" t="str">
        <f t="shared" si="282"/>
        <v/>
      </c>
      <c r="L3382" t="str">
        <f t="shared" si="283"/>
        <v/>
      </c>
    </row>
    <row r="3383" spans="1:12" x14ac:dyDescent="0.25">
      <c r="A3383" t="s">
        <v>3112</v>
      </c>
      <c r="G3383" t="str">
        <f t="shared" si="284"/>
        <v>07/04/19</v>
      </c>
      <c r="H3383" t="str">
        <f t="shared" si="279"/>
        <v>New York Yankees</v>
      </c>
      <c r="I3383" s="60">
        <f t="shared" si="280"/>
        <v>8</v>
      </c>
      <c r="J3383" t="str">
        <f t="shared" si="281"/>
        <v>Tampa Bay Rays</v>
      </c>
      <c r="K3383" s="60">
        <f t="shared" si="282"/>
        <v>4</v>
      </c>
      <c r="L3383">
        <f t="shared" si="283"/>
        <v>4</v>
      </c>
    </row>
    <row r="3384" spans="1:12" x14ac:dyDescent="0.25">
      <c r="G3384" t="str">
        <f t="shared" si="284"/>
        <v>07/04/19</v>
      </c>
      <c r="H3384" t="str">
        <f t="shared" si="279"/>
        <v/>
      </c>
      <c r="I3384" s="60" t="str">
        <f t="shared" si="280"/>
        <v/>
      </c>
      <c r="J3384" t="str">
        <f t="shared" si="281"/>
        <v/>
      </c>
      <c r="K3384" s="60" t="str">
        <f t="shared" si="282"/>
        <v/>
      </c>
      <c r="L3384" t="str">
        <f t="shared" si="283"/>
        <v/>
      </c>
    </row>
    <row r="3385" spans="1:12" x14ac:dyDescent="0.25">
      <c r="A3385" t="s">
        <v>3113</v>
      </c>
      <c r="G3385" t="str">
        <f t="shared" si="284"/>
        <v>07/04/19</v>
      </c>
      <c r="H3385" t="str">
        <f t="shared" si="279"/>
        <v>Los Angeles Angels</v>
      </c>
      <c r="I3385" s="60">
        <f t="shared" si="280"/>
        <v>3</v>
      </c>
      <c r="J3385" t="str">
        <f t="shared" si="281"/>
        <v>Texas Rangers</v>
      </c>
      <c r="K3385" s="60">
        <f t="shared" si="282"/>
        <v>9</v>
      </c>
      <c r="L3385">
        <f t="shared" si="283"/>
        <v>-6</v>
      </c>
    </row>
    <row r="3386" spans="1:12" x14ac:dyDescent="0.25">
      <c r="G3386" t="str">
        <f t="shared" si="284"/>
        <v>07/04/19</v>
      </c>
      <c r="H3386" t="str">
        <f t="shared" si="279"/>
        <v/>
      </c>
      <c r="I3386" s="60" t="str">
        <f t="shared" si="280"/>
        <v/>
      </c>
      <c r="J3386" t="str">
        <f t="shared" si="281"/>
        <v/>
      </c>
      <c r="K3386" s="60" t="str">
        <f t="shared" si="282"/>
        <v/>
      </c>
      <c r="L3386" t="str">
        <f t="shared" si="283"/>
        <v/>
      </c>
    </row>
    <row r="3387" spans="1:12" x14ac:dyDescent="0.25">
      <c r="A3387" t="s">
        <v>3114</v>
      </c>
      <c r="G3387" t="str">
        <f t="shared" si="284"/>
        <v>07/04/19</v>
      </c>
      <c r="H3387" t="str">
        <f t="shared" si="279"/>
        <v>Boston Red Sox</v>
      </c>
      <c r="I3387" s="60">
        <f t="shared" si="280"/>
        <v>8</v>
      </c>
      <c r="J3387" t="str">
        <f t="shared" si="281"/>
        <v>Toronto Blue Jays</v>
      </c>
      <c r="K3387" s="60">
        <f t="shared" si="282"/>
        <v>7</v>
      </c>
      <c r="L3387">
        <f t="shared" si="283"/>
        <v>1</v>
      </c>
    </row>
    <row r="3388" spans="1:12" x14ac:dyDescent="0.25">
      <c r="G3388" t="str">
        <f t="shared" si="284"/>
        <v>07/04/19</v>
      </c>
      <c r="H3388" t="str">
        <f t="shared" si="279"/>
        <v/>
      </c>
      <c r="I3388" s="60" t="str">
        <f t="shared" si="280"/>
        <v/>
      </c>
      <c r="J3388" t="str">
        <f t="shared" si="281"/>
        <v/>
      </c>
      <c r="K3388" s="60" t="str">
        <f t="shared" si="282"/>
        <v/>
      </c>
      <c r="L3388" t="str">
        <f t="shared" si="283"/>
        <v/>
      </c>
    </row>
    <row r="3389" spans="1:12" x14ac:dyDescent="0.25">
      <c r="A3389" t="s">
        <v>3115</v>
      </c>
      <c r="G3389" t="str">
        <f t="shared" si="284"/>
        <v>07/04/19</v>
      </c>
      <c r="H3389" t="str">
        <f t="shared" si="279"/>
        <v>Miami Marlins</v>
      </c>
      <c r="I3389" s="60">
        <f t="shared" si="280"/>
        <v>2</v>
      </c>
      <c r="J3389" t="str">
        <f t="shared" si="281"/>
        <v>Washington Nationals</v>
      </c>
      <c r="K3389" s="60">
        <f t="shared" si="282"/>
        <v>5</v>
      </c>
      <c r="L3389">
        <f t="shared" si="283"/>
        <v>-3</v>
      </c>
    </row>
    <row r="3390" spans="1:12" x14ac:dyDescent="0.25">
      <c r="G3390" t="str">
        <f t="shared" si="284"/>
        <v>07/04/19</v>
      </c>
      <c r="H3390" t="str">
        <f t="shared" si="279"/>
        <v/>
      </c>
      <c r="I3390" s="60" t="str">
        <f t="shared" si="280"/>
        <v/>
      </c>
      <c r="J3390" t="str">
        <f t="shared" si="281"/>
        <v/>
      </c>
      <c r="K3390" s="60" t="str">
        <f t="shared" si="282"/>
        <v/>
      </c>
      <c r="L3390" t="str">
        <f t="shared" si="283"/>
        <v/>
      </c>
    </row>
    <row r="3391" spans="1:12" x14ac:dyDescent="0.25">
      <c r="A3391" t="s">
        <v>3116</v>
      </c>
      <c r="G3391" t="str">
        <f t="shared" si="284"/>
        <v>07/04/19</v>
      </c>
      <c r="H3391" t="str">
        <f t="shared" si="279"/>
        <v/>
      </c>
      <c r="I3391" s="60" t="str">
        <f t="shared" si="280"/>
        <v/>
      </c>
      <c r="J3391" t="str">
        <f t="shared" si="281"/>
        <v/>
      </c>
      <c r="K3391" s="60" t="str">
        <f t="shared" si="282"/>
        <v/>
      </c>
      <c r="L3391" t="str">
        <f t="shared" si="283"/>
        <v/>
      </c>
    </row>
    <row r="3392" spans="1:12" x14ac:dyDescent="0.25">
      <c r="G3392" t="str">
        <f t="shared" si="284"/>
        <v>07/04/19</v>
      </c>
      <c r="H3392" t="str">
        <f t="shared" si="279"/>
        <v/>
      </c>
      <c r="I3392" s="60" t="str">
        <f t="shared" si="280"/>
        <v/>
      </c>
      <c r="J3392" t="str">
        <f t="shared" si="281"/>
        <v/>
      </c>
      <c r="K3392" s="60" t="str">
        <f t="shared" si="282"/>
        <v/>
      </c>
      <c r="L3392" t="str">
        <f t="shared" si="283"/>
        <v/>
      </c>
    </row>
    <row r="3393" spans="1:12" x14ac:dyDescent="0.25">
      <c r="A3393" t="s">
        <v>3117</v>
      </c>
      <c r="G3393" t="str">
        <f t="shared" si="284"/>
        <v>07/05/19</v>
      </c>
      <c r="H3393" t="str">
        <f t="shared" si="279"/>
        <v/>
      </c>
      <c r="I3393" s="60" t="str">
        <f t="shared" si="280"/>
        <v/>
      </c>
      <c r="J3393" t="str">
        <f t="shared" si="281"/>
        <v/>
      </c>
      <c r="K3393" s="60" t="str">
        <f t="shared" si="282"/>
        <v/>
      </c>
      <c r="L3393" t="str">
        <f t="shared" si="283"/>
        <v/>
      </c>
    </row>
    <row r="3394" spans="1:12" x14ac:dyDescent="0.25">
      <c r="G3394" t="str">
        <f t="shared" si="284"/>
        <v>07/05/19</v>
      </c>
      <c r="H3394" t="str">
        <f t="shared" si="279"/>
        <v/>
      </c>
      <c r="I3394" s="60" t="str">
        <f t="shared" si="280"/>
        <v/>
      </c>
      <c r="J3394" t="str">
        <f t="shared" si="281"/>
        <v/>
      </c>
      <c r="K3394" s="60" t="str">
        <f t="shared" si="282"/>
        <v/>
      </c>
      <c r="L3394" t="str">
        <f t="shared" si="283"/>
        <v/>
      </c>
    </row>
    <row r="3395" spans="1:12" x14ac:dyDescent="0.25">
      <c r="A3395" t="s">
        <v>3118</v>
      </c>
      <c r="G3395" t="str">
        <f t="shared" si="284"/>
        <v>07/05/19</v>
      </c>
      <c r="H3395" t="str">
        <f t="shared" si="279"/>
        <v>Colorado Rockies</v>
      </c>
      <c r="I3395" s="60">
        <f t="shared" si="280"/>
        <v>0</v>
      </c>
      <c r="J3395" t="str">
        <f t="shared" si="281"/>
        <v>Arizona D'Backs</v>
      </c>
      <c r="K3395" s="60">
        <f t="shared" si="282"/>
        <v>8</v>
      </c>
      <c r="L3395">
        <f t="shared" si="283"/>
        <v>-8</v>
      </c>
    </row>
    <row r="3396" spans="1:12" x14ac:dyDescent="0.25">
      <c r="G3396" t="str">
        <f t="shared" si="284"/>
        <v>07/05/19</v>
      </c>
      <c r="H3396" t="str">
        <f t="shared" si="279"/>
        <v/>
      </c>
      <c r="I3396" s="60" t="str">
        <f t="shared" si="280"/>
        <v/>
      </c>
      <c r="J3396" t="str">
        <f t="shared" si="281"/>
        <v/>
      </c>
      <c r="K3396" s="60" t="str">
        <f t="shared" si="282"/>
        <v/>
      </c>
      <c r="L3396" t="str">
        <f t="shared" si="283"/>
        <v/>
      </c>
    </row>
    <row r="3397" spans="1:12" x14ac:dyDescent="0.25">
      <c r="A3397" t="s">
        <v>3119</v>
      </c>
      <c r="G3397" t="str">
        <f t="shared" si="284"/>
        <v>07/05/19</v>
      </c>
      <c r="H3397" t="str">
        <f t="shared" si="279"/>
        <v>Miami Marlins</v>
      </c>
      <c r="I3397" s="60">
        <f t="shared" si="280"/>
        <v>0</v>
      </c>
      <c r="J3397" t="str">
        <f t="shared" si="281"/>
        <v>Atlanta Braves</v>
      </c>
      <c r="K3397" s="60">
        <f t="shared" si="282"/>
        <v>1</v>
      </c>
      <c r="L3397">
        <f t="shared" si="283"/>
        <v>-1</v>
      </c>
    </row>
    <row r="3398" spans="1:12" x14ac:dyDescent="0.25">
      <c r="G3398" t="str">
        <f t="shared" si="284"/>
        <v>07/05/19</v>
      </c>
      <c r="H3398" t="str">
        <f t="shared" si="279"/>
        <v/>
      </c>
      <c r="I3398" s="60" t="str">
        <f t="shared" si="280"/>
        <v/>
      </c>
      <c r="J3398" t="str">
        <f t="shared" si="281"/>
        <v/>
      </c>
      <c r="K3398" s="60" t="str">
        <f t="shared" si="282"/>
        <v/>
      </c>
      <c r="L3398" t="str">
        <f t="shared" si="283"/>
        <v/>
      </c>
    </row>
    <row r="3399" spans="1:12" x14ac:dyDescent="0.25">
      <c r="A3399" t="s">
        <v>3120</v>
      </c>
      <c r="G3399" t="str">
        <f t="shared" si="284"/>
        <v>07/05/19</v>
      </c>
      <c r="H3399" t="str">
        <f t="shared" si="279"/>
        <v>Boston Red Sox</v>
      </c>
      <c r="I3399" s="60">
        <f t="shared" si="280"/>
        <v>9</v>
      </c>
      <c r="J3399" t="str">
        <f t="shared" si="281"/>
        <v>Detroit Tigers</v>
      </c>
      <c r="K3399" s="60">
        <f t="shared" si="282"/>
        <v>6</v>
      </c>
      <c r="L3399">
        <f t="shared" si="283"/>
        <v>3</v>
      </c>
    </row>
    <row r="3400" spans="1:12" x14ac:dyDescent="0.25">
      <c r="G3400" t="str">
        <f t="shared" si="284"/>
        <v>07/05/19</v>
      </c>
      <c r="H3400" t="str">
        <f t="shared" si="279"/>
        <v/>
      </c>
      <c r="I3400" s="60" t="str">
        <f t="shared" si="280"/>
        <v/>
      </c>
      <c r="J3400" t="str">
        <f t="shared" si="281"/>
        <v/>
      </c>
      <c r="K3400" s="60" t="str">
        <f t="shared" si="282"/>
        <v/>
      </c>
      <c r="L3400" t="str">
        <f t="shared" si="283"/>
        <v/>
      </c>
    </row>
    <row r="3401" spans="1:12" x14ac:dyDescent="0.25">
      <c r="A3401" t="s">
        <v>3121</v>
      </c>
      <c r="G3401" t="str">
        <f t="shared" si="284"/>
        <v>07/05/19</v>
      </c>
      <c r="H3401" t="str">
        <f t="shared" si="279"/>
        <v>Los Angeles Angels</v>
      </c>
      <c r="I3401" s="60">
        <f t="shared" si="280"/>
        <v>5</v>
      </c>
      <c r="J3401" t="str">
        <f t="shared" si="281"/>
        <v>Houston Astros</v>
      </c>
      <c r="K3401" s="60">
        <f t="shared" si="282"/>
        <v>4</v>
      </c>
      <c r="L3401">
        <f t="shared" si="283"/>
        <v>1</v>
      </c>
    </row>
    <row r="3402" spans="1:12" x14ac:dyDescent="0.25">
      <c r="G3402" t="str">
        <f t="shared" si="284"/>
        <v>07/05/19</v>
      </c>
      <c r="H3402" t="str">
        <f t="shared" si="279"/>
        <v/>
      </c>
      <c r="I3402" s="60" t="str">
        <f t="shared" si="280"/>
        <v/>
      </c>
      <c r="J3402" t="str">
        <f t="shared" si="281"/>
        <v/>
      </c>
      <c r="K3402" s="60" t="str">
        <f t="shared" si="282"/>
        <v/>
      </c>
      <c r="L3402" t="str">
        <f t="shared" si="283"/>
        <v/>
      </c>
    </row>
    <row r="3403" spans="1:12" x14ac:dyDescent="0.25">
      <c r="A3403" t="s">
        <v>3122</v>
      </c>
      <c r="G3403" t="str">
        <f t="shared" si="284"/>
        <v>07/05/19</v>
      </c>
      <c r="H3403" t="str">
        <f t="shared" si="279"/>
        <v>San Diego Padres</v>
      </c>
      <c r="I3403" s="60">
        <f t="shared" si="280"/>
        <v>3</v>
      </c>
      <c r="J3403" t="str">
        <f t="shared" si="281"/>
        <v>Los Angeles Dodgers</v>
      </c>
      <c r="K3403" s="60">
        <f t="shared" si="282"/>
        <v>2</v>
      </c>
      <c r="L3403">
        <f t="shared" si="283"/>
        <v>1</v>
      </c>
    </row>
    <row r="3404" spans="1:12" x14ac:dyDescent="0.25">
      <c r="G3404" t="str">
        <f t="shared" si="284"/>
        <v>07/05/19</v>
      </c>
      <c r="H3404" t="str">
        <f t="shared" si="279"/>
        <v/>
      </c>
      <c r="I3404" s="60" t="str">
        <f t="shared" si="280"/>
        <v/>
      </c>
      <c r="J3404" t="str">
        <f t="shared" si="281"/>
        <v/>
      </c>
      <c r="K3404" s="60" t="str">
        <f t="shared" si="282"/>
        <v/>
      </c>
      <c r="L3404" t="str">
        <f t="shared" si="283"/>
        <v/>
      </c>
    </row>
    <row r="3405" spans="1:12" x14ac:dyDescent="0.25">
      <c r="A3405" t="s">
        <v>3123</v>
      </c>
      <c r="G3405" t="str">
        <f t="shared" si="284"/>
        <v>07/05/19</v>
      </c>
      <c r="H3405" t="str">
        <f t="shared" si="279"/>
        <v>Texas Rangers</v>
      </c>
      <c r="I3405" s="60">
        <f t="shared" si="280"/>
        <v>6</v>
      </c>
      <c r="J3405" t="str">
        <f t="shared" si="281"/>
        <v>Minnesota Twins</v>
      </c>
      <c r="K3405" s="60">
        <f t="shared" si="282"/>
        <v>15</v>
      </c>
      <c r="L3405">
        <f t="shared" si="283"/>
        <v>-9</v>
      </c>
    </row>
    <row r="3406" spans="1:12" x14ac:dyDescent="0.25">
      <c r="G3406" t="str">
        <f t="shared" si="284"/>
        <v>07/05/19</v>
      </c>
      <c r="H3406" t="str">
        <f t="shared" si="279"/>
        <v/>
      </c>
      <c r="I3406" s="60" t="str">
        <f t="shared" si="280"/>
        <v/>
      </c>
      <c r="J3406" t="str">
        <f t="shared" si="281"/>
        <v/>
      </c>
      <c r="K3406" s="60" t="str">
        <f t="shared" si="282"/>
        <v/>
      </c>
      <c r="L3406" t="str">
        <f t="shared" si="283"/>
        <v/>
      </c>
    </row>
    <row r="3407" spans="1:12" x14ac:dyDescent="0.25">
      <c r="A3407" t="s">
        <v>3124</v>
      </c>
      <c r="G3407" t="str">
        <f t="shared" si="284"/>
        <v>07/05/19</v>
      </c>
      <c r="H3407" t="str">
        <f t="shared" si="279"/>
        <v>Philadelphia Phillies</v>
      </c>
      <c r="I3407" s="60">
        <f t="shared" si="280"/>
        <v>7</v>
      </c>
      <c r="J3407" t="str">
        <f t="shared" si="281"/>
        <v>New York Mets</v>
      </c>
      <c r="K3407" s="60">
        <f t="shared" si="282"/>
        <v>2</v>
      </c>
      <c r="L3407">
        <f t="shared" si="283"/>
        <v>5</v>
      </c>
    </row>
    <row r="3408" spans="1:12" x14ac:dyDescent="0.25">
      <c r="G3408" t="str">
        <f t="shared" si="284"/>
        <v>07/05/19</v>
      </c>
      <c r="H3408" t="str">
        <f t="shared" ref="H3408:H3471" si="285">IFERROR(LEFT(MID(A3408,1,SEARCH("@",A3408)-2),SEARCH("(",A3408)-2),"")</f>
        <v/>
      </c>
      <c r="I3408" s="60" t="str">
        <f t="shared" ref="I3408:I3471" si="286">IFERROR(VALUE(MID(A3408,SEARCH("(",A3408)+1,SEARCH(")",A3408)-SEARCH("(",A3408)-1)),"")</f>
        <v/>
      </c>
      <c r="J3408" t="str">
        <f t="shared" ref="J3408:J3471" si="287">IFERROR(MID(A3408,SEARCH("@",A3408)+2,SEARCH("(",A3408,SEARCH("@",A3408))-SEARCH("@",A3408)-3),"")</f>
        <v/>
      </c>
      <c r="K3408" s="60" t="str">
        <f t="shared" ref="K3408:K3471" si="288">IFERROR(VALUE(MID(A3408,SEARCH(J3408,A3408)+LEN(J3408)+2,(SEARCH(")",A3408,SEARCH("@",A3408))-SEARCH("(",A3408,SEARCH("@",A3408))-1))),"")</f>
        <v/>
      </c>
      <c r="L3408" t="str">
        <f t="shared" ref="L3408:L3471" si="289">IFERROR(I3408-K3408,"")</f>
        <v/>
      </c>
    </row>
    <row r="3409" spans="1:12" x14ac:dyDescent="0.25">
      <c r="A3409" t="s">
        <v>3125</v>
      </c>
      <c r="G3409" t="str">
        <f t="shared" si="284"/>
        <v>07/05/19</v>
      </c>
      <c r="H3409" t="str">
        <f t="shared" si="285"/>
        <v>Milwaukee Brewers</v>
      </c>
      <c r="I3409" s="60">
        <f t="shared" si="286"/>
        <v>7</v>
      </c>
      <c r="J3409" t="str">
        <f t="shared" si="287"/>
        <v>Pittsburgh Pirates</v>
      </c>
      <c r="K3409" s="60">
        <f t="shared" si="288"/>
        <v>6</v>
      </c>
      <c r="L3409">
        <f t="shared" si="289"/>
        <v>1</v>
      </c>
    </row>
    <row r="3410" spans="1:12" x14ac:dyDescent="0.25">
      <c r="G3410" t="str">
        <f t="shared" si="284"/>
        <v>07/05/19</v>
      </c>
      <c r="H3410" t="str">
        <f t="shared" si="285"/>
        <v/>
      </c>
      <c r="I3410" s="60" t="str">
        <f t="shared" si="286"/>
        <v/>
      </c>
      <c r="J3410" t="str">
        <f t="shared" si="287"/>
        <v/>
      </c>
      <c r="K3410" s="60" t="str">
        <f t="shared" si="288"/>
        <v/>
      </c>
      <c r="L3410" t="str">
        <f t="shared" si="289"/>
        <v/>
      </c>
    </row>
    <row r="3411" spans="1:12" x14ac:dyDescent="0.25">
      <c r="A3411" t="s">
        <v>3126</v>
      </c>
      <c r="G3411" t="str">
        <f t="shared" si="284"/>
        <v>07/05/19</v>
      </c>
      <c r="H3411" t="str">
        <f t="shared" si="285"/>
        <v>Oakland Athletics</v>
      </c>
      <c r="I3411" s="60">
        <f t="shared" si="286"/>
        <v>5</v>
      </c>
      <c r="J3411" t="str">
        <f t="shared" si="287"/>
        <v>Seattle Mariners</v>
      </c>
      <c r="K3411" s="60">
        <f t="shared" si="288"/>
        <v>2</v>
      </c>
      <c r="L3411">
        <f t="shared" si="289"/>
        <v>3</v>
      </c>
    </row>
    <row r="3412" spans="1:12" x14ac:dyDescent="0.25">
      <c r="G3412" t="str">
        <f t="shared" si="284"/>
        <v>07/05/19</v>
      </c>
      <c r="H3412" t="str">
        <f t="shared" si="285"/>
        <v/>
      </c>
      <c r="I3412" s="60" t="str">
        <f t="shared" si="286"/>
        <v/>
      </c>
      <c r="J3412" t="str">
        <f t="shared" si="287"/>
        <v/>
      </c>
      <c r="K3412" s="60" t="str">
        <f t="shared" si="288"/>
        <v/>
      </c>
      <c r="L3412" t="str">
        <f t="shared" si="289"/>
        <v/>
      </c>
    </row>
    <row r="3413" spans="1:12" x14ac:dyDescent="0.25">
      <c r="A3413" t="s">
        <v>3127</v>
      </c>
      <c r="G3413" t="str">
        <f t="shared" si="284"/>
        <v>07/05/19</v>
      </c>
      <c r="H3413" t="str">
        <f t="shared" si="285"/>
        <v>St. Louis Cardinals</v>
      </c>
      <c r="I3413" s="60">
        <f t="shared" si="286"/>
        <v>9</v>
      </c>
      <c r="J3413" t="str">
        <f t="shared" si="287"/>
        <v>San Francisco Giants</v>
      </c>
      <c r="K3413" s="60">
        <f t="shared" si="288"/>
        <v>4</v>
      </c>
      <c r="L3413">
        <f t="shared" si="289"/>
        <v>5</v>
      </c>
    </row>
    <row r="3414" spans="1:12" x14ac:dyDescent="0.25">
      <c r="G3414" t="str">
        <f t="shared" si="284"/>
        <v>07/05/19</v>
      </c>
      <c r="H3414" t="str">
        <f t="shared" si="285"/>
        <v/>
      </c>
      <c r="I3414" s="60" t="str">
        <f t="shared" si="286"/>
        <v/>
      </c>
      <c r="J3414" t="str">
        <f t="shared" si="287"/>
        <v/>
      </c>
      <c r="K3414" s="60" t="str">
        <f t="shared" si="288"/>
        <v/>
      </c>
      <c r="L3414" t="str">
        <f t="shared" si="289"/>
        <v/>
      </c>
    </row>
    <row r="3415" spans="1:12" x14ac:dyDescent="0.25">
      <c r="A3415" t="s">
        <v>3112</v>
      </c>
      <c r="G3415" t="str">
        <f t="shared" si="284"/>
        <v>07/05/19</v>
      </c>
      <c r="H3415" t="str">
        <f t="shared" si="285"/>
        <v>New York Yankees</v>
      </c>
      <c r="I3415" s="60">
        <f t="shared" si="286"/>
        <v>8</v>
      </c>
      <c r="J3415" t="str">
        <f t="shared" si="287"/>
        <v>Tampa Bay Rays</v>
      </c>
      <c r="K3415" s="60">
        <f t="shared" si="288"/>
        <v>4</v>
      </c>
      <c r="L3415">
        <f t="shared" si="289"/>
        <v>4</v>
      </c>
    </row>
    <row r="3416" spans="1:12" x14ac:dyDescent="0.25">
      <c r="G3416" t="str">
        <f t="shared" si="284"/>
        <v>07/05/19</v>
      </c>
      <c r="H3416" t="str">
        <f t="shared" si="285"/>
        <v/>
      </c>
      <c r="I3416" s="60" t="str">
        <f t="shared" si="286"/>
        <v/>
      </c>
      <c r="J3416" t="str">
        <f t="shared" si="287"/>
        <v/>
      </c>
      <c r="K3416" s="60" t="str">
        <f t="shared" si="288"/>
        <v/>
      </c>
      <c r="L3416" t="str">
        <f t="shared" si="289"/>
        <v/>
      </c>
    </row>
    <row r="3417" spans="1:12" x14ac:dyDescent="0.25">
      <c r="A3417" t="s">
        <v>3128</v>
      </c>
      <c r="G3417" t="str">
        <f t="shared" si="284"/>
        <v>07/05/19</v>
      </c>
      <c r="H3417" t="str">
        <f t="shared" si="285"/>
        <v>Baltimore Orioles</v>
      </c>
      <c r="I3417" s="60">
        <f t="shared" si="286"/>
        <v>4</v>
      </c>
      <c r="J3417" t="str">
        <f t="shared" si="287"/>
        <v>Toronto Blue Jays</v>
      </c>
      <c r="K3417" s="60">
        <f t="shared" si="288"/>
        <v>1</v>
      </c>
      <c r="L3417">
        <f t="shared" si="289"/>
        <v>3</v>
      </c>
    </row>
    <row r="3418" spans="1:12" x14ac:dyDescent="0.25">
      <c r="G3418" t="str">
        <f t="shared" si="284"/>
        <v>07/05/19</v>
      </c>
      <c r="H3418" t="str">
        <f t="shared" si="285"/>
        <v/>
      </c>
      <c r="I3418" s="60" t="str">
        <f t="shared" si="286"/>
        <v/>
      </c>
      <c r="J3418" t="str">
        <f t="shared" si="287"/>
        <v/>
      </c>
      <c r="K3418" s="60" t="str">
        <f t="shared" si="288"/>
        <v/>
      </c>
      <c r="L3418" t="str">
        <f t="shared" si="289"/>
        <v/>
      </c>
    </row>
    <row r="3419" spans="1:12" x14ac:dyDescent="0.25">
      <c r="A3419" t="s">
        <v>3129</v>
      </c>
      <c r="G3419" t="str">
        <f t="shared" si="284"/>
        <v>07/05/19</v>
      </c>
      <c r="H3419" t="str">
        <f t="shared" si="285"/>
        <v>Kansas City Royals</v>
      </c>
      <c r="I3419" s="60">
        <f t="shared" si="286"/>
        <v>7</v>
      </c>
      <c r="J3419" t="str">
        <f t="shared" si="287"/>
        <v>Washington Nationals</v>
      </c>
      <c r="K3419" s="60">
        <f t="shared" si="288"/>
        <v>4</v>
      </c>
      <c r="L3419">
        <f t="shared" si="289"/>
        <v>3</v>
      </c>
    </row>
    <row r="3420" spans="1:12" x14ac:dyDescent="0.25">
      <c r="G3420" t="str">
        <f t="shared" si="284"/>
        <v>07/05/19</v>
      </c>
      <c r="H3420" t="str">
        <f t="shared" si="285"/>
        <v/>
      </c>
      <c r="I3420" s="60" t="str">
        <f t="shared" si="286"/>
        <v/>
      </c>
      <c r="J3420" t="str">
        <f t="shared" si="287"/>
        <v/>
      </c>
      <c r="K3420" s="60" t="str">
        <f t="shared" si="288"/>
        <v/>
      </c>
      <c r="L3420" t="str">
        <f t="shared" si="289"/>
        <v/>
      </c>
    </row>
    <row r="3421" spans="1:12" x14ac:dyDescent="0.25">
      <c r="A3421" t="s">
        <v>3130</v>
      </c>
      <c r="G3421" t="str">
        <f t="shared" si="284"/>
        <v>07/05/19</v>
      </c>
      <c r="H3421" t="str">
        <f t="shared" si="285"/>
        <v/>
      </c>
      <c r="I3421" s="60" t="str">
        <f t="shared" si="286"/>
        <v/>
      </c>
      <c r="J3421" t="str">
        <f t="shared" si="287"/>
        <v/>
      </c>
      <c r="K3421" s="60" t="str">
        <f t="shared" si="288"/>
        <v/>
      </c>
      <c r="L3421" t="str">
        <f t="shared" si="289"/>
        <v/>
      </c>
    </row>
    <row r="3422" spans="1:12" x14ac:dyDescent="0.25">
      <c r="G3422" t="str">
        <f t="shared" si="284"/>
        <v>07/05/19</v>
      </c>
      <c r="H3422" t="str">
        <f t="shared" si="285"/>
        <v/>
      </c>
      <c r="I3422" s="60" t="str">
        <f t="shared" si="286"/>
        <v/>
      </c>
      <c r="J3422" t="str">
        <f t="shared" si="287"/>
        <v/>
      </c>
      <c r="K3422" s="60" t="str">
        <f t="shared" si="288"/>
        <v/>
      </c>
      <c r="L3422" t="str">
        <f t="shared" si="289"/>
        <v/>
      </c>
    </row>
    <row r="3423" spans="1:12" x14ac:dyDescent="0.25">
      <c r="A3423" t="s">
        <v>3131</v>
      </c>
      <c r="G3423" t="str">
        <f t="shared" si="284"/>
        <v>07/06/19</v>
      </c>
      <c r="H3423" t="str">
        <f t="shared" si="285"/>
        <v/>
      </c>
      <c r="I3423" s="60" t="str">
        <f t="shared" si="286"/>
        <v/>
      </c>
      <c r="J3423" t="str">
        <f t="shared" si="287"/>
        <v/>
      </c>
      <c r="K3423" s="60" t="str">
        <f t="shared" si="288"/>
        <v/>
      </c>
      <c r="L3423" t="str">
        <f t="shared" si="289"/>
        <v/>
      </c>
    </row>
    <row r="3424" spans="1:12" x14ac:dyDescent="0.25">
      <c r="G3424" t="str">
        <f t="shared" si="284"/>
        <v>07/06/19</v>
      </c>
      <c r="H3424" t="str">
        <f t="shared" si="285"/>
        <v/>
      </c>
      <c r="I3424" s="60" t="str">
        <f t="shared" si="286"/>
        <v/>
      </c>
      <c r="J3424" t="str">
        <f t="shared" si="287"/>
        <v/>
      </c>
      <c r="K3424" s="60" t="str">
        <f t="shared" si="288"/>
        <v/>
      </c>
      <c r="L3424" t="str">
        <f t="shared" si="289"/>
        <v/>
      </c>
    </row>
    <row r="3425" spans="1:12" x14ac:dyDescent="0.25">
      <c r="A3425" t="s">
        <v>3132</v>
      </c>
      <c r="G3425" t="str">
        <f t="shared" si="284"/>
        <v>07/06/19</v>
      </c>
      <c r="H3425" t="str">
        <f t="shared" si="285"/>
        <v>Colorado Rockies</v>
      </c>
      <c r="I3425" s="60">
        <f t="shared" si="286"/>
        <v>2</v>
      </c>
      <c r="J3425" t="str">
        <f t="shared" si="287"/>
        <v>Arizona D'Backs</v>
      </c>
      <c r="K3425" s="60">
        <f t="shared" si="288"/>
        <v>4</v>
      </c>
      <c r="L3425">
        <f t="shared" si="289"/>
        <v>-2</v>
      </c>
    </row>
    <row r="3426" spans="1:12" x14ac:dyDescent="0.25">
      <c r="G3426" t="str">
        <f t="shared" ref="G3426:G3489" si="290">IF(ISNUMBER(MATCH(IFERROR(LEFT(A3426,SEARCH(",",A3426)-1),""),$G$220:$M$220,0)),TEXT(MID(A3426,SEARCH(",",A3426)+2,LEN(A3426)),"mm/dd/yy"),G3425)</f>
        <v>07/06/19</v>
      </c>
      <c r="H3426" t="str">
        <f t="shared" si="285"/>
        <v/>
      </c>
      <c r="I3426" s="60" t="str">
        <f t="shared" si="286"/>
        <v/>
      </c>
      <c r="J3426" t="str">
        <f t="shared" si="287"/>
        <v/>
      </c>
      <c r="K3426" s="60" t="str">
        <f t="shared" si="288"/>
        <v/>
      </c>
      <c r="L3426" t="str">
        <f t="shared" si="289"/>
        <v/>
      </c>
    </row>
    <row r="3427" spans="1:12" x14ac:dyDescent="0.25">
      <c r="A3427" t="s">
        <v>3133</v>
      </c>
      <c r="G3427" t="str">
        <f t="shared" si="290"/>
        <v>07/06/19</v>
      </c>
      <c r="H3427" t="str">
        <f t="shared" si="285"/>
        <v>Miami Marlins</v>
      </c>
      <c r="I3427" s="60">
        <f t="shared" si="286"/>
        <v>5</v>
      </c>
      <c r="J3427" t="str">
        <f t="shared" si="287"/>
        <v>Atlanta Braves</v>
      </c>
      <c r="K3427" s="60">
        <f t="shared" si="288"/>
        <v>4</v>
      </c>
      <c r="L3427">
        <f t="shared" si="289"/>
        <v>1</v>
      </c>
    </row>
    <row r="3428" spans="1:12" x14ac:dyDescent="0.25">
      <c r="G3428" t="str">
        <f t="shared" si="290"/>
        <v>07/06/19</v>
      </c>
      <c r="H3428" t="str">
        <f t="shared" si="285"/>
        <v/>
      </c>
      <c r="I3428" s="60" t="str">
        <f t="shared" si="286"/>
        <v/>
      </c>
      <c r="J3428" t="str">
        <f t="shared" si="287"/>
        <v/>
      </c>
      <c r="K3428" s="60" t="str">
        <f t="shared" si="288"/>
        <v/>
      </c>
      <c r="L3428" t="str">
        <f t="shared" si="289"/>
        <v/>
      </c>
    </row>
    <row r="3429" spans="1:12" x14ac:dyDescent="0.25">
      <c r="A3429" t="s">
        <v>3134</v>
      </c>
      <c r="G3429" t="str">
        <f t="shared" si="290"/>
        <v>07/06/19</v>
      </c>
      <c r="H3429" t="str">
        <f t="shared" si="285"/>
        <v>Chicago Cubs</v>
      </c>
      <c r="I3429" s="60">
        <f t="shared" si="286"/>
        <v>6</v>
      </c>
      <c r="J3429" t="str">
        <f t="shared" si="287"/>
        <v>Chicago White Sox</v>
      </c>
      <c r="K3429" s="60">
        <f t="shared" si="288"/>
        <v>3</v>
      </c>
      <c r="L3429">
        <f t="shared" si="289"/>
        <v>3</v>
      </c>
    </row>
    <row r="3430" spans="1:12" x14ac:dyDescent="0.25">
      <c r="G3430" t="str">
        <f t="shared" si="290"/>
        <v>07/06/19</v>
      </c>
      <c r="H3430" t="str">
        <f t="shared" si="285"/>
        <v/>
      </c>
      <c r="I3430" s="60" t="str">
        <f t="shared" si="286"/>
        <v/>
      </c>
      <c r="J3430" t="str">
        <f t="shared" si="287"/>
        <v/>
      </c>
      <c r="K3430" s="60" t="str">
        <f t="shared" si="288"/>
        <v/>
      </c>
      <c r="L3430" t="str">
        <f t="shared" si="289"/>
        <v/>
      </c>
    </row>
    <row r="3431" spans="1:12" x14ac:dyDescent="0.25">
      <c r="A3431" t="s">
        <v>3135</v>
      </c>
      <c r="G3431" t="str">
        <f t="shared" si="290"/>
        <v>07/06/19</v>
      </c>
      <c r="H3431" t="str">
        <f t="shared" si="285"/>
        <v>Cleveland Indians</v>
      </c>
      <c r="I3431" s="60">
        <f t="shared" si="286"/>
        <v>7</v>
      </c>
      <c r="J3431" t="str">
        <f t="shared" si="287"/>
        <v>Cincinnati Reds</v>
      </c>
      <c r="K3431" s="60">
        <f t="shared" si="288"/>
        <v>2</v>
      </c>
      <c r="L3431">
        <f t="shared" si="289"/>
        <v>5</v>
      </c>
    </row>
    <row r="3432" spans="1:12" x14ac:dyDescent="0.25">
      <c r="G3432" t="str">
        <f t="shared" si="290"/>
        <v>07/06/19</v>
      </c>
      <c r="H3432" t="str">
        <f t="shared" si="285"/>
        <v/>
      </c>
      <c r="I3432" s="60" t="str">
        <f t="shared" si="286"/>
        <v/>
      </c>
      <c r="J3432" t="str">
        <f t="shared" si="287"/>
        <v/>
      </c>
      <c r="K3432" s="60" t="str">
        <f t="shared" si="288"/>
        <v/>
      </c>
      <c r="L3432" t="str">
        <f t="shared" si="289"/>
        <v/>
      </c>
    </row>
    <row r="3433" spans="1:12" x14ac:dyDescent="0.25">
      <c r="A3433" t="s">
        <v>3136</v>
      </c>
      <c r="G3433" t="str">
        <f t="shared" si="290"/>
        <v>07/06/19</v>
      </c>
      <c r="H3433" t="str">
        <f t="shared" si="285"/>
        <v>Boston Red Sox</v>
      </c>
      <c r="I3433" s="60">
        <f t="shared" si="286"/>
        <v>10</v>
      </c>
      <c r="J3433" t="str">
        <f t="shared" si="287"/>
        <v>Detroit Tigers</v>
      </c>
      <c r="K3433" s="60">
        <f t="shared" si="288"/>
        <v>6</v>
      </c>
      <c r="L3433">
        <f t="shared" si="289"/>
        <v>4</v>
      </c>
    </row>
    <row r="3434" spans="1:12" x14ac:dyDescent="0.25">
      <c r="G3434" t="str">
        <f t="shared" si="290"/>
        <v>07/06/19</v>
      </c>
      <c r="H3434" t="str">
        <f t="shared" si="285"/>
        <v/>
      </c>
      <c r="I3434" s="60" t="str">
        <f t="shared" si="286"/>
        <v/>
      </c>
      <c r="J3434" t="str">
        <f t="shared" si="287"/>
        <v/>
      </c>
      <c r="K3434" s="60" t="str">
        <f t="shared" si="288"/>
        <v/>
      </c>
      <c r="L3434" t="str">
        <f t="shared" si="289"/>
        <v/>
      </c>
    </row>
    <row r="3435" spans="1:12" x14ac:dyDescent="0.25">
      <c r="A3435" t="s">
        <v>3137</v>
      </c>
      <c r="G3435" t="str">
        <f t="shared" si="290"/>
        <v>07/06/19</v>
      </c>
      <c r="H3435" t="str">
        <f t="shared" si="285"/>
        <v>Los Angeles Angels</v>
      </c>
      <c r="I3435" s="60">
        <f t="shared" si="286"/>
        <v>0</v>
      </c>
      <c r="J3435" t="str">
        <f t="shared" si="287"/>
        <v>Houston Astros</v>
      </c>
      <c r="K3435" s="60">
        <f t="shared" si="288"/>
        <v>4</v>
      </c>
      <c r="L3435">
        <f t="shared" si="289"/>
        <v>-4</v>
      </c>
    </row>
    <row r="3436" spans="1:12" x14ac:dyDescent="0.25">
      <c r="G3436" t="str">
        <f t="shared" si="290"/>
        <v>07/06/19</v>
      </c>
      <c r="H3436" t="str">
        <f t="shared" si="285"/>
        <v/>
      </c>
      <c r="I3436" s="60" t="str">
        <f t="shared" si="286"/>
        <v/>
      </c>
      <c r="J3436" t="str">
        <f t="shared" si="287"/>
        <v/>
      </c>
      <c r="K3436" s="60" t="str">
        <f t="shared" si="288"/>
        <v/>
      </c>
      <c r="L3436" t="str">
        <f t="shared" si="289"/>
        <v/>
      </c>
    </row>
    <row r="3437" spans="1:12" x14ac:dyDescent="0.25">
      <c r="A3437" t="s">
        <v>3138</v>
      </c>
      <c r="G3437" t="str">
        <f t="shared" si="290"/>
        <v>07/06/19</v>
      </c>
      <c r="H3437" t="str">
        <f t="shared" si="285"/>
        <v>San Diego Padres</v>
      </c>
      <c r="I3437" s="60">
        <f t="shared" si="286"/>
        <v>3</v>
      </c>
      <c r="J3437" t="str">
        <f t="shared" si="287"/>
        <v>Los Angeles Dodgers</v>
      </c>
      <c r="K3437" s="60">
        <f t="shared" si="288"/>
        <v>1</v>
      </c>
      <c r="L3437">
        <f t="shared" si="289"/>
        <v>2</v>
      </c>
    </row>
    <row r="3438" spans="1:12" x14ac:dyDescent="0.25">
      <c r="G3438" t="str">
        <f t="shared" si="290"/>
        <v>07/06/19</v>
      </c>
      <c r="H3438" t="str">
        <f t="shared" si="285"/>
        <v/>
      </c>
      <c r="I3438" s="60" t="str">
        <f t="shared" si="286"/>
        <v/>
      </c>
      <c r="J3438" t="str">
        <f t="shared" si="287"/>
        <v/>
      </c>
      <c r="K3438" s="60" t="str">
        <f t="shared" si="288"/>
        <v/>
      </c>
      <c r="L3438" t="str">
        <f t="shared" si="289"/>
        <v/>
      </c>
    </row>
    <row r="3439" spans="1:12" x14ac:dyDescent="0.25">
      <c r="A3439" t="s">
        <v>3139</v>
      </c>
      <c r="G3439" t="str">
        <f t="shared" si="290"/>
        <v>07/06/19</v>
      </c>
      <c r="H3439" t="str">
        <f t="shared" si="285"/>
        <v>Texas Rangers</v>
      </c>
      <c r="I3439" s="60">
        <f t="shared" si="286"/>
        <v>4</v>
      </c>
      <c r="J3439" t="str">
        <f t="shared" si="287"/>
        <v>Minnesota Twins</v>
      </c>
      <c r="K3439" s="60">
        <f t="shared" si="288"/>
        <v>7</v>
      </c>
      <c r="L3439">
        <f t="shared" si="289"/>
        <v>-3</v>
      </c>
    </row>
    <row r="3440" spans="1:12" x14ac:dyDescent="0.25">
      <c r="G3440" t="str">
        <f t="shared" si="290"/>
        <v>07/06/19</v>
      </c>
      <c r="H3440" t="str">
        <f t="shared" si="285"/>
        <v/>
      </c>
      <c r="I3440" s="60" t="str">
        <f t="shared" si="286"/>
        <v/>
      </c>
      <c r="J3440" t="str">
        <f t="shared" si="287"/>
        <v/>
      </c>
      <c r="K3440" s="60" t="str">
        <f t="shared" si="288"/>
        <v/>
      </c>
      <c r="L3440" t="str">
        <f t="shared" si="289"/>
        <v/>
      </c>
    </row>
    <row r="3441" spans="1:12" x14ac:dyDescent="0.25">
      <c r="A3441" t="s">
        <v>3140</v>
      </c>
      <c r="G3441" t="str">
        <f t="shared" si="290"/>
        <v>07/06/19</v>
      </c>
      <c r="H3441" t="str">
        <f t="shared" si="285"/>
        <v>Philadelphia Phillies</v>
      </c>
      <c r="I3441" s="60">
        <f t="shared" si="286"/>
        <v>5</v>
      </c>
      <c r="J3441" t="str">
        <f t="shared" si="287"/>
        <v>New York Mets</v>
      </c>
      <c r="K3441" s="60">
        <f t="shared" si="288"/>
        <v>6</v>
      </c>
      <c r="L3441">
        <f t="shared" si="289"/>
        <v>-1</v>
      </c>
    </row>
    <row r="3442" spans="1:12" x14ac:dyDescent="0.25">
      <c r="G3442" t="str">
        <f t="shared" si="290"/>
        <v>07/06/19</v>
      </c>
      <c r="H3442" t="str">
        <f t="shared" si="285"/>
        <v/>
      </c>
      <c r="I3442" s="60" t="str">
        <f t="shared" si="286"/>
        <v/>
      </c>
      <c r="J3442" t="str">
        <f t="shared" si="287"/>
        <v/>
      </c>
      <c r="K3442" s="60" t="str">
        <f t="shared" si="288"/>
        <v/>
      </c>
      <c r="L3442" t="str">
        <f t="shared" si="289"/>
        <v/>
      </c>
    </row>
    <row r="3443" spans="1:12" x14ac:dyDescent="0.25">
      <c r="A3443" t="s">
        <v>3141</v>
      </c>
      <c r="G3443" t="str">
        <f t="shared" si="290"/>
        <v>07/06/19</v>
      </c>
      <c r="H3443" t="str">
        <f t="shared" si="285"/>
        <v>Milwaukee Brewers</v>
      </c>
      <c r="I3443" s="60">
        <f t="shared" si="286"/>
        <v>2</v>
      </c>
      <c r="J3443" t="str">
        <f t="shared" si="287"/>
        <v>Pittsburgh Pirates</v>
      </c>
      <c r="K3443" s="60">
        <f t="shared" si="288"/>
        <v>12</v>
      </c>
      <c r="L3443">
        <f t="shared" si="289"/>
        <v>-10</v>
      </c>
    </row>
    <row r="3444" spans="1:12" x14ac:dyDescent="0.25">
      <c r="G3444" t="str">
        <f t="shared" si="290"/>
        <v>07/06/19</v>
      </c>
      <c r="H3444" t="str">
        <f t="shared" si="285"/>
        <v/>
      </c>
      <c r="I3444" s="60" t="str">
        <f t="shared" si="286"/>
        <v/>
      </c>
      <c r="J3444" t="str">
        <f t="shared" si="287"/>
        <v/>
      </c>
      <c r="K3444" s="60" t="str">
        <f t="shared" si="288"/>
        <v/>
      </c>
      <c r="L3444" t="str">
        <f t="shared" si="289"/>
        <v/>
      </c>
    </row>
    <row r="3445" spans="1:12" x14ac:dyDescent="0.25">
      <c r="A3445" t="s">
        <v>3142</v>
      </c>
      <c r="G3445" t="str">
        <f t="shared" si="290"/>
        <v>07/06/19</v>
      </c>
      <c r="H3445" t="str">
        <f t="shared" si="285"/>
        <v>Oakland Athletics</v>
      </c>
      <c r="I3445" s="60">
        <f t="shared" si="286"/>
        <v>3</v>
      </c>
      <c r="J3445" t="str">
        <f t="shared" si="287"/>
        <v>Seattle Mariners</v>
      </c>
      <c r="K3445" s="60">
        <f t="shared" si="288"/>
        <v>6</v>
      </c>
      <c r="L3445">
        <f t="shared" si="289"/>
        <v>-3</v>
      </c>
    </row>
    <row r="3446" spans="1:12" x14ac:dyDescent="0.25">
      <c r="G3446" t="str">
        <f t="shared" si="290"/>
        <v>07/06/19</v>
      </c>
      <c r="H3446" t="str">
        <f t="shared" si="285"/>
        <v/>
      </c>
      <c r="I3446" s="60" t="str">
        <f t="shared" si="286"/>
        <v/>
      </c>
      <c r="J3446" t="str">
        <f t="shared" si="287"/>
        <v/>
      </c>
      <c r="K3446" s="60" t="str">
        <f t="shared" si="288"/>
        <v/>
      </c>
      <c r="L3446" t="str">
        <f t="shared" si="289"/>
        <v/>
      </c>
    </row>
    <row r="3447" spans="1:12" x14ac:dyDescent="0.25">
      <c r="A3447" t="s">
        <v>3143</v>
      </c>
      <c r="G3447" t="str">
        <f t="shared" si="290"/>
        <v>07/06/19</v>
      </c>
      <c r="H3447" t="str">
        <f t="shared" si="285"/>
        <v>St. Louis Cardinals</v>
      </c>
      <c r="I3447" s="60">
        <f t="shared" si="286"/>
        <v>4</v>
      </c>
      <c r="J3447" t="str">
        <f t="shared" si="287"/>
        <v>San Francisco Giants</v>
      </c>
      <c r="K3447" s="60">
        <f t="shared" si="288"/>
        <v>8</v>
      </c>
      <c r="L3447">
        <f t="shared" si="289"/>
        <v>-4</v>
      </c>
    </row>
    <row r="3448" spans="1:12" x14ac:dyDescent="0.25">
      <c r="G3448" t="str">
        <f t="shared" si="290"/>
        <v>07/06/19</v>
      </c>
      <c r="H3448" t="str">
        <f t="shared" si="285"/>
        <v/>
      </c>
      <c r="I3448" s="60" t="str">
        <f t="shared" si="286"/>
        <v/>
      </c>
      <c r="J3448" t="str">
        <f t="shared" si="287"/>
        <v/>
      </c>
      <c r="K3448" s="60" t="str">
        <f t="shared" si="288"/>
        <v/>
      </c>
      <c r="L3448" t="str">
        <f t="shared" si="289"/>
        <v/>
      </c>
    </row>
    <row r="3449" spans="1:12" x14ac:dyDescent="0.25">
      <c r="A3449" t="s">
        <v>3144</v>
      </c>
      <c r="G3449" t="str">
        <f t="shared" si="290"/>
        <v>07/06/19</v>
      </c>
      <c r="H3449" t="str">
        <f t="shared" si="285"/>
        <v>New York Yankees</v>
      </c>
      <c r="I3449" s="60">
        <f t="shared" si="286"/>
        <v>3</v>
      </c>
      <c r="J3449" t="str">
        <f t="shared" si="287"/>
        <v>Tampa Bay Rays</v>
      </c>
      <c r="K3449" s="60">
        <f t="shared" si="288"/>
        <v>4</v>
      </c>
      <c r="L3449">
        <f t="shared" si="289"/>
        <v>-1</v>
      </c>
    </row>
    <row r="3450" spans="1:12" x14ac:dyDescent="0.25">
      <c r="G3450" t="str">
        <f t="shared" si="290"/>
        <v>07/06/19</v>
      </c>
      <c r="H3450" t="str">
        <f t="shared" si="285"/>
        <v/>
      </c>
      <c r="I3450" s="60" t="str">
        <f t="shared" si="286"/>
        <v/>
      </c>
      <c r="J3450" t="str">
        <f t="shared" si="287"/>
        <v/>
      </c>
      <c r="K3450" s="60" t="str">
        <f t="shared" si="288"/>
        <v/>
      </c>
      <c r="L3450" t="str">
        <f t="shared" si="289"/>
        <v/>
      </c>
    </row>
    <row r="3451" spans="1:12" x14ac:dyDescent="0.25">
      <c r="A3451" t="s">
        <v>3145</v>
      </c>
      <c r="G3451" t="str">
        <f t="shared" si="290"/>
        <v>07/06/19</v>
      </c>
      <c r="H3451" t="str">
        <f t="shared" si="285"/>
        <v>Baltimore Orioles</v>
      </c>
      <c r="I3451" s="60">
        <f t="shared" si="286"/>
        <v>8</v>
      </c>
      <c r="J3451" t="str">
        <f t="shared" si="287"/>
        <v>Toronto Blue Jays</v>
      </c>
      <c r="K3451" s="60">
        <f t="shared" si="288"/>
        <v>1</v>
      </c>
      <c r="L3451">
        <f t="shared" si="289"/>
        <v>7</v>
      </c>
    </row>
    <row r="3452" spans="1:12" x14ac:dyDescent="0.25">
      <c r="G3452" t="str">
        <f t="shared" si="290"/>
        <v>07/06/19</v>
      </c>
      <c r="H3452" t="str">
        <f t="shared" si="285"/>
        <v/>
      </c>
      <c r="I3452" s="60" t="str">
        <f t="shared" si="286"/>
        <v/>
      </c>
      <c r="J3452" t="str">
        <f t="shared" si="287"/>
        <v/>
      </c>
      <c r="K3452" s="60" t="str">
        <f t="shared" si="288"/>
        <v/>
      </c>
      <c r="L3452" t="str">
        <f t="shared" si="289"/>
        <v/>
      </c>
    </row>
    <row r="3453" spans="1:12" x14ac:dyDescent="0.25">
      <c r="A3453" t="s">
        <v>3146</v>
      </c>
      <c r="G3453" t="str">
        <f t="shared" si="290"/>
        <v>07/06/19</v>
      </c>
      <c r="H3453" t="str">
        <f t="shared" si="285"/>
        <v>Kansas City Royals</v>
      </c>
      <c r="I3453" s="60">
        <f t="shared" si="286"/>
        <v>0</v>
      </c>
      <c r="J3453" t="str">
        <f t="shared" si="287"/>
        <v>Washington Nationals</v>
      </c>
      <c r="K3453" s="60">
        <f t="shared" si="288"/>
        <v>6</v>
      </c>
      <c r="L3453">
        <f t="shared" si="289"/>
        <v>-6</v>
      </c>
    </row>
    <row r="3454" spans="1:12" x14ac:dyDescent="0.25">
      <c r="G3454" t="str">
        <f t="shared" si="290"/>
        <v>07/06/19</v>
      </c>
      <c r="H3454" t="str">
        <f t="shared" si="285"/>
        <v/>
      </c>
      <c r="I3454" s="60" t="str">
        <f t="shared" si="286"/>
        <v/>
      </c>
      <c r="J3454" t="str">
        <f t="shared" si="287"/>
        <v/>
      </c>
      <c r="K3454" s="60" t="str">
        <f t="shared" si="288"/>
        <v/>
      </c>
      <c r="L3454" t="str">
        <f t="shared" si="289"/>
        <v/>
      </c>
    </row>
    <row r="3455" spans="1:12" x14ac:dyDescent="0.25">
      <c r="A3455" t="s">
        <v>3147</v>
      </c>
      <c r="G3455" t="str">
        <f t="shared" si="290"/>
        <v>07/06/19</v>
      </c>
      <c r="H3455" t="str">
        <f t="shared" si="285"/>
        <v/>
      </c>
      <c r="I3455" s="60" t="str">
        <f t="shared" si="286"/>
        <v/>
      </c>
      <c r="J3455" t="str">
        <f t="shared" si="287"/>
        <v/>
      </c>
      <c r="K3455" s="60" t="str">
        <f t="shared" si="288"/>
        <v/>
      </c>
      <c r="L3455" t="str">
        <f t="shared" si="289"/>
        <v/>
      </c>
    </row>
    <row r="3456" spans="1:12" x14ac:dyDescent="0.25">
      <c r="G3456" t="str">
        <f t="shared" si="290"/>
        <v>07/06/19</v>
      </c>
      <c r="H3456" t="str">
        <f t="shared" si="285"/>
        <v/>
      </c>
      <c r="I3456" s="60" t="str">
        <f t="shared" si="286"/>
        <v/>
      </c>
      <c r="J3456" t="str">
        <f t="shared" si="287"/>
        <v/>
      </c>
      <c r="K3456" s="60" t="str">
        <f t="shared" si="288"/>
        <v/>
      </c>
      <c r="L3456" t="str">
        <f t="shared" si="289"/>
        <v/>
      </c>
    </row>
    <row r="3457" spans="1:12" x14ac:dyDescent="0.25">
      <c r="A3457" t="s">
        <v>3148</v>
      </c>
      <c r="G3457" t="str">
        <f t="shared" si="290"/>
        <v>07/07/19</v>
      </c>
      <c r="H3457" t="str">
        <f t="shared" si="285"/>
        <v/>
      </c>
      <c r="I3457" s="60" t="str">
        <f t="shared" si="286"/>
        <v/>
      </c>
      <c r="J3457" t="str">
        <f t="shared" si="287"/>
        <v/>
      </c>
      <c r="K3457" s="60" t="str">
        <f t="shared" si="288"/>
        <v/>
      </c>
      <c r="L3457" t="str">
        <f t="shared" si="289"/>
        <v/>
      </c>
    </row>
    <row r="3458" spans="1:12" x14ac:dyDescent="0.25">
      <c r="G3458" t="str">
        <f t="shared" si="290"/>
        <v>07/07/19</v>
      </c>
      <c r="H3458" t="str">
        <f t="shared" si="285"/>
        <v/>
      </c>
      <c r="I3458" s="60" t="str">
        <f t="shared" si="286"/>
        <v/>
      </c>
      <c r="J3458" t="str">
        <f t="shared" si="287"/>
        <v/>
      </c>
      <c r="K3458" s="60" t="str">
        <f t="shared" si="288"/>
        <v/>
      </c>
      <c r="L3458" t="str">
        <f t="shared" si="289"/>
        <v/>
      </c>
    </row>
    <row r="3459" spans="1:12" x14ac:dyDescent="0.25">
      <c r="A3459" t="s">
        <v>3149</v>
      </c>
      <c r="G3459" t="str">
        <f t="shared" si="290"/>
        <v>07/07/19</v>
      </c>
      <c r="H3459" t="str">
        <f t="shared" si="285"/>
        <v>Colorado Rockies</v>
      </c>
      <c r="I3459" s="60">
        <f t="shared" si="286"/>
        <v>3</v>
      </c>
      <c r="J3459" t="str">
        <f t="shared" si="287"/>
        <v>Arizona D'Backs</v>
      </c>
      <c r="K3459" s="60">
        <f t="shared" si="288"/>
        <v>5</v>
      </c>
      <c r="L3459">
        <f t="shared" si="289"/>
        <v>-2</v>
      </c>
    </row>
    <row r="3460" spans="1:12" x14ac:dyDescent="0.25">
      <c r="G3460" t="str">
        <f t="shared" si="290"/>
        <v>07/07/19</v>
      </c>
      <c r="H3460" t="str">
        <f t="shared" si="285"/>
        <v/>
      </c>
      <c r="I3460" s="60" t="str">
        <f t="shared" si="286"/>
        <v/>
      </c>
      <c r="J3460" t="str">
        <f t="shared" si="287"/>
        <v/>
      </c>
      <c r="K3460" s="60" t="str">
        <f t="shared" si="288"/>
        <v/>
      </c>
      <c r="L3460" t="str">
        <f t="shared" si="289"/>
        <v/>
      </c>
    </row>
    <row r="3461" spans="1:12" x14ac:dyDescent="0.25">
      <c r="A3461" t="s">
        <v>1789</v>
      </c>
      <c r="G3461" t="str">
        <f t="shared" si="290"/>
        <v>07/07/19</v>
      </c>
      <c r="H3461" t="str">
        <f t="shared" si="285"/>
        <v>Miami Marlins</v>
      </c>
      <c r="I3461" s="60">
        <f t="shared" si="286"/>
        <v>3</v>
      </c>
      <c r="J3461" t="str">
        <f t="shared" si="287"/>
        <v>Atlanta Braves</v>
      </c>
      <c r="K3461" s="60">
        <f t="shared" si="288"/>
        <v>4</v>
      </c>
      <c r="L3461">
        <f t="shared" si="289"/>
        <v>-1</v>
      </c>
    </row>
    <row r="3462" spans="1:12" x14ac:dyDescent="0.25">
      <c r="G3462" t="str">
        <f t="shared" si="290"/>
        <v>07/07/19</v>
      </c>
      <c r="H3462" t="str">
        <f t="shared" si="285"/>
        <v/>
      </c>
      <c r="I3462" s="60" t="str">
        <f t="shared" si="286"/>
        <v/>
      </c>
      <c r="J3462" t="str">
        <f t="shared" si="287"/>
        <v/>
      </c>
      <c r="K3462" s="60" t="str">
        <f t="shared" si="288"/>
        <v/>
      </c>
      <c r="L3462" t="str">
        <f t="shared" si="289"/>
        <v/>
      </c>
    </row>
    <row r="3463" spans="1:12" x14ac:dyDescent="0.25">
      <c r="A3463" t="s">
        <v>3150</v>
      </c>
      <c r="G3463" t="str">
        <f t="shared" si="290"/>
        <v>07/07/19</v>
      </c>
      <c r="H3463" t="str">
        <f t="shared" si="285"/>
        <v>Chicago Cubs</v>
      </c>
      <c r="I3463" s="60">
        <f t="shared" si="286"/>
        <v>1</v>
      </c>
      <c r="J3463" t="str">
        <f t="shared" si="287"/>
        <v>Chicago White Sox</v>
      </c>
      <c r="K3463" s="60">
        <f t="shared" si="288"/>
        <v>3</v>
      </c>
      <c r="L3463">
        <f t="shared" si="289"/>
        <v>-2</v>
      </c>
    </row>
    <row r="3464" spans="1:12" x14ac:dyDescent="0.25">
      <c r="G3464" t="str">
        <f t="shared" si="290"/>
        <v>07/07/19</v>
      </c>
      <c r="H3464" t="str">
        <f t="shared" si="285"/>
        <v/>
      </c>
      <c r="I3464" s="60" t="str">
        <f t="shared" si="286"/>
        <v/>
      </c>
      <c r="J3464" t="str">
        <f t="shared" si="287"/>
        <v/>
      </c>
      <c r="K3464" s="60" t="str">
        <f t="shared" si="288"/>
        <v/>
      </c>
      <c r="L3464" t="str">
        <f t="shared" si="289"/>
        <v/>
      </c>
    </row>
    <row r="3465" spans="1:12" x14ac:dyDescent="0.25">
      <c r="A3465" t="s">
        <v>3151</v>
      </c>
      <c r="G3465" t="str">
        <f t="shared" si="290"/>
        <v>07/07/19</v>
      </c>
      <c r="H3465" t="str">
        <f t="shared" si="285"/>
        <v>Cleveland Indians</v>
      </c>
      <c r="I3465" s="60">
        <f t="shared" si="286"/>
        <v>11</v>
      </c>
      <c r="J3465" t="str">
        <f t="shared" si="287"/>
        <v>Cincinnati Reds</v>
      </c>
      <c r="K3465" s="60">
        <f t="shared" si="288"/>
        <v>1</v>
      </c>
      <c r="L3465">
        <f t="shared" si="289"/>
        <v>10</v>
      </c>
    </row>
    <row r="3466" spans="1:12" x14ac:dyDescent="0.25">
      <c r="G3466" t="str">
        <f t="shared" si="290"/>
        <v>07/07/19</v>
      </c>
      <c r="H3466" t="str">
        <f t="shared" si="285"/>
        <v/>
      </c>
      <c r="I3466" s="60" t="str">
        <f t="shared" si="286"/>
        <v/>
      </c>
      <c r="J3466" t="str">
        <f t="shared" si="287"/>
        <v/>
      </c>
      <c r="K3466" s="60" t="str">
        <f t="shared" si="288"/>
        <v/>
      </c>
      <c r="L3466" t="str">
        <f t="shared" si="289"/>
        <v/>
      </c>
    </row>
    <row r="3467" spans="1:12" x14ac:dyDescent="0.25">
      <c r="A3467" t="s">
        <v>3152</v>
      </c>
      <c r="G3467" t="str">
        <f t="shared" si="290"/>
        <v>07/07/19</v>
      </c>
      <c r="H3467" t="str">
        <f t="shared" si="285"/>
        <v>Boston Red Sox</v>
      </c>
      <c r="I3467" s="60">
        <f t="shared" si="286"/>
        <v>6</v>
      </c>
      <c r="J3467" t="str">
        <f t="shared" si="287"/>
        <v>Detroit Tigers</v>
      </c>
      <c r="K3467" s="60">
        <f t="shared" si="288"/>
        <v>3</v>
      </c>
      <c r="L3467">
        <f t="shared" si="289"/>
        <v>3</v>
      </c>
    </row>
    <row r="3468" spans="1:12" x14ac:dyDescent="0.25">
      <c r="G3468" t="str">
        <f t="shared" si="290"/>
        <v>07/07/19</v>
      </c>
      <c r="H3468" t="str">
        <f t="shared" si="285"/>
        <v/>
      </c>
      <c r="I3468" s="60" t="str">
        <f t="shared" si="286"/>
        <v/>
      </c>
      <c r="J3468" t="str">
        <f t="shared" si="287"/>
        <v/>
      </c>
      <c r="K3468" s="60" t="str">
        <f t="shared" si="288"/>
        <v/>
      </c>
      <c r="L3468" t="str">
        <f t="shared" si="289"/>
        <v/>
      </c>
    </row>
    <row r="3469" spans="1:12" x14ac:dyDescent="0.25">
      <c r="A3469" t="s">
        <v>3153</v>
      </c>
      <c r="G3469" t="str">
        <f t="shared" si="290"/>
        <v>07/07/19</v>
      </c>
      <c r="H3469" t="str">
        <f t="shared" si="285"/>
        <v>Los Angeles Angels</v>
      </c>
      <c r="I3469" s="60">
        <f t="shared" si="286"/>
        <v>10</v>
      </c>
      <c r="J3469" t="str">
        <f t="shared" si="287"/>
        <v>Houston Astros</v>
      </c>
      <c r="K3469" s="60">
        <f t="shared" si="288"/>
        <v>11</v>
      </c>
      <c r="L3469">
        <f t="shared" si="289"/>
        <v>-1</v>
      </c>
    </row>
    <row r="3470" spans="1:12" x14ac:dyDescent="0.25">
      <c r="G3470" t="str">
        <f t="shared" si="290"/>
        <v>07/07/19</v>
      </c>
      <c r="H3470" t="str">
        <f t="shared" si="285"/>
        <v/>
      </c>
      <c r="I3470" s="60" t="str">
        <f t="shared" si="286"/>
        <v/>
      </c>
      <c r="J3470" t="str">
        <f t="shared" si="287"/>
        <v/>
      </c>
      <c r="K3470" s="60" t="str">
        <f t="shared" si="288"/>
        <v/>
      </c>
      <c r="L3470" t="str">
        <f t="shared" si="289"/>
        <v/>
      </c>
    </row>
    <row r="3471" spans="1:12" x14ac:dyDescent="0.25">
      <c r="A3471" t="s">
        <v>3154</v>
      </c>
      <c r="G3471" t="str">
        <f t="shared" si="290"/>
        <v>07/07/19</v>
      </c>
      <c r="H3471" t="str">
        <f t="shared" si="285"/>
        <v>San Diego Padres</v>
      </c>
      <c r="I3471" s="60">
        <f t="shared" si="286"/>
        <v>5</v>
      </c>
      <c r="J3471" t="str">
        <f t="shared" si="287"/>
        <v>Los Angeles Dodgers</v>
      </c>
      <c r="K3471" s="60">
        <f t="shared" si="288"/>
        <v>3</v>
      </c>
      <c r="L3471">
        <f t="shared" si="289"/>
        <v>2</v>
      </c>
    </row>
    <row r="3472" spans="1:12" x14ac:dyDescent="0.25">
      <c r="G3472" t="str">
        <f t="shared" si="290"/>
        <v>07/07/19</v>
      </c>
      <c r="H3472" t="str">
        <f t="shared" ref="H3472:H3535" si="291">IFERROR(LEFT(MID(A3472,1,SEARCH("@",A3472)-2),SEARCH("(",A3472)-2),"")</f>
        <v/>
      </c>
      <c r="I3472" s="60" t="str">
        <f t="shared" ref="I3472:I3535" si="292">IFERROR(VALUE(MID(A3472,SEARCH("(",A3472)+1,SEARCH(")",A3472)-SEARCH("(",A3472)-1)),"")</f>
        <v/>
      </c>
      <c r="J3472" t="str">
        <f t="shared" ref="J3472:J3535" si="293">IFERROR(MID(A3472,SEARCH("@",A3472)+2,SEARCH("(",A3472,SEARCH("@",A3472))-SEARCH("@",A3472)-3),"")</f>
        <v/>
      </c>
      <c r="K3472" s="60" t="str">
        <f t="shared" ref="K3472:K3535" si="294">IFERROR(VALUE(MID(A3472,SEARCH(J3472,A3472)+LEN(J3472)+2,(SEARCH(")",A3472,SEARCH("@",A3472))-SEARCH("(",A3472,SEARCH("@",A3472))-1))),"")</f>
        <v/>
      </c>
      <c r="L3472" t="str">
        <f t="shared" ref="L3472:L3535" si="295">IFERROR(I3472-K3472,"")</f>
        <v/>
      </c>
    </row>
    <row r="3473" spans="1:12" x14ac:dyDescent="0.25">
      <c r="A3473" t="s">
        <v>3155</v>
      </c>
      <c r="G3473" t="str">
        <f t="shared" si="290"/>
        <v>07/07/19</v>
      </c>
      <c r="H3473" t="str">
        <f t="shared" si="291"/>
        <v>Texas Rangers</v>
      </c>
      <c r="I3473" s="60">
        <f t="shared" si="292"/>
        <v>4</v>
      </c>
      <c r="J3473" t="str">
        <f t="shared" si="293"/>
        <v>Minnesota Twins</v>
      </c>
      <c r="K3473" s="60">
        <f t="shared" si="294"/>
        <v>1</v>
      </c>
      <c r="L3473">
        <f t="shared" si="295"/>
        <v>3</v>
      </c>
    </row>
    <row r="3474" spans="1:12" x14ac:dyDescent="0.25">
      <c r="G3474" t="str">
        <f t="shared" si="290"/>
        <v>07/07/19</v>
      </c>
      <c r="H3474" t="str">
        <f t="shared" si="291"/>
        <v/>
      </c>
      <c r="I3474" s="60" t="str">
        <f t="shared" si="292"/>
        <v/>
      </c>
      <c r="J3474" t="str">
        <f t="shared" si="293"/>
        <v/>
      </c>
      <c r="K3474" s="60" t="str">
        <f t="shared" si="294"/>
        <v/>
      </c>
      <c r="L3474" t="str">
        <f t="shared" si="295"/>
        <v/>
      </c>
    </row>
    <row r="3475" spans="1:12" x14ac:dyDescent="0.25">
      <c r="A3475" t="s">
        <v>3156</v>
      </c>
      <c r="G3475" t="str">
        <f t="shared" si="290"/>
        <v>07/07/19</v>
      </c>
      <c r="H3475" t="str">
        <f t="shared" si="291"/>
        <v>Philadelphia Phillies</v>
      </c>
      <c r="I3475" s="60">
        <f t="shared" si="292"/>
        <v>8</v>
      </c>
      <c r="J3475" t="str">
        <f t="shared" si="293"/>
        <v>New York Mets</v>
      </c>
      <c r="K3475" s="60">
        <f t="shared" si="294"/>
        <v>3</v>
      </c>
      <c r="L3475">
        <f t="shared" si="295"/>
        <v>5</v>
      </c>
    </row>
    <row r="3476" spans="1:12" x14ac:dyDescent="0.25">
      <c r="G3476" t="str">
        <f t="shared" si="290"/>
        <v>07/07/19</v>
      </c>
      <c r="H3476" t="str">
        <f t="shared" si="291"/>
        <v/>
      </c>
      <c r="I3476" s="60" t="str">
        <f t="shared" si="292"/>
        <v/>
      </c>
      <c r="J3476" t="str">
        <f t="shared" si="293"/>
        <v/>
      </c>
      <c r="K3476" s="60" t="str">
        <f t="shared" si="294"/>
        <v/>
      </c>
      <c r="L3476" t="str">
        <f t="shared" si="295"/>
        <v/>
      </c>
    </row>
    <row r="3477" spans="1:12" x14ac:dyDescent="0.25">
      <c r="A3477" t="s">
        <v>3157</v>
      </c>
      <c r="G3477" t="str">
        <f t="shared" si="290"/>
        <v>07/07/19</v>
      </c>
      <c r="H3477" t="str">
        <f t="shared" si="291"/>
        <v>Milwaukee Brewers</v>
      </c>
      <c r="I3477" s="60">
        <f t="shared" si="292"/>
        <v>5</v>
      </c>
      <c r="J3477" t="str">
        <f t="shared" si="293"/>
        <v>Pittsburgh Pirates</v>
      </c>
      <c r="K3477" s="60">
        <f t="shared" si="294"/>
        <v>6</v>
      </c>
      <c r="L3477">
        <f t="shared" si="295"/>
        <v>-1</v>
      </c>
    </row>
    <row r="3478" spans="1:12" x14ac:dyDescent="0.25">
      <c r="G3478" t="str">
        <f t="shared" si="290"/>
        <v>07/07/19</v>
      </c>
      <c r="H3478" t="str">
        <f t="shared" si="291"/>
        <v/>
      </c>
      <c r="I3478" s="60" t="str">
        <f t="shared" si="292"/>
        <v/>
      </c>
      <c r="J3478" t="str">
        <f t="shared" si="293"/>
        <v/>
      </c>
      <c r="K3478" s="60" t="str">
        <f t="shared" si="294"/>
        <v/>
      </c>
      <c r="L3478" t="str">
        <f t="shared" si="295"/>
        <v/>
      </c>
    </row>
    <row r="3479" spans="1:12" x14ac:dyDescent="0.25">
      <c r="A3479" t="s">
        <v>3158</v>
      </c>
      <c r="G3479" t="str">
        <f t="shared" si="290"/>
        <v>07/07/19</v>
      </c>
      <c r="H3479" t="str">
        <f t="shared" si="291"/>
        <v>Oakland Athletics</v>
      </c>
      <c r="I3479" s="60">
        <f t="shared" si="292"/>
        <v>7</v>
      </c>
      <c r="J3479" t="str">
        <f t="shared" si="293"/>
        <v>Seattle Mariners</v>
      </c>
      <c r="K3479" s="60">
        <f t="shared" si="294"/>
        <v>4</v>
      </c>
      <c r="L3479">
        <f t="shared" si="295"/>
        <v>3</v>
      </c>
    </row>
    <row r="3480" spans="1:12" x14ac:dyDescent="0.25">
      <c r="G3480" t="str">
        <f t="shared" si="290"/>
        <v>07/07/19</v>
      </c>
      <c r="H3480" t="str">
        <f t="shared" si="291"/>
        <v/>
      </c>
      <c r="I3480" s="60" t="str">
        <f t="shared" si="292"/>
        <v/>
      </c>
      <c r="J3480" t="str">
        <f t="shared" si="293"/>
        <v/>
      </c>
      <c r="K3480" s="60" t="str">
        <f t="shared" si="294"/>
        <v/>
      </c>
      <c r="L3480" t="str">
        <f t="shared" si="295"/>
        <v/>
      </c>
    </row>
    <row r="3481" spans="1:12" x14ac:dyDescent="0.25">
      <c r="A3481" t="s">
        <v>3159</v>
      </c>
      <c r="G3481" t="str">
        <f t="shared" si="290"/>
        <v>07/07/19</v>
      </c>
      <c r="H3481" t="str">
        <f t="shared" si="291"/>
        <v>St. Louis Cardinals</v>
      </c>
      <c r="I3481" s="60">
        <f t="shared" si="292"/>
        <v>0</v>
      </c>
      <c r="J3481" t="str">
        <f t="shared" si="293"/>
        <v>San Francisco Giants</v>
      </c>
      <c r="K3481" s="60">
        <f t="shared" si="294"/>
        <v>1</v>
      </c>
      <c r="L3481">
        <f t="shared" si="295"/>
        <v>-1</v>
      </c>
    </row>
    <row r="3482" spans="1:12" x14ac:dyDescent="0.25">
      <c r="G3482" t="str">
        <f t="shared" si="290"/>
        <v>07/07/19</v>
      </c>
      <c r="H3482" t="str">
        <f t="shared" si="291"/>
        <v/>
      </c>
      <c r="I3482" s="60" t="str">
        <f t="shared" si="292"/>
        <v/>
      </c>
      <c r="J3482" t="str">
        <f t="shared" si="293"/>
        <v/>
      </c>
      <c r="K3482" s="60" t="str">
        <f t="shared" si="294"/>
        <v/>
      </c>
      <c r="L3482" t="str">
        <f t="shared" si="295"/>
        <v/>
      </c>
    </row>
    <row r="3483" spans="1:12" x14ac:dyDescent="0.25">
      <c r="A3483" t="s">
        <v>3160</v>
      </c>
      <c r="G3483" t="str">
        <f t="shared" si="290"/>
        <v>07/07/19</v>
      </c>
      <c r="H3483" t="str">
        <f t="shared" si="291"/>
        <v>New York Yankees</v>
      </c>
      <c r="I3483" s="60">
        <f t="shared" si="292"/>
        <v>1</v>
      </c>
      <c r="J3483" t="str">
        <f t="shared" si="293"/>
        <v>Tampa Bay Rays</v>
      </c>
      <c r="K3483" s="60">
        <f t="shared" si="294"/>
        <v>2</v>
      </c>
      <c r="L3483">
        <f t="shared" si="295"/>
        <v>-1</v>
      </c>
    </row>
    <row r="3484" spans="1:12" x14ac:dyDescent="0.25">
      <c r="G3484" t="str">
        <f t="shared" si="290"/>
        <v>07/07/19</v>
      </c>
      <c r="H3484" t="str">
        <f t="shared" si="291"/>
        <v/>
      </c>
      <c r="I3484" s="60" t="str">
        <f t="shared" si="292"/>
        <v/>
      </c>
      <c r="J3484" t="str">
        <f t="shared" si="293"/>
        <v/>
      </c>
      <c r="K3484" s="60" t="str">
        <f t="shared" si="294"/>
        <v/>
      </c>
      <c r="L3484" t="str">
        <f t="shared" si="295"/>
        <v/>
      </c>
    </row>
    <row r="3485" spans="1:12" x14ac:dyDescent="0.25">
      <c r="A3485" t="s">
        <v>3161</v>
      </c>
      <c r="G3485" t="str">
        <f t="shared" si="290"/>
        <v>07/07/19</v>
      </c>
      <c r="H3485" t="str">
        <f t="shared" si="291"/>
        <v>Baltimore Orioles</v>
      </c>
      <c r="I3485" s="60">
        <f t="shared" si="292"/>
        <v>1</v>
      </c>
      <c r="J3485" t="str">
        <f t="shared" si="293"/>
        <v>Toronto Blue Jays</v>
      </c>
      <c r="K3485" s="60">
        <f t="shared" si="294"/>
        <v>6</v>
      </c>
      <c r="L3485">
        <f t="shared" si="295"/>
        <v>-5</v>
      </c>
    </row>
    <row r="3486" spans="1:12" x14ac:dyDescent="0.25">
      <c r="G3486" t="str">
        <f t="shared" si="290"/>
        <v>07/07/19</v>
      </c>
      <c r="H3486" t="str">
        <f t="shared" si="291"/>
        <v/>
      </c>
      <c r="I3486" s="60" t="str">
        <f t="shared" si="292"/>
        <v/>
      </c>
      <c r="J3486" t="str">
        <f t="shared" si="293"/>
        <v/>
      </c>
      <c r="K3486" s="60" t="str">
        <f t="shared" si="294"/>
        <v/>
      </c>
      <c r="L3486" t="str">
        <f t="shared" si="295"/>
        <v/>
      </c>
    </row>
    <row r="3487" spans="1:12" x14ac:dyDescent="0.25">
      <c r="A3487" t="s">
        <v>3162</v>
      </c>
      <c r="G3487" t="str">
        <f t="shared" si="290"/>
        <v>07/07/19</v>
      </c>
      <c r="H3487" t="str">
        <f t="shared" si="291"/>
        <v>Kansas City Royals</v>
      </c>
      <c r="I3487" s="60">
        <f t="shared" si="292"/>
        <v>2</v>
      </c>
      <c r="J3487" t="str">
        <f t="shared" si="293"/>
        <v>Washington Nationals</v>
      </c>
      <c r="K3487" s="60">
        <f t="shared" si="294"/>
        <v>5</v>
      </c>
      <c r="L3487">
        <f t="shared" si="295"/>
        <v>-3</v>
      </c>
    </row>
    <row r="3488" spans="1:12" x14ac:dyDescent="0.25">
      <c r="G3488" t="str">
        <f t="shared" si="290"/>
        <v>07/07/19</v>
      </c>
      <c r="H3488" t="str">
        <f t="shared" si="291"/>
        <v/>
      </c>
      <c r="I3488" s="60" t="str">
        <f t="shared" si="292"/>
        <v/>
      </c>
      <c r="J3488" t="str">
        <f t="shared" si="293"/>
        <v/>
      </c>
      <c r="K3488" s="60" t="str">
        <f t="shared" si="294"/>
        <v/>
      </c>
      <c r="L3488" t="str">
        <f t="shared" si="295"/>
        <v/>
      </c>
    </row>
    <row r="3489" spans="1:12" x14ac:dyDescent="0.25">
      <c r="A3489" t="s">
        <v>3163</v>
      </c>
      <c r="G3489" t="str">
        <f t="shared" si="290"/>
        <v>07/07/19</v>
      </c>
      <c r="H3489" t="str">
        <f t="shared" si="291"/>
        <v/>
      </c>
      <c r="I3489" s="60" t="str">
        <f t="shared" si="292"/>
        <v/>
      </c>
      <c r="J3489" t="str">
        <f t="shared" si="293"/>
        <v/>
      </c>
      <c r="K3489" s="60" t="str">
        <f t="shared" si="294"/>
        <v/>
      </c>
      <c r="L3489" t="str">
        <f t="shared" si="295"/>
        <v/>
      </c>
    </row>
    <row r="3490" spans="1:12" x14ac:dyDescent="0.25">
      <c r="G3490" t="str">
        <f t="shared" ref="G3490:G3553" si="296">IF(ISNUMBER(MATCH(IFERROR(LEFT(A3490,SEARCH(",",A3490)-1),""),$G$220:$M$220,0)),TEXT(MID(A3490,SEARCH(",",A3490)+2,LEN(A3490)),"mm/dd/yy"),G3489)</f>
        <v>07/07/19</v>
      </c>
      <c r="H3490" t="str">
        <f t="shared" si="291"/>
        <v/>
      </c>
      <c r="I3490" s="60" t="str">
        <f t="shared" si="292"/>
        <v/>
      </c>
      <c r="J3490" t="str">
        <f t="shared" si="293"/>
        <v/>
      </c>
      <c r="K3490" s="60" t="str">
        <f t="shared" si="294"/>
        <v/>
      </c>
      <c r="L3490" t="str">
        <f t="shared" si="295"/>
        <v/>
      </c>
    </row>
    <row r="3491" spans="1:12" x14ac:dyDescent="0.25">
      <c r="A3491" t="s">
        <v>3164</v>
      </c>
      <c r="G3491" t="str">
        <f t="shared" si="296"/>
        <v>07/11/19</v>
      </c>
      <c r="H3491" t="str">
        <f t="shared" si="291"/>
        <v/>
      </c>
      <c r="I3491" s="60" t="str">
        <f t="shared" si="292"/>
        <v/>
      </c>
      <c r="J3491" t="str">
        <f t="shared" si="293"/>
        <v/>
      </c>
      <c r="K3491" s="60" t="str">
        <f t="shared" si="294"/>
        <v/>
      </c>
      <c r="L3491" t="str">
        <f t="shared" si="295"/>
        <v/>
      </c>
    </row>
    <row r="3492" spans="1:12" x14ac:dyDescent="0.25">
      <c r="G3492" t="str">
        <f t="shared" si="296"/>
        <v>07/11/19</v>
      </c>
      <c r="H3492" t="str">
        <f t="shared" si="291"/>
        <v/>
      </c>
      <c r="I3492" s="60" t="str">
        <f t="shared" si="292"/>
        <v/>
      </c>
      <c r="J3492" t="str">
        <f t="shared" si="293"/>
        <v/>
      </c>
      <c r="K3492" s="60" t="str">
        <f t="shared" si="294"/>
        <v/>
      </c>
      <c r="L3492" t="str">
        <f t="shared" si="295"/>
        <v/>
      </c>
    </row>
    <row r="3493" spans="1:12" x14ac:dyDescent="0.25">
      <c r="A3493" t="s">
        <v>3165</v>
      </c>
      <c r="G3493" t="str">
        <f t="shared" si="296"/>
        <v>07/11/19</v>
      </c>
      <c r="H3493" t="str">
        <f t="shared" si="291"/>
        <v>Houston Astros</v>
      </c>
      <c r="I3493" s="60">
        <f t="shared" si="292"/>
        <v>0</v>
      </c>
      <c r="J3493" t="str">
        <f t="shared" si="293"/>
        <v>Texas Rangers</v>
      </c>
      <c r="K3493" s="60">
        <f t="shared" si="294"/>
        <v>5</v>
      </c>
      <c r="L3493">
        <f t="shared" si="295"/>
        <v>-5</v>
      </c>
    </row>
    <row r="3494" spans="1:12" x14ac:dyDescent="0.25">
      <c r="G3494" t="str">
        <f t="shared" si="296"/>
        <v>07/11/19</v>
      </c>
      <c r="H3494" t="str">
        <f t="shared" si="291"/>
        <v/>
      </c>
      <c r="I3494" s="60" t="str">
        <f t="shared" si="292"/>
        <v/>
      </c>
      <c r="J3494" t="str">
        <f t="shared" si="293"/>
        <v/>
      </c>
      <c r="K3494" s="60" t="str">
        <f t="shared" si="294"/>
        <v/>
      </c>
      <c r="L3494" t="str">
        <f t="shared" si="295"/>
        <v/>
      </c>
    </row>
    <row r="3495" spans="1:12" x14ac:dyDescent="0.25">
      <c r="A3495" t="s">
        <v>3166</v>
      </c>
      <c r="G3495" t="str">
        <f t="shared" si="296"/>
        <v>07/11/19</v>
      </c>
      <c r="H3495" t="str">
        <f t="shared" si="291"/>
        <v/>
      </c>
      <c r="I3495" s="60" t="str">
        <f t="shared" si="292"/>
        <v/>
      </c>
      <c r="J3495" t="str">
        <f t="shared" si="293"/>
        <v/>
      </c>
      <c r="K3495" s="60" t="str">
        <f t="shared" si="294"/>
        <v/>
      </c>
      <c r="L3495" t="str">
        <f t="shared" si="295"/>
        <v/>
      </c>
    </row>
    <row r="3496" spans="1:12" x14ac:dyDescent="0.25">
      <c r="G3496" t="str">
        <f t="shared" si="296"/>
        <v>07/11/19</v>
      </c>
      <c r="H3496" t="str">
        <f t="shared" si="291"/>
        <v/>
      </c>
      <c r="I3496" s="60" t="str">
        <f t="shared" si="292"/>
        <v/>
      </c>
      <c r="J3496" t="str">
        <f t="shared" si="293"/>
        <v/>
      </c>
      <c r="K3496" s="60" t="str">
        <f t="shared" si="294"/>
        <v/>
      </c>
      <c r="L3496" t="str">
        <f t="shared" si="295"/>
        <v/>
      </c>
    </row>
    <row r="3497" spans="1:12" x14ac:dyDescent="0.25">
      <c r="A3497" t="s">
        <v>3167</v>
      </c>
      <c r="G3497" t="str">
        <f t="shared" si="296"/>
        <v>07/12/19</v>
      </c>
      <c r="H3497" t="str">
        <f t="shared" si="291"/>
        <v/>
      </c>
      <c r="I3497" s="60" t="str">
        <f t="shared" si="292"/>
        <v/>
      </c>
      <c r="J3497" t="str">
        <f t="shared" si="293"/>
        <v/>
      </c>
      <c r="K3497" s="60" t="str">
        <f t="shared" si="294"/>
        <v/>
      </c>
      <c r="L3497" t="str">
        <f t="shared" si="295"/>
        <v/>
      </c>
    </row>
    <row r="3498" spans="1:12" x14ac:dyDescent="0.25">
      <c r="G3498" t="str">
        <f t="shared" si="296"/>
        <v>07/12/19</v>
      </c>
      <c r="H3498" t="str">
        <f t="shared" si="291"/>
        <v/>
      </c>
      <c r="I3498" s="60" t="str">
        <f t="shared" si="292"/>
        <v/>
      </c>
      <c r="J3498" t="str">
        <f t="shared" si="293"/>
        <v/>
      </c>
      <c r="K3498" s="60" t="str">
        <f t="shared" si="294"/>
        <v/>
      </c>
      <c r="L3498" t="str">
        <f t="shared" si="295"/>
        <v/>
      </c>
    </row>
    <row r="3499" spans="1:12" x14ac:dyDescent="0.25">
      <c r="A3499" t="s">
        <v>3168</v>
      </c>
      <c r="G3499" t="str">
        <f t="shared" si="296"/>
        <v>07/12/19</v>
      </c>
      <c r="H3499" t="str">
        <f t="shared" si="291"/>
        <v>Seattle Mariners</v>
      </c>
      <c r="I3499" s="60">
        <f t="shared" si="292"/>
        <v>0</v>
      </c>
      <c r="J3499" t="str">
        <f t="shared" si="293"/>
        <v>Los Angeles Angels</v>
      </c>
      <c r="K3499" s="60">
        <f t="shared" si="294"/>
        <v>13</v>
      </c>
      <c r="L3499">
        <f t="shared" si="295"/>
        <v>-13</v>
      </c>
    </row>
    <row r="3500" spans="1:12" x14ac:dyDescent="0.25">
      <c r="G3500" t="str">
        <f t="shared" si="296"/>
        <v>07/12/19</v>
      </c>
      <c r="H3500" t="str">
        <f t="shared" si="291"/>
        <v/>
      </c>
      <c r="I3500" s="60" t="str">
        <f t="shared" si="292"/>
        <v/>
      </c>
      <c r="J3500" t="str">
        <f t="shared" si="293"/>
        <v/>
      </c>
      <c r="K3500" s="60" t="str">
        <f t="shared" si="294"/>
        <v/>
      </c>
      <c r="L3500" t="str">
        <f t="shared" si="295"/>
        <v/>
      </c>
    </row>
    <row r="3501" spans="1:12" x14ac:dyDescent="0.25">
      <c r="A3501" t="s">
        <v>3169</v>
      </c>
      <c r="G3501" t="str">
        <f t="shared" si="296"/>
        <v>07/12/19</v>
      </c>
      <c r="H3501" t="str">
        <f t="shared" si="291"/>
        <v>Tampa Bay Rays</v>
      </c>
      <c r="I3501" s="60">
        <f t="shared" si="292"/>
        <v>16</v>
      </c>
      <c r="J3501" t="str">
        <f t="shared" si="293"/>
        <v>Baltimore Orioles</v>
      </c>
      <c r="K3501" s="60">
        <f t="shared" si="294"/>
        <v>4</v>
      </c>
      <c r="L3501">
        <f t="shared" si="295"/>
        <v>12</v>
      </c>
    </row>
    <row r="3502" spans="1:12" x14ac:dyDescent="0.25">
      <c r="G3502" t="str">
        <f t="shared" si="296"/>
        <v>07/12/19</v>
      </c>
      <c r="H3502" t="str">
        <f t="shared" si="291"/>
        <v/>
      </c>
      <c r="I3502" s="60" t="str">
        <f t="shared" si="292"/>
        <v/>
      </c>
      <c r="J3502" t="str">
        <f t="shared" si="293"/>
        <v/>
      </c>
      <c r="K3502" s="60" t="str">
        <f t="shared" si="294"/>
        <v/>
      </c>
      <c r="L3502" t="str">
        <f t="shared" si="295"/>
        <v/>
      </c>
    </row>
    <row r="3503" spans="1:12" x14ac:dyDescent="0.25">
      <c r="A3503" t="s">
        <v>3170</v>
      </c>
      <c r="G3503" t="str">
        <f t="shared" si="296"/>
        <v>07/12/19</v>
      </c>
      <c r="H3503" t="str">
        <f t="shared" si="291"/>
        <v>Los Angeles Dodgers</v>
      </c>
      <c r="I3503" s="60">
        <f t="shared" si="292"/>
        <v>1</v>
      </c>
      <c r="J3503" t="str">
        <f t="shared" si="293"/>
        <v>Boston Red Sox</v>
      </c>
      <c r="K3503" s="60">
        <f t="shared" si="294"/>
        <v>8</v>
      </c>
      <c r="L3503">
        <f t="shared" si="295"/>
        <v>-7</v>
      </c>
    </row>
    <row r="3504" spans="1:12" x14ac:dyDescent="0.25">
      <c r="G3504" t="str">
        <f t="shared" si="296"/>
        <v>07/12/19</v>
      </c>
      <c r="H3504" t="str">
        <f t="shared" si="291"/>
        <v/>
      </c>
      <c r="I3504" s="60" t="str">
        <f t="shared" si="292"/>
        <v/>
      </c>
      <c r="J3504" t="str">
        <f t="shared" si="293"/>
        <v/>
      </c>
      <c r="K3504" s="60" t="str">
        <f t="shared" si="294"/>
        <v/>
      </c>
      <c r="L3504" t="str">
        <f t="shared" si="295"/>
        <v/>
      </c>
    </row>
    <row r="3505" spans="1:12" x14ac:dyDescent="0.25">
      <c r="A3505" t="s">
        <v>3171</v>
      </c>
      <c r="G3505" t="str">
        <f t="shared" si="296"/>
        <v>07/12/19</v>
      </c>
      <c r="H3505" t="str">
        <f t="shared" si="291"/>
        <v>Pittsburgh Pirates</v>
      </c>
      <c r="I3505" s="60">
        <f t="shared" si="292"/>
        <v>3</v>
      </c>
      <c r="J3505" t="str">
        <f t="shared" si="293"/>
        <v>Chicago Cubs</v>
      </c>
      <c r="K3505" s="60">
        <f t="shared" si="294"/>
        <v>4</v>
      </c>
      <c r="L3505">
        <f t="shared" si="295"/>
        <v>-1</v>
      </c>
    </row>
    <row r="3506" spans="1:12" x14ac:dyDescent="0.25">
      <c r="G3506" t="str">
        <f t="shared" si="296"/>
        <v>07/12/19</v>
      </c>
      <c r="H3506" t="str">
        <f t="shared" si="291"/>
        <v/>
      </c>
      <c r="I3506" s="60" t="str">
        <f t="shared" si="292"/>
        <v/>
      </c>
      <c r="J3506" t="str">
        <f t="shared" si="293"/>
        <v/>
      </c>
      <c r="K3506" s="60" t="str">
        <f t="shared" si="294"/>
        <v/>
      </c>
      <c r="L3506" t="str">
        <f t="shared" si="295"/>
        <v/>
      </c>
    </row>
    <row r="3507" spans="1:12" x14ac:dyDescent="0.25">
      <c r="A3507" t="s">
        <v>3172</v>
      </c>
      <c r="G3507" t="str">
        <f t="shared" si="296"/>
        <v>07/12/19</v>
      </c>
      <c r="H3507" t="str">
        <f t="shared" si="291"/>
        <v>Minnesota Twins</v>
      </c>
      <c r="I3507" s="60">
        <f t="shared" si="292"/>
        <v>5</v>
      </c>
      <c r="J3507" t="str">
        <f t="shared" si="293"/>
        <v>Cleveland Indians</v>
      </c>
      <c r="K3507" s="60">
        <f t="shared" si="294"/>
        <v>3</v>
      </c>
      <c r="L3507">
        <f t="shared" si="295"/>
        <v>2</v>
      </c>
    </row>
    <row r="3508" spans="1:12" x14ac:dyDescent="0.25">
      <c r="G3508" t="str">
        <f t="shared" si="296"/>
        <v>07/12/19</v>
      </c>
      <c r="H3508" t="str">
        <f t="shared" si="291"/>
        <v/>
      </c>
      <c r="I3508" s="60" t="str">
        <f t="shared" si="292"/>
        <v/>
      </c>
      <c r="J3508" t="str">
        <f t="shared" si="293"/>
        <v/>
      </c>
      <c r="K3508" s="60" t="str">
        <f t="shared" si="294"/>
        <v/>
      </c>
      <c r="L3508" t="str">
        <f t="shared" si="295"/>
        <v/>
      </c>
    </row>
    <row r="3509" spans="1:12" x14ac:dyDescent="0.25">
      <c r="A3509" t="s">
        <v>3173</v>
      </c>
      <c r="G3509" t="str">
        <f t="shared" si="296"/>
        <v>07/12/19</v>
      </c>
      <c r="H3509" t="str">
        <f t="shared" si="291"/>
        <v>Cincinnati Reds</v>
      </c>
      <c r="I3509" s="60">
        <f t="shared" si="292"/>
        <v>2</v>
      </c>
      <c r="J3509" t="str">
        <f t="shared" si="293"/>
        <v>Colorado Rockies</v>
      </c>
      <c r="K3509" s="60">
        <f t="shared" si="294"/>
        <v>3</v>
      </c>
      <c r="L3509">
        <f t="shared" si="295"/>
        <v>-1</v>
      </c>
    </row>
    <row r="3510" spans="1:12" x14ac:dyDescent="0.25">
      <c r="G3510" t="str">
        <f t="shared" si="296"/>
        <v>07/12/19</v>
      </c>
      <c r="H3510" t="str">
        <f t="shared" si="291"/>
        <v/>
      </c>
      <c r="I3510" s="60" t="str">
        <f t="shared" si="292"/>
        <v/>
      </c>
      <c r="J3510" t="str">
        <f t="shared" si="293"/>
        <v/>
      </c>
      <c r="K3510" s="60" t="str">
        <f t="shared" si="294"/>
        <v/>
      </c>
      <c r="L3510" t="str">
        <f t="shared" si="295"/>
        <v/>
      </c>
    </row>
    <row r="3511" spans="1:12" x14ac:dyDescent="0.25">
      <c r="A3511" t="s">
        <v>3174</v>
      </c>
      <c r="G3511" t="str">
        <f t="shared" si="296"/>
        <v>07/12/19</v>
      </c>
      <c r="H3511" t="str">
        <f t="shared" si="291"/>
        <v>Detroit Tigers</v>
      </c>
      <c r="I3511" s="60">
        <f t="shared" si="292"/>
        <v>5</v>
      </c>
      <c r="J3511" t="str">
        <f t="shared" si="293"/>
        <v>Kansas City Royals</v>
      </c>
      <c r="K3511" s="60">
        <f t="shared" si="294"/>
        <v>8</v>
      </c>
      <c r="L3511">
        <f t="shared" si="295"/>
        <v>-3</v>
      </c>
    </row>
    <row r="3512" spans="1:12" x14ac:dyDescent="0.25">
      <c r="G3512" t="str">
        <f t="shared" si="296"/>
        <v>07/12/19</v>
      </c>
      <c r="H3512" t="str">
        <f t="shared" si="291"/>
        <v/>
      </c>
      <c r="I3512" s="60" t="str">
        <f t="shared" si="292"/>
        <v/>
      </c>
      <c r="J3512" t="str">
        <f t="shared" si="293"/>
        <v/>
      </c>
      <c r="K3512" s="60" t="str">
        <f t="shared" si="294"/>
        <v/>
      </c>
      <c r="L3512" t="str">
        <f t="shared" si="295"/>
        <v/>
      </c>
    </row>
    <row r="3513" spans="1:12" x14ac:dyDescent="0.25">
      <c r="A3513" t="s">
        <v>3175</v>
      </c>
      <c r="G3513" t="str">
        <f t="shared" si="296"/>
        <v>07/12/19</v>
      </c>
      <c r="H3513" t="str">
        <f t="shared" si="291"/>
        <v>New York Mets</v>
      </c>
      <c r="I3513" s="60">
        <f t="shared" si="292"/>
        <v>4</v>
      </c>
      <c r="J3513" t="str">
        <f t="shared" si="293"/>
        <v>Miami Marlins</v>
      </c>
      <c r="K3513" s="60">
        <f t="shared" si="294"/>
        <v>8</v>
      </c>
      <c r="L3513">
        <f t="shared" si="295"/>
        <v>-4</v>
      </c>
    </row>
    <row r="3514" spans="1:12" x14ac:dyDescent="0.25">
      <c r="G3514" t="str">
        <f t="shared" si="296"/>
        <v>07/12/19</v>
      </c>
      <c r="H3514" t="str">
        <f t="shared" si="291"/>
        <v/>
      </c>
      <c r="I3514" s="60" t="str">
        <f t="shared" si="292"/>
        <v/>
      </c>
      <c r="J3514" t="str">
        <f t="shared" si="293"/>
        <v/>
      </c>
      <c r="K3514" s="60" t="str">
        <f t="shared" si="294"/>
        <v/>
      </c>
      <c r="L3514" t="str">
        <f t="shared" si="295"/>
        <v/>
      </c>
    </row>
    <row r="3515" spans="1:12" x14ac:dyDescent="0.25">
      <c r="A3515" t="s">
        <v>3176</v>
      </c>
      <c r="G3515" t="str">
        <f t="shared" si="296"/>
        <v>07/12/19</v>
      </c>
      <c r="H3515" t="str">
        <f t="shared" si="291"/>
        <v>San Francisco Giants</v>
      </c>
      <c r="I3515" s="60">
        <f t="shared" si="292"/>
        <v>10</v>
      </c>
      <c r="J3515" t="str">
        <f t="shared" si="293"/>
        <v>Milwaukee Brewers</v>
      </c>
      <c r="K3515" s="60">
        <f t="shared" si="294"/>
        <v>7</v>
      </c>
      <c r="L3515">
        <f t="shared" si="295"/>
        <v>3</v>
      </c>
    </row>
    <row r="3516" spans="1:12" x14ac:dyDescent="0.25">
      <c r="G3516" t="str">
        <f t="shared" si="296"/>
        <v>07/12/19</v>
      </c>
      <c r="H3516" t="str">
        <f t="shared" si="291"/>
        <v/>
      </c>
      <c r="I3516" s="60" t="str">
        <f t="shared" si="292"/>
        <v/>
      </c>
      <c r="J3516" t="str">
        <f t="shared" si="293"/>
        <v/>
      </c>
      <c r="K3516" s="60" t="str">
        <f t="shared" si="294"/>
        <v/>
      </c>
      <c r="L3516" t="str">
        <f t="shared" si="295"/>
        <v/>
      </c>
    </row>
    <row r="3517" spans="1:12" x14ac:dyDescent="0.25">
      <c r="A3517" t="s">
        <v>3177</v>
      </c>
      <c r="G3517" t="str">
        <f t="shared" si="296"/>
        <v>07/12/19</v>
      </c>
      <c r="H3517" t="str">
        <f t="shared" si="291"/>
        <v>Toronto Blue Jays</v>
      </c>
      <c r="I3517" s="60">
        <f t="shared" si="292"/>
        <v>0</v>
      </c>
      <c r="J3517" t="str">
        <f t="shared" si="293"/>
        <v>New York Yankees</v>
      </c>
      <c r="K3517" s="60">
        <f t="shared" si="294"/>
        <v>4</v>
      </c>
      <c r="L3517">
        <f t="shared" si="295"/>
        <v>-4</v>
      </c>
    </row>
    <row r="3518" spans="1:12" x14ac:dyDescent="0.25">
      <c r="G3518" t="str">
        <f t="shared" si="296"/>
        <v>07/12/19</v>
      </c>
      <c r="H3518" t="str">
        <f t="shared" si="291"/>
        <v/>
      </c>
      <c r="I3518" s="60" t="str">
        <f t="shared" si="292"/>
        <v/>
      </c>
      <c r="J3518" t="str">
        <f t="shared" si="293"/>
        <v/>
      </c>
      <c r="K3518" s="60" t="str">
        <f t="shared" si="294"/>
        <v/>
      </c>
      <c r="L3518" t="str">
        <f t="shared" si="295"/>
        <v/>
      </c>
    </row>
    <row r="3519" spans="1:12" x14ac:dyDescent="0.25">
      <c r="A3519" t="s">
        <v>3178</v>
      </c>
      <c r="G3519" t="str">
        <f t="shared" si="296"/>
        <v>07/12/19</v>
      </c>
      <c r="H3519" t="str">
        <f t="shared" si="291"/>
        <v>Chicago White Sox</v>
      </c>
      <c r="I3519" s="60">
        <f t="shared" si="292"/>
        <v>1</v>
      </c>
      <c r="J3519" t="str">
        <f t="shared" si="293"/>
        <v>Oakland Athletics</v>
      </c>
      <c r="K3519" s="60">
        <f t="shared" si="294"/>
        <v>5</v>
      </c>
      <c r="L3519">
        <f t="shared" si="295"/>
        <v>-4</v>
      </c>
    </row>
    <row r="3520" spans="1:12" x14ac:dyDescent="0.25">
      <c r="G3520" t="str">
        <f t="shared" si="296"/>
        <v>07/12/19</v>
      </c>
      <c r="H3520" t="str">
        <f t="shared" si="291"/>
        <v/>
      </c>
      <c r="I3520" s="60" t="str">
        <f t="shared" si="292"/>
        <v/>
      </c>
      <c r="J3520" t="str">
        <f t="shared" si="293"/>
        <v/>
      </c>
      <c r="K3520" s="60" t="str">
        <f t="shared" si="294"/>
        <v/>
      </c>
      <c r="L3520" t="str">
        <f t="shared" si="295"/>
        <v/>
      </c>
    </row>
    <row r="3521" spans="1:12" x14ac:dyDescent="0.25">
      <c r="A3521" t="s">
        <v>3179</v>
      </c>
      <c r="G3521" t="str">
        <f t="shared" si="296"/>
        <v>07/12/19</v>
      </c>
      <c r="H3521" t="str">
        <f t="shared" si="291"/>
        <v>Washington Nationals</v>
      </c>
      <c r="I3521" s="60">
        <f t="shared" si="292"/>
        <v>4</v>
      </c>
      <c r="J3521" t="str">
        <f t="shared" si="293"/>
        <v>Philadelphia Phillies</v>
      </c>
      <c r="K3521" s="60">
        <f t="shared" si="294"/>
        <v>0</v>
      </c>
      <c r="L3521">
        <f t="shared" si="295"/>
        <v>4</v>
      </c>
    </row>
    <row r="3522" spans="1:12" x14ac:dyDescent="0.25">
      <c r="G3522" t="str">
        <f t="shared" si="296"/>
        <v>07/12/19</v>
      </c>
      <c r="H3522" t="str">
        <f t="shared" si="291"/>
        <v/>
      </c>
      <c r="I3522" s="60" t="str">
        <f t="shared" si="292"/>
        <v/>
      </c>
      <c r="J3522" t="str">
        <f t="shared" si="293"/>
        <v/>
      </c>
      <c r="K3522" s="60" t="str">
        <f t="shared" si="294"/>
        <v/>
      </c>
      <c r="L3522" t="str">
        <f t="shared" si="295"/>
        <v/>
      </c>
    </row>
    <row r="3523" spans="1:12" x14ac:dyDescent="0.25">
      <c r="A3523" t="s">
        <v>3180</v>
      </c>
      <c r="G3523" t="str">
        <f t="shared" si="296"/>
        <v>07/12/19</v>
      </c>
      <c r="H3523" t="str">
        <f t="shared" si="291"/>
        <v>Atlanta Braves</v>
      </c>
      <c r="I3523" s="60">
        <f t="shared" si="292"/>
        <v>5</v>
      </c>
      <c r="J3523" t="str">
        <f t="shared" si="293"/>
        <v>San Diego Padres</v>
      </c>
      <c r="K3523" s="60">
        <f t="shared" si="294"/>
        <v>3</v>
      </c>
      <c r="L3523">
        <f t="shared" si="295"/>
        <v>2</v>
      </c>
    </row>
    <row r="3524" spans="1:12" x14ac:dyDescent="0.25">
      <c r="G3524" t="str">
        <f t="shared" si="296"/>
        <v>07/12/19</v>
      </c>
      <c r="H3524" t="str">
        <f t="shared" si="291"/>
        <v/>
      </c>
      <c r="I3524" s="60" t="str">
        <f t="shared" si="292"/>
        <v/>
      </c>
      <c r="J3524" t="str">
        <f t="shared" si="293"/>
        <v/>
      </c>
      <c r="K3524" s="60" t="str">
        <f t="shared" si="294"/>
        <v/>
      </c>
      <c r="L3524" t="str">
        <f t="shared" si="295"/>
        <v/>
      </c>
    </row>
    <row r="3525" spans="1:12" x14ac:dyDescent="0.25">
      <c r="A3525" t="s">
        <v>3181</v>
      </c>
      <c r="G3525" t="str">
        <f t="shared" si="296"/>
        <v>07/12/19</v>
      </c>
      <c r="H3525" t="str">
        <f t="shared" si="291"/>
        <v>Arizona D'Backs</v>
      </c>
      <c r="I3525" s="60">
        <f t="shared" si="292"/>
        <v>4</v>
      </c>
      <c r="J3525" t="str">
        <f t="shared" si="293"/>
        <v>St. Louis Cardinals</v>
      </c>
      <c r="K3525" s="60">
        <f t="shared" si="294"/>
        <v>2</v>
      </c>
      <c r="L3525">
        <f t="shared" si="295"/>
        <v>2</v>
      </c>
    </row>
    <row r="3526" spans="1:12" x14ac:dyDescent="0.25">
      <c r="G3526" t="str">
        <f t="shared" si="296"/>
        <v>07/12/19</v>
      </c>
      <c r="H3526" t="str">
        <f t="shared" si="291"/>
        <v/>
      </c>
      <c r="I3526" s="60" t="str">
        <f t="shared" si="292"/>
        <v/>
      </c>
      <c r="J3526" t="str">
        <f t="shared" si="293"/>
        <v/>
      </c>
      <c r="K3526" s="60" t="str">
        <f t="shared" si="294"/>
        <v/>
      </c>
      <c r="L3526" t="str">
        <f t="shared" si="295"/>
        <v/>
      </c>
    </row>
    <row r="3527" spans="1:12" x14ac:dyDescent="0.25">
      <c r="A3527" t="s">
        <v>3182</v>
      </c>
      <c r="G3527" t="str">
        <f t="shared" si="296"/>
        <v>07/12/19</v>
      </c>
      <c r="H3527" t="str">
        <f t="shared" si="291"/>
        <v>Houston Astros</v>
      </c>
      <c r="I3527" s="60">
        <f t="shared" si="292"/>
        <v>8</v>
      </c>
      <c r="J3527" t="str">
        <f t="shared" si="293"/>
        <v>Texas Rangers</v>
      </c>
      <c r="K3527" s="60">
        <f t="shared" si="294"/>
        <v>9</v>
      </c>
      <c r="L3527">
        <f t="shared" si="295"/>
        <v>-1</v>
      </c>
    </row>
    <row r="3528" spans="1:12" x14ac:dyDescent="0.25">
      <c r="G3528" t="str">
        <f t="shared" si="296"/>
        <v>07/12/19</v>
      </c>
      <c r="H3528" t="str">
        <f t="shared" si="291"/>
        <v/>
      </c>
      <c r="I3528" s="60" t="str">
        <f t="shared" si="292"/>
        <v/>
      </c>
      <c r="J3528" t="str">
        <f t="shared" si="293"/>
        <v/>
      </c>
      <c r="K3528" s="60" t="str">
        <f t="shared" si="294"/>
        <v/>
      </c>
      <c r="L3528" t="str">
        <f t="shared" si="295"/>
        <v/>
      </c>
    </row>
    <row r="3529" spans="1:12" x14ac:dyDescent="0.25">
      <c r="A3529" t="s">
        <v>3183</v>
      </c>
      <c r="G3529" t="str">
        <f t="shared" si="296"/>
        <v>07/12/19</v>
      </c>
      <c r="H3529" t="str">
        <f t="shared" si="291"/>
        <v/>
      </c>
      <c r="I3529" s="60" t="str">
        <f t="shared" si="292"/>
        <v/>
      </c>
      <c r="J3529" t="str">
        <f t="shared" si="293"/>
        <v/>
      </c>
      <c r="K3529" s="60" t="str">
        <f t="shared" si="294"/>
        <v/>
      </c>
      <c r="L3529" t="str">
        <f t="shared" si="295"/>
        <v/>
      </c>
    </row>
    <row r="3530" spans="1:12" x14ac:dyDescent="0.25">
      <c r="G3530" t="str">
        <f t="shared" si="296"/>
        <v>07/12/19</v>
      </c>
      <c r="H3530" t="str">
        <f t="shared" si="291"/>
        <v/>
      </c>
      <c r="I3530" s="60" t="str">
        <f t="shared" si="292"/>
        <v/>
      </c>
      <c r="J3530" t="str">
        <f t="shared" si="293"/>
        <v/>
      </c>
      <c r="K3530" s="60" t="str">
        <f t="shared" si="294"/>
        <v/>
      </c>
      <c r="L3530" t="str">
        <f t="shared" si="295"/>
        <v/>
      </c>
    </row>
    <row r="3531" spans="1:12" x14ac:dyDescent="0.25">
      <c r="A3531" t="s">
        <v>3184</v>
      </c>
      <c r="G3531" t="str">
        <f t="shared" si="296"/>
        <v>07/13/19</v>
      </c>
      <c r="H3531" t="str">
        <f t="shared" si="291"/>
        <v/>
      </c>
      <c r="I3531" s="60" t="str">
        <f t="shared" si="292"/>
        <v/>
      </c>
      <c r="J3531" t="str">
        <f t="shared" si="293"/>
        <v/>
      </c>
      <c r="K3531" s="60" t="str">
        <f t="shared" si="294"/>
        <v/>
      </c>
      <c r="L3531" t="str">
        <f t="shared" si="295"/>
        <v/>
      </c>
    </row>
    <row r="3532" spans="1:12" x14ac:dyDescent="0.25">
      <c r="G3532" t="str">
        <f t="shared" si="296"/>
        <v>07/13/19</v>
      </c>
      <c r="H3532" t="str">
        <f t="shared" si="291"/>
        <v/>
      </c>
      <c r="I3532" s="60" t="str">
        <f t="shared" si="292"/>
        <v/>
      </c>
      <c r="J3532" t="str">
        <f t="shared" si="293"/>
        <v/>
      </c>
      <c r="K3532" s="60" t="str">
        <f t="shared" si="294"/>
        <v/>
      </c>
      <c r="L3532" t="str">
        <f t="shared" si="295"/>
        <v/>
      </c>
    </row>
    <row r="3533" spans="1:12" x14ac:dyDescent="0.25">
      <c r="A3533" t="s">
        <v>3185</v>
      </c>
      <c r="G3533" t="str">
        <f t="shared" si="296"/>
        <v>07/13/19</v>
      </c>
      <c r="H3533" t="str">
        <f t="shared" si="291"/>
        <v>Seattle Mariners</v>
      </c>
      <c r="I3533" s="60">
        <f t="shared" si="292"/>
        <v>2</v>
      </c>
      <c r="J3533" t="str">
        <f t="shared" si="293"/>
        <v>Los Angeles Angels</v>
      </c>
      <c r="K3533" s="60">
        <f t="shared" si="294"/>
        <v>9</v>
      </c>
      <c r="L3533">
        <f t="shared" si="295"/>
        <v>-7</v>
      </c>
    </row>
    <row r="3534" spans="1:12" x14ac:dyDescent="0.25">
      <c r="G3534" t="str">
        <f t="shared" si="296"/>
        <v>07/13/19</v>
      </c>
      <c r="H3534" t="str">
        <f t="shared" si="291"/>
        <v/>
      </c>
      <c r="I3534" s="60" t="str">
        <f t="shared" si="292"/>
        <v/>
      </c>
      <c r="J3534" t="str">
        <f t="shared" si="293"/>
        <v/>
      </c>
      <c r="K3534" s="60" t="str">
        <f t="shared" si="294"/>
        <v/>
      </c>
      <c r="L3534" t="str">
        <f t="shared" si="295"/>
        <v/>
      </c>
    </row>
    <row r="3535" spans="1:12" x14ac:dyDescent="0.25">
      <c r="A3535" t="s">
        <v>3186</v>
      </c>
      <c r="G3535" t="str">
        <f t="shared" si="296"/>
        <v>07/13/19</v>
      </c>
      <c r="H3535" t="str">
        <f t="shared" si="291"/>
        <v>Tampa Bay Rays</v>
      </c>
      <c r="I3535" s="60">
        <f t="shared" si="292"/>
        <v>1</v>
      </c>
      <c r="J3535" t="str">
        <f t="shared" si="293"/>
        <v>Baltimore Orioles</v>
      </c>
      <c r="K3535" s="60">
        <f t="shared" si="294"/>
        <v>2</v>
      </c>
      <c r="L3535">
        <f t="shared" si="295"/>
        <v>-1</v>
      </c>
    </row>
    <row r="3536" spans="1:12" x14ac:dyDescent="0.25">
      <c r="G3536" t="str">
        <f t="shared" si="296"/>
        <v>07/13/19</v>
      </c>
      <c r="H3536" t="str">
        <f t="shared" ref="H3536:H3599" si="297">IFERROR(LEFT(MID(A3536,1,SEARCH("@",A3536)-2),SEARCH("(",A3536)-2),"")</f>
        <v/>
      </c>
      <c r="I3536" s="60" t="str">
        <f t="shared" ref="I3536:I3599" si="298">IFERROR(VALUE(MID(A3536,SEARCH("(",A3536)+1,SEARCH(")",A3536)-SEARCH("(",A3536)-1)),"")</f>
        <v/>
      </c>
      <c r="J3536" t="str">
        <f t="shared" ref="J3536:J3599" si="299">IFERROR(MID(A3536,SEARCH("@",A3536)+2,SEARCH("(",A3536,SEARCH("@",A3536))-SEARCH("@",A3536)-3),"")</f>
        <v/>
      </c>
      <c r="K3536" s="60" t="str">
        <f t="shared" ref="K3536:K3599" si="300">IFERROR(VALUE(MID(A3536,SEARCH(J3536,A3536)+LEN(J3536)+2,(SEARCH(")",A3536,SEARCH("@",A3536))-SEARCH("(",A3536,SEARCH("@",A3536))-1))),"")</f>
        <v/>
      </c>
      <c r="L3536" t="str">
        <f t="shared" ref="L3536:L3599" si="301">IFERROR(I3536-K3536,"")</f>
        <v/>
      </c>
    </row>
    <row r="3537" spans="1:12" x14ac:dyDescent="0.25">
      <c r="A3537" t="s">
        <v>3187</v>
      </c>
      <c r="G3537" t="str">
        <f t="shared" si="296"/>
        <v>07/13/19</v>
      </c>
      <c r="H3537" t="str">
        <f t="shared" si="297"/>
        <v>Tampa Bay Rays</v>
      </c>
      <c r="I3537" s="60">
        <f t="shared" si="298"/>
        <v>12</v>
      </c>
      <c r="J3537" t="str">
        <f t="shared" si="299"/>
        <v>Baltimore Orioles</v>
      </c>
      <c r="K3537" s="60">
        <f t="shared" si="300"/>
        <v>4</v>
      </c>
      <c r="L3537">
        <f t="shared" si="301"/>
        <v>8</v>
      </c>
    </row>
    <row r="3538" spans="1:12" x14ac:dyDescent="0.25">
      <c r="G3538" t="str">
        <f t="shared" si="296"/>
        <v>07/13/19</v>
      </c>
      <c r="H3538" t="str">
        <f t="shared" si="297"/>
        <v/>
      </c>
      <c r="I3538" s="60" t="str">
        <f t="shared" si="298"/>
        <v/>
      </c>
      <c r="J3538" t="str">
        <f t="shared" si="299"/>
        <v/>
      </c>
      <c r="K3538" s="60" t="str">
        <f t="shared" si="300"/>
        <v/>
      </c>
      <c r="L3538" t="str">
        <f t="shared" si="301"/>
        <v/>
      </c>
    </row>
    <row r="3539" spans="1:12" x14ac:dyDescent="0.25">
      <c r="A3539" t="s">
        <v>3188</v>
      </c>
      <c r="G3539" t="str">
        <f t="shared" si="296"/>
        <v>07/13/19</v>
      </c>
      <c r="H3539" t="str">
        <f t="shared" si="297"/>
        <v>Los Angeles Dodgers</v>
      </c>
      <c r="I3539" s="60">
        <f t="shared" si="298"/>
        <v>11</v>
      </c>
      <c r="J3539" t="str">
        <f t="shared" si="299"/>
        <v>Boston Red Sox</v>
      </c>
      <c r="K3539" s="60">
        <f t="shared" si="300"/>
        <v>2</v>
      </c>
      <c r="L3539">
        <f t="shared" si="301"/>
        <v>9</v>
      </c>
    </row>
    <row r="3540" spans="1:12" x14ac:dyDescent="0.25">
      <c r="G3540" t="str">
        <f t="shared" si="296"/>
        <v>07/13/19</v>
      </c>
      <c r="H3540" t="str">
        <f t="shared" si="297"/>
        <v/>
      </c>
      <c r="I3540" s="60" t="str">
        <f t="shared" si="298"/>
        <v/>
      </c>
      <c r="J3540" t="str">
        <f t="shared" si="299"/>
        <v/>
      </c>
      <c r="K3540" s="60" t="str">
        <f t="shared" si="300"/>
        <v/>
      </c>
      <c r="L3540" t="str">
        <f t="shared" si="301"/>
        <v/>
      </c>
    </row>
    <row r="3541" spans="1:12" x14ac:dyDescent="0.25">
      <c r="A3541" t="s">
        <v>3189</v>
      </c>
      <c r="G3541" t="str">
        <f t="shared" si="296"/>
        <v>07/13/19</v>
      </c>
      <c r="H3541" t="str">
        <f t="shared" si="297"/>
        <v>Pittsburgh Pirates</v>
      </c>
      <c r="I3541" s="60">
        <f t="shared" si="298"/>
        <v>4</v>
      </c>
      <c r="J3541" t="str">
        <f t="shared" si="299"/>
        <v>Chicago Cubs</v>
      </c>
      <c r="K3541" s="60">
        <f t="shared" si="300"/>
        <v>10</v>
      </c>
      <c r="L3541">
        <f t="shared" si="301"/>
        <v>-6</v>
      </c>
    </row>
    <row r="3542" spans="1:12" x14ac:dyDescent="0.25">
      <c r="G3542" t="str">
        <f t="shared" si="296"/>
        <v>07/13/19</v>
      </c>
      <c r="H3542" t="str">
        <f t="shared" si="297"/>
        <v/>
      </c>
      <c r="I3542" s="60" t="str">
        <f t="shared" si="298"/>
        <v/>
      </c>
      <c r="J3542" t="str">
        <f t="shared" si="299"/>
        <v/>
      </c>
      <c r="K3542" s="60" t="str">
        <f t="shared" si="300"/>
        <v/>
      </c>
      <c r="L3542" t="str">
        <f t="shared" si="301"/>
        <v/>
      </c>
    </row>
    <row r="3543" spans="1:12" x14ac:dyDescent="0.25">
      <c r="A3543" t="s">
        <v>3190</v>
      </c>
      <c r="G3543" t="str">
        <f t="shared" si="296"/>
        <v>07/13/19</v>
      </c>
      <c r="H3543" t="str">
        <f t="shared" si="297"/>
        <v>Minnesota Twins</v>
      </c>
      <c r="I3543" s="60">
        <f t="shared" si="298"/>
        <v>6</v>
      </c>
      <c r="J3543" t="str">
        <f t="shared" si="299"/>
        <v>Cleveland Indians</v>
      </c>
      <c r="K3543" s="60">
        <f t="shared" si="300"/>
        <v>2</v>
      </c>
      <c r="L3543">
        <f t="shared" si="301"/>
        <v>4</v>
      </c>
    </row>
    <row r="3544" spans="1:12" x14ac:dyDescent="0.25">
      <c r="G3544" t="str">
        <f t="shared" si="296"/>
        <v>07/13/19</v>
      </c>
      <c r="H3544" t="str">
        <f t="shared" si="297"/>
        <v/>
      </c>
      <c r="I3544" s="60" t="str">
        <f t="shared" si="298"/>
        <v/>
      </c>
      <c r="J3544" t="str">
        <f t="shared" si="299"/>
        <v/>
      </c>
      <c r="K3544" s="60" t="str">
        <f t="shared" si="300"/>
        <v/>
      </c>
      <c r="L3544" t="str">
        <f t="shared" si="301"/>
        <v/>
      </c>
    </row>
    <row r="3545" spans="1:12" x14ac:dyDescent="0.25">
      <c r="A3545" t="s">
        <v>3191</v>
      </c>
      <c r="G3545" t="str">
        <f t="shared" si="296"/>
        <v>07/13/19</v>
      </c>
      <c r="H3545" t="str">
        <f t="shared" si="297"/>
        <v>Cincinnati Reds</v>
      </c>
      <c r="I3545" s="60">
        <f t="shared" si="298"/>
        <v>17</v>
      </c>
      <c r="J3545" t="str">
        <f t="shared" si="299"/>
        <v>Colorado Rockies</v>
      </c>
      <c r="K3545" s="60">
        <f t="shared" si="300"/>
        <v>9</v>
      </c>
      <c r="L3545">
        <f t="shared" si="301"/>
        <v>8</v>
      </c>
    </row>
    <row r="3546" spans="1:12" x14ac:dyDescent="0.25">
      <c r="G3546" t="str">
        <f t="shared" si="296"/>
        <v>07/13/19</v>
      </c>
      <c r="H3546" t="str">
        <f t="shared" si="297"/>
        <v/>
      </c>
      <c r="I3546" s="60" t="str">
        <f t="shared" si="298"/>
        <v/>
      </c>
      <c r="J3546" t="str">
        <f t="shared" si="299"/>
        <v/>
      </c>
      <c r="K3546" s="60" t="str">
        <f t="shared" si="300"/>
        <v/>
      </c>
      <c r="L3546" t="str">
        <f t="shared" si="301"/>
        <v/>
      </c>
    </row>
    <row r="3547" spans="1:12" x14ac:dyDescent="0.25">
      <c r="A3547" t="s">
        <v>3192</v>
      </c>
      <c r="G3547" t="str">
        <f t="shared" si="296"/>
        <v>07/13/19</v>
      </c>
      <c r="H3547" t="str">
        <f t="shared" si="297"/>
        <v>Detroit Tigers</v>
      </c>
      <c r="I3547" s="60">
        <f t="shared" si="298"/>
        <v>1</v>
      </c>
      <c r="J3547" t="str">
        <f t="shared" si="299"/>
        <v>Kansas City Royals</v>
      </c>
      <c r="K3547" s="60">
        <f t="shared" si="300"/>
        <v>4</v>
      </c>
      <c r="L3547">
        <f t="shared" si="301"/>
        <v>-3</v>
      </c>
    </row>
    <row r="3548" spans="1:12" x14ac:dyDescent="0.25">
      <c r="G3548" t="str">
        <f t="shared" si="296"/>
        <v>07/13/19</v>
      </c>
      <c r="H3548" t="str">
        <f t="shared" si="297"/>
        <v/>
      </c>
      <c r="I3548" s="60" t="str">
        <f t="shared" si="298"/>
        <v/>
      </c>
      <c r="J3548" t="str">
        <f t="shared" si="299"/>
        <v/>
      </c>
      <c r="K3548" s="60" t="str">
        <f t="shared" si="300"/>
        <v/>
      </c>
      <c r="L3548" t="str">
        <f t="shared" si="301"/>
        <v/>
      </c>
    </row>
    <row r="3549" spans="1:12" x14ac:dyDescent="0.25">
      <c r="A3549" t="s">
        <v>3193</v>
      </c>
      <c r="G3549" t="str">
        <f t="shared" si="296"/>
        <v>07/13/19</v>
      </c>
      <c r="H3549" t="str">
        <f t="shared" si="297"/>
        <v>New York Mets</v>
      </c>
      <c r="I3549" s="60">
        <f t="shared" si="298"/>
        <v>4</v>
      </c>
      <c r="J3549" t="str">
        <f t="shared" si="299"/>
        <v>Miami Marlins</v>
      </c>
      <c r="K3549" s="60">
        <f t="shared" si="300"/>
        <v>2</v>
      </c>
      <c r="L3549">
        <f t="shared" si="301"/>
        <v>2</v>
      </c>
    </row>
    <row r="3550" spans="1:12" x14ac:dyDescent="0.25">
      <c r="G3550" t="str">
        <f t="shared" si="296"/>
        <v>07/13/19</v>
      </c>
      <c r="H3550" t="str">
        <f t="shared" si="297"/>
        <v/>
      </c>
      <c r="I3550" s="60" t="str">
        <f t="shared" si="298"/>
        <v/>
      </c>
      <c r="J3550" t="str">
        <f t="shared" si="299"/>
        <v/>
      </c>
      <c r="K3550" s="60" t="str">
        <f t="shared" si="300"/>
        <v/>
      </c>
      <c r="L3550" t="str">
        <f t="shared" si="301"/>
        <v/>
      </c>
    </row>
    <row r="3551" spans="1:12" x14ac:dyDescent="0.25">
      <c r="A3551" t="s">
        <v>3194</v>
      </c>
      <c r="G3551" t="str">
        <f t="shared" si="296"/>
        <v>07/13/19</v>
      </c>
      <c r="H3551" t="str">
        <f t="shared" si="297"/>
        <v>San Francisco Giants</v>
      </c>
      <c r="I3551" s="60">
        <f t="shared" si="298"/>
        <v>4</v>
      </c>
      <c r="J3551" t="str">
        <f t="shared" si="299"/>
        <v>Milwaukee Brewers</v>
      </c>
      <c r="K3551" s="60">
        <f t="shared" si="300"/>
        <v>5</v>
      </c>
      <c r="L3551">
        <f t="shared" si="301"/>
        <v>-1</v>
      </c>
    </row>
    <row r="3552" spans="1:12" x14ac:dyDescent="0.25">
      <c r="G3552" t="str">
        <f t="shared" si="296"/>
        <v>07/13/19</v>
      </c>
      <c r="H3552" t="str">
        <f t="shared" si="297"/>
        <v/>
      </c>
      <c r="I3552" s="60" t="str">
        <f t="shared" si="298"/>
        <v/>
      </c>
      <c r="J3552" t="str">
        <f t="shared" si="299"/>
        <v/>
      </c>
      <c r="K3552" s="60" t="str">
        <f t="shared" si="300"/>
        <v/>
      </c>
      <c r="L3552" t="str">
        <f t="shared" si="301"/>
        <v/>
      </c>
    </row>
    <row r="3553" spans="1:12" x14ac:dyDescent="0.25">
      <c r="A3553" t="s">
        <v>3195</v>
      </c>
      <c r="G3553" t="str">
        <f t="shared" si="296"/>
        <v>07/13/19</v>
      </c>
      <c r="H3553" t="str">
        <f t="shared" si="297"/>
        <v>Toronto Blue Jays</v>
      </c>
      <c r="I3553" s="60">
        <f t="shared" si="298"/>
        <v>2</v>
      </c>
      <c r="J3553" t="str">
        <f t="shared" si="299"/>
        <v>New York Yankees</v>
      </c>
      <c r="K3553" s="60">
        <f t="shared" si="300"/>
        <v>1</v>
      </c>
      <c r="L3553">
        <f t="shared" si="301"/>
        <v>1</v>
      </c>
    </row>
    <row r="3554" spans="1:12" x14ac:dyDescent="0.25">
      <c r="G3554" t="str">
        <f t="shared" ref="G3554:G3617" si="302">IF(ISNUMBER(MATCH(IFERROR(LEFT(A3554,SEARCH(",",A3554)-1),""),$G$220:$M$220,0)),TEXT(MID(A3554,SEARCH(",",A3554)+2,LEN(A3554)),"mm/dd/yy"),G3553)</f>
        <v>07/13/19</v>
      </c>
      <c r="H3554" t="str">
        <f t="shared" si="297"/>
        <v/>
      </c>
      <c r="I3554" s="60" t="str">
        <f t="shared" si="298"/>
        <v/>
      </c>
      <c r="J3554" t="str">
        <f t="shared" si="299"/>
        <v/>
      </c>
      <c r="K3554" s="60" t="str">
        <f t="shared" si="300"/>
        <v/>
      </c>
      <c r="L3554" t="str">
        <f t="shared" si="301"/>
        <v/>
      </c>
    </row>
    <row r="3555" spans="1:12" x14ac:dyDescent="0.25">
      <c r="A3555" t="s">
        <v>3196</v>
      </c>
      <c r="G3555" t="str">
        <f t="shared" si="302"/>
        <v>07/13/19</v>
      </c>
      <c r="H3555" t="str">
        <f t="shared" si="297"/>
        <v>Chicago White Sox</v>
      </c>
      <c r="I3555" s="60">
        <f t="shared" si="298"/>
        <v>2</v>
      </c>
      <c r="J3555" t="str">
        <f t="shared" si="299"/>
        <v>Oakland Athletics</v>
      </c>
      <c r="K3555" s="60">
        <f t="shared" si="300"/>
        <v>13</v>
      </c>
      <c r="L3555">
        <f t="shared" si="301"/>
        <v>-11</v>
      </c>
    </row>
    <row r="3556" spans="1:12" x14ac:dyDescent="0.25">
      <c r="G3556" t="str">
        <f t="shared" si="302"/>
        <v>07/13/19</v>
      </c>
      <c r="H3556" t="str">
        <f t="shared" si="297"/>
        <v/>
      </c>
      <c r="I3556" s="60" t="str">
        <f t="shared" si="298"/>
        <v/>
      </c>
      <c r="J3556" t="str">
        <f t="shared" si="299"/>
        <v/>
      </c>
      <c r="K3556" s="60" t="str">
        <f t="shared" si="300"/>
        <v/>
      </c>
      <c r="L3556" t="str">
        <f t="shared" si="301"/>
        <v/>
      </c>
    </row>
    <row r="3557" spans="1:12" x14ac:dyDescent="0.25">
      <c r="A3557" t="s">
        <v>3197</v>
      </c>
      <c r="G3557" t="str">
        <f t="shared" si="302"/>
        <v>07/13/19</v>
      </c>
      <c r="H3557" t="str">
        <f t="shared" si="297"/>
        <v>Washington Nationals</v>
      </c>
      <c r="I3557" s="60">
        <f t="shared" si="298"/>
        <v>4</v>
      </c>
      <c r="J3557" t="str">
        <f t="shared" si="299"/>
        <v>Philadelphia Phillies</v>
      </c>
      <c r="K3557" s="60">
        <f t="shared" si="300"/>
        <v>3</v>
      </c>
      <c r="L3557">
        <f t="shared" si="301"/>
        <v>1</v>
      </c>
    </row>
    <row r="3558" spans="1:12" x14ac:dyDescent="0.25">
      <c r="G3558" t="str">
        <f t="shared" si="302"/>
        <v>07/13/19</v>
      </c>
      <c r="H3558" t="str">
        <f t="shared" si="297"/>
        <v/>
      </c>
      <c r="I3558" s="60" t="str">
        <f t="shared" si="298"/>
        <v/>
      </c>
      <c r="J3558" t="str">
        <f t="shared" si="299"/>
        <v/>
      </c>
      <c r="K3558" s="60" t="str">
        <f t="shared" si="300"/>
        <v/>
      </c>
      <c r="L3558" t="str">
        <f t="shared" si="301"/>
        <v/>
      </c>
    </row>
    <row r="3559" spans="1:12" x14ac:dyDescent="0.25">
      <c r="A3559" t="s">
        <v>3198</v>
      </c>
      <c r="G3559" t="str">
        <f t="shared" si="302"/>
        <v>07/13/19</v>
      </c>
      <c r="H3559" t="str">
        <f t="shared" si="297"/>
        <v>Atlanta Braves</v>
      </c>
      <c r="I3559" s="60">
        <f t="shared" si="298"/>
        <v>7</v>
      </c>
      <c r="J3559" t="str">
        <f t="shared" si="299"/>
        <v>San Diego Padres</v>
      </c>
      <c r="K3559" s="60">
        <f t="shared" si="300"/>
        <v>5</v>
      </c>
      <c r="L3559">
        <f t="shared" si="301"/>
        <v>2</v>
      </c>
    </row>
    <row r="3560" spans="1:12" x14ac:dyDescent="0.25">
      <c r="G3560" t="str">
        <f t="shared" si="302"/>
        <v>07/13/19</v>
      </c>
      <c r="H3560" t="str">
        <f t="shared" si="297"/>
        <v/>
      </c>
      <c r="I3560" s="60" t="str">
        <f t="shared" si="298"/>
        <v/>
      </c>
      <c r="J3560" t="str">
        <f t="shared" si="299"/>
        <v/>
      </c>
      <c r="K3560" s="60" t="str">
        <f t="shared" si="300"/>
        <v/>
      </c>
      <c r="L3560" t="str">
        <f t="shared" si="301"/>
        <v/>
      </c>
    </row>
    <row r="3561" spans="1:12" x14ac:dyDescent="0.25">
      <c r="A3561" t="s">
        <v>3199</v>
      </c>
      <c r="G3561" t="str">
        <f t="shared" si="302"/>
        <v>07/13/19</v>
      </c>
      <c r="H3561" t="str">
        <f t="shared" si="297"/>
        <v>Arizona D'Backs</v>
      </c>
      <c r="I3561" s="60">
        <f t="shared" si="298"/>
        <v>2</v>
      </c>
      <c r="J3561" t="str">
        <f t="shared" si="299"/>
        <v>St. Louis Cardinals</v>
      </c>
      <c r="K3561" s="60">
        <f t="shared" si="300"/>
        <v>4</v>
      </c>
      <c r="L3561">
        <f t="shared" si="301"/>
        <v>-2</v>
      </c>
    </row>
    <row r="3562" spans="1:12" x14ac:dyDescent="0.25">
      <c r="G3562" t="str">
        <f t="shared" si="302"/>
        <v>07/13/19</v>
      </c>
      <c r="H3562" t="str">
        <f t="shared" si="297"/>
        <v/>
      </c>
      <c r="I3562" s="60" t="str">
        <f t="shared" si="298"/>
        <v/>
      </c>
      <c r="J3562" t="str">
        <f t="shared" si="299"/>
        <v/>
      </c>
      <c r="K3562" s="60" t="str">
        <f t="shared" si="300"/>
        <v/>
      </c>
      <c r="L3562" t="str">
        <f t="shared" si="301"/>
        <v/>
      </c>
    </row>
    <row r="3563" spans="1:12" x14ac:dyDescent="0.25">
      <c r="A3563" t="s">
        <v>3200</v>
      </c>
      <c r="G3563" t="str">
        <f t="shared" si="302"/>
        <v>07/13/19</v>
      </c>
      <c r="H3563" t="str">
        <f t="shared" si="297"/>
        <v>Houston Astros</v>
      </c>
      <c r="I3563" s="60">
        <f t="shared" si="298"/>
        <v>7</v>
      </c>
      <c r="J3563" t="str">
        <f t="shared" si="299"/>
        <v>Texas Rangers</v>
      </c>
      <c r="K3563" s="60">
        <f t="shared" si="300"/>
        <v>6</v>
      </c>
      <c r="L3563">
        <f t="shared" si="301"/>
        <v>1</v>
      </c>
    </row>
    <row r="3564" spans="1:12" x14ac:dyDescent="0.25">
      <c r="G3564" t="str">
        <f t="shared" si="302"/>
        <v>07/13/19</v>
      </c>
      <c r="H3564" t="str">
        <f t="shared" si="297"/>
        <v/>
      </c>
      <c r="I3564" s="60" t="str">
        <f t="shared" si="298"/>
        <v/>
      </c>
      <c r="J3564" t="str">
        <f t="shared" si="299"/>
        <v/>
      </c>
      <c r="K3564" s="60" t="str">
        <f t="shared" si="300"/>
        <v/>
      </c>
      <c r="L3564" t="str">
        <f t="shared" si="301"/>
        <v/>
      </c>
    </row>
    <row r="3565" spans="1:12" x14ac:dyDescent="0.25">
      <c r="A3565" t="s">
        <v>3201</v>
      </c>
      <c r="G3565" t="str">
        <f t="shared" si="302"/>
        <v>07/13/19</v>
      </c>
      <c r="H3565" t="str">
        <f t="shared" si="297"/>
        <v/>
      </c>
      <c r="I3565" s="60" t="str">
        <f t="shared" si="298"/>
        <v/>
      </c>
      <c r="J3565" t="str">
        <f t="shared" si="299"/>
        <v/>
      </c>
      <c r="K3565" s="60" t="str">
        <f t="shared" si="300"/>
        <v/>
      </c>
      <c r="L3565" t="str">
        <f t="shared" si="301"/>
        <v/>
      </c>
    </row>
    <row r="3566" spans="1:12" x14ac:dyDescent="0.25">
      <c r="G3566" t="str">
        <f t="shared" si="302"/>
        <v>07/13/19</v>
      </c>
      <c r="H3566" t="str">
        <f t="shared" si="297"/>
        <v/>
      </c>
      <c r="I3566" s="60" t="str">
        <f t="shared" si="298"/>
        <v/>
      </c>
      <c r="J3566" t="str">
        <f t="shared" si="299"/>
        <v/>
      </c>
      <c r="K3566" s="60" t="str">
        <f t="shared" si="300"/>
        <v/>
      </c>
      <c r="L3566" t="str">
        <f t="shared" si="301"/>
        <v/>
      </c>
    </row>
    <row r="3567" spans="1:12" x14ac:dyDescent="0.25">
      <c r="A3567" t="s">
        <v>3202</v>
      </c>
      <c r="G3567" t="str">
        <f t="shared" si="302"/>
        <v>07/14/19</v>
      </c>
      <c r="H3567" t="str">
        <f t="shared" si="297"/>
        <v/>
      </c>
      <c r="I3567" s="60" t="str">
        <f t="shared" si="298"/>
        <v/>
      </c>
      <c r="J3567" t="str">
        <f t="shared" si="299"/>
        <v/>
      </c>
      <c r="K3567" s="60" t="str">
        <f t="shared" si="300"/>
        <v/>
      </c>
      <c r="L3567" t="str">
        <f t="shared" si="301"/>
        <v/>
      </c>
    </row>
    <row r="3568" spans="1:12" x14ac:dyDescent="0.25">
      <c r="G3568" t="str">
        <f t="shared" si="302"/>
        <v>07/14/19</v>
      </c>
      <c r="H3568" t="str">
        <f t="shared" si="297"/>
        <v/>
      </c>
      <c r="I3568" s="60" t="str">
        <f t="shared" si="298"/>
        <v/>
      </c>
      <c r="J3568" t="str">
        <f t="shared" si="299"/>
        <v/>
      </c>
      <c r="K3568" s="60" t="str">
        <f t="shared" si="300"/>
        <v/>
      </c>
      <c r="L3568" t="str">
        <f t="shared" si="301"/>
        <v/>
      </c>
    </row>
    <row r="3569" spans="1:12" x14ac:dyDescent="0.25">
      <c r="A3569" t="s">
        <v>3203</v>
      </c>
      <c r="G3569" t="str">
        <f t="shared" si="302"/>
        <v>07/14/19</v>
      </c>
      <c r="H3569" t="str">
        <f t="shared" si="297"/>
        <v>Seattle Mariners</v>
      </c>
      <c r="I3569" s="60">
        <f t="shared" si="298"/>
        <v>3</v>
      </c>
      <c r="J3569" t="str">
        <f t="shared" si="299"/>
        <v>Los Angeles Angels</v>
      </c>
      <c r="K3569" s="60">
        <f t="shared" si="300"/>
        <v>6</v>
      </c>
      <c r="L3569">
        <f t="shared" si="301"/>
        <v>-3</v>
      </c>
    </row>
    <row r="3570" spans="1:12" x14ac:dyDescent="0.25">
      <c r="G3570" t="str">
        <f t="shared" si="302"/>
        <v>07/14/19</v>
      </c>
      <c r="H3570" t="str">
        <f t="shared" si="297"/>
        <v/>
      </c>
      <c r="I3570" s="60" t="str">
        <f t="shared" si="298"/>
        <v/>
      </c>
      <c r="J3570" t="str">
        <f t="shared" si="299"/>
        <v/>
      </c>
      <c r="K3570" s="60" t="str">
        <f t="shared" si="300"/>
        <v/>
      </c>
      <c r="L3570" t="str">
        <f t="shared" si="301"/>
        <v/>
      </c>
    </row>
    <row r="3571" spans="1:12" x14ac:dyDescent="0.25">
      <c r="A3571" t="s">
        <v>3204</v>
      </c>
      <c r="G3571" t="str">
        <f t="shared" si="302"/>
        <v>07/14/19</v>
      </c>
      <c r="H3571" t="str">
        <f t="shared" si="297"/>
        <v>Tampa Bay Rays</v>
      </c>
      <c r="I3571" s="60">
        <f t="shared" si="298"/>
        <v>4</v>
      </c>
      <c r="J3571" t="str">
        <f t="shared" si="299"/>
        <v>Baltimore Orioles</v>
      </c>
      <c r="K3571" s="60">
        <f t="shared" si="300"/>
        <v>1</v>
      </c>
      <c r="L3571">
        <f t="shared" si="301"/>
        <v>3</v>
      </c>
    </row>
    <row r="3572" spans="1:12" x14ac:dyDescent="0.25">
      <c r="G3572" t="str">
        <f t="shared" si="302"/>
        <v>07/14/19</v>
      </c>
      <c r="H3572" t="str">
        <f t="shared" si="297"/>
        <v/>
      </c>
      <c r="I3572" s="60" t="str">
        <f t="shared" si="298"/>
        <v/>
      </c>
      <c r="J3572" t="str">
        <f t="shared" si="299"/>
        <v/>
      </c>
      <c r="K3572" s="60" t="str">
        <f t="shared" si="300"/>
        <v/>
      </c>
      <c r="L3572" t="str">
        <f t="shared" si="301"/>
        <v/>
      </c>
    </row>
    <row r="3573" spans="1:12" x14ac:dyDescent="0.25">
      <c r="A3573" t="s">
        <v>3205</v>
      </c>
      <c r="G3573" t="str">
        <f t="shared" si="302"/>
        <v>07/14/19</v>
      </c>
      <c r="H3573" t="str">
        <f t="shared" si="297"/>
        <v>Los Angeles Dodgers</v>
      </c>
      <c r="I3573" s="60">
        <f t="shared" si="298"/>
        <v>7</v>
      </c>
      <c r="J3573" t="str">
        <f t="shared" si="299"/>
        <v>Boston Red Sox</v>
      </c>
      <c r="K3573" s="60">
        <f t="shared" si="300"/>
        <v>4</v>
      </c>
      <c r="L3573">
        <f t="shared" si="301"/>
        <v>3</v>
      </c>
    </row>
    <row r="3574" spans="1:12" x14ac:dyDescent="0.25">
      <c r="G3574" t="str">
        <f t="shared" si="302"/>
        <v>07/14/19</v>
      </c>
      <c r="H3574" t="str">
        <f t="shared" si="297"/>
        <v/>
      </c>
      <c r="I3574" s="60" t="str">
        <f t="shared" si="298"/>
        <v/>
      </c>
      <c r="J3574" t="str">
        <f t="shared" si="299"/>
        <v/>
      </c>
      <c r="K3574" s="60" t="str">
        <f t="shared" si="300"/>
        <v/>
      </c>
      <c r="L3574" t="str">
        <f t="shared" si="301"/>
        <v/>
      </c>
    </row>
    <row r="3575" spans="1:12" x14ac:dyDescent="0.25">
      <c r="A3575" t="s">
        <v>3206</v>
      </c>
      <c r="G3575" t="str">
        <f t="shared" si="302"/>
        <v>07/14/19</v>
      </c>
      <c r="H3575" t="str">
        <f t="shared" si="297"/>
        <v>Pittsburgh Pirates</v>
      </c>
      <c r="I3575" s="60">
        <f t="shared" si="298"/>
        <v>3</v>
      </c>
      <c r="J3575" t="str">
        <f t="shared" si="299"/>
        <v>Chicago Cubs</v>
      </c>
      <c r="K3575" s="60">
        <f t="shared" si="300"/>
        <v>8</v>
      </c>
      <c r="L3575">
        <f t="shared" si="301"/>
        <v>-5</v>
      </c>
    </row>
    <row r="3576" spans="1:12" x14ac:dyDescent="0.25">
      <c r="G3576" t="str">
        <f t="shared" si="302"/>
        <v>07/14/19</v>
      </c>
      <c r="H3576" t="str">
        <f t="shared" si="297"/>
        <v/>
      </c>
      <c r="I3576" s="60" t="str">
        <f t="shared" si="298"/>
        <v/>
      </c>
      <c r="J3576" t="str">
        <f t="shared" si="299"/>
        <v/>
      </c>
      <c r="K3576" s="60" t="str">
        <f t="shared" si="300"/>
        <v/>
      </c>
      <c r="L3576" t="str">
        <f t="shared" si="301"/>
        <v/>
      </c>
    </row>
    <row r="3577" spans="1:12" x14ac:dyDescent="0.25">
      <c r="A3577" t="s">
        <v>3207</v>
      </c>
      <c r="G3577" t="str">
        <f t="shared" si="302"/>
        <v>07/14/19</v>
      </c>
      <c r="H3577" t="str">
        <f t="shared" si="297"/>
        <v>Minnesota Twins</v>
      </c>
      <c r="I3577" s="60">
        <f t="shared" si="298"/>
        <v>3</v>
      </c>
      <c r="J3577" t="str">
        <f t="shared" si="299"/>
        <v>Cleveland Indians</v>
      </c>
      <c r="K3577" s="60">
        <f t="shared" si="300"/>
        <v>4</v>
      </c>
      <c r="L3577">
        <f t="shared" si="301"/>
        <v>-1</v>
      </c>
    </row>
    <row r="3578" spans="1:12" x14ac:dyDescent="0.25">
      <c r="G3578" t="str">
        <f t="shared" si="302"/>
        <v>07/14/19</v>
      </c>
      <c r="H3578" t="str">
        <f t="shared" si="297"/>
        <v/>
      </c>
      <c r="I3578" s="60" t="str">
        <f t="shared" si="298"/>
        <v/>
      </c>
      <c r="J3578" t="str">
        <f t="shared" si="299"/>
        <v/>
      </c>
      <c r="K3578" s="60" t="str">
        <f t="shared" si="300"/>
        <v/>
      </c>
      <c r="L3578" t="str">
        <f t="shared" si="301"/>
        <v/>
      </c>
    </row>
    <row r="3579" spans="1:12" x14ac:dyDescent="0.25">
      <c r="A3579" t="s">
        <v>3208</v>
      </c>
      <c r="G3579" t="str">
        <f t="shared" si="302"/>
        <v>07/14/19</v>
      </c>
      <c r="H3579" t="str">
        <f t="shared" si="297"/>
        <v>Cincinnati Reds</v>
      </c>
      <c r="I3579" s="60">
        <f t="shared" si="298"/>
        <v>9</v>
      </c>
      <c r="J3579" t="str">
        <f t="shared" si="299"/>
        <v>Colorado Rockies</v>
      </c>
      <c r="K3579" s="60">
        <f t="shared" si="300"/>
        <v>10</v>
      </c>
      <c r="L3579">
        <f t="shared" si="301"/>
        <v>-1</v>
      </c>
    </row>
    <row r="3580" spans="1:12" x14ac:dyDescent="0.25">
      <c r="G3580" t="str">
        <f t="shared" si="302"/>
        <v>07/14/19</v>
      </c>
      <c r="H3580" t="str">
        <f t="shared" si="297"/>
        <v/>
      </c>
      <c r="I3580" s="60" t="str">
        <f t="shared" si="298"/>
        <v/>
      </c>
      <c r="J3580" t="str">
        <f t="shared" si="299"/>
        <v/>
      </c>
      <c r="K3580" s="60" t="str">
        <f t="shared" si="300"/>
        <v/>
      </c>
      <c r="L3580" t="str">
        <f t="shared" si="301"/>
        <v/>
      </c>
    </row>
    <row r="3581" spans="1:12" x14ac:dyDescent="0.25">
      <c r="A3581" t="s">
        <v>3209</v>
      </c>
      <c r="G3581" t="str">
        <f t="shared" si="302"/>
        <v>07/14/19</v>
      </c>
      <c r="H3581" t="str">
        <f t="shared" si="297"/>
        <v>Detroit Tigers</v>
      </c>
      <c r="I3581" s="60">
        <f t="shared" si="298"/>
        <v>12</v>
      </c>
      <c r="J3581" t="str">
        <f t="shared" si="299"/>
        <v>Kansas City Royals</v>
      </c>
      <c r="K3581" s="60">
        <f t="shared" si="300"/>
        <v>8</v>
      </c>
      <c r="L3581">
        <f t="shared" si="301"/>
        <v>4</v>
      </c>
    </row>
    <row r="3582" spans="1:12" x14ac:dyDescent="0.25">
      <c r="G3582" t="str">
        <f t="shared" si="302"/>
        <v>07/14/19</v>
      </c>
      <c r="H3582" t="str">
        <f t="shared" si="297"/>
        <v/>
      </c>
      <c r="I3582" s="60" t="str">
        <f t="shared" si="298"/>
        <v/>
      </c>
      <c r="J3582" t="str">
        <f t="shared" si="299"/>
        <v/>
      </c>
      <c r="K3582" s="60" t="str">
        <f t="shared" si="300"/>
        <v/>
      </c>
      <c r="L3582" t="str">
        <f t="shared" si="301"/>
        <v/>
      </c>
    </row>
    <row r="3583" spans="1:12" x14ac:dyDescent="0.25">
      <c r="A3583" t="s">
        <v>3210</v>
      </c>
      <c r="G3583" t="str">
        <f t="shared" si="302"/>
        <v>07/14/19</v>
      </c>
      <c r="H3583" t="str">
        <f t="shared" si="297"/>
        <v>New York Mets</v>
      </c>
      <c r="I3583" s="60">
        <f t="shared" si="298"/>
        <v>6</v>
      </c>
      <c r="J3583" t="str">
        <f t="shared" si="299"/>
        <v>Miami Marlins</v>
      </c>
      <c r="K3583" s="60">
        <f t="shared" si="300"/>
        <v>2</v>
      </c>
      <c r="L3583">
        <f t="shared" si="301"/>
        <v>4</v>
      </c>
    </row>
    <row r="3584" spans="1:12" x14ac:dyDescent="0.25">
      <c r="G3584" t="str">
        <f t="shared" si="302"/>
        <v>07/14/19</v>
      </c>
      <c r="H3584" t="str">
        <f t="shared" si="297"/>
        <v/>
      </c>
      <c r="I3584" s="60" t="str">
        <f t="shared" si="298"/>
        <v/>
      </c>
      <c r="J3584" t="str">
        <f t="shared" si="299"/>
        <v/>
      </c>
      <c r="K3584" s="60" t="str">
        <f t="shared" si="300"/>
        <v/>
      </c>
      <c r="L3584" t="str">
        <f t="shared" si="301"/>
        <v/>
      </c>
    </row>
    <row r="3585" spans="1:12" x14ac:dyDescent="0.25">
      <c r="A3585" t="s">
        <v>3211</v>
      </c>
      <c r="G3585" t="str">
        <f t="shared" si="302"/>
        <v>07/14/19</v>
      </c>
      <c r="H3585" t="str">
        <f t="shared" si="297"/>
        <v>San Francisco Giants</v>
      </c>
      <c r="I3585" s="60">
        <f t="shared" si="298"/>
        <v>8</v>
      </c>
      <c r="J3585" t="str">
        <f t="shared" si="299"/>
        <v>Milwaukee Brewers</v>
      </c>
      <c r="K3585" s="60">
        <f t="shared" si="300"/>
        <v>3</v>
      </c>
      <c r="L3585">
        <f t="shared" si="301"/>
        <v>5</v>
      </c>
    </row>
    <row r="3586" spans="1:12" x14ac:dyDescent="0.25">
      <c r="G3586" t="str">
        <f t="shared" si="302"/>
        <v>07/14/19</v>
      </c>
      <c r="H3586" t="str">
        <f t="shared" si="297"/>
        <v/>
      </c>
      <c r="I3586" s="60" t="str">
        <f t="shared" si="298"/>
        <v/>
      </c>
      <c r="J3586" t="str">
        <f t="shared" si="299"/>
        <v/>
      </c>
      <c r="K3586" s="60" t="str">
        <f t="shared" si="300"/>
        <v/>
      </c>
      <c r="L3586" t="str">
        <f t="shared" si="301"/>
        <v/>
      </c>
    </row>
    <row r="3587" spans="1:12" x14ac:dyDescent="0.25">
      <c r="A3587" t="s">
        <v>3212</v>
      </c>
      <c r="G3587" t="str">
        <f t="shared" si="302"/>
        <v>07/14/19</v>
      </c>
      <c r="H3587" t="str">
        <f t="shared" si="297"/>
        <v>Toronto Blue Jays</v>
      </c>
      <c r="I3587" s="60">
        <f t="shared" si="298"/>
        <v>2</v>
      </c>
      <c r="J3587" t="str">
        <f t="shared" si="299"/>
        <v>New York Yankees</v>
      </c>
      <c r="K3587" s="60">
        <f t="shared" si="300"/>
        <v>4</v>
      </c>
      <c r="L3587">
        <f t="shared" si="301"/>
        <v>-2</v>
      </c>
    </row>
    <row r="3588" spans="1:12" x14ac:dyDescent="0.25">
      <c r="G3588" t="str">
        <f t="shared" si="302"/>
        <v>07/14/19</v>
      </c>
      <c r="H3588" t="str">
        <f t="shared" si="297"/>
        <v/>
      </c>
      <c r="I3588" s="60" t="str">
        <f t="shared" si="298"/>
        <v/>
      </c>
      <c r="J3588" t="str">
        <f t="shared" si="299"/>
        <v/>
      </c>
      <c r="K3588" s="60" t="str">
        <f t="shared" si="300"/>
        <v/>
      </c>
      <c r="L3588" t="str">
        <f t="shared" si="301"/>
        <v/>
      </c>
    </row>
    <row r="3589" spans="1:12" x14ac:dyDescent="0.25">
      <c r="A3589" t="s">
        <v>3213</v>
      </c>
      <c r="G3589" t="str">
        <f t="shared" si="302"/>
        <v>07/14/19</v>
      </c>
      <c r="H3589" t="str">
        <f t="shared" si="297"/>
        <v>Chicago White Sox</v>
      </c>
      <c r="I3589" s="60">
        <f t="shared" si="298"/>
        <v>2</v>
      </c>
      <c r="J3589" t="str">
        <f t="shared" si="299"/>
        <v>Oakland Athletics</v>
      </c>
      <c r="K3589" s="60">
        <f t="shared" si="300"/>
        <v>3</v>
      </c>
      <c r="L3589">
        <f t="shared" si="301"/>
        <v>-1</v>
      </c>
    </row>
    <row r="3590" spans="1:12" x14ac:dyDescent="0.25">
      <c r="G3590" t="str">
        <f t="shared" si="302"/>
        <v>07/14/19</v>
      </c>
      <c r="H3590" t="str">
        <f t="shared" si="297"/>
        <v/>
      </c>
      <c r="I3590" s="60" t="str">
        <f t="shared" si="298"/>
        <v/>
      </c>
      <c r="J3590" t="str">
        <f t="shared" si="299"/>
        <v/>
      </c>
      <c r="K3590" s="60" t="str">
        <f t="shared" si="300"/>
        <v/>
      </c>
      <c r="L3590" t="str">
        <f t="shared" si="301"/>
        <v/>
      </c>
    </row>
    <row r="3591" spans="1:12" x14ac:dyDescent="0.25">
      <c r="A3591" t="s">
        <v>1811</v>
      </c>
      <c r="G3591" t="str">
        <f t="shared" si="302"/>
        <v>07/14/19</v>
      </c>
      <c r="H3591" t="str">
        <f t="shared" si="297"/>
        <v>Washington Nationals</v>
      </c>
      <c r="I3591" s="60">
        <f t="shared" si="298"/>
        <v>3</v>
      </c>
      <c r="J3591" t="str">
        <f t="shared" si="299"/>
        <v>Philadelphia Phillies</v>
      </c>
      <c r="K3591" s="60">
        <f t="shared" si="300"/>
        <v>4</v>
      </c>
      <c r="L3591">
        <f t="shared" si="301"/>
        <v>-1</v>
      </c>
    </row>
    <row r="3592" spans="1:12" x14ac:dyDescent="0.25">
      <c r="G3592" t="str">
        <f t="shared" si="302"/>
        <v>07/14/19</v>
      </c>
      <c r="H3592" t="str">
        <f t="shared" si="297"/>
        <v/>
      </c>
      <c r="I3592" s="60" t="str">
        <f t="shared" si="298"/>
        <v/>
      </c>
      <c r="J3592" t="str">
        <f t="shared" si="299"/>
        <v/>
      </c>
      <c r="K3592" s="60" t="str">
        <f t="shared" si="300"/>
        <v/>
      </c>
      <c r="L3592" t="str">
        <f t="shared" si="301"/>
        <v/>
      </c>
    </row>
    <row r="3593" spans="1:12" x14ac:dyDescent="0.25">
      <c r="A3593" t="s">
        <v>3214</v>
      </c>
      <c r="G3593" t="str">
        <f t="shared" si="302"/>
        <v>07/14/19</v>
      </c>
      <c r="H3593" t="str">
        <f t="shared" si="297"/>
        <v>Atlanta Braves</v>
      </c>
      <c r="I3593" s="60">
        <f t="shared" si="298"/>
        <v>4</v>
      </c>
      <c r="J3593" t="str">
        <f t="shared" si="299"/>
        <v>San Diego Padres</v>
      </c>
      <c r="K3593" s="60">
        <f t="shared" si="300"/>
        <v>1</v>
      </c>
      <c r="L3593">
        <f t="shared" si="301"/>
        <v>3</v>
      </c>
    </row>
    <row r="3594" spans="1:12" x14ac:dyDescent="0.25">
      <c r="G3594" t="str">
        <f t="shared" si="302"/>
        <v>07/14/19</v>
      </c>
      <c r="H3594" t="str">
        <f t="shared" si="297"/>
        <v/>
      </c>
      <c r="I3594" s="60" t="str">
        <f t="shared" si="298"/>
        <v/>
      </c>
      <c r="J3594" t="str">
        <f t="shared" si="299"/>
        <v/>
      </c>
      <c r="K3594" s="60" t="str">
        <f t="shared" si="300"/>
        <v/>
      </c>
      <c r="L3594" t="str">
        <f t="shared" si="301"/>
        <v/>
      </c>
    </row>
    <row r="3595" spans="1:12" x14ac:dyDescent="0.25">
      <c r="A3595" t="s">
        <v>3215</v>
      </c>
      <c r="G3595" t="str">
        <f t="shared" si="302"/>
        <v>07/14/19</v>
      </c>
      <c r="H3595" t="str">
        <f t="shared" si="297"/>
        <v>Arizona D'Backs</v>
      </c>
      <c r="I3595" s="60">
        <f t="shared" si="298"/>
        <v>2</v>
      </c>
      <c r="J3595" t="str">
        <f t="shared" si="299"/>
        <v>St. Louis Cardinals</v>
      </c>
      <c r="K3595" s="60">
        <f t="shared" si="300"/>
        <v>5</v>
      </c>
      <c r="L3595">
        <f t="shared" si="301"/>
        <v>-3</v>
      </c>
    </row>
    <row r="3596" spans="1:12" x14ac:dyDescent="0.25">
      <c r="G3596" t="str">
        <f t="shared" si="302"/>
        <v>07/14/19</v>
      </c>
      <c r="H3596" t="str">
        <f t="shared" si="297"/>
        <v/>
      </c>
      <c r="I3596" s="60" t="str">
        <f t="shared" si="298"/>
        <v/>
      </c>
      <c r="J3596" t="str">
        <f t="shared" si="299"/>
        <v/>
      </c>
      <c r="K3596" s="60" t="str">
        <f t="shared" si="300"/>
        <v/>
      </c>
      <c r="L3596" t="str">
        <f t="shared" si="301"/>
        <v/>
      </c>
    </row>
    <row r="3597" spans="1:12" x14ac:dyDescent="0.25">
      <c r="A3597" t="s">
        <v>3216</v>
      </c>
      <c r="G3597" t="str">
        <f t="shared" si="302"/>
        <v>07/14/19</v>
      </c>
      <c r="H3597" t="str">
        <f t="shared" si="297"/>
        <v>Houston Astros</v>
      </c>
      <c r="I3597" s="60">
        <f t="shared" si="298"/>
        <v>12</v>
      </c>
      <c r="J3597" t="str">
        <f t="shared" si="299"/>
        <v>Texas Rangers</v>
      </c>
      <c r="K3597" s="60">
        <f t="shared" si="300"/>
        <v>4</v>
      </c>
      <c r="L3597">
        <f t="shared" si="301"/>
        <v>8</v>
      </c>
    </row>
    <row r="3598" spans="1:12" x14ac:dyDescent="0.25">
      <c r="G3598" t="str">
        <f t="shared" si="302"/>
        <v>07/14/19</v>
      </c>
      <c r="H3598" t="str">
        <f t="shared" si="297"/>
        <v/>
      </c>
      <c r="I3598" s="60" t="str">
        <f t="shared" si="298"/>
        <v/>
      </c>
      <c r="J3598" t="str">
        <f t="shared" si="299"/>
        <v/>
      </c>
      <c r="K3598" s="60" t="str">
        <f t="shared" si="300"/>
        <v/>
      </c>
      <c r="L3598" t="str">
        <f t="shared" si="301"/>
        <v/>
      </c>
    </row>
    <row r="3599" spans="1:12" x14ac:dyDescent="0.25">
      <c r="A3599" t="s">
        <v>3217</v>
      </c>
      <c r="G3599" t="str">
        <f t="shared" si="302"/>
        <v>07/14/19</v>
      </c>
      <c r="H3599" t="str">
        <f t="shared" si="297"/>
        <v/>
      </c>
      <c r="I3599" s="60" t="str">
        <f t="shared" si="298"/>
        <v/>
      </c>
      <c r="J3599" t="str">
        <f t="shared" si="299"/>
        <v/>
      </c>
      <c r="K3599" s="60" t="str">
        <f t="shared" si="300"/>
        <v/>
      </c>
      <c r="L3599" t="str">
        <f t="shared" si="301"/>
        <v/>
      </c>
    </row>
    <row r="3600" spans="1:12" x14ac:dyDescent="0.25">
      <c r="G3600" t="str">
        <f t="shared" si="302"/>
        <v>07/14/19</v>
      </c>
      <c r="H3600" t="str">
        <f t="shared" ref="H3600:H3663" si="303">IFERROR(LEFT(MID(A3600,1,SEARCH("@",A3600)-2),SEARCH("(",A3600)-2),"")</f>
        <v/>
      </c>
      <c r="I3600" s="60" t="str">
        <f t="shared" ref="I3600:I3663" si="304">IFERROR(VALUE(MID(A3600,SEARCH("(",A3600)+1,SEARCH(")",A3600)-SEARCH("(",A3600)-1)),"")</f>
        <v/>
      </c>
      <c r="J3600" t="str">
        <f t="shared" ref="J3600:J3663" si="305">IFERROR(MID(A3600,SEARCH("@",A3600)+2,SEARCH("(",A3600,SEARCH("@",A3600))-SEARCH("@",A3600)-3),"")</f>
        <v/>
      </c>
      <c r="K3600" s="60" t="str">
        <f t="shared" ref="K3600:K3663" si="306">IFERROR(VALUE(MID(A3600,SEARCH(J3600,A3600)+LEN(J3600)+2,(SEARCH(")",A3600,SEARCH("@",A3600))-SEARCH("(",A3600,SEARCH("@",A3600))-1))),"")</f>
        <v/>
      </c>
      <c r="L3600" t="str">
        <f t="shared" ref="L3600:L3663" si="307">IFERROR(I3600-K3600,"")</f>
        <v/>
      </c>
    </row>
    <row r="3601" spans="1:12" x14ac:dyDescent="0.25">
      <c r="A3601" t="s">
        <v>3218</v>
      </c>
      <c r="G3601" t="str">
        <f t="shared" si="302"/>
        <v>07/15/19</v>
      </c>
      <c r="H3601" t="str">
        <f t="shared" si="303"/>
        <v/>
      </c>
      <c r="I3601" s="60" t="str">
        <f t="shared" si="304"/>
        <v/>
      </c>
      <c r="J3601" t="str">
        <f t="shared" si="305"/>
        <v/>
      </c>
      <c r="K3601" s="60" t="str">
        <f t="shared" si="306"/>
        <v/>
      </c>
      <c r="L3601" t="str">
        <f t="shared" si="307"/>
        <v/>
      </c>
    </row>
    <row r="3602" spans="1:12" x14ac:dyDescent="0.25">
      <c r="G3602" t="str">
        <f t="shared" si="302"/>
        <v>07/15/19</v>
      </c>
      <c r="H3602" t="str">
        <f t="shared" si="303"/>
        <v/>
      </c>
      <c r="I3602" s="60" t="str">
        <f t="shared" si="304"/>
        <v/>
      </c>
      <c r="J3602" t="str">
        <f t="shared" si="305"/>
        <v/>
      </c>
      <c r="K3602" s="60" t="str">
        <f t="shared" si="306"/>
        <v/>
      </c>
      <c r="L3602" t="str">
        <f t="shared" si="307"/>
        <v/>
      </c>
    </row>
    <row r="3603" spans="1:12" x14ac:dyDescent="0.25">
      <c r="A3603" t="s">
        <v>3219</v>
      </c>
      <c r="G3603" t="str">
        <f t="shared" si="302"/>
        <v>07/15/19</v>
      </c>
      <c r="H3603" t="str">
        <f t="shared" si="303"/>
        <v>Houston Astros</v>
      </c>
      <c r="I3603" s="60">
        <f t="shared" si="304"/>
        <v>6</v>
      </c>
      <c r="J3603" t="str">
        <f t="shared" si="305"/>
        <v>Los Angeles Angels</v>
      </c>
      <c r="K3603" s="60">
        <f t="shared" si="306"/>
        <v>9</v>
      </c>
      <c r="L3603">
        <f t="shared" si="307"/>
        <v>-3</v>
      </c>
    </row>
    <row r="3604" spans="1:12" x14ac:dyDescent="0.25">
      <c r="G3604" t="str">
        <f t="shared" si="302"/>
        <v>07/15/19</v>
      </c>
      <c r="H3604" t="str">
        <f t="shared" si="303"/>
        <v/>
      </c>
      <c r="I3604" s="60" t="str">
        <f t="shared" si="304"/>
        <v/>
      </c>
      <c r="J3604" t="str">
        <f t="shared" si="305"/>
        <v/>
      </c>
      <c r="K3604" s="60" t="str">
        <f t="shared" si="306"/>
        <v/>
      </c>
      <c r="L3604" t="str">
        <f t="shared" si="307"/>
        <v/>
      </c>
    </row>
    <row r="3605" spans="1:12" x14ac:dyDescent="0.25">
      <c r="A3605" t="s">
        <v>3220</v>
      </c>
      <c r="G3605" t="str">
        <f t="shared" si="302"/>
        <v>07/15/19</v>
      </c>
      <c r="H3605" t="str">
        <f t="shared" si="303"/>
        <v>Toronto Blue Jays</v>
      </c>
      <c r="I3605" s="60">
        <f t="shared" si="304"/>
        <v>8</v>
      </c>
      <c r="J3605" t="str">
        <f t="shared" si="305"/>
        <v>Boston Red Sox</v>
      </c>
      <c r="K3605" s="60">
        <f t="shared" si="306"/>
        <v>10</v>
      </c>
      <c r="L3605">
        <f t="shared" si="307"/>
        <v>-2</v>
      </c>
    </row>
    <row r="3606" spans="1:12" x14ac:dyDescent="0.25">
      <c r="G3606" t="str">
        <f t="shared" si="302"/>
        <v>07/15/19</v>
      </c>
      <c r="H3606" t="str">
        <f t="shared" si="303"/>
        <v/>
      </c>
      <c r="I3606" s="60" t="str">
        <f t="shared" si="304"/>
        <v/>
      </c>
      <c r="J3606" t="str">
        <f t="shared" si="305"/>
        <v/>
      </c>
      <c r="K3606" s="60" t="str">
        <f t="shared" si="306"/>
        <v/>
      </c>
      <c r="L3606" t="str">
        <f t="shared" si="307"/>
        <v/>
      </c>
    </row>
    <row r="3607" spans="1:12" x14ac:dyDescent="0.25">
      <c r="A3607" t="s">
        <v>3221</v>
      </c>
      <c r="G3607" t="str">
        <f t="shared" si="302"/>
        <v>07/15/19</v>
      </c>
      <c r="H3607" t="str">
        <f t="shared" si="303"/>
        <v>Cincinnati Reds</v>
      </c>
      <c r="I3607" s="60">
        <f t="shared" si="304"/>
        <v>6</v>
      </c>
      <c r="J3607" t="str">
        <f t="shared" si="305"/>
        <v>Chicago Cubs</v>
      </c>
      <c r="K3607" s="60">
        <f t="shared" si="306"/>
        <v>3</v>
      </c>
      <c r="L3607">
        <f t="shared" si="307"/>
        <v>3</v>
      </c>
    </row>
    <row r="3608" spans="1:12" x14ac:dyDescent="0.25">
      <c r="G3608" t="str">
        <f t="shared" si="302"/>
        <v>07/15/19</v>
      </c>
      <c r="H3608" t="str">
        <f t="shared" si="303"/>
        <v/>
      </c>
      <c r="I3608" s="60" t="str">
        <f t="shared" si="304"/>
        <v/>
      </c>
      <c r="J3608" t="str">
        <f t="shared" si="305"/>
        <v/>
      </c>
      <c r="K3608" s="60" t="str">
        <f t="shared" si="306"/>
        <v/>
      </c>
      <c r="L3608" t="str">
        <f t="shared" si="307"/>
        <v/>
      </c>
    </row>
    <row r="3609" spans="1:12" x14ac:dyDescent="0.25">
      <c r="A3609" t="s">
        <v>3222</v>
      </c>
      <c r="G3609" t="str">
        <f t="shared" si="302"/>
        <v>07/15/19</v>
      </c>
      <c r="H3609" t="str">
        <f t="shared" si="303"/>
        <v>Detroit Tigers</v>
      </c>
      <c r="I3609" s="60">
        <f t="shared" si="304"/>
        <v>6</v>
      </c>
      <c r="J3609" t="str">
        <f t="shared" si="305"/>
        <v>Cleveland Indians</v>
      </c>
      <c r="K3609" s="60">
        <f t="shared" si="306"/>
        <v>8</v>
      </c>
      <c r="L3609">
        <f t="shared" si="307"/>
        <v>-2</v>
      </c>
    </row>
    <row r="3610" spans="1:12" x14ac:dyDescent="0.25">
      <c r="G3610" t="str">
        <f t="shared" si="302"/>
        <v>07/15/19</v>
      </c>
      <c r="H3610" t="str">
        <f t="shared" si="303"/>
        <v/>
      </c>
      <c r="I3610" s="60" t="str">
        <f t="shared" si="304"/>
        <v/>
      </c>
      <c r="J3610" t="str">
        <f t="shared" si="305"/>
        <v/>
      </c>
      <c r="K3610" s="60" t="str">
        <f t="shared" si="306"/>
        <v/>
      </c>
      <c r="L3610" t="str">
        <f t="shared" si="307"/>
        <v/>
      </c>
    </row>
    <row r="3611" spans="1:12" x14ac:dyDescent="0.25">
      <c r="A3611" t="s">
        <v>3223</v>
      </c>
      <c r="G3611" t="str">
        <f t="shared" si="302"/>
        <v>07/15/19</v>
      </c>
      <c r="H3611" t="str">
        <f t="shared" si="303"/>
        <v>San Francisco Giants</v>
      </c>
      <c r="I3611" s="60">
        <f t="shared" si="304"/>
        <v>19</v>
      </c>
      <c r="J3611" t="str">
        <f t="shared" si="305"/>
        <v>Colorado Rockies</v>
      </c>
      <c r="K3611" s="60">
        <f t="shared" si="306"/>
        <v>2</v>
      </c>
      <c r="L3611">
        <f t="shared" si="307"/>
        <v>17</v>
      </c>
    </row>
    <row r="3612" spans="1:12" x14ac:dyDescent="0.25">
      <c r="G3612" t="str">
        <f t="shared" si="302"/>
        <v>07/15/19</v>
      </c>
      <c r="H3612" t="str">
        <f t="shared" si="303"/>
        <v/>
      </c>
      <c r="I3612" s="60" t="str">
        <f t="shared" si="304"/>
        <v/>
      </c>
      <c r="J3612" t="str">
        <f t="shared" si="305"/>
        <v/>
      </c>
      <c r="K3612" s="60" t="str">
        <f t="shared" si="306"/>
        <v/>
      </c>
      <c r="L3612" t="str">
        <f t="shared" si="307"/>
        <v/>
      </c>
    </row>
    <row r="3613" spans="1:12" x14ac:dyDescent="0.25">
      <c r="A3613" t="s">
        <v>3224</v>
      </c>
      <c r="G3613" t="str">
        <f t="shared" si="302"/>
        <v>07/15/19</v>
      </c>
      <c r="H3613" t="str">
        <f t="shared" si="303"/>
        <v>San Francisco Giants</v>
      </c>
      <c r="I3613" s="60">
        <f t="shared" si="304"/>
        <v>2</v>
      </c>
      <c r="J3613" t="str">
        <f t="shared" si="305"/>
        <v>Colorado Rockies</v>
      </c>
      <c r="K3613" s="60">
        <f t="shared" si="306"/>
        <v>1</v>
      </c>
      <c r="L3613">
        <f t="shared" si="307"/>
        <v>1</v>
      </c>
    </row>
    <row r="3614" spans="1:12" x14ac:dyDescent="0.25">
      <c r="G3614" t="str">
        <f t="shared" si="302"/>
        <v>07/15/19</v>
      </c>
      <c r="H3614" t="str">
        <f t="shared" si="303"/>
        <v/>
      </c>
      <c r="I3614" s="60" t="str">
        <f t="shared" si="304"/>
        <v/>
      </c>
      <c r="J3614" t="str">
        <f t="shared" si="305"/>
        <v/>
      </c>
      <c r="K3614" s="60" t="str">
        <f t="shared" si="306"/>
        <v/>
      </c>
      <c r="L3614" t="str">
        <f t="shared" si="307"/>
        <v/>
      </c>
    </row>
    <row r="3615" spans="1:12" x14ac:dyDescent="0.25">
      <c r="A3615" t="s">
        <v>3225</v>
      </c>
      <c r="G3615" t="str">
        <f t="shared" si="302"/>
        <v>07/15/19</v>
      </c>
      <c r="H3615" t="str">
        <f t="shared" si="303"/>
        <v>Chicago White Sox</v>
      </c>
      <c r="I3615" s="60">
        <f t="shared" si="304"/>
        <v>2</v>
      </c>
      <c r="J3615" t="str">
        <f t="shared" si="305"/>
        <v>Kansas City Royals</v>
      </c>
      <c r="K3615" s="60">
        <f t="shared" si="306"/>
        <v>5</v>
      </c>
      <c r="L3615">
        <f t="shared" si="307"/>
        <v>-3</v>
      </c>
    </row>
    <row r="3616" spans="1:12" x14ac:dyDescent="0.25">
      <c r="G3616" t="str">
        <f t="shared" si="302"/>
        <v>07/15/19</v>
      </c>
      <c r="H3616" t="str">
        <f t="shared" si="303"/>
        <v/>
      </c>
      <c r="I3616" s="60" t="str">
        <f t="shared" si="304"/>
        <v/>
      </c>
      <c r="J3616" t="str">
        <f t="shared" si="305"/>
        <v/>
      </c>
      <c r="K3616" s="60" t="str">
        <f t="shared" si="306"/>
        <v/>
      </c>
      <c r="L3616" t="str">
        <f t="shared" si="307"/>
        <v/>
      </c>
    </row>
    <row r="3617" spans="1:12" x14ac:dyDescent="0.25">
      <c r="A3617" t="s">
        <v>3226</v>
      </c>
      <c r="G3617" t="str">
        <f t="shared" si="302"/>
        <v>07/15/19</v>
      </c>
      <c r="H3617" t="str">
        <f t="shared" si="303"/>
        <v>Atlanta Braves</v>
      </c>
      <c r="I3617" s="60">
        <f t="shared" si="304"/>
        <v>4</v>
      </c>
      <c r="J3617" t="str">
        <f t="shared" si="305"/>
        <v>Milwaukee Brewers</v>
      </c>
      <c r="K3617" s="60">
        <f t="shared" si="306"/>
        <v>2</v>
      </c>
      <c r="L3617">
        <f t="shared" si="307"/>
        <v>2</v>
      </c>
    </row>
    <row r="3618" spans="1:12" x14ac:dyDescent="0.25">
      <c r="G3618" t="str">
        <f t="shared" ref="G3618:G3681" si="308">IF(ISNUMBER(MATCH(IFERROR(LEFT(A3618,SEARCH(",",A3618)-1),""),$G$220:$M$220,0)),TEXT(MID(A3618,SEARCH(",",A3618)+2,LEN(A3618)),"mm/dd/yy"),G3617)</f>
        <v>07/15/19</v>
      </c>
      <c r="H3618" t="str">
        <f t="shared" si="303"/>
        <v/>
      </c>
      <c r="I3618" s="60" t="str">
        <f t="shared" si="304"/>
        <v/>
      </c>
      <c r="J3618" t="str">
        <f t="shared" si="305"/>
        <v/>
      </c>
      <c r="K3618" s="60" t="str">
        <f t="shared" si="306"/>
        <v/>
      </c>
      <c r="L3618" t="str">
        <f t="shared" si="307"/>
        <v/>
      </c>
    </row>
    <row r="3619" spans="1:12" x14ac:dyDescent="0.25">
      <c r="A3619" t="s">
        <v>3227</v>
      </c>
      <c r="G3619" t="str">
        <f t="shared" si="308"/>
        <v>07/15/19</v>
      </c>
      <c r="H3619" t="str">
        <f t="shared" si="303"/>
        <v>Tampa Bay Rays</v>
      </c>
      <c r="I3619" s="60">
        <f t="shared" si="304"/>
        <v>5</v>
      </c>
      <c r="J3619" t="str">
        <f t="shared" si="305"/>
        <v>New York Yankees</v>
      </c>
      <c r="K3619" s="60">
        <f t="shared" si="306"/>
        <v>4</v>
      </c>
      <c r="L3619">
        <f t="shared" si="307"/>
        <v>1</v>
      </c>
    </row>
    <row r="3620" spans="1:12" x14ac:dyDescent="0.25">
      <c r="G3620" t="str">
        <f t="shared" si="308"/>
        <v>07/15/19</v>
      </c>
      <c r="H3620" t="str">
        <f t="shared" si="303"/>
        <v/>
      </c>
      <c r="I3620" s="60" t="str">
        <f t="shared" si="304"/>
        <v/>
      </c>
      <c r="J3620" t="str">
        <f t="shared" si="305"/>
        <v/>
      </c>
      <c r="K3620" s="60" t="str">
        <f t="shared" si="306"/>
        <v/>
      </c>
      <c r="L3620" t="str">
        <f t="shared" si="307"/>
        <v/>
      </c>
    </row>
    <row r="3621" spans="1:12" x14ac:dyDescent="0.25">
      <c r="A3621" t="s">
        <v>3228</v>
      </c>
      <c r="G3621" t="str">
        <f t="shared" si="308"/>
        <v>07/15/19</v>
      </c>
      <c r="H3621" t="str">
        <f t="shared" si="303"/>
        <v>Los Angeles Dodgers</v>
      </c>
      <c r="I3621" s="60">
        <f t="shared" si="304"/>
        <v>16</v>
      </c>
      <c r="J3621" t="str">
        <f t="shared" si="305"/>
        <v>Philadelphia Phillies</v>
      </c>
      <c r="K3621" s="60">
        <f t="shared" si="306"/>
        <v>2</v>
      </c>
      <c r="L3621">
        <f t="shared" si="307"/>
        <v>14</v>
      </c>
    </row>
    <row r="3622" spans="1:12" x14ac:dyDescent="0.25">
      <c r="G3622" t="str">
        <f t="shared" si="308"/>
        <v>07/15/19</v>
      </c>
      <c r="H3622" t="str">
        <f t="shared" si="303"/>
        <v/>
      </c>
      <c r="I3622" s="60" t="str">
        <f t="shared" si="304"/>
        <v/>
      </c>
      <c r="J3622" t="str">
        <f t="shared" si="305"/>
        <v/>
      </c>
      <c r="K3622" s="60" t="str">
        <f t="shared" si="306"/>
        <v/>
      </c>
      <c r="L3622" t="str">
        <f t="shared" si="307"/>
        <v/>
      </c>
    </row>
    <row r="3623" spans="1:12" x14ac:dyDescent="0.25">
      <c r="A3623" t="s">
        <v>3229</v>
      </c>
      <c r="G3623" t="str">
        <f t="shared" si="308"/>
        <v>07/15/19</v>
      </c>
      <c r="H3623" t="str">
        <f t="shared" si="303"/>
        <v>Pittsburgh Pirates</v>
      </c>
      <c r="I3623" s="60">
        <f t="shared" si="304"/>
        <v>0</v>
      </c>
      <c r="J3623" t="str">
        <f t="shared" si="305"/>
        <v>St. Louis Cardinals</v>
      </c>
      <c r="K3623" s="60">
        <f t="shared" si="306"/>
        <v>7</v>
      </c>
      <c r="L3623">
        <f t="shared" si="307"/>
        <v>-7</v>
      </c>
    </row>
    <row r="3624" spans="1:12" x14ac:dyDescent="0.25">
      <c r="G3624" t="str">
        <f t="shared" si="308"/>
        <v>07/15/19</v>
      </c>
      <c r="H3624" t="str">
        <f t="shared" si="303"/>
        <v/>
      </c>
      <c r="I3624" s="60" t="str">
        <f t="shared" si="304"/>
        <v/>
      </c>
      <c r="J3624" t="str">
        <f t="shared" si="305"/>
        <v/>
      </c>
      <c r="K3624" s="60" t="str">
        <f t="shared" si="306"/>
        <v/>
      </c>
      <c r="L3624" t="str">
        <f t="shared" si="307"/>
        <v/>
      </c>
    </row>
    <row r="3625" spans="1:12" x14ac:dyDescent="0.25">
      <c r="A3625" t="s">
        <v>3230</v>
      </c>
      <c r="G3625" t="str">
        <f t="shared" si="308"/>
        <v>07/15/19</v>
      </c>
      <c r="H3625" t="str">
        <f t="shared" si="303"/>
        <v/>
      </c>
      <c r="I3625" s="60" t="str">
        <f t="shared" si="304"/>
        <v/>
      </c>
      <c r="J3625" t="str">
        <f t="shared" si="305"/>
        <v/>
      </c>
      <c r="K3625" s="60" t="str">
        <f t="shared" si="306"/>
        <v/>
      </c>
      <c r="L3625" t="str">
        <f t="shared" si="307"/>
        <v/>
      </c>
    </row>
    <row r="3626" spans="1:12" x14ac:dyDescent="0.25">
      <c r="G3626" t="str">
        <f t="shared" si="308"/>
        <v>07/15/19</v>
      </c>
      <c r="H3626" t="str">
        <f t="shared" si="303"/>
        <v/>
      </c>
      <c r="I3626" s="60" t="str">
        <f t="shared" si="304"/>
        <v/>
      </c>
      <c r="J3626" t="str">
        <f t="shared" si="305"/>
        <v/>
      </c>
      <c r="K3626" s="60" t="str">
        <f t="shared" si="306"/>
        <v/>
      </c>
      <c r="L3626" t="str">
        <f t="shared" si="307"/>
        <v/>
      </c>
    </row>
    <row r="3627" spans="1:12" x14ac:dyDescent="0.25">
      <c r="A3627" t="s">
        <v>3231</v>
      </c>
      <c r="G3627" t="str">
        <f t="shared" si="308"/>
        <v>07/16/19</v>
      </c>
      <c r="H3627" t="str">
        <f t="shared" si="303"/>
        <v/>
      </c>
      <c r="I3627" s="60" t="str">
        <f t="shared" si="304"/>
        <v/>
      </c>
      <c r="J3627" t="str">
        <f t="shared" si="305"/>
        <v/>
      </c>
      <c r="K3627" s="60" t="str">
        <f t="shared" si="306"/>
        <v/>
      </c>
      <c r="L3627" t="str">
        <f t="shared" si="307"/>
        <v/>
      </c>
    </row>
    <row r="3628" spans="1:12" x14ac:dyDescent="0.25">
      <c r="G3628" t="str">
        <f t="shared" si="308"/>
        <v>07/16/19</v>
      </c>
      <c r="H3628" t="str">
        <f t="shared" si="303"/>
        <v/>
      </c>
      <c r="I3628" s="60" t="str">
        <f t="shared" si="304"/>
        <v/>
      </c>
      <c r="J3628" t="str">
        <f t="shared" si="305"/>
        <v/>
      </c>
      <c r="K3628" s="60" t="str">
        <f t="shared" si="306"/>
        <v/>
      </c>
      <c r="L3628" t="str">
        <f t="shared" si="307"/>
        <v/>
      </c>
    </row>
    <row r="3629" spans="1:12" x14ac:dyDescent="0.25">
      <c r="A3629" t="s">
        <v>3232</v>
      </c>
      <c r="G3629" t="str">
        <f t="shared" si="308"/>
        <v>07/16/19</v>
      </c>
      <c r="H3629" t="str">
        <f t="shared" si="303"/>
        <v>Houston Astros</v>
      </c>
      <c r="I3629" s="60">
        <f t="shared" si="304"/>
        <v>2</v>
      </c>
      <c r="J3629" t="str">
        <f t="shared" si="305"/>
        <v>Los Angeles Angels</v>
      </c>
      <c r="K3629" s="60">
        <f t="shared" si="306"/>
        <v>7</v>
      </c>
      <c r="L3629">
        <f t="shared" si="307"/>
        <v>-5</v>
      </c>
    </row>
    <row r="3630" spans="1:12" x14ac:dyDescent="0.25">
      <c r="G3630" t="str">
        <f t="shared" si="308"/>
        <v>07/16/19</v>
      </c>
      <c r="H3630" t="str">
        <f t="shared" si="303"/>
        <v/>
      </c>
      <c r="I3630" s="60" t="str">
        <f t="shared" si="304"/>
        <v/>
      </c>
      <c r="J3630" t="str">
        <f t="shared" si="305"/>
        <v/>
      </c>
      <c r="K3630" s="60" t="str">
        <f t="shared" si="306"/>
        <v/>
      </c>
      <c r="L3630" t="str">
        <f t="shared" si="307"/>
        <v/>
      </c>
    </row>
    <row r="3631" spans="1:12" x14ac:dyDescent="0.25">
      <c r="A3631" t="s">
        <v>3233</v>
      </c>
      <c r="G3631" t="str">
        <f t="shared" si="308"/>
        <v>07/16/19</v>
      </c>
      <c r="H3631" t="str">
        <f t="shared" si="303"/>
        <v>Washington Nationals</v>
      </c>
      <c r="I3631" s="60">
        <f t="shared" si="304"/>
        <v>8</v>
      </c>
      <c r="J3631" t="str">
        <f t="shared" si="305"/>
        <v>Baltimore Orioles</v>
      </c>
      <c r="K3631" s="60">
        <f t="shared" si="306"/>
        <v>1</v>
      </c>
      <c r="L3631">
        <f t="shared" si="307"/>
        <v>7</v>
      </c>
    </row>
    <row r="3632" spans="1:12" x14ac:dyDescent="0.25">
      <c r="G3632" t="str">
        <f t="shared" si="308"/>
        <v>07/16/19</v>
      </c>
      <c r="H3632" t="str">
        <f t="shared" si="303"/>
        <v/>
      </c>
      <c r="I3632" s="60" t="str">
        <f t="shared" si="304"/>
        <v/>
      </c>
      <c r="J3632" t="str">
        <f t="shared" si="305"/>
        <v/>
      </c>
      <c r="K3632" s="60" t="str">
        <f t="shared" si="306"/>
        <v/>
      </c>
      <c r="L3632" t="str">
        <f t="shared" si="307"/>
        <v/>
      </c>
    </row>
    <row r="3633" spans="1:12" x14ac:dyDescent="0.25">
      <c r="A3633" t="s">
        <v>3234</v>
      </c>
      <c r="G3633" t="str">
        <f t="shared" si="308"/>
        <v>07/16/19</v>
      </c>
      <c r="H3633" t="str">
        <f t="shared" si="303"/>
        <v>Toronto Blue Jays</v>
      </c>
      <c r="I3633" s="60">
        <f t="shared" si="304"/>
        <v>10</v>
      </c>
      <c r="J3633" t="str">
        <f t="shared" si="305"/>
        <v>Boston Red Sox</v>
      </c>
      <c r="K3633" s="60">
        <f t="shared" si="306"/>
        <v>4</v>
      </c>
      <c r="L3633">
        <f t="shared" si="307"/>
        <v>6</v>
      </c>
    </row>
    <row r="3634" spans="1:12" x14ac:dyDescent="0.25">
      <c r="G3634" t="str">
        <f t="shared" si="308"/>
        <v>07/16/19</v>
      </c>
      <c r="H3634" t="str">
        <f t="shared" si="303"/>
        <v/>
      </c>
      <c r="I3634" s="60" t="str">
        <f t="shared" si="304"/>
        <v/>
      </c>
      <c r="J3634" t="str">
        <f t="shared" si="305"/>
        <v/>
      </c>
      <c r="K3634" s="60" t="str">
        <f t="shared" si="306"/>
        <v/>
      </c>
      <c r="L3634" t="str">
        <f t="shared" si="307"/>
        <v/>
      </c>
    </row>
    <row r="3635" spans="1:12" x14ac:dyDescent="0.25">
      <c r="A3635" t="s">
        <v>3235</v>
      </c>
      <c r="G3635" t="str">
        <f t="shared" si="308"/>
        <v>07/16/19</v>
      </c>
      <c r="H3635" t="str">
        <f t="shared" si="303"/>
        <v>Cincinnati Reds</v>
      </c>
      <c r="I3635" s="60">
        <f t="shared" si="304"/>
        <v>3</v>
      </c>
      <c r="J3635" t="str">
        <f t="shared" si="305"/>
        <v>Chicago Cubs</v>
      </c>
      <c r="K3635" s="60">
        <f t="shared" si="306"/>
        <v>4</v>
      </c>
      <c r="L3635">
        <f t="shared" si="307"/>
        <v>-1</v>
      </c>
    </row>
    <row r="3636" spans="1:12" x14ac:dyDescent="0.25">
      <c r="G3636" t="str">
        <f t="shared" si="308"/>
        <v>07/16/19</v>
      </c>
      <c r="H3636" t="str">
        <f t="shared" si="303"/>
        <v/>
      </c>
      <c r="I3636" s="60" t="str">
        <f t="shared" si="304"/>
        <v/>
      </c>
      <c r="J3636" t="str">
        <f t="shared" si="305"/>
        <v/>
      </c>
      <c r="K3636" s="60" t="str">
        <f t="shared" si="306"/>
        <v/>
      </c>
      <c r="L3636" t="str">
        <f t="shared" si="307"/>
        <v/>
      </c>
    </row>
    <row r="3637" spans="1:12" x14ac:dyDescent="0.25">
      <c r="A3637" t="s">
        <v>3236</v>
      </c>
      <c r="G3637" t="str">
        <f t="shared" si="308"/>
        <v>07/16/19</v>
      </c>
      <c r="H3637" t="str">
        <f t="shared" si="303"/>
        <v>Detroit Tigers</v>
      </c>
      <c r="I3637" s="60">
        <f t="shared" si="304"/>
        <v>0</v>
      </c>
      <c r="J3637" t="str">
        <f t="shared" si="305"/>
        <v>Cleveland Indians</v>
      </c>
      <c r="K3637" s="60">
        <f t="shared" si="306"/>
        <v>8</v>
      </c>
      <c r="L3637">
        <f t="shared" si="307"/>
        <v>-8</v>
      </c>
    </row>
    <row r="3638" spans="1:12" x14ac:dyDescent="0.25">
      <c r="G3638" t="str">
        <f t="shared" si="308"/>
        <v>07/16/19</v>
      </c>
      <c r="H3638" t="str">
        <f t="shared" si="303"/>
        <v/>
      </c>
      <c r="I3638" s="60" t="str">
        <f t="shared" si="304"/>
        <v/>
      </c>
      <c r="J3638" t="str">
        <f t="shared" si="305"/>
        <v/>
      </c>
      <c r="K3638" s="60" t="str">
        <f t="shared" si="306"/>
        <v/>
      </c>
      <c r="L3638" t="str">
        <f t="shared" si="307"/>
        <v/>
      </c>
    </row>
    <row r="3639" spans="1:12" x14ac:dyDescent="0.25">
      <c r="A3639" t="s">
        <v>3237</v>
      </c>
      <c r="G3639" t="str">
        <f t="shared" si="308"/>
        <v>07/16/19</v>
      </c>
      <c r="H3639" t="str">
        <f t="shared" si="303"/>
        <v>San Francisco Giants</v>
      </c>
      <c r="I3639" s="60">
        <f t="shared" si="304"/>
        <v>8</v>
      </c>
      <c r="J3639" t="str">
        <f t="shared" si="305"/>
        <v>Colorado Rockies</v>
      </c>
      <c r="K3639" s="60">
        <f t="shared" si="306"/>
        <v>4</v>
      </c>
      <c r="L3639">
        <f t="shared" si="307"/>
        <v>4</v>
      </c>
    </row>
    <row r="3640" spans="1:12" x14ac:dyDescent="0.25">
      <c r="G3640" t="str">
        <f t="shared" si="308"/>
        <v>07/16/19</v>
      </c>
      <c r="H3640" t="str">
        <f t="shared" si="303"/>
        <v/>
      </c>
      <c r="I3640" s="60" t="str">
        <f t="shared" si="304"/>
        <v/>
      </c>
      <c r="J3640" t="str">
        <f t="shared" si="305"/>
        <v/>
      </c>
      <c r="K3640" s="60" t="str">
        <f t="shared" si="306"/>
        <v/>
      </c>
      <c r="L3640" t="str">
        <f t="shared" si="307"/>
        <v/>
      </c>
    </row>
    <row r="3641" spans="1:12" x14ac:dyDescent="0.25">
      <c r="A3641" t="s">
        <v>3238</v>
      </c>
      <c r="G3641" t="str">
        <f t="shared" si="308"/>
        <v>07/16/19</v>
      </c>
      <c r="H3641" t="str">
        <f t="shared" si="303"/>
        <v>Chicago White Sox</v>
      </c>
      <c r="I3641" s="60">
        <f t="shared" si="304"/>
        <v>0</v>
      </c>
      <c r="J3641" t="str">
        <f t="shared" si="305"/>
        <v>Kansas City Royals</v>
      </c>
      <c r="K3641" s="60">
        <f t="shared" si="306"/>
        <v>11</v>
      </c>
      <c r="L3641">
        <f t="shared" si="307"/>
        <v>-11</v>
      </c>
    </row>
    <row r="3642" spans="1:12" x14ac:dyDescent="0.25">
      <c r="G3642" t="str">
        <f t="shared" si="308"/>
        <v>07/16/19</v>
      </c>
      <c r="H3642" t="str">
        <f t="shared" si="303"/>
        <v/>
      </c>
      <c r="I3642" s="60" t="str">
        <f t="shared" si="304"/>
        <v/>
      </c>
      <c r="J3642" t="str">
        <f t="shared" si="305"/>
        <v/>
      </c>
      <c r="K3642" s="60" t="str">
        <f t="shared" si="306"/>
        <v/>
      </c>
      <c r="L3642" t="str">
        <f t="shared" si="307"/>
        <v/>
      </c>
    </row>
    <row r="3643" spans="1:12" x14ac:dyDescent="0.25">
      <c r="A3643" t="s">
        <v>3239</v>
      </c>
      <c r="G3643" t="str">
        <f t="shared" si="308"/>
        <v>07/16/19</v>
      </c>
      <c r="H3643" t="str">
        <f t="shared" si="303"/>
        <v>San Diego Padres</v>
      </c>
      <c r="I3643" s="60">
        <f t="shared" si="304"/>
        <v>7</v>
      </c>
      <c r="J3643" t="str">
        <f t="shared" si="305"/>
        <v>Miami Marlins</v>
      </c>
      <c r="K3643" s="60">
        <f t="shared" si="306"/>
        <v>12</v>
      </c>
      <c r="L3643">
        <f t="shared" si="307"/>
        <v>-5</v>
      </c>
    </row>
    <row r="3644" spans="1:12" x14ac:dyDescent="0.25">
      <c r="G3644" t="str">
        <f t="shared" si="308"/>
        <v>07/16/19</v>
      </c>
      <c r="H3644" t="str">
        <f t="shared" si="303"/>
        <v/>
      </c>
      <c r="I3644" s="60" t="str">
        <f t="shared" si="304"/>
        <v/>
      </c>
      <c r="J3644" t="str">
        <f t="shared" si="305"/>
        <v/>
      </c>
      <c r="K3644" s="60" t="str">
        <f t="shared" si="306"/>
        <v/>
      </c>
      <c r="L3644" t="str">
        <f t="shared" si="307"/>
        <v/>
      </c>
    </row>
    <row r="3645" spans="1:12" x14ac:dyDescent="0.25">
      <c r="A3645" t="s">
        <v>3240</v>
      </c>
      <c r="G3645" t="str">
        <f t="shared" si="308"/>
        <v>07/16/19</v>
      </c>
      <c r="H3645" t="str">
        <f t="shared" si="303"/>
        <v>Atlanta Braves</v>
      </c>
      <c r="I3645" s="60">
        <f t="shared" si="304"/>
        <v>1</v>
      </c>
      <c r="J3645" t="str">
        <f t="shared" si="305"/>
        <v>Milwaukee Brewers</v>
      </c>
      <c r="K3645" s="60">
        <f t="shared" si="306"/>
        <v>13</v>
      </c>
      <c r="L3645">
        <f t="shared" si="307"/>
        <v>-12</v>
      </c>
    </row>
    <row r="3646" spans="1:12" x14ac:dyDescent="0.25">
      <c r="G3646" t="str">
        <f t="shared" si="308"/>
        <v>07/16/19</v>
      </c>
      <c r="H3646" t="str">
        <f t="shared" si="303"/>
        <v/>
      </c>
      <c r="I3646" s="60" t="str">
        <f t="shared" si="304"/>
        <v/>
      </c>
      <c r="J3646" t="str">
        <f t="shared" si="305"/>
        <v/>
      </c>
      <c r="K3646" s="60" t="str">
        <f t="shared" si="306"/>
        <v/>
      </c>
      <c r="L3646" t="str">
        <f t="shared" si="307"/>
        <v/>
      </c>
    </row>
    <row r="3647" spans="1:12" x14ac:dyDescent="0.25">
      <c r="A3647" t="s">
        <v>3241</v>
      </c>
      <c r="G3647" t="str">
        <f t="shared" si="308"/>
        <v>07/16/19</v>
      </c>
      <c r="H3647" t="str">
        <f t="shared" si="303"/>
        <v>New York Mets</v>
      </c>
      <c r="I3647" s="60">
        <f t="shared" si="304"/>
        <v>3</v>
      </c>
      <c r="J3647" t="str">
        <f t="shared" si="305"/>
        <v>Minnesota Twins</v>
      </c>
      <c r="K3647" s="60">
        <f t="shared" si="306"/>
        <v>2</v>
      </c>
      <c r="L3647">
        <f t="shared" si="307"/>
        <v>1</v>
      </c>
    </row>
    <row r="3648" spans="1:12" x14ac:dyDescent="0.25">
      <c r="G3648" t="str">
        <f t="shared" si="308"/>
        <v>07/16/19</v>
      </c>
      <c r="H3648" t="str">
        <f t="shared" si="303"/>
        <v/>
      </c>
      <c r="I3648" s="60" t="str">
        <f t="shared" si="304"/>
        <v/>
      </c>
      <c r="J3648" t="str">
        <f t="shared" si="305"/>
        <v/>
      </c>
      <c r="K3648" s="60" t="str">
        <f t="shared" si="306"/>
        <v/>
      </c>
      <c r="L3648" t="str">
        <f t="shared" si="307"/>
        <v/>
      </c>
    </row>
    <row r="3649" spans="1:12" x14ac:dyDescent="0.25">
      <c r="A3649" t="s">
        <v>3242</v>
      </c>
      <c r="G3649" t="str">
        <f t="shared" si="308"/>
        <v>07/16/19</v>
      </c>
      <c r="H3649" t="str">
        <f t="shared" si="303"/>
        <v>Tampa Bay Rays</v>
      </c>
      <c r="I3649" s="60">
        <f t="shared" si="304"/>
        <v>3</v>
      </c>
      <c r="J3649" t="str">
        <f t="shared" si="305"/>
        <v>New York Yankees</v>
      </c>
      <c r="K3649" s="60">
        <f t="shared" si="306"/>
        <v>8</v>
      </c>
      <c r="L3649">
        <f t="shared" si="307"/>
        <v>-5</v>
      </c>
    </row>
    <row r="3650" spans="1:12" x14ac:dyDescent="0.25">
      <c r="G3650" t="str">
        <f t="shared" si="308"/>
        <v>07/16/19</v>
      </c>
      <c r="H3650" t="str">
        <f t="shared" si="303"/>
        <v/>
      </c>
      <c r="I3650" s="60" t="str">
        <f t="shared" si="304"/>
        <v/>
      </c>
      <c r="J3650" t="str">
        <f t="shared" si="305"/>
        <v/>
      </c>
      <c r="K3650" s="60" t="str">
        <f t="shared" si="306"/>
        <v/>
      </c>
      <c r="L3650" t="str">
        <f t="shared" si="307"/>
        <v/>
      </c>
    </row>
    <row r="3651" spans="1:12" x14ac:dyDescent="0.25">
      <c r="A3651" t="s">
        <v>3243</v>
      </c>
      <c r="G3651" t="str">
        <f t="shared" si="308"/>
        <v>07/16/19</v>
      </c>
      <c r="H3651" t="str">
        <f t="shared" si="303"/>
        <v>Seattle Mariners</v>
      </c>
      <c r="I3651" s="60">
        <f t="shared" si="304"/>
        <v>2</v>
      </c>
      <c r="J3651" t="str">
        <f t="shared" si="305"/>
        <v>Oakland Athletics</v>
      </c>
      <c r="K3651" s="60">
        <f t="shared" si="306"/>
        <v>9</v>
      </c>
      <c r="L3651">
        <f t="shared" si="307"/>
        <v>-7</v>
      </c>
    </row>
    <row r="3652" spans="1:12" x14ac:dyDescent="0.25">
      <c r="G3652" t="str">
        <f t="shared" si="308"/>
        <v>07/16/19</v>
      </c>
      <c r="H3652" t="str">
        <f t="shared" si="303"/>
        <v/>
      </c>
      <c r="I3652" s="60" t="str">
        <f t="shared" si="304"/>
        <v/>
      </c>
      <c r="J3652" t="str">
        <f t="shared" si="305"/>
        <v/>
      </c>
      <c r="K3652" s="60" t="str">
        <f t="shared" si="306"/>
        <v/>
      </c>
      <c r="L3652" t="str">
        <f t="shared" si="307"/>
        <v/>
      </c>
    </row>
    <row r="3653" spans="1:12" x14ac:dyDescent="0.25">
      <c r="A3653" t="s">
        <v>3244</v>
      </c>
      <c r="G3653" t="str">
        <f t="shared" si="308"/>
        <v>07/16/19</v>
      </c>
      <c r="H3653" t="str">
        <f t="shared" si="303"/>
        <v>Los Angeles Dodgers</v>
      </c>
      <c r="I3653" s="60">
        <f t="shared" si="304"/>
        <v>8</v>
      </c>
      <c r="J3653" t="str">
        <f t="shared" si="305"/>
        <v>Philadelphia Phillies</v>
      </c>
      <c r="K3653" s="60">
        <f t="shared" si="306"/>
        <v>9</v>
      </c>
      <c r="L3653">
        <f t="shared" si="307"/>
        <v>-1</v>
      </c>
    </row>
    <row r="3654" spans="1:12" x14ac:dyDescent="0.25">
      <c r="G3654" t="str">
        <f t="shared" si="308"/>
        <v>07/16/19</v>
      </c>
      <c r="H3654" t="str">
        <f t="shared" si="303"/>
        <v/>
      </c>
      <c r="I3654" s="60" t="str">
        <f t="shared" si="304"/>
        <v/>
      </c>
      <c r="J3654" t="str">
        <f t="shared" si="305"/>
        <v/>
      </c>
      <c r="K3654" s="60" t="str">
        <f t="shared" si="306"/>
        <v/>
      </c>
      <c r="L3654" t="str">
        <f t="shared" si="307"/>
        <v/>
      </c>
    </row>
    <row r="3655" spans="1:12" x14ac:dyDescent="0.25">
      <c r="A3655" t="s">
        <v>3245</v>
      </c>
      <c r="G3655" t="str">
        <f t="shared" si="308"/>
        <v>07/16/19</v>
      </c>
      <c r="H3655" t="str">
        <f t="shared" si="303"/>
        <v>Pittsburgh Pirates</v>
      </c>
      <c r="I3655" s="60">
        <f t="shared" si="304"/>
        <v>3</v>
      </c>
      <c r="J3655" t="str">
        <f t="shared" si="305"/>
        <v>St. Louis Cardinals</v>
      </c>
      <c r="K3655" s="60">
        <f t="shared" si="306"/>
        <v>1</v>
      </c>
      <c r="L3655">
        <f t="shared" si="307"/>
        <v>2</v>
      </c>
    </row>
    <row r="3656" spans="1:12" x14ac:dyDescent="0.25">
      <c r="G3656" t="str">
        <f t="shared" si="308"/>
        <v>07/16/19</v>
      </c>
      <c r="H3656" t="str">
        <f t="shared" si="303"/>
        <v/>
      </c>
      <c r="I3656" s="60" t="str">
        <f t="shared" si="304"/>
        <v/>
      </c>
      <c r="J3656" t="str">
        <f t="shared" si="305"/>
        <v/>
      </c>
      <c r="K3656" s="60" t="str">
        <f t="shared" si="306"/>
        <v/>
      </c>
      <c r="L3656" t="str">
        <f t="shared" si="307"/>
        <v/>
      </c>
    </row>
    <row r="3657" spans="1:12" x14ac:dyDescent="0.25">
      <c r="A3657" t="s">
        <v>3246</v>
      </c>
      <c r="G3657" t="str">
        <f t="shared" si="308"/>
        <v>07/16/19</v>
      </c>
      <c r="H3657" t="str">
        <f t="shared" si="303"/>
        <v>Arizona D'Backs</v>
      </c>
      <c r="I3657" s="60">
        <f t="shared" si="304"/>
        <v>9</v>
      </c>
      <c r="J3657" t="str">
        <f t="shared" si="305"/>
        <v>Texas Rangers</v>
      </c>
      <c r="K3657" s="60">
        <f t="shared" si="306"/>
        <v>2</v>
      </c>
      <c r="L3657">
        <f t="shared" si="307"/>
        <v>7</v>
      </c>
    </row>
    <row r="3658" spans="1:12" x14ac:dyDescent="0.25">
      <c r="G3658" t="str">
        <f t="shared" si="308"/>
        <v>07/16/19</v>
      </c>
      <c r="H3658" t="str">
        <f t="shared" si="303"/>
        <v/>
      </c>
      <c r="I3658" s="60" t="str">
        <f t="shared" si="304"/>
        <v/>
      </c>
      <c r="J3658" t="str">
        <f t="shared" si="305"/>
        <v/>
      </c>
      <c r="K3658" s="60" t="str">
        <f t="shared" si="306"/>
        <v/>
      </c>
      <c r="L3658" t="str">
        <f t="shared" si="307"/>
        <v/>
      </c>
    </row>
    <row r="3659" spans="1:12" x14ac:dyDescent="0.25">
      <c r="A3659" t="s">
        <v>3247</v>
      </c>
      <c r="G3659" t="str">
        <f t="shared" si="308"/>
        <v>07/16/19</v>
      </c>
      <c r="H3659" t="str">
        <f t="shared" si="303"/>
        <v/>
      </c>
      <c r="I3659" s="60" t="str">
        <f t="shared" si="304"/>
        <v/>
      </c>
      <c r="J3659" t="str">
        <f t="shared" si="305"/>
        <v/>
      </c>
      <c r="K3659" s="60" t="str">
        <f t="shared" si="306"/>
        <v/>
      </c>
      <c r="L3659" t="str">
        <f t="shared" si="307"/>
        <v/>
      </c>
    </row>
    <row r="3660" spans="1:12" x14ac:dyDescent="0.25">
      <c r="G3660" t="str">
        <f t="shared" si="308"/>
        <v>07/16/19</v>
      </c>
      <c r="H3660" t="str">
        <f t="shared" si="303"/>
        <v/>
      </c>
      <c r="I3660" s="60" t="str">
        <f t="shared" si="304"/>
        <v/>
      </c>
      <c r="J3660" t="str">
        <f t="shared" si="305"/>
        <v/>
      </c>
      <c r="K3660" s="60" t="str">
        <f t="shared" si="306"/>
        <v/>
      </c>
      <c r="L3660" t="str">
        <f t="shared" si="307"/>
        <v/>
      </c>
    </row>
    <row r="3661" spans="1:12" x14ac:dyDescent="0.25">
      <c r="A3661" t="s">
        <v>3248</v>
      </c>
      <c r="G3661" t="str">
        <f t="shared" si="308"/>
        <v>07/17/19</v>
      </c>
      <c r="H3661" t="str">
        <f t="shared" si="303"/>
        <v/>
      </c>
      <c r="I3661" s="60" t="str">
        <f t="shared" si="304"/>
        <v/>
      </c>
      <c r="J3661" t="str">
        <f t="shared" si="305"/>
        <v/>
      </c>
      <c r="K3661" s="60" t="str">
        <f t="shared" si="306"/>
        <v/>
      </c>
      <c r="L3661" t="str">
        <f t="shared" si="307"/>
        <v/>
      </c>
    </row>
    <row r="3662" spans="1:12" x14ac:dyDescent="0.25">
      <c r="G3662" t="str">
        <f t="shared" si="308"/>
        <v>07/17/19</v>
      </c>
      <c r="H3662" t="str">
        <f t="shared" si="303"/>
        <v/>
      </c>
      <c r="I3662" s="60" t="str">
        <f t="shared" si="304"/>
        <v/>
      </c>
      <c r="J3662" t="str">
        <f t="shared" si="305"/>
        <v/>
      </c>
      <c r="K3662" s="60" t="str">
        <f t="shared" si="306"/>
        <v/>
      </c>
      <c r="L3662" t="str">
        <f t="shared" si="307"/>
        <v/>
      </c>
    </row>
    <row r="3663" spans="1:12" x14ac:dyDescent="0.25">
      <c r="A3663" t="s">
        <v>3249</v>
      </c>
      <c r="G3663" t="str">
        <f t="shared" si="308"/>
        <v>07/17/19</v>
      </c>
      <c r="H3663" t="str">
        <f t="shared" si="303"/>
        <v>Houston Astros</v>
      </c>
      <c r="I3663" s="60">
        <f t="shared" si="304"/>
        <v>11</v>
      </c>
      <c r="J3663" t="str">
        <f t="shared" si="305"/>
        <v>Los Angeles Angels</v>
      </c>
      <c r="K3663" s="60">
        <f t="shared" si="306"/>
        <v>2</v>
      </c>
      <c r="L3663">
        <f t="shared" si="307"/>
        <v>9</v>
      </c>
    </row>
    <row r="3664" spans="1:12" x14ac:dyDescent="0.25">
      <c r="G3664" t="str">
        <f t="shared" si="308"/>
        <v>07/17/19</v>
      </c>
      <c r="H3664" t="str">
        <f t="shared" ref="H3664:H3727" si="309">IFERROR(LEFT(MID(A3664,1,SEARCH("@",A3664)-2),SEARCH("(",A3664)-2),"")</f>
        <v/>
      </c>
      <c r="I3664" s="60" t="str">
        <f t="shared" ref="I3664:I3727" si="310">IFERROR(VALUE(MID(A3664,SEARCH("(",A3664)+1,SEARCH(")",A3664)-SEARCH("(",A3664)-1)),"")</f>
        <v/>
      </c>
      <c r="J3664" t="str">
        <f t="shared" ref="J3664:J3727" si="311">IFERROR(MID(A3664,SEARCH("@",A3664)+2,SEARCH("(",A3664,SEARCH("@",A3664))-SEARCH("@",A3664)-3),"")</f>
        <v/>
      </c>
      <c r="K3664" s="60" t="str">
        <f t="shared" ref="K3664:K3727" si="312">IFERROR(VALUE(MID(A3664,SEARCH(J3664,A3664)+LEN(J3664)+2,(SEARCH(")",A3664,SEARCH("@",A3664))-SEARCH("(",A3664,SEARCH("@",A3664))-1))),"")</f>
        <v/>
      </c>
      <c r="L3664" t="str">
        <f t="shared" ref="L3664:L3727" si="313">IFERROR(I3664-K3664,"")</f>
        <v/>
      </c>
    </row>
    <row r="3665" spans="1:12" x14ac:dyDescent="0.25">
      <c r="A3665" t="s">
        <v>3250</v>
      </c>
      <c r="G3665" t="str">
        <f t="shared" si="308"/>
        <v>07/17/19</v>
      </c>
      <c r="H3665" t="str">
        <f t="shared" si="309"/>
        <v>Washington Nationals</v>
      </c>
      <c r="I3665" s="60">
        <f t="shared" si="310"/>
        <v>2</v>
      </c>
      <c r="J3665" t="str">
        <f t="shared" si="311"/>
        <v>Baltimore Orioles</v>
      </c>
      <c r="K3665" s="60">
        <f t="shared" si="312"/>
        <v>9</v>
      </c>
      <c r="L3665">
        <f t="shared" si="313"/>
        <v>-7</v>
      </c>
    </row>
    <row r="3666" spans="1:12" x14ac:dyDescent="0.25">
      <c r="G3666" t="str">
        <f t="shared" si="308"/>
        <v>07/17/19</v>
      </c>
      <c r="H3666" t="str">
        <f t="shared" si="309"/>
        <v/>
      </c>
      <c r="I3666" s="60" t="str">
        <f t="shared" si="310"/>
        <v/>
      </c>
      <c r="J3666" t="str">
        <f t="shared" si="311"/>
        <v/>
      </c>
      <c r="K3666" s="60" t="str">
        <f t="shared" si="312"/>
        <v/>
      </c>
      <c r="L3666" t="str">
        <f t="shared" si="313"/>
        <v/>
      </c>
    </row>
    <row r="3667" spans="1:12" x14ac:dyDescent="0.25">
      <c r="A3667" t="s">
        <v>3251</v>
      </c>
      <c r="G3667" t="str">
        <f t="shared" si="308"/>
        <v>07/17/19</v>
      </c>
      <c r="H3667" t="str">
        <f t="shared" si="309"/>
        <v>Toronto Blue Jays</v>
      </c>
      <c r="I3667" s="60">
        <f t="shared" si="310"/>
        <v>4</v>
      </c>
      <c r="J3667" t="str">
        <f t="shared" si="311"/>
        <v>Boston Red Sox</v>
      </c>
      <c r="K3667" s="60">
        <f t="shared" si="312"/>
        <v>5</v>
      </c>
      <c r="L3667">
        <f t="shared" si="313"/>
        <v>-1</v>
      </c>
    </row>
    <row r="3668" spans="1:12" x14ac:dyDescent="0.25">
      <c r="G3668" t="str">
        <f t="shared" si="308"/>
        <v>07/17/19</v>
      </c>
      <c r="H3668" t="str">
        <f t="shared" si="309"/>
        <v/>
      </c>
      <c r="I3668" s="60" t="str">
        <f t="shared" si="310"/>
        <v/>
      </c>
      <c r="J3668" t="str">
        <f t="shared" si="311"/>
        <v/>
      </c>
      <c r="K3668" s="60" t="str">
        <f t="shared" si="312"/>
        <v/>
      </c>
      <c r="L3668" t="str">
        <f t="shared" si="313"/>
        <v/>
      </c>
    </row>
    <row r="3669" spans="1:12" x14ac:dyDescent="0.25">
      <c r="A3669" t="s">
        <v>3252</v>
      </c>
      <c r="G3669" t="str">
        <f t="shared" si="308"/>
        <v>07/17/19</v>
      </c>
      <c r="H3669" t="str">
        <f t="shared" si="309"/>
        <v>Cincinnati Reds</v>
      </c>
      <c r="I3669" s="60">
        <f t="shared" si="310"/>
        <v>2</v>
      </c>
      <c r="J3669" t="str">
        <f t="shared" si="311"/>
        <v>Chicago Cubs</v>
      </c>
      <c r="K3669" s="60">
        <f t="shared" si="312"/>
        <v>5</v>
      </c>
      <c r="L3669">
        <f t="shared" si="313"/>
        <v>-3</v>
      </c>
    </row>
    <row r="3670" spans="1:12" x14ac:dyDescent="0.25">
      <c r="G3670" t="str">
        <f t="shared" si="308"/>
        <v>07/17/19</v>
      </c>
      <c r="H3670" t="str">
        <f t="shared" si="309"/>
        <v/>
      </c>
      <c r="I3670" s="60" t="str">
        <f t="shared" si="310"/>
        <v/>
      </c>
      <c r="J3670" t="str">
        <f t="shared" si="311"/>
        <v/>
      </c>
      <c r="K3670" s="60" t="str">
        <f t="shared" si="312"/>
        <v/>
      </c>
      <c r="L3670" t="str">
        <f t="shared" si="313"/>
        <v/>
      </c>
    </row>
    <row r="3671" spans="1:12" x14ac:dyDescent="0.25">
      <c r="A3671" t="s">
        <v>3253</v>
      </c>
      <c r="G3671" t="str">
        <f t="shared" si="308"/>
        <v>07/17/19</v>
      </c>
      <c r="H3671" t="str">
        <f t="shared" si="309"/>
        <v>Detroit Tigers</v>
      </c>
      <c r="I3671" s="60">
        <f t="shared" si="310"/>
        <v>2</v>
      </c>
      <c r="J3671" t="str">
        <f t="shared" si="311"/>
        <v>Cleveland Indians</v>
      </c>
      <c r="K3671" s="60">
        <f t="shared" si="312"/>
        <v>7</v>
      </c>
      <c r="L3671">
        <f t="shared" si="313"/>
        <v>-5</v>
      </c>
    </row>
    <row r="3672" spans="1:12" x14ac:dyDescent="0.25">
      <c r="G3672" t="str">
        <f t="shared" si="308"/>
        <v>07/17/19</v>
      </c>
      <c r="H3672" t="str">
        <f t="shared" si="309"/>
        <v/>
      </c>
      <c r="I3672" s="60" t="str">
        <f t="shared" si="310"/>
        <v/>
      </c>
      <c r="J3672" t="str">
        <f t="shared" si="311"/>
        <v/>
      </c>
      <c r="K3672" s="60" t="str">
        <f t="shared" si="312"/>
        <v/>
      </c>
      <c r="L3672" t="str">
        <f t="shared" si="313"/>
        <v/>
      </c>
    </row>
    <row r="3673" spans="1:12" x14ac:dyDescent="0.25">
      <c r="A3673" t="s">
        <v>3254</v>
      </c>
      <c r="G3673" t="str">
        <f t="shared" si="308"/>
        <v>07/17/19</v>
      </c>
      <c r="H3673" t="str">
        <f t="shared" si="309"/>
        <v>San Francisco Giants</v>
      </c>
      <c r="I3673" s="60">
        <f t="shared" si="310"/>
        <v>11</v>
      </c>
      <c r="J3673" t="str">
        <f t="shared" si="311"/>
        <v>Colorado Rockies</v>
      </c>
      <c r="K3673" s="60">
        <f t="shared" si="312"/>
        <v>8</v>
      </c>
      <c r="L3673">
        <f t="shared" si="313"/>
        <v>3</v>
      </c>
    </row>
    <row r="3674" spans="1:12" x14ac:dyDescent="0.25">
      <c r="G3674" t="str">
        <f t="shared" si="308"/>
        <v>07/17/19</v>
      </c>
      <c r="H3674" t="str">
        <f t="shared" si="309"/>
        <v/>
      </c>
      <c r="I3674" s="60" t="str">
        <f t="shared" si="310"/>
        <v/>
      </c>
      <c r="J3674" t="str">
        <f t="shared" si="311"/>
        <v/>
      </c>
      <c r="K3674" s="60" t="str">
        <f t="shared" si="312"/>
        <v/>
      </c>
      <c r="L3674" t="str">
        <f t="shared" si="313"/>
        <v/>
      </c>
    </row>
    <row r="3675" spans="1:12" x14ac:dyDescent="0.25">
      <c r="A3675" t="s">
        <v>3255</v>
      </c>
      <c r="G3675" t="str">
        <f t="shared" si="308"/>
        <v>07/17/19</v>
      </c>
      <c r="H3675" t="str">
        <f t="shared" si="309"/>
        <v>Chicago White Sox</v>
      </c>
      <c r="I3675" s="60">
        <f t="shared" si="310"/>
        <v>5</v>
      </c>
      <c r="J3675" t="str">
        <f t="shared" si="311"/>
        <v>Kansas City Royals</v>
      </c>
      <c r="K3675" s="60">
        <f t="shared" si="312"/>
        <v>7</v>
      </c>
      <c r="L3675">
        <f t="shared" si="313"/>
        <v>-2</v>
      </c>
    </row>
    <row r="3676" spans="1:12" x14ac:dyDescent="0.25">
      <c r="G3676" t="str">
        <f t="shared" si="308"/>
        <v>07/17/19</v>
      </c>
      <c r="H3676" t="str">
        <f t="shared" si="309"/>
        <v/>
      </c>
      <c r="I3676" s="60" t="str">
        <f t="shared" si="310"/>
        <v/>
      </c>
      <c r="J3676" t="str">
        <f t="shared" si="311"/>
        <v/>
      </c>
      <c r="K3676" s="60" t="str">
        <f t="shared" si="312"/>
        <v/>
      </c>
      <c r="L3676" t="str">
        <f t="shared" si="313"/>
        <v/>
      </c>
    </row>
    <row r="3677" spans="1:12" x14ac:dyDescent="0.25">
      <c r="A3677" t="s">
        <v>3256</v>
      </c>
      <c r="G3677" t="str">
        <f t="shared" si="308"/>
        <v>07/17/19</v>
      </c>
      <c r="H3677" t="str">
        <f t="shared" si="309"/>
        <v>San Diego Padres</v>
      </c>
      <c r="I3677" s="60">
        <f t="shared" si="310"/>
        <v>3</v>
      </c>
      <c r="J3677" t="str">
        <f t="shared" si="311"/>
        <v>Miami Marlins</v>
      </c>
      <c r="K3677" s="60">
        <f t="shared" si="312"/>
        <v>2</v>
      </c>
      <c r="L3677">
        <f t="shared" si="313"/>
        <v>1</v>
      </c>
    </row>
    <row r="3678" spans="1:12" x14ac:dyDescent="0.25">
      <c r="G3678" t="str">
        <f t="shared" si="308"/>
        <v>07/17/19</v>
      </c>
      <c r="H3678" t="str">
        <f t="shared" si="309"/>
        <v/>
      </c>
      <c r="I3678" s="60" t="str">
        <f t="shared" si="310"/>
        <v/>
      </c>
      <c r="J3678" t="str">
        <f t="shared" si="311"/>
        <v/>
      </c>
      <c r="K3678" s="60" t="str">
        <f t="shared" si="312"/>
        <v/>
      </c>
      <c r="L3678" t="str">
        <f t="shared" si="313"/>
        <v/>
      </c>
    </row>
    <row r="3679" spans="1:12" x14ac:dyDescent="0.25">
      <c r="A3679" t="s">
        <v>3257</v>
      </c>
      <c r="G3679" t="str">
        <f t="shared" si="308"/>
        <v>07/17/19</v>
      </c>
      <c r="H3679" t="str">
        <f t="shared" si="309"/>
        <v>Atlanta Braves</v>
      </c>
      <c r="I3679" s="60">
        <f t="shared" si="310"/>
        <v>4</v>
      </c>
      <c r="J3679" t="str">
        <f t="shared" si="311"/>
        <v>Milwaukee Brewers</v>
      </c>
      <c r="K3679" s="60">
        <f t="shared" si="312"/>
        <v>5</v>
      </c>
      <c r="L3679">
        <f t="shared" si="313"/>
        <v>-1</v>
      </c>
    </row>
    <row r="3680" spans="1:12" x14ac:dyDescent="0.25">
      <c r="G3680" t="str">
        <f t="shared" si="308"/>
        <v>07/17/19</v>
      </c>
      <c r="H3680" t="str">
        <f t="shared" si="309"/>
        <v/>
      </c>
      <c r="I3680" s="60" t="str">
        <f t="shared" si="310"/>
        <v/>
      </c>
      <c r="J3680" t="str">
        <f t="shared" si="311"/>
        <v/>
      </c>
      <c r="K3680" s="60" t="str">
        <f t="shared" si="312"/>
        <v/>
      </c>
      <c r="L3680" t="str">
        <f t="shared" si="313"/>
        <v/>
      </c>
    </row>
    <row r="3681" spans="1:12" x14ac:dyDescent="0.25">
      <c r="A3681" t="s">
        <v>3258</v>
      </c>
      <c r="G3681" t="str">
        <f t="shared" si="308"/>
        <v>07/17/19</v>
      </c>
      <c r="H3681" t="str">
        <f t="shared" si="309"/>
        <v>New York Mets</v>
      </c>
      <c r="I3681" s="60">
        <f t="shared" si="310"/>
        <v>14</v>
      </c>
      <c r="J3681" t="str">
        <f t="shared" si="311"/>
        <v>Minnesota Twins</v>
      </c>
      <c r="K3681" s="60">
        <f t="shared" si="312"/>
        <v>4</v>
      </c>
      <c r="L3681">
        <f t="shared" si="313"/>
        <v>10</v>
      </c>
    </row>
    <row r="3682" spans="1:12" x14ac:dyDescent="0.25">
      <c r="G3682" t="str">
        <f t="shared" ref="G3682:G3745" si="314">IF(ISNUMBER(MATCH(IFERROR(LEFT(A3682,SEARCH(",",A3682)-1),""),$G$220:$M$220,0)),TEXT(MID(A3682,SEARCH(",",A3682)+2,LEN(A3682)),"mm/dd/yy"),G3681)</f>
        <v>07/17/19</v>
      </c>
      <c r="H3682" t="str">
        <f t="shared" si="309"/>
        <v/>
      </c>
      <c r="I3682" s="60" t="str">
        <f t="shared" si="310"/>
        <v/>
      </c>
      <c r="J3682" t="str">
        <f t="shared" si="311"/>
        <v/>
      </c>
      <c r="K3682" s="60" t="str">
        <f t="shared" si="312"/>
        <v/>
      </c>
      <c r="L3682" t="str">
        <f t="shared" si="313"/>
        <v/>
      </c>
    </row>
    <row r="3683" spans="1:12" x14ac:dyDescent="0.25">
      <c r="A3683" t="s">
        <v>3259</v>
      </c>
      <c r="G3683" t="str">
        <f t="shared" si="314"/>
        <v>07/17/19</v>
      </c>
      <c r="H3683" t="str">
        <f t="shared" si="309"/>
        <v>Seattle Mariners</v>
      </c>
      <c r="I3683" s="60">
        <f t="shared" si="310"/>
        <v>2</v>
      </c>
      <c r="J3683" t="str">
        <f t="shared" si="311"/>
        <v>Oakland Athletics</v>
      </c>
      <c r="K3683" s="60">
        <f t="shared" si="312"/>
        <v>10</v>
      </c>
      <c r="L3683">
        <f t="shared" si="313"/>
        <v>-8</v>
      </c>
    </row>
    <row r="3684" spans="1:12" x14ac:dyDescent="0.25">
      <c r="G3684" t="str">
        <f t="shared" si="314"/>
        <v>07/17/19</v>
      </c>
      <c r="H3684" t="str">
        <f t="shared" si="309"/>
        <v/>
      </c>
      <c r="I3684" s="60" t="str">
        <f t="shared" si="310"/>
        <v/>
      </c>
      <c r="J3684" t="str">
        <f t="shared" si="311"/>
        <v/>
      </c>
      <c r="K3684" s="60" t="str">
        <f t="shared" si="312"/>
        <v/>
      </c>
      <c r="L3684" t="str">
        <f t="shared" si="313"/>
        <v/>
      </c>
    </row>
    <row r="3685" spans="1:12" x14ac:dyDescent="0.25">
      <c r="A3685" t="s">
        <v>3260</v>
      </c>
      <c r="G3685" t="str">
        <f t="shared" si="314"/>
        <v>07/17/19</v>
      </c>
      <c r="H3685" t="str">
        <f t="shared" si="309"/>
        <v>Los Angeles Dodgers</v>
      </c>
      <c r="I3685" s="60">
        <f t="shared" si="310"/>
        <v>7</v>
      </c>
      <c r="J3685" t="str">
        <f t="shared" si="311"/>
        <v>Philadelphia Phillies</v>
      </c>
      <c r="K3685" s="60">
        <f t="shared" si="312"/>
        <v>2</v>
      </c>
      <c r="L3685">
        <f t="shared" si="313"/>
        <v>5</v>
      </c>
    </row>
    <row r="3686" spans="1:12" x14ac:dyDescent="0.25">
      <c r="G3686" t="str">
        <f t="shared" si="314"/>
        <v>07/17/19</v>
      </c>
      <c r="H3686" t="str">
        <f t="shared" si="309"/>
        <v/>
      </c>
      <c r="I3686" s="60" t="str">
        <f t="shared" si="310"/>
        <v/>
      </c>
      <c r="J3686" t="str">
        <f t="shared" si="311"/>
        <v/>
      </c>
      <c r="K3686" s="60" t="str">
        <f t="shared" si="312"/>
        <v/>
      </c>
      <c r="L3686" t="str">
        <f t="shared" si="313"/>
        <v/>
      </c>
    </row>
    <row r="3687" spans="1:12" x14ac:dyDescent="0.25">
      <c r="A3687" t="s">
        <v>3261</v>
      </c>
      <c r="G3687" t="str">
        <f t="shared" si="314"/>
        <v>07/17/19</v>
      </c>
      <c r="H3687" t="str">
        <f t="shared" si="309"/>
        <v>Pittsburgh Pirates</v>
      </c>
      <c r="I3687" s="60">
        <f t="shared" si="310"/>
        <v>5</v>
      </c>
      <c r="J3687" t="str">
        <f t="shared" si="311"/>
        <v>St. Louis Cardinals</v>
      </c>
      <c r="K3687" s="60">
        <f t="shared" si="312"/>
        <v>6</v>
      </c>
      <c r="L3687">
        <f t="shared" si="313"/>
        <v>-1</v>
      </c>
    </row>
    <row r="3688" spans="1:12" x14ac:dyDescent="0.25">
      <c r="G3688" t="str">
        <f t="shared" si="314"/>
        <v>07/17/19</v>
      </c>
      <c r="H3688" t="str">
        <f t="shared" si="309"/>
        <v/>
      </c>
      <c r="I3688" s="60" t="str">
        <f t="shared" si="310"/>
        <v/>
      </c>
      <c r="J3688" t="str">
        <f t="shared" si="311"/>
        <v/>
      </c>
      <c r="K3688" s="60" t="str">
        <f t="shared" si="312"/>
        <v/>
      </c>
      <c r="L3688" t="str">
        <f t="shared" si="313"/>
        <v/>
      </c>
    </row>
    <row r="3689" spans="1:12" x14ac:dyDescent="0.25">
      <c r="A3689" t="s">
        <v>3262</v>
      </c>
      <c r="G3689" t="str">
        <f t="shared" si="314"/>
        <v>07/17/19</v>
      </c>
      <c r="H3689" t="str">
        <f t="shared" si="309"/>
        <v>Arizona D'Backs</v>
      </c>
      <c r="I3689" s="60">
        <f t="shared" si="310"/>
        <v>19</v>
      </c>
      <c r="J3689" t="str">
        <f t="shared" si="311"/>
        <v>Texas Rangers</v>
      </c>
      <c r="K3689" s="60">
        <f t="shared" si="312"/>
        <v>4</v>
      </c>
      <c r="L3689">
        <f t="shared" si="313"/>
        <v>15</v>
      </c>
    </row>
    <row r="3690" spans="1:12" x14ac:dyDescent="0.25">
      <c r="G3690" t="str">
        <f t="shared" si="314"/>
        <v>07/17/19</v>
      </c>
      <c r="H3690" t="str">
        <f t="shared" si="309"/>
        <v/>
      </c>
      <c r="I3690" s="60" t="str">
        <f t="shared" si="310"/>
        <v/>
      </c>
      <c r="J3690" t="str">
        <f t="shared" si="311"/>
        <v/>
      </c>
      <c r="K3690" s="60" t="str">
        <f t="shared" si="312"/>
        <v/>
      </c>
      <c r="L3690" t="str">
        <f t="shared" si="313"/>
        <v/>
      </c>
    </row>
    <row r="3691" spans="1:12" x14ac:dyDescent="0.25">
      <c r="A3691" t="s">
        <v>3263</v>
      </c>
      <c r="G3691" t="str">
        <f t="shared" si="314"/>
        <v>07/17/19</v>
      </c>
      <c r="H3691" t="str">
        <f t="shared" si="309"/>
        <v/>
      </c>
      <c r="I3691" s="60" t="str">
        <f t="shared" si="310"/>
        <v/>
      </c>
      <c r="J3691" t="str">
        <f t="shared" si="311"/>
        <v/>
      </c>
      <c r="K3691" s="60" t="str">
        <f t="shared" si="312"/>
        <v/>
      </c>
      <c r="L3691" t="str">
        <f t="shared" si="313"/>
        <v/>
      </c>
    </row>
    <row r="3692" spans="1:12" x14ac:dyDescent="0.25">
      <c r="G3692" t="str">
        <f t="shared" si="314"/>
        <v>07/17/19</v>
      </c>
      <c r="H3692" t="str">
        <f t="shared" si="309"/>
        <v/>
      </c>
      <c r="I3692" s="60" t="str">
        <f t="shared" si="310"/>
        <v/>
      </c>
      <c r="J3692" t="str">
        <f t="shared" si="311"/>
        <v/>
      </c>
      <c r="K3692" s="60" t="str">
        <f t="shared" si="312"/>
        <v/>
      </c>
      <c r="L3692" t="str">
        <f t="shared" si="313"/>
        <v/>
      </c>
    </row>
    <row r="3693" spans="1:12" x14ac:dyDescent="0.25">
      <c r="A3693" t="s">
        <v>3386</v>
      </c>
      <c r="G3693" t="str">
        <f t="shared" si="314"/>
        <v>07/18/19</v>
      </c>
      <c r="H3693" t="str">
        <f t="shared" si="309"/>
        <v/>
      </c>
      <c r="I3693" s="60" t="str">
        <f t="shared" si="310"/>
        <v/>
      </c>
      <c r="J3693" t="str">
        <f t="shared" si="311"/>
        <v/>
      </c>
      <c r="K3693" s="60" t="str">
        <f t="shared" si="312"/>
        <v/>
      </c>
      <c r="L3693" t="str">
        <f t="shared" si="313"/>
        <v/>
      </c>
    </row>
    <row r="3694" spans="1:12" x14ac:dyDescent="0.25">
      <c r="G3694" t="str">
        <f t="shared" si="314"/>
        <v>07/18/19</v>
      </c>
      <c r="H3694" t="str">
        <f t="shared" si="309"/>
        <v/>
      </c>
      <c r="I3694" s="60" t="str">
        <f t="shared" si="310"/>
        <v/>
      </c>
      <c r="J3694" t="str">
        <f t="shared" si="311"/>
        <v/>
      </c>
      <c r="K3694" s="60" t="str">
        <f t="shared" si="312"/>
        <v/>
      </c>
      <c r="L3694" t="str">
        <f t="shared" si="313"/>
        <v/>
      </c>
    </row>
    <row r="3695" spans="1:12" x14ac:dyDescent="0.25">
      <c r="A3695" t="s">
        <v>3387</v>
      </c>
      <c r="G3695" t="str">
        <f t="shared" si="314"/>
        <v>07/18/19</v>
      </c>
      <c r="H3695" t="str">
        <f t="shared" si="309"/>
        <v>Houston Astros</v>
      </c>
      <c r="I3695" s="60">
        <f t="shared" si="310"/>
        <v>6</v>
      </c>
      <c r="J3695" t="str">
        <f t="shared" si="311"/>
        <v>Los Angeles Angels</v>
      </c>
      <c r="K3695" s="60">
        <f t="shared" si="312"/>
        <v>2</v>
      </c>
      <c r="L3695">
        <f t="shared" si="313"/>
        <v>4</v>
      </c>
    </row>
    <row r="3696" spans="1:12" x14ac:dyDescent="0.25">
      <c r="G3696" t="str">
        <f t="shared" si="314"/>
        <v>07/18/19</v>
      </c>
      <c r="H3696" t="str">
        <f t="shared" si="309"/>
        <v/>
      </c>
      <c r="I3696" s="60" t="str">
        <f t="shared" si="310"/>
        <v/>
      </c>
      <c r="J3696" t="str">
        <f t="shared" si="311"/>
        <v/>
      </c>
      <c r="K3696" s="60" t="str">
        <f t="shared" si="312"/>
        <v/>
      </c>
      <c r="L3696" t="str">
        <f t="shared" si="313"/>
        <v/>
      </c>
    </row>
    <row r="3697" spans="1:12" x14ac:dyDescent="0.25">
      <c r="A3697" t="s">
        <v>3388</v>
      </c>
      <c r="G3697" t="str">
        <f t="shared" si="314"/>
        <v>07/18/19</v>
      </c>
      <c r="H3697" t="str">
        <f t="shared" si="309"/>
        <v>Milwaukee Brewers</v>
      </c>
      <c r="I3697" s="60">
        <f t="shared" si="310"/>
        <v>5</v>
      </c>
      <c r="J3697" t="str">
        <f t="shared" si="311"/>
        <v>Arizona D'Backs</v>
      </c>
      <c r="K3697" s="60">
        <f t="shared" si="312"/>
        <v>1</v>
      </c>
      <c r="L3697">
        <f t="shared" si="313"/>
        <v>4</v>
      </c>
    </row>
    <row r="3698" spans="1:12" x14ac:dyDescent="0.25">
      <c r="G3698" t="str">
        <f t="shared" si="314"/>
        <v>07/18/19</v>
      </c>
      <c r="H3698" t="str">
        <f t="shared" si="309"/>
        <v/>
      </c>
      <c r="I3698" s="60" t="str">
        <f t="shared" si="310"/>
        <v/>
      </c>
      <c r="J3698" t="str">
        <f t="shared" si="311"/>
        <v/>
      </c>
      <c r="K3698" s="60" t="str">
        <f t="shared" si="312"/>
        <v/>
      </c>
      <c r="L3698" t="str">
        <f t="shared" si="313"/>
        <v/>
      </c>
    </row>
    <row r="3699" spans="1:12" x14ac:dyDescent="0.25">
      <c r="A3699" t="s">
        <v>3389</v>
      </c>
      <c r="G3699" t="str">
        <f t="shared" si="314"/>
        <v>07/18/19</v>
      </c>
      <c r="H3699" t="str">
        <f t="shared" si="309"/>
        <v>Washington Nationals</v>
      </c>
      <c r="I3699" s="60">
        <f t="shared" si="310"/>
        <v>13</v>
      </c>
      <c r="J3699" t="str">
        <f t="shared" si="311"/>
        <v>Atlanta Braves</v>
      </c>
      <c r="K3699" s="60">
        <f t="shared" si="312"/>
        <v>4</v>
      </c>
      <c r="L3699">
        <f t="shared" si="313"/>
        <v>9</v>
      </c>
    </row>
    <row r="3700" spans="1:12" x14ac:dyDescent="0.25">
      <c r="G3700" t="str">
        <f t="shared" si="314"/>
        <v>07/18/19</v>
      </c>
      <c r="H3700" t="str">
        <f t="shared" si="309"/>
        <v/>
      </c>
      <c r="I3700" s="60" t="str">
        <f t="shared" si="310"/>
        <v/>
      </c>
      <c r="J3700" t="str">
        <f t="shared" si="311"/>
        <v/>
      </c>
      <c r="K3700" s="60" t="str">
        <f t="shared" si="312"/>
        <v/>
      </c>
      <c r="L3700" t="str">
        <f t="shared" si="313"/>
        <v/>
      </c>
    </row>
    <row r="3701" spans="1:12" x14ac:dyDescent="0.25">
      <c r="A3701" t="s">
        <v>3390</v>
      </c>
      <c r="G3701" t="str">
        <f t="shared" si="314"/>
        <v>07/18/19</v>
      </c>
      <c r="H3701" t="str">
        <f t="shared" si="309"/>
        <v>Toronto Blue Jays</v>
      </c>
      <c r="I3701" s="60">
        <f t="shared" si="310"/>
        <v>0</v>
      </c>
      <c r="J3701" t="str">
        <f t="shared" si="311"/>
        <v>Boston Red Sox</v>
      </c>
      <c r="K3701" s="60">
        <f t="shared" si="312"/>
        <v>5</v>
      </c>
      <c r="L3701">
        <f t="shared" si="313"/>
        <v>-5</v>
      </c>
    </row>
    <row r="3702" spans="1:12" x14ac:dyDescent="0.25">
      <c r="G3702" t="str">
        <f t="shared" si="314"/>
        <v>07/18/19</v>
      </c>
      <c r="H3702" t="str">
        <f t="shared" si="309"/>
        <v/>
      </c>
      <c r="I3702" s="60" t="str">
        <f t="shared" si="310"/>
        <v/>
      </c>
      <c r="J3702" t="str">
        <f t="shared" si="311"/>
        <v/>
      </c>
      <c r="K3702" s="60" t="str">
        <f t="shared" si="312"/>
        <v/>
      </c>
      <c r="L3702" t="str">
        <f t="shared" si="313"/>
        <v/>
      </c>
    </row>
    <row r="3703" spans="1:12" x14ac:dyDescent="0.25">
      <c r="A3703" t="s">
        <v>3391</v>
      </c>
      <c r="G3703" t="str">
        <f t="shared" si="314"/>
        <v>07/18/19</v>
      </c>
      <c r="H3703" t="str">
        <f t="shared" si="309"/>
        <v>St. Louis Cardinals</v>
      </c>
      <c r="I3703" s="60">
        <f t="shared" si="310"/>
        <v>7</v>
      </c>
      <c r="J3703" t="str">
        <f t="shared" si="311"/>
        <v>Cincinnati Reds</v>
      </c>
      <c r="K3703" s="60">
        <f t="shared" si="312"/>
        <v>4</v>
      </c>
      <c r="L3703">
        <f t="shared" si="313"/>
        <v>3</v>
      </c>
    </row>
    <row r="3704" spans="1:12" x14ac:dyDescent="0.25">
      <c r="G3704" t="str">
        <f t="shared" si="314"/>
        <v>07/18/19</v>
      </c>
      <c r="H3704" t="str">
        <f t="shared" si="309"/>
        <v/>
      </c>
      <c r="I3704" s="60" t="str">
        <f t="shared" si="310"/>
        <v/>
      </c>
      <c r="J3704" t="str">
        <f t="shared" si="311"/>
        <v/>
      </c>
      <c r="K3704" s="60" t="str">
        <f t="shared" si="312"/>
        <v/>
      </c>
      <c r="L3704" t="str">
        <f t="shared" si="313"/>
        <v/>
      </c>
    </row>
    <row r="3705" spans="1:12" x14ac:dyDescent="0.25">
      <c r="A3705" t="s">
        <v>3392</v>
      </c>
      <c r="G3705" t="str">
        <f t="shared" si="314"/>
        <v>07/18/19</v>
      </c>
      <c r="H3705" t="str">
        <f t="shared" si="309"/>
        <v>Detroit Tigers</v>
      </c>
      <c r="I3705" s="60">
        <f t="shared" si="310"/>
        <v>3</v>
      </c>
      <c r="J3705" t="str">
        <f t="shared" si="311"/>
        <v>Cleveland Indians</v>
      </c>
      <c r="K3705" s="60">
        <f t="shared" si="312"/>
        <v>6</v>
      </c>
      <c r="L3705">
        <f t="shared" si="313"/>
        <v>-3</v>
      </c>
    </row>
    <row r="3706" spans="1:12" x14ac:dyDescent="0.25">
      <c r="G3706" t="str">
        <f t="shared" si="314"/>
        <v>07/18/19</v>
      </c>
      <c r="H3706" t="str">
        <f t="shared" si="309"/>
        <v/>
      </c>
      <c r="I3706" s="60" t="str">
        <f t="shared" si="310"/>
        <v/>
      </c>
      <c r="J3706" t="str">
        <f t="shared" si="311"/>
        <v/>
      </c>
      <c r="K3706" s="60" t="str">
        <f t="shared" si="312"/>
        <v/>
      </c>
      <c r="L3706" t="str">
        <f t="shared" si="313"/>
        <v/>
      </c>
    </row>
    <row r="3707" spans="1:12" x14ac:dyDescent="0.25">
      <c r="A3707" t="s">
        <v>3393</v>
      </c>
      <c r="G3707" t="str">
        <f t="shared" si="314"/>
        <v>07/18/19</v>
      </c>
      <c r="H3707" t="str">
        <f t="shared" si="309"/>
        <v>Chicago White Sox</v>
      </c>
      <c r="I3707" s="60">
        <f t="shared" si="310"/>
        <v>5</v>
      </c>
      <c r="J3707" t="str">
        <f t="shared" si="311"/>
        <v>Kansas City Royals</v>
      </c>
      <c r="K3707" s="60">
        <f t="shared" si="312"/>
        <v>6</v>
      </c>
      <c r="L3707">
        <f t="shared" si="313"/>
        <v>-1</v>
      </c>
    </row>
    <row r="3708" spans="1:12" x14ac:dyDescent="0.25">
      <c r="G3708" t="str">
        <f t="shared" si="314"/>
        <v>07/18/19</v>
      </c>
      <c r="H3708" t="str">
        <f t="shared" si="309"/>
        <v/>
      </c>
      <c r="I3708" s="60" t="str">
        <f t="shared" si="310"/>
        <v/>
      </c>
      <c r="J3708" t="str">
        <f t="shared" si="311"/>
        <v/>
      </c>
      <c r="K3708" s="60" t="str">
        <f t="shared" si="312"/>
        <v/>
      </c>
      <c r="L3708" t="str">
        <f t="shared" si="313"/>
        <v/>
      </c>
    </row>
    <row r="3709" spans="1:12" x14ac:dyDescent="0.25">
      <c r="A3709" t="s">
        <v>3394</v>
      </c>
      <c r="G3709" t="str">
        <f t="shared" si="314"/>
        <v>07/18/19</v>
      </c>
      <c r="H3709" t="str">
        <f t="shared" si="309"/>
        <v>San Diego Padres</v>
      </c>
      <c r="I3709" s="60">
        <f t="shared" si="310"/>
        <v>3</v>
      </c>
      <c r="J3709" t="str">
        <f t="shared" si="311"/>
        <v>Miami Marlins</v>
      </c>
      <c r="K3709" s="60">
        <f t="shared" si="312"/>
        <v>4</v>
      </c>
      <c r="L3709">
        <f t="shared" si="313"/>
        <v>-1</v>
      </c>
    </row>
    <row r="3710" spans="1:12" x14ac:dyDescent="0.25">
      <c r="G3710" t="str">
        <f t="shared" si="314"/>
        <v>07/18/19</v>
      </c>
      <c r="H3710" t="str">
        <f t="shared" si="309"/>
        <v/>
      </c>
      <c r="I3710" s="60" t="str">
        <f t="shared" si="310"/>
        <v/>
      </c>
      <c r="J3710" t="str">
        <f t="shared" si="311"/>
        <v/>
      </c>
      <c r="K3710" s="60" t="str">
        <f t="shared" si="312"/>
        <v/>
      </c>
      <c r="L3710" t="str">
        <f t="shared" si="313"/>
        <v/>
      </c>
    </row>
    <row r="3711" spans="1:12" x14ac:dyDescent="0.25">
      <c r="A3711" t="s">
        <v>3395</v>
      </c>
      <c r="G3711" t="str">
        <f t="shared" si="314"/>
        <v>07/18/19</v>
      </c>
      <c r="H3711" t="str">
        <f t="shared" si="309"/>
        <v>Oakland Athletics</v>
      </c>
      <c r="I3711" s="60">
        <f t="shared" si="310"/>
        <v>3</v>
      </c>
      <c r="J3711" t="str">
        <f t="shared" si="311"/>
        <v>Minnesota Twins</v>
      </c>
      <c r="K3711" s="60">
        <f t="shared" si="312"/>
        <v>6</v>
      </c>
      <c r="L3711">
        <f t="shared" si="313"/>
        <v>-3</v>
      </c>
    </row>
    <row r="3712" spans="1:12" x14ac:dyDescent="0.25">
      <c r="G3712" t="str">
        <f t="shared" si="314"/>
        <v>07/18/19</v>
      </c>
      <c r="H3712" t="str">
        <f t="shared" si="309"/>
        <v/>
      </c>
      <c r="I3712" s="60" t="str">
        <f t="shared" si="310"/>
        <v/>
      </c>
      <c r="J3712" t="str">
        <f t="shared" si="311"/>
        <v/>
      </c>
      <c r="K3712" s="60" t="str">
        <f t="shared" si="312"/>
        <v/>
      </c>
      <c r="L3712" t="str">
        <f t="shared" si="313"/>
        <v/>
      </c>
    </row>
    <row r="3713" spans="1:12" x14ac:dyDescent="0.25">
      <c r="A3713" t="s">
        <v>3396</v>
      </c>
      <c r="G3713" t="str">
        <f t="shared" si="314"/>
        <v>07/18/19</v>
      </c>
      <c r="H3713" t="str">
        <f t="shared" si="309"/>
        <v>Tampa Bay Rays</v>
      </c>
      <c r="I3713" s="60">
        <f t="shared" si="310"/>
        <v>2</v>
      </c>
      <c r="J3713" t="str">
        <f t="shared" si="311"/>
        <v>New York Yankees</v>
      </c>
      <c r="K3713" s="60">
        <f t="shared" si="312"/>
        <v>6</v>
      </c>
      <c r="L3713">
        <f t="shared" si="313"/>
        <v>-4</v>
      </c>
    </row>
    <row r="3714" spans="1:12" x14ac:dyDescent="0.25">
      <c r="G3714" t="str">
        <f t="shared" si="314"/>
        <v>07/18/19</v>
      </c>
      <c r="H3714" t="str">
        <f t="shared" si="309"/>
        <v/>
      </c>
      <c r="I3714" s="60" t="str">
        <f t="shared" si="310"/>
        <v/>
      </c>
      <c r="J3714" t="str">
        <f t="shared" si="311"/>
        <v/>
      </c>
      <c r="K3714" s="60" t="str">
        <f t="shared" si="312"/>
        <v/>
      </c>
      <c r="L3714" t="str">
        <f t="shared" si="313"/>
        <v/>
      </c>
    </row>
    <row r="3715" spans="1:12" x14ac:dyDescent="0.25">
      <c r="A3715" t="s">
        <v>3397</v>
      </c>
      <c r="G3715" t="str">
        <f t="shared" si="314"/>
        <v>07/18/19</v>
      </c>
      <c r="H3715" t="str">
        <f t="shared" si="309"/>
        <v>Tampa Bay Rays</v>
      </c>
      <c r="I3715" s="60">
        <f t="shared" si="310"/>
        <v>1</v>
      </c>
      <c r="J3715" t="str">
        <f t="shared" si="311"/>
        <v>New York Yankees</v>
      </c>
      <c r="K3715" s="60">
        <f t="shared" si="312"/>
        <v>5</v>
      </c>
      <c r="L3715">
        <f t="shared" si="313"/>
        <v>-4</v>
      </c>
    </row>
    <row r="3716" spans="1:12" x14ac:dyDescent="0.25">
      <c r="G3716" t="str">
        <f t="shared" si="314"/>
        <v>07/18/19</v>
      </c>
      <c r="H3716" t="str">
        <f t="shared" si="309"/>
        <v/>
      </c>
      <c r="I3716" s="60" t="str">
        <f t="shared" si="310"/>
        <v/>
      </c>
      <c r="J3716" t="str">
        <f t="shared" si="311"/>
        <v/>
      </c>
      <c r="K3716" s="60" t="str">
        <f t="shared" si="312"/>
        <v/>
      </c>
      <c r="L3716" t="str">
        <f t="shared" si="313"/>
        <v/>
      </c>
    </row>
    <row r="3717" spans="1:12" x14ac:dyDescent="0.25">
      <c r="A3717" t="s">
        <v>3398</v>
      </c>
      <c r="G3717" t="str">
        <f t="shared" si="314"/>
        <v>07/18/19</v>
      </c>
      <c r="H3717" t="str">
        <f t="shared" si="309"/>
        <v>Los Angeles Dodgers</v>
      </c>
      <c r="I3717" s="60">
        <f t="shared" si="310"/>
        <v>6</v>
      </c>
      <c r="J3717" t="str">
        <f t="shared" si="311"/>
        <v>Philadelphia Phillies</v>
      </c>
      <c r="K3717" s="60">
        <f t="shared" si="312"/>
        <v>7</v>
      </c>
      <c r="L3717">
        <f t="shared" si="313"/>
        <v>-1</v>
      </c>
    </row>
    <row r="3718" spans="1:12" x14ac:dyDescent="0.25">
      <c r="G3718" t="str">
        <f t="shared" si="314"/>
        <v>07/18/19</v>
      </c>
      <c r="H3718" t="str">
        <f t="shared" si="309"/>
        <v/>
      </c>
      <c r="I3718" s="60" t="str">
        <f t="shared" si="310"/>
        <v/>
      </c>
      <c r="J3718" t="str">
        <f t="shared" si="311"/>
        <v/>
      </c>
      <c r="K3718" s="60" t="str">
        <f t="shared" si="312"/>
        <v/>
      </c>
      <c r="L3718" t="str">
        <f t="shared" si="313"/>
        <v/>
      </c>
    </row>
    <row r="3719" spans="1:12" x14ac:dyDescent="0.25">
      <c r="A3719" t="s">
        <v>3399</v>
      </c>
      <c r="G3719" t="str">
        <f t="shared" si="314"/>
        <v>07/18/19</v>
      </c>
      <c r="H3719" t="str">
        <f t="shared" si="309"/>
        <v>New York Mets</v>
      </c>
      <c r="I3719" s="60">
        <f t="shared" si="310"/>
        <v>2</v>
      </c>
      <c r="J3719" t="str">
        <f t="shared" si="311"/>
        <v>San Francisco Giants</v>
      </c>
      <c r="K3719" s="60">
        <f t="shared" si="312"/>
        <v>3</v>
      </c>
      <c r="L3719">
        <f t="shared" si="313"/>
        <v>-1</v>
      </c>
    </row>
    <row r="3720" spans="1:12" x14ac:dyDescent="0.25">
      <c r="G3720" t="str">
        <f t="shared" si="314"/>
        <v>07/18/19</v>
      </c>
      <c r="H3720" t="str">
        <f t="shared" si="309"/>
        <v/>
      </c>
      <c r="I3720" s="60" t="str">
        <f t="shared" si="310"/>
        <v/>
      </c>
      <c r="J3720" t="str">
        <f t="shared" si="311"/>
        <v/>
      </c>
      <c r="K3720" s="60" t="str">
        <f t="shared" si="312"/>
        <v/>
      </c>
      <c r="L3720" t="str">
        <f t="shared" si="313"/>
        <v/>
      </c>
    </row>
    <row r="3721" spans="1:12" x14ac:dyDescent="0.25">
      <c r="A3721" t="s">
        <v>3400</v>
      </c>
      <c r="G3721" t="str">
        <f t="shared" si="314"/>
        <v>07/18/19</v>
      </c>
      <c r="H3721" t="str">
        <f t="shared" si="309"/>
        <v/>
      </c>
      <c r="I3721" s="60" t="str">
        <f t="shared" si="310"/>
        <v/>
      </c>
      <c r="J3721" t="str">
        <f t="shared" si="311"/>
        <v/>
      </c>
      <c r="K3721" s="60" t="str">
        <f t="shared" si="312"/>
        <v/>
      </c>
      <c r="L3721" t="str">
        <f t="shared" si="313"/>
        <v/>
      </c>
    </row>
    <row r="3722" spans="1:12" x14ac:dyDescent="0.25">
      <c r="G3722" t="str">
        <f t="shared" si="314"/>
        <v>07/18/19</v>
      </c>
      <c r="H3722" t="str">
        <f t="shared" si="309"/>
        <v/>
      </c>
      <c r="I3722" s="60" t="str">
        <f t="shared" si="310"/>
        <v/>
      </c>
      <c r="J3722" t="str">
        <f t="shared" si="311"/>
        <v/>
      </c>
      <c r="K3722" s="60" t="str">
        <f t="shared" si="312"/>
        <v/>
      </c>
      <c r="L3722" t="str">
        <f t="shared" si="313"/>
        <v/>
      </c>
    </row>
    <row r="3723" spans="1:12" x14ac:dyDescent="0.25">
      <c r="A3723" t="s">
        <v>3265</v>
      </c>
      <c r="G3723" t="str">
        <f t="shared" si="314"/>
        <v>07/19/19</v>
      </c>
      <c r="H3723" t="str">
        <f t="shared" si="309"/>
        <v/>
      </c>
      <c r="I3723" s="60" t="str">
        <f t="shared" si="310"/>
        <v/>
      </c>
      <c r="J3723" t="str">
        <f t="shared" si="311"/>
        <v/>
      </c>
      <c r="K3723" s="60" t="str">
        <f t="shared" si="312"/>
        <v/>
      </c>
      <c r="L3723" t="str">
        <f t="shared" si="313"/>
        <v/>
      </c>
    </row>
    <row r="3724" spans="1:12" x14ac:dyDescent="0.25">
      <c r="G3724" t="str">
        <f t="shared" si="314"/>
        <v>07/19/19</v>
      </c>
      <c r="H3724" t="str">
        <f t="shared" si="309"/>
        <v/>
      </c>
      <c r="I3724" s="60" t="str">
        <f t="shared" si="310"/>
        <v/>
      </c>
      <c r="J3724" t="str">
        <f t="shared" si="311"/>
        <v/>
      </c>
      <c r="K3724" s="60" t="str">
        <f t="shared" si="312"/>
        <v/>
      </c>
      <c r="L3724" t="str">
        <f t="shared" si="313"/>
        <v/>
      </c>
    </row>
    <row r="3725" spans="1:12" x14ac:dyDescent="0.25">
      <c r="A3725" t="s">
        <v>3401</v>
      </c>
      <c r="G3725" t="str">
        <f t="shared" si="314"/>
        <v>07/19/19</v>
      </c>
      <c r="H3725" t="str">
        <f t="shared" si="309"/>
        <v>Milwaukee Brewers</v>
      </c>
      <c r="I3725" s="60">
        <f t="shared" si="310"/>
        <v>7</v>
      </c>
      <c r="J3725" t="str">
        <f t="shared" si="311"/>
        <v>Arizona D'Backs</v>
      </c>
      <c r="K3725" s="60">
        <f t="shared" si="312"/>
        <v>10</v>
      </c>
      <c r="L3725">
        <f t="shared" si="313"/>
        <v>-3</v>
      </c>
    </row>
    <row r="3726" spans="1:12" x14ac:dyDescent="0.25">
      <c r="G3726" t="str">
        <f t="shared" si="314"/>
        <v>07/19/19</v>
      </c>
      <c r="H3726" t="str">
        <f t="shared" si="309"/>
        <v/>
      </c>
      <c r="I3726" s="60" t="str">
        <f t="shared" si="310"/>
        <v/>
      </c>
      <c r="J3726" t="str">
        <f t="shared" si="311"/>
        <v/>
      </c>
      <c r="K3726" s="60" t="str">
        <f t="shared" si="312"/>
        <v/>
      </c>
      <c r="L3726" t="str">
        <f t="shared" si="313"/>
        <v/>
      </c>
    </row>
    <row r="3727" spans="1:12" x14ac:dyDescent="0.25">
      <c r="A3727" t="s">
        <v>3402</v>
      </c>
      <c r="G3727" t="str">
        <f t="shared" si="314"/>
        <v>07/19/19</v>
      </c>
      <c r="H3727" t="str">
        <f t="shared" si="309"/>
        <v>Washington Nationals</v>
      </c>
      <c r="I3727" s="60">
        <f t="shared" si="310"/>
        <v>3</v>
      </c>
      <c r="J3727" t="str">
        <f t="shared" si="311"/>
        <v>Atlanta Braves</v>
      </c>
      <c r="K3727" s="60">
        <f t="shared" si="312"/>
        <v>4</v>
      </c>
      <c r="L3727">
        <f t="shared" si="313"/>
        <v>-1</v>
      </c>
    </row>
    <row r="3728" spans="1:12" x14ac:dyDescent="0.25">
      <c r="G3728" t="str">
        <f t="shared" si="314"/>
        <v>07/19/19</v>
      </c>
      <c r="H3728" t="str">
        <f t="shared" ref="H3728:H3791" si="315">IFERROR(LEFT(MID(A3728,1,SEARCH("@",A3728)-2),SEARCH("(",A3728)-2),"")</f>
        <v/>
      </c>
      <c r="I3728" s="60" t="str">
        <f t="shared" ref="I3728:I3791" si="316">IFERROR(VALUE(MID(A3728,SEARCH("(",A3728)+1,SEARCH(")",A3728)-SEARCH("(",A3728)-1)),"")</f>
        <v/>
      </c>
      <c r="J3728" t="str">
        <f t="shared" ref="J3728:J3791" si="317">IFERROR(MID(A3728,SEARCH("@",A3728)+2,SEARCH("(",A3728,SEARCH("@",A3728))-SEARCH("@",A3728)-3),"")</f>
        <v/>
      </c>
      <c r="K3728" s="60" t="str">
        <f t="shared" ref="K3728:K3791" si="318">IFERROR(VALUE(MID(A3728,SEARCH(J3728,A3728)+LEN(J3728)+2,(SEARCH(")",A3728,SEARCH("@",A3728))-SEARCH("(",A3728,SEARCH("@",A3728))-1))),"")</f>
        <v/>
      </c>
      <c r="L3728" t="str">
        <f t="shared" ref="L3728:L3791" si="319">IFERROR(I3728-K3728,"")</f>
        <v/>
      </c>
    </row>
    <row r="3729" spans="1:12" x14ac:dyDescent="0.25">
      <c r="A3729" t="s">
        <v>3403</v>
      </c>
      <c r="G3729" t="str">
        <f t="shared" si="314"/>
        <v>07/19/19</v>
      </c>
      <c r="H3729" t="str">
        <f t="shared" si="315"/>
        <v>Boston Red Sox</v>
      </c>
      <c r="I3729" s="60">
        <f t="shared" si="316"/>
        <v>2</v>
      </c>
      <c r="J3729" t="str">
        <f t="shared" si="317"/>
        <v>Baltimore Orioles</v>
      </c>
      <c r="K3729" s="60">
        <f t="shared" si="318"/>
        <v>11</v>
      </c>
      <c r="L3729">
        <f t="shared" si="319"/>
        <v>-9</v>
      </c>
    </row>
    <row r="3730" spans="1:12" x14ac:dyDescent="0.25">
      <c r="G3730" t="str">
        <f t="shared" si="314"/>
        <v>07/19/19</v>
      </c>
      <c r="H3730" t="str">
        <f t="shared" si="315"/>
        <v/>
      </c>
      <c r="I3730" s="60" t="str">
        <f t="shared" si="316"/>
        <v/>
      </c>
      <c r="J3730" t="str">
        <f t="shared" si="317"/>
        <v/>
      </c>
      <c r="K3730" s="60" t="str">
        <f t="shared" si="318"/>
        <v/>
      </c>
      <c r="L3730" t="str">
        <f t="shared" si="319"/>
        <v/>
      </c>
    </row>
    <row r="3731" spans="1:12" x14ac:dyDescent="0.25">
      <c r="A3731" t="s">
        <v>3404</v>
      </c>
      <c r="G3731" t="str">
        <f t="shared" si="314"/>
        <v>07/19/19</v>
      </c>
      <c r="H3731" t="str">
        <f t="shared" si="315"/>
        <v>San Diego Padres</v>
      </c>
      <c r="I3731" s="60">
        <f t="shared" si="316"/>
        <v>5</v>
      </c>
      <c r="J3731" t="str">
        <f t="shared" si="317"/>
        <v>Chicago Cubs</v>
      </c>
      <c r="K3731" s="60">
        <f t="shared" si="318"/>
        <v>6</v>
      </c>
      <c r="L3731">
        <f t="shared" si="319"/>
        <v>-1</v>
      </c>
    </row>
    <row r="3732" spans="1:12" x14ac:dyDescent="0.25">
      <c r="G3732" t="str">
        <f t="shared" si="314"/>
        <v>07/19/19</v>
      </c>
      <c r="H3732" t="str">
        <f t="shared" si="315"/>
        <v/>
      </c>
      <c r="I3732" s="60" t="str">
        <f t="shared" si="316"/>
        <v/>
      </c>
      <c r="J3732" t="str">
        <f t="shared" si="317"/>
        <v/>
      </c>
      <c r="K3732" s="60" t="str">
        <f t="shared" si="318"/>
        <v/>
      </c>
      <c r="L3732" t="str">
        <f t="shared" si="319"/>
        <v/>
      </c>
    </row>
    <row r="3733" spans="1:12" x14ac:dyDescent="0.25">
      <c r="A3733" t="s">
        <v>3405</v>
      </c>
      <c r="G3733" t="str">
        <f t="shared" si="314"/>
        <v>07/19/19</v>
      </c>
      <c r="H3733" t="str">
        <f t="shared" si="315"/>
        <v>St. Louis Cardinals</v>
      </c>
      <c r="I3733" s="60">
        <f t="shared" si="316"/>
        <v>12</v>
      </c>
      <c r="J3733" t="str">
        <f t="shared" si="317"/>
        <v>Cincinnati Reds</v>
      </c>
      <c r="K3733" s="60">
        <f t="shared" si="318"/>
        <v>11</v>
      </c>
      <c r="L3733">
        <f t="shared" si="319"/>
        <v>1</v>
      </c>
    </row>
    <row r="3734" spans="1:12" x14ac:dyDescent="0.25">
      <c r="G3734" t="str">
        <f t="shared" si="314"/>
        <v>07/19/19</v>
      </c>
      <c r="H3734" t="str">
        <f t="shared" si="315"/>
        <v/>
      </c>
      <c r="I3734" s="60" t="str">
        <f t="shared" si="316"/>
        <v/>
      </c>
      <c r="J3734" t="str">
        <f t="shared" si="317"/>
        <v/>
      </c>
      <c r="K3734" s="60" t="str">
        <f t="shared" si="318"/>
        <v/>
      </c>
      <c r="L3734" t="str">
        <f t="shared" si="319"/>
        <v/>
      </c>
    </row>
    <row r="3735" spans="1:12" x14ac:dyDescent="0.25">
      <c r="A3735" t="s">
        <v>3406</v>
      </c>
      <c r="G3735" t="str">
        <f t="shared" si="314"/>
        <v>07/19/19</v>
      </c>
      <c r="H3735" t="str">
        <f t="shared" si="315"/>
        <v>Kansas City Royals</v>
      </c>
      <c r="I3735" s="60">
        <f t="shared" si="316"/>
        <v>5</v>
      </c>
      <c r="J3735" t="str">
        <f t="shared" si="317"/>
        <v>Cleveland Indians</v>
      </c>
      <c r="K3735" s="60">
        <f t="shared" si="318"/>
        <v>10</v>
      </c>
      <c r="L3735">
        <f t="shared" si="319"/>
        <v>-5</v>
      </c>
    </row>
    <row r="3736" spans="1:12" x14ac:dyDescent="0.25">
      <c r="G3736" t="str">
        <f t="shared" si="314"/>
        <v>07/19/19</v>
      </c>
      <c r="H3736" t="str">
        <f t="shared" si="315"/>
        <v/>
      </c>
      <c r="I3736" s="60" t="str">
        <f t="shared" si="316"/>
        <v/>
      </c>
      <c r="J3736" t="str">
        <f t="shared" si="317"/>
        <v/>
      </c>
      <c r="K3736" s="60" t="str">
        <f t="shared" si="318"/>
        <v/>
      </c>
      <c r="L3736" t="str">
        <f t="shared" si="319"/>
        <v/>
      </c>
    </row>
    <row r="3737" spans="1:12" x14ac:dyDescent="0.25">
      <c r="A3737" t="s">
        <v>3407</v>
      </c>
      <c r="G3737" t="str">
        <f t="shared" si="314"/>
        <v>07/19/19</v>
      </c>
      <c r="H3737" t="str">
        <f t="shared" si="315"/>
        <v>Toronto Blue Jays</v>
      </c>
      <c r="I3737" s="60">
        <f t="shared" si="316"/>
        <v>12</v>
      </c>
      <c r="J3737" t="str">
        <f t="shared" si="317"/>
        <v>Detroit Tigers</v>
      </c>
      <c r="K3737" s="60">
        <f t="shared" si="318"/>
        <v>1</v>
      </c>
      <c r="L3737">
        <f t="shared" si="319"/>
        <v>11</v>
      </c>
    </row>
    <row r="3738" spans="1:12" x14ac:dyDescent="0.25">
      <c r="G3738" t="str">
        <f t="shared" si="314"/>
        <v>07/19/19</v>
      </c>
      <c r="H3738" t="str">
        <f t="shared" si="315"/>
        <v/>
      </c>
      <c r="I3738" s="60" t="str">
        <f t="shared" si="316"/>
        <v/>
      </c>
      <c r="J3738" t="str">
        <f t="shared" si="317"/>
        <v/>
      </c>
      <c r="K3738" s="60" t="str">
        <f t="shared" si="318"/>
        <v/>
      </c>
      <c r="L3738" t="str">
        <f t="shared" si="319"/>
        <v/>
      </c>
    </row>
    <row r="3739" spans="1:12" x14ac:dyDescent="0.25">
      <c r="A3739" t="s">
        <v>3408</v>
      </c>
      <c r="G3739" t="str">
        <f t="shared" si="314"/>
        <v>07/19/19</v>
      </c>
      <c r="H3739" t="str">
        <f t="shared" si="315"/>
        <v>Texas Rangers</v>
      </c>
      <c r="I3739" s="60">
        <f t="shared" si="316"/>
        <v>3</v>
      </c>
      <c r="J3739" t="str">
        <f t="shared" si="317"/>
        <v>Houston Astros</v>
      </c>
      <c r="K3739" s="60">
        <f t="shared" si="318"/>
        <v>4</v>
      </c>
      <c r="L3739">
        <f t="shared" si="319"/>
        <v>-1</v>
      </c>
    </row>
    <row r="3740" spans="1:12" x14ac:dyDescent="0.25">
      <c r="G3740" t="str">
        <f t="shared" si="314"/>
        <v>07/19/19</v>
      </c>
      <c r="H3740" t="str">
        <f t="shared" si="315"/>
        <v/>
      </c>
      <c r="I3740" s="60" t="str">
        <f t="shared" si="316"/>
        <v/>
      </c>
      <c r="J3740" t="str">
        <f t="shared" si="317"/>
        <v/>
      </c>
      <c r="K3740" s="60" t="str">
        <f t="shared" si="318"/>
        <v/>
      </c>
      <c r="L3740" t="str">
        <f t="shared" si="319"/>
        <v/>
      </c>
    </row>
    <row r="3741" spans="1:12" x14ac:dyDescent="0.25">
      <c r="A3741" t="s">
        <v>3409</v>
      </c>
      <c r="G3741" t="str">
        <f t="shared" si="314"/>
        <v>07/19/19</v>
      </c>
      <c r="H3741" t="str">
        <f t="shared" si="315"/>
        <v>Miami Marlins</v>
      </c>
      <c r="I3741" s="60">
        <f t="shared" si="316"/>
        <v>1</v>
      </c>
      <c r="J3741" t="str">
        <f t="shared" si="317"/>
        <v>Los Angeles Dodgers</v>
      </c>
      <c r="K3741" s="60">
        <f t="shared" si="318"/>
        <v>2</v>
      </c>
      <c r="L3741">
        <f t="shared" si="319"/>
        <v>-1</v>
      </c>
    </row>
    <row r="3742" spans="1:12" x14ac:dyDescent="0.25">
      <c r="G3742" t="str">
        <f t="shared" si="314"/>
        <v>07/19/19</v>
      </c>
      <c r="H3742" t="str">
        <f t="shared" si="315"/>
        <v/>
      </c>
      <c r="I3742" s="60" t="str">
        <f t="shared" si="316"/>
        <v/>
      </c>
      <c r="J3742" t="str">
        <f t="shared" si="317"/>
        <v/>
      </c>
      <c r="K3742" s="60" t="str">
        <f t="shared" si="318"/>
        <v/>
      </c>
      <c r="L3742" t="str">
        <f t="shared" si="319"/>
        <v/>
      </c>
    </row>
    <row r="3743" spans="1:12" x14ac:dyDescent="0.25">
      <c r="A3743" t="s">
        <v>3410</v>
      </c>
      <c r="G3743" t="str">
        <f t="shared" si="314"/>
        <v>07/19/19</v>
      </c>
      <c r="H3743" t="str">
        <f t="shared" si="315"/>
        <v>Oakland Athletics</v>
      </c>
      <c r="I3743" s="60">
        <f t="shared" si="316"/>
        <v>5</v>
      </c>
      <c r="J3743" t="str">
        <f t="shared" si="317"/>
        <v>Minnesota Twins</v>
      </c>
      <c r="K3743" s="60">
        <f t="shared" si="318"/>
        <v>3</v>
      </c>
      <c r="L3743">
        <f t="shared" si="319"/>
        <v>2</v>
      </c>
    </row>
    <row r="3744" spans="1:12" x14ac:dyDescent="0.25">
      <c r="G3744" t="str">
        <f t="shared" si="314"/>
        <v>07/19/19</v>
      </c>
      <c r="H3744" t="str">
        <f t="shared" si="315"/>
        <v/>
      </c>
      <c r="I3744" s="60" t="str">
        <f t="shared" si="316"/>
        <v/>
      </c>
      <c r="J3744" t="str">
        <f t="shared" si="317"/>
        <v/>
      </c>
      <c r="K3744" s="60" t="str">
        <f t="shared" si="318"/>
        <v/>
      </c>
      <c r="L3744" t="str">
        <f t="shared" si="319"/>
        <v/>
      </c>
    </row>
    <row r="3745" spans="1:12" x14ac:dyDescent="0.25">
      <c r="A3745" t="s">
        <v>3411</v>
      </c>
      <c r="G3745" t="str">
        <f t="shared" si="314"/>
        <v>07/19/19</v>
      </c>
      <c r="H3745" t="str">
        <f t="shared" si="315"/>
        <v>Colorado Rockies</v>
      </c>
      <c r="I3745" s="60">
        <f t="shared" si="316"/>
        <v>2</v>
      </c>
      <c r="J3745" t="str">
        <f t="shared" si="317"/>
        <v>New York Yankees</v>
      </c>
      <c r="K3745" s="60">
        <f t="shared" si="318"/>
        <v>8</v>
      </c>
      <c r="L3745">
        <f t="shared" si="319"/>
        <v>-6</v>
      </c>
    </row>
    <row r="3746" spans="1:12" x14ac:dyDescent="0.25">
      <c r="G3746" t="str">
        <f t="shared" ref="G3746:G3809" si="320">IF(ISNUMBER(MATCH(IFERROR(LEFT(A3746,SEARCH(",",A3746)-1),""),$G$220:$M$220,0)),TEXT(MID(A3746,SEARCH(",",A3746)+2,LEN(A3746)),"mm/dd/yy"),G3745)</f>
        <v>07/19/19</v>
      </c>
      <c r="H3746" t="str">
        <f t="shared" si="315"/>
        <v/>
      </c>
      <c r="I3746" s="60" t="str">
        <f t="shared" si="316"/>
        <v/>
      </c>
      <c r="J3746" t="str">
        <f t="shared" si="317"/>
        <v/>
      </c>
      <c r="K3746" s="60" t="str">
        <f t="shared" si="318"/>
        <v/>
      </c>
      <c r="L3746" t="str">
        <f t="shared" si="319"/>
        <v/>
      </c>
    </row>
    <row r="3747" spans="1:12" x14ac:dyDescent="0.25">
      <c r="A3747" t="s">
        <v>3412</v>
      </c>
      <c r="G3747" t="str">
        <f t="shared" si="320"/>
        <v>07/19/19</v>
      </c>
      <c r="H3747" t="str">
        <f t="shared" si="315"/>
        <v>Philadelphia Phillies</v>
      </c>
      <c r="I3747" s="60">
        <f t="shared" si="316"/>
        <v>6</v>
      </c>
      <c r="J3747" t="str">
        <f t="shared" si="317"/>
        <v>Pittsburgh Pirates</v>
      </c>
      <c r="K3747" s="60">
        <f t="shared" si="318"/>
        <v>1</v>
      </c>
      <c r="L3747">
        <f t="shared" si="319"/>
        <v>5</v>
      </c>
    </row>
    <row r="3748" spans="1:12" x14ac:dyDescent="0.25">
      <c r="G3748" t="str">
        <f t="shared" si="320"/>
        <v>07/19/19</v>
      </c>
      <c r="H3748" t="str">
        <f t="shared" si="315"/>
        <v/>
      </c>
      <c r="I3748" s="60" t="str">
        <f t="shared" si="316"/>
        <v/>
      </c>
      <c r="J3748" t="str">
        <f t="shared" si="317"/>
        <v/>
      </c>
      <c r="K3748" s="60" t="str">
        <f t="shared" si="318"/>
        <v/>
      </c>
      <c r="L3748" t="str">
        <f t="shared" si="319"/>
        <v/>
      </c>
    </row>
    <row r="3749" spans="1:12" x14ac:dyDescent="0.25">
      <c r="A3749" t="s">
        <v>3413</v>
      </c>
      <c r="G3749" t="str">
        <f t="shared" si="320"/>
        <v>07/19/19</v>
      </c>
      <c r="H3749" t="str">
        <f t="shared" si="315"/>
        <v>Los Angeles Angels</v>
      </c>
      <c r="I3749" s="60">
        <f t="shared" si="316"/>
        <v>0</v>
      </c>
      <c r="J3749" t="str">
        <f t="shared" si="317"/>
        <v>Seattle Mariners</v>
      </c>
      <c r="K3749" s="60">
        <f t="shared" si="318"/>
        <v>10</v>
      </c>
      <c r="L3749">
        <f t="shared" si="319"/>
        <v>-10</v>
      </c>
    </row>
    <row r="3750" spans="1:12" x14ac:dyDescent="0.25">
      <c r="G3750" t="str">
        <f t="shared" si="320"/>
        <v>07/19/19</v>
      </c>
      <c r="H3750" t="str">
        <f t="shared" si="315"/>
        <v/>
      </c>
      <c r="I3750" s="60" t="str">
        <f t="shared" si="316"/>
        <v/>
      </c>
      <c r="J3750" t="str">
        <f t="shared" si="317"/>
        <v/>
      </c>
      <c r="K3750" s="60" t="str">
        <f t="shared" si="318"/>
        <v/>
      </c>
      <c r="L3750" t="str">
        <f t="shared" si="319"/>
        <v/>
      </c>
    </row>
    <row r="3751" spans="1:12" x14ac:dyDescent="0.25">
      <c r="A3751" t="s">
        <v>3414</v>
      </c>
      <c r="G3751" t="str">
        <f t="shared" si="320"/>
        <v>07/19/19</v>
      </c>
      <c r="H3751" t="str">
        <f t="shared" si="315"/>
        <v>New York Mets</v>
      </c>
      <c r="I3751" s="60">
        <f t="shared" si="316"/>
        <v>0</v>
      </c>
      <c r="J3751" t="str">
        <f t="shared" si="317"/>
        <v>San Francisco Giants</v>
      </c>
      <c r="K3751" s="60">
        <f t="shared" si="318"/>
        <v>1</v>
      </c>
      <c r="L3751">
        <f t="shared" si="319"/>
        <v>-1</v>
      </c>
    </row>
    <row r="3752" spans="1:12" x14ac:dyDescent="0.25">
      <c r="G3752" t="str">
        <f t="shared" si="320"/>
        <v>07/19/19</v>
      </c>
      <c r="H3752" t="str">
        <f t="shared" si="315"/>
        <v/>
      </c>
      <c r="I3752" s="60" t="str">
        <f t="shared" si="316"/>
        <v/>
      </c>
      <c r="J3752" t="str">
        <f t="shared" si="317"/>
        <v/>
      </c>
      <c r="K3752" s="60" t="str">
        <f t="shared" si="318"/>
        <v/>
      </c>
      <c r="L3752" t="str">
        <f t="shared" si="319"/>
        <v/>
      </c>
    </row>
    <row r="3753" spans="1:12" x14ac:dyDescent="0.25">
      <c r="A3753" t="s">
        <v>3415</v>
      </c>
      <c r="G3753" t="str">
        <f t="shared" si="320"/>
        <v>07/19/19</v>
      </c>
      <c r="H3753" t="str">
        <f t="shared" si="315"/>
        <v>Chicago White Sox</v>
      </c>
      <c r="I3753" s="60">
        <f t="shared" si="316"/>
        <v>9</v>
      </c>
      <c r="J3753" t="str">
        <f t="shared" si="317"/>
        <v>Tampa Bay Rays</v>
      </c>
      <c r="K3753" s="60">
        <f t="shared" si="318"/>
        <v>2</v>
      </c>
      <c r="L3753">
        <f t="shared" si="319"/>
        <v>7</v>
      </c>
    </row>
    <row r="3754" spans="1:12" x14ac:dyDescent="0.25">
      <c r="G3754" t="str">
        <f t="shared" si="320"/>
        <v>07/19/19</v>
      </c>
      <c r="H3754" t="str">
        <f t="shared" si="315"/>
        <v/>
      </c>
      <c r="I3754" s="60" t="str">
        <f t="shared" si="316"/>
        <v/>
      </c>
      <c r="J3754" t="str">
        <f t="shared" si="317"/>
        <v/>
      </c>
      <c r="K3754" s="60" t="str">
        <f t="shared" si="318"/>
        <v/>
      </c>
      <c r="L3754" t="str">
        <f t="shared" si="319"/>
        <v/>
      </c>
    </row>
    <row r="3755" spans="1:12" x14ac:dyDescent="0.25">
      <c r="A3755" t="s">
        <v>3416</v>
      </c>
      <c r="G3755" t="str">
        <f t="shared" si="320"/>
        <v>07/19/19</v>
      </c>
      <c r="H3755" t="str">
        <f t="shared" si="315"/>
        <v/>
      </c>
      <c r="I3755" s="60" t="str">
        <f t="shared" si="316"/>
        <v/>
      </c>
      <c r="J3755" t="str">
        <f t="shared" si="317"/>
        <v/>
      </c>
      <c r="K3755" s="60" t="str">
        <f t="shared" si="318"/>
        <v/>
      </c>
      <c r="L3755" t="str">
        <f t="shared" si="319"/>
        <v/>
      </c>
    </row>
    <row r="3756" spans="1:12" x14ac:dyDescent="0.25">
      <c r="G3756" t="str">
        <f t="shared" si="320"/>
        <v>07/19/19</v>
      </c>
      <c r="H3756" t="str">
        <f t="shared" si="315"/>
        <v/>
      </c>
      <c r="I3756" s="60" t="str">
        <f t="shared" si="316"/>
        <v/>
      </c>
      <c r="J3756" t="str">
        <f t="shared" si="317"/>
        <v/>
      </c>
      <c r="K3756" s="60" t="str">
        <f t="shared" si="318"/>
        <v/>
      </c>
      <c r="L3756" t="str">
        <f t="shared" si="319"/>
        <v/>
      </c>
    </row>
    <row r="3757" spans="1:12" x14ac:dyDescent="0.25">
      <c r="A3757" t="s">
        <v>3266</v>
      </c>
      <c r="G3757" t="str">
        <f t="shared" si="320"/>
        <v>07/20/19</v>
      </c>
      <c r="H3757" t="str">
        <f t="shared" si="315"/>
        <v/>
      </c>
      <c r="I3757" s="60" t="str">
        <f t="shared" si="316"/>
        <v/>
      </c>
      <c r="J3757" t="str">
        <f t="shared" si="317"/>
        <v/>
      </c>
      <c r="K3757" s="60" t="str">
        <f t="shared" si="318"/>
        <v/>
      </c>
      <c r="L3757" t="str">
        <f t="shared" si="319"/>
        <v/>
      </c>
    </row>
    <row r="3758" spans="1:12" x14ac:dyDescent="0.25">
      <c r="G3758" t="str">
        <f t="shared" si="320"/>
        <v>07/20/19</v>
      </c>
      <c r="H3758" t="str">
        <f t="shared" si="315"/>
        <v/>
      </c>
      <c r="I3758" s="60" t="str">
        <f t="shared" si="316"/>
        <v/>
      </c>
      <c r="J3758" t="str">
        <f t="shared" si="317"/>
        <v/>
      </c>
      <c r="K3758" s="60" t="str">
        <f t="shared" si="318"/>
        <v/>
      </c>
      <c r="L3758" t="str">
        <f t="shared" si="319"/>
        <v/>
      </c>
    </row>
    <row r="3759" spans="1:12" x14ac:dyDescent="0.25">
      <c r="A3759" t="s">
        <v>3417</v>
      </c>
      <c r="G3759" t="str">
        <f t="shared" si="320"/>
        <v>07/20/19</v>
      </c>
      <c r="H3759" t="str">
        <f t="shared" si="315"/>
        <v>Milwaukee Brewers</v>
      </c>
      <c r="I3759" s="60">
        <f t="shared" si="316"/>
        <v>8</v>
      </c>
      <c r="J3759" t="str">
        <f t="shared" si="317"/>
        <v>Arizona D'Backs</v>
      </c>
      <c r="K3759" s="60">
        <f t="shared" si="318"/>
        <v>3</v>
      </c>
      <c r="L3759">
        <f t="shared" si="319"/>
        <v>5</v>
      </c>
    </row>
    <row r="3760" spans="1:12" x14ac:dyDescent="0.25">
      <c r="G3760" t="str">
        <f t="shared" si="320"/>
        <v>07/20/19</v>
      </c>
      <c r="H3760" t="str">
        <f t="shared" si="315"/>
        <v/>
      </c>
      <c r="I3760" s="60" t="str">
        <f t="shared" si="316"/>
        <v/>
      </c>
      <c r="J3760" t="str">
        <f t="shared" si="317"/>
        <v/>
      </c>
      <c r="K3760" s="60" t="str">
        <f t="shared" si="318"/>
        <v/>
      </c>
      <c r="L3760" t="str">
        <f t="shared" si="319"/>
        <v/>
      </c>
    </row>
    <row r="3761" spans="1:12" x14ac:dyDescent="0.25">
      <c r="A3761" t="s">
        <v>3418</v>
      </c>
      <c r="G3761" t="str">
        <f t="shared" si="320"/>
        <v>07/20/19</v>
      </c>
      <c r="H3761" t="str">
        <f t="shared" si="315"/>
        <v>Washington Nationals</v>
      </c>
      <c r="I3761" s="60">
        <f t="shared" si="316"/>
        <v>5</v>
      </c>
      <c r="J3761" t="str">
        <f t="shared" si="317"/>
        <v>Atlanta Braves</v>
      </c>
      <c r="K3761" s="60">
        <f t="shared" si="318"/>
        <v>3</v>
      </c>
      <c r="L3761">
        <f t="shared" si="319"/>
        <v>2</v>
      </c>
    </row>
    <row r="3762" spans="1:12" x14ac:dyDescent="0.25">
      <c r="G3762" t="str">
        <f t="shared" si="320"/>
        <v>07/20/19</v>
      </c>
      <c r="H3762" t="str">
        <f t="shared" si="315"/>
        <v/>
      </c>
      <c r="I3762" s="60" t="str">
        <f t="shared" si="316"/>
        <v/>
      </c>
      <c r="J3762" t="str">
        <f t="shared" si="317"/>
        <v/>
      </c>
      <c r="K3762" s="60" t="str">
        <f t="shared" si="318"/>
        <v/>
      </c>
      <c r="L3762" t="str">
        <f t="shared" si="319"/>
        <v/>
      </c>
    </row>
    <row r="3763" spans="1:12" x14ac:dyDescent="0.25">
      <c r="A3763" t="s">
        <v>3419</v>
      </c>
      <c r="G3763" t="str">
        <f t="shared" si="320"/>
        <v>07/20/19</v>
      </c>
      <c r="H3763" t="str">
        <f t="shared" si="315"/>
        <v>Boston Red Sox</v>
      </c>
      <c r="I3763" s="60">
        <f t="shared" si="316"/>
        <v>17</v>
      </c>
      <c r="J3763" t="str">
        <f t="shared" si="317"/>
        <v>Baltimore Orioles</v>
      </c>
      <c r="K3763" s="60">
        <f t="shared" si="318"/>
        <v>6</v>
      </c>
      <c r="L3763">
        <f t="shared" si="319"/>
        <v>11</v>
      </c>
    </row>
    <row r="3764" spans="1:12" x14ac:dyDescent="0.25">
      <c r="G3764" t="str">
        <f t="shared" si="320"/>
        <v>07/20/19</v>
      </c>
      <c r="H3764" t="str">
        <f t="shared" si="315"/>
        <v/>
      </c>
      <c r="I3764" s="60" t="str">
        <f t="shared" si="316"/>
        <v/>
      </c>
      <c r="J3764" t="str">
        <f t="shared" si="317"/>
        <v/>
      </c>
      <c r="K3764" s="60" t="str">
        <f t="shared" si="318"/>
        <v/>
      </c>
      <c r="L3764" t="str">
        <f t="shared" si="319"/>
        <v/>
      </c>
    </row>
    <row r="3765" spans="1:12" x14ac:dyDescent="0.25">
      <c r="A3765" t="s">
        <v>3404</v>
      </c>
      <c r="G3765" t="str">
        <f t="shared" si="320"/>
        <v>07/20/19</v>
      </c>
      <c r="H3765" t="str">
        <f t="shared" si="315"/>
        <v>San Diego Padres</v>
      </c>
      <c r="I3765" s="60">
        <f t="shared" si="316"/>
        <v>5</v>
      </c>
      <c r="J3765" t="str">
        <f t="shared" si="317"/>
        <v>Chicago Cubs</v>
      </c>
      <c r="K3765" s="60">
        <f t="shared" si="318"/>
        <v>6</v>
      </c>
      <c r="L3765">
        <f t="shared" si="319"/>
        <v>-1</v>
      </c>
    </row>
    <row r="3766" spans="1:12" x14ac:dyDescent="0.25">
      <c r="G3766" t="str">
        <f t="shared" si="320"/>
        <v>07/20/19</v>
      </c>
      <c r="H3766" t="str">
        <f t="shared" si="315"/>
        <v/>
      </c>
      <c r="I3766" s="60" t="str">
        <f t="shared" si="316"/>
        <v/>
      </c>
      <c r="J3766" t="str">
        <f t="shared" si="317"/>
        <v/>
      </c>
      <c r="K3766" s="60" t="str">
        <f t="shared" si="318"/>
        <v/>
      </c>
      <c r="L3766" t="str">
        <f t="shared" si="319"/>
        <v/>
      </c>
    </row>
    <row r="3767" spans="1:12" x14ac:dyDescent="0.25">
      <c r="A3767" t="s">
        <v>3420</v>
      </c>
      <c r="G3767" t="str">
        <f t="shared" si="320"/>
        <v>07/20/19</v>
      </c>
      <c r="H3767" t="str">
        <f t="shared" si="315"/>
        <v>St. Louis Cardinals</v>
      </c>
      <c r="I3767" s="60">
        <f t="shared" si="316"/>
        <v>2</v>
      </c>
      <c r="J3767" t="str">
        <f t="shared" si="317"/>
        <v>Cincinnati Reds</v>
      </c>
      <c r="K3767" s="60">
        <f t="shared" si="318"/>
        <v>3</v>
      </c>
      <c r="L3767">
        <f t="shared" si="319"/>
        <v>-1</v>
      </c>
    </row>
    <row r="3768" spans="1:12" x14ac:dyDescent="0.25">
      <c r="G3768" t="str">
        <f t="shared" si="320"/>
        <v>07/20/19</v>
      </c>
      <c r="H3768" t="str">
        <f t="shared" si="315"/>
        <v/>
      </c>
      <c r="I3768" s="60" t="str">
        <f t="shared" si="316"/>
        <v/>
      </c>
      <c r="J3768" t="str">
        <f t="shared" si="317"/>
        <v/>
      </c>
      <c r="K3768" s="60" t="str">
        <f t="shared" si="318"/>
        <v/>
      </c>
      <c r="L3768" t="str">
        <f t="shared" si="319"/>
        <v/>
      </c>
    </row>
    <row r="3769" spans="1:12" x14ac:dyDescent="0.25">
      <c r="A3769" t="s">
        <v>3421</v>
      </c>
      <c r="G3769" t="str">
        <f t="shared" si="320"/>
        <v>07/20/19</v>
      </c>
      <c r="H3769" t="str">
        <f t="shared" si="315"/>
        <v>Kansas City Royals</v>
      </c>
      <c r="I3769" s="60">
        <f t="shared" si="316"/>
        <v>1</v>
      </c>
      <c r="J3769" t="str">
        <f t="shared" si="317"/>
        <v>Cleveland Indians</v>
      </c>
      <c r="K3769" s="60">
        <f t="shared" si="318"/>
        <v>0</v>
      </c>
      <c r="L3769">
        <f t="shared" si="319"/>
        <v>1</v>
      </c>
    </row>
    <row r="3770" spans="1:12" x14ac:dyDescent="0.25">
      <c r="G3770" t="str">
        <f t="shared" si="320"/>
        <v>07/20/19</v>
      </c>
      <c r="H3770" t="str">
        <f t="shared" si="315"/>
        <v/>
      </c>
      <c r="I3770" s="60" t="str">
        <f t="shared" si="316"/>
        <v/>
      </c>
      <c r="J3770" t="str">
        <f t="shared" si="317"/>
        <v/>
      </c>
      <c r="K3770" s="60" t="str">
        <f t="shared" si="318"/>
        <v/>
      </c>
      <c r="L3770" t="str">
        <f t="shared" si="319"/>
        <v/>
      </c>
    </row>
    <row r="3771" spans="1:12" x14ac:dyDescent="0.25">
      <c r="A3771" t="s">
        <v>3422</v>
      </c>
      <c r="G3771" t="str">
        <f t="shared" si="320"/>
        <v>07/20/19</v>
      </c>
      <c r="H3771" t="str">
        <f t="shared" si="315"/>
        <v>Toronto Blue Jays</v>
      </c>
      <c r="I3771" s="60">
        <f t="shared" si="316"/>
        <v>7</v>
      </c>
      <c r="J3771" t="str">
        <f t="shared" si="317"/>
        <v>Detroit Tigers</v>
      </c>
      <c r="K3771" s="60">
        <f t="shared" si="318"/>
        <v>5</v>
      </c>
      <c r="L3771">
        <f t="shared" si="319"/>
        <v>2</v>
      </c>
    </row>
    <row r="3772" spans="1:12" x14ac:dyDescent="0.25">
      <c r="G3772" t="str">
        <f t="shared" si="320"/>
        <v>07/20/19</v>
      </c>
      <c r="H3772" t="str">
        <f t="shared" si="315"/>
        <v/>
      </c>
      <c r="I3772" s="60" t="str">
        <f t="shared" si="316"/>
        <v/>
      </c>
      <c r="J3772" t="str">
        <f t="shared" si="317"/>
        <v/>
      </c>
      <c r="K3772" s="60" t="str">
        <f t="shared" si="318"/>
        <v/>
      </c>
      <c r="L3772" t="str">
        <f t="shared" si="319"/>
        <v/>
      </c>
    </row>
    <row r="3773" spans="1:12" x14ac:dyDescent="0.25">
      <c r="A3773" t="s">
        <v>3423</v>
      </c>
      <c r="G3773" t="str">
        <f t="shared" si="320"/>
        <v>07/20/19</v>
      </c>
      <c r="H3773" t="str">
        <f t="shared" si="315"/>
        <v>Texas Rangers</v>
      </c>
      <c r="I3773" s="60">
        <f t="shared" si="316"/>
        <v>1</v>
      </c>
      <c r="J3773" t="str">
        <f t="shared" si="317"/>
        <v>Houston Astros</v>
      </c>
      <c r="K3773" s="60">
        <f t="shared" si="318"/>
        <v>6</v>
      </c>
      <c r="L3773">
        <f t="shared" si="319"/>
        <v>-5</v>
      </c>
    </row>
    <row r="3774" spans="1:12" x14ac:dyDescent="0.25">
      <c r="G3774" t="str">
        <f t="shared" si="320"/>
        <v>07/20/19</v>
      </c>
      <c r="H3774" t="str">
        <f t="shared" si="315"/>
        <v/>
      </c>
      <c r="I3774" s="60" t="str">
        <f t="shared" si="316"/>
        <v/>
      </c>
      <c r="J3774" t="str">
        <f t="shared" si="317"/>
        <v/>
      </c>
      <c r="K3774" s="60" t="str">
        <f t="shared" si="318"/>
        <v/>
      </c>
      <c r="L3774" t="str">
        <f t="shared" si="319"/>
        <v/>
      </c>
    </row>
    <row r="3775" spans="1:12" x14ac:dyDescent="0.25">
      <c r="A3775" t="s">
        <v>3424</v>
      </c>
      <c r="G3775" t="str">
        <f t="shared" si="320"/>
        <v>07/20/19</v>
      </c>
      <c r="H3775" t="str">
        <f t="shared" si="315"/>
        <v>Miami Marlins</v>
      </c>
      <c r="I3775" s="60">
        <f t="shared" si="316"/>
        <v>6</v>
      </c>
      <c r="J3775" t="str">
        <f t="shared" si="317"/>
        <v>Los Angeles Dodgers</v>
      </c>
      <c r="K3775" s="60">
        <f t="shared" si="318"/>
        <v>10</v>
      </c>
      <c r="L3775">
        <f t="shared" si="319"/>
        <v>-4</v>
      </c>
    </row>
    <row r="3776" spans="1:12" x14ac:dyDescent="0.25">
      <c r="G3776" t="str">
        <f t="shared" si="320"/>
        <v>07/20/19</v>
      </c>
      <c r="H3776" t="str">
        <f t="shared" si="315"/>
        <v/>
      </c>
      <c r="I3776" s="60" t="str">
        <f t="shared" si="316"/>
        <v/>
      </c>
      <c r="J3776" t="str">
        <f t="shared" si="317"/>
        <v/>
      </c>
      <c r="K3776" s="60" t="str">
        <f t="shared" si="318"/>
        <v/>
      </c>
      <c r="L3776" t="str">
        <f t="shared" si="319"/>
        <v/>
      </c>
    </row>
    <row r="3777" spans="1:12" x14ac:dyDescent="0.25">
      <c r="A3777" t="s">
        <v>3425</v>
      </c>
      <c r="G3777" t="str">
        <f t="shared" si="320"/>
        <v>07/20/19</v>
      </c>
      <c r="H3777" t="str">
        <f t="shared" si="315"/>
        <v>Oakland Athletics</v>
      </c>
      <c r="I3777" s="60">
        <f t="shared" si="316"/>
        <v>5</v>
      </c>
      <c r="J3777" t="str">
        <f t="shared" si="317"/>
        <v>Minnesota Twins</v>
      </c>
      <c r="K3777" s="60">
        <f t="shared" si="318"/>
        <v>4</v>
      </c>
      <c r="L3777">
        <f t="shared" si="319"/>
        <v>1</v>
      </c>
    </row>
    <row r="3778" spans="1:12" x14ac:dyDescent="0.25">
      <c r="G3778" t="str">
        <f t="shared" si="320"/>
        <v>07/20/19</v>
      </c>
      <c r="H3778" t="str">
        <f t="shared" si="315"/>
        <v/>
      </c>
      <c r="I3778" s="60" t="str">
        <f t="shared" si="316"/>
        <v/>
      </c>
      <c r="J3778" t="str">
        <f t="shared" si="317"/>
        <v/>
      </c>
      <c r="K3778" s="60" t="str">
        <f t="shared" si="318"/>
        <v/>
      </c>
      <c r="L3778" t="str">
        <f t="shared" si="319"/>
        <v/>
      </c>
    </row>
    <row r="3779" spans="1:12" x14ac:dyDescent="0.25">
      <c r="A3779" t="s">
        <v>3426</v>
      </c>
      <c r="G3779" t="str">
        <f t="shared" si="320"/>
        <v>07/20/19</v>
      </c>
      <c r="H3779" t="str">
        <f t="shared" si="315"/>
        <v>Colorado Rockies</v>
      </c>
      <c r="I3779" s="60">
        <f t="shared" si="316"/>
        <v>5</v>
      </c>
      <c r="J3779" t="str">
        <f t="shared" si="317"/>
        <v>New York Yankees</v>
      </c>
      <c r="K3779" s="60">
        <f t="shared" si="318"/>
        <v>11</v>
      </c>
      <c r="L3779">
        <f t="shared" si="319"/>
        <v>-6</v>
      </c>
    </row>
    <row r="3780" spans="1:12" x14ac:dyDescent="0.25">
      <c r="G3780" t="str">
        <f t="shared" si="320"/>
        <v>07/20/19</v>
      </c>
      <c r="H3780" t="str">
        <f t="shared" si="315"/>
        <v/>
      </c>
      <c r="I3780" s="60" t="str">
        <f t="shared" si="316"/>
        <v/>
      </c>
      <c r="J3780" t="str">
        <f t="shared" si="317"/>
        <v/>
      </c>
      <c r="K3780" s="60" t="str">
        <f t="shared" si="318"/>
        <v/>
      </c>
      <c r="L3780" t="str">
        <f t="shared" si="319"/>
        <v/>
      </c>
    </row>
    <row r="3781" spans="1:12" x14ac:dyDescent="0.25">
      <c r="A3781" t="s">
        <v>3427</v>
      </c>
      <c r="G3781" t="str">
        <f t="shared" si="320"/>
        <v>07/20/19</v>
      </c>
      <c r="H3781" t="str">
        <f t="shared" si="315"/>
        <v>Philadelphia Phillies</v>
      </c>
      <c r="I3781" s="60">
        <f t="shared" si="316"/>
        <v>1</v>
      </c>
      <c r="J3781" t="str">
        <f t="shared" si="317"/>
        <v>Pittsburgh Pirates</v>
      </c>
      <c r="K3781" s="60">
        <f t="shared" si="318"/>
        <v>5</v>
      </c>
      <c r="L3781">
        <f t="shared" si="319"/>
        <v>-4</v>
      </c>
    </row>
    <row r="3782" spans="1:12" x14ac:dyDescent="0.25">
      <c r="G3782" t="str">
        <f t="shared" si="320"/>
        <v>07/20/19</v>
      </c>
      <c r="H3782" t="str">
        <f t="shared" si="315"/>
        <v/>
      </c>
      <c r="I3782" s="60" t="str">
        <f t="shared" si="316"/>
        <v/>
      </c>
      <c r="J3782" t="str">
        <f t="shared" si="317"/>
        <v/>
      </c>
      <c r="K3782" s="60" t="str">
        <f t="shared" si="318"/>
        <v/>
      </c>
      <c r="L3782" t="str">
        <f t="shared" si="319"/>
        <v/>
      </c>
    </row>
    <row r="3783" spans="1:12" x14ac:dyDescent="0.25">
      <c r="A3783" t="s">
        <v>3428</v>
      </c>
      <c r="G3783" t="str">
        <f t="shared" si="320"/>
        <v>07/20/19</v>
      </c>
      <c r="H3783" t="str">
        <f t="shared" si="315"/>
        <v>Los Angeles Angels</v>
      </c>
      <c r="I3783" s="60">
        <f t="shared" si="316"/>
        <v>6</v>
      </c>
      <c r="J3783" t="str">
        <f t="shared" si="317"/>
        <v>Seattle Mariners</v>
      </c>
      <c r="K3783" s="60">
        <f t="shared" si="318"/>
        <v>2</v>
      </c>
      <c r="L3783">
        <f t="shared" si="319"/>
        <v>4</v>
      </c>
    </row>
    <row r="3784" spans="1:12" x14ac:dyDescent="0.25">
      <c r="G3784" t="str">
        <f t="shared" si="320"/>
        <v>07/20/19</v>
      </c>
      <c r="H3784" t="str">
        <f t="shared" si="315"/>
        <v/>
      </c>
      <c r="I3784" s="60" t="str">
        <f t="shared" si="316"/>
        <v/>
      </c>
      <c r="J3784" t="str">
        <f t="shared" si="317"/>
        <v/>
      </c>
      <c r="K3784" s="60" t="str">
        <f t="shared" si="318"/>
        <v/>
      </c>
      <c r="L3784" t="str">
        <f t="shared" si="319"/>
        <v/>
      </c>
    </row>
    <row r="3785" spans="1:12" x14ac:dyDescent="0.25">
      <c r="A3785" t="s">
        <v>3429</v>
      </c>
      <c r="G3785" t="str">
        <f t="shared" si="320"/>
        <v>07/20/19</v>
      </c>
      <c r="H3785" t="str">
        <f t="shared" si="315"/>
        <v>New York Mets</v>
      </c>
      <c r="I3785" s="60">
        <f t="shared" si="316"/>
        <v>11</v>
      </c>
      <c r="J3785" t="str">
        <f t="shared" si="317"/>
        <v>San Francisco Giants</v>
      </c>
      <c r="K3785" s="60">
        <f t="shared" si="318"/>
        <v>4</v>
      </c>
      <c r="L3785">
        <f t="shared" si="319"/>
        <v>7</v>
      </c>
    </row>
    <row r="3786" spans="1:12" x14ac:dyDescent="0.25">
      <c r="G3786" t="str">
        <f t="shared" si="320"/>
        <v>07/20/19</v>
      </c>
      <c r="H3786" t="str">
        <f t="shared" si="315"/>
        <v/>
      </c>
      <c r="I3786" s="60" t="str">
        <f t="shared" si="316"/>
        <v/>
      </c>
      <c r="J3786" t="str">
        <f t="shared" si="317"/>
        <v/>
      </c>
      <c r="K3786" s="60" t="str">
        <f t="shared" si="318"/>
        <v/>
      </c>
      <c r="L3786" t="str">
        <f t="shared" si="319"/>
        <v/>
      </c>
    </row>
    <row r="3787" spans="1:12" x14ac:dyDescent="0.25">
      <c r="A3787" t="s">
        <v>3430</v>
      </c>
      <c r="G3787" t="str">
        <f t="shared" si="320"/>
        <v>07/20/19</v>
      </c>
      <c r="H3787" t="str">
        <f t="shared" si="315"/>
        <v>Chicago White Sox</v>
      </c>
      <c r="I3787" s="60">
        <f t="shared" si="316"/>
        <v>2</v>
      </c>
      <c r="J3787" t="str">
        <f t="shared" si="317"/>
        <v>Tampa Bay Rays</v>
      </c>
      <c r="K3787" s="60">
        <f t="shared" si="318"/>
        <v>1</v>
      </c>
      <c r="L3787">
        <f t="shared" si="319"/>
        <v>1</v>
      </c>
    </row>
    <row r="3788" spans="1:12" x14ac:dyDescent="0.25">
      <c r="G3788" t="str">
        <f t="shared" si="320"/>
        <v>07/20/19</v>
      </c>
      <c r="H3788" t="str">
        <f t="shared" si="315"/>
        <v/>
      </c>
      <c r="I3788" s="60" t="str">
        <f t="shared" si="316"/>
        <v/>
      </c>
      <c r="J3788" t="str">
        <f t="shared" si="317"/>
        <v/>
      </c>
      <c r="K3788" s="60" t="str">
        <f t="shared" si="318"/>
        <v/>
      </c>
      <c r="L3788" t="str">
        <f t="shared" si="319"/>
        <v/>
      </c>
    </row>
    <row r="3789" spans="1:12" x14ac:dyDescent="0.25">
      <c r="A3789" t="s">
        <v>3431</v>
      </c>
      <c r="G3789" t="str">
        <f t="shared" si="320"/>
        <v>07/20/19</v>
      </c>
      <c r="H3789" t="str">
        <f t="shared" si="315"/>
        <v/>
      </c>
      <c r="I3789" s="60" t="str">
        <f t="shared" si="316"/>
        <v/>
      </c>
      <c r="J3789" t="str">
        <f t="shared" si="317"/>
        <v/>
      </c>
      <c r="K3789" s="60" t="str">
        <f t="shared" si="318"/>
        <v/>
      </c>
      <c r="L3789" t="str">
        <f t="shared" si="319"/>
        <v/>
      </c>
    </row>
    <row r="3790" spans="1:12" x14ac:dyDescent="0.25">
      <c r="G3790" t="str">
        <f t="shared" si="320"/>
        <v>07/20/19</v>
      </c>
      <c r="H3790" t="str">
        <f t="shared" si="315"/>
        <v/>
      </c>
      <c r="I3790" s="60" t="str">
        <f t="shared" si="316"/>
        <v/>
      </c>
      <c r="J3790" t="str">
        <f t="shared" si="317"/>
        <v/>
      </c>
      <c r="K3790" s="60" t="str">
        <f t="shared" si="318"/>
        <v/>
      </c>
      <c r="L3790" t="str">
        <f t="shared" si="319"/>
        <v/>
      </c>
    </row>
    <row r="3791" spans="1:12" x14ac:dyDescent="0.25">
      <c r="A3791" t="s">
        <v>3267</v>
      </c>
      <c r="G3791" t="str">
        <f t="shared" si="320"/>
        <v>07/21/19</v>
      </c>
      <c r="H3791" t="str">
        <f t="shared" si="315"/>
        <v/>
      </c>
      <c r="I3791" s="60" t="str">
        <f t="shared" si="316"/>
        <v/>
      </c>
      <c r="J3791" t="str">
        <f t="shared" si="317"/>
        <v/>
      </c>
      <c r="K3791" s="60" t="str">
        <f t="shared" si="318"/>
        <v/>
      </c>
      <c r="L3791" t="str">
        <f t="shared" si="319"/>
        <v/>
      </c>
    </row>
    <row r="3792" spans="1:12" x14ac:dyDescent="0.25">
      <c r="G3792" t="str">
        <f t="shared" si="320"/>
        <v>07/21/19</v>
      </c>
      <c r="H3792" t="str">
        <f t="shared" ref="H3792:H3855" si="321">IFERROR(LEFT(MID(A3792,1,SEARCH("@",A3792)-2),SEARCH("(",A3792)-2),"")</f>
        <v/>
      </c>
      <c r="I3792" s="60" t="str">
        <f t="shared" ref="I3792:I3855" si="322">IFERROR(VALUE(MID(A3792,SEARCH("(",A3792)+1,SEARCH(")",A3792)-SEARCH("(",A3792)-1)),"")</f>
        <v/>
      </c>
      <c r="J3792" t="str">
        <f t="shared" ref="J3792:J3855" si="323">IFERROR(MID(A3792,SEARCH("@",A3792)+2,SEARCH("(",A3792,SEARCH("@",A3792))-SEARCH("@",A3792)-3),"")</f>
        <v/>
      </c>
      <c r="K3792" s="60" t="str">
        <f t="shared" ref="K3792:K3855" si="324">IFERROR(VALUE(MID(A3792,SEARCH(J3792,A3792)+LEN(J3792)+2,(SEARCH(")",A3792,SEARCH("@",A3792))-SEARCH("(",A3792,SEARCH("@",A3792))-1))),"")</f>
        <v/>
      </c>
      <c r="L3792" t="str">
        <f t="shared" ref="L3792:L3855" si="325">IFERROR(I3792-K3792,"")</f>
        <v/>
      </c>
    </row>
    <row r="3793" spans="1:12" x14ac:dyDescent="0.25">
      <c r="A3793" t="s">
        <v>3432</v>
      </c>
      <c r="G3793" t="str">
        <f t="shared" si="320"/>
        <v>07/21/19</v>
      </c>
      <c r="H3793" t="str">
        <f t="shared" si="321"/>
        <v>Milwaukee Brewers</v>
      </c>
      <c r="I3793" s="60">
        <f t="shared" si="322"/>
        <v>7</v>
      </c>
      <c r="J3793" t="str">
        <f t="shared" si="323"/>
        <v>Arizona D'Backs</v>
      </c>
      <c r="K3793" s="60">
        <f t="shared" si="324"/>
        <v>4</v>
      </c>
      <c r="L3793">
        <f t="shared" si="325"/>
        <v>3</v>
      </c>
    </row>
    <row r="3794" spans="1:12" x14ac:dyDescent="0.25">
      <c r="G3794" t="str">
        <f t="shared" si="320"/>
        <v>07/21/19</v>
      </c>
      <c r="H3794" t="str">
        <f t="shared" si="321"/>
        <v/>
      </c>
      <c r="I3794" s="60" t="str">
        <f t="shared" si="322"/>
        <v/>
      </c>
      <c r="J3794" t="str">
        <f t="shared" si="323"/>
        <v/>
      </c>
      <c r="K3794" s="60" t="str">
        <f t="shared" si="324"/>
        <v/>
      </c>
      <c r="L3794" t="str">
        <f t="shared" si="325"/>
        <v/>
      </c>
    </row>
    <row r="3795" spans="1:12" x14ac:dyDescent="0.25">
      <c r="A3795" t="s">
        <v>3433</v>
      </c>
      <c r="G3795" t="str">
        <f t="shared" si="320"/>
        <v>07/21/19</v>
      </c>
      <c r="H3795" t="str">
        <f t="shared" si="321"/>
        <v>Washington Nationals</v>
      </c>
      <c r="I3795" s="60">
        <f t="shared" si="322"/>
        <v>1</v>
      </c>
      <c r="J3795" t="str">
        <f t="shared" si="323"/>
        <v>Atlanta Braves</v>
      </c>
      <c r="K3795" s="60">
        <f t="shared" si="324"/>
        <v>7</v>
      </c>
      <c r="L3795">
        <f t="shared" si="325"/>
        <v>-6</v>
      </c>
    </row>
    <row r="3796" spans="1:12" x14ac:dyDescent="0.25">
      <c r="G3796" t="str">
        <f t="shared" si="320"/>
        <v>07/21/19</v>
      </c>
      <c r="H3796" t="str">
        <f t="shared" si="321"/>
        <v/>
      </c>
      <c r="I3796" s="60" t="str">
        <f t="shared" si="322"/>
        <v/>
      </c>
      <c r="J3796" t="str">
        <f t="shared" si="323"/>
        <v/>
      </c>
      <c r="K3796" s="60" t="str">
        <f t="shared" si="324"/>
        <v/>
      </c>
      <c r="L3796" t="str">
        <f t="shared" si="325"/>
        <v/>
      </c>
    </row>
    <row r="3797" spans="1:12" x14ac:dyDescent="0.25">
      <c r="A3797" t="s">
        <v>3434</v>
      </c>
      <c r="G3797" t="str">
        <f t="shared" si="320"/>
        <v>07/21/19</v>
      </c>
      <c r="H3797" t="str">
        <f t="shared" si="321"/>
        <v>Boston Red Sox</v>
      </c>
      <c r="I3797" s="60">
        <f t="shared" si="322"/>
        <v>0</v>
      </c>
      <c r="J3797" t="str">
        <f t="shared" si="323"/>
        <v>Baltimore Orioles</v>
      </c>
      <c r="K3797" s="60">
        <f t="shared" si="324"/>
        <v>5</v>
      </c>
      <c r="L3797">
        <f t="shared" si="325"/>
        <v>-5</v>
      </c>
    </row>
    <row r="3798" spans="1:12" x14ac:dyDescent="0.25">
      <c r="G3798" t="str">
        <f t="shared" si="320"/>
        <v>07/21/19</v>
      </c>
      <c r="H3798" t="str">
        <f t="shared" si="321"/>
        <v/>
      </c>
      <c r="I3798" s="60" t="str">
        <f t="shared" si="322"/>
        <v/>
      </c>
      <c r="J3798" t="str">
        <f t="shared" si="323"/>
        <v/>
      </c>
      <c r="K3798" s="60" t="str">
        <f t="shared" si="324"/>
        <v/>
      </c>
      <c r="L3798" t="str">
        <f t="shared" si="325"/>
        <v/>
      </c>
    </row>
    <row r="3799" spans="1:12" x14ac:dyDescent="0.25">
      <c r="A3799" t="s">
        <v>3435</v>
      </c>
      <c r="G3799" t="str">
        <f t="shared" si="320"/>
        <v>07/21/19</v>
      </c>
      <c r="H3799" t="str">
        <f t="shared" si="321"/>
        <v>San Diego Padres</v>
      </c>
      <c r="I3799" s="60">
        <f t="shared" si="322"/>
        <v>5</v>
      </c>
      <c r="J3799" t="str">
        <f t="shared" si="323"/>
        <v>Chicago Cubs</v>
      </c>
      <c r="K3799" s="60">
        <f t="shared" si="324"/>
        <v>1</v>
      </c>
      <c r="L3799">
        <f t="shared" si="325"/>
        <v>4</v>
      </c>
    </row>
    <row r="3800" spans="1:12" x14ac:dyDescent="0.25">
      <c r="G3800" t="str">
        <f t="shared" si="320"/>
        <v>07/21/19</v>
      </c>
      <c r="H3800" t="str">
        <f t="shared" si="321"/>
        <v/>
      </c>
      <c r="I3800" s="60" t="str">
        <f t="shared" si="322"/>
        <v/>
      </c>
      <c r="J3800" t="str">
        <f t="shared" si="323"/>
        <v/>
      </c>
      <c r="K3800" s="60" t="str">
        <f t="shared" si="324"/>
        <v/>
      </c>
      <c r="L3800" t="str">
        <f t="shared" si="325"/>
        <v/>
      </c>
    </row>
    <row r="3801" spans="1:12" x14ac:dyDescent="0.25">
      <c r="A3801" t="s">
        <v>3436</v>
      </c>
      <c r="G3801" t="str">
        <f t="shared" si="320"/>
        <v>07/21/19</v>
      </c>
      <c r="H3801" t="str">
        <f t="shared" si="321"/>
        <v>St. Louis Cardinals</v>
      </c>
      <c r="I3801" s="60">
        <f t="shared" si="322"/>
        <v>3</v>
      </c>
      <c r="J3801" t="str">
        <f t="shared" si="323"/>
        <v>Cincinnati Reds</v>
      </c>
      <c r="K3801" s="60">
        <f t="shared" si="324"/>
        <v>1</v>
      </c>
      <c r="L3801">
        <f t="shared" si="325"/>
        <v>2</v>
      </c>
    </row>
    <row r="3802" spans="1:12" x14ac:dyDescent="0.25">
      <c r="G3802" t="str">
        <f t="shared" si="320"/>
        <v>07/21/19</v>
      </c>
      <c r="H3802" t="str">
        <f t="shared" si="321"/>
        <v/>
      </c>
      <c r="I3802" s="60" t="str">
        <f t="shared" si="322"/>
        <v/>
      </c>
      <c r="J3802" t="str">
        <f t="shared" si="323"/>
        <v/>
      </c>
      <c r="K3802" s="60" t="str">
        <f t="shared" si="324"/>
        <v/>
      </c>
      <c r="L3802" t="str">
        <f t="shared" si="325"/>
        <v/>
      </c>
    </row>
    <row r="3803" spans="1:12" x14ac:dyDescent="0.25">
      <c r="A3803" t="s">
        <v>3437</v>
      </c>
      <c r="G3803" t="str">
        <f t="shared" si="320"/>
        <v>07/21/19</v>
      </c>
      <c r="H3803" t="str">
        <f t="shared" si="321"/>
        <v>Kansas City Royals</v>
      </c>
      <c r="I3803" s="60">
        <f t="shared" si="322"/>
        <v>4</v>
      </c>
      <c r="J3803" t="str">
        <f t="shared" si="323"/>
        <v>Cleveland Indians</v>
      </c>
      <c r="K3803" s="60">
        <f t="shared" si="324"/>
        <v>5</v>
      </c>
      <c r="L3803">
        <f t="shared" si="325"/>
        <v>-1</v>
      </c>
    </row>
    <row r="3804" spans="1:12" x14ac:dyDescent="0.25">
      <c r="G3804" t="str">
        <f t="shared" si="320"/>
        <v>07/21/19</v>
      </c>
      <c r="H3804" t="str">
        <f t="shared" si="321"/>
        <v/>
      </c>
      <c r="I3804" s="60" t="str">
        <f t="shared" si="322"/>
        <v/>
      </c>
      <c r="J3804" t="str">
        <f t="shared" si="323"/>
        <v/>
      </c>
      <c r="K3804" s="60" t="str">
        <f t="shared" si="324"/>
        <v/>
      </c>
      <c r="L3804" t="str">
        <f t="shared" si="325"/>
        <v/>
      </c>
    </row>
    <row r="3805" spans="1:12" x14ac:dyDescent="0.25">
      <c r="A3805" t="s">
        <v>3438</v>
      </c>
      <c r="G3805" t="str">
        <f t="shared" si="320"/>
        <v>07/21/19</v>
      </c>
      <c r="H3805" t="str">
        <f t="shared" si="321"/>
        <v>Toronto Blue Jays</v>
      </c>
      <c r="I3805" s="60">
        <f t="shared" si="322"/>
        <v>3</v>
      </c>
      <c r="J3805" t="str">
        <f t="shared" si="323"/>
        <v>Detroit Tigers</v>
      </c>
      <c r="K3805" s="60">
        <f t="shared" si="324"/>
        <v>4</v>
      </c>
      <c r="L3805">
        <f t="shared" si="325"/>
        <v>-1</v>
      </c>
    </row>
    <row r="3806" spans="1:12" x14ac:dyDescent="0.25">
      <c r="G3806" t="str">
        <f t="shared" si="320"/>
        <v>07/21/19</v>
      </c>
      <c r="H3806" t="str">
        <f t="shared" si="321"/>
        <v/>
      </c>
      <c r="I3806" s="60" t="str">
        <f t="shared" si="322"/>
        <v/>
      </c>
      <c r="J3806" t="str">
        <f t="shared" si="323"/>
        <v/>
      </c>
      <c r="K3806" s="60" t="str">
        <f t="shared" si="324"/>
        <v/>
      </c>
      <c r="L3806" t="str">
        <f t="shared" si="325"/>
        <v/>
      </c>
    </row>
    <row r="3807" spans="1:12" x14ac:dyDescent="0.25">
      <c r="A3807" t="s">
        <v>3439</v>
      </c>
      <c r="G3807" t="str">
        <f t="shared" si="320"/>
        <v>07/21/19</v>
      </c>
      <c r="H3807" t="str">
        <f t="shared" si="321"/>
        <v>Texas Rangers</v>
      </c>
      <c r="I3807" s="60">
        <f t="shared" si="322"/>
        <v>3</v>
      </c>
      <c r="J3807" t="str">
        <f t="shared" si="323"/>
        <v>Houston Astros</v>
      </c>
      <c r="K3807" s="60">
        <f t="shared" si="324"/>
        <v>5</v>
      </c>
      <c r="L3807">
        <f t="shared" si="325"/>
        <v>-2</v>
      </c>
    </row>
    <row r="3808" spans="1:12" x14ac:dyDescent="0.25">
      <c r="G3808" t="str">
        <f t="shared" si="320"/>
        <v>07/21/19</v>
      </c>
      <c r="H3808" t="str">
        <f t="shared" si="321"/>
        <v/>
      </c>
      <c r="I3808" s="60" t="str">
        <f t="shared" si="322"/>
        <v/>
      </c>
      <c r="J3808" t="str">
        <f t="shared" si="323"/>
        <v/>
      </c>
      <c r="K3808" s="60" t="str">
        <f t="shared" si="324"/>
        <v/>
      </c>
      <c r="L3808" t="str">
        <f t="shared" si="325"/>
        <v/>
      </c>
    </row>
    <row r="3809" spans="1:12" x14ac:dyDescent="0.25">
      <c r="A3809" t="s">
        <v>3440</v>
      </c>
      <c r="G3809" t="str">
        <f t="shared" si="320"/>
        <v>07/21/19</v>
      </c>
      <c r="H3809" t="str">
        <f t="shared" si="321"/>
        <v>Miami Marlins</v>
      </c>
      <c r="I3809" s="60">
        <f t="shared" si="322"/>
        <v>0</v>
      </c>
      <c r="J3809" t="str">
        <f t="shared" si="323"/>
        <v>Los Angeles Dodgers</v>
      </c>
      <c r="K3809" s="60">
        <f t="shared" si="324"/>
        <v>9</v>
      </c>
      <c r="L3809">
        <f t="shared" si="325"/>
        <v>-9</v>
      </c>
    </row>
    <row r="3810" spans="1:12" x14ac:dyDescent="0.25">
      <c r="G3810" t="str">
        <f t="shared" ref="G3810:G3873" si="326">IF(ISNUMBER(MATCH(IFERROR(LEFT(A3810,SEARCH(",",A3810)-1),""),$G$220:$M$220,0)),TEXT(MID(A3810,SEARCH(",",A3810)+2,LEN(A3810)),"mm/dd/yy"),G3809)</f>
        <v>07/21/19</v>
      </c>
      <c r="H3810" t="str">
        <f t="shared" si="321"/>
        <v/>
      </c>
      <c r="I3810" s="60" t="str">
        <f t="shared" si="322"/>
        <v/>
      </c>
      <c r="J3810" t="str">
        <f t="shared" si="323"/>
        <v/>
      </c>
      <c r="K3810" s="60" t="str">
        <f t="shared" si="324"/>
        <v/>
      </c>
      <c r="L3810" t="str">
        <f t="shared" si="325"/>
        <v/>
      </c>
    </row>
    <row r="3811" spans="1:12" x14ac:dyDescent="0.25">
      <c r="A3811" t="s">
        <v>3441</v>
      </c>
      <c r="G3811" t="str">
        <f t="shared" si="326"/>
        <v>07/21/19</v>
      </c>
      <c r="H3811" t="str">
        <f t="shared" si="321"/>
        <v>Oakland Athletics</v>
      </c>
      <c r="I3811" s="60">
        <f t="shared" si="322"/>
        <v>6</v>
      </c>
      <c r="J3811" t="str">
        <f t="shared" si="323"/>
        <v>Minnesota Twins</v>
      </c>
      <c r="K3811" s="60">
        <f t="shared" si="324"/>
        <v>7</v>
      </c>
      <c r="L3811">
        <f t="shared" si="325"/>
        <v>-1</v>
      </c>
    </row>
    <row r="3812" spans="1:12" x14ac:dyDescent="0.25">
      <c r="G3812" t="str">
        <f t="shared" si="326"/>
        <v>07/21/19</v>
      </c>
      <c r="H3812" t="str">
        <f t="shared" si="321"/>
        <v/>
      </c>
      <c r="I3812" s="60" t="str">
        <f t="shared" si="322"/>
        <v/>
      </c>
      <c r="J3812" t="str">
        <f t="shared" si="323"/>
        <v/>
      </c>
      <c r="K3812" s="60" t="str">
        <f t="shared" si="324"/>
        <v/>
      </c>
      <c r="L3812" t="str">
        <f t="shared" si="325"/>
        <v/>
      </c>
    </row>
    <row r="3813" spans="1:12" x14ac:dyDescent="0.25">
      <c r="A3813" t="s">
        <v>3442</v>
      </c>
      <c r="G3813" t="str">
        <f t="shared" si="326"/>
        <v>07/21/19</v>
      </c>
      <c r="H3813" t="str">
        <f t="shared" si="321"/>
        <v>Colorado Rockies</v>
      </c>
      <c r="I3813" s="60">
        <f t="shared" si="322"/>
        <v>8</v>
      </c>
      <c r="J3813" t="str">
        <f t="shared" si="323"/>
        <v>New York Yankees</v>
      </c>
      <c r="K3813" s="60">
        <f t="shared" si="324"/>
        <v>4</v>
      </c>
      <c r="L3813">
        <f t="shared" si="325"/>
        <v>4</v>
      </c>
    </row>
    <row r="3814" spans="1:12" x14ac:dyDescent="0.25">
      <c r="G3814" t="str">
        <f t="shared" si="326"/>
        <v>07/21/19</v>
      </c>
      <c r="H3814" t="str">
        <f t="shared" si="321"/>
        <v/>
      </c>
      <c r="I3814" s="60" t="str">
        <f t="shared" si="322"/>
        <v/>
      </c>
      <c r="J3814" t="str">
        <f t="shared" si="323"/>
        <v/>
      </c>
      <c r="K3814" s="60" t="str">
        <f t="shared" si="324"/>
        <v/>
      </c>
      <c r="L3814" t="str">
        <f t="shared" si="325"/>
        <v/>
      </c>
    </row>
    <row r="3815" spans="1:12" x14ac:dyDescent="0.25">
      <c r="A3815" t="s">
        <v>3443</v>
      </c>
      <c r="G3815" t="str">
        <f t="shared" si="326"/>
        <v>07/21/19</v>
      </c>
      <c r="H3815" t="str">
        <f t="shared" si="321"/>
        <v>Philadelphia Phillies</v>
      </c>
      <c r="I3815" s="60">
        <f t="shared" si="322"/>
        <v>2</v>
      </c>
      <c r="J3815" t="str">
        <f t="shared" si="323"/>
        <v>Pittsburgh Pirates</v>
      </c>
      <c r="K3815" s="60">
        <f t="shared" si="324"/>
        <v>1</v>
      </c>
      <c r="L3815">
        <f t="shared" si="325"/>
        <v>1</v>
      </c>
    </row>
    <row r="3816" spans="1:12" x14ac:dyDescent="0.25">
      <c r="G3816" t="str">
        <f t="shared" si="326"/>
        <v>07/21/19</v>
      </c>
      <c r="H3816" t="str">
        <f t="shared" si="321"/>
        <v/>
      </c>
      <c r="I3816" s="60" t="str">
        <f t="shared" si="322"/>
        <v/>
      </c>
      <c r="J3816" t="str">
        <f t="shared" si="323"/>
        <v/>
      </c>
      <c r="K3816" s="60" t="str">
        <f t="shared" si="324"/>
        <v/>
      </c>
      <c r="L3816" t="str">
        <f t="shared" si="325"/>
        <v/>
      </c>
    </row>
    <row r="3817" spans="1:12" x14ac:dyDescent="0.25">
      <c r="A3817" t="s">
        <v>2592</v>
      </c>
      <c r="G3817" t="str">
        <f t="shared" si="326"/>
        <v>07/21/19</v>
      </c>
      <c r="H3817" t="str">
        <f t="shared" si="321"/>
        <v>Los Angeles Angels</v>
      </c>
      <c r="I3817" s="60">
        <f t="shared" si="322"/>
        <v>9</v>
      </c>
      <c r="J3817" t="str">
        <f t="shared" si="323"/>
        <v>Seattle Mariners</v>
      </c>
      <c r="K3817" s="60">
        <f t="shared" si="324"/>
        <v>3</v>
      </c>
      <c r="L3817">
        <f t="shared" si="325"/>
        <v>6</v>
      </c>
    </row>
    <row r="3818" spans="1:12" x14ac:dyDescent="0.25">
      <c r="G3818" t="str">
        <f t="shared" si="326"/>
        <v>07/21/19</v>
      </c>
      <c r="H3818" t="str">
        <f t="shared" si="321"/>
        <v/>
      </c>
      <c r="I3818" s="60" t="str">
        <f t="shared" si="322"/>
        <v/>
      </c>
      <c r="J3818" t="str">
        <f t="shared" si="323"/>
        <v/>
      </c>
      <c r="K3818" s="60" t="str">
        <f t="shared" si="324"/>
        <v/>
      </c>
      <c r="L3818" t="str">
        <f t="shared" si="325"/>
        <v/>
      </c>
    </row>
    <row r="3819" spans="1:12" x14ac:dyDescent="0.25">
      <c r="A3819" t="s">
        <v>3399</v>
      </c>
      <c r="G3819" t="str">
        <f t="shared" si="326"/>
        <v>07/21/19</v>
      </c>
      <c r="H3819" t="str">
        <f t="shared" si="321"/>
        <v>New York Mets</v>
      </c>
      <c r="I3819" s="60">
        <f t="shared" si="322"/>
        <v>2</v>
      </c>
      <c r="J3819" t="str">
        <f t="shared" si="323"/>
        <v>San Francisco Giants</v>
      </c>
      <c r="K3819" s="60">
        <f t="shared" si="324"/>
        <v>3</v>
      </c>
      <c r="L3819">
        <f t="shared" si="325"/>
        <v>-1</v>
      </c>
    </row>
    <row r="3820" spans="1:12" x14ac:dyDescent="0.25">
      <c r="G3820" t="str">
        <f t="shared" si="326"/>
        <v>07/21/19</v>
      </c>
      <c r="H3820" t="str">
        <f t="shared" si="321"/>
        <v/>
      </c>
      <c r="I3820" s="60" t="str">
        <f t="shared" si="322"/>
        <v/>
      </c>
      <c r="J3820" t="str">
        <f t="shared" si="323"/>
        <v/>
      </c>
      <c r="K3820" s="60" t="str">
        <f t="shared" si="324"/>
        <v/>
      </c>
      <c r="L3820" t="str">
        <f t="shared" si="325"/>
        <v/>
      </c>
    </row>
    <row r="3821" spans="1:12" x14ac:dyDescent="0.25">
      <c r="A3821" t="s">
        <v>3444</v>
      </c>
      <c r="G3821" t="str">
        <f t="shared" si="326"/>
        <v>07/21/19</v>
      </c>
      <c r="H3821" t="str">
        <f t="shared" si="321"/>
        <v>Chicago White Sox</v>
      </c>
      <c r="I3821" s="60">
        <f t="shared" si="322"/>
        <v>2</v>
      </c>
      <c r="J3821" t="str">
        <f t="shared" si="323"/>
        <v>Tampa Bay Rays</v>
      </c>
      <c r="K3821" s="60">
        <f t="shared" si="324"/>
        <v>4</v>
      </c>
      <c r="L3821">
        <f t="shared" si="325"/>
        <v>-2</v>
      </c>
    </row>
    <row r="3822" spans="1:12" x14ac:dyDescent="0.25">
      <c r="G3822" t="str">
        <f t="shared" si="326"/>
        <v>07/21/19</v>
      </c>
      <c r="H3822" t="str">
        <f t="shared" si="321"/>
        <v/>
      </c>
      <c r="I3822" s="60" t="str">
        <f t="shared" si="322"/>
        <v/>
      </c>
      <c r="J3822" t="str">
        <f t="shared" si="323"/>
        <v/>
      </c>
      <c r="K3822" s="60" t="str">
        <f t="shared" si="324"/>
        <v/>
      </c>
      <c r="L3822" t="str">
        <f t="shared" si="325"/>
        <v/>
      </c>
    </row>
    <row r="3823" spans="1:12" x14ac:dyDescent="0.25">
      <c r="A3823" t="s">
        <v>3445</v>
      </c>
      <c r="G3823" t="str">
        <f t="shared" si="326"/>
        <v>07/21/19</v>
      </c>
      <c r="H3823" t="str">
        <f t="shared" si="321"/>
        <v/>
      </c>
      <c r="I3823" s="60" t="str">
        <f t="shared" si="322"/>
        <v/>
      </c>
      <c r="J3823" t="str">
        <f t="shared" si="323"/>
        <v/>
      </c>
      <c r="K3823" s="60" t="str">
        <f t="shared" si="324"/>
        <v/>
      </c>
      <c r="L3823" t="str">
        <f t="shared" si="325"/>
        <v/>
      </c>
    </row>
    <row r="3824" spans="1:12" x14ac:dyDescent="0.25">
      <c r="G3824" t="str">
        <f t="shared" si="326"/>
        <v>07/21/19</v>
      </c>
      <c r="H3824" t="str">
        <f t="shared" si="321"/>
        <v/>
      </c>
      <c r="I3824" s="60" t="str">
        <f t="shared" si="322"/>
        <v/>
      </c>
      <c r="J3824" t="str">
        <f t="shared" si="323"/>
        <v/>
      </c>
      <c r="K3824" s="60" t="str">
        <f t="shared" si="324"/>
        <v/>
      </c>
      <c r="L3824" t="str">
        <f t="shared" si="325"/>
        <v/>
      </c>
    </row>
    <row r="3825" spans="1:12" x14ac:dyDescent="0.25">
      <c r="A3825" t="s">
        <v>3268</v>
      </c>
      <c r="G3825" t="str">
        <f t="shared" si="326"/>
        <v>07/22/19</v>
      </c>
      <c r="H3825" t="str">
        <f t="shared" si="321"/>
        <v/>
      </c>
      <c r="I3825" s="60" t="str">
        <f t="shared" si="322"/>
        <v/>
      </c>
      <c r="J3825" t="str">
        <f t="shared" si="323"/>
        <v/>
      </c>
      <c r="K3825" s="60" t="str">
        <f t="shared" si="324"/>
        <v/>
      </c>
      <c r="L3825" t="str">
        <f t="shared" si="325"/>
        <v/>
      </c>
    </row>
    <row r="3826" spans="1:12" x14ac:dyDescent="0.25">
      <c r="G3826" t="str">
        <f t="shared" si="326"/>
        <v>07/22/19</v>
      </c>
      <c r="H3826" t="str">
        <f t="shared" si="321"/>
        <v/>
      </c>
      <c r="I3826" s="60" t="str">
        <f t="shared" si="322"/>
        <v/>
      </c>
      <c r="J3826" t="str">
        <f t="shared" si="323"/>
        <v/>
      </c>
      <c r="K3826" s="60" t="str">
        <f t="shared" si="324"/>
        <v/>
      </c>
      <c r="L3826" t="str">
        <f t="shared" si="325"/>
        <v/>
      </c>
    </row>
    <row r="3827" spans="1:12" x14ac:dyDescent="0.25">
      <c r="A3827" t="s">
        <v>3458</v>
      </c>
      <c r="G3827" t="str">
        <f t="shared" si="326"/>
        <v>07/22/19</v>
      </c>
      <c r="H3827" t="str">
        <f t="shared" si="321"/>
        <v>Baltimore Orioles</v>
      </c>
      <c r="I3827" s="60">
        <f t="shared" si="322"/>
        <v>3</v>
      </c>
      <c r="J3827" t="str">
        <f t="shared" si="323"/>
        <v>Arizona D'Backs</v>
      </c>
      <c r="K3827" s="60">
        <f t="shared" si="324"/>
        <v>6</v>
      </c>
      <c r="L3827">
        <f t="shared" si="325"/>
        <v>-3</v>
      </c>
    </row>
    <row r="3828" spans="1:12" x14ac:dyDescent="0.25">
      <c r="G3828" t="str">
        <f t="shared" si="326"/>
        <v>07/22/19</v>
      </c>
      <c r="H3828" t="str">
        <f t="shared" si="321"/>
        <v/>
      </c>
      <c r="I3828" s="60" t="str">
        <f t="shared" si="322"/>
        <v/>
      </c>
      <c r="J3828" t="str">
        <f t="shared" si="323"/>
        <v/>
      </c>
      <c r="K3828" s="60" t="str">
        <f t="shared" si="324"/>
        <v/>
      </c>
      <c r="L3828" t="str">
        <f t="shared" si="325"/>
        <v/>
      </c>
    </row>
    <row r="3829" spans="1:12" x14ac:dyDescent="0.25">
      <c r="A3829" t="s">
        <v>3459</v>
      </c>
      <c r="G3829" t="str">
        <f t="shared" si="326"/>
        <v>07/22/19</v>
      </c>
      <c r="H3829" t="str">
        <f t="shared" si="321"/>
        <v>Miami Marlins</v>
      </c>
      <c r="I3829" s="60">
        <f t="shared" si="322"/>
        <v>1</v>
      </c>
      <c r="J3829" t="str">
        <f t="shared" si="323"/>
        <v>Chicago White Sox</v>
      </c>
      <c r="K3829" s="60">
        <f t="shared" si="324"/>
        <v>9</v>
      </c>
      <c r="L3829">
        <f t="shared" si="325"/>
        <v>-8</v>
      </c>
    </row>
    <row r="3830" spans="1:12" x14ac:dyDescent="0.25">
      <c r="G3830" t="str">
        <f t="shared" si="326"/>
        <v>07/22/19</v>
      </c>
      <c r="H3830" t="str">
        <f t="shared" si="321"/>
        <v/>
      </c>
      <c r="I3830" s="60" t="str">
        <f t="shared" si="322"/>
        <v/>
      </c>
      <c r="J3830" t="str">
        <f t="shared" si="323"/>
        <v/>
      </c>
      <c r="K3830" s="60" t="str">
        <f t="shared" si="324"/>
        <v/>
      </c>
      <c r="L3830" t="str">
        <f t="shared" si="325"/>
        <v/>
      </c>
    </row>
    <row r="3831" spans="1:12" x14ac:dyDescent="0.25">
      <c r="A3831" t="s">
        <v>3460</v>
      </c>
      <c r="G3831" t="str">
        <f t="shared" si="326"/>
        <v>07/22/19</v>
      </c>
      <c r="H3831" t="str">
        <f t="shared" si="321"/>
        <v>Oakland Athletics</v>
      </c>
      <c r="I3831" s="60">
        <f t="shared" si="322"/>
        <v>1</v>
      </c>
      <c r="J3831" t="str">
        <f t="shared" si="323"/>
        <v>Houston Astros</v>
      </c>
      <c r="K3831" s="60">
        <f t="shared" si="324"/>
        <v>11</v>
      </c>
      <c r="L3831">
        <f t="shared" si="325"/>
        <v>-10</v>
      </c>
    </row>
    <row r="3832" spans="1:12" x14ac:dyDescent="0.25">
      <c r="G3832" t="str">
        <f t="shared" si="326"/>
        <v>07/22/19</v>
      </c>
      <c r="H3832" t="str">
        <f t="shared" si="321"/>
        <v/>
      </c>
      <c r="I3832" s="60" t="str">
        <f t="shared" si="322"/>
        <v/>
      </c>
      <c r="J3832" t="str">
        <f t="shared" si="323"/>
        <v/>
      </c>
      <c r="K3832" s="60" t="str">
        <f t="shared" si="324"/>
        <v/>
      </c>
      <c r="L3832" t="str">
        <f t="shared" si="325"/>
        <v/>
      </c>
    </row>
    <row r="3833" spans="1:12" x14ac:dyDescent="0.25">
      <c r="A3833" t="s">
        <v>3461</v>
      </c>
      <c r="G3833" t="str">
        <f t="shared" si="326"/>
        <v>07/22/19</v>
      </c>
      <c r="H3833" t="str">
        <f t="shared" si="321"/>
        <v>Cincinnati Reds</v>
      </c>
      <c r="I3833" s="60">
        <f t="shared" si="322"/>
        <v>6</v>
      </c>
      <c r="J3833" t="str">
        <f t="shared" si="323"/>
        <v>Milwaukee Brewers</v>
      </c>
      <c r="K3833" s="60">
        <f t="shared" si="324"/>
        <v>5</v>
      </c>
      <c r="L3833">
        <f t="shared" si="325"/>
        <v>1</v>
      </c>
    </row>
    <row r="3834" spans="1:12" x14ac:dyDescent="0.25">
      <c r="G3834" t="str">
        <f t="shared" si="326"/>
        <v>07/22/19</v>
      </c>
      <c r="H3834" t="str">
        <f t="shared" si="321"/>
        <v/>
      </c>
      <c r="I3834" s="60" t="str">
        <f t="shared" si="322"/>
        <v/>
      </c>
      <c r="J3834" t="str">
        <f t="shared" si="323"/>
        <v/>
      </c>
      <c r="K3834" s="60" t="str">
        <f t="shared" si="324"/>
        <v/>
      </c>
      <c r="L3834" t="str">
        <f t="shared" si="325"/>
        <v/>
      </c>
    </row>
    <row r="3835" spans="1:12" x14ac:dyDescent="0.25">
      <c r="A3835" t="s">
        <v>3462</v>
      </c>
      <c r="G3835" t="str">
        <f t="shared" si="326"/>
        <v>07/22/19</v>
      </c>
      <c r="H3835" t="str">
        <f t="shared" si="321"/>
        <v>New York Yankees</v>
      </c>
      <c r="I3835" s="60">
        <f t="shared" si="322"/>
        <v>6</v>
      </c>
      <c r="J3835" t="str">
        <f t="shared" si="323"/>
        <v>Minnesota Twins</v>
      </c>
      <c r="K3835" s="60">
        <f t="shared" si="324"/>
        <v>8</v>
      </c>
      <c r="L3835">
        <f t="shared" si="325"/>
        <v>-2</v>
      </c>
    </row>
    <row r="3836" spans="1:12" x14ac:dyDescent="0.25">
      <c r="G3836" t="str">
        <f t="shared" si="326"/>
        <v>07/22/19</v>
      </c>
      <c r="H3836" t="str">
        <f t="shared" si="321"/>
        <v/>
      </c>
      <c r="I3836" s="60" t="str">
        <f t="shared" si="322"/>
        <v/>
      </c>
      <c r="J3836" t="str">
        <f t="shared" si="323"/>
        <v/>
      </c>
      <c r="K3836" s="60" t="str">
        <f t="shared" si="324"/>
        <v/>
      </c>
      <c r="L3836" t="str">
        <f t="shared" si="325"/>
        <v/>
      </c>
    </row>
    <row r="3837" spans="1:12" x14ac:dyDescent="0.25">
      <c r="A3837" t="s">
        <v>1710</v>
      </c>
      <c r="G3837" t="str">
        <f t="shared" si="326"/>
        <v>07/22/19</v>
      </c>
      <c r="H3837" t="str">
        <f t="shared" si="321"/>
        <v>St. Louis Cardinals</v>
      </c>
      <c r="I3837" s="60">
        <f t="shared" si="322"/>
        <v>6</v>
      </c>
      <c r="J3837" t="str">
        <f t="shared" si="323"/>
        <v>Pittsburgh Pirates</v>
      </c>
      <c r="K3837" s="60">
        <f t="shared" si="324"/>
        <v>5</v>
      </c>
      <c r="L3837">
        <f t="shared" si="325"/>
        <v>1</v>
      </c>
    </row>
    <row r="3838" spans="1:12" x14ac:dyDescent="0.25">
      <c r="G3838" t="str">
        <f t="shared" si="326"/>
        <v>07/22/19</v>
      </c>
      <c r="H3838" t="str">
        <f t="shared" si="321"/>
        <v/>
      </c>
      <c r="I3838" s="60" t="str">
        <f t="shared" si="322"/>
        <v/>
      </c>
      <c r="J3838" t="str">
        <f t="shared" si="323"/>
        <v/>
      </c>
      <c r="K3838" s="60" t="str">
        <f t="shared" si="324"/>
        <v/>
      </c>
      <c r="L3838" t="str">
        <f t="shared" si="325"/>
        <v/>
      </c>
    </row>
    <row r="3839" spans="1:12" x14ac:dyDescent="0.25">
      <c r="A3839" t="s">
        <v>3463</v>
      </c>
      <c r="G3839" t="str">
        <f t="shared" si="326"/>
        <v>07/22/19</v>
      </c>
      <c r="H3839" t="str">
        <f t="shared" si="321"/>
        <v>Texas Rangers</v>
      </c>
      <c r="I3839" s="60">
        <f t="shared" si="322"/>
        <v>3</v>
      </c>
      <c r="J3839" t="str">
        <f t="shared" si="323"/>
        <v>Seattle Mariners</v>
      </c>
      <c r="K3839" s="60">
        <f t="shared" si="324"/>
        <v>7</v>
      </c>
      <c r="L3839">
        <f t="shared" si="325"/>
        <v>-4</v>
      </c>
    </row>
    <row r="3840" spans="1:12" x14ac:dyDescent="0.25">
      <c r="G3840" t="str">
        <f t="shared" si="326"/>
        <v>07/22/19</v>
      </c>
      <c r="H3840" t="str">
        <f t="shared" si="321"/>
        <v/>
      </c>
      <c r="I3840" s="60" t="str">
        <f t="shared" si="322"/>
        <v/>
      </c>
      <c r="J3840" t="str">
        <f t="shared" si="323"/>
        <v/>
      </c>
      <c r="K3840" s="60" t="str">
        <f t="shared" si="324"/>
        <v/>
      </c>
      <c r="L3840" t="str">
        <f t="shared" si="325"/>
        <v/>
      </c>
    </row>
    <row r="3841" spans="1:12" x14ac:dyDescent="0.25">
      <c r="A3841" t="s">
        <v>3464</v>
      </c>
      <c r="G3841" t="str">
        <f t="shared" si="326"/>
        <v>07/22/19</v>
      </c>
      <c r="H3841" t="str">
        <f t="shared" si="321"/>
        <v>Chicago Cubs</v>
      </c>
      <c r="I3841" s="60">
        <f t="shared" si="322"/>
        <v>4</v>
      </c>
      <c r="J3841" t="str">
        <f t="shared" si="323"/>
        <v>San Francisco Giants</v>
      </c>
      <c r="K3841" s="60">
        <f t="shared" si="324"/>
        <v>5</v>
      </c>
      <c r="L3841">
        <f t="shared" si="325"/>
        <v>-1</v>
      </c>
    </row>
    <row r="3842" spans="1:12" x14ac:dyDescent="0.25">
      <c r="G3842" t="str">
        <f t="shared" si="326"/>
        <v>07/22/19</v>
      </c>
      <c r="H3842" t="str">
        <f t="shared" si="321"/>
        <v/>
      </c>
      <c r="I3842" s="60" t="str">
        <f t="shared" si="322"/>
        <v/>
      </c>
      <c r="J3842" t="str">
        <f t="shared" si="323"/>
        <v/>
      </c>
      <c r="K3842" s="60" t="str">
        <f t="shared" si="324"/>
        <v/>
      </c>
      <c r="L3842" t="str">
        <f t="shared" si="325"/>
        <v/>
      </c>
    </row>
    <row r="3843" spans="1:12" x14ac:dyDescent="0.25">
      <c r="A3843" t="s">
        <v>3465</v>
      </c>
      <c r="G3843" t="str">
        <f t="shared" si="326"/>
        <v>07/22/19</v>
      </c>
      <c r="H3843" t="str">
        <f t="shared" si="321"/>
        <v>Boston Red Sox</v>
      </c>
      <c r="I3843" s="60">
        <f t="shared" si="322"/>
        <v>9</v>
      </c>
      <c r="J3843" t="str">
        <f t="shared" si="323"/>
        <v>Tampa Bay Rays</v>
      </c>
      <c r="K3843" s="60">
        <f t="shared" si="324"/>
        <v>4</v>
      </c>
      <c r="L3843">
        <f t="shared" si="325"/>
        <v>5</v>
      </c>
    </row>
    <row r="3844" spans="1:12" x14ac:dyDescent="0.25">
      <c r="G3844" t="str">
        <f t="shared" si="326"/>
        <v>07/22/19</v>
      </c>
      <c r="H3844" t="str">
        <f t="shared" si="321"/>
        <v/>
      </c>
      <c r="I3844" s="60" t="str">
        <f t="shared" si="322"/>
        <v/>
      </c>
      <c r="J3844" t="str">
        <f t="shared" si="323"/>
        <v/>
      </c>
      <c r="K3844" s="60" t="str">
        <f t="shared" si="324"/>
        <v/>
      </c>
      <c r="L3844" t="str">
        <f t="shared" si="325"/>
        <v/>
      </c>
    </row>
    <row r="3845" spans="1:12" x14ac:dyDescent="0.25">
      <c r="A3845" t="s">
        <v>3466</v>
      </c>
      <c r="G3845" t="str">
        <f t="shared" si="326"/>
        <v>07/22/19</v>
      </c>
      <c r="H3845" t="str">
        <f t="shared" si="321"/>
        <v>Cleveland Indians</v>
      </c>
      <c r="I3845" s="60">
        <f t="shared" si="322"/>
        <v>7</v>
      </c>
      <c r="J3845" t="str">
        <f t="shared" si="323"/>
        <v>Toronto Blue Jays</v>
      </c>
      <c r="K3845" s="60">
        <f t="shared" si="324"/>
        <v>3</v>
      </c>
      <c r="L3845">
        <f t="shared" si="325"/>
        <v>4</v>
      </c>
    </row>
    <row r="3846" spans="1:12" x14ac:dyDescent="0.25">
      <c r="G3846" t="str">
        <f t="shared" si="326"/>
        <v>07/22/19</v>
      </c>
      <c r="H3846" t="str">
        <f t="shared" si="321"/>
        <v/>
      </c>
      <c r="I3846" s="60" t="str">
        <f t="shared" si="322"/>
        <v/>
      </c>
      <c r="J3846" t="str">
        <f t="shared" si="323"/>
        <v/>
      </c>
      <c r="K3846" s="60" t="str">
        <f t="shared" si="324"/>
        <v/>
      </c>
      <c r="L3846" t="str">
        <f t="shared" si="325"/>
        <v/>
      </c>
    </row>
    <row r="3847" spans="1:12" x14ac:dyDescent="0.25">
      <c r="A3847" t="s">
        <v>3467</v>
      </c>
      <c r="G3847" t="str">
        <f t="shared" si="326"/>
        <v>07/22/19</v>
      </c>
      <c r="H3847" t="str">
        <f t="shared" si="321"/>
        <v/>
      </c>
      <c r="I3847" s="60" t="str">
        <f t="shared" si="322"/>
        <v/>
      </c>
      <c r="J3847" t="str">
        <f t="shared" si="323"/>
        <v/>
      </c>
      <c r="K3847" s="60" t="str">
        <f t="shared" si="324"/>
        <v/>
      </c>
      <c r="L3847" t="str">
        <f t="shared" si="325"/>
        <v/>
      </c>
    </row>
    <row r="3848" spans="1:12" x14ac:dyDescent="0.25">
      <c r="G3848" t="str">
        <f t="shared" si="326"/>
        <v>07/22/19</v>
      </c>
      <c r="H3848" t="str">
        <f t="shared" si="321"/>
        <v/>
      </c>
      <c r="I3848" s="60" t="str">
        <f t="shared" si="322"/>
        <v/>
      </c>
      <c r="J3848" t="str">
        <f t="shared" si="323"/>
        <v/>
      </c>
      <c r="K3848" s="60" t="str">
        <f t="shared" si="324"/>
        <v/>
      </c>
      <c r="L3848" t="str">
        <f t="shared" si="325"/>
        <v/>
      </c>
    </row>
    <row r="3849" spans="1:12" x14ac:dyDescent="0.25">
      <c r="A3849" t="s">
        <v>3269</v>
      </c>
      <c r="G3849" t="str">
        <f t="shared" si="326"/>
        <v>07/23/19</v>
      </c>
      <c r="H3849" t="str">
        <f t="shared" si="321"/>
        <v/>
      </c>
      <c r="I3849" s="60" t="str">
        <f t="shared" si="322"/>
        <v/>
      </c>
      <c r="J3849" t="str">
        <f t="shared" si="323"/>
        <v/>
      </c>
      <c r="K3849" s="60" t="str">
        <f t="shared" si="324"/>
        <v/>
      </c>
      <c r="L3849" t="str">
        <f t="shared" si="325"/>
        <v/>
      </c>
    </row>
    <row r="3850" spans="1:12" x14ac:dyDescent="0.25">
      <c r="G3850" t="str">
        <f t="shared" si="326"/>
        <v>07/23/19</v>
      </c>
      <c r="H3850" t="str">
        <f t="shared" si="321"/>
        <v/>
      </c>
      <c r="I3850" s="60" t="str">
        <f t="shared" si="322"/>
        <v/>
      </c>
      <c r="J3850" t="str">
        <f t="shared" si="323"/>
        <v/>
      </c>
      <c r="K3850" s="60" t="str">
        <f t="shared" si="324"/>
        <v/>
      </c>
      <c r="L3850" t="str">
        <f t="shared" si="325"/>
        <v/>
      </c>
    </row>
    <row r="3851" spans="1:12" x14ac:dyDescent="0.25">
      <c r="A3851" t="s">
        <v>3468</v>
      </c>
      <c r="G3851" t="str">
        <f t="shared" si="326"/>
        <v>07/23/19</v>
      </c>
      <c r="H3851" t="str">
        <f t="shared" si="321"/>
        <v>Baltimore Orioles</v>
      </c>
      <c r="I3851" s="60">
        <f t="shared" si="322"/>
        <v>7</v>
      </c>
      <c r="J3851" t="str">
        <f t="shared" si="323"/>
        <v>Arizona D'Backs</v>
      </c>
      <c r="K3851" s="60">
        <f t="shared" si="324"/>
        <v>2</v>
      </c>
      <c r="L3851">
        <f t="shared" si="325"/>
        <v>5</v>
      </c>
    </row>
    <row r="3852" spans="1:12" x14ac:dyDescent="0.25">
      <c r="G3852" t="str">
        <f t="shared" si="326"/>
        <v>07/23/19</v>
      </c>
      <c r="H3852" t="str">
        <f t="shared" si="321"/>
        <v/>
      </c>
      <c r="I3852" s="60" t="str">
        <f t="shared" si="322"/>
        <v/>
      </c>
      <c r="J3852" t="str">
        <f t="shared" si="323"/>
        <v/>
      </c>
      <c r="K3852" s="60" t="str">
        <f t="shared" si="324"/>
        <v/>
      </c>
      <c r="L3852" t="str">
        <f t="shared" si="325"/>
        <v/>
      </c>
    </row>
    <row r="3853" spans="1:12" x14ac:dyDescent="0.25">
      <c r="A3853" t="s">
        <v>3469</v>
      </c>
      <c r="G3853" t="str">
        <f t="shared" si="326"/>
        <v>07/23/19</v>
      </c>
      <c r="H3853" t="str">
        <f t="shared" si="321"/>
        <v>Kansas City Royals</v>
      </c>
      <c r="I3853" s="60">
        <f t="shared" si="322"/>
        <v>5</v>
      </c>
      <c r="J3853" t="str">
        <f t="shared" si="323"/>
        <v>Atlanta Braves</v>
      </c>
      <c r="K3853" s="60">
        <f t="shared" si="324"/>
        <v>4</v>
      </c>
      <c r="L3853">
        <f t="shared" si="325"/>
        <v>1</v>
      </c>
    </row>
    <row r="3854" spans="1:12" x14ac:dyDescent="0.25">
      <c r="G3854" t="str">
        <f t="shared" si="326"/>
        <v>07/23/19</v>
      </c>
      <c r="H3854" t="str">
        <f t="shared" si="321"/>
        <v/>
      </c>
      <c r="I3854" s="60" t="str">
        <f t="shared" si="322"/>
        <v/>
      </c>
      <c r="J3854" t="str">
        <f t="shared" si="323"/>
        <v/>
      </c>
      <c r="K3854" s="60" t="str">
        <f t="shared" si="324"/>
        <v/>
      </c>
      <c r="L3854" t="str">
        <f t="shared" si="325"/>
        <v/>
      </c>
    </row>
    <row r="3855" spans="1:12" x14ac:dyDescent="0.25">
      <c r="A3855" t="s">
        <v>3470</v>
      </c>
      <c r="G3855" t="str">
        <f t="shared" si="326"/>
        <v>07/23/19</v>
      </c>
      <c r="H3855" t="str">
        <f t="shared" si="321"/>
        <v>Miami Marlins</v>
      </c>
      <c r="I3855" s="60">
        <f t="shared" si="322"/>
        <v>5</v>
      </c>
      <c r="J3855" t="str">
        <f t="shared" si="323"/>
        <v>Chicago White Sox</v>
      </c>
      <c r="K3855" s="60">
        <f t="shared" si="324"/>
        <v>1</v>
      </c>
      <c r="L3855">
        <f t="shared" si="325"/>
        <v>4</v>
      </c>
    </row>
    <row r="3856" spans="1:12" x14ac:dyDescent="0.25">
      <c r="G3856" t="str">
        <f t="shared" si="326"/>
        <v>07/23/19</v>
      </c>
      <c r="H3856" t="str">
        <f t="shared" ref="H3856:H3919" si="327">IFERROR(LEFT(MID(A3856,1,SEARCH("@",A3856)-2),SEARCH("(",A3856)-2),"")</f>
        <v/>
      </c>
      <c r="I3856" s="60" t="str">
        <f t="shared" ref="I3856:I3919" si="328">IFERROR(VALUE(MID(A3856,SEARCH("(",A3856)+1,SEARCH(")",A3856)-SEARCH("(",A3856)-1)),"")</f>
        <v/>
      </c>
      <c r="J3856" t="str">
        <f t="shared" ref="J3856:J3919" si="329">IFERROR(MID(A3856,SEARCH("@",A3856)+2,SEARCH("(",A3856,SEARCH("@",A3856))-SEARCH("@",A3856)-3),"")</f>
        <v/>
      </c>
      <c r="K3856" s="60" t="str">
        <f t="shared" ref="K3856:K3919" si="330">IFERROR(VALUE(MID(A3856,SEARCH(J3856,A3856)+LEN(J3856)+2,(SEARCH(")",A3856,SEARCH("@",A3856))-SEARCH("(",A3856,SEARCH("@",A3856))-1))),"")</f>
        <v/>
      </c>
      <c r="L3856" t="str">
        <f t="shared" ref="L3856:L3919" si="331">IFERROR(I3856-K3856,"")</f>
        <v/>
      </c>
    </row>
    <row r="3857" spans="1:12" x14ac:dyDescent="0.25">
      <c r="A3857" t="s">
        <v>3471</v>
      </c>
      <c r="G3857" t="str">
        <f t="shared" si="326"/>
        <v>07/23/19</v>
      </c>
      <c r="H3857" t="str">
        <f t="shared" si="327"/>
        <v>Philadelphia Phillies</v>
      </c>
      <c r="I3857" s="60">
        <f t="shared" si="328"/>
        <v>3</v>
      </c>
      <c r="J3857" t="str">
        <f t="shared" si="329"/>
        <v>Detroit Tigers</v>
      </c>
      <c r="K3857" s="60">
        <f t="shared" si="330"/>
        <v>2</v>
      </c>
      <c r="L3857">
        <f t="shared" si="331"/>
        <v>1</v>
      </c>
    </row>
    <row r="3858" spans="1:12" x14ac:dyDescent="0.25">
      <c r="G3858" t="str">
        <f t="shared" si="326"/>
        <v>07/23/19</v>
      </c>
      <c r="H3858" t="str">
        <f t="shared" si="327"/>
        <v/>
      </c>
      <c r="I3858" s="60" t="str">
        <f t="shared" si="328"/>
        <v/>
      </c>
      <c r="J3858" t="str">
        <f t="shared" si="329"/>
        <v/>
      </c>
      <c r="K3858" s="60" t="str">
        <f t="shared" si="330"/>
        <v/>
      </c>
      <c r="L3858" t="str">
        <f t="shared" si="331"/>
        <v/>
      </c>
    </row>
    <row r="3859" spans="1:12" x14ac:dyDescent="0.25">
      <c r="A3859" t="s">
        <v>3472</v>
      </c>
      <c r="G3859" t="str">
        <f t="shared" si="326"/>
        <v>07/23/19</v>
      </c>
      <c r="H3859" t="str">
        <f t="shared" si="327"/>
        <v>Oakland Athletics</v>
      </c>
      <c r="I3859" s="60">
        <f t="shared" si="328"/>
        <v>4</v>
      </c>
      <c r="J3859" t="str">
        <f t="shared" si="329"/>
        <v>Houston Astros</v>
      </c>
      <c r="K3859" s="60">
        <f t="shared" si="330"/>
        <v>3</v>
      </c>
      <c r="L3859">
        <f t="shared" si="331"/>
        <v>1</v>
      </c>
    </row>
    <row r="3860" spans="1:12" x14ac:dyDescent="0.25">
      <c r="G3860" t="str">
        <f t="shared" si="326"/>
        <v>07/23/19</v>
      </c>
      <c r="H3860" t="str">
        <f t="shared" si="327"/>
        <v/>
      </c>
      <c r="I3860" s="60" t="str">
        <f t="shared" si="328"/>
        <v/>
      </c>
      <c r="J3860" t="str">
        <f t="shared" si="329"/>
        <v/>
      </c>
      <c r="K3860" s="60" t="str">
        <f t="shared" si="330"/>
        <v/>
      </c>
      <c r="L3860" t="str">
        <f t="shared" si="331"/>
        <v/>
      </c>
    </row>
    <row r="3861" spans="1:12" x14ac:dyDescent="0.25">
      <c r="A3861" t="s">
        <v>3473</v>
      </c>
      <c r="G3861" t="str">
        <f t="shared" si="326"/>
        <v>07/23/19</v>
      </c>
      <c r="H3861" t="str">
        <f t="shared" si="327"/>
        <v>Los Angeles Angels</v>
      </c>
      <c r="I3861" s="60">
        <f t="shared" si="328"/>
        <v>5</v>
      </c>
      <c r="J3861" t="str">
        <f t="shared" si="329"/>
        <v>Los Angeles Dodgers</v>
      </c>
      <c r="K3861" s="60">
        <f t="shared" si="330"/>
        <v>4</v>
      </c>
      <c r="L3861">
        <f t="shared" si="331"/>
        <v>1</v>
      </c>
    </row>
    <row r="3862" spans="1:12" x14ac:dyDescent="0.25">
      <c r="G3862" t="str">
        <f t="shared" si="326"/>
        <v>07/23/19</v>
      </c>
      <c r="H3862" t="str">
        <f t="shared" si="327"/>
        <v/>
      </c>
      <c r="I3862" s="60" t="str">
        <f t="shared" si="328"/>
        <v/>
      </c>
      <c r="J3862" t="str">
        <f t="shared" si="329"/>
        <v/>
      </c>
      <c r="K3862" s="60" t="str">
        <f t="shared" si="330"/>
        <v/>
      </c>
      <c r="L3862" t="str">
        <f t="shared" si="331"/>
        <v/>
      </c>
    </row>
    <row r="3863" spans="1:12" x14ac:dyDescent="0.25">
      <c r="A3863" t="s">
        <v>3474</v>
      </c>
      <c r="G3863" t="str">
        <f t="shared" si="326"/>
        <v>07/23/19</v>
      </c>
      <c r="H3863" t="str">
        <f t="shared" si="327"/>
        <v>Cincinnati Reds</v>
      </c>
      <c r="I3863" s="60">
        <f t="shared" si="328"/>
        <v>14</v>
      </c>
      <c r="J3863" t="str">
        <f t="shared" si="329"/>
        <v>Milwaukee Brewers</v>
      </c>
      <c r="K3863" s="60">
        <f t="shared" si="330"/>
        <v>6</v>
      </c>
      <c r="L3863">
        <f t="shared" si="331"/>
        <v>8</v>
      </c>
    </row>
    <row r="3864" spans="1:12" x14ac:dyDescent="0.25">
      <c r="G3864" t="str">
        <f t="shared" si="326"/>
        <v>07/23/19</v>
      </c>
      <c r="H3864" t="str">
        <f t="shared" si="327"/>
        <v/>
      </c>
      <c r="I3864" s="60" t="str">
        <f t="shared" si="328"/>
        <v/>
      </c>
      <c r="J3864" t="str">
        <f t="shared" si="329"/>
        <v/>
      </c>
      <c r="K3864" s="60" t="str">
        <f t="shared" si="330"/>
        <v/>
      </c>
      <c r="L3864" t="str">
        <f t="shared" si="331"/>
        <v/>
      </c>
    </row>
    <row r="3865" spans="1:12" x14ac:dyDescent="0.25">
      <c r="A3865" t="s">
        <v>3475</v>
      </c>
      <c r="G3865" t="str">
        <f t="shared" si="326"/>
        <v>07/23/19</v>
      </c>
      <c r="H3865" t="str">
        <f t="shared" si="327"/>
        <v>New York Yankees</v>
      </c>
      <c r="I3865" s="60">
        <f t="shared" si="328"/>
        <v>14</v>
      </c>
      <c r="J3865" t="str">
        <f t="shared" si="329"/>
        <v>Minnesota Twins</v>
      </c>
      <c r="K3865" s="60">
        <f t="shared" si="330"/>
        <v>12</v>
      </c>
      <c r="L3865">
        <f t="shared" si="331"/>
        <v>2</v>
      </c>
    </row>
    <row r="3866" spans="1:12" x14ac:dyDescent="0.25">
      <c r="G3866" t="str">
        <f t="shared" si="326"/>
        <v>07/23/19</v>
      </c>
      <c r="H3866" t="str">
        <f t="shared" si="327"/>
        <v/>
      </c>
      <c r="I3866" s="60" t="str">
        <f t="shared" si="328"/>
        <v/>
      </c>
      <c r="J3866" t="str">
        <f t="shared" si="329"/>
        <v/>
      </c>
      <c r="K3866" s="60" t="str">
        <f t="shared" si="330"/>
        <v/>
      </c>
      <c r="L3866" t="str">
        <f t="shared" si="331"/>
        <v/>
      </c>
    </row>
    <row r="3867" spans="1:12" x14ac:dyDescent="0.25">
      <c r="A3867" t="s">
        <v>3476</v>
      </c>
      <c r="G3867" t="str">
        <f t="shared" si="326"/>
        <v>07/23/19</v>
      </c>
      <c r="H3867" t="str">
        <f t="shared" si="327"/>
        <v>San Diego Padres</v>
      </c>
      <c r="I3867" s="60">
        <f t="shared" si="328"/>
        <v>2</v>
      </c>
      <c r="J3867" t="str">
        <f t="shared" si="329"/>
        <v>New York Mets</v>
      </c>
      <c r="K3867" s="60">
        <f t="shared" si="330"/>
        <v>5</v>
      </c>
      <c r="L3867">
        <f t="shared" si="331"/>
        <v>-3</v>
      </c>
    </row>
    <row r="3868" spans="1:12" x14ac:dyDescent="0.25">
      <c r="G3868" t="str">
        <f t="shared" si="326"/>
        <v>07/23/19</v>
      </c>
      <c r="H3868" t="str">
        <f t="shared" si="327"/>
        <v/>
      </c>
      <c r="I3868" s="60" t="str">
        <f t="shared" si="328"/>
        <v/>
      </c>
      <c r="J3868" t="str">
        <f t="shared" si="329"/>
        <v/>
      </c>
      <c r="K3868" s="60" t="str">
        <f t="shared" si="330"/>
        <v/>
      </c>
      <c r="L3868" t="str">
        <f t="shared" si="331"/>
        <v/>
      </c>
    </row>
    <row r="3869" spans="1:12" x14ac:dyDescent="0.25">
      <c r="A3869" t="s">
        <v>3477</v>
      </c>
      <c r="G3869" t="str">
        <f t="shared" si="326"/>
        <v>07/23/19</v>
      </c>
      <c r="H3869" t="str">
        <f t="shared" si="327"/>
        <v>St. Louis Cardinals</v>
      </c>
      <c r="I3869" s="60">
        <f t="shared" si="328"/>
        <v>4</v>
      </c>
      <c r="J3869" t="str">
        <f t="shared" si="329"/>
        <v>Pittsburgh Pirates</v>
      </c>
      <c r="K3869" s="60">
        <f t="shared" si="330"/>
        <v>3</v>
      </c>
      <c r="L3869">
        <f t="shared" si="331"/>
        <v>1</v>
      </c>
    </row>
    <row r="3870" spans="1:12" x14ac:dyDescent="0.25">
      <c r="G3870" t="str">
        <f t="shared" si="326"/>
        <v>07/23/19</v>
      </c>
      <c r="H3870" t="str">
        <f t="shared" si="327"/>
        <v/>
      </c>
      <c r="I3870" s="60" t="str">
        <f t="shared" si="328"/>
        <v/>
      </c>
      <c r="J3870" t="str">
        <f t="shared" si="329"/>
        <v/>
      </c>
      <c r="K3870" s="60" t="str">
        <f t="shared" si="330"/>
        <v/>
      </c>
      <c r="L3870" t="str">
        <f t="shared" si="331"/>
        <v/>
      </c>
    </row>
    <row r="3871" spans="1:12" x14ac:dyDescent="0.25">
      <c r="A3871" t="s">
        <v>3478</v>
      </c>
      <c r="G3871" t="str">
        <f t="shared" si="326"/>
        <v>07/23/19</v>
      </c>
      <c r="H3871" t="str">
        <f t="shared" si="327"/>
        <v>Texas Rangers</v>
      </c>
      <c r="I3871" s="60">
        <f t="shared" si="328"/>
        <v>7</v>
      </c>
      <c r="J3871" t="str">
        <f t="shared" si="329"/>
        <v>Seattle Mariners</v>
      </c>
      <c r="K3871" s="60">
        <f t="shared" si="330"/>
        <v>2</v>
      </c>
      <c r="L3871">
        <f t="shared" si="331"/>
        <v>5</v>
      </c>
    </row>
    <row r="3872" spans="1:12" x14ac:dyDescent="0.25">
      <c r="G3872" t="str">
        <f t="shared" si="326"/>
        <v>07/23/19</v>
      </c>
      <c r="H3872" t="str">
        <f t="shared" si="327"/>
        <v/>
      </c>
      <c r="I3872" s="60" t="str">
        <f t="shared" si="328"/>
        <v/>
      </c>
      <c r="J3872" t="str">
        <f t="shared" si="329"/>
        <v/>
      </c>
      <c r="K3872" s="60" t="str">
        <f t="shared" si="330"/>
        <v/>
      </c>
      <c r="L3872" t="str">
        <f t="shared" si="331"/>
        <v/>
      </c>
    </row>
    <row r="3873" spans="1:12" x14ac:dyDescent="0.25">
      <c r="A3873" t="s">
        <v>3464</v>
      </c>
      <c r="G3873" t="str">
        <f t="shared" si="326"/>
        <v>07/23/19</v>
      </c>
      <c r="H3873" t="str">
        <f t="shared" si="327"/>
        <v>Chicago Cubs</v>
      </c>
      <c r="I3873" s="60">
        <f t="shared" si="328"/>
        <v>4</v>
      </c>
      <c r="J3873" t="str">
        <f t="shared" si="329"/>
        <v>San Francisco Giants</v>
      </c>
      <c r="K3873" s="60">
        <f t="shared" si="330"/>
        <v>5</v>
      </c>
      <c r="L3873">
        <f t="shared" si="331"/>
        <v>-1</v>
      </c>
    </row>
    <row r="3874" spans="1:12" x14ac:dyDescent="0.25">
      <c r="G3874" t="str">
        <f t="shared" ref="G3874:G3937" si="332">IF(ISNUMBER(MATCH(IFERROR(LEFT(A3874,SEARCH(",",A3874)-1),""),$G$220:$M$220,0)),TEXT(MID(A3874,SEARCH(",",A3874)+2,LEN(A3874)),"mm/dd/yy"),G3873)</f>
        <v>07/23/19</v>
      </c>
      <c r="H3874" t="str">
        <f t="shared" si="327"/>
        <v/>
      </c>
      <c r="I3874" s="60" t="str">
        <f t="shared" si="328"/>
        <v/>
      </c>
      <c r="J3874" t="str">
        <f t="shared" si="329"/>
        <v/>
      </c>
      <c r="K3874" s="60" t="str">
        <f t="shared" si="330"/>
        <v/>
      </c>
      <c r="L3874" t="str">
        <f t="shared" si="331"/>
        <v/>
      </c>
    </row>
    <row r="3875" spans="1:12" x14ac:dyDescent="0.25">
      <c r="A3875" t="s">
        <v>3479</v>
      </c>
      <c r="G3875" t="str">
        <f t="shared" si="332"/>
        <v>07/23/19</v>
      </c>
      <c r="H3875" t="str">
        <f t="shared" si="327"/>
        <v>Boston Red Sox</v>
      </c>
      <c r="I3875" s="60">
        <f t="shared" si="328"/>
        <v>5</v>
      </c>
      <c r="J3875" t="str">
        <f t="shared" si="329"/>
        <v>Tampa Bay Rays</v>
      </c>
      <c r="K3875" s="60">
        <f t="shared" si="330"/>
        <v>4</v>
      </c>
      <c r="L3875">
        <f t="shared" si="331"/>
        <v>1</v>
      </c>
    </row>
    <row r="3876" spans="1:12" x14ac:dyDescent="0.25">
      <c r="G3876" t="str">
        <f t="shared" si="332"/>
        <v>07/23/19</v>
      </c>
      <c r="H3876" t="str">
        <f t="shared" si="327"/>
        <v/>
      </c>
      <c r="I3876" s="60" t="str">
        <f t="shared" si="328"/>
        <v/>
      </c>
      <c r="J3876" t="str">
        <f t="shared" si="329"/>
        <v/>
      </c>
      <c r="K3876" s="60" t="str">
        <f t="shared" si="330"/>
        <v/>
      </c>
      <c r="L3876" t="str">
        <f t="shared" si="331"/>
        <v/>
      </c>
    </row>
    <row r="3877" spans="1:12" x14ac:dyDescent="0.25">
      <c r="A3877" t="s">
        <v>3480</v>
      </c>
      <c r="G3877" t="str">
        <f t="shared" si="332"/>
        <v>07/23/19</v>
      </c>
      <c r="H3877" t="str">
        <f t="shared" si="327"/>
        <v>Cleveland Indians</v>
      </c>
      <c r="I3877" s="60">
        <f t="shared" si="328"/>
        <v>1</v>
      </c>
      <c r="J3877" t="str">
        <f t="shared" si="329"/>
        <v>Toronto Blue Jays</v>
      </c>
      <c r="K3877" s="60">
        <f t="shared" si="330"/>
        <v>2</v>
      </c>
      <c r="L3877">
        <f t="shared" si="331"/>
        <v>-1</v>
      </c>
    </row>
    <row r="3878" spans="1:12" x14ac:dyDescent="0.25">
      <c r="G3878" t="str">
        <f t="shared" si="332"/>
        <v>07/23/19</v>
      </c>
      <c r="H3878" t="str">
        <f t="shared" si="327"/>
        <v/>
      </c>
      <c r="I3878" s="60" t="str">
        <f t="shared" si="328"/>
        <v/>
      </c>
      <c r="J3878" t="str">
        <f t="shared" si="329"/>
        <v/>
      </c>
      <c r="K3878" s="60" t="str">
        <f t="shared" si="330"/>
        <v/>
      </c>
      <c r="L3878" t="str">
        <f t="shared" si="331"/>
        <v/>
      </c>
    </row>
    <row r="3879" spans="1:12" x14ac:dyDescent="0.25">
      <c r="A3879" t="s">
        <v>3481</v>
      </c>
      <c r="G3879" t="str">
        <f t="shared" si="332"/>
        <v>07/23/19</v>
      </c>
      <c r="H3879" t="str">
        <f t="shared" si="327"/>
        <v>Colorado Rockies</v>
      </c>
      <c r="I3879" s="60">
        <f t="shared" si="328"/>
        <v>1</v>
      </c>
      <c r="J3879" t="str">
        <f t="shared" si="329"/>
        <v>Washington Nationals</v>
      </c>
      <c r="K3879" s="60">
        <f t="shared" si="330"/>
        <v>11</v>
      </c>
      <c r="L3879">
        <f t="shared" si="331"/>
        <v>-10</v>
      </c>
    </row>
    <row r="3880" spans="1:12" x14ac:dyDescent="0.25">
      <c r="G3880" t="str">
        <f t="shared" si="332"/>
        <v>07/23/19</v>
      </c>
      <c r="H3880" t="str">
        <f t="shared" si="327"/>
        <v/>
      </c>
      <c r="I3880" s="60" t="str">
        <f t="shared" si="328"/>
        <v/>
      </c>
      <c r="J3880" t="str">
        <f t="shared" si="329"/>
        <v/>
      </c>
      <c r="K3880" s="60" t="str">
        <f t="shared" si="330"/>
        <v/>
      </c>
      <c r="L3880" t="str">
        <f t="shared" si="331"/>
        <v/>
      </c>
    </row>
    <row r="3881" spans="1:12" x14ac:dyDescent="0.25">
      <c r="A3881" t="s">
        <v>3482</v>
      </c>
      <c r="G3881" t="str">
        <f t="shared" si="332"/>
        <v>07/23/19</v>
      </c>
      <c r="H3881" t="str">
        <f t="shared" si="327"/>
        <v/>
      </c>
      <c r="I3881" s="60" t="str">
        <f t="shared" si="328"/>
        <v/>
      </c>
      <c r="J3881" t="str">
        <f t="shared" si="329"/>
        <v/>
      </c>
      <c r="K3881" s="60" t="str">
        <f t="shared" si="330"/>
        <v/>
      </c>
      <c r="L3881" t="str">
        <f t="shared" si="331"/>
        <v/>
      </c>
    </row>
    <row r="3882" spans="1:12" x14ac:dyDescent="0.25">
      <c r="G3882" t="str">
        <f t="shared" si="332"/>
        <v>07/23/19</v>
      </c>
      <c r="H3882" t="str">
        <f t="shared" si="327"/>
        <v/>
      </c>
      <c r="I3882" s="60" t="str">
        <f t="shared" si="328"/>
        <v/>
      </c>
      <c r="J3882" t="str">
        <f t="shared" si="329"/>
        <v/>
      </c>
      <c r="K3882" s="60" t="str">
        <f t="shared" si="330"/>
        <v/>
      </c>
      <c r="L3882" t="str">
        <f t="shared" si="331"/>
        <v/>
      </c>
    </row>
    <row r="3883" spans="1:12" x14ac:dyDescent="0.25">
      <c r="A3883" t="s">
        <v>3270</v>
      </c>
      <c r="G3883" t="str">
        <f t="shared" si="332"/>
        <v>07/24/19</v>
      </c>
      <c r="H3883" t="str">
        <f t="shared" si="327"/>
        <v/>
      </c>
      <c r="I3883" s="60" t="str">
        <f t="shared" si="328"/>
        <v/>
      </c>
      <c r="J3883" t="str">
        <f t="shared" si="329"/>
        <v/>
      </c>
      <c r="K3883" s="60" t="str">
        <f t="shared" si="330"/>
        <v/>
      </c>
      <c r="L3883" t="str">
        <f t="shared" si="331"/>
        <v/>
      </c>
    </row>
    <row r="3884" spans="1:12" x14ac:dyDescent="0.25">
      <c r="G3884" t="str">
        <f t="shared" si="332"/>
        <v>07/24/19</v>
      </c>
      <c r="H3884" t="str">
        <f t="shared" si="327"/>
        <v/>
      </c>
      <c r="I3884" s="60" t="str">
        <f t="shared" si="328"/>
        <v/>
      </c>
      <c r="J3884" t="str">
        <f t="shared" si="329"/>
        <v/>
      </c>
      <c r="K3884" s="60" t="str">
        <f t="shared" si="330"/>
        <v/>
      </c>
      <c r="L3884" t="str">
        <f t="shared" si="331"/>
        <v/>
      </c>
    </row>
    <row r="3885" spans="1:12" x14ac:dyDescent="0.25">
      <c r="A3885" t="s">
        <v>3483</v>
      </c>
      <c r="G3885" t="str">
        <f t="shared" si="332"/>
        <v>07/24/19</v>
      </c>
      <c r="H3885" t="str">
        <f t="shared" si="327"/>
        <v>Baltimore Orioles</v>
      </c>
      <c r="I3885" s="60">
        <f t="shared" si="328"/>
        <v>2</v>
      </c>
      <c r="J3885" t="str">
        <f t="shared" si="329"/>
        <v>Arizona D'Backs</v>
      </c>
      <c r="K3885" s="60">
        <f t="shared" si="330"/>
        <v>5</v>
      </c>
      <c r="L3885">
        <f t="shared" si="331"/>
        <v>-3</v>
      </c>
    </row>
    <row r="3886" spans="1:12" x14ac:dyDescent="0.25">
      <c r="G3886" t="str">
        <f t="shared" si="332"/>
        <v>07/24/19</v>
      </c>
      <c r="H3886" t="str">
        <f t="shared" si="327"/>
        <v/>
      </c>
      <c r="I3886" s="60" t="str">
        <f t="shared" si="328"/>
        <v/>
      </c>
      <c r="J3886" t="str">
        <f t="shared" si="329"/>
        <v/>
      </c>
      <c r="K3886" s="60" t="str">
        <f t="shared" si="330"/>
        <v/>
      </c>
      <c r="L3886" t="str">
        <f t="shared" si="331"/>
        <v/>
      </c>
    </row>
    <row r="3887" spans="1:12" x14ac:dyDescent="0.25">
      <c r="A3887" t="s">
        <v>3484</v>
      </c>
      <c r="G3887" t="str">
        <f t="shared" si="332"/>
        <v>07/24/19</v>
      </c>
      <c r="H3887" t="str">
        <f t="shared" si="327"/>
        <v>Kansas City Royals</v>
      </c>
      <c r="I3887" s="60">
        <f t="shared" si="328"/>
        <v>2</v>
      </c>
      <c r="J3887" t="str">
        <f t="shared" si="329"/>
        <v>Atlanta Braves</v>
      </c>
      <c r="K3887" s="60">
        <f t="shared" si="330"/>
        <v>0</v>
      </c>
      <c r="L3887">
        <f t="shared" si="331"/>
        <v>2</v>
      </c>
    </row>
    <row r="3888" spans="1:12" x14ac:dyDescent="0.25">
      <c r="G3888" t="str">
        <f t="shared" si="332"/>
        <v>07/24/19</v>
      </c>
      <c r="H3888" t="str">
        <f t="shared" si="327"/>
        <v/>
      </c>
      <c r="I3888" s="60" t="str">
        <f t="shared" si="328"/>
        <v/>
      </c>
      <c r="J3888" t="str">
        <f t="shared" si="329"/>
        <v/>
      </c>
      <c r="K3888" s="60" t="str">
        <f t="shared" si="330"/>
        <v/>
      </c>
      <c r="L3888" t="str">
        <f t="shared" si="331"/>
        <v/>
      </c>
    </row>
    <row r="3889" spans="1:12" x14ac:dyDescent="0.25">
      <c r="A3889" t="s">
        <v>3485</v>
      </c>
      <c r="G3889" t="str">
        <f t="shared" si="332"/>
        <v>07/24/19</v>
      </c>
      <c r="H3889" t="str">
        <f t="shared" si="327"/>
        <v>Miami Marlins</v>
      </c>
      <c r="I3889" s="60">
        <f t="shared" si="328"/>
        <v>2</v>
      </c>
      <c r="J3889" t="str">
        <f t="shared" si="329"/>
        <v>Chicago White Sox</v>
      </c>
      <c r="K3889" s="60">
        <f t="shared" si="330"/>
        <v>0</v>
      </c>
      <c r="L3889">
        <f t="shared" si="331"/>
        <v>2</v>
      </c>
    </row>
    <row r="3890" spans="1:12" x14ac:dyDescent="0.25">
      <c r="G3890" t="str">
        <f t="shared" si="332"/>
        <v>07/24/19</v>
      </c>
      <c r="H3890" t="str">
        <f t="shared" si="327"/>
        <v/>
      </c>
      <c r="I3890" s="60" t="str">
        <f t="shared" si="328"/>
        <v/>
      </c>
      <c r="J3890" t="str">
        <f t="shared" si="329"/>
        <v/>
      </c>
      <c r="K3890" s="60" t="str">
        <f t="shared" si="330"/>
        <v/>
      </c>
      <c r="L3890" t="str">
        <f t="shared" si="331"/>
        <v/>
      </c>
    </row>
    <row r="3891" spans="1:12" x14ac:dyDescent="0.25">
      <c r="A3891" t="s">
        <v>3486</v>
      </c>
      <c r="G3891" t="str">
        <f t="shared" si="332"/>
        <v>07/24/19</v>
      </c>
      <c r="H3891" t="str">
        <f t="shared" si="327"/>
        <v>Philadelphia Phillies</v>
      </c>
      <c r="I3891" s="60">
        <f t="shared" si="328"/>
        <v>4</v>
      </c>
      <c r="J3891" t="str">
        <f t="shared" si="329"/>
        <v>Detroit Tigers</v>
      </c>
      <c r="K3891" s="60">
        <f t="shared" si="330"/>
        <v>0</v>
      </c>
      <c r="L3891">
        <f t="shared" si="331"/>
        <v>4</v>
      </c>
    </row>
    <row r="3892" spans="1:12" x14ac:dyDescent="0.25">
      <c r="G3892" t="str">
        <f t="shared" si="332"/>
        <v>07/24/19</v>
      </c>
      <c r="H3892" t="str">
        <f t="shared" si="327"/>
        <v/>
      </c>
      <c r="I3892" s="60" t="str">
        <f t="shared" si="328"/>
        <v/>
      </c>
      <c r="J3892" t="str">
        <f t="shared" si="329"/>
        <v/>
      </c>
      <c r="K3892" s="60" t="str">
        <f t="shared" si="330"/>
        <v/>
      </c>
      <c r="L3892" t="str">
        <f t="shared" si="331"/>
        <v/>
      </c>
    </row>
    <row r="3893" spans="1:12" x14ac:dyDescent="0.25">
      <c r="A3893" t="s">
        <v>3487</v>
      </c>
      <c r="G3893" t="str">
        <f t="shared" si="332"/>
        <v>07/24/19</v>
      </c>
      <c r="H3893" t="str">
        <f t="shared" si="327"/>
        <v>Oakland Athletics</v>
      </c>
      <c r="I3893" s="60">
        <f t="shared" si="328"/>
        <v>2</v>
      </c>
      <c r="J3893" t="str">
        <f t="shared" si="329"/>
        <v>Houston Astros</v>
      </c>
      <c r="K3893" s="60">
        <f t="shared" si="330"/>
        <v>4</v>
      </c>
      <c r="L3893">
        <f t="shared" si="331"/>
        <v>-2</v>
      </c>
    </row>
    <row r="3894" spans="1:12" x14ac:dyDescent="0.25">
      <c r="G3894" t="str">
        <f t="shared" si="332"/>
        <v>07/24/19</v>
      </c>
      <c r="H3894" t="str">
        <f t="shared" si="327"/>
        <v/>
      </c>
      <c r="I3894" s="60" t="str">
        <f t="shared" si="328"/>
        <v/>
      </c>
      <c r="J3894" t="str">
        <f t="shared" si="329"/>
        <v/>
      </c>
      <c r="K3894" s="60" t="str">
        <f t="shared" si="330"/>
        <v/>
      </c>
      <c r="L3894" t="str">
        <f t="shared" si="331"/>
        <v/>
      </c>
    </row>
    <row r="3895" spans="1:12" x14ac:dyDescent="0.25">
      <c r="A3895" t="s">
        <v>3488</v>
      </c>
      <c r="G3895" t="str">
        <f t="shared" si="332"/>
        <v>07/24/19</v>
      </c>
      <c r="H3895" t="str">
        <f t="shared" si="327"/>
        <v>Los Angeles Angels</v>
      </c>
      <c r="I3895" s="60">
        <f t="shared" si="328"/>
        <v>3</v>
      </c>
      <c r="J3895" t="str">
        <f t="shared" si="329"/>
        <v>Los Angeles Dodgers</v>
      </c>
      <c r="K3895" s="60">
        <f t="shared" si="330"/>
        <v>2</v>
      </c>
      <c r="L3895">
        <f t="shared" si="331"/>
        <v>1</v>
      </c>
    </row>
    <row r="3896" spans="1:12" x14ac:dyDescent="0.25">
      <c r="G3896" t="str">
        <f t="shared" si="332"/>
        <v>07/24/19</v>
      </c>
      <c r="H3896" t="str">
        <f t="shared" si="327"/>
        <v/>
      </c>
      <c r="I3896" s="60" t="str">
        <f t="shared" si="328"/>
        <v/>
      </c>
      <c r="J3896" t="str">
        <f t="shared" si="329"/>
        <v/>
      </c>
      <c r="K3896" s="60" t="str">
        <f t="shared" si="330"/>
        <v/>
      </c>
      <c r="L3896" t="str">
        <f t="shared" si="331"/>
        <v/>
      </c>
    </row>
    <row r="3897" spans="1:12" x14ac:dyDescent="0.25">
      <c r="A3897" t="s">
        <v>3489</v>
      </c>
      <c r="G3897" t="str">
        <f t="shared" si="332"/>
        <v>07/24/19</v>
      </c>
      <c r="H3897" t="str">
        <f t="shared" si="327"/>
        <v>Cincinnati Reds</v>
      </c>
      <c r="I3897" s="60">
        <f t="shared" si="328"/>
        <v>4</v>
      </c>
      <c r="J3897" t="str">
        <f t="shared" si="329"/>
        <v>Milwaukee Brewers</v>
      </c>
      <c r="K3897" s="60">
        <f t="shared" si="330"/>
        <v>5</v>
      </c>
      <c r="L3897">
        <f t="shared" si="331"/>
        <v>-1</v>
      </c>
    </row>
    <row r="3898" spans="1:12" x14ac:dyDescent="0.25">
      <c r="G3898" t="str">
        <f t="shared" si="332"/>
        <v>07/24/19</v>
      </c>
      <c r="H3898" t="str">
        <f t="shared" si="327"/>
        <v/>
      </c>
      <c r="I3898" s="60" t="str">
        <f t="shared" si="328"/>
        <v/>
      </c>
      <c r="J3898" t="str">
        <f t="shared" si="329"/>
        <v/>
      </c>
      <c r="K3898" s="60" t="str">
        <f t="shared" si="330"/>
        <v/>
      </c>
      <c r="L3898" t="str">
        <f t="shared" si="331"/>
        <v/>
      </c>
    </row>
    <row r="3899" spans="1:12" x14ac:dyDescent="0.25">
      <c r="A3899" t="s">
        <v>3490</v>
      </c>
      <c r="G3899" t="str">
        <f t="shared" si="332"/>
        <v>07/24/19</v>
      </c>
      <c r="H3899" t="str">
        <f t="shared" si="327"/>
        <v>New York Yankees</v>
      </c>
      <c r="I3899" s="60">
        <f t="shared" si="328"/>
        <v>10</v>
      </c>
      <c r="J3899" t="str">
        <f t="shared" si="329"/>
        <v>Minnesota Twins</v>
      </c>
      <c r="K3899" s="60">
        <f t="shared" si="330"/>
        <v>7</v>
      </c>
      <c r="L3899">
        <f t="shared" si="331"/>
        <v>3</v>
      </c>
    </row>
    <row r="3900" spans="1:12" x14ac:dyDescent="0.25">
      <c r="G3900" t="str">
        <f t="shared" si="332"/>
        <v>07/24/19</v>
      </c>
      <c r="H3900" t="str">
        <f t="shared" si="327"/>
        <v/>
      </c>
      <c r="I3900" s="60" t="str">
        <f t="shared" si="328"/>
        <v/>
      </c>
      <c r="J3900" t="str">
        <f t="shared" si="329"/>
        <v/>
      </c>
      <c r="K3900" s="60" t="str">
        <f t="shared" si="330"/>
        <v/>
      </c>
      <c r="L3900" t="str">
        <f t="shared" si="331"/>
        <v/>
      </c>
    </row>
    <row r="3901" spans="1:12" x14ac:dyDescent="0.25">
      <c r="A3901" t="s">
        <v>3491</v>
      </c>
      <c r="G3901" t="str">
        <f t="shared" si="332"/>
        <v>07/24/19</v>
      </c>
      <c r="H3901" t="str">
        <f t="shared" si="327"/>
        <v>San Diego Padres</v>
      </c>
      <c r="I3901" s="60">
        <f t="shared" si="328"/>
        <v>7</v>
      </c>
      <c r="J3901" t="str">
        <f t="shared" si="329"/>
        <v>New York Mets</v>
      </c>
      <c r="K3901" s="60">
        <f t="shared" si="330"/>
        <v>2</v>
      </c>
      <c r="L3901">
        <f t="shared" si="331"/>
        <v>5</v>
      </c>
    </row>
    <row r="3902" spans="1:12" x14ac:dyDescent="0.25">
      <c r="G3902" t="str">
        <f t="shared" si="332"/>
        <v>07/24/19</v>
      </c>
      <c r="H3902" t="str">
        <f t="shared" si="327"/>
        <v/>
      </c>
      <c r="I3902" s="60" t="str">
        <f t="shared" si="328"/>
        <v/>
      </c>
      <c r="J3902" t="str">
        <f t="shared" si="329"/>
        <v/>
      </c>
      <c r="K3902" s="60" t="str">
        <f t="shared" si="330"/>
        <v/>
      </c>
      <c r="L3902" t="str">
        <f t="shared" si="331"/>
        <v/>
      </c>
    </row>
    <row r="3903" spans="1:12" x14ac:dyDescent="0.25">
      <c r="A3903" t="s">
        <v>3492</v>
      </c>
      <c r="G3903" t="str">
        <f t="shared" si="332"/>
        <v>07/24/19</v>
      </c>
      <c r="H3903" t="str">
        <f t="shared" si="327"/>
        <v>St. Louis Cardinals</v>
      </c>
      <c r="I3903" s="60">
        <f t="shared" si="328"/>
        <v>14</v>
      </c>
      <c r="J3903" t="str">
        <f t="shared" si="329"/>
        <v>Pittsburgh Pirates</v>
      </c>
      <c r="K3903" s="60">
        <f t="shared" si="330"/>
        <v>8</v>
      </c>
      <c r="L3903">
        <f t="shared" si="331"/>
        <v>6</v>
      </c>
    </row>
    <row r="3904" spans="1:12" x14ac:dyDescent="0.25">
      <c r="G3904" t="str">
        <f t="shared" si="332"/>
        <v>07/24/19</v>
      </c>
      <c r="H3904" t="str">
        <f t="shared" si="327"/>
        <v/>
      </c>
      <c r="I3904" s="60" t="str">
        <f t="shared" si="328"/>
        <v/>
      </c>
      <c r="J3904" t="str">
        <f t="shared" si="329"/>
        <v/>
      </c>
      <c r="K3904" s="60" t="str">
        <f t="shared" si="330"/>
        <v/>
      </c>
      <c r="L3904" t="str">
        <f t="shared" si="331"/>
        <v/>
      </c>
    </row>
    <row r="3905" spans="1:12" x14ac:dyDescent="0.25">
      <c r="A3905" t="s">
        <v>3493</v>
      </c>
      <c r="G3905" t="str">
        <f t="shared" si="332"/>
        <v>07/24/19</v>
      </c>
      <c r="H3905" t="str">
        <f t="shared" si="327"/>
        <v>Texas Rangers</v>
      </c>
      <c r="I3905" s="60">
        <f t="shared" si="328"/>
        <v>3</v>
      </c>
      <c r="J3905" t="str">
        <f t="shared" si="329"/>
        <v>Seattle Mariners</v>
      </c>
      <c r="K3905" s="60">
        <f t="shared" si="330"/>
        <v>5</v>
      </c>
      <c r="L3905">
        <f t="shared" si="331"/>
        <v>-2</v>
      </c>
    </row>
    <row r="3906" spans="1:12" x14ac:dyDescent="0.25">
      <c r="G3906" t="str">
        <f t="shared" si="332"/>
        <v>07/24/19</v>
      </c>
      <c r="H3906" t="str">
        <f t="shared" si="327"/>
        <v/>
      </c>
      <c r="I3906" s="60" t="str">
        <f t="shared" si="328"/>
        <v/>
      </c>
      <c r="J3906" t="str">
        <f t="shared" si="329"/>
        <v/>
      </c>
      <c r="K3906" s="60" t="str">
        <f t="shared" si="330"/>
        <v/>
      </c>
      <c r="L3906" t="str">
        <f t="shared" si="331"/>
        <v/>
      </c>
    </row>
    <row r="3907" spans="1:12" x14ac:dyDescent="0.25">
      <c r="A3907" t="s">
        <v>3494</v>
      </c>
      <c r="G3907" t="str">
        <f t="shared" si="332"/>
        <v>07/24/19</v>
      </c>
      <c r="H3907" t="str">
        <f t="shared" si="327"/>
        <v>Chicago Cubs</v>
      </c>
      <c r="I3907" s="60">
        <f t="shared" si="328"/>
        <v>4</v>
      </c>
      <c r="J3907" t="str">
        <f t="shared" si="329"/>
        <v>San Francisco Giants</v>
      </c>
      <c r="K3907" s="60">
        <f t="shared" si="330"/>
        <v>1</v>
      </c>
      <c r="L3907">
        <f t="shared" si="331"/>
        <v>3</v>
      </c>
    </row>
    <row r="3908" spans="1:12" x14ac:dyDescent="0.25">
      <c r="G3908" t="str">
        <f t="shared" si="332"/>
        <v>07/24/19</v>
      </c>
      <c r="H3908" t="str">
        <f t="shared" si="327"/>
        <v/>
      </c>
      <c r="I3908" s="60" t="str">
        <f t="shared" si="328"/>
        <v/>
      </c>
      <c r="J3908" t="str">
        <f t="shared" si="329"/>
        <v/>
      </c>
      <c r="K3908" s="60" t="str">
        <f t="shared" si="330"/>
        <v/>
      </c>
      <c r="L3908" t="str">
        <f t="shared" si="331"/>
        <v/>
      </c>
    </row>
    <row r="3909" spans="1:12" x14ac:dyDescent="0.25">
      <c r="A3909" t="s">
        <v>3495</v>
      </c>
      <c r="G3909" t="str">
        <f t="shared" si="332"/>
        <v>07/24/19</v>
      </c>
      <c r="H3909" t="str">
        <f t="shared" si="327"/>
        <v>Boston Red Sox</v>
      </c>
      <c r="I3909" s="60">
        <f t="shared" si="328"/>
        <v>2</v>
      </c>
      <c r="J3909" t="str">
        <f t="shared" si="329"/>
        <v>Tampa Bay Rays</v>
      </c>
      <c r="K3909" s="60">
        <f t="shared" si="330"/>
        <v>3</v>
      </c>
      <c r="L3909">
        <f t="shared" si="331"/>
        <v>-1</v>
      </c>
    </row>
    <row r="3910" spans="1:12" x14ac:dyDescent="0.25">
      <c r="G3910" t="str">
        <f t="shared" si="332"/>
        <v>07/24/19</v>
      </c>
      <c r="H3910" t="str">
        <f t="shared" si="327"/>
        <v/>
      </c>
      <c r="I3910" s="60" t="str">
        <f t="shared" si="328"/>
        <v/>
      </c>
      <c r="J3910" t="str">
        <f t="shared" si="329"/>
        <v/>
      </c>
      <c r="K3910" s="60" t="str">
        <f t="shared" si="330"/>
        <v/>
      </c>
      <c r="L3910" t="str">
        <f t="shared" si="331"/>
        <v/>
      </c>
    </row>
    <row r="3911" spans="1:12" x14ac:dyDescent="0.25">
      <c r="A3911" t="s">
        <v>3496</v>
      </c>
      <c r="G3911" t="str">
        <f t="shared" si="332"/>
        <v>07/24/19</v>
      </c>
      <c r="H3911" t="str">
        <f t="shared" si="327"/>
        <v>Cleveland Indians</v>
      </c>
      <c r="I3911" s="60">
        <f t="shared" si="328"/>
        <v>4</v>
      </c>
      <c r="J3911" t="str">
        <f t="shared" si="329"/>
        <v>Toronto Blue Jays</v>
      </c>
      <c r="K3911" s="60">
        <f t="shared" si="330"/>
        <v>0</v>
      </c>
      <c r="L3911">
        <f t="shared" si="331"/>
        <v>4</v>
      </c>
    </row>
    <row r="3912" spans="1:12" x14ac:dyDescent="0.25">
      <c r="G3912" t="str">
        <f t="shared" si="332"/>
        <v>07/24/19</v>
      </c>
      <c r="H3912" t="str">
        <f t="shared" si="327"/>
        <v/>
      </c>
      <c r="I3912" s="60" t="str">
        <f t="shared" si="328"/>
        <v/>
      </c>
      <c r="J3912" t="str">
        <f t="shared" si="329"/>
        <v/>
      </c>
      <c r="K3912" s="60" t="str">
        <f t="shared" si="330"/>
        <v/>
      </c>
      <c r="L3912" t="str">
        <f t="shared" si="331"/>
        <v/>
      </c>
    </row>
    <row r="3913" spans="1:12" x14ac:dyDescent="0.25">
      <c r="A3913" t="s">
        <v>3497</v>
      </c>
      <c r="G3913" t="str">
        <f t="shared" si="332"/>
        <v>07/24/19</v>
      </c>
      <c r="H3913" t="str">
        <f t="shared" si="327"/>
        <v>Colorado Rockies</v>
      </c>
      <c r="I3913" s="60">
        <f t="shared" si="328"/>
        <v>2</v>
      </c>
      <c r="J3913" t="str">
        <f t="shared" si="329"/>
        <v>Washington Nationals</v>
      </c>
      <c r="K3913" s="60">
        <f t="shared" si="330"/>
        <v>3</v>
      </c>
      <c r="L3913">
        <f t="shared" si="331"/>
        <v>-1</v>
      </c>
    </row>
    <row r="3914" spans="1:12" x14ac:dyDescent="0.25">
      <c r="G3914" t="str">
        <f t="shared" si="332"/>
        <v>07/24/19</v>
      </c>
      <c r="H3914" t="str">
        <f t="shared" si="327"/>
        <v/>
      </c>
      <c r="I3914" s="60" t="str">
        <f t="shared" si="328"/>
        <v/>
      </c>
      <c r="J3914" t="str">
        <f t="shared" si="329"/>
        <v/>
      </c>
      <c r="K3914" s="60" t="str">
        <f t="shared" si="330"/>
        <v/>
      </c>
      <c r="L3914" t="str">
        <f t="shared" si="331"/>
        <v/>
      </c>
    </row>
    <row r="3915" spans="1:12" x14ac:dyDescent="0.25">
      <c r="A3915" t="s">
        <v>3498</v>
      </c>
      <c r="G3915" t="str">
        <f t="shared" si="332"/>
        <v>07/24/19</v>
      </c>
      <c r="H3915" t="str">
        <f t="shared" si="327"/>
        <v>Colorado Rockies</v>
      </c>
      <c r="I3915" s="60">
        <f t="shared" si="328"/>
        <v>0</v>
      </c>
      <c r="J3915" t="str">
        <f t="shared" si="329"/>
        <v>Washington Nationals</v>
      </c>
      <c r="K3915" s="60">
        <f t="shared" si="330"/>
        <v>2</v>
      </c>
      <c r="L3915">
        <f t="shared" si="331"/>
        <v>-2</v>
      </c>
    </row>
    <row r="3916" spans="1:12" x14ac:dyDescent="0.25">
      <c r="G3916" t="str">
        <f t="shared" si="332"/>
        <v>07/24/19</v>
      </c>
      <c r="H3916" t="str">
        <f t="shared" si="327"/>
        <v/>
      </c>
      <c r="I3916" s="60" t="str">
        <f t="shared" si="328"/>
        <v/>
      </c>
      <c r="J3916" t="str">
        <f t="shared" si="329"/>
        <v/>
      </c>
      <c r="K3916" s="60" t="str">
        <f t="shared" si="330"/>
        <v/>
      </c>
      <c r="L3916" t="str">
        <f t="shared" si="331"/>
        <v/>
      </c>
    </row>
    <row r="3917" spans="1:12" x14ac:dyDescent="0.25">
      <c r="A3917" t="s">
        <v>3499</v>
      </c>
      <c r="G3917" t="str">
        <f t="shared" si="332"/>
        <v>07/24/19</v>
      </c>
      <c r="H3917" t="str">
        <f t="shared" si="327"/>
        <v/>
      </c>
      <c r="I3917" s="60" t="str">
        <f t="shared" si="328"/>
        <v/>
      </c>
      <c r="J3917" t="str">
        <f t="shared" si="329"/>
        <v/>
      </c>
      <c r="K3917" s="60" t="str">
        <f t="shared" si="330"/>
        <v/>
      </c>
      <c r="L3917" t="str">
        <f t="shared" si="331"/>
        <v/>
      </c>
    </row>
    <row r="3918" spans="1:12" x14ac:dyDescent="0.25">
      <c r="G3918" t="str">
        <f t="shared" si="332"/>
        <v>07/24/19</v>
      </c>
      <c r="H3918" t="str">
        <f t="shared" si="327"/>
        <v/>
      </c>
      <c r="I3918" s="60" t="str">
        <f t="shared" si="328"/>
        <v/>
      </c>
      <c r="J3918" t="str">
        <f t="shared" si="329"/>
        <v/>
      </c>
      <c r="K3918" s="60" t="str">
        <f t="shared" si="330"/>
        <v/>
      </c>
      <c r="L3918" t="str">
        <f t="shared" si="331"/>
        <v/>
      </c>
    </row>
    <row r="3919" spans="1:12" x14ac:dyDescent="0.25">
      <c r="A3919" t="s">
        <v>3271</v>
      </c>
      <c r="G3919" t="str">
        <f t="shared" si="332"/>
        <v>07/25/19</v>
      </c>
      <c r="H3919" t="str">
        <f t="shared" si="327"/>
        <v/>
      </c>
      <c r="I3919" s="60" t="str">
        <f t="shared" si="328"/>
        <v/>
      </c>
      <c r="J3919" t="str">
        <f t="shared" si="329"/>
        <v/>
      </c>
      <c r="K3919" s="60" t="str">
        <f t="shared" si="330"/>
        <v/>
      </c>
      <c r="L3919" t="str">
        <f t="shared" si="331"/>
        <v/>
      </c>
    </row>
    <row r="3920" spans="1:12" x14ac:dyDescent="0.25">
      <c r="G3920" t="str">
        <f t="shared" si="332"/>
        <v>07/25/19</v>
      </c>
      <c r="H3920" t="str">
        <f t="shared" ref="H3920:H3983" si="333">IFERROR(LEFT(MID(A3920,1,SEARCH("@",A3920)-2),SEARCH("(",A3920)-2),"")</f>
        <v/>
      </c>
      <c r="I3920" s="60" t="str">
        <f t="shared" ref="I3920:I3983" si="334">IFERROR(VALUE(MID(A3920,SEARCH("(",A3920)+1,SEARCH(")",A3920)-SEARCH("(",A3920)-1)),"")</f>
        <v/>
      </c>
      <c r="J3920" t="str">
        <f t="shared" ref="J3920:J3983" si="335">IFERROR(MID(A3920,SEARCH("@",A3920)+2,SEARCH("(",A3920,SEARCH("@",A3920))-SEARCH("@",A3920)-3),"")</f>
        <v/>
      </c>
      <c r="K3920" s="60" t="str">
        <f t="shared" ref="K3920:K3983" si="336">IFERROR(VALUE(MID(A3920,SEARCH(J3920,A3920)+LEN(J3920)+2,(SEARCH(")",A3920,SEARCH("@",A3920))-SEARCH("(",A3920,SEARCH("@",A3920))-1))),"")</f>
        <v/>
      </c>
      <c r="L3920" t="str">
        <f t="shared" ref="L3920:L3983" si="337">IFERROR(I3920-K3920,"")</f>
        <v/>
      </c>
    </row>
    <row r="3921" spans="1:12" x14ac:dyDescent="0.25">
      <c r="A3921" t="s">
        <v>3531</v>
      </c>
      <c r="G3921" t="str">
        <f t="shared" si="332"/>
        <v>07/25/19</v>
      </c>
      <c r="H3921" t="str">
        <f t="shared" si="333"/>
        <v>Baltimore Orioles</v>
      </c>
      <c r="I3921" s="60">
        <f t="shared" si="334"/>
        <v>10</v>
      </c>
      <c r="J3921" t="str">
        <f t="shared" si="335"/>
        <v>Los Angeles Angels</v>
      </c>
      <c r="K3921" s="60">
        <f t="shared" si="336"/>
        <v>8</v>
      </c>
      <c r="L3921">
        <f t="shared" si="337"/>
        <v>2</v>
      </c>
    </row>
    <row r="3922" spans="1:12" x14ac:dyDescent="0.25">
      <c r="G3922" t="str">
        <f t="shared" si="332"/>
        <v>07/25/19</v>
      </c>
      <c r="H3922" t="str">
        <f t="shared" si="333"/>
        <v/>
      </c>
      <c r="I3922" s="60" t="str">
        <f t="shared" si="334"/>
        <v/>
      </c>
      <c r="J3922" t="str">
        <f t="shared" si="335"/>
        <v/>
      </c>
      <c r="K3922" s="60" t="str">
        <f t="shared" si="336"/>
        <v/>
      </c>
      <c r="L3922" t="str">
        <f t="shared" si="337"/>
        <v/>
      </c>
    </row>
    <row r="3923" spans="1:12" x14ac:dyDescent="0.25">
      <c r="A3923" t="s">
        <v>3510</v>
      </c>
      <c r="G3923" t="str">
        <f t="shared" si="332"/>
        <v>07/25/19</v>
      </c>
      <c r="H3923" t="str">
        <f t="shared" si="333"/>
        <v>New York Yankees</v>
      </c>
      <c r="I3923" s="60">
        <f t="shared" si="334"/>
        <v>3</v>
      </c>
      <c r="J3923" t="str">
        <f t="shared" si="335"/>
        <v>Boston Red Sox</v>
      </c>
      <c r="K3923" s="60">
        <f t="shared" si="336"/>
        <v>19</v>
      </c>
      <c r="L3923">
        <f t="shared" si="337"/>
        <v>-16</v>
      </c>
    </row>
    <row r="3924" spans="1:12" x14ac:dyDescent="0.25">
      <c r="G3924" t="str">
        <f t="shared" si="332"/>
        <v>07/25/19</v>
      </c>
      <c r="H3924" t="str">
        <f t="shared" si="333"/>
        <v/>
      </c>
      <c r="I3924" s="60" t="str">
        <f t="shared" si="334"/>
        <v/>
      </c>
      <c r="J3924" t="str">
        <f t="shared" si="335"/>
        <v/>
      </c>
      <c r="K3924" s="60" t="str">
        <f t="shared" si="336"/>
        <v/>
      </c>
      <c r="L3924" t="str">
        <f t="shared" si="337"/>
        <v/>
      </c>
    </row>
    <row r="3925" spans="1:12" x14ac:dyDescent="0.25">
      <c r="A3925" t="s">
        <v>3034</v>
      </c>
      <c r="G3925" t="str">
        <f t="shared" si="332"/>
        <v>07/25/19</v>
      </c>
      <c r="H3925" t="str">
        <f t="shared" si="333"/>
        <v>Minnesota Twins</v>
      </c>
      <c r="I3925" s="60">
        <f t="shared" si="334"/>
        <v>10</v>
      </c>
      <c r="J3925" t="str">
        <f t="shared" si="335"/>
        <v>Chicago White Sox</v>
      </c>
      <c r="K3925" s="60">
        <f t="shared" si="336"/>
        <v>3</v>
      </c>
      <c r="L3925">
        <f t="shared" si="337"/>
        <v>7</v>
      </c>
    </row>
    <row r="3926" spans="1:12" x14ac:dyDescent="0.25">
      <c r="G3926" t="str">
        <f t="shared" si="332"/>
        <v>07/25/19</v>
      </c>
      <c r="H3926" t="str">
        <f t="shared" si="333"/>
        <v/>
      </c>
      <c r="I3926" s="60" t="str">
        <f t="shared" si="334"/>
        <v/>
      </c>
      <c r="J3926" t="str">
        <f t="shared" si="335"/>
        <v/>
      </c>
      <c r="K3926" s="60" t="str">
        <f t="shared" si="336"/>
        <v/>
      </c>
      <c r="L3926" t="str">
        <f t="shared" si="337"/>
        <v/>
      </c>
    </row>
    <row r="3927" spans="1:12" x14ac:dyDescent="0.25">
      <c r="A3927" t="s">
        <v>3511</v>
      </c>
      <c r="G3927" t="str">
        <f t="shared" si="332"/>
        <v>07/25/19</v>
      </c>
      <c r="H3927" t="str">
        <f t="shared" si="333"/>
        <v>Cleveland Indians</v>
      </c>
      <c r="I3927" s="60">
        <f t="shared" si="334"/>
        <v>5</v>
      </c>
      <c r="J3927" t="str">
        <f t="shared" si="335"/>
        <v>Kansas City Royals</v>
      </c>
      <c r="K3927" s="60">
        <f t="shared" si="336"/>
        <v>4</v>
      </c>
      <c r="L3927">
        <f t="shared" si="337"/>
        <v>1</v>
      </c>
    </row>
    <row r="3928" spans="1:12" x14ac:dyDescent="0.25">
      <c r="G3928" t="str">
        <f t="shared" si="332"/>
        <v>07/25/19</v>
      </c>
      <c r="H3928" t="str">
        <f t="shared" si="333"/>
        <v/>
      </c>
      <c r="I3928" s="60" t="str">
        <f t="shared" si="334"/>
        <v/>
      </c>
      <c r="J3928" t="str">
        <f t="shared" si="335"/>
        <v/>
      </c>
      <c r="K3928" s="60" t="str">
        <f t="shared" si="336"/>
        <v/>
      </c>
      <c r="L3928" t="str">
        <f t="shared" si="337"/>
        <v/>
      </c>
    </row>
    <row r="3929" spans="1:12" x14ac:dyDescent="0.25">
      <c r="A3929" t="s">
        <v>3512</v>
      </c>
      <c r="G3929" t="str">
        <f t="shared" si="332"/>
        <v>07/25/19</v>
      </c>
      <c r="H3929" t="str">
        <f t="shared" si="333"/>
        <v>San Diego Padres</v>
      </c>
      <c r="I3929" s="60">
        <f t="shared" si="334"/>
        <v>0</v>
      </c>
      <c r="J3929" t="str">
        <f t="shared" si="335"/>
        <v>New York Mets</v>
      </c>
      <c r="K3929" s="60">
        <f t="shared" si="336"/>
        <v>4</v>
      </c>
      <c r="L3929">
        <f t="shared" si="337"/>
        <v>-4</v>
      </c>
    </row>
    <row r="3930" spans="1:12" x14ac:dyDescent="0.25">
      <c r="G3930" t="str">
        <f t="shared" si="332"/>
        <v>07/25/19</v>
      </c>
      <c r="H3930" t="str">
        <f t="shared" si="333"/>
        <v/>
      </c>
      <c r="I3930" s="60" t="str">
        <f t="shared" si="334"/>
        <v/>
      </c>
      <c r="J3930" t="str">
        <f t="shared" si="335"/>
        <v/>
      </c>
      <c r="K3930" s="60" t="str">
        <f t="shared" si="336"/>
        <v/>
      </c>
      <c r="L3930" t="str">
        <f t="shared" si="337"/>
        <v/>
      </c>
    </row>
    <row r="3931" spans="1:12" x14ac:dyDescent="0.25">
      <c r="A3931" t="s">
        <v>3513</v>
      </c>
      <c r="G3931" t="str">
        <f t="shared" si="332"/>
        <v>07/25/19</v>
      </c>
      <c r="H3931" t="str">
        <f t="shared" si="333"/>
        <v>Texas Rangers</v>
      </c>
      <c r="I3931" s="60">
        <f t="shared" si="334"/>
        <v>11</v>
      </c>
      <c r="J3931" t="str">
        <f t="shared" si="335"/>
        <v>Oakland Athletics</v>
      </c>
      <c r="K3931" s="60">
        <f t="shared" si="336"/>
        <v>3</v>
      </c>
      <c r="L3931">
        <f t="shared" si="337"/>
        <v>8</v>
      </c>
    </row>
    <row r="3932" spans="1:12" x14ac:dyDescent="0.25">
      <c r="G3932" t="str">
        <f t="shared" si="332"/>
        <v>07/25/19</v>
      </c>
      <c r="H3932" t="str">
        <f t="shared" si="333"/>
        <v/>
      </c>
      <c r="I3932" s="60" t="str">
        <f t="shared" si="334"/>
        <v/>
      </c>
      <c r="J3932" t="str">
        <f t="shared" si="335"/>
        <v/>
      </c>
      <c r="K3932" s="60" t="str">
        <f t="shared" si="336"/>
        <v/>
      </c>
      <c r="L3932" t="str">
        <f t="shared" si="337"/>
        <v/>
      </c>
    </row>
    <row r="3933" spans="1:12" x14ac:dyDescent="0.25">
      <c r="A3933" t="s">
        <v>3514</v>
      </c>
      <c r="G3933" t="str">
        <f t="shared" si="332"/>
        <v>07/25/19</v>
      </c>
      <c r="H3933" t="str">
        <f t="shared" si="333"/>
        <v>St. Louis Cardinals</v>
      </c>
      <c r="I3933" s="60">
        <f t="shared" si="334"/>
        <v>6</v>
      </c>
      <c r="J3933" t="str">
        <f t="shared" si="335"/>
        <v>Pittsburgh Pirates</v>
      </c>
      <c r="K3933" s="60">
        <f t="shared" si="336"/>
        <v>3</v>
      </c>
      <c r="L3933">
        <f t="shared" si="337"/>
        <v>3</v>
      </c>
    </row>
    <row r="3934" spans="1:12" x14ac:dyDescent="0.25">
      <c r="G3934" t="str">
        <f t="shared" si="332"/>
        <v>07/25/19</v>
      </c>
      <c r="H3934" t="str">
        <f t="shared" si="333"/>
        <v/>
      </c>
      <c r="I3934" s="60" t="str">
        <f t="shared" si="334"/>
        <v/>
      </c>
      <c r="J3934" t="str">
        <f t="shared" si="335"/>
        <v/>
      </c>
      <c r="K3934" s="60" t="str">
        <f t="shared" si="336"/>
        <v/>
      </c>
      <c r="L3934" t="str">
        <f t="shared" si="337"/>
        <v/>
      </c>
    </row>
    <row r="3935" spans="1:12" x14ac:dyDescent="0.25">
      <c r="A3935" t="s">
        <v>3515</v>
      </c>
      <c r="G3935" t="str">
        <f t="shared" si="332"/>
        <v>07/25/19</v>
      </c>
      <c r="H3935" t="str">
        <f t="shared" si="333"/>
        <v>Detroit Tigers</v>
      </c>
      <c r="I3935" s="60">
        <f t="shared" si="334"/>
        <v>2</v>
      </c>
      <c r="J3935" t="str">
        <f t="shared" si="335"/>
        <v>Seattle Mariners</v>
      </c>
      <c r="K3935" s="60">
        <f t="shared" si="336"/>
        <v>10</v>
      </c>
      <c r="L3935">
        <f t="shared" si="337"/>
        <v>-8</v>
      </c>
    </row>
    <row r="3936" spans="1:12" x14ac:dyDescent="0.25">
      <c r="G3936" t="str">
        <f t="shared" si="332"/>
        <v>07/25/19</v>
      </c>
      <c r="H3936" t="str">
        <f t="shared" si="333"/>
        <v/>
      </c>
      <c r="I3936" s="60" t="str">
        <f t="shared" si="334"/>
        <v/>
      </c>
      <c r="J3936" t="str">
        <f t="shared" si="335"/>
        <v/>
      </c>
      <c r="K3936" s="60" t="str">
        <f t="shared" si="336"/>
        <v/>
      </c>
      <c r="L3936" t="str">
        <f t="shared" si="337"/>
        <v/>
      </c>
    </row>
    <row r="3937" spans="1:12" x14ac:dyDescent="0.25">
      <c r="A3937" t="s">
        <v>3516</v>
      </c>
      <c r="G3937" t="str">
        <f t="shared" si="332"/>
        <v>07/25/19</v>
      </c>
      <c r="H3937" t="str">
        <f t="shared" si="333"/>
        <v>Colorado Rockies</v>
      </c>
      <c r="I3937" s="60">
        <f t="shared" si="334"/>
        <v>8</v>
      </c>
      <c r="J3937" t="str">
        <f t="shared" si="335"/>
        <v>Washington Nationals</v>
      </c>
      <c r="K3937" s="60">
        <f t="shared" si="336"/>
        <v>7</v>
      </c>
      <c r="L3937">
        <f t="shared" si="337"/>
        <v>1</v>
      </c>
    </row>
    <row r="3938" spans="1:12" x14ac:dyDescent="0.25">
      <c r="G3938" t="str">
        <f t="shared" ref="G3938:G4001" si="338">IF(ISNUMBER(MATCH(IFERROR(LEFT(A3938,SEARCH(",",A3938)-1),""),$G$220:$M$220,0)),TEXT(MID(A3938,SEARCH(",",A3938)+2,LEN(A3938)),"mm/dd/yy"),G3937)</f>
        <v>07/25/19</v>
      </c>
      <c r="H3938" t="str">
        <f t="shared" si="333"/>
        <v/>
      </c>
      <c r="I3938" s="60" t="str">
        <f t="shared" si="334"/>
        <v/>
      </c>
      <c r="J3938" t="str">
        <f t="shared" si="335"/>
        <v/>
      </c>
      <c r="K3938" s="60" t="str">
        <f t="shared" si="336"/>
        <v/>
      </c>
      <c r="L3938" t="str">
        <f t="shared" si="337"/>
        <v/>
      </c>
    </row>
    <row r="3939" spans="1:12" x14ac:dyDescent="0.25">
      <c r="A3939" t="s">
        <v>3517</v>
      </c>
      <c r="G3939" t="str">
        <f t="shared" si="338"/>
        <v>07/25/19</v>
      </c>
      <c r="H3939" t="str">
        <f t="shared" si="333"/>
        <v/>
      </c>
      <c r="I3939" s="60" t="str">
        <f t="shared" si="334"/>
        <v/>
      </c>
      <c r="J3939" t="str">
        <f t="shared" si="335"/>
        <v/>
      </c>
      <c r="K3939" s="60" t="str">
        <f t="shared" si="336"/>
        <v/>
      </c>
      <c r="L3939" t="str">
        <f t="shared" si="337"/>
        <v/>
      </c>
    </row>
    <row r="3940" spans="1:12" x14ac:dyDescent="0.25">
      <c r="G3940" t="str">
        <f t="shared" si="338"/>
        <v>07/25/19</v>
      </c>
      <c r="H3940" t="str">
        <f t="shared" si="333"/>
        <v/>
      </c>
      <c r="I3940" s="60" t="str">
        <f t="shared" si="334"/>
        <v/>
      </c>
      <c r="J3940" t="str">
        <f t="shared" si="335"/>
        <v/>
      </c>
      <c r="K3940" s="60" t="str">
        <f t="shared" si="336"/>
        <v/>
      </c>
      <c r="L3940" t="str">
        <f t="shared" si="337"/>
        <v/>
      </c>
    </row>
    <row r="3941" spans="1:12" x14ac:dyDescent="0.25">
      <c r="A3941" t="s">
        <v>3532</v>
      </c>
      <c r="G3941" t="str">
        <f t="shared" si="338"/>
        <v>07/26/19</v>
      </c>
      <c r="H3941" t="str">
        <f t="shared" si="333"/>
        <v/>
      </c>
      <c r="I3941" s="60" t="str">
        <f t="shared" si="334"/>
        <v/>
      </c>
      <c r="J3941" t="str">
        <f t="shared" si="335"/>
        <v/>
      </c>
      <c r="K3941" s="60" t="str">
        <f t="shared" si="336"/>
        <v/>
      </c>
      <c r="L3941" t="str">
        <f t="shared" si="337"/>
        <v/>
      </c>
    </row>
    <row r="3942" spans="1:12" x14ac:dyDescent="0.25">
      <c r="G3942" t="str">
        <f t="shared" si="338"/>
        <v>07/26/19</v>
      </c>
      <c r="H3942" t="str">
        <f t="shared" si="333"/>
        <v/>
      </c>
      <c r="I3942" s="60" t="str">
        <f t="shared" si="334"/>
        <v/>
      </c>
      <c r="J3942" t="str">
        <f t="shared" si="335"/>
        <v/>
      </c>
      <c r="K3942" s="60" t="str">
        <f t="shared" si="336"/>
        <v/>
      </c>
      <c r="L3942" t="str">
        <f t="shared" si="337"/>
        <v/>
      </c>
    </row>
    <row r="3943" spans="1:12" x14ac:dyDescent="0.25">
      <c r="A3943" t="s">
        <v>3533</v>
      </c>
      <c r="G3943" t="str">
        <f t="shared" si="338"/>
        <v>07/26/19</v>
      </c>
      <c r="H3943" t="str">
        <f t="shared" si="333"/>
        <v>Baltimore Orioles</v>
      </c>
      <c r="I3943" s="60">
        <f t="shared" si="334"/>
        <v>9</v>
      </c>
      <c r="J3943" t="str">
        <f t="shared" si="335"/>
        <v>Los Angeles Angels</v>
      </c>
      <c r="K3943" s="60">
        <f t="shared" si="336"/>
        <v>3</v>
      </c>
      <c r="L3943">
        <f t="shared" si="337"/>
        <v>6</v>
      </c>
    </row>
    <row r="3944" spans="1:12" x14ac:dyDescent="0.25">
      <c r="G3944" t="str">
        <f t="shared" si="338"/>
        <v>07/26/19</v>
      </c>
      <c r="H3944" t="str">
        <f t="shared" si="333"/>
        <v/>
      </c>
      <c r="I3944" s="60" t="str">
        <f t="shared" si="334"/>
        <v/>
      </c>
      <c r="J3944" t="str">
        <f t="shared" si="335"/>
        <v/>
      </c>
      <c r="K3944" s="60" t="str">
        <f t="shared" si="336"/>
        <v/>
      </c>
      <c r="L3944" t="str">
        <f t="shared" si="337"/>
        <v/>
      </c>
    </row>
    <row r="3945" spans="1:12" x14ac:dyDescent="0.25">
      <c r="A3945" t="s">
        <v>3534</v>
      </c>
      <c r="G3945" t="str">
        <f t="shared" si="338"/>
        <v>07/26/19</v>
      </c>
      <c r="H3945" t="str">
        <f t="shared" si="333"/>
        <v>New York Yankees</v>
      </c>
      <c r="I3945" s="60">
        <f t="shared" si="334"/>
        <v>5</v>
      </c>
      <c r="J3945" t="str">
        <f t="shared" si="335"/>
        <v>Boston Red Sox</v>
      </c>
      <c r="K3945" s="60">
        <f t="shared" si="336"/>
        <v>10</v>
      </c>
      <c r="L3945">
        <f t="shared" si="337"/>
        <v>-5</v>
      </c>
    </row>
    <row r="3946" spans="1:12" x14ac:dyDescent="0.25">
      <c r="G3946" t="str">
        <f t="shared" si="338"/>
        <v>07/26/19</v>
      </c>
      <c r="H3946" t="str">
        <f t="shared" si="333"/>
        <v/>
      </c>
      <c r="I3946" s="60" t="str">
        <f t="shared" si="334"/>
        <v/>
      </c>
      <c r="J3946" t="str">
        <f t="shared" si="335"/>
        <v/>
      </c>
      <c r="K3946" s="60" t="str">
        <f t="shared" si="336"/>
        <v/>
      </c>
      <c r="L3946" t="str">
        <f t="shared" si="337"/>
        <v/>
      </c>
    </row>
    <row r="3947" spans="1:12" x14ac:dyDescent="0.25">
      <c r="A3947" t="s">
        <v>3535</v>
      </c>
      <c r="G3947" t="str">
        <f t="shared" si="338"/>
        <v>07/26/19</v>
      </c>
      <c r="H3947" t="str">
        <f t="shared" si="333"/>
        <v>Minnesota Twins</v>
      </c>
      <c r="I3947" s="60">
        <f t="shared" si="334"/>
        <v>6</v>
      </c>
      <c r="J3947" t="str">
        <f t="shared" si="335"/>
        <v>Chicago White Sox</v>
      </c>
      <c r="K3947" s="60">
        <f t="shared" si="336"/>
        <v>2</v>
      </c>
      <c r="L3947">
        <f t="shared" si="337"/>
        <v>4</v>
      </c>
    </row>
    <row r="3948" spans="1:12" x14ac:dyDescent="0.25">
      <c r="G3948" t="str">
        <f t="shared" si="338"/>
        <v>07/26/19</v>
      </c>
      <c r="H3948" t="str">
        <f t="shared" si="333"/>
        <v/>
      </c>
      <c r="I3948" s="60" t="str">
        <f t="shared" si="334"/>
        <v/>
      </c>
      <c r="J3948" t="str">
        <f t="shared" si="335"/>
        <v/>
      </c>
      <c r="K3948" s="60" t="str">
        <f t="shared" si="336"/>
        <v/>
      </c>
      <c r="L3948" t="str">
        <f t="shared" si="337"/>
        <v/>
      </c>
    </row>
    <row r="3949" spans="1:12" x14ac:dyDescent="0.25">
      <c r="A3949" t="s">
        <v>3536</v>
      </c>
      <c r="G3949" t="str">
        <f t="shared" si="338"/>
        <v>07/26/19</v>
      </c>
      <c r="H3949" t="str">
        <f t="shared" si="333"/>
        <v>Colorado Rockies</v>
      </c>
      <c r="I3949" s="60">
        <f t="shared" si="334"/>
        <v>12</v>
      </c>
      <c r="J3949" t="str">
        <f t="shared" si="335"/>
        <v>Cincinnati Reds</v>
      </c>
      <c r="K3949" s="60">
        <f t="shared" si="336"/>
        <v>2</v>
      </c>
      <c r="L3949">
        <f t="shared" si="337"/>
        <v>10</v>
      </c>
    </row>
    <row r="3950" spans="1:12" x14ac:dyDescent="0.25">
      <c r="G3950" t="str">
        <f t="shared" si="338"/>
        <v>07/26/19</v>
      </c>
      <c r="H3950" t="str">
        <f t="shared" si="333"/>
        <v/>
      </c>
      <c r="I3950" s="60" t="str">
        <f t="shared" si="334"/>
        <v/>
      </c>
      <c r="J3950" t="str">
        <f t="shared" si="335"/>
        <v/>
      </c>
      <c r="K3950" s="60" t="str">
        <f t="shared" si="336"/>
        <v/>
      </c>
      <c r="L3950" t="str">
        <f t="shared" si="337"/>
        <v/>
      </c>
    </row>
    <row r="3951" spans="1:12" x14ac:dyDescent="0.25">
      <c r="A3951" t="s">
        <v>3537</v>
      </c>
      <c r="G3951" t="str">
        <f t="shared" si="338"/>
        <v>07/26/19</v>
      </c>
      <c r="H3951" t="str">
        <f t="shared" si="333"/>
        <v>Cleveland Indians</v>
      </c>
      <c r="I3951" s="60">
        <f t="shared" si="334"/>
        <v>8</v>
      </c>
      <c r="J3951" t="str">
        <f t="shared" si="335"/>
        <v>Kansas City Royals</v>
      </c>
      <c r="K3951" s="60">
        <f t="shared" si="336"/>
        <v>3</v>
      </c>
      <c r="L3951">
        <f t="shared" si="337"/>
        <v>5</v>
      </c>
    </row>
    <row r="3952" spans="1:12" x14ac:dyDescent="0.25">
      <c r="G3952" t="str">
        <f t="shared" si="338"/>
        <v>07/26/19</v>
      </c>
      <c r="H3952" t="str">
        <f t="shared" si="333"/>
        <v/>
      </c>
      <c r="I3952" s="60" t="str">
        <f t="shared" si="334"/>
        <v/>
      </c>
      <c r="J3952" t="str">
        <f t="shared" si="335"/>
        <v/>
      </c>
      <c r="K3952" s="60" t="str">
        <f t="shared" si="336"/>
        <v/>
      </c>
      <c r="L3952" t="str">
        <f t="shared" si="337"/>
        <v/>
      </c>
    </row>
    <row r="3953" spans="1:12" x14ac:dyDescent="0.25">
      <c r="A3953" t="s">
        <v>3538</v>
      </c>
      <c r="G3953" t="str">
        <f t="shared" si="338"/>
        <v>07/26/19</v>
      </c>
      <c r="H3953" t="str">
        <f t="shared" si="333"/>
        <v>Arizona D'Backs</v>
      </c>
      <c r="I3953" s="60">
        <f t="shared" si="334"/>
        <v>2</v>
      </c>
      <c r="J3953" t="str">
        <f t="shared" si="335"/>
        <v>Miami Marlins</v>
      </c>
      <c r="K3953" s="60">
        <f t="shared" si="336"/>
        <v>3</v>
      </c>
      <c r="L3953">
        <f t="shared" si="337"/>
        <v>-1</v>
      </c>
    </row>
    <row r="3954" spans="1:12" x14ac:dyDescent="0.25">
      <c r="G3954" t="str">
        <f t="shared" si="338"/>
        <v>07/26/19</v>
      </c>
      <c r="H3954" t="str">
        <f t="shared" si="333"/>
        <v/>
      </c>
      <c r="I3954" s="60" t="str">
        <f t="shared" si="334"/>
        <v/>
      </c>
      <c r="J3954" t="str">
        <f t="shared" si="335"/>
        <v/>
      </c>
      <c r="K3954" s="60" t="str">
        <f t="shared" si="336"/>
        <v/>
      </c>
      <c r="L3954" t="str">
        <f t="shared" si="337"/>
        <v/>
      </c>
    </row>
    <row r="3955" spans="1:12" x14ac:dyDescent="0.25">
      <c r="A3955" t="s">
        <v>3539</v>
      </c>
      <c r="G3955" t="str">
        <f t="shared" si="338"/>
        <v>07/26/19</v>
      </c>
      <c r="H3955" t="str">
        <f t="shared" si="333"/>
        <v>Chicago Cubs</v>
      </c>
      <c r="I3955" s="60">
        <f t="shared" si="334"/>
        <v>2</v>
      </c>
      <c r="J3955" t="str">
        <f t="shared" si="335"/>
        <v>Milwaukee Brewers</v>
      </c>
      <c r="K3955" s="60">
        <f t="shared" si="336"/>
        <v>3</v>
      </c>
      <c r="L3955">
        <f t="shared" si="337"/>
        <v>-1</v>
      </c>
    </row>
    <row r="3956" spans="1:12" x14ac:dyDescent="0.25">
      <c r="G3956" t="str">
        <f t="shared" si="338"/>
        <v>07/26/19</v>
      </c>
      <c r="H3956" t="str">
        <f t="shared" si="333"/>
        <v/>
      </c>
      <c r="I3956" s="60" t="str">
        <f t="shared" si="334"/>
        <v/>
      </c>
      <c r="J3956" t="str">
        <f t="shared" si="335"/>
        <v/>
      </c>
      <c r="K3956" s="60" t="str">
        <f t="shared" si="336"/>
        <v/>
      </c>
      <c r="L3956" t="str">
        <f t="shared" si="337"/>
        <v/>
      </c>
    </row>
    <row r="3957" spans="1:12" x14ac:dyDescent="0.25">
      <c r="A3957" t="s">
        <v>3540</v>
      </c>
      <c r="G3957" t="str">
        <f t="shared" si="338"/>
        <v>07/26/19</v>
      </c>
      <c r="H3957" t="str">
        <f t="shared" si="333"/>
        <v>Pittsburgh Pirates</v>
      </c>
      <c r="I3957" s="60">
        <f t="shared" si="334"/>
        <v>3</v>
      </c>
      <c r="J3957" t="str">
        <f t="shared" si="335"/>
        <v>New York Mets</v>
      </c>
      <c r="K3957" s="60">
        <f t="shared" si="336"/>
        <v>6</v>
      </c>
      <c r="L3957">
        <f t="shared" si="337"/>
        <v>-3</v>
      </c>
    </row>
    <row r="3958" spans="1:12" x14ac:dyDescent="0.25">
      <c r="G3958" t="str">
        <f t="shared" si="338"/>
        <v>07/26/19</v>
      </c>
      <c r="H3958" t="str">
        <f t="shared" si="333"/>
        <v/>
      </c>
      <c r="I3958" s="60" t="str">
        <f t="shared" si="334"/>
        <v/>
      </c>
      <c r="J3958" t="str">
        <f t="shared" si="335"/>
        <v/>
      </c>
      <c r="K3958" s="60" t="str">
        <f t="shared" si="336"/>
        <v/>
      </c>
      <c r="L3958" t="str">
        <f t="shared" si="337"/>
        <v/>
      </c>
    </row>
    <row r="3959" spans="1:12" x14ac:dyDescent="0.25">
      <c r="A3959" t="s">
        <v>3541</v>
      </c>
      <c r="G3959" t="str">
        <f t="shared" si="338"/>
        <v>07/26/19</v>
      </c>
      <c r="H3959" t="str">
        <f t="shared" si="333"/>
        <v>Texas Rangers</v>
      </c>
      <c r="I3959" s="60">
        <f t="shared" si="334"/>
        <v>5</v>
      </c>
      <c r="J3959" t="str">
        <f t="shared" si="335"/>
        <v>Oakland Athletics</v>
      </c>
      <c r="K3959" s="60">
        <f t="shared" si="336"/>
        <v>2</v>
      </c>
      <c r="L3959">
        <f t="shared" si="337"/>
        <v>3</v>
      </c>
    </row>
    <row r="3960" spans="1:12" x14ac:dyDescent="0.25">
      <c r="G3960" t="str">
        <f t="shared" si="338"/>
        <v>07/26/19</v>
      </c>
      <c r="H3960" t="str">
        <f t="shared" si="333"/>
        <v/>
      </c>
      <c r="I3960" s="60" t="str">
        <f t="shared" si="334"/>
        <v/>
      </c>
      <c r="J3960" t="str">
        <f t="shared" si="335"/>
        <v/>
      </c>
      <c r="K3960" s="60" t="str">
        <f t="shared" si="336"/>
        <v/>
      </c>
      <c r="L3960" t="str">
        <f t="shared" si="337"/>
        <v/>
      </c>
    </row>
    <row r="3961" spans="1:12" x14ac:dyDescent="0.25">
      <c r="A3961" t="s">
        <v>3542</v>
      </c>
      <c r="G3961" t="str">
        <f t="shared" si="338"/>
        <v>07/26/19</v>
      </c>
      <c r="H3961" t="str">
        <f t="shared" si="333"/>
        <v>Atlanta Braves</v>
      </c>
      <c r="I3961" s="60">
        <f t="shared" si="334"/>
        <v>9</v>
      </c>
      <c r="J3961" t="str">
        <f t="shared" si="335"/>
        <v>Philadelphia Phillies</v>
      </c>
      <c r="K3961" s="60">
        <f t="shared" si="336"/>
        <v>2</v>
      </c>
      <c r="L3961">
        <f t="shared" si="337"/>
        <v>7</v>
      </c>
    </row>
    <row r="3962" spans="1:12" x14ac:dyDescent="0.25">
      <c r="G3962" t="str">
        <f t="shared" si="338"/>
        <v>07/26/19</v>
      </c>
      <c r="H3962" t="str">
        <f t="shared" si="333"/>
        <v/>
      </c>
      <c r="I3962" s="60" t="str">
        <f t="shared" si="334"/>
        <v/>
      </c>
      <c r="J3962" t="str">
        <f t="shared" si="335"/>
        <v/>
      </c>
      <c r="K3962" s="60" t="str">
        <f t="shared" si="336"/>
        <v/>
      </c>
      <c r="L3962" t="str">
        <f t="shared" si="337"/>
        <v/>
      </c>
    </row>
    <row r="3963" spans="1:12" x14ac:dyDescent="0.25">
      <c r="A3963" t="s">
        <v>3543</v>
      </c>
      <c r="G3963" t="str">
        <f t="shared" si="338"/>
        <v>07/26/19</v>
      </c>
      <c r="H3963" t="str">
        <f t="shared" si="333"/>
        <v>San Francisco Giants</v>
      </c>
      <c r="I3963" s="60">
        <f t="shared" si="334"/>
        <v>2</v>
      </c>
      <c r="J3963" t="str">
        <f t="shared" si="335"/>
        <v>San Diego Padres</v>
      </c>
      <c r="K3963" s="60">
        <f t="shared" si="336"/>
        <v>1</v>
      </c>
      <c r="L3963">
        <f t="shared" si="337"/>
        <v>1</v>
      </c>
    </row>
    <row r="3964" spans="1:12" x14ac:dyDescent="0.25">
      <c r="G3964" t="str">
        <f t="shared" si="338"/>
        <v>07/26/19</v>
      </c>
      <c r="H3964" t="str">
        <f t="shared" si="333"/>
        <v/>
      </c>
      <c r="I3964" s="60" t="str">
        <f t="shared" si="334"/>
        <v/>
      </c>
      <c r="J3964" t="str">
        <f t="shared" si="335"/>
        <v/>
      </c>
      <c r="K3964" s="60" t="str">
        <f t="shared" si="336"/>
        <v/>
      </c>
      <c r="L3964" t="str">
        <f t="shared" si="337"/>
        <v/>
      </c>
    </row>
    <row r="3965" spans="1:12" x14ac:dyDescent="0.25">
      <c r="A3965" t="s">
        <v>3544</v>
      </c>
      <c r="G3965" t="str">
        <f t="shared" si="338"/>
        <v>07/26/19</v>
      </c>
      <c r="H3965" t="str">
        <f t="shared" si="333"/>
        <v>Detroit Tigers</v>
      </c>
      <c r="I3965" s="60">
        <f t="shared" si="334"/>
        <v>2</v>
      </c>
      <c r="J3965" t="str">
        <f t="shared" si="335"/>
        <v>Seattle Mariners</v>
      </c>
      <c r="K3965" s="60">
        <f t="shared" si="336"/>
        <v>3</v>
      </c>
      <c r="L3965">
        <f t="shared" si="337"/>
        <v>-1</v>
      </c>
    </row>
    <row r="3966" spans="1:12" x14ac:dyDescent="0.25">
      <c r="G3966" t="str">
        <f t="shared" si="338"/>
        <v>07/26/19</v>
      </c>
      <c r="H3966" t="str">
        <f t="shared" si="333"/>
        <v/>
      </c>
      <c r="I3966" s="60" t="str">
        <f t="shared" si="334"/>
        <v/>
      </c>
      <c r="J3966" t="str">
        <f t="shared" si="335"/>
        <v/>
      </c>
      <c r="K3966" s="60" t="str">
        <f t="shared" si="336"/>
        <v/>
      </c>
      <c r="L3966" t="str">
        <f t="shared" si="337"/>
        <v/>
      </c>
    </row>
    <row r="3967" spans="1:12" x14ac:dyDescent="0.25">
      <c r="A3967" t="s">
        <v>3545</v>
      </c>
      <c r="G3967" t="str">
        <f t="shared" si="338"/>
        <v>07/26/19</v>
      </c>
      <c r="H3967" t="str">
        <f t="shared" si="333"/>
        <v>Houston Astros</v>
      </c>
      <c r="I3967" s="60">
        <f t="shared" si="334"/>
        <v>3</v>
      </c>
      <c r="J3967" t="str">
        <f t="shared" si="335"/>
        <v>St. Louis Cardinals</v>
      </c>
      <c r="K3967" s="60">
        <f t="shared" si="336"/>
        <v>5</v>
      </c>
      <c r="L3967">
        <f t="shared" si="337"/>
        <v>-2</v>
      </c>
    </row>
    <row r="3968" spans="1:12" x14ac:dyDescent="0.25">
      <c r="G3968" t="str">
        <f t="shared" si="338"/>
        <v>07/26/19</v>
      </c>
      <c r="H3968" t="str">
        <f t="shared" si="333"/>
        <v/>
      </c>
      <c r="I3968" s="60" t="str">
        <f t="shared" si="334"/>
        <v/>
      </c>
      <c r="J3968" t="str">
        <f t="shared" si="335"/>
        <v/>
      </c>
      <c r="K3968" s="60" t="str">
        <f t="shared" si="336"/>
        <v/>
      </c>
      <c r="L3968" t="str">
        <f t="shared" si="337"/>
        <v/>
      </c>
    </row>
    <row r="3969" spans="1:12" x14ac:dyDescent="0.25">
      <c r="A3969" t="s">
        <v>3546</v>
      </c>
      <c r="G3969" t="str">
        <f t="shared" si="338"/>
        <v>07/26/19</v>
      </c>
      <c r="H3969" t="str">
        <f t="shared" si="333"/>
        <v>Tampa Bay Rays</v>
      </c>
      <c r="I3969" s="60">
        <f t="shared" si="334"/>
        <v>3</v>
      </c>
      <c r="J3969" t="str">
        <f t="shared" si="335"/>
        <v>Toronto Blue Jays</v>
      </c>
      <c r="K3969" s="60">
        <f t="shared" si="336"/>
        <v>1</v>
      </c>
      <c r="L3969">
        <f t="shared" si="337"/>
        <v>2</v>
      </c>
    </row>
    <row r="3970" spans="1:12" x14ac:dyDescent="0.25">
      <c r="G3970" t="str">
        <f t="shared" si="338"/>
        <v>07/26/19</v>
      </c>
      <c r="H3970" t="str">
        <f t="shared" si="333"/>
        <v/>
      </c>
      <c r="I3970" s="60" t="str">
        <f t="shared" si="334"/>
        <v/>
      </c>
      <c r="J3970" t="str">
        <f t="shared" si="335"/>
        <v/>
      </c>
      <c r="K3970" s="60" t="str">
        <f t="shared" si="336"/>
        <v/>
      </c>
      <c r="L3970" t="str">
        <f t="shared" si="337"/>
        <v/>
      </c>
    </row>
    <row r="3971" spans="1:12" x14ac:dyDescent="0.25">
      <c r="A3971" t="s">
        <v>3547</v>
      </c>
      <c r="G3971" t="str">
        <f t="shared" si="338"/>
        <v>07/26/19</v>
      </c>
      <c r="H3971" t="str">
        <f t="shared" si="333"/>
        <v>Los Angeles Dodgers</v>
      </c>
      <c r="I3971" s="60">
        <f t="shared" si="334"/>
        <v>4</v>
      </c>
      <c r="J3971" t="str">
        <f t="shared" si="335"/>
        <v>Washington Nationals</v>
      </c>
      <c r="K3971" s="60">
        <f t="shared" si="336"/>
        <v>2</v>
      </c>
      <c r="L3971">
        <f t="shared" si="337"/>
        <v>2</v>
      </c>
    </row>
    <row r="3972" spans="1:12" x14ac:dyDescent="0.25">
      <c r="G3972" t="str">
        <f t="shared" si="338"/>
        <v>07/26/19</v>
      </c>
      <c r="H3972" t="str">
        <f t="shared" si="333"/>
        <v/>
      </c>
      <c r="I3972" s="60" t="str">
        <f t="shared" si="334"/>
        <v/>
      </c>
      <c r="J3972" t="str">
        <f t="shared" si="335"/>
        <v/>
      </c>
      <c r="K3972" s="60" t="str">
        <f t="shared" si="336"/>
        <v/>
      </c>
      <c r="L3972" t="str">
        <f t="shared" si="337"/>
        <v/>
      </c>
    </row>
    <row r="3973" spans="1:12" x14ac:dyDescent="0.25">
      <c r="A3973" t="s">
        <v>3548</v>
      </c>
      <c r="G3973" t="str">
        <f t="shared" si="338"/>
        <v>07/26/19</v>
      </c>
      <c r="H3973" t="str">
        <f t="shared" si="333"/>
        <v/>
      </c>
      <c r="I3973" s="60" t="str">
        <f t="shared" si="334"/>
        <v/>
      </c>
      <c r="J3973" t="str">
        <f t="shared" si="335"/>
        <v/>
      </c>
      <c r="K3973" s="60" t="str">
        <f t="shared" si="336"/>
        <v/>
      </c>
      <c r="L3973" t="str">
        <f t="shared" si="337"/>
        <v/>
      </c>
    </row>
    <row r="3974" spans="1:12" x14ac:dyDescent="0.25">
      <c r="G3974" t="str">
        <f t="shared" si="338"/>
        <v>07/26/19</v>
      </c>
      <c r="H3974" t="str">
        <f t="shared" si="333"/>
        <v/>
      </c>
      <c r="I3974" s="60" t="str">
        <f t="shared" si="334"/>
        <v/>
      </c>
      <c r="J3974" t="str">
        <f t="shared" si="335"/>
        <v/>
      </c>
      <c r="K3974" s="60" t="str">
        <f t="shared" si="336"/>
        <v/>
      </c>
      <c r="L3974" t="str">
        <f t="shared" si="337"/>
        <v/>
      </c>
    </row>
    <row r="3975" spans="1:12" x14ac:dyDescent="0.25">
      <c r="A3975" t="s">
        <v>3272</v>
      </c>
      <c r="G3975" t="str">
        <f t="shared" si="338"/>
        <v>07/27/19</v>
      </c>
      <c r="H3975" t="str">
        <f t="shared" si="333"/>
        <v/>
      </c>
      <c r="I3975" s="60" t="str">
        <f t="shared" si="334"/>
        <v/>
      </c>
      <c r="J3975" t="str">
        <f t="shared" si="335"/>
        <v/>
      </c>
      <c r="K3975" s="60" t="str">
        <f t="shared" si="336"/>
        <v/>
      </c>
      <c r="L3975" t="str">
        <f t="shared" si="337"/>
        <v/>
      </c>
    </row>
    <row r="3976" spans="1:12" x14ac:dyDescent="0.25">
      <c r="G3976" t="str">
        <f t="shared" si="338"/>
        <v>07/27/19</v>
      </c>
      <c r="H3976" t="str">
        <f t="shared" si="333"/>
        <v/>
      </c>
      <c r="I3976" s="60" t="str">
        <f t="shared" si="334"/>
        <v/>
      </c>
      <c r="J3976" t="str">
        <f t="shared" si="335"/>
        <v/>
      </c>
      <c r="K3976" s="60" t="str">
        <f t="shared" si="336"/>
        <v/>
      </c>
      <c r="L3976" t="str">
        <f t="shared" si="337"/>
        <v/>
      </c>
    </row>
    <row r="3977" spans="1:12" x14ac:dyDescent="0.25">
      <c r="A3977" t="s">
        <v>3549</v>
      </c>
      <c r="G3977" t="str">
        <f t="shared" si="338"/>
        <v>07/27/19</v>
      </c>
      <c r="H3977" t="str">
        <f t="shared" si="333"/>
        <v>Baltimore Orioles</v>
      </c>
      <c r="I3977" s="60">
        <f t="shared" si="334"/>
        <v>8</v>
      </c>
      <c r="J3977" t="str">
        <f t="shared" si="335"/>
        <v>Los Angeles Angels</v>
      </c>
      <c r="K3977" s="60">
        <f t="shared" si="336"/>
        <v>7</v>
      </c>
      <c r="L3977">
        <f t="shared" si="337"/>
        <v>1</v>
      </c>
    </row>
    <row r="3978" spans="1:12" x14ac:dyDescent="0.25">
      <c r="G3978" t="str">
        <f t="shared" si="338"/>
        <v>07/27/19</v>
      </c>
      <c r="H3978" t="str">
        <f t="shared" si="333"/>
        <v/>
      </c>
      <c r="I3978" s="60" t="str">
        <f t="shared" si="334"/>
        <v/>
      </c>
      <c r="J3978" t="str">
        <f t="shared" si="335"/>
        <v/>
      </c>
      <c r="K3978" s="60" t="str">
        <f t="shared" si="336"/>
        <v/>
      </c>
      <c r="L3978" t="str">
        <f t="shared" si="337"/>
        <v/>
      </c>
    </row>
    <row r="3979" spans="1:12" x14ac:dyDescent="0.25">
      <c r="A3979" t="s">
        <v>3550</v>
      </c>
      <c r="G3979" t="str">
        <f t="shared" si="338"/>
        <v>07/27/19</v>
      </c>
      <c r="H3979" t="str">
        <f t="shared" si="333"/>
        <v>New York Yankees</v>
      </c>
      <c r="I3979" s="60">
        <f t="shared" si="334"/>
        <v>5</v>
      </c>
      <c r="J3979" t="str">
        <f t="shared" si="335"/>
        <v>Boston Red Sox</v>
      </c>
      <c r="K3979" s="60">
        <f t="shared" si="336"/>
        <v>9</v>
      </c>
      <c r="L3979">
        <f t="shared" si="337"/>
        <v>-4</v>
      </c>
    </row>
    <row r="3980" spans="1:12" x14ac:dyDescent="0.25">
      <c r="G3980" t="str">
        <f t="shared" si="338"/>
        <v>07/27/19</v>
      </c>
      <c r="H3980" t="str">
        <f t="shared" si="333"/>
        <v/>
      </c>
      <c r="I3980" s="60" t="str">
        <f t="shared" si="334"/>
        <v/>
      </c>
      <c r="J3980" t="str">
        <f t="shared" si="335"/>
        <v/>
      </c>
      <c r="K3980" s="60" t="str">
        <f t="shared" si="336"/>
        <v/>
      </c>
      <c r="L3980" t="str">
        <f t="shared" si="337"/>
        <v/>
      </c>
    </row>
    <row r="3981" spans="1:12" x14ac:dyDescent="0.25">
      <c r="A3981" t="s">
        <v>3551</v>
      </c>
      <c r="G3981" t="str">
        <f t="shared" si="338"/>
        <v>07/27/19</v>
      </c>
      <c r="H3981" t="str">
        <f t="shared" si="333"/>
        <v>Minnesota Twins</v>
      </c>
      <c r="I3981" s="60">
        <f t="shared" si="334"/>
        <v>1</v>
      </c>
      <c r="J3981" t="str">
        <f t="shared" si="335"/>
        <v>Chicago White Sox</v>
      </c>
      <c r="K3981" s="60">
        <f t="shared" si="336"/>
        <v>5</v>
      </c>
      <c r="L3981">
        <f t="shared" si="337"/>
        <v>-4</v>
      </c>
    </row>
    <row r="3982" spans="1:12" x14ac:dyDescent="0.25">
      <c r="G3982" t="str">
        <f t="shared" si="338"/>
        <v>07/27/19</v>
      </c>
      <c r="H3982" t="str">
        <f t="shared" si="333"/>
        <v/>
      </c>
      <c r="I3982" s="60" t="str">
        <f t="shared" si="334"/>
        <v/>
      </c>
      <c r="J3982" t="str">
        <f t="shared" si="335"/>
        <v/>
      </c>
      <c r="K3982" s="60" t="str">
        <f t="shared" si="336"/>
        <v/>
      </c>
      <c r="L3982" t="str">
        <f t="shared" si="337"/>
        <v/>
      </c>
    </row>
    <row r="3983" spans="1:12" x14ac:dyDescent="0.25">
      <c r="A3983" t="s">
        <v>3552</v>
      </c>
      <c r="G3983" t="str">
        <f t="shared" si="338"/>
        <v>07/27/19</v>
      </c>
      <c r="H3983" t="str">
        <f t="shared" si="333"/>
        <v>Colorado Rockies</v>
      </c>
      <c r="I3983" s="60">
        <f t="shared" si="334"/>
        <v>1</v>
      </c>
      <c r="J3983" t="str">
        <f t="shared" si="335"/>
        <v>Cincinnati Reds</v>
      </c>
      <c r="K3983" s="60">
        <f t="shared" si="336"/>
        <v>3</v>
      </c>
      <c r="L3983">
        <f t="shared" si="337"/>
        <v>-2</v>
      </c>
    </row>
    <row r="3984" spans="1:12" x14ac:dyDescent="0.25">
      <c r="G3984" t="str">
        <f t="shared" si="338"/>
        <v>07/27/19</v>
      </c>
      <c r="H3984" t="str">
        <f t="shared" ref="H3984:H4047" si="339">IFERROR(LEFT(MID(A3984,1,SEARCH("@",A3984)-2),SEARCH("(",A3984)-2),"")</f>
        <v/>
      </c>
      <c r="I3984" s="60" t="str">
        <f t="shared" ref="I3984:I4047" si="340">IFERROR(VALUE(MID(A3984,SEARCH("(",A3984)+1,SEARCH(")",A3984)-SEARCH("(",A3984)-1)),"")</f>
        <v/>
      </c>
      <c r="J3984" t="str">
        <f t="shared" ref="J3984:J4047" si="341">IFERROR(MID(A3984,SEARCH("@",A3984)+2,SEARCH("(",A3984,SEARCH("@",A3984))-SEARCH("@",A3984)-3),"")</f>
        <v/>
      </c>
      <c r="K3984" s="60" t="str">
        <f t="shared" ref="K3984:K4047" si="342">IFERROR(VALUE(MID(A3984,SEARCH(J3984,A3984)+LEN(J3984)+2,(SEARCH(")",A3984,SEARCH("@",A3984))-SEARCH("(",A3984,SEARCH("@",A3984))-1))),"")</f>
        <v/>
      </c>
      <c r="L3984" t="str">
        <f t="shared" ref="L3984:L4047" si="343">IFERROR(I3984-K3984,"")</f>
        <v/>
      </c>
    </row>
    <row r="3985" spans="1:12" x14ac:dyDescent="0.25">
      <c r="A3985" t="s">
        <v>3553</v>
      </c>
      <c r="G3985" t="str">
        <f t="shared" si="338"/>
        <v>07/27/19</v>
      </c>
      <c r="H3985" t="str">
        <f t="shared" si="339"/>
        <v>Cleveland Indians</v>
      </c>
      <c r="I3985" s="60">
        <f t="shared" si="340"/>
        <v>9</v>
      </c>
      <c r="J3985" t="str">
        <f t="shared" si="341"/>
        <v>Kansas City Royals</v>
      </c>
      <c r="K3985" s="60">
        <f t="shared" si="342"/>
        <v>1</v>
      </c>
      <c r="L3985">
        <f t="shared" si="343"/>
        <v>8</v>
      </c>
    </row>
    <row r="3986" spans="1:12" x14ac:dyDescent="0.25">
      <c r="G3986" t="str">
        <f t="shared" si="338"/>
        <v>07/27/19</v>
      </c>
      <c r="H3986" t="str">
        <f t="shared" si="339"/>
        <v/>
      </c>
      <c r="I3986" s="60" t="str">
        <f t="shared" si="340"/>
        <v/>
      </c>
      <c r="J3986" t="str">
        <f t="shared" si="341"/>
        <v/>
      </c>
      <c r="K3986" s="60" t="str">
        <f t="shared" si="342"/>
        <v/>
      </c>
      <c r="L3986" t="str">
        <f t="shared" si="343"/>
        <v/>
      </c>
    </row>
    <row r="3987" spans="1:12" x14ac:dyDescent="0.25">
      <c r="A3987" t="s">
        <v>3554</v>
      </c>
      <c r="G3987" t="str">
        <f t="shared" si="338"/>
        <v>07/27/19</v>
      </c>
      <c r="H3987" t="str">
        <f t="shared" si="339"/>
        <v>Arizona D'Backs</v>
      </c>
      <c r="I3987" s="60">
        <f t="shared" si="340"/>
        <v>9</v>
      </c>
      <c r="J3987" t="str">
        <f t="shared" si="341"/>
        <v>Miami Marlins</v>
      </c>
      <c r="K3987" s="60">
        <f t="shared" si="342"/>
        <v>2</v>
      </c>
      <c r="L3987">
        <f t="shared" si="343"/>
        <v>7</v>
      </c>
    </row>
    <row r="3988" spans="1:12" x14ac:dyDescent="0.25">
      <c r="G3988" t="str">
        <f t="shared" si="338"/>
        <v>07/27/19</v>
      </c>
      <c r="H3988" t="str">
        <f t="shared" si="339"/>
        <v/>
      </c>
      <c r="I3988" s="60" t="str">
        <f t="shared" si="340"/>
        <v/>
      </c>
      <c r="J3988" t="str">
        <f t="shared" si="341"/>
        <v/>
      </c>
      <c r="K3988" s="60" t="str">
        <f t="shared" si="342"/>
        <v/>
      </c>
      <c r="L3988" t="str">
        <f t="shared" si="343"/>
        <v/>
      </c>
    </row>
    <row r="3989" spans="1:12" x14ac:dyDescent="0.25">
      <c r="A3989" t="s">
        <v>3555</v>
      </c>
      <c r="G3989" t="str">
        <f t="shared" si="338"/>
        <v>07/27/19</v>
      </c>
      <c r="H3989" t="str">
        <f t="shared" si="339"/>
        <v>Chicago Cubs</v>
      </c>
      <c r="I3989" s="60">
        <f t="shared" si="340"/>
        <v>3</v>
      </c>
      <c r="J3989" t="str">
        <f t="shared" si="341"/>
        <v>Milwaukee Brewers</v>
      </c>
      <c r="K3989" s="60">
        <f t="shared" si="342"/>
        <v>5</v>
      </c>
      <c r="L3989">
        <f t="shared" si="343"/>
        <v>-2</v>
      </c>
    </row>
    <row r="3990" spans="1:12" x14ac:dyDescent="0.25">
      <c r="G3990" t="str">
        <f t="shared" si="338"/>
        <v>07/27/19</v>
      </c>
      <c r="H3990" t="str">
        <f t="shared" si="339"/>
        <v/>
      </c>
      <c r="I3990" s="60" t="str">
        <f t="shared" si="340"/>
        <v/>
      </c>
      <c r="J3990" t="str">
        <f t="shared" si="341"/>
        <v/>
      </c>
      <c r="K3990" s="60" t="str">
        <f t="shared" si="342"/>
        <v/>
      </c>
      <c r="L3990" t="str">
        <f t="shared" si="343"/>
        <v/>
      </c>
    </row>
    <row r="3991" spans="1:12" x14ac:dyDescent="0.25">
      <c r="A3991" t="s">
        <v>3556</v>
      </c>
      <c r="G3991" t="str">
        <f t="shared" si="338"/>
        <v>07/27/19</v>
      </c>
      <c r="H3991" t="str">
        <f t="shared" si="339"/>
        <v>Pittsburgh Pirates</v>
      </c>
      <c r="I3991" s="60">
        <f t="shared" si="340"/>
        <v>0</v>
      </c>
      <c r="J3991" t="str">
        <f t="shared" si="341"/>
        <v>New York Mets</v>
      </c>
      <c r="K3991" s="60">
        <f t="shared" si="342"/>
        <v>3</v>
      </c>
      <c r="L3991">
        <f t="shared" si="343"/>
        <v>-3</v>
      </c>
    </row>
    <row r="3992" spans="1:12" x14ac:dyDescent="0.25">
      <c r="G3992" t="str">
        <f t="shared" si="338"/>
        <v>07/27/19</v>
      </c>
      <c r="H3992" t="str">
        <f t="shared" si="339"/>
        <v/>
      </c>
      <c r="I3992" s="60" t="str">
        <f t="shared" si="340"/>
        <v/>
      </c>
      <c r="J3992" t="str">
        <f t="shared" si="341"/>
        <v/>
      </c>
      <c r="K3992" s="60" t="str">
        <f t="shared" si="342"/>
        <v/>
      </c>
      <c r="L3992" t="str">
        <f t="shared" si="343"/>
        <v/>
      </c>
    </row>
    <row r="3993" spans="1:12" x14ac:dyDescent="0.25">
      <c r="A3993" t="s">
        <v>3557</v>
      </c>
      <c r="G3993" t="str">
        <f t="shared" si="338"/>
        <v>07/27/19</v>
      </c>
      <c r="H3993" t="str">
        <f t="shared" si="339"/>
        <v>Texas Rangers</v>
      </c>
      <c r="I3993" s="60">
        <f t="shared" si="340"/>
        <v>4</v>
      </c>
      <c r="J3993" t="str">
        <f t="shared" si="341"/>
        <v>Oakland Athletics</v>
      </c>
      <c r="K3993" s="60">
        <f t="shared" si="342"/>
        <v>5</v>
      </c>
      <c r="L3993">
        <f t="shared" si="343"/>
        <v>-1</v>
      </c>
    </row>
    <row r="3994" spans="1:12" x14ac:dyDescent="0.25">
      <c r="G3994" t="str">
        <f t="shared" si="338"/>
        <v>07/27/19</v>
      </c>
      <c r="H3994" t="str">
        <f t="shared" si="339"/>
        <v/>
      </c>
      <c r="I3994" s="60" t="str">
        <f t="shared" si="340"/>
        <v/>
      </c>
      <c r="J3994" t="str">
        <f t="shared" si="341"/>
        <v/>
      </c>
      <c r="K3994" s="60" t="str">
        <f t="shared" si="342"/>
        <v/>
      </c>
      <c r="L3994" t="str">
        <f t="shared" si="343"/>
        <v/>
      </c>
    </row>
    <row r="3995" spans="1:12" x14ac:dyDescent="0.25">
      <c r="A3995" t="s">
        <v>3558</v>
      </c>
      <c r="G3995" t="str">
        <f t="shared" si="338"/>
        <v>07/27/19</v>
      </c>
      <c r="H3995" t="str">
        <f t="shared" si="339"/>
        <v>Atlanta Braves</v>
      </c>
      <c r="I3995" s="60">
        <f t="shared" si="340"/>
        <v>15</v>
      </c>
      <c r="J3995" t="str">
        <f t="shared" si="341"/>
        <v>Philadelphia Phillies</v>
      </c>
      <c r="K3995" s="60">
        <f t="shared" si="342"/>
        <v>7</v>
      </c>
      <c r="L3995">
        <f t="shared" si="343"/>
        <v>8</v>
      </c>
    </row>
    <row r="3996" spans="1:12" x14ac:dyDescent="0.25">
      <c r="G3996" t="str">
        <f t="shared" si="338"/>
        <v>07/27/19</v>
      </c>
      <c r="H3996" t="str">
        <f t="shared" si="339"/>
        <v/>
      </c>
      <c r="I3996" s="60" t="str">
        <f t="shared" si="340"/>
        <v/>
      </c>
      <c r="J3996" t="str">
        <f t="shared" si="341"/>
        <v/>
      </c>
      <c r="K3996" s="60" t="str">
        <f t="shared" si="342"/>
        <v/>
      </c>
      <c r="L3996" t="str">
        <f t="shared" si="343"/>
        <v/>
      </c>
    </row>
    <row r="3997" spans="1:12" x14ac:dyDescent="0.25">
      <c r="A3997" t="s">
        <v>3559</v>
      </c>
      <c r="G3997" t="str">
        <f t="shared" si="338"/>
        <v>07/27/19</v>
      </c>
      <c r="H3997" t="str">
        <f t="shared" si="339"/>
        <v>San Francisco Giants</v>
      </c>
      <c r="I3997" s="60">
        <f t="shared" si="340"/>
        <v>1</v>
      </c>
      <c r="J3997" t="str">
        <f t="shared" si="341"/>
        <v>San Diego Padres</v>
      </c>
      <c r="K3997" s="60">
        <f t="shared" si="342"/>
        <v>5</v>
      </c>
      <c r="L3997">
        <f t="shared" si="343"/>
        <v>-4</v>
      </c>
    </row>
    <row r="3998" spans="1:12" x14ac:dyDescent="0.25">
      <c r="G3998" t="str">
        <f t="shared" si="338"/>
        <v>07/27/19</v>
      </c>
      <c r="H3998" t="str">
        <f t="shared" si="339"/>
        <v/>
      </c>
      <c r="I3998" s="60" t="str">
        <f t="shared" si="340"/>
        <v/>
      </c>
      <c r="J3998" t="str">
        <f t="shared" si="341"/>
        <v/>
      </c>
      <c r="K3998" s="60" t="str">
        <f t="shared" si="342"/>
        <v/>
      </c>
      <c r="L3998" t="str">
        <f t="shared" si="343"/>
        <v/>
      </c>
    </row>
    <row r="3999" spans="1:12" x14ac:dyDescent="0.25">
      <c r="A3999" t="s">
        <v>3560</v>
      </c>
      <c r="G3999" t="str">
        <f t="shared" si="338"/>
        <v>07/27/19</v>
      </c>
      <c r="H3999" t="str">
        <f t="shared" si="339"/>
        <v>Detroit Tigers</v>
      </c>
      <c r="I3999" s="60">
        <f t="shared" si="340"/>
        <v>1</v>
      </c>
      <c r="J3999" t="str">
        <f t="shared" si="341"/>
        <v>Seattle Mariners</v>
      </c>
      <c r="K3999" s="60">
        <f t="shared" si="342"/>
        <v>8</v>
      </c>
      <c r="L3999">
        <f t="shared" si="343"/>
        <v>-7</v>
      </c>
    </row>
    <row r="4000" spans="1:12" x14ac:dyDescent="0.25">
      <c r="G4000" t="str">
        <f t="shared" si="338"/>
        <v>07/27/19</v>
      </c>
      <c r="H4000" t="str">
        <f t="shared" si="339"/>
        <v/>
      </c>
      <c r="I4000" s="60" t="str">
        <f t="shared" si="340"/>
        <v/>
      </c>
      <c r="J4000" t="str">
        <f t="shared" si="341"/>
        <v/>
      </c>
      <c r="K4000" s="60" t="str">
        <f t="shared" si="342"/>
        <v/>
      </c>
      <c r="L4000" t="str">
        <f t="shared" si="343"/>
        <v/>
      </c>
    </row>
    <row r="4001" spans="1:12" x14ac:dyDescent="0.25">
      <c r="A4001" t="s">
        <v>3561</v>
      </c>
      <c r="G4001" t="str">
        <f t="shared" si="338"/>
        <v>07/27/19</v>
      </c>
      <c r="H4001" t="str">
        <f t="shared" si="339"/>
        <v>Houston Astros</v>
      </c>
      <c r="I4001" s="60">
        <f t="shared" si="340"/>
        <v>8</v>
      </c>
      <c r="J4001" t="str">
        <f t="shared" si="341"/>
        <v>St. Louis Cardinals</v>
      </c>
      <c r="K4001" s="60">
        <f t="shared" si="342"/>
        <v>2</v>
      </c>
      <c r="L4001">
        <f t="shared" si="343"/>
        <v>6</v>
      </c>
    </row>
    <row r="4002" spans="1:12" x14ac:dyDescent="0.25">
      <c r="G4002" t="str">
        <f t="shared" ref="G4002:G4065" si="344">IF(ISNUMBER(MATCH(IFERROR(LEFT(A4002,SEARCH(",",A4002)-1),""),$G$220:$M$220,0)),TEXT(MID(A4002,SEARCH(",",A4002)+2,LEN(A4002)),"mm/dd/yy"),G4001)</f>
        <v>07/27/19</v>
      </c>
      <c r="H4002" t="str">
        <f t="shared" si="339"/>
        <v/>
      </c>
      <c r="I4002" s="60" t="str">
        <f t="shared" si="340"/>
        <v/>
      </c>
      <c r="J4002" t="str">
        <f t="shared" si="341"/>
        <v/>
      </c>
      <c r="K4002" s="60" t="str">
        <f t="shared" si="342"/>
        <v/>
      </c>
      <c r="L4002" t="str">
        <f t="shared" si="343"/>
        <v/>
      </c>
    </row>
    <row r="4003" spans="1:12" x14ac:dyDescent="0.25">
      <c r="A4003" t="s">
        <v>3562</v>
      </c>
      <c r="G4003" t="str">
        <f t="shared" si="344"/>
        <v>07/27/19</v>
      </c>
      <c r="H4003" t="str">
        <f t="shared" si="339"/>
        <v>Tampa Bay Rays</v>
      </c>
      <c r="I4003" s="60">
        <f t="shared" si="340"/>
        <v>9</v>
      </c>
      <c r="J4003" t="str">
        <f t="shared" si="341"/>
        <v>Toronto Blue Jays</v>
      </c>
      <c r="K4003" s="60">
        <f t="shared" si="342"/>
        <v>10</v>
      </c>
      <c r="L4003">
        <f t="shared" si="343"/>
        <v>-1</v>
      </c>
    </row>
    <row r="4004" spans="1:12" x14ac:dyDescent="0.25">
      <c r="G4004" t="str">
        <f t="shared" si="344"/>
        <v>07/27/19</v>
      </c>
      <c r="H4004" t="str">
        <f t="shared" si="339"/>
        <v/>
      </c>
      <c r="I4004" s="60" t="str">
        <f t="shared" si="340"/>
        <v/>
      </c>
      <c r="J4004" t="str">
        <f t="shared" si="341"/>
        <v/>
      </c>
      <c r="K4004" s="60" t="str">
        <f t="shared" si="342"/>
        <v/>
      </c>
      <c r="L4004" t="str">
        <f t="shared" si="343"/>
        <v/>
      </c>
    </row>
    <row r="4005" spans="1:12" x14ac:dyDescent="0.25">
      <c r="A4005" t="s">
        <v>3563</v>
      </c>
      <c r="G4005" t="str">
        <f t="shared" si="344"/>
        <v>07/27/19</v>
      </c>
      <c r="H4005" t="str">
        <f t="shared" si="339"/>
        <v>Los Angeles Dodgers</v>
      </c>
      <c r="I4005" s="60">
        <f t="shared" si="340"/>
        <v>9</v>
      </c>
      <c r="J4005" t="str">
        <f t="shared" si="341"/>
        <v>Washington Nationals</v>
      </c>
      <c r="K4005" s="60">
        <f t="shared" si="342"/>
        <v>3</v>
      </c>
      <c r="L4005">
        <f t="shared" si="343"/>
        <v>6</v>
      </c>
    </row>
    <row r="4006" spans="1:12" x14ac:dyDescent="0.25">
      <c r="G4006" t="str">
        <f t="shared" si="344"/>
        <v>07/27/19</v>
      </c>
      <c r="H4006" t="str">
        <f t="shared" si="339"/>
        <v/>
      </c>
      <c r="I4006" s="60" t="str">
        <f t="shared" si="340"/>
        <v/>
      </c>
      <c r="J4006" t="str">
        <f t="shared" si="341"/>
        <v/>
      </c>
      <c r="K4006" s="60" t="str">
        <f t="shared" si="342"/>
        <v/>
      </c>
      <c r="L4006" t="str">
        <f t="shared" si="343"/>
        <v/>
      </c>
    </row>
    <row r="4007" spans="1:12" x14ac:dyDescent="0.25">
      <c r="A4007" t="s">
        <v>3564</v>
      </c>
      <c r="G4007" t="str">
        <f t="shared" si="344"/>
        <v>07/27/19</v>
      </c>
      <c r="H4007" t="str">
        <f t="shared" si="339"/>
        <v/>
      </c>
      <c r="I4007" s="60" t="str">
        <f t="shared" si="340"/>
        <v/>
      </c>
      <c r="J4007" t="str">
        <f t="shared" si="341"/>
        <v/>
      </c>
      <c r="K4007" s="60" t="str">
        <f t="shared" si="342"/>
        <v/>
      </c>
      <c r="L4007" t="str">
        <f t="shared" si="343"/>
        <v/>
      </c>
    </row>
    <row r="4008" spans="1:12" x14ac:dyDescent="0.25">
      <c r="G4008" t="str">
        <f t="shared" si="344"/>
        <v>07/27/19</v>
      </c>
      <c r="H4008" t="str">
        <f t="shared" si="339"/>
        <v/>
      </c>
      <c r="I4008" s="60" t="str">
        <f t="shared" si="340"/>
        <v/>
      </c>
      <c r="J4008" t="str">
        <f t="shared" si="341"/>
        <v/>
      </c>
      <c r="K4008" s="60" t="str">
        <f t="shared" si="342"/>
        <v/>
      </c>
      <c r="L4008" t="str">
        <f t="shared" si="343"/>
        <v/>
      </c>
    </row>
    <row r="4009" spans="1:12" x14ac:dyDescent="0.25">
      <c r="A4009" t="s">
        <v>3273</v>
      </c>
      <c r="G4009" t="str">
        <f t="shared" si="344"/>
        <v>07/28/19</v>
      </c>
      <c r="H4009" t="str">
        <f t="shared" si="339"/>
        <v/>
      </c>
      <c r="I4009" s="60" t="str">
        <f t="shared" si="340"/>
        <v/>
      </c>
      <c r="J4009" t="str">
        <f t="shared" si="341"/>
        <v/>
      </c>
      <c r="K4009" s="60" t="str">
        <f t="shared" si="342"/>
        <v/>
      </c>
      <c r="L4009" t="str">
        <f t="shared" si="343"/>
        <v/>
      </c>
    </row>
    <row r="4010" spans="1:12" x14ac:dyDescent="0.25">
      <c r="G4010" t="str">
        <f t="shared" si="344"/>
        <v>07/28/19</v>
      </c>
      <c r="H4010" t="str">
        <f t="shared" si="339"/>
        <v/>
      </c>
      <c r="I4010" s="60" t="str">
        <f t="shared" si="340"/>
        <v/>
      </c>
      <c r="J4010" t="str">
        <f t="shared" si="341"/>
        <v/>
      </c>
      <c r="K4010" s="60" t="str">
        <f t="shared" si="342"/>
        <v/>
      </c>
      <c r="L4010" t="str">
        <f t="shared" si="343"/>
        <v/>
      </c>
    </row>
    <row r="4011" spans="1:12" x14ac:dyDescent="0.25">
      <c r="A4011" t="s">
        <v>3565</v>
      </c>
      <c r="G4011" t="str">
        <f t="shared" si="344"/>
        <v>07/28/19</v>
      </c>
      <c r="H4011" t="str">
        <f t="shared" si="339"/>
        <v>Baltimore Orioles</v>
      </c>
      <c r="I4011" s="60">
        <f t="shared" si="340"/>
        <v>4</v>
      </c>
      <c r="J4011" t="str">
        <f t="shared" si="341"/>
        <v>Los Angeles Angels</v>
      </c>
      <c r="K4011" s="60">
        <f t="shared" si="342"/>
        <v>5</v>
      </c>
      <c r="L4011">
        <f t="shared" si="343"/>
        <v>-1</v>
      </c>
    </row>
    <row r="4012" spans="1:12" x14ac:dyDescent="0.25">
      <c r="G4012" t="str">
        <f t="shared" si="344"/>
        <v>07/28/19</v>
      </c>
      <c r="H4012" t="str">
        <f t="shared" si="339"/>
        <v/>
      </c>
      <c r="I4012" s="60" t="str">
        <f t="shared" si="340"/>
        <v/>
      </c>
      <c r="J4012" t="str">
        <f t="shared" si="341"/>
        <v/>
      </c>
      <c r="K4012" s="60" t="str">
        <f t="shared" si="342"/>
        <v/>
      </c>
      <c r="L4012" t="str">
        <f t="shared" si="343"/>
        <v/>
      </c>
    </row>
    <row r="4013" spans="1:12" x14ac:dyDescent="0.25">
      <c r="A4013" t="s">
        <v>3566</v>
      </c>
      <c r="G4013" t="str">
        <f t="shared" si="344"/>
        <v>07/28/19</v>
      </c>
      <c r="H4013" t="str">
        <f t="shared" si="339"/>
        <v>New York Yankees</v>
      </c>
      <c r="I4013" s="60">
        <f t="shared" si="340"/>
        <v>9</v>
      </c>
      <c r="J4013" t="str">
        <f t="shared" si="341"/>
        <v>Boston Red Sox</v>
      </c>
      <c r="K4013" s="60">
        <f t="shared" si="342"/>
        <v>6</v>
      </c>
      <c r="L4013">
        <f t="shared" si="343"/>
        <v>3</v>
      </c>
    </row>
    <row r="4014" spans="1:12" x14ac:dyDescent="0.25">
      <c r="G4014" t="str">
        <f t="shared" si="344"/>
        <v>07/28/19</v>
      </c>
      <c r="H4014" t="str">
        <f t="shared" si="339"/>
        <v/>
      </c>
      <c r="I4014" s="60" t="str">
        <f t="shared" si="340"/>
        <v/>
      </c>
      <c r="J4014" t="str">
        <f t="shared" si="341"/>
        <v/>
      </c>
      <c r="K4014" s="60" t="str">
        <f t="shared" si="342"/>
        <v/>
      </c>
      <c r="L4014" t="str">
        <f t="shared" si="343"/>
        <v/>
      </c>
    </row>
    <row r="4015" spans="1:12" x14ac:dyDescent="0.25">
      <c r="A4015" t="s">
        <v>3567</v>
      </c>
      <c r="G4015" t="str">
        <f t="shared" si="344"/>
        <v>07/28/19</v>
      </c>
      <c r="H4015" t="str">
        <f t="shared" si="339"/>
        <v>Minnesota Twins</v>
      </c>
      <c r="I4015" s="60">
        <f t="shared" si="340"/>
        <v>11</v>
      </c>
      <c r="J4015" t="str">
        <f t="shared" si="341"/>
        <v>Chicago White Sox</v>
      </c>
      <c r="K4015" s="60">
        <f t="shared" si="342"/>
        <v>1</v>
      </c>
      <c r="L4015">
        <f t="shared" si="343"/>
        <v>10</v>
      </c>
    </row>
    <row r="4016" spans="1:12" x14ac:dyDescent="0.25">
      <c r="G4016" t="str">
        <f t="shared" si="344"/>
        <v>07/28/19</v>
      </c>
      <c r="H4016" t="str">
        <f t="shared" si="339"/>
        <v/>
      </c>
      <c r="I4016" s="60" t="str">
        <f t="shared" si="340"/>
        <v/>
      </c>
      <c r="J4016" t="str">
        <f t="shared" si="341"/>
        <v/>
      </c>
      <c r="K4016" s="60" t="str">
        <f t="shared" si="342"/>
        <v/>
      </c>
      <c r="L4016" t="str">
        <f t="shared" si="343"/>
        <v/>
      </c>
    </row>
    <row r="4017" spans="1:12" x14ac:dyDescent="0.25">
      <c r="A4017" t="s">
        <v>3568</v>
      </c>
      <c r="G4017" t="str">
        <f t="shared" si="344"/>
        <v>07/28/19</v>
      </c>
      <c r="H4017" t="str">
        <f t="shared" si="339"/>
        <v>Colorado Rockies</v>
      </c>
      <c r="I4017" s="60">
        <f t="shared" si="340"/>
        <v>2</v>
      </c>
      <c r="J4017" t="str">
        <f t="shared" si="341"/>
        <v>Cincinnati Reds</v>
      </c>
      <c r="K4017" s="60">
        <f t="shared" si="342"/>
        <v>3</v>
      </c>
      <c r="L4017">
        <f t="shared" si="343"/>
        <v>-1</v>
      </c>
    </row>
    <row r="4018" spans="1:12" x14ac:dyDescent="0.25">
      <c r="G4018" t="str">
        <f t="shared" si="344"/>
        <v>07/28/19</v>
      </c>
      <c r="H4018" t="str">
        <f t="shared" si="339"/>
        <v/>
      </c>
      <c r="I4018" s="60" t="str">
        <f t="shared" si="340"/>
        <v/>
      </c>
      <c r="J4018" t="str">
        <f t="shared" si="341"/>
        <v/>
      </c>
      <c r="K4018" s="60" t="str">
        <f t="shared" si="342"/>
        <v/>
      </c>
      <c r="L4018" t="str">
        <f t="shared" si="343"/>
        <v/>
      </c>
    </row>
    <row r="4019" spans="1:12" x14ac:dyDescent="0.25">
      <c r="A4019" t="s">
        <v>3569</v>
      </c>
      <c r="G4019" t="str">
        <f t="shared" si="344"/>
        <v>07/28/19</v>
      </c>
      <c r="H4019" t="str">
        <f t="shared" si="339"/>
        <v>Cleveland Indians</v>
      </c>
      <c r="I4019" s="60">
        <f t="shared" si="340"/>
        <v>6</v>
      </c>
      <c r="J4019" t="str">
        <f t="shared" si="341"/>
        <v>Kansas City Royals</v>
      </c>
      <c r="K4019" s="60">
        <f t="shared" si="342"/>
        <v>9</v>
      </c>
      <c r="L4019">
        <f t="shared" si="343"/>
        <v>-3</v>
      </c>
    </row>
    <row r="4020" spans="1:12" x14ac:dyDescent="0.25">
      <c r="G4020" t="str">
        <f t="shared" si="344"/>
        <v>07/28/19</v>
      </c>
      <c r="H4020" t="str">
        <f t="shared" si="339"/>
        <v/>
      </c>
      <c r="I4020" s="60" t="str">
        <f t="shared" si="340"/>
        <v/>
      </c>
      <c r="J4020" t="str">
        <f t="shared" si="341"/>
        <v/>
      </c>
      <c r="K4020" s="60" t="str">
        <f t="shared" si="342"/>
        <v/>
      </c>
      <c r="L4020" t="str">
        <f t="shared" si="343"/>
        <v/>
      </c>
    </row>
    <row r="4021" spans="1:12" x14ac:dyDescent="0.25">
      <c r="A4021" t="s">
        <v>3570</v>
      </c>
      <c r="G4021" t="str">
        <f t="shared" si="344"/>
        <v>07/28/19</v>
      </c>
      <c r="H4021" t="str">
        <f t="shared" si="339"/>
        <v>Arizona D'Backs</v>
      </c>
      <c r="I4021" s="60">
        <f t="shared" si="340"/>
        <v>1</v>
      </c>
      <c r="J4021" t="str">
        <f t="shared" si="341"/>
        <v>Miami Marlins</v>
      </c>
      <c r="K4021" s="60">
        <f t="shared" si="342"/>
        <v>5</v>
      </c>
      <c r="L4021">
        <f t="shared" si="343"/>
        <v>-4</v>
      </c>
    </row>
    <row r="4022" spans="1:12" x14ac:dyDescent="0.25">
      <c r="G4022" t="str">
        <f t="shared" si="344"/>
        <v>07/28/19</v>
      </c>
      <c r="H4022" t="str">
        <f t="shared" si="339"/>
        <v/>
      </c>
      <c r="I4022" s="60" t="str">
        <f t="shared" si="340"/>
        <v/>
      </c>
      <c r="J4022" t="str">
        <f t="shared" si="341"/>
        <v/>
      </c>
      <c r="K4022" s="60" t="str">
        <f t="shared" si="342"/>
        <v/>
      </c>
      <c r="L4022" t="str">
        <f t="shared" si="343"/>
        <v/>
      </c>
    </row>
    <row r="4023" spans="1:12" x14ac:dyDescent="0.25">
      <c r="A4023" t="s">
        <v>3571</v>
      </c>
      <c r="G4023" t="str">
        <f t="shared" si="344"/>
        <v>07/28/19</v>
      </c>
      <c r="H4023" t="str">
        <f t="shared" si="339"/>
        <v>Chicago Cubs</v>
      </c>
      <c r="I4023" s="60">
        <f t="shared" si="340"/>
        <v>11</v>
      </c>
      <c r="J4023" t="str">
        <f t="shared" si="341"/>
        <v>Milwaukee Brewers</v>
      </c>
      <c r="K4023" s="60">
        <f t="shared" si="342"/>
        <v>4</v>
      </c>
      <c r="L4023">
        <f t="shared" si="343"/>
        <v>7</v>
      </c>
    </row>
    <row r="4024" spans="1:12" x14ac:dyDescent="0.25">
      <c r="G4024" t="str">
        <f t="shared" si="344"/>
        <v>07/28/19</v>
      </c>
      <c r="H4024" t="str">
        <f t="shared" si="339"/>
        <v/>
      </c>
      <c r="I4024" s="60" t="str">
        <f t="shared" si="340"/>
        <v/>
      </c>
      <c r="J4024" t="str">
        <f t="shared" si="341"/>
        <v/>
      </c>
      <c r="K4024" s="60" t="str">
        <f t="shared" si="342"/>
        <v/>
      </c>
      <c r="L4024" t="str">
        <f t="shared" si="343"/>
        <v/>
      </c>
    </row>
    <row r="4025" spans="1:12" x14ac:dyDescent="0.25">
      <c r="A4025" t="s">
        <v>3572</v>
      </c>
      <c r="G4025" t="str">
        <f t="shared" si="344"/>
        <v>07/28/19</v>
      </c>
      <c r="H4025" t="str">
        <f t="shared" si="339"/>
        <v>Pittsburgh Pirates</v>
      </c>
      <c r="I4025" s="60">
        <f t="shared" si="340"/>
        <v>7</v>
      </c>
      <c r="J4025" t="str">
        <f t="shared" si="341"/>
        <v>New York Mets</v>
      </c>
      <c r="K4025" s="60">
        <f t="shared" si="342"/>
        <v>8</v>
      </c>
      <c r="L4025">
        <f t="shared" si="343"/>
        <v>-1</v>
      </c>
    </row>
    <row r="4026" spans="1:12" x14ac:dyDescent="0.25">
      <c r="G4026" t="str">
        <f t="shared" si="344"/>
        <v>07/28/19</v>
      </c>
      <c r="H4026" t="str">
        <f t="shared" si="339"/>
        <v/>
      </c>
      <c r="I4026" s="60" t="str">
        <f t="shared" si="340"/>
        <v/>
      </c>
      <c r="J4026" t="str">
        <f t="shared" si="341"/>
        <v/>
      </c>
      <c r="K4026" s="60" t="str">
        <f t="shared" si="342"/>
        <v/>
      </c>
      <c r="L4026" t="str">
        <f t="shared" si="343"/>
        <v/>
      </c>
    </row>
    <row r="4027" spans="1:12" x14ac:dyDescent="0.25">
      <c r="A4027" t="s">
        <v>2051</v>
      </c>
      <c r="G4027" t="str">
        <f t="shared" si="344"/>
        <v>07/28/19</v>
      </c>
      <c r="H4027" t="str">
        <f t="shared" si="339"/>
        <v>Texas Rangers</v>
      </c>
      <c r="I4027" s="60">
        <f t="shared" si="340"/>
        <v>5</v>
      </c>
      <c r="J4027" t="str">
        <f t="shared" si="341"/>
        <v>Oakland Athletics</v>
      </c>
      <c r="K4027" s="60">
        <f t="shared" si="342"/>
        <v>6</v>
      </c>
      <c r="L4027">
        <f t="shared" si="343"/>
        <v>-1</v>
      </c>
    </row>
    <row r="4028" spans="1:12" x14ac:dyDescent="0.25">
      <c r="G4028" t="str">
        <f t="shared" si="344"/>
        <v>07/28/19</v>
      </c>
      <c r="H4028" t="str">
        <f t="shared" si="339"/>
        <v/>
      </c>
      <c r="I4028" s="60" t="str">
        <f t="shared" si="340"/>
        <v/>
      </c>
      <c r="J4028" t="str">
        <f t="shared" si="341"/>
        <v/>
      </c>
      <c r="K4028" s="60" t="str">
        <f t="shared" si="342"/>
        <v/>
      </c>
      <c r="L4028" t="str">
        <f t="shared" si="343"/>
        <v/>
      </c>
    </row>
    <row r="4029" spans="1:12" x14ac:dyDescent="0.25">
      <c r="A4029" t="s">
        <v>3573</v>
      </c>
      <c r="G4029" t="str">
        <f t="shared" si="344"/>
        <v>07/28/19</v>
      </c>
      <c r="H4029" t="str">
        <f t="shared" si="339"/>
        <v>Atlanta Braves</v>
      </c>
      <c r="I4029" s="60">
        <f t="shared" si="340"/>
        <v>4</v>
      </c>
      <c r="J4029" t="str">
        <f t="shared" si="341"/>
        <v>Philadelphia Phillies</v>
      </c>
      <c r="K4029" s="60">
        <f t="shared" si="342"/>
        <v>9</v>
      </c>
      <c r="L4029">
        <f t="shared" si="343"/>
        <v>-5</v>
      </c>
    </row>
    <row r="4030" spans="1:12" x14ac:dyDescent="0.25">
      <c r="G4030" t="str">
        <f t="shared" si="344"/>
        <v>07/28/19</v>
      </c>
      <c r="H4030" t="str">
        <f t="shared" si="339"/>
        <v/>
      </c>
      <c r="I4030" s="60" t="str">
        <f t="shared" si="340"/>
        <v/>
      </c>
      <c r="J4030" t="str">
        <f t="shared" si="341"/>
        <v/>
      </c>
      <c r="K4030" s="60" t="str">
        <f t="shared" si="342"/>
        <v/>
      </c>
      <c r="L4030" t="str">
        <f t="shared" si="343"/>
        <v/>
      </c>
    </row>
    <row r="4031" spans="1:12" x14ac:dyDescent="0.25">
      <c r="A4031" t="s">
        <v>3574</v>
      </c>
      <c r="G4031" t="str">
        <f t="shared" si="344"/>
        <v>07/28/19</v>
      </c>
      <c r="H4031" t="str">
        <f t="shared" si="339"/>
        <v>San Francisco Giants</v>
      </c>
      <c r="I4031" s="60">
        <f t="shared" si="340"/>
        <v>7</v>
      </c>
      <c r="J4031" t="str">
        <f t="shared" si="341"/>
        <v>San Diego Padres</v>
      </c>
      <c r="K4031" s="60">
        <f t="shared" si="342"/>
        <v>6</v>
      </c>
      <c r="L4031">
        <f t="shared" si="343"/>
        <v>1</v>
      </c>
    </row>
    <row r="4032" spans="1:12" x14ac:dyDescent="0.25">
      <c r="G4032" t="str">
        <f t="shared" si="344"/>
        <v>07/28/19</v>
      </c>
      <c r="H4032" t="str">
        <f t="shared" si="339"/>
        <v/>
      </c>
      <c r="I4032" s="60" t="str">
        <f t="shared" si="340"/>
        <v/>
      </c>
      <c r="J4032" t="str">
        <f t="shared" si="341"/>
        <v/>
      </c>
      <c r="K4032" s="60" t="str">
        <f t="shared" si="342"/>
        <v/>
      </c>
      <c r="L4032" t="str">
        <f t="shared" si="343"/>
        <v/>
      </c>
    </row>
    <row r="4033" spans="1:12" x14ac:dyDescent="0.25">
      <c r="A4033" t="s">
        <v>3544</v>
      </c>
      <c r="G4033" t="str">
        <f t="shared" si="344"/>
        <v>07/28/19</v>
      </c>
      <c r="H4033" t="str">
        <f t="shared" si="339"/>
        <v>Detroit Tigers</v>
      </c>
      <c r="I4033" s="60">
        <f t="shared" si="340"/>
        <v>2</v>
      </c>
      <c r="J4033" t="str">
        <f t="shared" si="341"/>
        <v>Seattle Mariners</v>
      </c>
      <c r="K4033" s="60">
        <f t="shared" si="342"/>
        <v>3</v>
      </c>
      <c r="L4033">
        <f t="shared" si="343"/>
        <v>-1</v>
      </c>
    </row>
    <row r="4034" spans="1:12" x14ac:dyDescent="0.25">
      <c r="G4034" t="str">
        <f t="shared" si="344"/>
        <v>07/28/19</v>
      </c>
      <c r="H4034" t="str">
        <f t="shared" si="339"/>
        <v/>
      </c>
      <c r="I4034" s="60" t="str">
        <f t="shared" si="340"/>
        <v/>
      </c>
      <c r="J4034" t="str">
        <f t="shared" si="341"/>
        <v/>
      </c>
      <c r="K4034" s="60" t="str">
        <f t="shared" si="342"/>
        <v/>
      </c>
      <c r="L4034" t="str">
        <f t="shared" si="343"/>
        <v/>
      </c>
    </row>
    <row r="4035" spans="1:12" x14ac:dyDescent="0.25">
      <c r="A4035" t="s">
        <v>3575</v>
      </c>
      <c r="G4035" t="str">
        <f t="shared" si="344"/>
        <v>07/28/19</v>
      </c>
      <c r="H4035" t="str">
        <f t="shared" si="339"/>
        <v>Houston Astros</v>
      </c>
      <c r="I4035" s="60">
        <f t="shared" si="340"/>
        <v>6</v>
      </c>
      <c r="J4035" t="str">
        <f t="shared" si="341"/>
        <v>St. Louis Cardinals</v>
      </c>
      <c r="K4035" s="60">
        <f t="shared" si="342"/>
        <v>2</v>
      </c>
      <c r="L4035">
        <f t="shared" si="343"/>
        <v>4</v>
      </c>
    </row>
    <row r="4036" spans="1:12" x14ac:dyDescent="0.25">
      <c r="G4036" t="str">
        <f t="shared" si="344"/>
        <v>07/28/19</v>
      </c>
      <c r="H4036" t="str">
        <f t="shared" si="339"/>
        <v/>
      </c>
      <c r="I4036" s="60" t="str">
        <f t="shared" si="340"/>
        <v/>
      </c>
      <c r="J4036" t="str">
        <f t="shared" si="341"/>
        <v/>
      </c>
      <c r="K4036" s="60" t="str">
        <f t="shared" si="342"/>
        <v/>
      </c>
      <c r="L4036" t="str">
        <f t="shared" si="343"/>
        <v/>
      </c>
    </row>
    <row r="4037" spans="1:12" x14ac:dyDescent="0.25">
      <c r="A4037" t="s">
        <v>3576</v>
      </c>
      <c r="G4037" t="str">
        <f t="shared" si="344"/>
        <v>07/28/19</v>
      </c>
      <c r="H4037" t="str">
        <f t="shared" si="339"/>
        <v>Tampa Bay Rays</v>
      </c>
      <c r="I4037" s="60">
        <f t="shared" si="340"/>
        <v>10</v>
      </c>
      <c r="J4037" t="str">
        <f t="shared" si="341"/>
        <v>Toronto Blue Jays</v>
      </c>
      <c r="K4037" s="60">
        <f t="shared" si="342"/>
        <v>9</v>
      </c>
      <c r="L4037">
        <f t="shared" si="343"/>
        <v>1</v>
      </c>
    </row>
    <row r="4038" spans="1:12" x14ac:dyDescent="0.25">
      <c r="G4038" t="str">
        <f t="shared" si="344"/>
        <v>07/28/19</v>
      </c>
      <c r="H4038" t="str">
        <f t="shared" si="339"/>
        <v/>
      </c>
      <c r="I4038" s="60" t="str">
        <f t="shared" si="340"/>
        <v/>
      </c>
      <c r="J4038" t="str">
        <f t="shared" si="341"/>
        <v/>
      </c>
      <c r="K4038" s="60" t="str">
        <f t="shared" si="342"/>
        <v/>
      </c>
      <c r="L4038" t="str">
        <f t="shared" si="343"/>
        <v/>
      </c>
    </row>
    <row r="4039" spans="1:12" x14ac:dyDescent="0.25">
      <c r="A4039" t="s">
        <v>3577</v>
      </c>
      <c r="G4039" t="str">
        <f t="shared" si="344"/>
        <v>07/28/19</v>
      </c>
      <c r="H4039" t="str">
        <f t="shared" si="339"/>
        <v>Los Angeles Dodgers</v>
      </c>
      <c r="I4039" s="60">
        <f t="shared" si="340"/>
        <v>4</v>
      </c>
      <c r="J4039" t="str">
        <f t="shared" si="341"/>
        <v>Washington Nationals</v>
      </c>
      <c r="K4039" s="60">
        <f t="shared" si="342"/>
        <v>11</v>
      </c>
      <c r="L4039">
        <f t="shared" si="343"/>
        <v>-7</v>
      </c>
    </row>
    <row r="4040" spans="1:12" x14ac:dyDescent="0.25">
      <c r="G4040" t="str">
        <f t="shared" si="344"/>
        <v>07/28/19</v>
      </c>
      <c r="H4040" t="str">
        <f t="shared" si="339"/>
        <v/>
      </c>
      <c r="I4040" s="60" t="str">
        <f t="shared" si="340"/>
        <v/>
      </c>
      <c r="J4040" t="str">
        <f t="shared" si="341"/>
        <v/>
      </c>
      <c r="K4040" s="60" t="str">
        <f t="shared" si="342"/>
        <v/>
      </c>
      <c r="L4040" t="str">
        <f t="shared" si="343"/>
        <v/>
      </c>
    </row>
    <row r="4041" spans="1:12" x14ac:dyDescent="0.25">
      <c r="A4041" t="s">
        <v>3578</v>
      </c>
      <c r="G4041" t="str">
        <f t="shared" si="344"/>
        <v>07/28/19</v>
      </c>
      <c r="H4041" t="str">
        <f t="shared" si="339"/>
        <v/>
      </c>
      <c r="I4041" s="60" t="str">
        <f t="shared" si="340"/>
        <v/>
      </c>
      <c r="J4041" t="str">
        <f t="shared" si="341"/>
        <v/>
      </c>
      <c r="K4041" s="60" t="str">
        <f t="shared" si="342"/>
        <v/>
      </c>
      <c r="L4041" t="str">
        <f t="shared" si="343"/>
        <v/>
      </c>
    </row>
    <row r="4042" spans="1:12" x14ac:dyDescent="0.25">
      <c r="G4042" t="str">
        <f t="shared" si="344"/>
        <v>07/28/19</v>
      </c>
      <c r="H4042" t="str">
        <f t="shared" si="339"/>
        <v/>
      </c>
      <c r="I4042" s="60" t="str">
        <f t="shared" si="340"/>
        <v/>
      </c>
      <c r="J4042" t="str">
        <f t="shared" si="341"/>
        <v/>
      </c>
      <c r="K4042" s="60" t="str">
        <f t="shared" si="342"/>
        <v/>
      </c>
      <c r="L4042" t="str">
        <f t="shared" si="343"/>
        <v/>
      </c>
    </row>
    <row r="4043" spans="1:12" x14ac:dyDescent="0.25">
      <c r="A4043" t="s">
        <v>3274</v>
      </c>
      <c r="G4043" t="str">
        <f t="shared" si="344"/>
        <v>07/29/19</v>
      </c>
      <c r="H4043" t="str">
        <f t="shared" si="339"/>
        <v/>
      </c>
      <c r="I4043" s="60" t="str">
        <f t="shared" si="340"/>
        <v/>
      </c>
      <c r="J4043" t="str">
        <f t="shared" si="341"/>
        <v/>
      </c>
      <c r="K4043" s="60" t="str">
        <f t="shared" si="342"/>
        <v/>
      </c>
      <c r="L4043" t="str">
        <f t="shared" si="343"/>
        <v/>
      </c>
    </row>
    <row r="4044" spans="1:12" x14ac:dyDescent="0.25">
      <c r="G4044" t="str">
        <f t="shared" si="344"/>
        <v>07/29/19</v>
      </c>
      <c r="H4044" t="str">
        <f t="shared" si="339"/>
        <v/>
      </c>
      <c r="I4044" s="60" t="str">
        <f t="shared" si="340"/>
        <v/>
      </c>
      <c r="J4044" t="str">
        <f t="shared" si="341"/>
        <v/>
      </c>
      <c r="K4044" s="60" t="str">
        <f t="shared" si="342"/>
        <v/>
      </c>
      <c r="L4044" t="str">
        <f t="shared" si="343"/>
        <v/>
      </c>
    </row>
    <row r="4045" spans="1:12" x14ac:dyDescent="0.25">
      <c r="A4045" t="s">
        <v>3596</v>
      </c>
      <c r="G4045" t="str">
        <f t="shared" si="344"/>
        <v>07/29/19</v>
      </c>
      <c r="H4045" t="str">
        <f t="shared" si="339"/>
        <v>Detroit Tigers</v>
      </c>
      <c r="I4045" s="60">
        <f t="shared" si="340"/>
        <v>7</v>
      </c>
      <c r="J4045" t="str">
        <f t="shared" si="341"/>
        <v>Los Angeles Angels</v>
      </c>
      <c r="K4045" s="60">
        <f t="shared" si="342"/>
        <v>2</v>
      </c>
      <c r="L4045">
        <f t="shared" si="343"/>
        <v>5</v>
      </c>
    </row>
    <row r="4046" spans="1:12" x14ac:dyDescent="0.25">
      <c r="G4046" t="str">
        <f t="shared" si="344"/>
        <v>07/29/19</v>
      </c>
      <c r="H4046" t="str">
        <f t="shared" si="339"/>
        <v/>
      </c>
      <c r="I4046" s="60" t="str">
        <f t="shared" si="340"/>
        <v/>
      </c>
      <c r="J4046" t="str">
        <f t="shared" si="341"/>
        <v/>
      </c>
      <c r="K4046" s="60" t="str">
        <f t="shared" si="342"/>
        <v/>
      </c>
      <c r="L4046" t="str">
        <f t="shared" si="343"/>
        <v/>
      </c>
    </row>
    <row r="4047" spans="1:12" x14ac:dyDescent="0.25">
      <c r="A4047" t="s">
        <v>2557</v>
      </c>
      <c r="G4047" t="str">
        <f t="shared" si="344"/>
        <v>07/29/19</v>
      </c>
      <c r="H4047" t="str">
        <f t="shared" si="339"/>
        <v>Pittsburgh Pirates</v>
      </c>
      <c r="I4047" s="60">
        <f t="shared" si="340"/>
        <v>6</v>
      </c>
      <c r="J4047" t="str">
        <f t="shared" si="341"/>
        <v>Cincinnati Reds</v>
      </c>
      <c r="K4047" s="60">
        <f t="shared" si="342"/>
        <v>11</v>
      </c>
      <c r="L4047">
        <f t="shared" si="343"/>
        <v>-5</v>
      </c>
    </row>
    <row r="4048" spans="1:12" x14ac:dyDescent="0.25">
      <c r="G4048" t="str">
        <f t="shared" si="344"/>
        <v>07/29/19</v>
      </c>
      <c r="H4048" t="str">
        <f t="shared" ref="H4048:H4111" si="345">IFERROR(LEFT(MID(A4048,1,SEARCH("@",A4048)-2),SEARCH("(",A4048)-2),"")</f>
        <v/>
      </c>
      <c r="I4048" s="60" t="str">
        <f t="shared" ref="I4048:I4111" si="346">IFERROR(VALUE(MID(A4048,SEARCH("(",A4048)+1,SEARCH(")",A4048)-SEARCH("(",A4048)-1)),"")</f>
        <v/>
      </c>
      <c r="J4048" t="str">
        <f t="shared" ref="J4048:J4111" si="347">IFERROR(MID(A4048,SEARCH("@",A4048)+2,SEARCH("(",A4048,SEARCH("@",A4048))-SEARCH("@",A4048)-3),"")</f>
        <v/>
      </c>
      <c r="K4048" s="60" t="str">
        <f t="shared" ref="K4048:K4111" si="348">IFERROR(VALUE(MID(A4048,SEARCH(J4048,A4048)+LEN(J4048)+2,(SEARCH(")",A4048,SEARCH("@",A4048))-SEARCH("(",A4048,SEARCH("@",A4048))-1))),"")</f>
        <v/>
      </c>
      <c r="L4048" t="str">
        <f t="shared" ref="L4048:L4111" si="349">IFERROR(I4048-K4048,"")</f>
        <v/>
      </c>
    </row>
    <row r="4049" spans="1:12" x14ac:dyDescent="0.25">
      <c r="A4049" t="s">
        <v>3597</v>
      </c>
      <c r="G4049" t="str">
        <f t="shared" si="344"/>
        <v>07/29/19</v>
      </c>
      <c r="H4049" t="str">
        <f t="shared" si="345"/>
        <v>Los Angeles Dodgers</v>
      </c>
      <c r="I4049" s="60">
        <f t="shared" si="346"/>
        <v>1</v>
      </c>
      <c r="J4049" t="str">
        <f t="shared" si="347"/>
        <v>Colorado Rockies</v>
      </c>
      <c r="K4049" s="60">
        <f t="shared" si="348"/>
        <v>9</v>
      </c>
      <c r="L4049">
        <f t="shared" si="349"/>
        <v>-8</v>
      </c>
    </row>
    <row r="4050" spans="1:12" x14ac:dyDescent="0.25">
      <c r="G4050" t="str">
        <f t="shared" si="344"/>
        <v>07/29/19</v>
      </c>
      <c r="H4050" t="str">
        <f t="shared" si="345"/>
        <v/>
      </c>
      <c r="I4050" s="60" t="str">
        <f t="shared" si="346"/>
        <v/>
      </c>
      <c r="J4050" t="str">
        <f t="shared" si="347"/>
        <v/>
      </c>
      <c r="K4050" s="60" t="str">
        <f t="shared" si="348"/>
        <v/>
      </c>
      <c r="L4050" t="str">
        <f t="shared" si="349"/>
        <v/>
      </c>
    </row>
    <row r="4051" spans="1:12" x14ac:dyDescent="0.25">
      <c r="A4051" t="s">
        <v>3598</v>
      </c>
      <c r="G4051" t="str">
        <f t="shared" si="344"/>
        <v>07/29/19</v>
      </c>
      <c r="H4051" t="str">
        <f t="shared" si="345"/>
        <v>Toronto Blue Jays</v>
      </c>
      <c r="I4051" s="60">
        <f t="shared" si="346"/>
        <v>7</v>
      </c>
      <c r="J4051" t="str">
        <f t="shared" si="347"/>
        <v>Kansas City Royals</v>
      </c>
      <c r="K4051" s="60">
        <f t="shared" si="348"/>
        <v>3</v>
      </c>
      <c r="L4051">
        <f t="shared" si="349"/>
        <v>4</v>
      </c>
    </row>
    <row r="4052" spans="1:12" x14ac:dyDescent="0.25">
      <c r="G4052" t="str">
        <f t="shared" si="344"/>
        <v>07/29/19</v>
      </c>
      <c r="H4052" t="str">
        <f t="shared" si="345"/>
        <v/>
      </c>
      <c r="I4052" s="60" t="str">
        <f t="shared" si="346"/>
        <v/>
      </c>
      <c r="J4052" t="str">
        <f t="shared" si="347"/>
        <v/>
      </c>
      <c r="K4052" s="60" t="str">
        <f t="shared" si="348"/>
        <v/>
      </c>
      <c r="L4052" t="str">
        <f t="shared" si="349"/>
        <v/>
      </c>
    </row>
    <row r="4053" spans="1:12" x14ac:dyDescent="0.25">
      <c r="A4053" t="s">
        <v>3599</v>
      </c>
      <c r="G4053" t="str">
        <f t="shared" si="344"/>
        <v>07/29/19</v>
      </c>
      <c r="H4053" t="str">
        <f t="shared" si="345"/>
        <v>Arizona D'Backs</v>
      </c>
      <c r="I4053" s="60">
        <f t="shared" si="346"/>
        <v>6</v>
      </c>
      <c r="J4053" t="str">
        <f t="shared" si="347"/>
        <v>Miami Marlins</v>
      </c>
      <c r="K4053" s="60">
        <f t="shared" si="348"/>
        <v>11</v>
      </c>
      <c r="L4053">
        <f t="shared" si="349"/>
        <v>-5</v>
      </c>
    </row>
    <row r="4054" spans="1:12" x14ac:dyDescent="0.25">
      <c r="G4054" t="str">
        <f t="shared" si="344"/>
        <v>07/29/19</v>
      </c>
      <c r="H4054" t="str">
        <f t="shared" si="345"/>
        <v/>
      </c>
      <c r="I4054" s="60" t="str">
        <f t="shared" si="346"/>
        <v/>
      </c>
      <c r="J4054" t="str">
        <f t="shared" si="347"/>
        <v/>
      </c>
      <c r="K4054" s="60" t="str">
        <f t="shared" si="348"/>
        <v/>
      </c>
      <c r="L4054" t="str">
        <f t="shared" si="349"/>
        <v/>
      </c>
    </row>
    <row r="4055" spans="1:12" x14ac:dyDescent="0.25">
      <c r="A4055" t="s">
        <v>3600</v>
      </c>
      <c r="G4055" t="str">
        <f t="shared" si="344"/>
        <v>07/29/19</v>
      </c>
      <c r="H4055" t="str">
        <f t="shared" si="345"/>
        <v>Baltimore Orioles</v>
      </c>
      <c r="I4055" s="60">
        <f t="shared" si="346"/>
        <v>1</v>
      </c>
      <c r="J4055" t="str">
        <f t="shared" si="347"/>
        <v>San Diego Padres</v>
      </c>
      <c r="K4055" s="60">
        <f t="shared" si="348"/>
        <v>8</v>
      </c>
      <c r="L4055">
        <f t="shared" si="349"/>
        <v>-7</v>
      </c>
    </row>
    <row r="4056" spans="1:12" x14ac:dyDescent="0.25">
      <c r="G4056" t="str">
        <f t="shared" si="344"/>
        <v>07/29/19</v>
      </c>
      <c r="H4056" t="str">
        <f t="shared" si="345"/>
        <v/>
      </c>
      <c r="I4056" s="60" t="str">
        <f t="shared" si="346"/>
        <v/>
      </c>
      <c r="J4056" t="str">
        <f t="shared" si="347"/>
        <v/>
      </c>
      <c r="K4056" s="60" t="str">
        <f t="shared" si="348"/>
        <v/>
      </c>
      <c r="L4056" t="str">
        <f t="shared" si="349"/>
        <v/>
      </c>
    </row>
    <row r="4057" spans="1:12" x14ac:dyDescent="0.25">
      <c r="A4057" t="s">
        <v>3601</v>
      </c>
      <c r="G4057" t="str">
        <f t="shared" si="344"/>
        <v>07/29/19</v>
      </c>
      <c r="H4057" t="str">
        <f t="shared" si="345"/>
        <v>Atlanta Braves</v>
      </c>
      <c r="I4057" s="60">
        <f t="shared" si="346"/>
        <v>3</v>
      </c>
      <c r="J4057" t="str">
        <f t="shared" si="347"/>
        <v>Washington Nationals</v>
      </c>
      <c r="K4057" s="60">
        <f t="shared" si="348"/>
        <v>6</v>
      </c>
      <c r="L4057">
        <f t="shared" si="349"/>
        <v>-3</v>
      </c>
    </row>
    <row r="4058" spans="1:12" x14ac:dyDescent="0.25">
      <c r="G4058" t="str">
        <f t="shared" si="344"/>
        <v>07/29/19</v>
      </c>
      <c r="H4058" t="str">
        <f t="shared" si="345"/>
        <v/>
      </c>
      <c r="I4058" s="60" t="str">
        <f t="shared" si="346"/>
        <v/>
      </c>
      <c r="J4058" t="str">
        <f t="shared" si="347"/>
        <v/>
      </c>
      <c r="K4058" s="60" t="str">
        <f t="shared" si="348"/>
        <v/>
      </c>
      <c r="L4058" t="str">
        <f t="shared" si="349"/>
        <v/>
      </c>
    </row>
    <row r="4059" spans="1:12" x14ac:dyDescent="0.25">
      <c r="A4059" t="s">
        <v>3602</v>
      </c>
      <c r="G4059" t="str">
        <f t="shared" si="344"/>
        <v>07/29/19</v>
      </c>
      <c r="H4059" t="str">
        <f t="shared" si="345"/>
        <v/>
      </c>
      <c r="I4059" s="60" t="str">
        <f t="shared" si="346"/>
        <v/>
      </c>
      <c r="J4059" t="str">
        <f t="shared" si="347"/>
        <v/>
      </c>
      <c r="K4059" s="60" t="str">
        <f t="shared" si="348"/>
        <v/>
      </c>
      <c r="L4059" t="str">
        <f t="shared" si="349"/>
        <v/>
      </c>
    </row>
    <row r="4060" spans="1:12" x14ac:dyDescent="0.25">
      <c r="G4060" t="str">
        <f t="shared" si="344"/>
        <v>07/29/19</v>
      </c>
      <c r="H4060" t="str">
        <f t="shared" si="345"/>
        <v/>
      </c>
      <c r="I4060" s="60" t="str">
        <f t="shared" si="346"/>
        <v/>
      </c>
      <c r="J4060" t="str">
        <f t="shared" si="347"/>
        <v/>
      </c>
      <c r="K4060" s="60" t="str">
        <f t="shared" si="348"/>
        <v/>
      </c>
      <c r="L4060" t="str">
        <f t="shared" si="349"/>
        <v/>
      </c>
    </row>
    <row r="4061" spans="1:12" x14ac:dyDescent="0.25">
      <c r="A4061" t="s">
        <v>3275</v>
      </c>
      <c r="G4061" t="str">
        <f t="shared" si="344"/>
        <v>07/30/19</v>
      </c>
      <c r="H4061" t="str">
        <f t="shared" si="345"/>
        <v/>
      </c>
      <c r="I4061" s="60" t="str">
        <f t="shared" si="346"/>
        <v/>
      </c>
      <c r="J4061" t="str">
        <f t="shared" si="347"/>
        <v/>
      </c>
      <c r="K4061" s="60" t="str">
        <f t="shared" si="348"/>
        <v/>
      </c>
      <c r="L4061" t="str">
        <f t="shared" si="349"/>
        <v/>
      </c>
    </row>
    <row r="4062" spans="1:12" x14ac:dyDescent="0.25">
      <c r="G4062" t="str">
        <f t="shared" si="344"/>
        <v>07/30/19</v>
      </c>
      <c r="H4062" t="str">
        <f t="shared" si="345"/>
        <v/>
      </c>
      <c r="I4062" s="60" t="str">
        <f t="shared" si="346"/>
        <v/>
      </c>
      <c r="J4062" t="str">
        <f t="shared" si="347"/>
        <v/>
      </c>
      <c r="K4062" s="60" t="str">
        <f t="shared" si="348"/>
        <v/>
      </c>
      <c r="L4062" t="str">
        <f t="shared" si="349"/>
        <v/>
      </c>
    </row>
    <row r="4063" spans="1:12" x14ac:dyDescent="0.25">
      <c r="A4063" t="s">
        <v>3612</v>
      </c>
      <c r="G4063" t="str">
        <f t="shared" si="344"/>
        <v>07/30/19</v>
      </c>
      <c r="H4063" t="str">
        <f t="shared" si="345"/>
        <v>Detroit Tigers</v>
      </c>
      <c r="I4063" s="60">
        <f t="shared" si="346"/>
        <v>1</v>
      </c>
      <c r="J4063" t="str">
        <f t="shared" si="347"/>
        <v>Los Angeles Angels</v>
      </c>
      <c r="K4063" s="60">
        <f t="shared" si="348"/>
        <v>6</v>
      </c>
      <c r="L4063">
        <f t="shared" si="349"/>
        <v>-5</v>
      </c>
    </row>
    <row r="4064" spans="1:12" x14ac:dyDescent="0.25">
      <c r="G4064" t="str">
        <f t="shared" si="344"/>
        <v>07/30/19</v>
      </c>
      <c r="H4064" t="str">
        <f t="shared" si="345"/>
        <v/>
      </c>
      <c r="I4064" s="60" t="str">
        <f t="shared" si="346"/>
        <v/>
      </c>
      <c r="J4064" t="str">
        <f t="shared" si="347"/>
        <v/>
      </c>
      <c r="K4064" s="60" t="str">
        <f t="shared" si="348"/>
        <v/>
      </c>
      <c r="L4064" t="str">
        <f t="shared" si="349"/>
        <v/>
      </c>
    </row>
    <row r="4065" spans="1:12" x14ac:dyDescent="0.25">
      <c r="A4065" t="s">
        <v>3613</v>
      </c>
      <c r="G4065" t="str">
        <f t="shared" si="344"/>
        <v>07/30/19</v>
      </c>
      <c r="H4065" t="str">
        <f t="shared" si="345"/>
        <v>Tampa Bay Rays</v>
      </c>
      <c r="I4065" s="60">
        <f t="shared" si="346"/>
        <v>6</v>
      </c>
      <c r="J4065" t="str">
        <f t="shared" si="347"/>
        <v>Boston Red Sox</v>
      </c>
      <c r="K4065" s="60">
        <f t="shared" si="348"/>
        <v>5</v>
      </c>
      <c r="L4065">
        <f t="shared" si="349"/>
        <v>1</v>
      </c>
    </row>
    <row r="4066" spans="1:12" x14ac:dyDescent="0.25">
      <c r="G4066" t="str">
        <f t="shared" ref="G4066:G4129" si="350">IF(ISNUMBER(MATCH(IFERROR(LEFT(A4066,SEARCH(",",A4066)-1),""),$G$220:$M$220,0)),TEXT(MID(A4066,SEARCH(",",A4066)+2,LEN(A4066)),"mm/dd/yy"),G4065)</f>
        <v>07/30/19</v>
      </c>
      <c r="H4066" t="str">
        <f t="shared" si="345"/>
        <v/>
      </c>
      <c r="I4066" s="60" t="str">
        <f t="shared" si="346"/>
        <v/>
      </c>
      <c r="J4066" t="str">
        <f t="shared" si="347"/>
        <v/>
      </c>
      <c r="K4066" s="60" t="str">
        <f t="shared" si="348"/>
        <v/>
      </c>
      <c r="L4066" t="str">
        <f t="shared" si="349"/>
        <v/>
      </c>
    </row>
    <row r="4067" spans="1:12" x14ac:dyDescent="0.25">
      <c r="A4067" t="s">
        <v>3614</v>
      </c>
      <c r="G4067" t="str">
        <f t="shared" si="350"/>
        <v>07/30/19</v>
      </c>
      <c r="H4067" t="str">
        <f t="shared" si="345"/>
        <v>New York Mets</v>
      </c>
      <c r="I4067" s="60">
        <f t="shared" si="346"/>
        <v>5</v>
      </c>
      <c r="J4067" t="str">
        <f t="shared" si="347"/>
        <v>Chicago White Sox</v>
      </c>
      <c r="K4067" s="60">
        <f t="shared" si="348"/>
        <v>2</v>
      </c>
      <c r="L4067">
        <f t="shared" si="349"/>
        <v>3</v>
      </c>
    </row>
    <row r="4068" spans="1:12" x14ac:dyDescent="0.25">
      <c r="G4068" t="str">
        <f t="shared" si="350"/>
        <v>07/30/19</v>
      </c>
      <c r="H4068" t="str">
        <f t="shared" si="345"/>
        <v/>
      </c>
      <c r="I4068" s="60" t="str">
        <f t="shared" si="346"/>
        <v/>
      </c>
      <c r="J4068" t="str">
        <f t="shared" si="347"/>
        <v/>
      </c>
      <c r="K4068" s="60" t="str">
        <f t="shared" si="348"/>
        <v/>
      </c>
      <c r="L4068" t="str">
        <f t="shared" si="349"/>
        <v/>
      </c>
    </row>
    <row r="4069" spans="1:12" x14ac:dyDescent="0.25">
      <c r="A4069" t="s">
        <v>3615</v>
      </c>
      <c r="G4069" t="str">
        <f t="shared" si="350"/>
        <v>07/30/19</v>
      </c>
      <c r="H4069" t="str">
        <f t="shared" si="345"/>
        <v>Pittsburgh Pirates</v>
      </c>
      <c r="I4069" s="60">
        <f t="shared" si="346"/>
        <v>11</v>
      </c>
      <c r="J4069" t="str">
        <f t="shared" si="347"/>
        <v>Cincinnati Reds</v>
      </c>
      <c r="K4069" s="60">
        <f t="shared" si="348"/>
        <v>4</v>
      </c>
      <c r="L4069">
        <f t="shared" si="349"/>
        <v>7</v>
      </c>
    </row>
    <row r="4070" spans="1:12" x14ac:dyDescent="0.25">
      <c r="G4070" t="str">
        <f t="shared" si="350"/>
        <v>07/30/19</v>
      </c>
      <c r="H4070" t="str">
        <f t="shared" si="345"/>
        <v/>
      </c>
      <c r="I4070" s="60" t="str">
        <f t="shared" si="346"/>
        <v/>
      </c>
      <c r="J4070" t="str">
        <f t="shared" si="347"/>
        <v/>
      </c>
      <c r="K4070" s="60" t="str">
        <f t="shared" si="348"/>
        <v/>
      </c>
      <c r="L4070" t="str">
        <f t="shared" si="349"/>
        <v/>
      </c>
    </row>
    <row r="4071" spans="1:12" x14ac:dyDescent="0.25">
      <c r="A4071" t="s">
        <v>3616</v>
      </c>
      <c r="G4071" t="str">
        <f t="shared" si="350"/>
        <v>07/30/19</v>
      </c>
      <c r="H4071" t="str">
        <f t="shared" si="345"/>
        <v>Houston Astros</v>
      </c>
      <c r="I4071" s="60">
        <f t="shared" si="346"/>
        <v>2</v>
      </c>
      <c r="J4071" t="str">
        <f t="shared" si="347"/>
        <v>Cleveland Indians</v>
      </c>
      <c r="K4071" s="60">
        <f t="shared" si="348"/>
        <v>0</v>
      </c>
      <c r="L4071">
        <f t="shared" si="349"/>
        <v>2</v>
      </c>
    </row>
    <row r="4072" spans="1:12" x14ac:dyDescent="0.25">
      <c r="G4072" t="str">
        <f t="shared" si="350"/>
        <v>07/30/19</v>
      </c>
      <c r="H4072" t="str">
        <f t="shared" si="345"/>
        <v/>
      </c>
      <c r="I4072" s="60" t="str">
        <f t="shared" si="346"/>
        <v/>
      </c>
      <c r="J4072" t="str">
        <f t="shared" si="347"/>
        <v/>
      </c>
      <c r="K4072" s="60" t="str">
        <f t="shared" si="348"/>
        <v/>
      </c>
      <c r="L4072" t="str">
        <f t="shared" si="349"/>
        <v/>
      </c>
    </row>
    <row r="4073" spans="1:12" x14ac:dyDescent="0.25">
      <c r="A4073" t="s">
        <v>3617</v>
      </c>
      <c r="G4073" t="str">
        <f t="shared" si="350"/>
        <v>07/30/19</v>
      </c>
      <c r="H4073" t="str">
        <f t="shared" si="345"/>
        <v>Los Angeles Dodgers</v>
      </c>
      <c r="I4073" s="60">
        <f t="shared" si="346"/>
        <v>9</v>
      </c>
      <c r="J4073" t="str">
        <f t="shared" si="347"/>
        <v>Colorado Rockies</v>
      </c>
      <c r="K4073" s="60">
        <f t="shared" si="348"/>
        <v>4</v>
      </c>
      <c r="L4073">
        <f t="shared" si="349"/>
        <v>5</v>
      </c>
    </row>
    <row r="4074" spans="1:12" x14ac:dyDescent="0.25">
      <c r="G4074" t="str">
        <f t="shared" si="350"/>
        <v>07/30/19</v>
      </c>
      <c r="H4074" t="str">
        <f t="shared" si="345"/>
        <v/>
      </c>
      <c r="I4074" s="60" t="str">
        <f t="shared" si="346"/>
        <v/>
      </c>
      <c r="J4074" t="str">
        <f t="shared" si="347"/>
        <v/>
      </c>
      <c r="K4074" s="60" t="str">
        <f t="shared" si="348"/>
        <v/>
      </c>
      <c r="L4074" t="str">
        <f t="shared" si="349"/>
        <v/>
      </c>
    </row>
    <row r="4075" spans="1:12" x14ac:dyDescent="0.25">
      <c r="A4075" t="s">
        <v>3618</v>
      </c>
      <c r="G4075" t="str">
        <f t="shared" si="350"/>
        <v>07/30/19</v>
      </c>
      <c r="H4075" t="str">
        <f t="shared" si="345"/>
        <v>Toronto Blue Jays</v>
      </c>
      <c r="I4075" s="60">
        <f t="shared" si="346"/>
        <v>9</v>
      </c>
      <c r="J4075" t="str">
        <f t="shared" si="347"/>
        <v>Kansas City Royals</v>
      </c>
      <c r="K4075" s="60">
        <f t="shared" si="348"/>
        <v>2</v>
      </c>
      <c r="L4075">
        <f t="shared" si="349"/>
        <v>7</v>
      </c>
    </row>
    <row r="4076" spans="1:12" x14ac:dyDescent="0.25">
      <c r="G4076" t="str">
        <f t="shared" si="350"/>
        <v>07/30/19</v>
      </c>
      <c r="H4076" t="str">
        <f t="shared" si="345"/>
        <v/>
      </c>
      <c r="I4076" s="60" t="str">
        <f t="shared" si="346"/>
        <v/>
      </c>
      <c r="J4076" t="str">
        <f t="shared" si="347"/>
        <v/>
      </c>
      <c r="K4076" s="60" t="str">
        <f t="shared" si="348"/>
        <v/>
      </c>
      <c r="L4076" t="str">
        <f t="shared" si="349"/>
        <v/>
      </c>
    </row>
    <row r="4077" spans="1:12" x14ac:dyDescent="0.25">
      <c r="A4077" t="s">
        <v>3619</v>
      </c>
      <c r="G4077" t="str">
        <f t="shared" si="350"/>
        <v>07/30/19</v>
      </c>
      <c r="H4077" t="str">
        <f t="shared" si="345"/>
        <v>Minnesota Twins</v>
      </c>
      <c r="I4077" s="60">
        <f t="shared" si="346"/>
        <v>2</v>
      </c>
      <c r="J4077" t="str">
        <f t="shared" si="347"/>
        <v>Miami Marlins</v>
      </c>
      <c r="K4077" s="60">
        <f t="shared" si="348"/>
        <v>1</v>
      </c>
      <c r="L4077">
        <f t="shared" si="349"/>
        <v>1</v>
      </c>
    </row>
    <row r="4078" spans="1:12" x14ac:dyDescent="0.25">
      <c r="G4078" t="str">
        <f t="shared" si="350"/>
        <v>07/30/19</v>
      </c>
      <c r="H4078" t="str">
        <f t="shared" si="345"/>
        <v/>
      </c>
      <c r="I4078" s="60" t="str">
        <f t="shared" si="346"/>
        <v/>
      </c>
      <c r="J4078" t="str">
        <f t="shared" si="347"/>
        <v/>
      </c>
      <c r="K4078" s="60" t="str">
        <f t="shared" si="348"/>
        <v/>
      </c>
      <c r="L4078" t="str">
        <f t="shared" si="349"/>
        <v/>
      </c>
    </row>
    <row r="4079" spans="1:12" x14ac:dyDescent="0.25">
      <c r="A4079" t="s">
        <v>3620</v>
      </c>
      <c r="G4079" t="str">
        <f t="shared" si="350"/>
        <v>07/30/19</v>
      </c>
      <c r="H4079" t="str">
        <f t="shared" si="345"/>
        <v>Arizona D'Backs</v>
      </c>
      <c r="I4079" s="60">
        <f t="shared" si="346"/>
        <v>4</v>
      </c>
      <c r="J4079" t="str">
        <f t="shared" si="347"/>
        <v>New York Yankees</v>
      </c>
      <c r="K4079" s="60">
        <f t="shared" si="348"/>
        <v>2</v>
      </c>
      <c r="L4079">
        <f t="shared" si="349"/>
        <v>2</v>
      </c>
    </row>
    <row r="4080" spans="1:12" x14ac:dyDescent="0.25">
      <c r="G4080" t="str">
        <f t="shared" si="350"/>
        <v>07/30/19</v>
      </c>
      <c r="H4080" t="str">
        <f t="shared" si="345"/>
        <v/>
      </c>
      <c r="I4080" s="60" t="str">
        <f t="shared" si="346"/>
        <v/>
      </c>
      <c r="J4080" t="str">
        <f t="shared" si="347"/>
        <v/>
      </c>
      <c r="K4080" s="60" t="str">
        <f t="shared" si="348"/>
        <v/>
      </c>
      <c r="L4080" t="str">
        <f t="shared" si="349"/>
        <v/>
      </c>
    </row>
    <row r="4081" spans="1:12" x14ac:dyDescent="0.25">
      <c r="A4081" t="s">
        <v>3621</v>
      </c>
      <c r="G4081" t="str">
        <f t="shared" si="350"/>
        <v>07/30/19</v>
      </c>
      <c r="H4081" t="str">
        <f t="shared" si="345"/>
        <v>Milwaukee Brewers</v>
      </c>
      <c r="I4081" s="60">
        <f t="shared" si="346"/>
        <v>2</v>
      </c>
      <c r="J4081" t="str">
        <f t="shared" si="347"/>
        <v>Oakland Athletics</v>
      </c>
      <c r="K4081" s="60">
        <f t="shared" si="348"/>
        <v>3</v>
      </c>
      <c r="L4081">
        <f t="shared" si="349"/>
        <v>-1</v>
      </c>
    </row>
    <row r="4082" spans="1:12" x14ac:dyDescent="0.25">
      <c r="G4082" t="str">
        <f t="shared" si="350"/>
        <v>07/30/19</v>
      </c>
      <c r="H4082" t="str">
        <f t="shared" si="345"/>
        <v/>
      </c>
      <c r="I4082" s="60" t="str">
        <f t="shared" si="346"/>
        <v/>
      </c>
      <c r="J4082" t="str">
        <f t="shared" si="347"/>
        <v/>
      </c>
      <c r="K4082" s="60" t="str">
        <f t="shared" si="348"/>
        <v/>
      </c>
      <c r="L4082" t="str">
        <f t="shared" si="349"/>
        <v/>
      </c>
    </row>
    <row r="4083" spans="1:12" x14ac:dyDescent="0.25">
      <c r="A4083" t="s">
        <v>3622</v>
      </c>
      <c r="G4083" t="str">
        <f t="shared" si="350"/>
        <v>07/30/19</v>
      </c>
      <c r="H4083" t="str">
        <f t="shared" si="345"/>
        <v>San Francisco Giants</v>
      </c>
      <c r="I4083" s="60">
        <f t="shared" si="346"/>
        <v>2</v>
      </c>
      <c r="J4083" t="str">
        <f t="shared" si="347"/>
        <v>Philadelphia Phillies</v>
      </c>
      <c r="K4083" s="60">
        <f t="shared" si="348"/>
        <v>4</v>
      </c>
      <c r="L4083">
        <f t="shared" si="349"/>
        <v>-2</v>
      </c>
    </row>
    <row r="4084" spans="1:12" x14ac:dyDescent="0.25">
      <c r="G4084" t="str">
        <f t="shared" si="350"/>
        <v>07/30/19</v>
      </c>
      <c r="H4084" t="str">
        <f t="shared" si="345"/>
        <v/>
      </c>
      <c r="I4084" s="60" t="str">
        <f t="shared" si="346"/>
        <v/>
      </c>
      <c r="J4084" t="str">
        <f t="shared" si="347"/>
        <v/>
      </c>
      <c r="K4084" s="60" t="str">
        <f t="shared" si="348"/>
        <v/>
      </c>
      <c r="L4084" t="str">
        <f t="shared" si="349"/>
        <v/>
      </c>
    </row>
    <row r="4085" spans="1:12" x14ac:dyDescent="0.25">
      <c r="A4085" t="s">
        <v>3623</v>
      </c>
      <c r="G4085" t="str">
        <f t="shared" si="350"/>
        <v>07/30/19</v>
      </c>
      <c r="H4085" t="str">
        <f t="shared" si="345"/>
        <v>Baltimore Orioles</v>
      </c>
      <c r="I4085" s="60">
        <f t="shared" si="346"/>
        <v>8</v>
      </c>
      <c r="J4085" t="str">
        <f t="shared" si="347"/>
        <v>San Diego Padres</v>
      </c>
      <c r="K4085" s="60">
        <f t="shared" si="348"/>
        <v>5</v>
      </c>
      <c r="L4085">
        <f t="shared" si="349"/>
        <v>3</v>
      </c>
    </row>
    <row r="4086" spans="1:12" x14ac:dyDescent="0.25">
      <c r="G4086" t="str">
        <f t="shared" si="350"/>
        <v>07/30/19</v>
      </c>
      <c r="H4086" t="str">
        <f t="shared" si="345"/>
        <v/>
      </c>
      <c r="I4086" s="60" t="str">
        <f t="shared" si="346"/>
        <v/>
      </c>
      <c r="J4086" t="str">
        <f t="shared" si="347"/>
        <v/>
      </c>
      <c r="K4086" s="60" t="str">
        <f t="shared" si="348"/>
        <v/>
      </c>
      <c r="L4086" t="str">
        <f t="shared" si="349"/>
        <v/>
      </c>
    </row>
    <row r="4087" spans="1:12" x14ac:dyDescent="0.25">
      <c r="A4087" t="s">
        <v>2609</v>
      </c>
      <c r="G4087" t="str">
        <f t="shared" si="350"/>
        <v>07/30/19</v>
      </c>
      <c r="H4087" t="str">
        <f t="shared" si="345"/>
        <v>Chicago Cubs</v>
      </c>
      <c r="I4087" s="60">
        <f t="shared" si="346"/>
        <v>1</v>
      </c>
      <c r="J4087" t="str">
        <f t="shared" si="347"/>
        <v>St. Louis Cardinals</v>
      </c>
      <c r="K4087" s="60">
        <f t="shared" si="348"/>
        <v>2</v>
      </c>
      <c r="L4087">
        <f t="shared" si="349"/>
        <v>-1</v>
      </c>
    </row>
    <row r="4088" spans="1:12" x14ac:dyDescent="0.25">
      <c r="G4088" t="str">
        <f t="shared" si="350"/>
        <v>07/30/19</v>
      </c>
      <c r="H4088" t="str">
        <f t="shared" si="345"/>
        <v/>
      </c>
      <c r="I4088" s="60" t="str">
        <f t="shared" si="346"/>
        <v/>
      </c>
      <c r="J4088" t="str">
        <f t="shared" si="347"/>
        <v/>
      </c>
      <c r="K4088" s="60" t="str">
        <f t="shared" si="348"/>
        <v/>
      </c>
      <c r="L4088" t="str">
        <f t="shared" si="349"/>
        <v/>
      </c>
    </row>
    <row r="4089" spans="1:12" x14ac:dyDescent="0.25">
      <c r="A4089" t="s">
        <v>3624</v>
      </c>
      <c r="G4089" t="str">
        <f t="shared" si="350"/>
        <v>07/30/19</v>
      </c>
      <c r="H4089" t="str">
        <f t="shared" si="345"/>
        <v>Seattle Mariners</v>
      </c>
      <c r="I4089" s="60">
        <f t="shared" si="346"/>
        <v>8</v>
      </c>
      <c r="J4089" t="str">
        <f t="shared" si="347"/>
        <v>Texas Rangers</v>
      </c>
      <c r="K4089" s="60">
        <f t="shared" si="348"/>
        <v>5</v>
      </c>
      <c r="L4089">
        <f t="shared" si="349"/>
        <v>3</v>
      </c>
    </row>
    <row r="4090" spans="1:12" x14ac:dyDescent="0.25">
      <c r="G4090" t="str">
        <f t="shared" si="350"/>
        <v>07/30/19</v>
      </c>
      <c r="H4090" t="str">
        <f t="shared" si="345"/>
        <v/>
      </c>
      <c r="I4090" s="60" t="str">
        <f t="shared" si="346"/>
        <v/>
      </c>
      <c r="J4090" t="str">
        <f t="shared" si="347"/>
        <v/>
      </c>
      <c r="K4090" s="60" t="str">
        <f t="shared" si="348"/>
        <v/>
      </c>
      <c r="L4090" t="str">
        <f t="shared" si="349"/>
        <v/>
      </c>
    </row>
    <row r="4091" spans="1:12" x14ac:dyDescent="0.25">
      <c r="A4091" t="s">
        <v>3625</v>
      </c>
      <c r="G4091" t="str">
        <f t="shared" si="350"/>
        <v>07/30/19</v>
      </c>
      <c r="H4091" t="str">
        <f t="shared" si="345"/>
        <v>Atlanta Braves</v>
      </c>
      <c r="I4091" s="60">
        <f t="shared" si="346"/>
        <v>11</v>
      </c>
      <c r="J4091" t="str">
        <f t="shared" si="347"/>
        <v>Washington Nationals</v>
      </c>
      <c r="K4091" s="60">
        <f t="shared" si="348"/>
        <v>8</v>
      </c>
      <c r="L4091">
        <f t="shared" si="349"/>
        <v>3</v>
      </c>
    </row>
    <row r="4092" spans="1:12" x14ac:dyDescent="0.25">
      <c r="G4092" t="str">
        <f t="shared" si="350"/>
        <v>07/30/19</v>
      </c>
      <c r="H4092" t="str">
        <f t="shared" si="345"/>
        <v/>
      </c>
      <c r="I4092" s="60" t="str">
        <f t="shared" si="346"/>
        <v/>
      </c>
      <c r="J4092" t="str">
        <f t="shared" si="347"/>
        <v/>
      </c>
      <c r="K4092" s="60" t="str">
        <f t="shared" si="348"/>
        <v/>
      </c>
      <c r="L4092" t="str">
        <f t="shared" si="349"/>
        <v/>
      </c>
    </row>
    <row r="4093" spans="1:12" x14ac:dyDescent="0.25">
      <c r="A4093" t="s">
        <v>3626</v>
      </c>
      <c r="G4093" t="str">
        <f t="shared" si="350"/>
        <v>07/30/19</v>
      </c>
      <c r="H4093" t="str">
        <f t="shared" si="345"/>
        <v/>
      </c>
      <c r="I4093" s="60" t="str">
        <f t="shared" si="346"/>
        <v/>
      </c>
      <c r="J4093" t="str">
        <f t="shared" si="347"/>
        <v/>
      </c>
      <c r="K4093" s="60" t="str">
        <f t="shared" si="348"/>
        <v/>
      </c>
      <c r="L4093" t="str">
        <f t="shared" si="349"/>
        <v/>
      </c>
    </row>
    <row r="4094" spans="1:12" x14ac:dyDescent="0.25">
      <c r="G4094" t="str">
        <f t="shared" si="350"/>
        <v>07/30/19</v>
      </c>
      <c r="H4094" t="str">
        <f t="shared" si="345"/>
        <v/>
      </c>
      <c r="I4094" s="60" t="str">
        <f t="shared" si="346"/>
        <v/>
      </c>
      <c r="J4094" t="str">
        <f t="shared" si="347"/>
        <v/>
      </c>
      <c r="K4094" s="60" t="str">
        <f t="shared" si="348"/>
        <v/>
      </c>
      <c r="L4094" t="str">
        <f t="shared" si="349"/>
        <v/>
      </c>
    </row>
    <row r="4095" spans="1:12" x14ac:dyDescent="0.25">
      <c r="A4095" t="s">
        <v>3633</v>
      </c>
      <c r="G4095" t="str">
        <f t="shared" si="350"/>
        <v>07/31/19</v>
      </c>
      <c r="H4095" t="str">
        <f t="shared" si="345"/>
        <v/>
      </c>
      <c r="I4095" s="60" t="str">
        <f t="shared" si="346"/>
        <v/>
      </c>
      <c r="J4095" t="str">
        <f t="shared" si="347"/>
        <v/>
      </c>
      <c r="K4095" s="60" t="str">
        <f t="shared" si="348"/>
        <v/>
      </c>
      <c r="L4095" t="str">
        <f t="shared" si="349"/>
        <v/>
      </c>
    </row>
    <row r="4096" spans="1:12" x14ac:dyDescent="0.25">
      <c r="G4096" t="str">
        <f t="shared" si="350"/>
        <v>07/31/19</v>
      </c>
      <c r="H4096" t="str">
        <f t="shared" si="345"/>
        <v/>
      </c>
      <c r="I4096" s="60" t="str">
        <f t="shared" si="346"/>
        <v/>
      </c>
      <c r="J4096" t="str">
        <f t="shared" si="347"/>
        <v/>
      </c>
      <c r="K4096" s="60" t="str">
        <f t="shared" si="348"/>
        <v/>
      </c>
      <c r="L4096" t="str">
        <f t="shared" si="349"/>
        <v/>
      </c>
    </row>
    <row r="4097" spans="1:12" x14ac:dyDescent="0.25">
      <c r="A4097" t="s">
        <v>3634</v>
      </c>
      <c r="G4097" t="str">
        <f t="shared" si="350"/>
        <v>07/31/19</v>
      </c>
      <c r="H4097" t="str">
        <f t="shared" si="345"/>
        <v>Detroit Tigers</v>
      </c>
      <c r="I4097" s="60">
        <f t="shared" si="346"/>
        <v>9</v>
      </c>
      <c r="J4097" t="str">
        <f t="shared" si="347"/>
        <v>Los Angeles Angels</v>
      </c>
      <c r="K4097" s="60">
        <f t="shared" si="348"/>
        <v>1</v>
      </c>
      <c r="L4097">
        <f t="shared" si="349"/>
        <v>8</v>
      </c>
    </row>
    <row r="4098" spans="1:12" x14ac:dyDescent="0.25">
      <c r="G4098" t="str">
        <f t="shared" si="350"/>
        <v>07/31/19</v>
      </c>
      <c r="H4098" t="str">
        <f t="shared" si="345"/>
        <v/>
      </c>
      <c r="I4098" s="60" t="str">
        <f t="shared" si="346"/>
        <v/>
      </c>
      <c r="J4098" t="str">
        <f t="shared" si="347"/>
        <v/>
      </c>
      <c r="K4098" s="60" t="str">
        <f t="shared" si="348"/>
        <v/>
      </c>
      <c r="L4098" t="str">
        <f t="shared" si="349"/>
        <v/>
      </c>
    </row>
    <row r="4099" spans="1:12" x14ac:dyDescent="0.25">
      <c r="A4099" t="s">
        <v>3635</v>
      </c>
      <c r="G4099" t="str">
        <f t="shared" si="350"/>
        <v>07/31/19</v>
      </c>
      <c r="H4099" t="str">
        <f t="shared" si="345"/>
        <v>Tampa Bay Rays</v>
      </c>
      <c r="I4099" s="60">
        <f t="shared" si="346"/>
        <v>8</v>
      </c>
      <c r="J4099" t="str">
        <f t="shared" si="347"/>
        <v>Boston Red Sox</v>
      </c>
      <c r="K4099" s="60">
        <f t="shared" si="348"/>
        <v>5</v>
      </c>
      <c r="L4099">
        <f t="shared" si="349"/>
        <v>3</v>
      </c>
    </row>
    <row r="4100" spans="1:12" x14ac:dyDescent="0.25">
      <c r="G4100" t="str">
        <f t="shared" si="350"/>
        <v>07/31/19</v>
      </c>
      <c r="H4100" t="str">
        <f t="shared" si="345"/>
        <v/>
      </c>
      <c r="I4100" s="60" t="str">
        <f t="shared" si="346"/>
        <v/>
      </c>
      <c r="J4100" t="str">
        <f t="shared" si="347"/>
        <v/>
      </c>
      <c r="K4100" s="60" t="str">
        <f t="shared" si="348"/>
        <v/>
      </c>
      <c r="L4100" t="str">
        <f t="shared" si="349"/>
        <v/>
      </c>
    </row>
    <row r="4101" spans="1:12" x14ac:dyDescent="0.25">
      <c r="A4101" t="s">
        <v>3636</v>
      </c>
      <c r="G4101" t="str">
        <f t="shared" si="350"/>
        <v>07/31/19</v>
      </c>
      <c r="H4101" t="str">
        <f t="shared" si="345"/>
        <v>New York Mets</v>
      </c>
      <c r="I4101" s="60">
        <f t="shared" si="346"/>
        <v>4</v>
      </c>
      <c r="J4101" t="str">
        <f t="shared" si="347"/>
        <v>Chicago White Sox</v>
      </c>
      <c r="K4101" s="60">
        <f t="shared" si="348"/>
        <v>2</v>
      </c>
      <c r="L4101">
        <f t="shared" si="349"/>
        <v>2</v>
      </c>
    </row>
    <row r="4102" spans="1:12" x14ac:dyDescent="0.25">
      <c r="G4102" t="str">
        <f t="shared" si="350"/>
        <v>07/31/19</v>
      </c>
      <c r="H4102" t="str">
        <f t="shared" si="345"/>
        <v/>
      </c>
      <c r="I4102" s="60" t="str">
        <f t="shared" si="346"/>
        <v/>
      </c>
      <c r="J4102" t="str">
        <f t="shared" si="347"/>
        <v/>
      </c>
      <c r="K4102" s="60" t="str">
        <f t="shared" si="348"/>
        <v/>
      </c>
      <c r="L4102" t="str">
        <f t="shared" si="349"/>
        <v/>
      </c>
    </row>
    <row r="4103" spans="1:12" x14ac:dyDescent="0.25">
      <c r="A4103" t="s">
        <v>3637</v>
      </c>
      <c r="G4103" t="str">
        <f t="shared" si="350"/>
        <v>07/31/19</v>
      </c>
      <c r="H4103" t="str">
        <f t="shared" si="345"/>
        <v>Pittsburgh Pirates</v>
      </c>
      <c r="I4103" s="60">
        <f t="shared" si="346"/>
        <v>1</v>
      </c>
      <c r="J4103" t="str">
        <f t="shared" si="347"/>
        <v>Cincinnati Reds</v>
      </c>
      <c r="K4103" s="60">
        <f t="shared" si="348"/>
        <v>4</v>
      </c>
      <c r="L4103">
        <f t="shared" si="349"/>
        <v>-3</v>
      </c>
    </row>
    <row r="4104" spans="1:12" x14ac:dyDescent="0.25">
      <c r="G4104" t="str">
        <f t="shared" si="350"/>
        <v>07/31/19</v>
      </c>
      <c r="H4104" t="str">
        <f t="shared" si="345"/>
        <v/>
      </c>
      <c r="I4104" s="60" t="str">
        <f t="shared" si="346"/>
        <v/>
      </c>
      <c r="J4104" t="str">
        <f t="shared" si="347"/>
        <v/>
      </c>
      <c r="K4104" s="60" t="str">
        <f t="shared" si="348"/>
        <v/>
      </c>
      <c r="L4104" t="str">
        <f t="shared" si="349"/>
        <v/>
      </c>
    </row>
    <row r="4105" spans="1:12" x14ac:dyDescent="0.25">
      <c r="A4105" t="s">
        <v>3638</v>
      </c>
      <c r="G4105" t="str">
        <f t="shared" si="350"/>
        <v>07/31/19</v>
      </c>
      <c r="H4105" t="str">
        <f t="shared" si="345"/>
        <v>Houston Astros</v>
      </c>
      <c r="I4105" s="60">
        <f t="shared" si="346"/>
        <v>4</v>
      </c>
      <c r="J4105" t="str">
        <f t="shared" si="347"/>
        <v>Cleveland Indians</v>
      </c>
      <c r="K4105" s="60">
        <f t="shared" si="348"/>
        <v>10</v>
      </c>
      <c r="L4105">
        <f t="shared" si="349"/>
        <v>-6</v>
      </c>
    </row>
    <row r="4106" spans="1:12" x14ac:dyDescent="0.25">
      <c r="G4106" t="str">
        <f t="shared" si="350"/>
        <v>07/31/19</v>
      </c>
      <c r="H4106" t="str">
        <f t="shared" si="345"/>
        <v/>
      </c>
      <c r="I4106" s="60" t="str">
        <f t="shared" si="346"/>
        <v/>
      </c>
      <c r="J4106" t="str">
        <f t="shared" si="347"/>
        <v/>
      </c>
      <c r="K4106" s="60" t="str">
        <f t="shared" si="348"/>
        <v/>
      </c>
      <c r="L4106" t="str">
        <f t="shared" si="349"/>
        <v/>
      </c>
    </row>
    <row r="4107" spans="1:12" x14ac:dyDescent="0.25">
      <c r="A4107" t="s">
        <v>3639</v>
      </c>
      <c r="G4107" t="str">
        <f t="shared" si="350"/>
        <v>07/31/19</v>
      </c>
      <c r="H4107" t="str">
        <f t="shared" si="345"/>
        <v>Los Angeles Dodgers</v>
      </c>
      <c r="I4107" s="60">
        <f t="shared" si="346"/>
        <v>5</v>
      </c>
      <c r="J4107" t="str">
        <f t="shared" si="347"/>
        <v>Colorado Rockies</v>
      </c>
      <c r="K4107" s="60">
        <f t="shared" si="348"/>
        <v>1</v>
      </c>
      <c r="L4107">
        <f t="shared" si="349"/>
        <v>4</v>
      </c>
    </row>
    <row r="4108" spans="1:12" x14ac:dyDescent="0.25">
      <c r="G4108" t="str">
        <f t="shared" si="350"/>
        <v>07/31/19</v>
      </c>
      <c r="H4108" t="str">
        <f t="shared" si="345"/>
        <v/>
      </c>
      <c r="I4108" s="60" t="str">
        <f t="shared" si="346"/>
        <v/>
      </c>
      <c r="J4108" t="str">
        <f t="shared" si="347"/>
        <v/>
      </c>
      <c r="K4108" s="60" t="str">
        <f t="shared" si="348"/>
        <v/>
      </c>
      <c r="L4108" t="str">
        <f t="shared" si="349"/>
        <v/>
      </c>
    </row>
    <row r="4109" spans="1:12" x14ac:dyDescent="0.25">
      <c r="A4109" t="s">
        <v>3640</v>
      </c>
      <c r="G4109" t="str">
        <f t="shared" si="350"/>
        <v>07/31/19</v>
      </c>
      <c r="H4109" t="str">
        <f t="shared" si="345"/>
        <v>Toronto Blue Jays</v>
      </c>
      <c r="I4109" s="60">
        <f t="shared" si="346"/>
        <v>4</v>
      </c>
      <c r="J4109" t="str">
        <f t="shared" si="347"/>
        <v>Kansas City Royals</v>
      </c>
      <c r="K4109" s="60">
        <f t="shared" si="348"/>
        <v>1</v>
      </c>
      <c r="L4109">
        <f t="shared" si="349"/>
        <v>3</v>
      </c>
    </row>
    <row r="4110" spans="1:12" x14ac:dyDescent="0.25">
      <c r="G4110" t="str">
        <f t="shared" si="350"/>
        <v>07/31/19</v>
      </c>
      <c r="H4110" t="str">
        <f t="shared" si="345"/>
        <v/>
      </c>
      <c r="I4110" s="60" t="str">
        <f t="shared" si="346"/>
        <v/>
      </c>
      <c r="J4110" t="str">
        <f t="shared" si="347"/>
        <v/>
      </c>
      <c r="K4110" s="60" t="str">
        <f t="shared" si="348"/>
        <v/>
      </c>
      <c r="L4110" t="str">
        <f t="shared" si="349"/>
        <v/>
      </c>
    </row>
    <row r="4111" spans="1:12" x14ac:dyDescent="0.25">
      <c r="A4111" t="s">
        <v>3641</v>
      </c>
      <c r="G4111" t="str">
        <f t="shared" si="350"/>
        <v>07/31/19</v>
      </c>
      <c r="H4111" t="str">
        <f t="shared" si="345"/>
        <v>Minnesota Twins</v>
      </c>
      <c r="I4111" s="60">
        <f t="shared" si="346"/>
        <v>7</v>
      </c>
      <c r="J4111" t="str">
        <f t="shared" si="347"/>
        <v>Miami Marlins</v>
      </c>
      <c r="K4111" s="60">
        <f t="shared" si="348"/>
        <v>4</v>
      </c>
      <c r="L4111">
        <f t="shared" si="349"/>
        <v>3</v>
      </c>
    </row>
    <row r="4112" spans="1:12" x14ac:dyDescent="0.25">
      <c r="G4112" t="str">
        <f t="shared" si="350"/>
        <v>07/31/19</v>
      </c>
      <c r="H4112" t="str">
        <f t="shared" ref="H4112:H4175" si="351">IFERROR(LEFT(MID(A4112,1,SEARCH("@",A4112)-2),SEARCH("(",A4112)-2),"")</f>
        <v/>
      </c>
      <c r="I4112" s="60" t="str">
        <f t="shared" ref="I4112:I4175" si="352">IFERROR(VALUE(MID(A4112,SEARCH("(",A4112)+1,SEARCH(")",A4112)-SEARCH("(",A4112)-1)),"")</f>
        <v/>
      </c>
      <c r="J4112" t="str">
        <f t="shared" ref="J4112:J4175" si="353">IFERROR(MID(A4112,SEARCH("@",A4112)+2,SEARCH("(",A4112,SEARCH("@",A4112))-SEARCH("@",A4112)-3),"")</f>
        <v/>
      </c>
      <c r="K4112" s="60" t="str">
        <f t="shared" ref="K4112:K4175" si="354">IFERROR(VALUE(MID(A4112,SEARCH(J4112,A4112)+LEN(J4112)+2,(SEARCH(")",A4112,SEARCH("@",A4112))-SEARCH("(",A4112,SEARCH("@",A4112))-1))),"")</f>
        <v/>
      </c>
      <c r="L4112" t="str">
        <f t="shared" ref="L4112:L4175" si="355">IFERROR(I4112-K4112,"")</f>
        <v/>
      </c>
    </row>
    <row r="4113" spans="1:12" x14ac:dyDescent="0.25">
      <c r="A4113" t="s">
        <v>3642</v>
      </c>
      <c r="G4113" t="str">
        <f t="shared" si="350"/>
        <v>07/31/19</v>
      </c>
      <c r="H4113" t="str">
        <f t="shared" si="351"/>
        <v>Arizona D'Backs</v>
      </c>
      <c r="I4113" s="60">
        <f t="shared" si="352"/>
        <v>5</v>
      </c>
      <c r="J4113" t="str">
        <f t="shared" si="353"/>
        <v>New York Yankees</v>
      </c>
      <c r="K4113" s="60">
        <f t="shared" si="354"/>
        <v>7</v>
      </c>
      <c r="L4113">
        <f t="shared" si="355"/>
        <v>-2</v>
      </c>
    </row>
    <row r="4114" spans="1:12" x14ac:dyDescent="0.25">
      <c r="G4114" t="str">
        <f t="shared" si="350"/>
        <v>07/31/19</v>
      </c>
      <c r="H4114" t="str">
        <f t="shared" si="351"/>
        <v/>
      </c>
      <c r="I4114" s="60" t="str">
        <f t="shared" si="352"/>
        <v/>
      </c>
      <c r="J4114" t="str">
        <f t="shared" si="353"/>
        <v/>
      </c>
      <c r="K4114" s="60" t="str">
        <f t="shared" si="354"/>
        <v/>
      </c>
      <c r="L4114" t="str">
        <f t="shared" si="355"/>
        <v/>
      </c>
    </row>
    <row r="4115" spans="1:12" x14ac:dyDescent="0.25">
      <c r="A4115" t="s">
        <v>3643</v>
      </c>
      <c r="G4115" t="str">
        <f t="shared" si="350"/>
        <v>07/31/19</v>
      </c>
      <c r="H4115" t="str">
        <f t="shared" si="351"/>
        <v>Milwaukee Brewers</v>
      </c>
      <c r="I4115" s="60">
        <f t="shared" si="352"/>
        <v>4</v>
      </c>
      <c r="J4115" t="str">
        <f t="shared" si="353"/>
        <v>Oakland Athletics</v>
      </c>
      <c r="K4115" s="60">
        <f t="shared" si="354"/>
        <v>2</v>
      </c>
      <c r="L4115">
        <f t="shared" si="355"/>
        <v>2</v>
      </c>
    </row>
    <row r="4116" spans="1:12" x14ac:dyDescent="0.25">
      <c r="G4116" t="str">
        <f t="shared" si="350"/>
        <v>07/31/19</v>
      </c>
      <c r="H4116" t="str">
        <f t="shared" si="351"/>
        <v/>
      </c>
      <c r="I4116" s="60" t="str">
        <f t="shared" si="352"/>
        <v/>
      </c>
      <c r="J4116" t="str">
        <f t="shared" si="353"/>
        <v/>
      </c>
      <c r="K4116" s="60" t="str">
        <f t="shared" si="354"/>
        <v/>
      </c>
      <c r="L4116" t="str">
        <f t="shared" si="355"/>
        <v/>
      </c>
    </row>
    <row r="4117" spans="1:12" x14ac:dyDescent="0.25">
      <c r="A4117" t="s">
        <v>3644</v>
      </c>
      <c r="G4117" t="str">
        <f t="shared" si="350"/>
        <v>07/31/19</v>
      </c>
      <c r="H4117" t="str">
        <f t="shared" si="351"/>
        <v>San Francisco Giants</v>
      </c>
      <c r="I4117" s="60">
        <f t="shared" si="352"/>
        <v>5</v>
      </c>
      <c r="J4117" t="str">
        <f t="shared" si="353"/>
        <v>Philadelphia Phillies</v>
      </c>
      <c r="K4117" s="60">
        <f t="shared" si="354"/>
        <v>1</v>
      </c>
      <c r="L4117">
        <f t="shared" si="355"/>
        <v>4</v>
      </c>
    </row>
    <row r="4118" spans="1:12" x14ac:dyDescent="0.25">
      <c r="G4118" t="str">
        <f t="shared" si="350"/>
        <v>07/31/19</v>
      </c>
      <c r="H4118" t="str">
        <f t="shared" si="351"/>
        <v/>
      </c>
      <c r="I4118" s="60" t="str">
        <f t="shared" si="352"/>
        <v/>
      </c>
      <c r="J4118" t="str">
        <f t="shared" si="353"/>
        <v/>
      </c>
      <c r="K4118" s="60" t="str">
        <f t="shared" si="354"/>
        <v/>
      </c>
      <c r="L4118" t="str">
        <f t="shared" si="355"/>
        <v/>
      </c>
    </row>
    <row r="4119" spans="1:12" x14ac:dyDescent="0.25">
      <c r="A4119" t="s">
        <v>3645</v>
      </c>
      <c r="G4119" t="str">
        <f t="shared" si="350"/>
        <v>07/31/19</v>
      </c>
      <c r="H4119" t="str">
        <f t="shared" si="351"/>
        <v>Chicago Cubs</v>
      </c>
      <c r="I4119" s="60">
        <f t="shared" si="352"/>
        <v>2</v>
      </c>
      <c r="J4119" t="str">
        <f t="shared" si="353"/>
        <v>St. Louis Cardinals</v>
      </c>
      <c r="K4119" s="60">
        <f t="shared" si="354"/>
        <v>0</v>
      </c>
      <c r="L4119">
        <f t="shared" si="355"/>
        <v>2</v>
      </c>
    </row>
    <row r="4120" spans="1:12" x14ac:dyDescent="0.25">
      <c r="G4120" t="str">
        <f t="shared" si="350"/>
        <v>07/31/19</v>
      </c>
      <c r="H4120" t="str">
        <f t="shared" si="351"/>
        <v/>
      </c>
      <c r="I4120" s="60" t="str">
        <f t="shared" si="352"/>
        <v/>
      </c>
      <c r="J4120" t="str">
        <f t="shared" si="353"/>
        <v/>
      </c>
      <c r="K4120" s="60" t="str">
        <f t="shared" si="354"/>
        <v/>
      </c>
      <c r="L4120" t="str">
        <f t="shared" si="355"/>
        <v/>
      </c>
    </row>
    <row r="4121" spans="1:12" x14ac:dyDescent="0.25">
      <c r="A4121" t="s">
        <v>3646</v>
      </c>
      <c r="G4121" t="str">
        <f t="shared" si="350"/>
        <v>07/31/19</v>
      </c>
      <c r="H4121" t="str">
        <f t="shared" si="351"/>
        <v>Seattle Mariners</v>
      </c>
      <c r="I4121" s="60">
        <f t="shared" si="352"/>
        <v>7</v>
      </c>
      <c r="J4121" t="str">
        <f t="shared" si="353"/>
        <v>Texas Rangers</v>
      </c>
      <c r="K4121" s="60">
        <f t="shared" si="354"/>
        <v>9</v>
      </c>
      <c r="L4121">
        <f t="shared" si="355"/>
        <v>-2</v>
      </c>
    </row>
    <row r="4122" spans="1:12" x14ac:dyDescent="0.25">
      <c r="G4122" t="str">
        <f t="shared" si="350"/>
        <v>07/31/19</v>
      </c>
      <c r="H4122" t="str">
        <f t="shared" si="351"/>
        <v/>
      </c>
      <c r="I4122" s="60" t="str">
        <f t="shared" si="352"/>
        <v/>
      </c>
      <c r="J4122" t="str">
        <f t="shared" si="353"/>
        <v/>
      </c>
      <c r="K4122" s="60" t="str">
        <f t="shared" si="354"/>
        <v/>
      </c>
      <c r="L4122" t="str">
        <f t="shared" si="355"/>
        <v/>
      </c>
    </row>
    <row r="4123" spans="1:12" x14ac:dyDescent="0.25">
      <c r="A4123" t="s">
        <v>3647</v>
      </c>
      <c r="G4123" t="str">
        <f t="shared" si="350"/>
        <v>07/31/19</v>
      </c>
      <c r="H4123" t="str">
        <f t="shared" si="351"/>
        <v>Atlanta Braves</v>
      </c>
      <c r="I4123" s="60">
        <f t="shared" si="352"/>
        <v>5</v>
      </c>
      <c r="J4123" t="str">
        <f t="shared" si="353"/>
        <v>Washington Nationals</v>
      </c>
      <c r="K4123" s="60">
        <f t="shared" si="354"/>
        <v>4</v>
      </c>
      <c r="L4123">
        <f t="shared" si="355"/>
        <v>1</v>
      </c>
    </row>
    <row r="4124" spans="1:12" x14ac:dyDescent="0.25">
      <c r="G4124" t="str">
        <f t="shared" si="350"/>
        <v>07/31/19</v>
      </c>
      <c r="H4124" t="str">
        <f t="shared" si="351"/>
        <v/>
      </c>
      <c r="I4124" s="60" t="str">
        <f t="shared" si="352"/>
        <v/>
      </c>
      <c r="J4124" t="str">
        <f t="shared" si="353"/>
        <v/>
      </c>
      <c r="K4124" s="60" t="str">
        <f t="shared" si="354"/>
        <v/>
      </c>
      <c r="L4124" t="str">
        <f t="shared" si="355"/>
        <v/>
      </c>
    </row>
    <row r="4125" spans="1:12" x14ac:dyDescent="0.25">
      <c r="A4125" t="s">
        <v>3648</v>
      </c>
      <c r="G4125" t="str">
        <f t="shared" si="350"/>
        <v>07/31/19</v>
      </c>
      <c r="H4125" t="str">
        <f t="shared" si="351"/>
        <v/>
      </c>
      <c r="I4125" s="60" t="str">
        <f t="shared" si="352"/>
        <v/>
      </c>
      <c r="J4125" t="str">
        <f t="shared" si="353"/>
        <v/>
      </c>
      <c r="K4125" s="60" t="str">
        <f t="shared" si="354"/>
        <v/>
      </c>
      <c r="L4125" t="str">
        <f t="shared" si="355"/>
        <v/>
      </c>
    </row>
    <row r="4126" spans="1:12" x14ac:dyDescent="0.25">
      <c r="G4126" t="str">
        <f t="shared" si="350"/>
        <v>07/31/19</v>
      </c>
      <c r="H4126" t="str">
        <f t="shared" si="351"/>
        <v/>
      </c>
      <c r="I4126" s="60" t="str">
        <f t="shared" si="352"/>
        <v/>
      </c>
      <c r="J4126" t="str">
        <f t="shared" si="353"/>
        <v/>
      </c>
      <c r="K4126" s="60" t="str">
        <f t="shared" si="354"/>
        <v/>
      </c>
      <c r="L4126" t="str">
        <f t="shared" si="355"/>
        <v/>
      </c>
    </row>
    <row r="4127" spans="1:12" x14ac:dyDescent="0.25">
      <c r="A4127" t="s">
        <v>3276</v>
      </c>
      <c r="G4127" t="str">
        <f t="shared" si="350"/>
        <v>08/01/19</v>
      </c>
      <c r="H4127" t="str">
        <f t="shared" si="351"/>
        <v/>
      </c>
      <c r="I4127" s="60" t="str">
        <f t="shared" si="352"/>
        <v/>
      </c>
      <c r="J4127" t="str">
        <f t="shared" si="353"/>
        <v/>
      </c>
      <c r="K4127" s="60" t="str">
        <f t="shared" si="354"/>
        <v/>
      </c>
      <c r="L4127" t="str">
        <f t="shared" si="355"/>
        <v/>
      </c>
    </row>
    <row r="4128" spans="1:12" x14ac:dyDescent="0.25">
      <c r="G4128" t="str">
        <f t="shared" si="350"/>
        <v>08/01/19</v>
      </c>
      <c r="H4128" t="str">
        <f t="shared" si="351"/>
        <v/>
      </c>
      <c r="I4128" s="60" t="str">
        <f t="shared" si="352"/>
        <v/>
      </c>
      <c r="J4128" t="str">
        <f t="shared" si="353"/>
        <v/>
      </c>
      <c r="K4128" s="60" t="str">
        <f t="shared" si="354"/>
        <v/>
      </c>
      <c r="L4128" t="str">
        <f t="shared" si="355"/>
        <v/>
      </c>
    </row>
    <row r="4129" spans="1:12" x14ac:dyDescent="0.25">
      <c r="A4129" t="s">
        <v>3662</v>
      </c>
      <c r="G4129" t="str">
        <f t="shared" si="350"/>
        <v>08/01/19</v>
      </c>
      <c r="H4129" t="str">
        <f t="shared" si="351"/>
        <v>Cincinnati Reds</v>
      </c>
      <c r="I4129" s="60">
        <f t="shared" si="352"/>
        <v>1</v>
      </c>
      <c r="J4129" t="str">
        <f t="shared" si="353"/>
        <v>Atlanta Braves</v>
      </c>
      <c r="K4129" s="60">
        <f t="shared" si="354"/>
        <v>4</v>
      </c>
      <c r="L4129">
        <f t="shared" si="355"/>
        <v>-3</v>
      </c>
    </row>
    <row r="4130" spans="1:12" x14ac:dyDescent="0.25">
      <c r="G4130" t="str">
        <f t="shared" ref="G4130:G4193" si="356">IF(ISNUMBER(MATCH(IFERROR(LEFT(A4130,SEARCH(",",A4130)-1),""),$G$220:$M$220,0)),TEXT(MID(A4130,SEARCH(",",A4130)+2,LEN(A4130)),"mm/dd/yy"),G4129)</f>
        <v>08/01/19</v>
      </c>
      <c r="H4130" t="str">
        <f t="shared" si="351"/>
        <v/>
      </c>
      <c r="I4130" s="60" t="str">
        <f t="shared" si="352"/>
        <v/>
      </c>
      <c r="J4130" t="str">
        <f t="shared" si="353"/>
        <v/>
      </c>
      <c r="K4130" s="60" t="str">
        <f t="shared" si="354"/>
        <v/>
      </c>
      <c r="L4130" t="str">
        <f t="shared" si="355"/>
        <v/>
      </c>
    </row>
    <row r="4131" spans="1:12" x14ac:dyDescent="0.25">
      <c r="A4131" t="s">
        <v>3663</v>
      </c>
      <c r="G4131" t="str">
        <f t="shared" si="356"/>
        <v>08/01/19</v>
      </c>
      <c r="H4131" t="str">
        <f t="shared" si="351"/>
        <v>Toronto Blue Jays</v>
      </c>
      <c r="I4131" s="60">
        <f t="shared" si="352"/>
        <v>11</v>
      </c>
      <c r="J4131" t="str">
        <f t="shared" si="353"/>
        <v>Baltimore Orioles</v>
      </c>
      <c r="K4131" s="60">
        <f t="shared" si="354"/>
        <v>2</v>
      </c>
      <c r="L4131">
        <f t="shared" si="355"/>
        <v>9</v>
      </c>
    </row>
    <row r="4132" spans="1:12" x14ac:dyDescent="0.25">
      <c r="G4132" t="str">
        <f t="shared" si="356"/>
        <v>08/01/19</v>
      </c>
      <c r="H4132" t="str">
        <f t="shared" si="351"/>
        <v/>
      </c>
      <c r="I4132" s="60" t="str">
        <f t="shared" si="352"/>
        <v/>
      </c>
      <c r="J4132" t="str">
        <f t="shared" si="353"/>
        <v/>
      </c>
      <c r="K4132" s="60" t="str">
        <f t="shared" si="354"/>
        <v/>
      </c>
      <c r="L4132" t="str">
        <f t="shared" si="355"/>
        <v/>
      </c>
    </row>
    <row r="4133" spans="1:12" x14ac:dyDescent="0.25">
      <c r="A4133" t="s">
        <v>3664</v>
      </c>
      <c r="G4133" t="str">
        <f t="shared" si="356"/>
        <v>08/01/19</v>
      </c>
      <c r="H4133" t="str">
        <f t="shared" si="351"/>
        <v>Tampa Bay Rays</v>
      </c>
      <c r="I4133" s="60">
        <f t="shared" si="352"/>
        <v>9</v>
      </c>
      <c r="J4133" t="str">
        <f t="shared" si="353"/>
        <v>Boston Red Sox</v>
      </c>
      <c r="K4133" s="60">
        <f t="shared" si="354"/>
        <v>4</v>
      </c>
      <c r="L4133">
        <f t="shared" si="355"/>
        <v>5</v>
      </c>
    </row>
    <row r="4134" spans="1:12" x14ac:dyDescent="0.25">
      <c r="G4134" t="str">
        <f t="shared" si="356"/>
        <v>08/01/19</v>
      </c>
      <c r="H4134" t="str">
        <f t="shared" si="351"/>
        <v/>
      </c>
      <c r="I4134" s="60" t="str">
        <f t="shared" si="352"/>
        <v/>
      </c>
      <c r="J4134" t="str">
        <f t="shared" si="353"/>
        <v/>
      </c>
      <c r="K4134" s="60" t="str">
        <f t="shared" si="354"/>
        <v/>
      </c>
      <c r="L4134" t="str">
        <f t="shared" si="355"/>
        <v/>
      </c>
    </row>
    <row r="4135" spans="1:12" x14ac:dyDescent="0.25">
      <c r="A4135" t="s">
        <v>3665</v>
      </c>
      <c r="G4135" t="str">
        <f t="shared" si="356"/>
        <v>08/01/19</v>
      </c>
      <c r="H4135" t="str">
        <f t="shared" si="351"/>
        <v>New York Mets</v>
      </c>
      <c r="I4135" s="60">
        <f t="shared" si="352"/>
        <v>4</v>
      </c>
      <c r="J4135" t="str">
        <f t="shared" si="353"/>
        <v>Chicago White Sox</v>
      </c>
      <c r="K4135" s="60">
        <f t="shared" si="354"/>
        <v>0</v>
      </c>
      <c r="L4135">
        <f t="shared" si="355"/>
        <v>4</v>
      </c>
    </row>
    <row r="4136" spans="1:12" x14ac:dyDescent="0.25">
      <c r="G4136" t="str">
        <f t="shared" si="356"/>
        <v>08/01/19</v>
      </c>
      <c r="H4136" t="str">
        <f t="shared" si="351"/>
        <v/>
      </c>
      <c r="I4136" s="60" t="str">
        <f t="shared" si="352"/>
        <v/>
      </c>
      <c r="J4136" t="str">
        <f t="shared" si="353"/>
        <v/>
      </c>
      <c r="K4136" s="60" t="str">
        <f t="shared" si="354"/>
        <v/>
      </c>
      <c r="L4136" t="str">
        <f t="shared" si="355"/>
        <v/>
      </c>
    </row>
    <row r="4137" spans="1:12" x14ac:dyDescent="0.25">
      <c r="A4137" t="s">
        <v>3666</v>
      </c>
      <c r="G4137" t="str">
        <f t="shared" si="356"/>
        <v>08/01/19</v>
      </c>
      <c r="H4137" t="str">
        <f t="shared" si="351"/>
        <v>Houston Astros</v>
      </c>
      <c r="I4137" s="60">
        <f t="shared" si="352"/>
        <v>7</v>
      </c>
      <c r="J4137" t="str">
        <f t="shared" si="353"/>
        <v>Cleveland Indians</v>
      </c>
      <c r="K4137" s="60">
        <f t="shared" si="354"/>
        <v>1</v>
      </c>
      <c r="L4137">
        <f t="shared" si="355"/>
        <v>6</v>
      </c>
    </row>
    <row r="4138" spans="1:12" x14ac:dyDescent="0.25">
      <c r="G4138" t="str">
        <f t="shared" si="356"/>
        <v>08/01/19</v>
      </c>
      <c r="H4138" t="str">
        <f t="shared" si="351"/>
        <v/>
      </c>
      <c r="I4138" s="60" t="str">
        <f t="shared" si="352"/>
        <v/>
      </c>
      <c r="J4138" t="str">
        <f t="shared" si="353"/>
        <v/>
      </c>
      <c r="K4138" s="60" t="str">
        <f t="shared" si="354"/>
        <v/>
      </c>
      <c r="L4138" t="str">
        <f t="shared" si="355"/>
        <v/>
      </c>
    </row>
    <row r="4139" spans="1:12" x14ac:dyDescent="0.25">
      <c r="A4139" t="s">
        <v>3667</v>
      </c>
      <c r="G4139" t="str">
        <f t="shared" si="356"/>
        <v>08/01/19</v>
      </c>
      <c r="H4139" t="str">
        <f t="shared" si="351"/>
        <v>San Diego Padres</v>
      </c>
      <c r="I4139" s="60">
        <f t="shared" si="352"/>
        <v>2</v>
      </c>
      <c r="J4139" t="str">
        <f t="shared" si="353"/>
        <v>Los Angeles Dodgers</v>
      </c>
      <c r="K4139" s="60">
        <f t="shared" si="354"/>
        <v>8</v>
      </c>
      <c r="L4139">
        <f t="shared" si="355"/>
        <v>-6</v>
      </c>
    </row>
    <row r="4140" spans="1:12" x14ac:dyDescent="0.25">
      <c r="G4140" t="str">
        <f t="shared" si="356"/>
        <v>08/01/19</v>
      </c>
      <c r="H4140" t="str">
        <f t="shared" si="351"/>
        <v/>
      </c>
      <c r="I4140" s="60" t="str">
        <f t="shared" si="352"/>
        <v/>
      </c>
      <c r="J4140" t="str">
        <f t="shared" si="353"/>
        <v/>
      </c>
      <c r="K4140" s="60" t="str">
        <f t="shared" si="354"/>
        <v/>
      </c>
      <c r="L4140" t="str">
        <f t="shared" si="355"/>
        <v/>
      </c>
    </row>
    <row r="4141" spans="1:12" x14ac:dyDescent="0.25">
      <c r="A4141" t="s">
        <v>3668</v>
      </c>
      <c r="G4141" t="str">
        <f t="shared" si="356"/>
        <v>08/01/19</v>
      </c>
      <c r="H4141" t="str">
        <f t="shared" si="351"/>
        <v>Minnesota Twins</v>
      </c>
      <c r="I4141" s="60">
        <f t="shared" si="352"/>
        <v>4</v>
      </c>
      <c r="J4141" t="str">
        <f t="shared" si="353"/>
        <v>Miami Marlins</v>
      </c>
      <c r="K4141" s="60">
        <f t="shared" si="354"/>
        <v>5</v>
      </c>
      <c r="L4141">
        <f t="shared" si="355"/>
        <v>-1</v>
      </c>
    </row>
    <row r="4142" spans="1:12" x14ac:dyDescent="0.25">
      <c r="G4142" t="str">
        <f t="shared" si="356"/>
        <v>08/01/19</v>
      </c>
      <c r="H4142" t="str">
        <f t="shared" si="351"/>
        <v/>
      </c>
      <c r="I4142" s="60" t="str">
        <f t="shared" si="352"/>
        <v/>
      </c>
      <c r="J4142" t="str">
        <f t="shared" si="353"/>
        <v/>
      </c>
      <c r="K4142" s="60" t="str">
        <f t="shared" si="354"/>
        <v/>
      </c>
      <c r="L4142" t="str">
        <f t="shared" si="355"/>
        <v/>
      </c>
    </row>
    <row r="4143" spans="1:12" x14ac:dyDescent="0.25">
      <c r="A4143" t="s">
        <v>3669</v>
      </c>
      <c r="G4143" t="str">
        <f t="shared" si="356"/>
        <v>08/01/19</v>
      </c>
      <c r="H4143" t="str">
        <f t="shared" si="351"/>
        <v>Milwaukee Brewers</v>
      </c>
      <c r="I4143" s="60">
        <f t="shared" si="352"/>
        <v>3</v>
      </c>
      <c r="J4143" t="str">
        <f t="shared" si="353"/>
        <v>Oakland Athletics</v>
      </c>
      <c r="K4143" s="60">
        <f t="shared" si="354"/>
        <v>5</v>
      </c>
      <c r="L4143">
        <f t="shared" si="355"/>
        <v>-2</v>
      </c>
    </row>
    <row r="4144" spans="1:12" x14ac:dyDescent="0.25">
      <c r="G4144" t="str">
        <f t="shared" si="356"/>
        <v>08/01/19</v>
      </c>
      <c r="H4144" t="str">
        <f t="shared" si="351"/>
        <v/>
      </c>
      <c r="I4144" s="60" t="str">
        <f t="shared" si="352"/>
        <v/>
      </c>
      <c r="J4144" t="str">
        <f t="shared" si="353"/>
        <v/>
      </c>
      <c r="K4144" s="60" t="str">
        <f t="shared" si="354"/>
        <v/>
      </c>
      <c r="L4144" t="str">
        <f t="shared" si="355"/>
        <v/>
      </c>
    </row>
    <row r="4145" spans="1:12" x14ac:dyDescent="0.25">
      <c r="A4145" t="s">
        <v>3670</v>
      </c>
      <c r="G4145" t="str">
        <f t="shared" si="356"/>
        <v>08/01/19</v>
      </c>
      <c r="H4145" t="str">
        <f t="shared" si="351"/>
        <v>San Francisco Giants</v>
      </c>
      <c r="I4145" s="60">
        <f t="shared" si="352"/>
        <v>2</v>
      </c>
      <c r="J4145" t="str">
        <f t="shared" si="353"/>
        <v>Philadelphia Phillies</v>
      </c>
      <c r="K4145" s="60">
        <f t="shared" si="354"/>
        <v>10</v>
      </c>
      <c r="L4145">
        <f t="shared" si="355"/>
        <v>-8</v>
      </c>
    </row>
    <row r="4146" spans="1:12" x14ac:dyDescent="0.25">
      <c r="G4146" t="str">
        <f t="shared" si="356"/>
        <v>08/01/19</v>
      </c>
      <c r="H4146" t="str">
        <f t="shared" si="351"/>
        <v/>
      </c>
      <c r="I4146" s="60" t="str">
        <f t="shared" si="352"/>
        <v/>
      </c>
      <c r="J4146" t="str">
        <f t="shared" si="353"/>
        <v/>
      </c>
      <c r="K4146" s="60" t="str">
        <f t="shared" si="354"/>
        <v/>
      </c>
      <c r="L4146" t="str">
        <f t="shared" si="355"/>
        <v/>
      </c>
    </row>
    <row r="4147" spans="1:12" x14ac:dyDescent="0.25">
      <c r="A4147" t="s">
        <v>3671</v>
      </c>
      <c r="G4147" t="str">
        <f t="shared" si="356"/>
        <v>08/01/19</v>
      </c>
      <c r="H4147" t="str">
        <f t="shared" si="351"/>
        <v>Chicago Cubs</v>
      </c>
      <c r="I4147" s="60">
        <f t="shared" si="352"/>
        <v>0</v>
      </c>
      <c r="J4147" t="str">
        <f t="shared" si="353"/>
        <v>St. Louis Cardinals</v>
      </c>
      <c r="K4147" s="60">
        <f t="shared" si="354"/>
        <v>8</v>
      </c>
      <c r="L4147">
        <f t="shared" si="355"/>
        <v>-8</v>
      </c>
    </row>
    <row r="4148" spans="1:12" x14ac:dyDescent="0.25">
      <c r="G4148" t="str">
        <f t="shared" si="356"/>
        <v>08/01/19</v>
      </c>
      <c r="H4148" t="str">
        <f t="shared" si="351"/>
        <v/>
      </c>
      <c r="I4148" s="60" t="str">
        <f t="shared" si="352"/>
        <v/>
      </c>
      <c r="J4148" t="str">
        <f t="shared" si="353"/>
        <v/>
      </c>
      <c r="K4148" s="60" t="str">
        <f t="shared" si="354"/>
        <v/>
      </c>
      <c r="L4148" t="str">
        <f t="shared" si="355"/>
        <v/>
      </c>
    </row>
    <row r="4149" spans="1:12" x14ac:dyDescent="0.25">
      <c r="A4149" t="s">
        <v>3672</v>
      </c>
      <c r="G4149" t="str">
        <f t="shared" si="356"/>
        <v>08/01/19</v>
      </c>
      <c r="H4149" t="str">
        <f t="shared" si="351"/>
        <v/>
      </c>
      <c r="I4149" s="60" t="str">
        <f t="shared" si="352"/>
        <v/>
      </c>
      <c r="J4149" t="str">
        <f t="shared" si="353"/>
        <v/>
      </c>
      <c r="K4149" s="60" t="str">
        <f t="shared" si="354"/>
        <v/>
      </c>
      <c r="L4149" t="str">
        <f t="shared" si="355"/>
        <v/>
      </c>
    </row>
    <row r="4150" spans="1:12" x14ac:dyDescent="0.25">
      <c r="G4150" t="str">
        <f t="shared" si="356"/>
        <v>08/01/19</v>
      </c>
      <c r="H4150" t="str">
        <f t="shared" si="351"/>
        <v/>
      </c>
      <c r="I4150" s="60" t="str">
        <f t="shared" si="352"/>
        <v/>
      </c>
      <c r="J4150" t="str">
        <f t="shared" si="353"/>
        <v/>
      </c>
      <c r="K4150" s="60" t="str">
        <f t="shared" si="354"/>
        <v/>
      </c>
      <c r="L4150" t="str">
        <f t="shared" si="355"/>
        <v/>
      </c>
    </row>
    <row r="4151" spans="1:12" x14ac:dyDescent="0.25">
      <c r="A4151" t="s">
        <v>3689</v>
      </c>
      <c r="G4151" t="str">
        <f t="shared" si="356"/>
        <v>08/02/19</v>
      </c>
      <c r="H4151" t="str">
        <f t="shared" si="351"/>
        <v/>
      </c>
      <c r="I4151" s="60" t="str">
        <f t="shared" si="352"/>
        <v/>
      </c>
      <c r="J4151" t="str">
        <f t="shared" si="353"/>
        <v/>
      </c>
      <c r="K4151" s="60" t="str">
        <f t="shared" si="354"/>
        <v/>
      </c>
      <c r="L4151" t="str">
        <f t="shared" si="355"/>
        <v/>
      </c>
    </row>
    <row r="4152" spans="1:12" x14ac:dyDescent="0.25">
      <c r="G4152" t="str">
        <f t="shared" si="356"/>
        <v>08/02/19</v>
      </c>
      <c r="H4152" t="str">
        <f t="shared" si="351"/>
        <v/>
      </c>
      <c r="I4152" s="60" t="str">
        <f t="shared" si="352"/>
        <v/>
      </c>
      <c r="J4152" t="str">
        <f t="shared" si="353"/>
        <v/>
      </c>
      <c r="K4152" s="60" t="str">
        <f t="shared" si="354"/>
        <v/>
      </c>
      <c r="L4152" t="str">
        <f t="shared" si="355"/>
        <v/>
      </c>
    </row>
    <row r="4153" spans="1:12" x14ac:dyDescent="0.25">
      <c r="A4153" t="s">
        <v>3690</v>
      </c>
      <c r="G4153" t="str">
        <f t="shared" si="356"/>
        <v>08/02/19</v>
      </c>
      <c r="H4153" t="str">
        <f t="shared" si="351"/>
        <v>Washington Nationals</v>
      </c>
      <c r="I4153" s="60">
        <f t="shared" si="352"/>
        <v>3</v>
      </c>
      <c r="J4153" t="str">
        <f t="shared" si="353"/>
        <v>Arizona D'Backs</v>
      </c>
      <c r="K4153" s="60">
        <f t="shared" si="354"/>
        <v>0</v>
      </c>
      <c r="L4153">
        <f t="shared" si="355"/>
        <v>3</v>
      </c>
    </row>
    <row r="4154" spans="1:12" x14ac:dyDescent="0.25">
      <c r="G4154" t="str">
        <f t="shared" si="356"/>
        <v>08/02/19</v>
      </c>
      <c r="H4154" t="str">
        <f t="shared" si="351"/>
        <v/>
      </c>
      <c r="I4154" s="60" t="str">
        <f t="shared" si="352"/>
        <v/>
      </c>
      <c r="J4154" t="str">
        <f t="shared" si="353"/>
        <v/>
      </c>
      <c r="K4154" s="60" t="str">
        <f t="shared" si="354"/>
        <v/>
      </c>
      <c r="L4154" t="str">
        <f t="shared" si="355"/>
        <v/>
      </c>
    </row>
    <row r="4155" spans="1:12" x14ac:dyDescent="0.25">
      <c r="A4155" t="s">
        <v>3691</v>
      </c>
      <c r="G4155" t="str">
        <f t="shared" si="356"/>
        <v>08/02/19</v>
      </c>
      <c r="H4155" t="str">
        <f t="shared" si="351"/>
        <v>Cincinnati Reds</v>
      </c>
      <c r="I4155" s="60">
        <f t="shared" si="352"/>
        <v>5</v>
      </c>
      <c r="J4155" t="str">
        <f t="shared" si="353"/>
        <v>Atlanta Braves</v>
      </c>
      <c r="K4155" s="60">
        <f t="shared" si="354"/>
        <v>2</v>
      </c>
      <c r="L4155">
        <f t="shared" si="355"/>
        <v>3</v>
      </c>
    </row>
    <row r="4156" spans="1:12" x14ac:dyDescent="0.25">
      <c r="G4156" t="str">
        <f t="shared" si="356"/>
        <v>08/02/19</v>
      </c>
      <c r="H4156" t="str">
        <f t="shared" si="351"/>
        <v/>
      </c>
      <c r="I4156" s="60" t="str">
        <f t="shared" si="352"/>
        <v/>
      </c>
      <c r="J4156" t="str">
        <f t="shared" si="353"/>
        <v/>
      </c>
      <c r="K4156" s="60" t="str">
        <f t="shared" si="354"/>
        <v/>
      </c>
      <c r="L4156" t="str">
        <f t="shared" si="355"/>
        <v/>
      </c>
    </row>
    <row r="4157" spans="1:12" x14ac:dyDescent="0.25">
      <c r="A4157" t="s">
        <v>3692</v>
      </c>
      <c r="G4157" t="str">
        <f t="shared" si="356"/>
        <v>08/02/19</v>
      </c>
      <c r="H4157" t="str">
        <f t="shared" si="351"/>
        <v>Toronto Blue Jays</v>
      </c>
      <c r="I4157" s="60">
        <f t="shared" si="352"/>
        <v>5</v>
      </c>
      <c r="J4157" t="str">
        <f t="shared" si="353"/>
        <v>Baltimore Orioles</v>
      </c>
      <c r="K4157" s="60">
        <f t="shared" si="354"/>
        <v>2</v>
      </c>
      <c r="L4157">
        <f t="shared" si="355"/>
        <v>3</v>
      </c>
    </row>
    <row r="4158" spans="1:12" x14ac:dyDescent="0.25">
      <c r="G4158" t="str">
        <f t="shared" si="356"/>
        <v>08/02/19</v>
      </c>
      <c r="H4158" t="str">
        <f t="shared" si="351"/>
        <v/>
      </c>
      <c r="I4158" s="60" t="str">
        <f t="shared" si="352"/>
        <v/>
      </c>
      <c r="J4158" t="str">
        <f t="shared" si="353"/>
        <v/>
      </c>
      <c r="K4158" s="60" t="str">
        <f t="shared" si="354"/>
        <v/>
      </c>
      <c r="L4158" t="str">
        <f t="shared" si="355"/>
        <v/>
      </c>
    </row>
    <row r="4159" spans="1:12" x14ac:dyDescent="0.25">
      <c r="A4159" t="s">
        <v>3693</v>
      </c>
      <c r="G4159" t="str">
        <f t="shared" si="356"/>
        <v>08/02/19</v>
      </c>
      <c r="H4159" t="str">
        <f t="shared" si="351"/>
        <v>Milwaukee Brewers</v>
      </c>
      <c r="I4159" s="60">
        <f t="shared" si="352"/>
        <v>2</v>
      </c>
      <c r="J4159" t="str">
        <f t="shared" si="353"/>
        <v>Chicago Cubs</v>
      </c>
      <c r="K4159" s="60">
        <f t="shared" si="354"/>
        <v>6</v>
      </c>
      <c r="L4159">
        <f t="shared" si="355"/>
        <v>-4</v>
      </c>
    </row>
    <row r="4160" spans="1:12" x14ac:dyDescent="0.25">
      <c r="G4160" t="str">
        <f t="shared" si="356"/>
        <v>08/02/19</v>
      </c>
      <c r="H4160" t="str">
        <f t="shared" si="351"/>
        <v/>
      </c>
      <c r="I4160" s="60" t="str">
        <f t="shared" si="352"/>
        <v/>
      </c>
      <c r="J4160" t="str">
        <f t="shared" si="353"/>
        <v/>
      </c>
      <c r="K4160" s="60" t="str">
        <f t="shared" si="354"/>
        <v/>
      </c>
      <c r="L4160" t="str">
        <f t="shared" si="355"/>
        <v/>
      </c>
    </row>
    <row r="4161" spans="1:12" x14ac:dyDescent="0.25">
      <c r="A4161" t="s">
        <v>3694</v>
      </c>
      <c r="G4161" t="str">
        <f t="shared" si="356"/>
        <v>08/02/19</v>
      </c>
      <c r="H4161" t="str">
        <f t="shared" si="351"/>
        <v>Los Angeles Angels</v>
      </c>
      <c r="I4161" s="60">
        <f t="shared" si="352"/>
        <v>3</v>
      </c>
      <c r="J4161" t="str">
        <f t="shared" si="353"/>
        <v>Cleveland Indians</v>
      </c>
      <c r="K4161" s="60">
        <f t="shared" si="354"/>
        <v>7</v>
      </c>
      <c r="L4161">
        <f t="shared" si="355"/>
        <v>-4</v>
      </c>
    </row>
    <row r="4162" spans="1:12" x14ac:dyDescent="0.25">
      <c r="G4162" t="str">
        <f t="shared" si="356"/>
        <v>08/02/19</v>
      </c>
      <c r="H4162" t="str">
        <f t="shared" si="351"/>
        <v/>
      </c>
      <c r="I4162" s="60" t="str">
        <f t="shared" si="352"/>
        <v/>
      </c>
      <c r="J4162" t="str">
        <f t="shared" si="353"/>
        <v/>
      </c>
      <c r="K4162" s="60" t="str">
        <f t="shared" si="354"/>
        <v/>
      </c>
      <c r="L4162" t="str">
        <f t="shared" si="355"/>
        <v/>
      </c>
    </row>
    <row r="4163" spans="1:12" x14ac:dyDescent="0.25">
      <c r="A4163" t="s">
        <v>3695</v>
      </c>
      <c r="G4163" t="str">
        <f t="shared" si="356"/>
        <v>08/02/19</v>
      </c>
      <c r="H4163" t="str">
        <f t="shared" si="351"/>
        <v>San Francisco Giants</v>
      </c>
      <c r="I4163" s="60">
        <f t="shared" si="352"/>
        <v>4</v>
      </c>
      <c r="J4163" t="str">
        <f t="shared" si="353"/>
        <v>Colorado Rockies</v>
      </c>
      <c r="K4163" s="60">
        <f t="shared" si="354"/>
        <v>5</v>
      </c>
      <c r="L4163">
        <f t="shared" si="355"/>
        <v>-1</v>
      </c>
    </row>
    <row r="4164" spans="1:12" x14ac:dyDescent="0.25">
      <c r="G4164" t="str">
        <f t="shared" si="356"/>
        <v>08/02/19</v>
      </c>
      <c r="H4164" t="str">
        <f t="shared" si="351"/>
        <v/>
      </c>
      <c r="I4164" s="60" t="str">
        <f t="shared" si="352"/>
        <v/>
      </c>
      <c r="J4164" t="str">
        <f t="shared" si="353"/>
        <v/>
      </c>
      <c r="K4164" s="60" t="str">
        <f t="shared" si="354"/>
        <v/>
      </c>
      <c r="L4164" t="str">
        <f t="shared" si="355"/>
        <v/>
      </c>
    </row>
    <row r="4165" spans="1:12" x14ac:dyDescent="0.25">
      <c r="A4165" t="s">
        <v>3696</v>
      </c>
      <c r="G4165" t="str">
        <f t="shared" si="356"/>
        <v>08/02/19</v>
      </c>
      <c r="H4165" t="str">
        <f t="shared" si="351"/>
        <v>Seattle Mariners</v>
      </c>
      <c r="I4165" s="60">
        <f t="shared" si="352"/>
        <v>2</v>
      </c>
      <c r="J4165" t="str">
        <f t="shared" si="353"/>
        <v>Houston Astros</v>
      </c>
      <c r="K4165" s="60">
        <f t="shared" si="354"/>
        <v>10</v>
      </c>
      <c r="L4165">
        <f t="shared" si="355"/>
        <v>-8</v>
      </c>
    </row>
    <row r="4166" spans="1:12" x14ac:dyDescent="0.25">
      <c r="G4166" t="str">
        <f t="shared" si="356"/>
        <v>08/02/19</v>
      </c>
      <c r="H4166" t="str">
        <f t="shared" si="351"/>
        <v/>
      </c>
      <c r="I4166" s="60" t="str">
        <f t="shared" si="352"/>
        <v/>
      </c>
      <c r="J4166" t="str">
        <f t="shared" si="353"/>
        <v/>
      </c>
      <c r="K4166" s="60" t="str">
        <f t="shared" si="354"/>
        <v/>
      </c>
      <c r="L4166" t="str">
        <f t="shared" si="355"/>
        <v/>
      </c>
    </row>
    <row r="4167" spans="1:12" x14ac:dyDescent="0.25">
      <c r="A4167" t="s">
        <v>3697</v>
      </c>
      <c r="G4167" t="str">
        <f t="shared" si="356"/>
        <v>08/02/19</v>
      </c>
      <c r="H4167" t="str">
        <f t="shared" si="351"/>
        <v>San Diego Padres</v>
      </c>
      <c r="I4167" s="60">
        <f t="shared" si="352"/>
        <v>5</v>
      </c>
      <c r="J4167" t="str">
        <f t="shared" si="353"/>
        <v>Los Angeles Dodgers</v>
      </c>
      <c r="K4167" s="60">
        <f t="shared" si="354"/>
        <v>2</v>
      </c>
      <c r="L4167">
        <f t="shared" si="355"/>
        <v>3</v>
      </c>
    </row>
    <row r="4168" spans="1:12" x14ac:dyDescent="0.25">
      <c r="G4168" t="str">
        <f t="shared" si="356"/>
        <v>08/02/19</v>
      </c>
      <c r="H4168" t="str">
        <f t="shared" si="351"/>
        <v/>
      </c>
      <c r="I4168" s="60" t="str">
        <f t="shared" si="352"/>
        <v/>
      </c>
      <c r="J4168" t="str">
        <f t="shared" si="353"/>
        <v/>
      </c>
      <c r="K4168" s="60" t="str">
        <f t="shared" si="354"/>
        <v/>
      </c>
      <c r="L4168" t="str">
        <f t="shared" si="355"/>
        <v/>
      </c>
    </row>
    <row r="4169" spans="1:12" x14ac:dyDescent="0.25">
      <c r="A4169" t="s">
        <v>3698</v>
      </c>
      <c r="G4169" t="str">
        <f t="shared" si="356"/>
        <v>08/02/19</v>
      </c>
      <c r="H4169" t="str">
        <f t="shared" si="351"/>
        <v>Kansas City Royals</v>
      </c>
      <c r="I4169" s="60">
        <f t="shared" si="352"/>
        <v>9</v>
      </c>
      <c r="J4169" t="str">
        <f t="shared" si="353"/>
        <v>Minnesota Twins</v>
      </c>
      <c r="K4169" s="60">
        <f t="shared" si="354"/>
        <v>11</v>
      </c>
      <c r="L4169">
        <f t="shared" si="355"/>
        <v>-2</v>
      </c>
    </row>
    <row r="4170" spans="1:12" x14ac:dyDescent="0.25">
      <c r="G4170" t="str">
        <f t="shared" si="356"/>
        <v>08/02/19</v>
      </c>
      <c r="H4170" t="str">
        <f t="shared" si="351"/>
        <v/>
      </c>
      <c r="I4170" s="60" t="str">
        <f t="shared" si="352"/>
        <v/>
      </c>
      <c r="J4170" t="str">
        <f t="shared" si="353"/>
        <v/>
      </c>
      <c r="K4170" s="60" t="str">
        <f t="shared" si="354"/>
        <v/>
      </c>
      <c r="L4170" t="str">
        <f t="shared" si="355"/>
        <v/>
      </c>
    </row>
    <row r="4171" spans="1:12" x14ac:dyDescent="0.25">
      <c r="A4171" t="s">
        <v>3699</v>
      </c>
      <c r="G4171" t="str">
        <f t="shared" si="356"/>
        <v>08/02/19</v>
      </c>
      <c r="H4171" t="str">
        <f t="shared" si="351"/>
        <v>Boston Red Sox</v>
      </c>
      <c r="I4171" s="60">
        <f t="shared" si="352"/>
        <v>2</v>
      </c>
      <c r="J4171" t="str">
        <f t="shared" si="353"/>
        <v>New York Yankees</v>
      </c>
      <c r="K4171" s="60">
        <f t="shared" si="354"/>
        <v>4</v>
      </c>
      <c r="L4171">
        <f t="shared" si="355"/>
        <v>-2</v>
      </c>
    </row>
    <row r="4172" spans="1:12" x14ac:dyDescent="0.25">
      <c r="G4172" t="str">
        <f t="shared" si="356"/>
        <v>08/02/19</v>
      </c>
      <c r="H4172" t="str">
        <f t="shared" si="351"/>
        <v/>
      </c>
      <c r="I4172" s="60" t="str">
        <f t="shared" si="352"/>
        <v/>
      </c>
      <c r="J4172" t="str">
        <f t="shared" si="353"/>
        <v/>
      </c>
      <c r="K4172" s="60" t="str">
        <f t="shared" si="354"/>
        <v/>
      </c>
      <c r="L4172" t="str">
        <f t="shared" si="355"/>
        <v/>
      </c>
    </row>
    <row r="4173" spans="1:12" x14ac:dyDescent="0.25">
      <c r="A4173" t="s">
        <v>3700</v>
      </c>
      <c r="G4173" t="str">
        <f t="shared" si="356"/>
        <v>08/02/19</v>
      </c>
      <c r="H4173" t="str">
        <f t="shared" si="351"/>
        <v>Chicago White Sox</v>
      </c>
      <c r="I4173" s="60">
        <f t="shared" si="352"/>
        <v>4</v>
      </c>
      <c r="J4173" t="str">
        <f t="shared" si="353"/>
        <v>Philadelphia Phillies</v>
      </c>
      <c r="K4173" s="60">
        <f t="shared" si="354"/>
        <v>3</v>
      </c>
      <c r="L4173">
        <f t="shared" si="355"/>
        <v>1</v>
      </c>
    </row>
    <row r="4174" spans="1:12" x14ac:dyDescent="0.25">
      <c r="G4174" t="str">
        <f t="shared" si="356"/>
        <v>08/02/19</v>
      </c>
      <c r="H4174" t="str">
        <f t="shared" si="351"/>
        <v/>
      </c>
      <c r="I4174" s="60" t="str">
        <f t="shared" si="352"/>
        <v/>
      </c>
      <c r="J4174" t="str">
        <f t="shared" si="353"/>
        <v/>
      </c>
      <c r="K4174" s="60" t="str">
        <f t="shared" si="354"/>
        <v/>
      </c>
      <c r="L4174" t="str">
        <f t="shared" si="355"/>
        <v/>
      </c>
    </row>
    <row r="4175" spans="1:12" x14ac:dyDescent="0.25">
      <c r="A4175" t="s">
        <v>3701</v>
      </c>
      <c r="G4175" t="str">
        <f t="shared" si="356"/>
        <v>08/02/19</v>
      </c>
      <c r="H4175" t="str">
        <f t="shared" si="351"/>
        <v>New York Mets</v>
      </c>
      <c r="I4175" s="60">
        <f t="shared" si="352"/>
        <v>4</v>
      </c>
      <c r="J4175" t="str">
        <f t="shared" si="353"/>
        <v>Pittsburgh Pirates</v>
      </c>
      <c r="K4175" s="60">
        <f t="shared" si="354"/>
        <v>8</v>
      </c>
      <c r="L4175">
        <f t="shared" si="355"/>
        <v>-4</v>
      </c>
    </row>
    <row r="4176" spans="1:12" x14ac:dyDescent="0.25">
      <c r="G4176" t="str">
        <f t="shared" si="356"/>
        <v>08/02/19</v>
      </c>
      <c r="H4176" t="str">
        <f t="shared" ref="H4176:H4239" si="357">IFERROR(LEFT(MID(A4176,1,SEARCH("@",A4176)-2),SEARCH("(",A4176)-2),"")</f>
        <v/>
      </c>
      <c r="I4176" s="60" t="str">
        <f t="shared" ref="I4176:I4239" si="358">IFERROR(VALUE(MID(A4176,SEARCH("(",A4176)+1,SEARCH(")",A4176)-SEARCH("(",A4176)-1)),"")</f>
        <v/>
      </c>
      <c r="J4176" t="str">
        <f t="shared" ref="J4176:J4239" si="359">IFERROR(MID(A4176,SEARCH("@",A4176)+2,SEARCH("(",A4176,SEARCH("@",A4176))-SEARCH("@",A4176)-3),"")</f>
        <v/>
      </c>
      <c r="K4176" s="60" t="str">
        <f t="shared" ref="K4176:K4239" si="360">IFERROR(VALUE(MID(A4176,SEARCH(J4176,A4176)+LEN(J4176)+2,(SEARCH(")",A4176,SEARCH("@",A4176))-SEARCH("(",A4176,SEARCH("@",A4176))-1))),"")</f>
        <v/>
      </c>
      <c r="L4176" t="str">
        <f t="shared" ref="L4176:L4239" si="361">IFERROR(I4176-K4176,"")</f>
        <v/>
      </c>
    </row>
    <row r="4177" spans="1:12" x14ac:dyDescent="0.25">
      <c r="A4177" t="s">
        <v>3702</v>
      </c>
      <c r="G4177" t="str">
        <f t="shared" si="356"/>
        <v>08/02/19</v>
      </c>
      <c r="H4177" t="str">
        <f t="shared" si="357"/>
        <v>Detroit Tigers</v>
      </c>
      <c r="I4177" s="60">
        <f t="shared" si="358"/>
        <v>4</v>
      </c>
      <c r="J4177" t="str">
        <f t="shared" si="359"/>
        <v>Texas Rangers</v>
      </c>
      <c r="K4177" s="60">
        <f t="shared" si="360"/>
        <v>5</v>
      </c>
      <c r="L4177">
        <f t="shared" si="361"/>
        <v>-1</v>
      </c>
    </row>
    <row r="4178" spans="1:12" x14ac:dyDescent="0.25">
      <c r="G4178" t="str">
        <f t="shared" si="356"/>
        <v>08/02/19</v>
      </c>
      <c r="H4178" t="str">
        <f t="shared" si="357"/>
        <v/>
      </c>
      <c r="I4178" s="60" t="str">
        <f t="shared" si="358"/>
        <v/>
      </c>
      <c r="J4178" t="str">
        <f t="shared" si="359"/>
        <v/>
      </c>
      <c r="K4178" s="60" t="str">
        <f t="shared" si="360"/>
        <v/>
      </c>
      <c r="L4178" t="str">
        <f t="shared" si="361"/>
        <v/>
      </c>
    </row>
    <row r="4179" spans="1:12" x14ac:dyDescent="0.25">
      <c r="A4179" t="s">
        <v>3703</v>
      </c>
      <c r="G4179" t="str">
        <f t="shared" si="356"/>
        <v>08/02/19</v>
      </c>
      <c r="H4179" t="str">
        <f t="shared" si="357"/>
        <v/>
      </c>
      <c r="I4179" s="60" t="str">
        <f t="shared" si="358"/>
        <v/>
      </c>
      <c r="J4179" t="str">
        <f t="shared" si="359"/>
        <v/>
      </c>
      <c r="K4179" s="60" t="str">
        <f t="shared" si="360"/>
        <v/>
      </c>
      <c r="L4179" t="str">
        <f t="shared" si="361"/>
        <v/>
      </c>
    </row>
    <row r="4180" spans="1:12" x14ac:dyDescent="0.25">
      <c r="G4180" t="str">
        <f t="shared" si="356"/>
        <v>08/02/19</v>
      </c>
      <c r="H4180" t="str">
        <f t="shared" si="357"/>
        <v/>
      </c>
      <c r="I4180" s="60" t="str">
        <f t="shared" si="358"/>
        <v/>
      </c>
      <c r="J4180" t="str">
        <f t="shared" si="359"/>
        <v/>
      </c>
      <c r="K4180" s="60" t="str">
        <f t="shared" si="360"/>
        <v/>
      </c>
      <c r="L4180" t="str">
        <f t="shared" si="361"/>
        <v/>
      </c>
    </row>
    <row r="4181" spans="1:12" x14ac:dyDescent="0.25">
      <c r="A4181" t="s">
        <v>3277</v>
      </c>
      <c r="G4181" t="str">
        <f t="shared" si="356"/>
        <v>08/03/19</v>
      </c>
      <c r="H4181" t="str">
        <f t="shared" si="357"/>
        <v/>
      </c>
      <c r="I4181" s="60" t="str">
        <f t="shared" si="358"/>
        <v/>
      </c>
      <c r="J4181" t="str">
        <f t="shared" si="359"/>
        <v/>
      </c>
      <c r="K4181" s="60" t="str">
        <f t="shared" si="360"/>
        <v/>
      </c>
      <c r="L4181" t="str">
        <f t="shared" si="361"/>
        <v/>
      </c>
    </row>
    <row r="4182" spans="1:12" x14ac:dyDescent="0.25">
      <c r="G4182" t="str">
        <f t="shared" si="356"/>
        <v>08/03/19</v>
      </c>
      <c r="H4182" t="str">
        <f t="shared" si="357"/>
        <v/>
      </c>
      <c r="I4182" s="60" t="str">
        <f t="shared" si="358"/>
        <v/>
      </c>
      <c r="J4182" t="str">
        <f t="shared" si="359"/>
        <v/>
      </c>
      <c r="K4182" s="60" t="str">
        <f t="shared" si="360"/>
        <v/>
      </c>
      <c r="L4182" t="str">
        <f t="shared" si="361"/>
        <v/>
      </c>
    </row>
    <row r="4183" spans="1:12" x14ac:dyDescent="0.25">
      <c r="A4183" t="s">
        <v>3709</v>
      </c>
      <c r="G4183" t="str">
        <f t="shared" si="356"/>
        <v>08/03/19</v>
      </c>
      <c r="H4183" t="str">
        <f t="shared" si="357"/>
        <v>Washington Nationals</v>
      </c>
      <c r="I4183" s="60">
        <f t="shared" si="358"/>
        <v>7</v>
      </c>
      <c r="J4183" t="str">
        <f t="shared" si="359"/>
        <v>Arizona D'Backs</v>
      </c>
      <c r="K4183" s="60">
        <f t="shared" si="360"/>
        <v>18</v>
      </c>
      <c r="L4183">
        <f t="shared" si="361"/>
        <v>-11</v>
      </c>
    </row>
    <row r="4184" spans="1:12" x14ac:dyDescent="0.25">
      <c r="G4184" t="str">
        <f t="shared" si="356"/>
        <v>08/03/19</v>
      </c>
      <c r="H4184" t="str">
        <f t="shared" si="357"/>
        <v/>
      </c>
      <c r="I4184" s="60" t="str">
        <f t="shared" si="358"/>
        <v/>
      </c>
      <c r="J4184" t="str">
        <f t="shared" si="359"/>
        <v/>
      </c>
      <c r="K4184" s="60" t="str">
        <f t="shared" si="360"/>
        <v/>
      </c>
      <c r="L4184" t="str">
        <f t="shared" si="361"/>
        <v/>
      </c>
    </row>
    <row r="4185" spans="1:12" x14ac:dyDescent="0.25">
      <c r="A4185" t="s">
        <v>3710</v>
      </c>
      <c r="G4185" t="str">
        <f t="shared" si="356"/>
        <v>08/03/19</v>
      </c>
      <c r="H4185" t="str">
        <f t="shared" si="357"/>
        <v>Cincinnati Reds</v>
      </c>
      <c r="I4185" s="60">
        <f t="shared" si="358"/>
        <v>4</v>
      </c>
      <c r="J4185" t="str">
        <f t="shared" si="359"/>
        <v>Atlanta Braves</v>
      </c>
      <c r="K4185" s="60">
        <f t="shared" si="360"/>
        <v>5</v>
      </c>
      <c r="L4185">
        <f t="shared" si="361"/>
        <v>-1</v>
      </c>
    </row>
    <row r="4186" spans="1:12" x14ac:dyDescent="0.25">
      <c r="G4186" t="str">
        <f t="shared" si="356"/>
        <v>08/03/19</v>
      </c>
      <c r="H4186" t="str">
        <f t="shared" si="357"/>
        <v/>
      </c>
      <c r="I4186" s="60" t="str">
        <f t="shared" si="358"/>
        <v/>
      </c>
      <c r="J4186" t="str">
        <f t="shared" si="359"/>
        <v/>
      </c>
      <c r="K4186" s="60" t="str">
        <f t="shared" si="360"/>
        <v/>
      </c>
      <c r="L4186" t="str">
        <f t="shared" si="361"/>
        <v/>
      </c>
    </row>
    <row r="4187" spans="1:12" x14ac:dyDescent="0.25">
      <c r="A4187" t="s">
        <v>3711</v>
      </c>
      <c r="G4187" t="str">
        <f t="shared" si="356"/>
        <v>08/03/19</v>
      </c>
      <c r="H4187" t="str">
        <f t="shared" si="357"/>
        <v>Toronto Blue Jays</v>
      </c>
      <c r="I4187" s="60">
        <f t="shared" si="358"/>
        <v>4</v>
      </c>
      <c r="J4187" t="str">
        <f t="shared" si="359"/>
        <v>Baltimore Orioles</v>
      </c>
      <c r="K4187" s="60">
        <f t="shared" si="360"/>
        <v>6</v>
      </c>
      <c r="L4187">
        <f t="shared" si="361"/>
        <v>-2</v>
      </c>
    </row>
    <row r="4188" spans="1:12" x14ac:dyDescent="0.25">
      <c r="G4188" t="str">
        <f t="shared" si="356"/>
        <v>08/03/19</v>
      </c>
      <c r="H4188" t="str">
        <f t="shared" si="357"/>
        <v/>
      </c>
      <c r="I4188" s="60" t="str">
        <f t="shared" si="358"/>
        <v/>
      </c>
      <c r="J4188" t="str">
        <f t="shared" si="359"/>
        <v/>
      </c>
      <c r="K4188" s="60" t="str">
        <f t="shared" si="360"/>
        <v/>
      </c>
      <c r="L4188" t="str">
        <f t="shared" si="361"/>
        <v/>
      </c>
    </row>
    <row r="4189" spans="1:12" x14ac:dyDescent="0.25">
      <c r="A4189" t="s">
        <v>2317</v>
      </c>
      <c r="G4189" t="str">
        <f t="shared" si="356"/>
        <v>08/03/19</v>
      </c>
      <c r="H4189" t="str">
        <f t="shared" si="357"/>
        <v>Milwaukee Brewers</v>
      </c>
      <c r="I4189" s="60">
        <f t="shared" si="358"/>
        <v>1</v>
      </c>
      <c r="J4189" t="str">
        <f t="shared" si="359"/>
        <v>Chicago Cubs</v>
      </c>
      <c r="K4189" s="60">
        <f t="shared" si="360"/>
        <v>4</v>
      </c>
      <c r="L4189">
        <f t="shared" si="361"/>
        <v>-3</v>
      </c>
    </row>
    <row r="4190" spans="1:12" x14ac:dyDescent="0.25">
      <c r="G4190" t="str">
        <f t="shared" si="356"/>
        <v>08/03/19</v>
      </c>
      <c r="H4190" t="str">
        <f t="shared" si="357"/>
        <v/>
      </c>
      <c r="I4190" s="60" t="str">
        <f t="shared" si="358"/>
        <v/>
      </c>
      <c r="J4190" t="str">
        <f t="shared" si="359"/>
        <v/>
      </c>
      <c r="K4190" s="60" t="str">
        <f t="shared" si="360"/>
        <v/>
      </c>
      <c r="L4190" t="str">
        <f t="shared" si="361"/>
        <v/>
      </c>
    </row>
    <row r="4191" spans="1:12" x14ac:dyDescent="0.25">
      <c r="A4191" t="s">
        <v>3712</v>
      </c>
      <c r="G4191" t="str">
        <f t="shared" si="356"/>
        <v>08/03/19</v>
      </c>
      <c r="H4191" t="str">
        <f t="shared" si="357"/>
        <v>Los Angeles Angels</v>
      </c>
      <c r="I4191" s="60">
        <f t="shared" si="358"/>
        <v>2</v>
      </c>
      <c r="J4191" t="str">
        <f t="shared" si="359"/>
        <v>Cleveland Indians</v>
      </c>
      <c r="K4191" s="60">
        <f t="shared" si="360"/>
        <v>7</v>
      </c>
      <c r="L4191">
        <f t="shared" si="361"/>
        <v>-5</v>
      </c>
    </row>
    <row r="4192" spans="1:12" x14ac:dyDescent="0.25">
      <c r="G4192" t="str">
        <f t="shared" si="356"/>
        <v>08/03/19</v>
      </c>
      <c r="H4192" t="str">
        <f t="shared" si="357"/>
        <v/>
      </c>
      <c r="I4192" s="60" t="str">
        <f t="shared" si="358"/>
        <v/>
      </c>
      <c r="J4192" t="str">
        <f t="shared" si="359"/>
        <v/>
      </c>
      <c r="K4192" s="60" t="str">
        <f t="shared" si="360"/>
        <v/>
      </c>
      <c r="L4192" t="str">
        <f t="shared" si="361"/>
        <v/>
      </c>
    </row>
    <row r="4193" spans="1:12" x14ac:dyDescent="0.25">
      <c r="A4193" t="s">
        <v>3713</v>
      </c>
      <c r="G4193" t="str">
        <f t="shared" si="356"/>
        <v>08/03/19</v>
      </c>
      <c r="H4193" t="str">
        <f t="shared" si="357"/>
        <v>San Francisco Giants</v>
      </c>
      <c r="I4193" s="60">
        <f t="shared" si="358"/>
        <v>6</v>
      </c>
      <c r="J4193" t="str">
        <f t="shared" si="359"/>
        <v>Colorado Rockies</v>
      </c>
      <c r="K4193" s="60">
        <f t="shared" si="360"/>
        <v>5</v>
      </c>
      <c r="L4193">
        <f t="shared" si="361"/>
        <v>1</v>
      </c>
    </row>
    <row r="4194" spans="1:12" x14ac:dyDescent="0.25">
      <c r="G4194" t="str">
        <f t="shared" ref="G4194:G4257" si="362">IF(ISNUMBER(MATCH(IFERROR(LEFT(A4194,SEARCH(",",A4194)-1),""),$G$220:$M$220,0)),TEXT(MID(A4194,SEARCH(",",A4194)+2,LEN(A4194)),"mm/dd/yy"),G4193)</f>
        <v>08/03/19</v>
      </c>
      <c r="H4194" t="str">
        <f t="shared" si="357"/>
        <v/>
      </c>
      <c r="I4194" s="60" t="str">
        <f t="shared" si="358"/>
        <v/>
      </c>
      <c r="J4194" t="str">
        <f t="shared" si="359"/>
        <v/>
      </c>
      <c r="K4194" s="60" t="str">
        <f t="shared" si="360"/>
        <v/>
      </c>
      <c r="L4194" t="str">
        <f t="shared" si="361"/>
        <v/>
      </c>
    </row>
    <row r="4195" spans="1:12" x14ac:dyDescent="0.25">
      <c r="A4195" t="s">
        <v>3714</v>
      </c>
      <c r="G4195" t="str">
        <f t="shared" si="362"/>
        <v>08/03/19</v>
      </c>
      <c r="H4195" t="str">
        <f t="shared" si="357"/>
        <v>Seattle Mariners</v>
      </c>
      <c r="I4195" s="60">
        <f t="shared" si="358"/>
        <v>0</v>
      </c>
      <c r="J4195" t="str">
        <f t="shared" si="359"/>
        <v>Houston Astros</v>
      </c>
      <c r="K4195" s="60">
        <f t="shared" si="360"/>
        <v>9</v>
      </c>
      <c r="L4195">
        <f t="shared" si="361"/>
        <v>-9</v>
      </c>
    </row>
    <row r="4196" spans="1:12" x14ac:dyDescent="0.25">
      <c r="G4196" t="str">
        <f t="shared" si="362"/>
        <v>08/03/19</v>
      </c>
      <c r="H4196" t="str">
        <f t="shared" si="357"/>
        <v/>
      </c>
      <c r="I4196" s="60" t="str">
        <f t="shared" si="358"/>
        <v/>
      </c>
      <c r="J4196" t="str">
        <f t="shared" si="359"/>
        <v/>
      </c>
      <c r="K4196" s="60" t="str">
        <f t="shared" si="360"/>
        <v/>
      </c>
      <c r="L4196" t="str">
        <f t="shared" si="361"/>
        <v/>
      </c>
    </row>
    <row r="4197" spans="1:12" x14ac:dyDescent="0.25">
      <c r="A4197" t="s">
        <v>3715</v>
      </c>
      <c r="G4197" t="str">
        <f t="shared" si="362"/>
        <v>08/03/19</v>
      </c>
      <c r="H4197" t="str">
        <f t="shared" si="357"/>
        <v>San Diego Padres</v>
      </c>
      <c r="I4197" s="60">
        <f t="shared" si="358"/>
        <v>1</v>
      </c>
      <c r="J4197" t="str">
        <f t="shared" si="359"/>
        <v>Los Angeles Dodgers</v>
      </c>
      <c r="K4197" s="60">
        <f t="shared" si="360"/>
        <v>4</v>
      </c>
      <c r="L4197">
        <f t="shared" si="361"/>
        <v>-3</v>
      </c>
    </row>
    <row r="4198" spans="1:12" x14ac:dyDescent="0.25">
      <c r="G4198" t="str">
        <f t="shared" si="362"/>
        <v>08/03/19</v>
      </c>
      <c r="H4198" t="str">
        <f t="shared" si="357"/>
        <v/>
      </c>
      <c r="I4198" s="60" t="str">
        <f t="shared" si="358"/>
        <v/>
      </c>
      <c r="J4198" t="str">
        <f t="shared" si="359"/>
        <v/>
      </c>
      <c r="K4198" s="60" t="str">
        <f t="shared" si="360"/>
        <v/>
      </c>
      <c r="L4198" t="str">
        <f t="shared" si="361"/>
        <v/>
      </c>
    </row>
    <row r="4199" spans="1:12" x14ac:dyDescent="0.25">
      <c r="A4199" t="s">
        <v>3716</v>
      </c>
      <c r="G4199" t="str">
        <f t="shared" si="362"/>
        <v>08/03/19</v>
      </c>
      <c r="H4199" t="str">
        <f t="shared" si="357"/>
        <v>Kansas City Royals</v>
      </c>
      <c r="I4199" s="60">
        <f t="shared" si="358"/>
        <v>3</v>
      </c>
      <c r="J4199" t="str">
        <f t="shared" si="359"/>
        <v>Minnesota Twins</v>
      </c>
      <c r="K4199" s="60">
        <f t="shared" si="360"/>
        <v>11</v>
      </c>
      <c r="L4199">
        <f t="shared" si="361"/>
        <v>-8</v>
      </c>
    </row>
    <row r="4200" spans="1:12" x14ac:dyDescent="0.25">
      <c r="G4200" t="str">
        <f t="shared" si="362"/>
        <v>08/03/19</v>
      </c>
      <c r="H4200" t="str">
        <f t="shared" si="357"/>
        <v/>
      </c>
      <c r="I4200" s="60" t="str">
        <f t="shared" si="358"/>
        <v/>
      </c>
      <c r="J4200" t="str">
        <f t="shared" si="359"/>
        <v/>
      </c>
      <c r="K4200" s="60" t="str">
        <f t="shared" si="360"/>
        <v/>
      </c>
      <c r="L4200" t="str">
        <f t="shared" si="361"/>
        <v/>
      </c>
    </row>
    <row r="4201" spans="1:12" x14ac:dyDescent="0.25">
      <c r="A4201" t="s">
        <v>3717</v>
      </c>
      <c r="G4201" t="str">
        <f t="shared" si="362"/>
        <v>08/03/19</v>
      </c>
      <c r="H4201" t="str">
        <f t="shared" si="357"/>
        <v>Boston Red Sox</v>
      </c>
      <c r="I4201" s="60">
        <f t="shared" si="358"/>
        <v>2</v>
      </c>
      <c r="J4201" t="str">
        <f t="shared" si="359"/>
        <v>New York Yankees</v>
      </c>
      <c r="K4201" s="60">
        <f t="shared" si="360"/>
        <v>9</v>
      </c>
      <c r="L4201">
        <f t="shared" si="361"/>
        <v>-7</v>
      </c>
    </row>
    <row r="4202" spans="1:12" x14ac:dyDescent="0.25">
      <c r="G4202" t="str">
        <f t="shared" si="362"/>
        <v>08/03/19</v>
      </c>
      <c r="H4202" t="str">
        <f t="shared" si="357"/>
        <v/>
      </c>
      <c r="I4202" s="60" t="str">
        <f t="shared" si="358"/>
        <v/>
      </c>
      <c r="J4202" t="str">
        <f t="shared" si="359"/>
        <v/>
      </c>
      <c r="K4202" s="60" t="str">
        <f t="shared" si="360"/>
        <v/>
      </c>
      <c r="L4202" t="str">
        <f t="shared" si="361"/>
        <v/>
      </c>
    </row>
    <row r="4203" spans="1:12" x14ac:dyDescent="0.25">
      <c r="A4203" t="s">
        <v>3718</v>
      </c>
      <c r="G4203" t="str">
        <f t="shared" si="362"/>
        <v>08/03/19</v>
      </c>
      <c r="H4203" t="str">
        <f t="shared" si="357"/>
        <v>Boston Red Sox</v>
      </c>
      <c r="I4203" s="60">
        <f t="shared" si="358"/>
        <v>4</v>
      </c>
      <c r="J4203" t="str">
        <f t="shared" si="359"/>
        <v>New York Yankees</v>
      </c>
      <c r="K4203" s="60">
        <f t="shared" si="360"/>
        <v>6</v>
      </c>
      <c r="L4203">
        <f t="shared" si="361"/>
        <v>-2</v>
      </c>
    </row>
    <row r="4204" spans="1:12" x14ac:dyDescent="0.25">
      <c r="G4204" t="str">
        <f t="shared" si="362"/>
        <v>08/03/19</v>
      </c>
      <c r="H4204" t="str">
        <f t="shared" si="357"/>
        <v/>
      </c>
      <c r="I4204" s="60" t="str">
        <f t="shared" si="358"/>
        <v/>
      </c>
      <c r="J4204" t="str">
        <f t="shared" si="359"/>
        <v/>
      </c>
      <c r="K4204" s="60" t="str">
        <f t="shared" si="360"/>
        <v/>
      </c>
      <c r="L4204" t="str">
        <f t="shared" si="361"/>
        <v/>
      </c>
    </row>
    <row r="4205" spans="1:12" x14ac:dyDescent="0.25">
      <c r="A4205" t="s">
        <v>3719</v>
      </c>
      <c r="G4205" t="str">
        <f t="shared" si="362"/>
        <v>08/03/19</v>
      </c>
      <c r="H4205" t="str">
        <f t="shared" si="357"/>
        <v>St. Louis Cardinals</v>
      </c>
      <c r="I4205" s="60">
        <f t="shared" si="358"/>
        <v>3</v>
      </c>
      <c r="J4205" t="str">
        <f t="shared" si="359"/>
        <v>Oakland Athletics</v>
      </c>
      <c r="K4205" s="60">
        <f t="shared" si="360"/>
        <v>8</v>
      </c>
      <c r="L4205">
        <f t="shared" si="361"/>
        <v>-5</v>
      </c>
    </row>
    <row r="4206" spans="1:12" x14ac:dyDescent="0.25">
      <c r="G4206" t="str">
        <f t="shared" si="362"/>
        <v>08/03/19</v>
      </c>
      <c r="H4206" t="str">
        <f t="shared" si="357"/>
        <v/>
      </c>
      <c r="I4206" s="60" t="str">
        <f t="shared" si="358"/>
        <v/>
      </c>
      <c r="J4206" t="str">
        <f t="shared" si="359"/>
        <v/>
      </c>
      <c r="K4206" s="60" t="str">
        <f t="shared" si="360"/>
        <v/>
      </c>
      <c r="L4206" t="str">
        <f t="shared" si="361"/>
        <v/>
      </c>
    </row>
    <row r="4207" spans="1:12" x14ac:dyDescent="0.25">
      <c r="A4207" t="s">
        <v>3720</v>
      </c>
      <c r="G4207" t="str">
        <f t="shared" si="362"/>
        <v>08/03/19</v>
      </c>
      <c r="H4207" t="str">
        <f t="shared" si="357"/>
        <v>Chicago White Sox</v>
      </c>
      <c r="I4207" s="60">
        <f t="shared" si="358"/>
        <v>2</v>
      </c>
      <c r="J4207" t="str">
        <f t="shared" si="359"/>
        <v>Philadelphia Phillies</v>
      </c>
      <c r="K4207" s="60">
        <f t="shared" si="360"/>
        <v>3</v>
      </c>
      <c r="L4207">
        <f t="shared" si="361"/>
        <v>-1</v>
      </c>
    </row>
    <row r="4208" spans="1:12" x14ac:dyDescent="0.25">
      <c r="G4208" t="str">
        <f t="shared" si="362"/>
        <v>08/03/19</v>
      </c>
      <c r="H4208" t="str">
        <f t="shared" si="357"/>
        <v/>
      </c>
      <c r="I4208" s="60" t="str">
        <f t="shared" si="358"/>
        <v/>
      </c>
      <c r="J4208" t="str">
        <f t="shared" si="359"/>
        <v/>
      </c>
      <c r="K4208" s="60" t="str">
        <f t="shared" si="360"/>
        <v/>
      </c>
      <c r="L4208" t="str">
        <f t="shared" si="361"/>
        <v/>
      </c>
    </row>
    <row r="4209" spans="1:12" x14ac:dyDescent="0.25">
      <c r="A4209" t="s">
        <v>3721</v>
      </c>
      <c r="G4209" t="str">
        <f t="shared" si="362"/>
        <v>08/03/19</v>
      </c>
      <c r="H4209" t="str">
        <f t="shared" si="357"/>
        <v>New York Mets</v>
      </c>
      <c r="I4209" s="60">
        <f t="shared" si="358"/>
        <v>7</v>
      </c>
      <c r="J4209" t="str">
        <f t="shared" si="359"/>
        <v>Pittsburgh Pirates</v>
      </c>
      <c r="K4209" s="60">
        <f t="shared" si="360"/>
        <v>5</v>
      </c>
      <c r="L4209">
        <f t="shared" si="361"/>
        <v>2</v>
      </c>
    </row>
    <row r="4210" spans="1:12" x14ac:dyDescent="0.25">
      <c r="G4210" t="str">
        <f t="shared" si="362"/>
        <v>08/03/19</v>
      </c>
      <c r="H4210" t="str">
        <f t="shared" si="357"/>
        <v/>
      </c>
      <c r="I4210" s="60" t="str">
        <f t="shared" si="358"/>
        <v/>
      </c>
      <c r="J4210" t="str">
        <f t="shared" si="359"/>
        <v/>
      </c>
      <c r="K4210" s="60" t="str">
        <f t="shared" si="360"/>
        <v/>
      </c>
      <c r="L4210" t="str">
        <f t="shared" si="361"/>
        <v/>
      </c>
    </row>
    <row r="4211" spans="1:12" x14ac:dyDescent="0.25">
      <c r="A4211" t="s">
        <v>3722</v>
      </c>
      <c r="G4211" t="str">
        <f t="shared" si="362"/>
        <v>08/03/19</v>
      </c>
      <c r="H4211" t="str">
        <f t="shared" si="357"/>
        <v>Miami Marlins</v>
      </c>
      <c r="I4211" s="60">
        <f t="shared" si="358"/>
        <v>6</v>
      </c>
      <c r="J4211" t="str">
        <f t="shared" si="359"/>
        <v>Tampa Bay Rays</v>
      </c>
      <c r="K4211" s="60">
        <f t="shared" si="360"/>
        <v>8</v>
      </c>
      <c r="L4211">
        <f t="shared" si="361"/>
        <v>-2</v>
      </c>
    </row>
    <row r="4212" spans="1:12" x14ac:dyDescent="0.25">
      <c r="G4212" t="str">
        <f t="shared" si="362"/>
        <v>08/03/19</v>
      </c>
      <c r="H4212" t="str">
        <f t="shared" si="357"/>
        <v/>
      </c>
      <c r="I4212" s="60" t="str">
        <f t="shared" si="358"/>
        <v/>
      </c>
      <c r="J4212" t="str">
        <f t="shared" si="359"/>
        <v/>
      </c>
      <c r="K4212" s="60" t="str">
        <f t="shared" si="360"/>
        <v/>
      </c>
      <c r="L4212" t="str">
        <f t="shared" si="361"/>
        <v/>
      </c>
    </row>
    <row r="4213" spans="1:12" x14ac:dyDescent="0.25">
      <c r="A4213" t="s">
        <v>3702</v>
      </c>
      <c r="G4213" t="str">
        <f t="shared" si="362"/>
        <v>08/03/19</v>
      </c>
      <c r="H4213" t="str">
        <f t="shared" si="357"/>
        <v>Detroit Tigers</v>
      </c>
      <c r="I4213" s="60">
        <f t="shared" si="358"/>
        <v>4</v>
      </c>
      <c r="J4213" t="str">
        <f t="shared" si="359"/>
        <v>Texas Rangers</v>
      </c>
      <c r="K4213" s="60">
        <f t="shared" si="360"/>
        <v>5</v>
      </c>
      <c r="L4213">
        <f t="shared" si="361"/>
        <v>-1</v>
      </c>
    </row>
    <row r="4214" spans="1:12" x14ac:dyDescent="0.25">
      <c r="G4214" t="str">
        <f t="shared" si="362"/>
        <v>08/03/19</v>
      </c>
      <c r="H4214" t="str">
        <f t="shared" si="357"/>
        <v/>
      </c>
      <c r="I4214" s="60" t="str">
        <f t="shared" si="358"/>
        <v/>
      </c>
      <c r="J4214" t="str">
        <f t="shared" si="359"/>
        <v/>
      </c>
      <c r="K4214" s="60" t="str">
        <f t="shared" si="360"/>
        <v/>
      </c>
      <c r="L4214" t="str">
        <f t="shared" si="361"/>
        <v/>
      </c>
    </row>
    <row r="4215" spans="1:12" x14ac:dyDescent="0.25">
      <c r="A4215" t="s">
        <v>3723</v>
      </c>
      <c r="G4215" t="str">
        <f t="shared" si="362"/>
        <v>08/03/19</v>
      </c>
      <c r="H4215" t="str">
        <f t="shared" si="357"/>
        <v/>
      </c>
      <c r="I4215" s="60" t="str">
        <f t="shared" si="358"/>
        <v/>
      </c>
      <c r="J4215" t="str">
        <f t="shared" si="359"/>
        <v/>
      </c>
      <c r="K4215" s="60" t="str">
        <f t="shared" si="360"/>
        <v/>
      </c>
      <c r="L4215" t="str">
        <f t="shared" si="361"/>
        <v/>
      </c>
    </row>
    <row r="4216" spans="1:12" x14ac:dyDescent="0.25">
      <c r="G4216" t="str">
        <f t="shared" si="362"/>
        <v>08/03/19</v>
      </c>
      <c r="H4216" t="str">
        <f t="shared" si="357"/>
        <v/>
      </c>
      <c r="I4216" s="60" t="str">
        <f t="shared" si="358"/>
        <v/>
      </c>
      <c r="J4216" t="str">
        <f t="shared" si="359"/>
        <v/>
      </c>
      <c r="K4216" s="60" t="str">
        <f t="shared" si="360"/>
        <v/>
      </c>
      <c r="L4216" t="str">
        <f t="shared" si="361"/>
        <v/>
      </c>
    </row>
    <row r="4217" spans="1:12" x14ac:dyDescent="0.25">
      <c r="A4217" t="s">
        <v>3278</v>
      </c>
      <c r="G4217" t="str">
        <f t="shared" si="362"/>
        <v>08/04/19</v>
      </c>
      <c r="H4217" t="str">
        <f t="shared" si="357"/>
        <v/>
      </c>
      <c r="I4217" s="60" t="str">
        <f t="shared" si="358"/>
        <v/>
      </c>
      <c r="J4217" t="str">
        <f t="shared" si="359"/>
        <v/>
      </c>
      <c r="K4217" s="60" t="str">
        <f t="shared" si="360"/>
        <v/>
      </c>
      <c r="L4217" t="str">
        <f t="shared" si="361"/>
        <v/>
      </c>
    </row>
    <row r="4218" spans="1:12" x14ac:dyDescent="0.25">
      <c r="G4218" t="str">
        <f t="shared" si="362"/>
        <v>08/04/19</v>
      </c>
      <c r="H4218" t="str">
        <f t="shared" si="357"/>
        <v/>
      </c>
      <c r="I4218" s="60" t="str">
        <f t="shared" si="358"/>
        <v/>
      </c>
      <c r="J4218" t="str">
        <f t="shared" si="359"/>
        <v/>
      </c>
      <c r="K4218" s="60" t="str">
        <f t="shared" si="360"/>
        <v/>
      </c>
      <c r="L4218" t="str">
        <f t="shared" si="361"/>
        <v/>
      </c>
    </row>
    <row r="4219" spans="1:12" x14ac:dyDescent="0.25">
      <c r="A4219" t="s">
        <v>3730</v>
      </c>
      <c r="G4219" t="str">
        <f t="shared" si="362"/>
        <v>08/04/19</v>
      </c>
      <c r="H4219" t="str">
        <f t="shared" si="357"/>
        <v>Washington Nationals</v>
      </c>
      <c r="I4219" s="60">
        <f t="shared" si="358"/>
        <v>5</v>
      </c>
      <c r="J4219" t="str">
        <f t="shared" si="359"/>
        <v>Arizona D'Backs</v>
      </c>
      <c r="K4219" s="60">
        <f t="shared" si="360"/>
        <v>7</v>
      </c>
      <c r="L4219">
        <f t="shared" si="361"/>
        <v>-2</v>
      </c>
    </row>
    <row r="4220" spans="1:12" x14ac:dyDescent="0.25">
      <c r="G4220" t="str">
        <f t="shared" si="362"/>
        <v>08/04/19</v>
      </c>
      <c r="H4220" t="str">
        <f t="shared" si="357"/>
        <v/>
      </c>
      <c r="I4220" s="60" t="str">
        <f t="shared" si="358"/>
        <v/>
      </c>
      <c r="J4220" t="str">
        <f t="shared" si="359"/>
        <v/>
      </c>
      <c r="K4220" s="60" t="str">
        <f t="shared" si="360"/>
        <v/>
      </c>
      <c r="L4220" t="str">
        <f t="shared" si="361"/>
        <v/>
      </c>
    </row>
    <row r="4221" spans="1:12" x14ac:dyDescent="0.25">
      <c r="A4221" t="s">
        <v>3731</v>
      </c>
      <c r="G4221" t="str">
        <f t="shared" si="362"/>
        <v>08/04/19</v>
      </c>
      <c r="H4221" t="str">
        <f t="shared" si="357"/>
        <v>Cincinnati Reds</v>
      </c>
      <c r="I4221" s="60">
        <f t="shared" si="358"/>
        <v>6</v>
      </c>
      <c r="J4221" t="str">
        <f t="shared" si="359"/>
        <v>Atlanta Braves</v>
      </c>
      <c r="K4221" s="60">
        <f t="shared" si="360"/>
        <v>4</v>
      </c>
      <c r="L4221">
        <f t="shared" si="361"/>
        <v>2</v>
      </c>
    </row>
    <row r="4222" spans="1:12" x14ac:dyDescent="0.25">
      <c r="G4222" t="str">
        <f t="shared" si="362"/>
        <v>08/04/19</v>
      </c>
      <c r="H4222" t="str">
        <f t="shared" si="357"/>
        <v/>
      </c>
      <c r="I4222" s="60" t="str">
        <f t="shared" si="358"/>
        <v/>
      </c>
      <c r="J4222" t="str">
        <f t="shared" si="359"/>
        <v/>
      </c>
      <c r="K4222" s="60" t="str">
        <f t="shared" si="360"/>
        <v/>
      </c>
      <c r="L4222" t="str">
        <f t="shared" si="361"/>
        <v/>
      </c>
    </row>
    <row r="4223" spans="1:12" x14ac:dyDescent="0.25">
      <c r="A4223" t="s">
        <v>3732</v>
      </c>
      <c r="G4223" t="str">
        <f t="shared" si="362"/>
        <v>08/04/19</v>
      </c>
      <c r="H4223" t="str">
        <f t="shared" si="357"/>
        <v>Toronto Blue Jays</v>
      </c>
      <c r="I4223" s="60">
        <f t="shared" si="358"/>
        <v>5</v>
      </c>
      <c r="J4223" t="str">
        <f t="shared" si="359"/>
        <v>Baltimore Orioles</v>
      </c>
      <c r="K4223" s="60">
        <f t="shared" si="360"/>
        <v>6</v>
      </c>
      <c r="L4223">
        <f t="shared" si="361"/>
        <v>-1</v>
      </c>
    </row>
    <row r="4224" spans="1:12" x14ac:dyDescent="0.25">
      <c r="G4224" t="str">
        <f t="shared" si="362"/>
        <v>08/04/19</v>
      </c>
      <c r="H4224" t="str">
        <f t="shared" si="357"/>
        <v/>
      </c>
      <c r="I4224" s="60" t="str">
        <f t="shared" si="358"/>
        <v/>
      </c>
      <c r="J4224" t="str">
        <f t="shared" si="359"/>
        <v/>
      </c>
      <c r="K4224" s="60" t="str">
        <f t="shared" si="360"/>
        <v/>
      </c>
      <c r="L4224" t="str">
        <f t="shared" si="361"/>
        <v/>
      </c>
    </row>
    <row r="4225" spans="1:12" x14ac:dyDescent="0.25">
      <c r="A4225" t="s">
        <v>3733</v>
      </c>
      <c r="G4225" t="str">
        <f t="shared" si="362"/>
        <v>08/04/19</v>
      </c>
      <c r="H4225" t="str">
        <f t="shared" si="357"/>
        <v>Milwaukee Brewers</v>
      </c>
      <c r="I4225" s="60">
        <f t="shared" si="358"/>
        <v>2</v>
      </c>
      <c r="J4225" t="str">
        <f t="shared" si="359"/>
        <v>Chicago Cubs</v>
      </c>
      <c r="K4225" s="60">
        <f t="shared" si="360"/>
        <v>7</v>
      </c>
      <c r="L4225">
        <f t="shared" si="361"/>
        <v>-5</v>
      </c>
    </row>
    <row r="4226" spans="1:12" x14ac:dyDescent="0.25">
      <c r="G4226" t="str">
        <f t="shared" si="362"/>
        <v>08/04/19</v>
      </c>
      <c r="H4226" t="str">
        <f t="shared" si="357"/>
        <v/>
      </c>
      <c r="I4226" s="60" t="str">
        <f t="shared" si="358"/>
        <v/>
      </c>
      <c r="J4226" t="str">
        <f t="shared" si="359"/>
        <v/>
      </c>
      <c r="K4226" s="60" t="str">
        <f t="shared" si="360"/>
        <v/>
      </c>
      <c r="L4226" t="str">
        <f t="shared" si="361"/>
        <v/>
      </c>
    </row>
    <row r="4227" spans="1:12" x14ac:dyDescent="0.25">
      <c r="A4227" t="s">
        <v>3734</v>
      </c>
      <c r="G4227" t="str">
        <f t="shared" si="362"/>
        <v>08/04/19</v>
      </c>
      <c r="H4227" t="str">
        <f t="shared" si="357"/>
        <v>Los Angeles Angels</v>
      </c>
      <c r="I4227" s="60">
        <f t="shared" si="358"/>
        <v>2</v>
      </c>
      <c r="J4227" t="str">
        <f t="shared" si="359"/>
        <v>Cleveland Indians</v>
      </c>
      <c r="K4227" s="60">
        <f t="shared" si="360"/>
        <v>6</v>
      </c>
      <c r="L4227">
        <f t="shared" si="361"/>
        <v>-4</v>
      </c>
    </row>
    <row r="4228" spans="1:12" x14ac:dyDescent="0.25">
      <c r="G4228" t="str">
        <f t="shared" si="362"/>
        <v>08/04/19</v>
      </c>
      <c r="H4228" t="str">
        <f t="shared" si="357"/>
        <v/>
      </c>
      <c r="I4228" s="60" t="str">
        <f t="shared" si="358"/>
        <v/>
      </c>
      <c r="J4228" t="str">
        <f t="shared" si="359"/>
        <v/>
      </c>
      <c r="K4228" s="60" t="str">
        <f t="shared" si="360"/>
        <v/>
      </c>
      <c r="L4228" t="str">
        <f t="shared" si="361"/>
        <v/>
      </c>
    </row>
    <row r="4229" spans="1:12" x14ac:dyDescent="0.25">
      <c r="A4229" t="s">
        <v>3735</v>
      </c>
      <c r="G4229" t="str">
        <f t="shared" si="362"/>
        <v>08/04/19</v>
      </c>
      <c r="H4229" t="str">
        <f t="shared" si="357"/>
        <v>San Francisco Giants</v>
      </c>
      <c r="I4229" s="60">
        <f t="shared" si="358"/>
        <v>2</v>
      </c>
      <c r="J4229" t="str">
        <f t="shared" si="359"/>
        <v>Colorado Rockies</v>
      </c>
      <c r="K4229" s="60">
        <f t="shared" si="360"/>
        <v>6</v>
      </c>
      <c r="L4229">
        <f t="shared" si="361"/>
        <v>-4</v>
      </c>
    </row>
    <row r="4230" spans="1:12" x14ac:dyDescent="0.25">
      <c r="G4230" t="str">
        <f t="shared" si="362"/>
        <v>08/04/19</v>
      </c>
      <c r="H4230" t="str">
        <f t="shared" si="357"/>
        <v/>
      </c>
      <c r="I4230" s="60" t="str">
        <f t="shared" si="358"/>
        <v/>
      </c>
      <c r="J4230" t="str">
        <f t="shared" si="359"/>
        <v/>
      </c>
      <c r="K4230" s="60" t="str">
        <f t="shared" si="360"/>
        <v/>
      </c>
      <c r="L4230" t="str">
        <f t="shared" si="361"/>
        <v/>
      </c>
    </row>
    <row r="4231" spans="1:12" x14ac:dyDescent="0.25">
      <c r="A4231" t="s">
        <v>3736</v>
      </c>
      <c r="G4231" t="str">
        <f t="shared" si="362"/>
        <v>08/04/19</v>
      </c>
      <c r="H4231" t="str">
        <f t="shared" si="357"/>
        <v>Seattle Mariners</v>
      </c>
      <c r="I4231" s="60">
        <f t="shared" si="358"/>
        <v>1</v>
      </c>
      <c r="J4231" t="str">
        <f t="shared" si="359"/>
        <v>Houston Astros</v>
      </c>
      <c r="K4231" s="60">
        <f t="shared" si="360"/>
        <v>3</v>
      </c>
      <c r="L4231">
        <f t="shared" si="361"/>
        <v>-2</v>
      </c>
    </row>
    <row r="4232" spans="1:12" x14ac:dyDescent="0.25">
      <c r="G4232" t="str">
        <f t="shared" si="362"/>
        <v>08/04/19</v>
      </c>
      <c r="H4232" t="str">
        <f t="shared" si="357"/>
        <v/>
      </c>
      <c r="I4232" s="60" t="str">
        <f t="shared" si="358"/>
        <v/>
      </c>
      <c r="J4232" t="str">
        <f t="shared" si="359"/>
        <v/>
      </c>
      <c r="K4232" s="60" t="str">
        <f t="shared" si="360"/>
        <v/>
      </c>
      <c r="L4232" t="str">
        <f t="shared" si="361"/>
        <v/>
      </c>
    </row>
    <row r="4233" spans="1:12" x14ac:dyDescent="0.25">
      <c r="A4233" t="s">
        <v>3737</v>
      </c>
      <c r="G4233" t="str">
        <f t="shared" si="362"/>
        <v>08/04/19</v>
      </c>
      <c r="H4233" t="str">
        <f t="shared" si="357"/>
        <v>San Diego Padres</v>
      </c>
      <c r="I4233" s="60">
        <f t="shared" si="358"/>
        <v>10</v>
      </c>
      <c r="J4233" t="str">
        <f t="shared" si="359"/>
        <v>Los Angeles Dodgers</v>
      </c>
      <c r="K4233" s="60">
        <f t="shared" si="360"/>
        <v>11</v>
      </c>
      <c r="L4233">
        <f t="shared" si="361"/>
        <v>-1</v>
      </c>
    </row>
    <row r="4234" spans="1:12" x14ac:dyDescent="0.25">
      <c r="G4234" t="str">
        <f t="shared" si="362"/>
        <v>08/04/19</v>
      </c>
      <c r="H4234" t="str">
        <f t="shared" si="357"/>
        <v/>
      </c>
      <c r="I4234" s="60" t="str">
        <f t="shared" si="358"/>
        <v/>
      </c>
      <c r="J4234" t="str">
        <f t="shared" si="359"/>
        <v/>
      </c>
      <c r="K4234" s="60" t="str">
        <f t="shared" si="360"/>
        <v/>
      </c>
      <c r="L4234" t="str">
        <f t="shared" si="361"/>
        <v/>
      </c>
    </row>
    <row r="4235" spans="1:12" x14ac:dyDescent="0.25">
      <c r="A4235" t="s">
        <v>3738</v>
      </c>
      <c r="G4235" t="str">
        <f t="shared" si="362"/>
        <v>08/04/19</v>
      </c>
      <c r="H4235" t="str">
        <f t="shared" si="357"/>
        <v>Kansas City Royals</v>
      </c>
      <c r="I4235" s="60">
        <f t="shared" si="358"/>
        <v>0</v>
      </c>
      <c r="J4235" t="str">
        <f t="shared" si="359"/>
        <v>Minnesota Twins</v>
      </c>
      <c r="K4235" s="60">
        <f t="shared" si="360"/>
        <v>3</v>
      </c>
      <c r="L4235">
        <f t="shared" si="361"/>
        <v>-3</v>
      </c>
    </row>
    <row r="4236" spans="1:12" x14ac:dyDescent="0.25">
      <c r="G4236" t="str">
        <f t="shared" si="362"/>
        <v>08/04/19</v>
      </c>
      <c r="H4236" t="str">
        <f t="shared" si="357"/>
        <v/>
      </c>
      <c r="I4236" s="60" t="str">
        <f t="shared" si="358"/>
        <v/>
      </c>
      <c r="J4236" t="str">
        <f t="shared" si="359"/>
        <v/>
      </c>
      <c r="K4236" s="60" t="str">
        <f t="shared" si="360"/>
        <v/>
      </c>
      <c r="L4236" t="str">
        <f t="shared" si="361"/>
        <v/>
      </c>
    </row>
    <row r="4237" spans="1:12" x14ac:dyDescent="0.25">
      <c r="A4237" t="s">
        <v>3739</v>
      </c>
      <c r="G4237" t="str">
        <f t="shared" si="362"/>
        <v>08/04/19</v>
      </c>
      <c r="H4237" t="str">
        <f t="shared" si="357"/>
        <v>Boston Red Sox</v>
      </c>
      <c r="I4237" s="60">
        <f t="shared" si="358"/>
        <v>4</v>
      </c>
      <c r="J4237" t="str">
        <f t="shared" si="359"/>
        <v>New York Yankees</v>
      </c>
      <c r="K4237" s="60">
        <f t="shared" si="360"/>
        <v>7</v>
      </c>
      <c r="L4237">
        <f t="shared" si="361"/>
        <v>-3</v>
      </c>
    </row>
    <row r="4238" spans="1:12" x14ac:dyDescent="0.25">
      <c r="G4238" t="str">
        <f t="shared" si="362"/>
        <v>08/04/19</v>
      </c>
      <c r="H4238" t="str">
        <f t="shared" si="357"/>
        <v/>
      </c>
      <c r="I4238" s="60" t="str">
        <f t="shared" si="358"/>
        <v/>
      </c>
      <c r="J4238" t="str">
        <f t="shared" si="359"/>
        <v/>
      </c>
      <c r="K4238" s="60" t="str">
        <f t="shared" si="360"/>
        <v/>
      </c>
      <c r="L4238" t="str">
        <f t="shared" si="361"/>
        <v/>
      </c>
    </row>
    <row r="4239" spans="1:12" x14ac:dyDescent="0.25">
      <c r="A4239" t="s">
        <v>3740</v>
      </c>
      <c r="G4239" t="str">
        <f t="shared" si="362"/>
        <v>08/04/19</v>
      </c>
      <c r="H4239" t="str">
        <f t="shared" si="357"/>
        <v>St. Louis Cardinals</v>
      </c>
      <c r="I4239" s="60">
        <f t="shared" si="358"/>
        <v>2</v>
      </c>
      <c r="J4239" t="str">
        <f t="shared" si="359"/>
        <v>Oakland Athletics</v>
      </c>
      <c r="K4239" s="60">
        <f t="shared" si="360"/>
        <v>4</v>
      </c>
      <c r="L4239">
        <f t="shared" si="361"/>
        <v>-2</v>
      </c>
    </row>
    <row r="4240" spans="1:12" x14ac:dyDescent="0.25">
      <c r="G4240" t="str">
        <f t="shared" si="362"/>
        <v>08/04/19</v>
      </c>
      <c r="H4240" t="str">
        <f t="shared" ref="H4240:H4303" si="363">IFERROR(LEFT(MID(A4240,1,SEARCH("@",A4240)-2),SEARCH("(",A4240)-2),"")</f>
        <v/>
      </c>
      <c r="I4240" s="60" t="str">
        <f t="shared" ref="I4240:I4303" si="364">IFERROR(VALUE(MID(A4240,SEARCH("(",A4240)+1,SEARCH(")",A4240)-SEARCH("(",A4240)-1)),"")</f>
        <v/>
      </c>
      <c r="J4240" t="str">
        <f t="shared" ref="J4240:J4303" si="365">IFERROR(MID(A4240,SEARCH("@",A4240)+2,SEARCH("(",A4240,SEARCH("@",A4240))-SEARCH("@",A4240)-3),"")</f>
        <v/>
      </c>
      <c r="K4240" s="60" t="str">
        <f t="shared" ref="K4240:K4303" si="366">IFERROR(VALUE(MID(A4240,SEARCH(J4240,A4240)+LEN(J4240)+2,(SEARCH(")",A4240,SEARCH("@",A4240))-SEARCH("(",A4240,SEARCH("@",A4240))-1))),"")</f>
        <v/>
      </c>
      <c r="L4240" t="str">
        <f t="shared" ref="L4240:L4303" si="367">IFERROR(I4240-K4240,"")</f>
        <v/>
      </c>
    </row>
    <row r="4241" spans="1:12" x14ac:dyDescent="0.25">
      <c r="A4241" t="s">
        <v>3741</v>
      </c>
      <c r="G4241" t="str">
        <f t="shared" si="362"/>
        <v>08/04/19</v>
      </c>
      <c r="H4241" t="str">
        <f t="shared" si="363"/>
        <v>Chicago White Sox</v>
      </c>
      <c r="I4241" s="60">
        <f t="shared" si="364"/>
        <v>10</v>
      </c>
      <c r="J4241" t="str">
        <f t="shared" si="365"/>
        <v>Philadelphia Phillies</v>
      </c>
      <c r="K4241" s="60">
        <f t="shared" si="366"/>
        <v>5</v>
      </c>
      <c r="L4241">
        <f t="shared" si="367"/>
        <v>5</v>
      </c>
    </row>
    <row r="4242" spans="1:12" x14ac:dyDescent="0.25">
      <c r="G4242" t="str">
        <f t="shared" si="362"/>
        <v>08/04/19</v>
      </c>
      <c r="H4242" t="str">
        <f t="shared" si="363"/>
        <v/>
      </c>
      <c r="I4242" s="60" t="str">
        <f t="shared" si="364"/>
        <v/>
      </c>
      <c r="J4242" t="str">
        <f t="shared" si="365"/>
        <v/>
      </c>
      <c r="K4242" s="60" t="str">
        <f t="shared" si="366"/>
        <v/>
      </c>
      <c r="L4242" t="str">
        <f t="shared" si="367"/>
        <v/>
      </c>
    </row>
    <row r="4243" spans="1:12" x14ac:dyDescent="0.25">
      <c r="A4243" t="s">
        <v>3742</v>
      </c>
      <c r="G4243" t="str">
        <f t="shared" si="362"/>
        <v>08/04/19</v>
      </c>
      <c r="H4243" t="str">
        <f t="shared" si="363"/>
        <v>New York Mets</v>
      </c>
      <c r="I4243" s="60">
        <f t="shared" si="364"/>
        <v>13</v>
      </c>
      <c r="J4243" t="str">
        <f t="shared" si="365"/>
        <v>Pittsburgh Pirates</v>
      </c>
      <c r="K4243" s="60">
        <f t="shared" si="366"/>
        <v>2</v>
      </c>
      <c r="L4243">
        <f t="shared" si="367"/>
        <v>11</v>
      </c>
    </row>
    <row r="4244" spans="1:12" x14ac:dyDescent="0.25">
      <c r="G4244" t="str">
        <f t="shared" si="362"/>
        <v>08/04/19</v>
      </c>
      <c r="H4244" t="str">
        <f t="shared" si="363"/>
        <v/>
      </c>
      <c r="I4244" s="60" t="str">
        <f t="shared" si="364"/>
        <v/>
      </c>
      <c r="J4244" t="str">
        <f t="shared" si="365"/>
        <v/>
      </c>
      <c r="K4244" s="60" t="str">
        <f t="shared" si="366"/>
        <v/>
      </c>
      <c r="L4244" t="str">
        <f t="shared" si="367"/>
        <v/>
      </c>
    </row>
    <row r="4245" spans="1:12" x14ac:dyDescent="0.25">
      <c r="A4245" t="s">
        <v>3743</v>
      </c>
      <c r="G4245" t="str">
        <f t="shared" si="362"/>
        <v>08/04/19</v>
      </c>
      <c r="H4245" t="str">
        <f t="shared" si="363"/>
        <v>Miami Marlins</v>
      </c>
      <c r="I4245" s="60">
        <f t="shared" si="364"/>
        <v>2</v>
      </c>
      <c r="J4245" t="str">
        <f t="shared" si="365"/>
        <v>Tampa Bay Rays</v>
      </c>
      <c r="K4245" s="60">
        <f t="shared" si="366"/>
        <v>7</v>
      </c>
      <c r="L4245">
        <f t="shared" si="367"/>
        <v>-5</v>
      </c>
    </row>
    <row r="4246" spans="1:12" x14ac:dyDescent="0.25">
      <c r="G4246" t="str">
        <f t="shared" si="362"/>
        <v>08/04/19</v>
      </c>
      <c r="H4246" t="str">
        <f t="shared" si="363"/>
        <v/>
      </c>
      <c r="I4246" s="60" t="str">
        <f t="shared" si="364"/>
        <v/>
      </c>
      <c r="J4246" t="str">
        <f t="shared" si="365"/>
        <v/>
      </c>
      <c r="K4246" s="60" t="str">
        <f t="shared" si="366"/>
        <v/>
      </c>
      <c r="L4246" t="str">
        <f t="shared" si="367"/>
        <v/>
      </c>
    </row>
    <row r="4247" spans="1:12" x14ac:dyDescent="0.25">
      <c r="A4247" t="s">
        <v>3744</v>
      </c>
      <c r="G4247" t="str">
        <f t="shared" si="362"/>
        <v>08/04/19</v>
      </c>
      <c r="H4247" t="str">
        <f t="shared" si="363"/>
        <v>Detroit Tigers</v>
      </c>
      <c r="I4247" s="60">
        <f t="shared" si="364"/>
        <v>4</v>
      </c>
      <c r="J4247" t="str">
        <f t="shared" si="365"/>
        <v>Texas Rangers</v>
      </c>
      <c r="K4247" s="60">
        <f t="shared" si="366"/>
        <v>9</v>
      </c>
      <c r="L4247">
        <f t="shared" si="367"/>
        <v>-5</v>
      </c>
    </row>
    <row r="4248" spans="1:12" x14ac:dyDescent="0.25">
      <c r="G4248" t="str">
        <f t="shared" si="362"/>
        <v>08/04/19</v>
      </c>
      <c r="H4248" t="str">
        <f t="shared" si="363"/>
        <v/>
      </c>
      <c r="I4248" s="60" t="str">
        <f t="shared" si="364"/>
        <v/>
      </c>
      <c r="J4248" t="str">
        <f t="shared" si="365"/>
        <v/>
      </c>
      <c r="K4248" s="60" t="str">
        <f t="shared" si="366"/>
        <v/>
      </c>
      <c r="L4248" t="str">
        <f t="shared" si="367"/>
        <v/>
      </c>
    </row>
    <row r="4249" spans="1:12" x14ac:dyDescent="0.25">
      <c r="A4249" t="s">
        <v>3745</v>
      </c>
      <c r="G4249" t="str">
        <f t="shared" si="362"/>
        <v>08/04/19</v>
      </c>
      <c r="H4249" t="str">
        <f t="shared" si="363"/>
        <v/>
      </c>
      <c r="I4249" s="60" t="str">
        <f t="shared" si="364"/>
        <v/>
      </c>
      <c r="J4249" t="str">
        <f t="shared" si="365"/>
        <v/>
      </c>
      <c r="K4249" s="60" t="str">
        <f t="shared" si="366"/>
        <v/>
      </c>
      <c r="L4249" t="str">
        <f t="shared" si="367"/>
        <v/>
      </c>
    </row>
    <row r="4250" spans="1:12" x14ac:dyDescent="0.25">
      <c r="G4250" t="str">
        <f t="shared" si="362"/>
        <v>08/04/19</v>
      </c>
      <c r="H4250" t="str">
        <f t="shared" si="363"/>
        <v/>
      </c>
      <c r="I4250" s="60" t="str">
        <f t="shared" si="364"/>
        <v/>
      </c>
      <c r="J4250" t="str">
        <f t="shared" si="365"/>
        <v/>
      </c>
      <c r="K4250" s="60" t="str">
        <f t="shared" si="366"/>
        <v/>
      </c>
      <c r="L4250" t="str">
        <f t="shared" si="367"/>
        <v/>
      </c>
    </row>
    <row r="4251" spans="1:12" x14ac:dyDescent="0.25">
      <c r="A4251" t="s">
        <v>3759</v>
      </c>
      <c r="G4251" t="str">
        <f t="shared" si="362"/>
        <v>08/05/19</v>
      </c>
      <c r="H4251" t="str">
        <f t="shared" si="363"/>
        <v/>
      </c>
      <c r="I4251" s="60" t="str">
        <f t="shared" si="364"/>
        <v/>
      </c>
      <c r="J4251" t="str">
        <f t="shared" si="365"/>
        <v/>
      </c>
      <c r="K4251" s="60" t="str">
        <f t="shared" si="366"/>
        <v/>
      </c>
      <c r="L4251" t="str">
        <f t="shared" si="367"/>
        <v/>
      </c>
    </row>
    <row r="4252" spans="1:12" x14ac:dyDescent="0.25">
      <c r="G4252" t="str">
        <f t="shared" si="362"/>
        <v>08/05/19</v>
      </c>
      <c r="H4252" t="str">
        <f t="shared" si="363"/>
        <v/>
      </c>
      <c r="I4252" s="60" t="str">
        <f t="shared" si="364"/>
        <v/>
      </c>
      <c r="J4252" t="str">
        <f t="shared" si="365"/>
        <v/>
      </c>
      <c r="K4252" s="60" t="str">
        <f t="shared" si="366"/>
        <v/>
      </c>
      <c r="L4252" t="str">
        <f t="shared" si="367"/>
        <v/>
      </c>
    </row>
    <row r="4253" spans="1:12" x14ac:dyDescent="0.25">
      <c r="A4253" t="s">
        <v>3760</v>
      </c>
      <c r="G4253" t="str">
        <f t="shared" si="362"/>
        <v>08/05/19</v>
      </c>
      <c r="H4253" t="str">
        <f t="shared" si="363"/>
        <v>Philadelphia Phillies</v>
      </c>
      <c r="I4253" s="60">
        <f t="shared" si="364"/>
        <v>7</v>
      </c>
      <c r="J4253" t="str">
        <f t="shared" si="365"/>
        <v>Arizona D'Backs</v>
      </c>
      <c r="K4253" s="60">
        <f t="shared" si="366"/>
        <v>3</v>
      </c>
      <c r="L4253">
        <f t="shared" si="367"/>
        <v>4</v>
      </c>
    </row>
    <row r="4254" spans="1:12" x14ac:dyDescent="0.25">
      <c r="G4254" t="str">
        <f t="shared" si="362"/>
        <v>08/05/19</v>
      </c>
      <c r="H4254" t="str">
        <f t="shared" si="363"/>
        <v/>
      </c>
      <c r="I4254" s="60" t="str">
        <f t="shared" si="364"/>
        <v/>
      </c>
      <c r="J4254" t="str">
        <f t="shared" si="365"/>
        <v/>
      </c>
      <c r="K4254" s="60" t="str">
        <f t="shared" si="366"/>
        <v/>
      </c>
      <c r="L4254" t="str">
        <f t="shared" si="367"/>
        <v/>
      </c>
    </row>
    <row r="4255" spans="1:12" x14ac:dyDescent="0.25">
      <c r="A4255" t="s">
        <v>3761</v>
      </c>
      <c r="G4255" t="str">
        <f t="shared" si="362"/>
        <v>08/05/19</v>
      </c>
      <c r="H4255" t="str">
        <f t="shared" si="363"/>
        <v>New York Yankees</v>
      </c>
      <c r="I4255" s="60">
        <f t="shared" si="364"/>
        <v>9</v>
      </c>
      <c r="J4255" t="str">
        <f t="shared" si="365"/>
        <v>Baltimore Orioles</v>
      </c>
      <c r="K4255" s="60">
        <f t="shared" si="366"/>
        <v>6</v>
      </c>
      <c r="L4255">
        <f t="shared" si="367"/>
        <v>3</v>
      </c>
    </row>
    <row r="4256" spans="1:12" x14ac:dyDescent="0.25">
      <c r="G4256" t="str">
        <f t="shared" si="362"/>
        <v>08/05/19</v>
      </c>
      <c r="H4256" t="str">
        <f t="shared" si="363"/>
        <v/>
      </c>
      <c r="I4256" s="60" t="str">
        <f t="shared" si="364"/>
        <v/>
      </c>
      <c r="J4256" t="str">
        <f t="shared" si="365"/>
        <v/>
      </c>
      <c r="K4256" s="60" t="str">
        <f t="shared" si="366"/>
        <v/>
      </c>
      <c r="L4256" t="str">
        <f t="shared" si="367"/>
        <v/>
      </c>
    </row>
    <row r="4257" spans="1:12" x14ac:dyDescent="0.25">
      <c r="A4257" t="s">
        <v>3762</v>
      </c>
      <c r="G4257" t="str">
        <f t="shared" si="362"/>
        <v>08/05/19</v>
      </c>
      <c r="H4257" t="str">
        <f t="shared" si="363"/>
        <v>Kansas City Royals</v>
      </c>
      <c r="I4257" s="60">
        <f t="shared" si="364"/>
        <v>5</v>
      </c>
      <c r="J4257" t="str">
        <f t="shared" si="365"/>
        <v>Boston Red Sox</v>
      </c>
      <c r="K4257" s="60">
        <f t="shared" si="366"/>
        <v>7</v>
      </c>
      <c r="L4257">
        <f t="shared" si="367"/>
        <v>-2</v>
      </c>
    </row>
    <row r="4258" spans="1:12" x14ac:dyDescent="0.25">
      <c r="G4258" t="str">
        <f t="shared" ref="G4258:G4321" si="368">IF(ISNUMBER(MATCH(IFERROR(LEFT(A4258,SEARCH(",",A4258)-1),""),$G$220:$M$220,0)),TEXT(MID(A4258,SEARCH(",",A4258)+2,LEN(A4258)),"mm/dd/yy"),G4257)</f>
        <v>08/05/19</v>
      </c>
      <c r="H4258" t="str">
        <f t="shared" si="363"/>
        <v/>
      </c>
      <c r="I4258" s="60" t="str">
        <f t="shared" si="364"/>
        <v/>
      </c>
      <c r="J4258" t="str">
        <f t="shared" si="365"/>
        <v/>
      </c>
      <c r="K4258" s="60" t="str">
        <f t="shared" si="366"/>
        <v/>
      </c>
      <c r="L4258" t="str">
        <f t="shared" si="367"/>
        <v/>
      </c>
    </row>
    <row r="4259" spans="1:12" x14ac:dyDescent="0.25">
      <c r="A4259" t="s">
        <v>3763</v>
      </c>
      <c r="G4259" t="str">
        <f t="shared" si="368"/>
        <v>08/05/19</v>
      </c>
      <c r="H4259" t="str">
        <f t="shared" si="363"/>
        <v>Oakland Athletics</v>
      </c>
      <c r="I4259" s="60">
        <f t="shared" si="364"/>
        <v>5</v>
      </c>
      <c r="J4259" t="str">
        <f t="shared" si="365"/>
        <v>Chicago Cubs</v>
      </c>
      <c r="K4259" s="60">
        <f t="shared" si="366"/>
        <v>6</v>
      </c>
      <c r="L4259">
        <f t="shared" si="367"/>
        <v>-1</v>
      </c>
    </row>
    <row r="4260" spans="1:12" x14ac:dyDescent="0.25">
      <c r="G4260" t="str">
        <f t="shared" si="368"/>
        <v>08/05/19</v>
      </c>
      <c r="H4260" t="str">
        <f t="shared" si="363"/>
        <v/>
      </c>
      <c r="I4260" s="60" t="str">
        <f t="shared" si="364"/>
        <v/>
      </c>
      <c r="J4260" t="str">
        <f t="shared" si="365"/>
        <v/>
      </c>
      <c r="K4260" s="60" t="str">
        <f t="shared" si="366"/>
        <v/>
      </c>
      <c r="L4260" t="str">
        <f t="shared" si="367"/>
        <v/>
      </c>
    </row>
    <row r="4261" spans="1:12" x14ac:dyDescent="0.25">
      <c r="A4261" t="s">
        <v>3764</v>
      </c>
      <c r="G4261" t="str">
        <f t="shared" si="368"/>
        <v>08/05/19</v>
      </c>
      <c r="H4261" t="str">
        <f t="shared" si="363"/>
        <v>Los Angeles Angels</v>
      </c>
      <c r="I4261" s="60">
        <f t="shared" si="364"/>
        <v>4</v>
      </c>
      <c r="J4261" t="str">
        <f t="shared" si="365"/>
        <v>Cincinnati Reds</v>
      </c>
      <c r="K4261" s="60">
        <f t="shared" si="366"/>
        <v>7</v>
      </c>
      <c r="L4261">
        <f t="shared" si="367"/>
        <v>-3</v>
      </c>
    </row>
    <row r="4262" spans="1:12" x14ac:dyDescent="0.25">
      <c r="G4262" t="str">
        <f t="shared" si="368"/>
        <v>08/05/19</v>
      </c>
      <c r="H4262" t="str">
        <f t="shared" si="363"/>
        <v/>
      </c>
      <c r="I4262" s="60" t="str">
        <f t="shared" si="364"/>
        <v/>
      </c>
      <c r="J4262" t="str">
        <f t="shared" si="365"/>
        <v/>
      </c>
      <c r="K4262" s="60" t="str">
        <f t="shared" si="366"/>
        <v/>
      </c>
      <c r="L4262" t="str">
        <f t="shared" si="367"/>
        <v/>
      </c>
    </row>
    <row r="4263" spans="1:12" x14ac:dyDescent="0.25">
      <c r="A4263" t="s">
        <v>3765</v>
      </c>
      <c r="G4263" t="str">
        <f t="shared" si="368"/>
        <v>08/05/19</v>
      </c>
      <c r="H4263" t="str">
        <f t="shared" si="363"/>
        <v>Texas Rangers</v>
      </c>
      <c r="I4263" s="60">
        <f t="shared" si="364"/>
        <v>1</v>
      </c>
      <c r="J4263" t="str">
        <f t="shared" si="365"/>
        <v>Cleveland Indians</v>
      </c>
      <c r="K4263" s="60">
        <f t="shared" si="366"/>
        <v>0</v>
      </c>
      <c r="L4263">
        <f t="shared" si="367"/>
        <v>1</v>
      </c>
    </row>
    <row r="4264" spans="1:12" x14ac:dyDescent="0.25">
      <c r="G4264" t="str">
        <f t="shared" si="368"/>
        <v>08/05/19</v>
      </c>
      <c r="H4264" t="str">
        <f t="shared" si="363"/>
        <v/>
      </c>
      <c r="I4264" s="60" t="str">
        <f t="shared" si="364"/>
        <v/>
      </c>
      <c r="J4264" t="str">
        <f t="shared" si="365"/>
        <v/>
      </c>
      <c r="K4264" s="60" t="str">
        <f t="shared" si="366"/>
        <v/>
      </c>
      <c r="L4264" t="str">
        <f t="shared" si="367"/>
        <v/>
      </c>
    </row>
    <row r="4265" spans="1:12" x14ac:dyDescent="0.25">
      <c r="A4265" t="s">
        <v>3766</v>
      </c>
      <c r="G4265" t="str">
        <f t="shared" si="368"/>
        <v>08/05/19</v>
      </c>
      <c r="H4265" t="str">
        <f t="shared" si="363"/>
        <v>Chicago White Sox</v>
      </c>
      <c r="I4265" s="60">
        <f t="shared" si="364"/>
        <v>7</v>
      </c>
      <c r="J4265" t="str">
        <f t="shared" si="365"/>
        <v>Detroit Tigers</v>
      </c>
      <c r="K4265" s="60">
        <f t="shared" si="366"/>
        <v>4</v>
      </c>
      <c r="L4265">
        <f t="shared" si="367"/>
        <v>3</v>
      </c>
    </row>
    <row r="4266" spans="1:12" x14ac:dyDescent="0.25">
      <c r="G4266" t="str">
        <f t="shared" si="368"/>
        <v>08/05/19</v>
      </c>
      <c r="H4266" t="str">
        <f t="shared" si="363"/>
        <v/>
      </c>
      <c r="I4266" s="60" t="str">
        <f t="shared" si="364"/>
        <v/>
      </c>
      <c r="J4266" t="str">
        <f t="shared" si="365"/>
        <v/>
      </c>
      <c r="K4266" s="60" t="str">
        <f t="shared" si="366"/>
        <v/>
      </c>
      <c r="L4266" t="str">
        <f t="shared" si="367"/>
        <v/>
      </c>
    </row>
    <row r="4267" spans="1:12" x14ac:dyDescent="0.25">
      <c r="A4267" t="s">
        <v>3767</v>
      </c>
      <c r="G4267" t="str">
        <f t="shared" si="368"/>
        <v>08/05/19</v>
      </c>
      <c r="H4267" t="str">
        <f t="shared" si="363"/>
        <v>St. Louis Cardinals</v>
      </c>
      <c r="I4267" s="60">
        <f t="shared" si="364"/>
        <v>0</v>
      </c>
      <c r="J4267" t="str">
        <f t="shared" si="365"/>
        <v>Los Angeles Dodgers</v>
      </c>
      <c r="K4267" s="60">
        <f t="shared" si="366"/>
        <v>8</v>
      </c>
      <c r="L4267">
        <f t="shared" si="367"/>
        <v>-8</v>
      </c>
    </row>
    <row r="4268" spans="1:12" x14ac:dyDescent="0.25">
      <c r="G4268" t="str">
        <f t="shared" si="368"/>
        <v>08/05/19</v>
      </c>
      <c r="H4268" t="str">
        <f t="shared" si="363"/>
        <v/>
      </c>
      <c r="I4268" s="60" t="str">
        <f t="shared" si="364"/>
        <v/>
      </c>
      <c r="J4268" t="str">
        <f t="shared" si="365"/>
        <v/>
      </c>
      <c r="K4268" s="60" t="str">
        <f t="shared" si="366"/>
        <v/>
      </c>
      <c r="L4268" t="str">
        <f t="shared" si="367"/>
        <v/>
      </c>
    </row>
    <row r="4269" spans="1:12" x14ac:dyDescent="0.25">
      <c r="A4269" t="s">
        <v>3768</v>
      </c>
      <c r="G4269" t="str">
        <f t="shared" si="368"/>
        <v>08/05/19</v>
      </c>
      <c r="H4269" t="str">
        <f t="shared" si="363"/>
        <v>Atlanta Braves</v>
      </c>
      <c r="I4269" s="60">
        <f t="shared" si="364"/>
        <v>3</v>
      </c>
      <c r="J4269" t="str">
        <f t="shared" si="365"/>
        <v>Minnesota Twins</v>
      </c>
      <c r="K4269" s="60">
        <f t="shared" si="366"/>
        <v>5</v>
      </c>
      <c r="L4269">
        <f t="shared" si="367"/>
        <v>-2</v>
      </c>
    </row>
    <row r="4270" spans="1:12" x14ac:dyDescent="0.25">
      <c r="G4270" t="str">
        <f t="shared" si="368"/>
        <v>08/05/19</v>
      </c>
      <c r="H4270" t="str">
        <f t="shared" si="363"/>
        <v/>
      </c>
      <c r="I4270" s="60" t="str">
        <f t="shared" si="364"/>
        <v/>
      </c>
      <c r="J4270" t="str">
        <f t="shared" si="365"/>
        <v/>
      </c>
      <c r="K4270" s="60" t="str">
        <f t="shared" si="366"/>
        <v/>
      </c>
      <c r="L4270" t="str">
        <f t="shared" si="367"/>
        <v/>
      </c>
    </row>
    <row r="4271" spans="1:12" x14ac:dyDescent="0.25">
      <c r="A4271" t="s">
        <v>3769</v>
      </c>
      <c r="G4271" t="str">
        <f t="shared" si="368"/>
        <v>08/05/19</v>
      </c>
      <c r="H4271" t="str">
        <f t="shared" si="363"/>
        <v>Miami Marlins</v>
      </c>
      <c r="I4271" s="60">
        <f t="shared" si="364"/>
        <v>2</v>
      </c>
      <c r="J4271" t="str">
        <f t="shared" si="365"/>
        <v>New York Mets</v>
      </c>
      <c r="K4271" s="60">
        <f t="shared" si="366"/>
        <v>6</v>
      </c>
      <c r="L4271">
        <f t="shared" si="367"/>
        <v>-4</v>
      </c>
    </row>
    <row r="4272" spans="1:12" x14ac:dyDescent="0.25">
      <c r="G4272" t="str">
        <f t="shared" si="368"/>
        <v>08/05/19</v>
      </c>
      <c r="H4272" t="str">
        <f t="shared" si="363"/>
        <v/>
      </c>
      <c r="I4272" s="60" t="str">
        <f t="shared" si="364"/>
        <v/>
      </c>
      <c r="J4272" t="str">
        <f t="shared" si="365"/>
        <v/>
      </c>
      <c r="K4272" s="60" t="str">
        <f t="shared" si="366"/>
        <v/>
      </c>
      <c r="L4272" t="str">
        <f t="shared" si="367"/>
        <v/>
      </c>
    </row>
    <row r="4273" spans="1:12" x14ac:dyDescent="0.25">
      <c r="A4273" t="s">
        <v>3770</v>
      </c>
      <c r="G4273" t="str">
        <f t="shared" si="368"/>
        <v>08/05/19</v>
      </c>
      <c r="H4273" t="str">
        <f t="shared" si="363"/>
        <v>Miami Marlins</v>
      </c>
      <c r="I4273" s="60">
        <f t="shared" si="364"/>
        <v>4</v>
      </c>
      <c r="J4273" t="str">
        <f t="shared" si="365"/>
        <v>New York Mets</v>
      </c>
      <c r="K4273" s="60">
        <f t="shared" si="366"/>
        <v>5</v>
      </c>
      <c r="L4273">
        <f t="shared" si="367"/>
        <v>-1</v>
      </c>
    </row>
    <row r="4274" spans="1:12" x14ac:dyDescent="0.25">
      <c r="G4274" t="str">
        <f t="shared" si="368"/>
        <v>08/05/19</v>
      </c>
      <c r="H4274" t="str">
        <f t="shared" si="363"/>
        <v/>
      </c>
      <c r="I4274" s="60" t="str">
        <f t="shared" si="364"/>
        <v/>
      </c>
      <c r="J4274" t="str">
        <f t="shared" si="365"/>
        <v/>
      </c>
      <c r="K4274" s="60" t="str">
        <f t="shared" si="366"/>
        <v/>
      </c>
      <c r="L4274" t="str">
        <f t="shared" si="367"/>
        <v/>
      </c>
    </row>
    <row r="4275" spans="1:12" x14ac:dyDescent="0.25">
      <c r="A4275" t="s">
        <v>3771</v>
      </c>
      <c r="G4275" t="str">
        <f t="shared" si="368"/>
        <v>08/05/19</v>
      </c>
      <c r="H4275" t="str">
        <f t="shared" si="363"/>
        <v>Milwaukee Brewers</v>
      </c>
      <c r="I4275" s="60">
        <f t="shared" si="364"/>
        <v>9</v>
      </c>
      <c r="J4275" t="str">
        <f t="shared" si="365"/>
        <v>Pittsburgh Pirates</v>
      </c>
      <c r="K4275" s="60">
        <f t="shared" si="366"/>
        <v>7</v>
      </c>
      <c r="L4275">
        <f t="shared" si="367"/>
        <v>2</v>
      </c>
    </row>
    <row r="4276" spans="1:12" x14ac:dyDescent="0.25">
      <c r="G4276" t="str">
        <f t="shared" si="368"/>
        <v>08/05/19</v>
      </c>
      <c r="H4276" t="str">
        <f t="shared" si="363"/>
        <v/>
      </c>
      <c r="I4276" s="60" t="str">
        <f t="shared" si="364"/>
        <v/>
      </c>
      <c r="J4276" t="str">
        <f t="shared" si="365"/>
        <v/>
      </c>
      <c r="K4276" s="60" t="str">
        <f t="shared" si="366"/>
        <v/>
      </c>
      <c r="L4276" t="str">
        <f t="shared" si="367"/>
        <v/>
      </c>
    </row>
    <row r="4277" spans="1:12" x14ac:dyDescent="0.25">
      <c r="A4277" t="s">
        <v>3772</v>
      </c>
      <c r="G4277" t="str">
        <f t="shared" si="368"/>
        <v>08/05/19</v>
      </c>
      <c r="H4277" t="str">
        <f t="shared" si="363"/>
        <v>Washington Nationals</v>
      </c>
      <c r="I4277" s="60">
        <f t="shared" si="364"/>
        <v>4</v>
      </c>
      <c r="J4277" t="str">
        <f t="shared" si="365"/>
        <v>San Francisco Giants</v>
      </c>
      <c r="K4277" s="60">
        <f t="shared" si="366"/>
        <v>0</v>
      </c>
      <c r="L4277">
        <f t="shared" si="367"/>
        <v>4</v>
      </c>
    </row>
    <row r="4278" spans="1:12" x14ac:dyDescent="0.25">
      <c r="G4278" t="str">
        <f t="shared" si="368"/>
        <v>08/05/19</v>
      </c>
      <c r="H4278" t="str">
        <f t="shared" si="363"/>
        <v/>
      </c>
      <c r="I4278" s="60" t="str">
        <f t="shared" si="364"/>
        <v/>
      </c>
      <c r="J4278" t="str">
        <f t="shared" si="365"/>
        <v/>
      </c>
      <c r="K4278" s="60" t="str">
        <f t="shared" si="366"/>
        <v/>
      </c>
      <c r="L4278" t="str">
        <f t="shared" si="367"/>
        <v/>
      </c>
    </row>
    <row r="4279" spans="1:12" x14ac:dyDescent="0.25">
      <c r="A4279" t="s">
        <v>3773</v>
      </c>
      <c r="G4279" t="str">
        <f t="shared" si="368"/>
        <v>08/05/19</v>
      </c>
      <c r="H4279" t="str">
        <f t="shared" si="363"/>
        <v>Toronto Blue Jays</v>
      </c>
      <c r="I4279" s="60">
        <f t="shared" si="364"/>
        <v>2</v>
      </c>
      <c r="J4279" t="str">
        <f t="shared" si="365"/>
        <v>Tampa Bay Rays</v>
      </c>
      <c r="K4279" s="60">
        <f t="shared" si="366"/>
        <v>0</v>
      </c>
      <c r="L4279">
        <f t="shared" si="367"/>
        <v>2</v>
      </c>
    </row>
    <row r="4280" spans="1:12" x14ac:dyDescent="0.25">
      <c r="G4280" t="str">
        <f t="shared" si="368"/>
        <v>08/05/19</v>
      </c>
      <c r="H4280" t="str">
        <f t="shared" si="363"/>
        <v/>
      </c>
      <c r="I4280" s="60" t="str">
        <f t="shared" si="364"/>
        <v/>
      </c>
      <c r="J4280" t="str">
        <f t="shared" si="365"/>
        <v/>
      </c>
      <c r="K4280" s="60" t="str">
        <f t="shared" si="366"/>
        <v/>
      </c>
      <c r="L4280" t="str">
        <f t="shared" si="367"/>
        <v/>
      </c>
    </row>
    <row r="4281" spans="1:12" x14ac:dyDescent="0.25">
      <c r="A4281" t="s">
        <v>3774</v>
      </c>
      <c r="G4281" t="str">
        <f t="shared" si="368"/>
        <v>08/05/19</v>
      </c>
      <c r="H4281" t="str">
        <f t="shared" si="363"/>
        <v/>
      </c>
      <c r="I4281" s="60" t="str">
        <f t="shared" si="364"/>
        <v/>
      </c>
      <c r="J4281" t="str">
        <f t="shared" si="365"/>
        <v/>
      </c>
      <c r="K4281" s="60" t="str">
        <f t="shared" si="366"/>
        <v/>
      </c>
      <c r="L4281" t="str">
        <f t="shared" si="367"/>
        <v/>
      </c>
    </row>
    <row r="4282" spans="1:12" x14ac:dyDescent="0.25">
      <c r="G4282" t="str">
        <f t="shared" si="368"/>
        <v>08/05/19</v>
      </c>
      <c r="H4282" t="str">
        <f t="shared" si="363"/>
        <v/>
      </c>
      <c r="I4282" s="60" t="str">
        <f t="shared" si="364"/>
        <v/>
      </c>
      <c r="J4282" t="str">
        <f t="shared" si="365"/>
        <v/>
      </c>
      <c r="K4282" s="60" t="str">
        <f t="shared" si="366"/>
        <v/>
      </c>
      <c r="L4282" t="str">
        <f t="shared" si="367"/>
        <v/>
      </c>
    </row>
    <row r="4283" spans="1:12" x14ac:dyDescent="0.25">
      <c r="A4283" t="s">
        <v>3279</v>
      </c>
      <c r="G4283" t="str">
        <f t="shared" si="368"/>
        <v>08/06/19</v>
      </c>
      <c r="H4283" t="str">
        <f t="shared" si="363"/>
        <v/>
      </c>
      <c r="I4283" s="60" t="str">
        <f t="shared" si="364"/>
        <v/>
      </c>
      <c r="J4283" t="str">
        <f t="shared" si="365"/>
        <v/>
      </c>
      <c r="K4283" s="60" t="str">
        <f t="shared" si="366"/>
        <v/>
      </c>
      <c r="L4283" t="str">
        <f t="shared" si="367"/>
        <v/>
      </c>
    </row>
    <row r="4284" spans="1:12" x14ac:dyDescent="0.25">
      <c r="G4284" t="str">
        <f t="shared" si="368"/>
        <v>08/06/19</v>
      </c>
      <c r="H4284" t="str">
        <f t="shared" si="363"/>
        <v/>
      </c>
      <c r="I4284" s="60" t="str">
        <f t="shared" si="364"/>
        <v/>
      </c>
      <c r="J4284" t="str">
        <f t="shared" si="365"/>
        <v/>
      </c>
      <c r="K4284" s="60" t="str">
        <f t="shared" si="366"/>
        <v/>
      </c>
      <c r="L4284" t="str">
        <f t="shared" si="367"/>
        <v/>
      </c>
    </row>
    <row r="4285" spans="1:12" x14ac:dyDescent="0.25">
      <c r="A4285" t="s">
        <v>3785</v>
      </c>
      <c r="G4285" t="str">
        <f t="shared" si="368"/>
        <v>08/06/19</v>
      </c>
      <c r="H4285" t="str">
        <f t="shared" si="363"/>
        <v>Philadelphia Phillies</v>
      </c>
      <c r="I4285" s="60">
        <f t="shared" si="364"/>
        <v>4</v>
      </c>
      <c r="J4285" t="str">
        <f t="shared" si="365"/>
        <v>Arizona D'Backs</v>
      </c>
      <c r="K4285" s="60">
        <f t="shared" si="366"/>
        <v>8</v>
      </c>
      <c r="L4285">
        <f t="shared" si="367"/>
        <v>-4</v>
      </c>
    </row>
    <row r="4286" spans="1:12" x14ac:dyDescent="0.25">
      <c r="G4286" t="str">
        <f t="shared" si="368"/>
        <v>08/06/19</v>
      </c>
      <c r="H4286" t="str">
        <f t="shared" si="363"/>
        <v/>
      </c>
      <c r="I4286" s="60" t="str">
        <f t="shared" si="364"/>
        <v/>
      </c>
      <c r="J4286" t="str">
        <f t="shared" si="365"/>
        <v/>
      </c>
      <c r="K4286" s="60" t="str">
        <f t="shared" si="366"/>
        <v/>
      </c>
      <c r="L4286" t="str">
        <f t="shared" si="367"/>
        <v/>
      </c>
    </row>
    <row r="4287" spans="1:12" x14ac:dyDescent="0.25">
      <c r="A4287" t="s">
        <v>3786</v>
      </c>
      <c r="G4287" t="str">
        <f t="shared" si="368"/>
        <v>08/06/19</v>
      </c>
      <c r="H4287" t="str">
        <f t="shared" si="363"/>
        <v>New York Yankees</v>
      </c>
      <c r="I4287" s="60">
        <f t="shared" si="364"/>
        <v>9</v>
      </c>
      <c r="J4287" t="str">
        <f t="shared" si="365"/>
        <v>Baltimore Orioles</v>
      </c>
      <c r="K4287" s="60">
        <f t="shared" si="366"/>
        <v>4</v>
      </c>
      <c r="L4287">
        <f t="shared" si="367"/>
        <v>5</v>
      </c>
    </row>
    <row r="4288" spans="1:12" x14ac:dyDescent="0.25">
      <c r="G4288" t="str">
        <f t="shared" si="368"/>
        <v>08/06/19</v>
      </c>
      <c r="H4288" t="str">
        <f t="shared" si="363"/>
        <v/>
      </c>
      <c r="I4288" s="60" t="str">
        <f t="shared" si="364"/>
        <v/>
      </c>
      <c r="J4288" t="str">
        <f t="shared" si="365"/>
        <v/>
      </c>
      <c r="K4288" s="60" t="str">
        <f t="shared" si="366"/>
        <v/>
      </c>
      <c r="L4288" t="str">
        <f t="shared" si="367"/>
        <v/>
      </c>
    </row>
    <row r="4289" spans="1:12" x14ac:dyDescent="0.25">
      <c r="A4289" t="s">
        <v>3787</v>
      </c>
      <c r="G4289" t="str">
        <f t="shared" si="368"/>
        <v>08/06/19</v>
      </c>
      <c r="H4289" t="str">
        <f t="shared" si="363"/>
        <v>Kansas City Royals</v>
      </c>
      <c r="I4289" s="60">
        <f t="shared" si="364"/>
        <v>6</v>
      </c>
      <c r="J4289" t="str">
        <f t="shared" si="365"/>
        <v>Boston Red Sox</v>
      </c>
      <c r="K4289" s="60">
        <f t="shared" si="366"/>
        <v>2</v>
      </c>
      <c r="L4289">
        <f t="shared" si="367"/>
        <v>4</v>
      </c>
    </row>
    <row r="4290" spans="1:12" x14ac:dyDescent="0.25">
      <c r="G4290" t="str">
        <f t="shared" si="368"/>
        <v>08/06/19</v>
      </c>
      <c r="H4290" t="str">
        <f t="shared" si="363"/>
        <v/>
      </c>
      <c r="I4290" s="60" t="str">
        <f t="shared" si="364"/>
        <v/>
      </c>
      <c r="J4290" t="str">
        <f t="shared" si="365"/>
        <v/>
      </c>
      <c r="K4290" s="60" t="str">
        <f t="shared" si="366"/>
        <v/>
      </c>
      <c r="L4290" t="str">
        <f t="shared" si="367"/>
        <v/>
      </c>
    </row>
    <row r="4291" spans="1:12" x14ac:dyDescent="0.25">
      <c r="A4291" t="s">
        <v>3788</v>
      </c>
      <c r="G4291" t="str">
        <f t="shared" si="368"/>
        <v>08/06/19</v>
      </c>
      <c r="H4291" t="str">
        <f t="shared" si="363"/>
        <v>Oakland Athletics</v>
      </c>
      <c r="I4291" s="60">
        <f t="shared" si="364"/>
        <v>11</v>
      </c>
      <c r="J4291" t="str">
        <f t="shared" si="365"/>
        <v>Chicago Cubs</v>
      </c>
      <c r="K4291" s="60">
        <f t="shared" si="366"/>
        <v>4</v>
      </c>
      <c r="L4291">
        <f t="shared" si="367"/>
        <v>7</v>
      </c>
    </row>
    <row r="4292" spans="1:12" x14ac:dyDescent="0.25">
      <c r="G4292" t="str">
        <f t="shared" si="368"/>
        <v>08/06/19</v>
      </c>
      <c r="H4292" t="str">
        <f t="shared" si="363"/>
        <v/>
      </c>
      <c r="I4292" s="60" t="str">
        <f t="shared" si="364"/>
        <v/>
      </c>
      <c r="J4292" t="str">
        <f t="shared" si="365"/>
        <v/>
      </c>
      <c r="K4292" s="60" t="str">
        <f t="shared" si="366"/>
        <v/>
      </c>
      <c r="L4292" t="str">
        <f t="shared" si="367"/>
        <v/>
      </c>
    </row>
    <row r="4293" spans="1:12" x14ac:dyDescent="0.25">
      <c r="A4293" t="s">
        <v>3789</v>
      </c>
      <c r="G4293" t="str">
        <f t="shared" si="368"/>
        <v>08/06/19</v>
      </c>
      <c r="H4293" t="str">
        <f t="shared" si="363"/>
        <v>Los Angeles Angels</v>
      </c>
      <c r="I4293" s="60">
        <f t="shared" si="364"/>
        <v>4</v>
      </c>
      <c r="J4293" t="str">
        <f t="shared" si="365"/>
        <v>Cincinnati Reds</v>
      </c>
      <c r="K4293" s="60">
        <f t="shared" si="366"/>
        <v>8</v>
      </c>
      <c r="L4293">
        <f t="shared" si="367"/>
        <v>-4</v>
      </c>
    </row>
    <row r="4294" spans="1:12" x14ac:dyDescent="0.25">
      <c r="G4294" t="str">
        <f t="shared" si="368"/>
        <v>08/06/19</v>
      </c>
      <c r="H4294" t="str">
        <f t="shared" si="363"/>
        <v/>
      </c>
      <c r="I4294" s="60" t="str">
        <f t="shared" si="364"/>
        <v/>
      </c>
      <c r="J4294" t="str">
        <f t="shared" si="365"/>
        <v/>
      </c>
      <c r="K4294" s="60" t="str">
        <f t="shared" si="366"/>
        <v/>
      </c>
      <c r="L4294" t="str">
        <f t="shared" si="367"/>
        <v/>
      </c>
    </row>
    <row r="4295" spans="1:12" x14ac:dyDescent="0.25">
      <c r="A4295" t="s">
        <v>3790</v>
      </c>
      <c r="G4295" t="str">
        <f t="shared" si="368"/>
        <v>08/06/19</v>
      </c>
      <c r="H4295" t="str">
        <f t="shared" si="363"/>
        <v>Chicago White Sox</v>
      </c>
      <c r="I4295" s="60">
        <f t="shared" si="364"/>
        <v>5</v>
      </c>
      <c r="J4295" t="str">
        <f t="shared" si="365"/>
        <v>Detroit Tigers</v>
      </c>
      <c r="K4295" s="60">
        <f t="shared" si="366"/>
        <v>3</v>
      </c>
      <c r="L4295">
        <f t="shared" si="367"/>
        <v>2</v>
      </c>
    </row>
    <row r="4296" spans="1:12" x14ac:dyDescent="0.25">
      <c r="G4296" t="str">
        <f t="shared" si="368"/>
        <v>08/06/19</v>
      </c>
      <c r="H4296" t="str">
        <f t="shared" si="363"/>
        <v/>
      </c>
      <c r="I4296" s="60" t="str">
        <f t="shared" si="364"/>
        <v/>
      </c>
      <c r="J4296" t="str">
        <f t="shared" si="365"/>
        <v/>
      </c>
      <c r="K4296" s="60" t="str">
        <f t="shared" si="366"/>
        <v/>
      </c>
      <c r="L4296" t="str">
        <f t="shared" si="367"/>
        <v/>
      </c>
    </row>
    <row r="4297" spans="1:12" x14ac:dyDescent="0.25">
      <c r="A4297" t="s">
        <v>3791</v>
      </c>
      <c r="G4297" t="str">
        <f t="shared" si="368"/>
        <v>08/06/19</v>
      </c>
      <c r="H4297" t="str">
        <f t="shared" si="363"/>
        <v>Chicago White Sox</v>
      </c>
      <c r="I4297" s="60">
        <f t="shared" si="364"/>
        <v>6</v>
      </c>
      <c r="J4297" t="str">
        <f t="shared" si="365"/>
        <v>Detroit Tigers</v>
      </c>
      <c r="K4297" s="60">
        <f t="shared" si="366"/>
        <v>10</v>
      </c>
      <c r="L4297">
        <f t="shared" si="367"/>
        <v>-4</v>
      </c>
    </row>
    <row r="4298" spans="1:12" x14ac:dyDescent="0.25">
      <c r="G4298" t="str">
        <f t="shared" si="368"/>
        <v>08/06/19</v>
      </c>
      <c r="H4298" t="str">
        <f t="shared" si="363"/>
        <v/>
      </c>
      <c r="I4298" s="60" t="str">
        <f t="shared" si="364"/>
        <v/>
      </c>
      <c r="J4298" t="str">
        <f t="shared" si="365"/>
        <v/>
      </c>
      <c r="K4298" s="60" t="str">
        <f t="shared" si="366"/>
        <v/>
      </c>
      <c r="L4298" t="str">
        <f t="shared" si="367"/>
        <v/>
      </c>
    </row>
    <row r="4299" spans="1:12" x14ac:dyDescent="0.25">
      <c r="A4299" t="s">
        <v>3792</v>
      </c>
      <c r="G4299" t="str">
        <f t="shared" si="368"/>
        <v>08/06/19</v>
      </c>
      <c r="H4299" t="str">
        <f t="shared" si="363"/>
        <v>Colorado Rockies</v>
      </c>
      <c r="I4299" s="60">
        <f t="shared" si="364"/>
        <v>6</v>
      </c>
      <c r="J4299" t="str">
        <f t="shared" si="365"/>
        <v>Houston Astros</v>
      </c>
      <c r="K4299" s="60">
        <f t="shared" si="366"/>
        <v>11</v>
      </c>
      <c r="L4299">
        <f t="shared" si="367"/>
        <v>-5</v>
      </c>
    </row>
    <row r="4300" spans="1:12" x14ac:dyDescent="0.25">
      <c r="G4300" t="str">
        <f t="shared" si="368"/>
        <v>08/06/19</v>
      </c>
      <c r="H4300" t="str">
        <f t="shared" si="363"/>
        <v/>
      </c>
      <c r="I4300" s="60" t="str">
        <f t="shared" si="364"/>
        <v/>
      </c>
      <c r="J4300" t="str">
        <f t="shared" si="365"/>
        <v/>
      </c>
      <c r="K4300" s="60" t="str">
        <f t="shared" si="366"/>
        <v/>
      </c>
      <c r="L4300" t="str">
        <f t="shared" si="367"/>
        <v/>
      </c>
    </row>
    <row r="4301" spans="1:12" x14ac:dyDescent="0.25">
      <c r="A4301" t="s">
        <v>3793</v>
      </c>
      <c r="G4301" t="str">
        <f t="shared" si="368"/>
        <v>08/06/19</v>
      </c>
      <c r="H4301" t="str">
        <f t="shared" si="363"/>
        <v>St. Louis Cardinals</v>
      </c>
      <c r="I4301" s="60">
        <f t="shared" si="364"/>
        <v>1</v>
      </c>
      <c r="J4301" t="str">
        <f t="shared" si="365"/>
        <v>Los Angeles Dodgers</v>
      </c>
      <c r="K4301" s="60">
        <f t="shared" si="366"/>
        <v>3</v>
      </c>
      <c r="L4301">
        <f t="shared" si="367"/>
        <v>-2</v>
      </c>
    </row>
    <row r="4302" spans="1:12" x14ac:dyDescent="0.25">
      <c r="G4302" t="str">
        <f t="shared" si="368"/>
        <v>08/06/19</v>
      </c>
      <c r="H4302" t="str">
        <f t="shared" si="363"/>
        <v/>
      </c>
      <c r="I4302" s="60" t="str">
        <f t="shared" si="364"/>
        <v/>
      </c>
      <c r="J4302" t="str">
        <f t="shared" si="365"/>
        <v/>
      </c>
      <c r="K4302" s="60" t="str">
        <f t="shared" si="366"/>
        <v/>
      </c>
      <c r="L4302" t="str">
        <f t="shared" si="367"/>
        <v/>
      </c>
    </row>
    <row r="4303" spans="1:12" x14ac:dyDescent="0.25">
      <c r="A4303" t="s">
        <v>3794</v>
      </c>
      <c r="G4303" t="str">
        <f t="shared" si="368"/>
        <v>08/06/19</v>
      </c>
      <c r="H4303" t="str">
        <f t="shared" si="363"/>
        <v>Atlanta Braves</v>
      </c>
      <c r="I4303" s="60">
        <f t="shared" si="364"/>
        <v>12</v>
      </c>
      <c r="J4303" t="str">
        <f t="shared" si="365"/>
        <v>Minnesota Twins</v>
      </c>
      <c r="K4303" s="60">
        <f t="shared" si="366"/>
        <v>7</v>
      </c>
      <c r="L4303">
        <f t="shared" si="367"/>
        <v>5</v>
      </c>
    </row>
    <row r="4304" spans="1:12" x14ac:dyDescent="0.25">
      <c r="G4304" t="str">
        <f t="shared" si="368"/>
        <v>08/06/19</v>
      </c>
      <c r="H4304" t="str">
        <f t="shared" ref="H4304:H4367" si="369">IFERROR(LEFT(MID(A4304,1,SEARCH("@",A4304)-2),SEARCH("(",A4304)-2),"")</f>
        <v/>
      </c>
      <c r="I4304" s="60" t="str">
        <f t="shared" ref="I4304:I4367" si="370">IFERROR(VALUE(MID(A4304,SEARCH("(",A4304)+1,SEARCH(")",A4304)-SEARCH("(",A4304)-1)),"")</f>
        <v/>
      </c>
      <c r="J4304" t="str">
        <f t="shared" ref="J4304:J4367" si="371">IFERROR(MID(A4304,SEARCH("@",A4304)+2,SEARCH("(",A4304,SEARCH("@",A4304))-SEARCH("@",A4304)-3),"")</f>
        <v/>
      </c>
      <c r="K4304" s="60" t="str">
        <f t="shared" ref="K4304:K4367" si="372">IFERROR(VALUE(MID(A4304,SEARCH(J4304,A4304)+LEN(J4304)+2,(SEARCH(")",A4304,SEARCH("@",A4304))-SEARCH("(",A4304,SEARCH("@",A4304))-1))),"")</f>
        <v/>
      </c>
      <c r="L4304" t="str">
        <f t="shared" ref="L4304:L4367" si="373">IFERROR(I4304-K4304,"")</f>
        <v/>
      </c>
    </row>
    <row r="4305" spans="1:12" x14ac:dyDescent="0.25">
      <c r="A4305" t="s">
        <v>3795</v>
      </c>
      <c r="G4305" t="str">
        <f t="shared" si="368"/>
        <v>08/06/19</v>
      </c>
      <c r="H4305" t="str">
        <f t="shared" si="369"/>
        <v>Miami Marlins</v>
      </c>
      <c r="I4305" s="60">
        <f t="shared" si="370"/>
        <v>0</v>
      </c>
      <c r="J4305" t="str">
        <f t="shared" si="371"/>
        <v>New York Mets</v>
      </c>
      <c r="K4305" s="60">
        <f t="shared" si="372"/>
        <v>5</v>
      </c>
      <c r="L4305">
        <f t="shared" si="373"/>
        <v>-5</v>
      </c>
    </row>
    <row r="4306" spans="1:12" x14ac:dyDescent="0.25">
      <c r="G4306" t="str">
        <f t="shared" si="368"/>
        <v>08/06/19</v>
      </c>
      <c r="H4306" t="str">
        <f t="shared" si="369"/>
        <v/>
      </c>
      <c r="I4306" s="60" t="str">
        <f t="shared" si="370"/>
        <v/>
      </c>
      <c r="J4306" t="str">
        <f t="shared" si="371"/>
        <v/>
      </c>
      <c r="K4306" s="60" t="str">
        <f t="shared" si="372"/>
        <v/>
      </c>
      <c r="L4306" t="str">
        <f t="shared" si="373"/>
        <v/>
      </c>
    </row>
    <row r="4307" spans="1:12" x14ac:dyDescent="0.25">
      <c r="A4307" t="s">
        <v>3796</v>
      </c>
      <c r="G4307" t="str">
        <f t="shared" si="368"/>
        <v>08/06/19</v>
      </c>
      <c r="H4307" t="str">
        <f t="shared" si="369"/>
        <v>Milwaukee Brewers</v>
      </c>
      <c r="I4307" s="60">
        <f t="shared" si="370"/>
        <v>4</v>
      </c>
      <c r="J4307" t="str">
        <f t="shared" si="371"/>
        <v>Pittsburgh Pirates</v>
      </c>
      <c r="K4307" s="60">
        <f t="shared" si="372"/>
        <v>3</v>
      </c>
      <c r="L4307">
        <f t="shared" si="373"/>
        <v>1</v>
      </c>
    </row>
    <row r="4308" spans="1:12" x14ac:dyDescent="0.25">
      <c r="G4308" t="str">
        <f t="shared" si="368"/>
        <v>08/06/19</v>
      </c>
      <c r="H4308" t="str">
        <f t="shared" si="369"/>
        <v/>
      </c>
      <c r="I4308" s="60" t="str">
        <f t="shared" si="370"/>
        <v/>
      </c>
      <c r="J4308" t="str">
        <f t="shared" si="371"/>
        <v/>
      </c>
      <c r="K4308" s="60" t="str">
        <f t="shared" si="372"/>
        <v/>
      </c>
      <c r="L4308" t="str">
        <f t="shared" si="373"/>
        <v/>
      </c>
    </row>
    <row r="4309" spans="1:12" x14ac:dyDescent="0.25">
      <c r="A4309" t="s">
        <v>3797</v>
      </c>
      <c r="G4309" t="str">
        <f t="shared" si="368"/>
        <v>08/06/19</v>
      </c>
      <c r="H4309" t="str">
        <f t="shared" si="369"/>
        <v>San Diego Padres</v>
      </c>
      <c r="I4309" s="60">
        <f t="shared" si="370"/>
        <v>9</v>
      </c>
      <c r="J4309" t="str">
        <f t="shared" si="371"/>
        <v>Seattle Mariners</v>
      </c>
      <c r="K4309" s="60">
        <f t="shared" si="372"/>
        <v>4</v>
      </c>
      <c r="L4309">
        <f t="shared" si="373"/>
        <v>5</v>
      </c>
    </row>
    <row r="4310" spans="1:12" x14ac:dyDescent="0.25">
      <c r="G4310" t="str">
        <f t="shared" si="368"/>
        <v>08/06/19</v>
      </c>
      <c r="H4310" t="str">
        <f t="shared" si="369"/>
        <v/>
      </c>
      <c r="I4310" s="60" t="str">
        <f t="shared" si="370"/>
        <v/>
      </c>
      <c r="J4310" t="str">
        <f t="shared" si="371"/>
        <v/>
      </c>
      <c r="K4310" s="60" t="str">
        <f t="shared" si="372"/>
        <v/>
      </c>
      <c r="L4310" t="str">
        <f t="shared" si="373"/>
        <v/>
      </c>
    </row>
    <row r="4311" spans="1:12" x14ac:dyDescent="0.25">
      <c r="A4311" t="s">
        <v>3798</v>
      </c>
      <c r="G4311" t="str">
        <f t="shared" si="368"/>
        <v>08/06/19</v>
      </c>
      <c r="H4311" t="str">
        <f t="shared" si="369"/>
        <v>Washington Nationals</v>
      </c>
      <c r="I4311" s="60">
        <f t="shared" si="370"/>
        <v>5</v>
      </c>
      <c r="J4311" t="str">
        <f t="shared" si="371"/>
        <v>San Francisco Giants</v>
      </c>
      <c r="K4311" s="60">
        <f t="shared" si="372"/>
        <v>3</v>
      </c>
      <c r="L4311">
        <f t="shared" si="373"/>
        <v>2</v>
      </c>
    </row>
    <row r="4312" spans="1:12" x14ac:dyDescent="0.25">
      <c r="G4312" t="str">
        <f t="shared" si="368"/>
        <v>08/06/19</v>
      </c>
      <c r="H4312" t="str">
        <f t="shared" si="369"/>
        <v/>
      </c>
      <c r="I4312" s="60" t="str">
        <f t="shared" si="370"/>
        <v/>
      </c>
      <c r="J4312" t="str">
        <f t="shared" si="371"/>
        <v/>
      </c>
      <c r="K4312" s="60" t="str">
        <f t="shared" si="372"/>
        <v/>
      </c>
      <c r="L4312" t="str">
        <f t="shared" si="373"/>
        <v/>
      </c>
    </row>
    <row r="4313" spans="1:12" x14ac:dyDescent="0.25">
      <c r="A4313" t="s">
        <v>3799</v>
      </c>
      <c r="G4313" t="str">
        <f t="shared" si="368"/>
        <v>08/06/19</v>
      </c>
      <c r="H4313" t="str">
        <f t="shared" si="369"/>
        <v>Toronto Blue Jays</v>
      </c>
      <c r="I4313" s="60">
        <f t="shared" si="370"/>
        <v>6</v>
      </c>
      <c r="J4313" t="str">
        <f t="shared" si="371"/>
        <v>Tampa Bay Rays</v>
      </c>
      <c r="K4313" s="60">
        <f t="shared" si="372"/>
        <v>7</v>
      </c>
      <c r="L4313">
        <f t="shared" si="373"/>
        <v>-1</v>
      </c>
    </row>
    <row r="4314" spans="1:12" x14ac:dyDescent="0.25">
      <c r="G4314" t="str">
        <f t="shared" si="368"/>
        <v>08/06/19</v>
      </c>
      <c r="H4314" t="str">
        <f t="shared" si="369"/>
        <v/>
      </c>
      <c r="I4314" s="60" t="str">
        <f t="shared" si="370"/>
        <v/>
      </c>
      <c r="J4314" t="str">
        <f t="shared" si="371"/>
        <v/>
      </c>
      <c r="K4314" s="60" t="str">
        <f t="shared" si="372"/>
        <v/>
      </c>
      <c r="L4314" t="str">
        <f t="shared" si="373"/>
        <v/>
      </c>
    </row>
    <row r="4315" spans="1:12" x14ac:dyDescent="0.25">
      <c r="A4315" t="s">
        <v>3800</v>
      </c>
      <c r="G4315" t="str">
        <f t="shared" si="368"/>
        <v>08/06/19</v>
      </c>
      <c r="H4315" t="str">
        <f t="shared" si="369"/>
        <v/>
      </c>
      <c r="I4315" s="60" t="str">
        <f t="shared" si="370"/>
        <v/>
      </c>
      <c r="J4315" t="str">
        <f t="shared" si="371"/>
        <v/>
      </c>
      <c r="K4315" s="60" t="str">
        <f t="shared" si="372"/>
        <v/>
      </c>
      <c r="L4315" t="str">
        <f t="shared" si="373"/>
        <v/>
      </c>
    </row>
    <row r="4316" spans="1:12" x14ac:dyDescent="0.25">
      <c r="G4316" t="str">
        <f t="shared" si="368"/>
        <v>08/06/19</v>
      </c>
      <c r="H4316" t="str">
        <f t="shared" si="369"/>
        <v/>
      </c>
      <c r="I4316" s="60" t="str">
        <f t="shared" si="370"/>
        <v/>
      </c>
      <c r="J4316" t="str">
        <f t="shared" si="371"/>
        <v/>
      </c>
      <c r="K4316" s="60" t="str">
        <f t="shared" si="372"/>
        <v/>
      </c>
      <c r="L4316" t="str">
        <f t="shared" si="373"/>
        <v/>
      </c>
    </row>
    <row r="4317" spans="1:12" x14ac:dyDescent="0.25">
      <c r="A4317" t="s">
        <v>3808</v>
      </c>
      <c r="G4317" t="str">
        <f t="shared" si="368"/>
        <v>08/07/19</v>
      </c>
      <c r="H4317" t="str">
        <f t="shared" si="369"/>
        <v/>
      </c>
      <c r="I4317" s="60" t="str">
        <f t="shared" si="370"/>
        <v/>
      </c>
      <c r="J4317" t="str">
        <f t="shared" si="371"/>
        <v/>
      </c>
      <c r="K4317" s="60" t="str">
        <f t="shared" si="372"/>
        <v/>
      </c>
      <c r="L4317" t="str">
        <f t="shared" si="373"/>
        <v/>
      </c>
    </row>
    <row r="4318" spans="1:12" x14ac:dyDescent="0.25">
      <c r="G4318" t="str">
        <f t="shared" si="368"/>
        <v>08/07/19</v>
      </c>
      <c r="H4318" t="str">
        <f t="shared" si="369"/>
        <v/>
      </c>
      <c r="I4318" s="60" t="str">
        <f t="shared" si="370"/>
        <v/>
      </c>
      <c r="J4318" t="str">
        <f t="shared" si="371"/>
        <v/>
      </c>
      <c r="K4318" s="60" t="str">
        <f t="shared" si="372"/>
        <v/>
      </c>
      <c r="L4318" t="str">
        <f t="shared" si="373"/>
        <v/>
      </c>
    </row>
    <row r="4319" spans="1:12" x14ac:dyDescent="0.25">
      <c r="A4319" t="s">
        <v>3809</v>
      </c>
      <c r="G4319" t="str">
        <f t="shared" si="368"/>
        <v>08/07/19</v>
      </c>
      <c r="H4319" t="str">
        <f t="shared" si="369"/>
        <v>Philadelphia Phillies</v>
      </c>
      <c r="I4319" s="60">
        <f t="shared" si="370"/>
        <v>1</v>
      </c>
      <c r="J4319" t="str">
        <f t="shared" si="371"/>
        <v>Arizona D'Backs</v>
      </c>
      <c r="K4319" s="60">
        <f t="shared" si="372"/>
        <v>6</v>
      </c>
      <c r="L4319">
        <f t="shared" si="373"/>
        <v>-5</v>
      </c>
    </row>
    <row r="4320" spans="1:12" x14ac:dyDescent="0.25">
      <c r="G4320" t="str">
        <f t="shared" si="368"/>
        <v>08/07/19</v>
      </c>
      <c r="H4320" t="str">
        <f t="shared" si="369"/>
        <v/>
      </c>
      <c r="I4320" s="60" t="str">
        <f t="shared" si="370"/>
        <v/>
      </c>
      <c r="J4320" t="str">
        <f t="shared" si="371"/>
        <v/>
      </c>
      <c r="K4320" s="60" t="str">
        <f t="shared" si="372"/>
        <v/>
      </c>
      <c r="L4320" t="str">
        <f t="shared" si="373"/>
        <v/>
      </c>
    </row>
    <row r="4321" spans="1:12" x14ac:dyDescent="0.25">
      <c r="A4321" t="s">
        <v>3810</v>
      </c>
      <c r="G4321" t="str">
        <f t="shared" si="368"/>
        <v>08/07/19</v>
      </c>
      <c r="H4321" t="str">
        <f t="shared" si="369"/>
        <v>New York Yankees</v>
      </c>
      <c r="I4321" s="60">
        <f t="shared" si="370"/>
        <v>14</v>
      </c>
      <c r="J4321" t="str">
        <f t="shared" si="371"/>
        <v>Baltimore Orioles</v>
      </c>
      <c r="K4321" s="60">
        <f t="shared" si="372"/>
        <v>2</v>
      </c>
      <c r="L4321">
        <f t="shared" si="373"/>
        <v>12</v>
      </c>
    </row>
    <row r="4322" spans="1:12" x14ac:dyDescent="0.25">
      <c r="G4322" t="str">
        <f t="shared" ref="G4322:G4385" si="374">IF(ISNUMBER(MATCH(IFERROR(LEFT(A4322,SEARCH(",",A4322)-1),""),$G$220:$M$220,0)),TEXT(MID(A4322,SEARCH(",",A4322)+2,LEN(A4322)),"mm/dd/yy"),G4321)</f>
        <v>08/07/19</v>
      </c>
      <c r="H4322" t="str">
        <f t="shared" si="369"/>
        <v/>
      </c>
      <c r="I4322" s="60" t="str">
        <f t="shared" si="370"/>
        <v/>
      </c>
      <c r="J4322" t="str">
        <f t="shared" si="371"/>
        <v/>
      </c>
      <c r="K4322" s="60" t="str">
        <f t="shared" si="372"/>
        <v/>
      </c>
      <c r="L4322" t="str">
        <f t="shared" si="373"/>
        <v/>
      </c>
    </row>
    <row r="4323" spans="1:12" x14ac:dyDescent="0.25">
      <c r="A4323" t="s">
        <v>3833</v>
      </c>
      <c r="G4323" t="str">
        <f t="shared" si="374"/>
        <v>08/07/19</v>
      </c>
      <c r="H4323" t="str">
        <f t="shared" si="369"/>
        <v>Kansas City Royals</v>
      </c>
      <c r="I4323" s="60">
        <f t="shared" si="370"/>
        <v>4</v>
      </c>
      <c r="J4323" t="str">
        <f t="shared" si="371"/>
        <v>Boston Red Sox</v>
      </c>
      <c r="K4323" s="60">
        <f t="shared" si="372"/>
        <v>5</v>
      </c>
      <c r="L4323">
        <f t="shared" si="373"/>
        <v>-1</v>
      </c>
    </row>
    <row r="4324" spans="1:12" x14ac:dyDescent="0.25">
      <c r="G4324" t="str">
        <f t="shared" si="374"/>
        <v>08/07/19</v>
      </c>
      <c r="H4324" t="str">
        <f t="shared" si="369"/>
        <v/>
      </c>
      <c r="I4324" s="60" t="str">
        <f t="shared" si="370"/>
        <v/>
      </c>
      <c r="J4324" t="str">
        <f t="shared" si="371"/>
        <v/>
      </c>
      <c r="K4324" s="60" t="str">
        <f t="shared" si="372"/>
        <v/>
      </c>
      <c r="L4324" t="str">
        <f t="shared" si="373"/>
        <v/>
      </c>
    </row>
    <row r="4325" spans="1:12" x14ac:dyDescent="0.25">
      <c r="A4325" t="s">
        <v>3811</v>
      </c>
      <c r="G4325" t="str">
        <f t="shared" si="374"/>
        <v>08/07/19</v>
      </c>
      <c r="H4325" t="str">
        <f t="shared" si="369"/>
        <v>Oakland Athletics</v>
      </c>
      <c r="I4325" s="60">
        <f t="shared" si="370"/>
        <v>1</v>
      </c>
      <c r="J4325" t="str">
        <f t="shared" si="371"/>
        <v>Chicago Cubs</v>
      </c>
      <c r="K4325" s="60">
        <f t="shared" si="372"/>
        <v>10</v>
      </c>
      <c r="L4325">
        <f t="shared" si="373"/>
        <v>-9</v>
      </c>
    </row>
    <row r="4326" spans="1:12" x14ac:dyDescent="0.25">
      <c r="G4326" t="str">
        <f t="shared" si="374"/>
        <v>08/07/19</v>
      </c>
      <c r="H4326" t="str">
        <f t="shared" si="369"/>
        <v/>
      </c>
      <c r="I4326" s="60" t="str">
        <f t="shared" si="370"/>
        <v/>
      </c>
      <c r="J4326" t="str">
        <f t="shared" si="371"/>
        <v/>
      </c>
      <c r="K4326" s="60" t="str">
        <f t="shared" si="372"/>
        <v/>
      </c>
      <c r="L4326" t="str">
        <f t="shared" si="373"/>
        <v/>
      </c>
    </row>
    <row r="4327" spans="1:12" x14ac:dyDescent="0.25">
      <c r="A4327" t="s">
        <v>3812</v>
      </c>
      <c r="G4327" t="str">
        <f t="shared" si="374"/>
        <v>08/07/19</v>
      </c>
      <c r="H4327" t="str">
        <f t="shared" si="369"/>
        <v>Texas Rangers</v>
      </c>
      <c r="I4327" s="60">
        <f t="shared" si="370"/>
        <v>0</v>
      </c>
      <c r="J4327" t="str">
        <f t="shared" si="371"/>
        <v>Cleveland Indians</v>
      </c>
      <c r="K4327" s="60">
        <f t="shared" si="372"/>
        <v>2</v>
      </c>
      <c r="L4327">
        <f t="shared" si="373"/>
        <v>-2</v>
      </c>
    </row>
    <row r="4328" spans="1:12" x14ac:dyDescent="0.25">
      <c r="G4328" t="str">
        <f t="shared" si="374"/>
        <v>08/07/19</v>
      </c>
      <c r="H4328" t="str">
        <f t="shared" si="369"/>
        <v/>
      </c>
      <c r="I4328" s="60" t="str">
        <f t="shared" si="370"/>
        <v/>
      </c>
      <c r="J4328" t="str">
        <f t="shared" si="371"/>
        <v/>
      </c>
      <c r="K4328" s="60" t="str">
        <f t="shared" si="372"/>
        <v/>
      </c>
      <c r="L4328" t="str">
        <f t="shared" si="373"/>
        <v/>
      </c>
    </row>
    <row r="4329" spans="1:12" x14ac:dyDescent="0.25">
      <c r="A4329" t="s">
        <v>3813</v>
      </c>
      <c r="G4329" t="str">
        <f t="shared" si="374"/>
        <v>08/07/19</v>
      </c>
      <c r="H4329" t="str">
        <f t="shared" si="369"/>
        <v>Texas Rangers</v>
      </c>
      <c r="I4329" s="60">
        <f t="shared" si="370"/>
        <v>1</v>
      </c>
      <c r="J4329" t="str">
        <f t="shared" si="371"/>
        <v>Cleveland Indians</v>
      </c>
      <c r="K4329" s="60">
        <f t="shared" si="372"/>
        <v>5</v>
      </c>
      <c r="L4329">
        <f t="shared" si="373"/>
        <v>-4</v>
      </c>
    </row>
    <row r="4330" spans="1:12" x14ac:dyDescent="0.25">
      <c r="G4330" t="str">
        <f t="shared" si="374"/>
        <v>08/07/19</v>
      </c>
      <c r="H4330" t="str">
        <f t="shared" si="369"/>
        <v/>
      </c>
      <c r="I4330" s="60" t="str">
        <f t="shared" si="370"/>
        <v/>
      </c>
      <c r="J4330" t="str">
        <f t="shared" si="371"/>
        <v/>
      </c>
      <c r="K4330" s="60" t="str">
        <f t="shared" si="372"/>
        <v/>
      </c>
      <c r="L4330" t="str">
        <f t="shared" si="373"/>
        <v/>
      </c>
    </row>
    <row r="4331" spans="1:12" x14ac:dyDescent="0.25">
      <c r="A4331" t="s">
        <v>3814</v>
      </c>
      <c r="G4331" t="str">
        <f t="shared" si="374"/>
        <v>08/07/19</v>
      </c>
      <c r="H4331" t="str">
        <f t="shared" si="369"/>
        <v>Chicago White Sox</v>
      </c>
      <c r="I4331" s="60">
        <f t="shared" si="370"/>
        <v>8</v>
      </c>
      <c r="J4331" t="str">
        <f t="shared" si="371"/>
        <v>Detroit Tigers</v>
      </c>
      <c r="K4331" s="60">
        <f t="shared" si="372"/>
        <v>1</v>
      </c>
      <c r="L4331">
        <f t="shared" si="373"/>
        <v>7</v>
      </c>
    </row>
    <row r="4332" spans="1:12" x14ac:dyDescent="0.25">
      <c r="G4332" t="str">
        <f t="shared" si="374"/>
        <v>08/07/19</v>
      </c>
      <c r="H4332" t="str">
        <f t="shared" si="369"/>
        <v/>
      </c>
      <c r="I4332" s="60" t="str">
        <f t="shared" si="370"/>
        <v/>
      </c>
      <c r="J4332" t="str">
        <f t="shared" si="371"/>
        <v/>
      </c>
      <c r="K4332" s="60" t="str">
        <f t="shared" si="372"/>
        <v/>
      </c>
      <c r="L4332" t="str">
        <f t="shared" si="373"/>
        <v/>
      </c>
    </row>
    <row r="4333" spans="1:12" x14ac:dyDescent="0.25">
      <c r="A4333" t="s">
        <v>3815</v>
      </c>
      <c r="G4333" t="str">
        <f t="shared" si="374"/>
        <v>08/07/19</v>
      </c>
      <c r="H4333" t="str">
        <f t="shared" si="369"/>
        <v>Colorado Rockies</v>
      </c>
      <c r="I4333" s="60">
        <f t="shared" si="370"/>
        <v>3</v>
      </c>
      <c r="J4333" t="str">
        <f t="shared" si="371"/>
        <v>Houston Astros</v>
      </c>
      <c r="K4333" s="60">
        <f t="shared" si="372"/>
        <v>14</v>
      </c>
      <c r="L4333">
        <f t="shared" si="373"/>
        <v>-11</v>
      </c>
    </row>
    <row r="4334" spans="1:12" x14ac:dyDescent="0.25">
      <c r="G4334" t="str">
        <f t="shared" si="374"/>
        <v>08/07/19</v>
      </c>
      <c r="H4334" t="str">
        <f t="shared" si="369"/>
        <v/>
      </c>
      <c r="I4334" s="60" t="str">
        <f t="shared" si="370"/>
        <v/>
      </c>
      <c r="J4334" t="str">
        <f t="shared" si="371"/>
        <v/>
      </c>
      <c r="K4334" s="60" t="str">
        <f t="shared" si="372"/>
        <v/>
      </c>
      <c r="L4334" t="str">
        <f t="shared" si="373"/>
        <v/>
      </c>
    </row>
    <row r="4335" spans="1:12" x14ac:dyDescent="0.25">
      <c r="A4335" t="s">
        <v>3816</v>
      </c>
      <c r="G4335" t="str">
        <f t="shared" si="374"/>
        <v>08/07/19</v>
      </c>
      <c r="H4335" t="str">
        <f t="shared" si="369"/>
        <v>St. Louis Cardinals</v>
      </c>
      <c r="I4335" s="60">
        <f t="shared" si="370"/>
        <v>1</v>
      </c>
      <c r="J4335" t="str">
        <f t="shared" si="371"/>
        <v>Los Angeles Dodgers</v>
      </c>
      <c r="K4335" s="60">
        <f t="shared" si="372"/>
        <v>2</v>
      </c>
      <c r="L4335">
        <f t="shared" si="373"/>
        <v>-1</v>
      </c>
    </row>
    <row r="4336" spans="1:12" x14ac:dyDescent="0.25">
      <c r="G4336" t="str">
        <f t="shared" si="374"/>
        <v>08/07/19</v>
      </c>
      <c r="H4336" t="str">
        <f t="shared" si="369"/>
        <v/>
      </c>
      <c r="I4336" s="60" t="str">
        <f t="shared" si="370"/>
        <v/>
      </c>
      <c r="J4336" t="str">
        <f t="shared" si="371"/>
        <v/>
      </c>
      <c r="K4336" s="60" t="str">
        <f t="shared" si="372"/>
        <v/>
      </c>
      <c r="L4336" t="str">
        <f t="shared" si="373"/>
        <v/>
      </c>
    </row>
    <row r="4337" spans="1:12" x14ac:dyDescent="0.25">
      <c r="A4337" t="s">
        <v>3817</v>
      </c>
      <c r="G4337" t="str">
        <f t="shared" si="374"/>
        <v>08/07/19</v>
      </c>
      <c r="H4337" t="str">
        <f t="shared" si="369"/>
        <v>Atlanta Braves</v>
      </c>
      <c r="I4337" s="60">
        <f t="shared" si="370"/>
        <v>11</v>
      </c>
      <c r="J4337" t="str">
        <f t="shared" si="371"/>
        <v>Minnesota Twins</v>
      </c>
      <c r="K4337" s="60">
        <f t="shared" si="372"/>
        <v>7</v>
      </c>
      <c r="L4337">
        <f t="shared" si="373"/>
        <v>4</v>
      </c>
    </row>
    <row r="4338" spans="1:12" x14ac:dyDescent="0.25">
      <c r="G4338" t="str">
        <f t="shared" si="374"/>
        <v>08/07/19</v>
      </c>
      <c r="H4338" t="str">
        <f t="shared" si="369"/>
        <v/>
      </c>
      <c r="I4338" s="60" t="str">
        <f t="shared" si="370"/>
        <v/>
      </c>
      <c r="J4338" t="str">
        <f t="shared" si="371"/>
        <v/>
      </c>
      <c r="K4338" s="60" t="str">
        <f t="shared" si="372"/>
        <v/>
      </c>
      <c r="L4338" t="str">
        <f t="shared" si="373"/>
        <v/>
      </c>
    </row>
    <row r="4339" spans="1:12" x14ac:dyDescent="0.25">
      <c r="A4339" t="s">
        <v>3818</v>
      </c>
      <c r="G4339" t="str">
        <f t="shared" si="374"/>
        <v>08/07/19</v>
      </c>
      <c r="H4339" t="str">
        <f t="shared" si="369"/>
        <v>Miami Marlins</v>
      </c>
      <c r="I4339" s="60">
        <f t="shared" si="370"/>
        <v>2</v>
      </c>
      <c r="J4339" t="str">
        <f t="shared" si="371"/>
        <v>New York Mets</v>
      </c>
      <c r="K4339" s="60">
        <f t="shared" si="372"/>
        <v>7</v>
      </c>
      <c r="L4339">
        <f t="shared" si="373"/>
        <v>-5</v>
      </c>
    </row>
    <row r="4340" spans="1:12" x14ac:dyDescent="0.25">
      <c r="G4340" t="str">
        <f t="shared" si="374"/>
        <v>08/07/19</v>
      </c>
      <c r="H4340" t="str">
        <f t="shared" si="369"/>
        <v/>
      </c>
      <c r="I4340" s="60" t="str">
        <f t="shared" si="370"/>
        <v/>
      </c>
      <c r="J4340" t="str">
        <f t="shared" si="371"/>
        <v/>
      </c>
      <c r="K4340" s="60" t="str">
        <f t="shared" si="372"/>
        <v/>
      </c>
      <c r="L4340" t="str">
        <f t="shared" si="373"/>
        <v/>
      </c>
    </row>
    <row r="4341" spans="1:12" x14ac:dyDescent="0.25">
      <c r="A4341" t="s">
        <v>3819</v>
      </c>
      <c r="G4341" t="str">
        <f t="shared" si="374"/>
        <v>08/07/19</v>
      </c>
      <c r="H4341" t="str">
        <f t="shared" si="369"/>
        <v>Milwaukee Brewers</v>
      </c>
      <c r="I4341" s="60">
        <f t="shared" si="370"/>
        <v>8</v>
      </c>
      <c r="J4341" t="str">
        <f t="shared" si="371"/>
        <v>Pittsburgh Pirates</v>
      </c>
      <c r="K4341" s="60">
        <f t="shared" si="372"/>
        <v>3</v>
      </c>
      <c r="L4341">
        <f t="shared" si="373"/>
        <v>5</v>
      </c>
    </row>
    <row r="4342" spans="1:12" x14ac:dyDescent="0.25">
      <c r="G4342" t="str">
        <f t="shared" si="374"/>
        <v>08/07/19</v>
      </c>
      <c r="H4342" t="str">
        <f t="shared" si="369"/>
        <v/>
      </c>
      <c r="I4342" s="60" t="str">
        <f t="shared" si="370"/>
        <v/>
      </c>
      <c r="J4342" t="str">
        <f t="shared" si="371"/>
        <v/>
      </c>
      <c r="K4342" s="60" t="str">
        <f t="shared" si="372"/>
        <v/>
      </c>
      <c r="L4342" t="str">
        <f t="shared" si="373"/>
        <v/>
      </c>
    </row>
    <row r="4343" spans="1:12" x14ac:dyDescent="0.25">
      <c r="A4343" t="s">
        <v>3820</v>
      </c>
      <c r="G4343" t="str">
        <f t="shared" si="374"/>
        <v>08/07/19</v>
      </c>
      <c r="H4343" t="str">
        <f t="shared" si="369"/>
        <v>San Diego Padres</v>
      </c>
      <c r="I4343" s="60">
        <f t="shared" si="370"/>
        <v>2</v>
      </c>
      <c r="J4343" t="str">
        <f t="shared" si="371"/>
        <v>Seattle Mariners</v>
      </c>
      <c r="K4343" s="60">
        <f t="shared" si="372"/>
        <v>3</v>
      </c>
      <c r="L4343">
        <f t="shared" si="373"/>
        <v>-1</v>
      </c>
    </row>
    <row r="4344" spans="1:12" x14ac:dyDescent="0.25">
      <c r="G4344" t="str">
        <f t="shared" si="374"/>
        <v>08/07/19</v>
      </c>
      <c r="H4344" t="str">
        <f t="shared" si="369"/>
        <v/>
      </c>
      <c r="I4344" s="60" t="str">
        <f t="shared" si="370"/>
        <v/>
      </c>
      <c r="J4344" t="str">
        <f t="shared" si="371"/>
        <v/>
      </c>
      <c r="K4344" s="60" t="str">
        <f t="shared" si="372"/>
        <v/>
      </c>
      <c r="L4344" t="str">
        <f t="shared" si="373"/>
        <v/>
      </c>
    </row>
    <row r="4345" spans="1:12" x14ac:dyDescent="0.25">
      <c r="A4345" t="s">
        <v>3821</v>
      </c>
      <c r="G4345" t="str">
        <f t="shared" si="374"/>
        <v>08/07/19</v>
      </c>
      <c r="H4345" t="str">
        <f t="shared" si="369"/>
        <v>Washington Nationals</v>
      </c>
      <c r="I4345" s="60">
        <f t="shared" si="370"/>
        <v>4</v>
      </c>
      <c r="J4345" t="str">
        <f t="shared" si="371"/>
        <v>San Francisco Giants</v>
      </c>
      <c r="K4345" s="60">
        <f t="shared" si="372"/>
        <v>1</v>
      </c>
      <c r="L4345">
        <f t="shared" si="373"/>
        <v>3</v>
      </c>
    </row>
    <row r="4346" spans="1:12" x14ac:dyDescent="0.25">
      <c r="G4346" t="str">
        <f t="shared" si="374"/>
        <v>08/07/19</v>
      </c>
      <c r="H4346" t="str">
        <f t="shared" si="369"/>
        <v/>
      </c>
      <c r="I4346" s="60" t="str">
        <f t="shared" si="370"/>
        <v/>
      </c>
      <c r="J4346" t="str">
        <f t="shared" si="371"/>
        <v/>
      </c>
      <c r="K4346" s="60" t="str">
        <f t="shared" si="372"/>
        <v/>
      </c>
      <c r="L4346" t="str">
        <f t="shared" si="373"/>
        <v/>
      </c>
    </row>
    <row r="4347" spans="1:12" x14ac:dyDescent="0.25">
      <c r="A4347" t="s">
        <v>3822</v>
      </c>
      <c r="G4347" t="str">
        <f t="shared" si="374"/>
        <v>08/07/19</v>
      </c>
      <c r="H4347" t="str">
        <f t="shared" si="369"/>
        <v>Toronto Blue Jays</v>
      </c>
      <c r="I4347" s="60">
        <f t="shared" si="370"/>
        <v>4</v>
      </c>
      <c r="J4347" t="str">
        <f t="shared" si="371"/>
        <v>Tampa Bay Rays</v>
      </c>
      <c r="K4347" s="60">
        <f t="shared" si="372"/>
        <v>3</v>
      </c>
      <c r="L4347">
        <f t="shared" si="373"/>
        <v>1</v>
      </c>
    </row>
    <row r="4348" spans="1:12" x14ac:dyDescent="0.25">
      <c r="G4348" t="str">
        <f t="shared" si="374"/>
        <v>08/07/19</v>
      </c>
      <c r="H4348" t="str">
        <f t="shared" si="369"/>
        <v/>
      </c>
      <c r="I4348" s="60" t="str">
        <f t="shared" si="370"/>
        <v/>
      </c>
      <c r="J4348" t="str">
        <f t="shared" si="371"/>
        <v/>
      </c>
      <c r="K4348" s="60" t="str">
        <f t="shared" si="372"/>
        <v/>
      </c>
      <c r="L4348" t="str">
        <f t="shared" si="373"/>
        <v/>
      </c>
    </row>
    <row r="4349" spans="1:12" x14ac:dyDescent="0.25">
      <c r="A4349" t="s">
        <v>3823</v>
      </c>
      <c r="G4349" t="str">
        <f t="shared" si="374"/>
        <v>08/07/19</v>
      </c>
      <c r="H4349" t="str">
        <f t="shared" si="369"/>
        <v/>
      </c>
      <c r="I4349" s="60" t="str">
        <f t="shared" si="370"/>
        <v/>
      </c>
      <c r="J4349" t="str">
        <f t="shared" si="371"/>
        <v/>
      </c>
      <c r="K4349" s="60" t="str">
        <f t="shared" si="372"/>
        <v/>
      </c>
      <c r="L4349" t="str">
        <f t="shared" si="373"/>
        <v/>
      </c>
    </row>
    <row r="4350" spans="1:12" x14ac:dyDescent="0.25">
      <c r="G4350" t="str">
        <f t="shared" si="374"/>
        <v>08/07/19</v>
      </c>
      <c r="H4350" t="str">
        <f t="shared" si="369"/>
        <v/>
      </c>
      <c r="I4350" s="60" t="str">
        <f t="shared" si="370"/>
        <v/>
      </c>
      <c r="J4350" t="str">
        <f t="shared" si="371"/>
        <v/>
      </c>
      <c r="K4350" s="60" t="str">
        <f t="shared" si="372"/>
        <v/>
      </c>
      <c r="L4350" t="str">
        <f t="shared" si="373"/>
        <v/>
      </c>
    </row>
    <row r="4351" spans="1:12" x14ac:dyDescent="0.25">
      <c r="A4351" t="s">
        <v>3834</v>
      </c>
      <c r="G4351" t="str">
        <f t="shared" si="374"/>
        <v>08/08/19</v>
      </c>
      <c r="H4351" t="str">
        <f t="shared" si="369"/>
        <v/>
      </c>
      <c r="I4351" s="60" t="str">
        <f t="shared" si="370"/>
        <v/>
      </c>
      <c r="J4351" t="str">
        <f t="shared" si="371"/>
        <v/>
      </c>
      <c r="K4351" s="60" t="str">
        <f t="shared" si="372"/>
        <v/>
      </c>
      <c r="L4351" t="str">
        <f t="shared" si="373"/>
        <v/>
      </c>
    </row>
    <row r="4352" spans="1:12" x14ac:dyDescent="0.25">
      <c r="G4352" t="str">
        <f t="shared" si="374"/>
        <v>08/08/19</v>
      </c>
      <c r="H4352" t="str">
        <f t="shared" si="369"/>
        <v/>
      </c>
      <c r="I4352" s="60" t="str">
        <f t="shared" si="370"/>
        <v/>
      </c>
      <c r="J4352" t="str">
        <f t="shared" si="371"/>
        <v/>
      </c>
      <c r="K4352" s="60" t="str">
        <f t="shared" si="372"/>
        <v/>
      </c>
      <c r="L4352" t="str">
        <f t="shared" si="373"/>
        <v/>
      </c>
    </row>
    <row r="4353" spans="1:12" x14ac:dyDescent="0.25">
      <c r="A4353" t="s">
        <v>3835</v>
      </c>
      <c r="G4353" t="str">
        <f t="shared" si="374"/>
        <v>08/08/19</v>
      </c>
      <c r="H4353" t="str">
        <f t="shared" si="369"/>
        <v>Los Angeles Angels</v>
      </c>
      <c r="I4353" s="60">
        <f t="shared" si="370"/>
        <v>0</v>
      </c>
      <c r="J4353" t="str">
        <f t="shared" si="371"/>
        <v>Boston Red Sox</v>
      </c>
      <c r="K4353" s="60">
        <f t="shared" si="372"/>
        <v>3</v>
      </c>
      <c r="L4353">
        <f t="shared" si="373"/>
        <v>-3</v>
      </c>
    </row>
    <row r="4354" spans="1:12" x14ac:dyDescent="0.25">
      <c r="G4354" t="str">
        <f t="shared" si="374"/>
        <v>08/08/19</v>
      </c>
      <c r="H4354" t="str">
        <f t="shared" si="369"/>
        <v/>
      </c>
      <c r="I4354" s="60" t="str">
        <f t="shared" si="370"/>
        <v/>
      </c>
      <c r="J4354" t="str">
        <f t="shared" si="371"/>
        <v/>
      </c>
      <c r="K4354" s="60" t="str">
        <f t="shared" si="372"/>
        <v/>
      </c>
      <c r="L4354" t="str">
        <f t="shared" si="373"/>
        <v/>
      </c>
    </row>
    <row r="4355" spans="1:12" x14ac:dyDescent="0.25">
      <c r="A4355" t="s">
        <v>3836</v>
      </c>
      <c r="G4355" t="str">
        <f t="shared" si="374"/>
        <v>08/08/19</v>
      </c>
      <c r="H4355" t="str">
        <f t="shared" si="369"/>
        <v>Chicago Cubs</v>
      </c>
      <c r="I4355" s="60">
        <f t="shared" si="370"/>
        <v>12</v>
      </c>
      <c r="J4355" t="str">
        <f t="shared" si="371"/>
        <v>Cincinnati Reds</v>
      </c>
      <c r="K4355" s="60">
        <f t="shared" si="372"/>
        <v>5</v>
      </c>
      <c r="L4355">
        <f t="shared" si="373"/>
        <v>7</v>
      </c>
    </row>
    <row r="4356" spans="1:12" x14ac:dyDescent="0.25">
      <c r="G4356" t="str">
        <f t="shared" si="374"/>
        <v>08/08/19</v>
      </c>
      <c r="H4356" t="str">
        <f t="shared" si="369"/>
        <v/>
      </c>
      <c r="I4356" s="60" t="str">
        <f t="shared" si="370"/>
        <v/>
      </c>
      <c r="J4356" t="str">
        <f t="shared" si="371"/>
        <v/>
      </c>
      <c r="K4356" s="60" t="str">
        <f t="shared" si="372"/>
        <v/>
      </c>
      <c r="L4356" t="str">
        <f t="shared" si="373"/>
        <v/>
      </c>
    </row>
    <row r="4357" spans="1:12" x14ac:dyDescent="0.25">
      <c r="A4357" t="s">
        <v>3837</v>
      </c>
      <c r="G4357" t="str">
        <f t="shared" si="374"/>
        <v>08/08/19</v>
      </c>
      <c r="H4357" t="str">
        <f t="shared" si="369"/>
        <v>Kansas City Royals</v>
      </c>
      <c r="I4357" s="60">
        <f t="shared" si="370"/>
        <v>8</v>
      </c>
      <c r="J4357" t="str">
        <f t="shared" si="371"/>
        <v>Detroit Tigers</v>
      </c>
      <c r="K4357" s="60">
        <f t="shared" si="372"/>
        <v>10</v>
      </c>
      <c r="L4357">
        <f t="shared" si="373"/>
        <v>-2</v>
      </c>
    </row>
    <row r="4358" spans="1:12" x14ac:dyDescent="0.25">
      <c r="G4358" t="str">
        <f t="shared" si="374"/>
        <v>08/08/19</v>
      </c>
      <c r="H4358" t="str">
        <f t="shared" si="369"/>
        <v/>
      </c>
      <c r="I4358" s="60" t="str">
        <f t="shared" si="370"/>
        <v/>
      </c>
      <c r="J4358" t="str">
        <f t="shared" si="371"/>
        <v/>
      </c>
      <c r="K4358" s="60" t="str">
        <f t="shared" si="372"/>
        <v/>
      </c>
      <c r="L4358" t="str">
        <f t="shared" si="373"/>
        <v/>
      </c>
    </row>
    <row r="4359" spans="1:12" x14ac:dyDescent="0.25">
      <c r="A4359" t="s">
        <v>3838</v>
      </c>
      <c r="G4359" t="str">
        <f t="shared" si="374"/>
        <v>08/08/19</v>
      </c>
      <c r="H4359" t="str">
        <f t="shared" si="369"/>
        <v>Atlanta Braves</v>
      </c>
      <c r="I4359" s="60">
        <f t="shared" si="370"/>
        <v>2</v>
      </c>
      <c r="J4359" t="str">
        <f t="shared" si="371"/>
        <v>Miami Marlins</v>
      </c>
      <c r="K4359" s="60">
        <f t="shared" si="372"/>
        <v>9</v>
      </c>
      <c r="L4359">
        <f t="shared" si="373"/>
        <v>-7</v>
      </c>
    </row>
    <row r="4360" spans="1:12" x14ac:dyDescent="0.25">
      <c r="G4360" t="str">
        <f t="shared" si="374"/>
        <v>08/08/19</v>
      </c>
      <c r="H4360" t="str">
        <f t="shared" si="369"/>
        <v/>
      </c>
      <c r="I4360" s="60" t="str">
        <f t="shared" si="370"/>
        <v/>
      </c>
      <c r="J4360" t="str">
        <f t="shared" si="371"/>
        <v/>
      </c>
      <c r="K4360" s="60" t="str">
        <f t="shared" si="372"/>
        <v/>
      </c>
      <c r="L4360" t="str">
        <f t="shared" si="373"/>
        <v/>
      </c>
    </row>
    <row r="4361" spans="1:12" x14ac:dyDescent="0.25">
      <c r="A4361" t="s">
        <v>3839</v>
      </c>
      <c r="G4361" t="str">
        <f t="shared" si="374"/>
        <v>08/08/19</v>
      </c>
      <c r="H4361" t="str">
        <f t="shared" si="369"/>
        <v>Cleveland Indians</v>
      </c>
      <c r="I4361" s="60">
        <f t="shared" si="370"/>
        <v>7</v>
      </c>
      <c r="J4361" t="str">
        <f t="shared" si="371"/>
        <v>Minnesota Twins</v>
      </c>
      <c r="K4361" s="60">
        <f t="shared" si="372"/>
        <v>5</v>
      </c>
      <c r="L4361">
        <f t="shared" si="373"/>
        <v>2</v>
      </c>
    </row>
    <row r="4362" spans="1:12" x14ac:dyDescent="0.25">
      <c r="G4362" t="str">
        <f t="shared" si="374"/>
        <v>08/08/19</v>
      </c>
      <c r="H4362" t="str">
        <f t="shared" si="369"/>
        <v/>
      </c>
      <c r="I4362" s="60" t="str">
        <f t="shared" si="370"/>
        <v/>
      </c>
      <c r="J4362" t="str">
        <f t="shared" si="371"/>
        <v/>
      </c>
      <c r="K4362" s="60" t="str">
        <f t="shared" si="372"/>
        <v/>
      </c>
      <c r="L4362" t="str">
        <f t="shared" si="373"/>
        <v/>
      </c>
    </row>
    <row r="4363" spans="1:12" x14ac:dyDescent="0.25">
      <c r="A4363" t="s">
        <v>3840</v>
      </c>
      <c r="G4363" t="str">
        <f t="shared" si="374"/>
        <v>08/08/19</v>
      </c>
      <c r="H4363" t="str">
        <f t="shared" si="369"/>
        <v>Colorado Rockies</v>
      </c>
      <c r="I4363" s="60">
        <f t="shared" si="370"/>
        <v>3</v>
      </c>
      <c r="J4363" t="str">
        <f t="shared" si="371"/>
        <v>San Diego Padres</v>
      </c>
      <c r="K4363" s="60">
        <f t="shared" si="372"/>
        <v>9</v>
      </c>
      <c r="L4363">
        <f t="shared" si="373"/>
        <v>-6</v>
      </c>
    </row>
    <row r="4364" spans="1:12" x14ac:dyDescent="0.25">
      <c r="G4364" t="str">
        <f t="shared" si="374"/>
        <v>08/08/19</v>
      </c>
      <c r="H4364" t="str">
        <f t="shared" si="369"/>
        <v/>
      </c>
      <c r="I4364" s="60" t="str">
        <f t="shared" si="370"/>
        <v/>
      </c>
      <c r="J4364" t="str">
        <f t="shared" si="371"/>
        <v/>
      </c>
      <c r="K4364" s="60" t="str">
        <f t="shared" si="372"/>
        <v/>
      </c>
      <c r="L4364" t="str">
        <f t="shared" si="373"/>
        <v/>
      </c>
    </row>
    <row r="4365" spans="1:12" x14ac:dyDescent="0.25">
      <c r="A4365" t="s">
        <v>3841</v>
      </c>
      <c r="G4365" t="str">
        <f t="shared" si="374"/>
        <v>08/08/19</v>
      </c>
      <c r="H4365" t="str">
        <f t="shared" si="369"/>
        <v>Philadelphia Phillies</v>
      </c>
      <c r="I4365" s="60">
        <f t="shared" si="370"/>
        <v>0</v>
      </c>
      <c r="J4365" t="str">
        <f t="shared" si="371"/>
        <v>San Francisco Giants</v>
      </c>
      <c r="K4365" s="60">
        <f t="shared" si="372"/>
        <v>5</v>
      </c>
      <c r="L4365">
        <f t="shared" si="373"/>
        <v>-5</v>
      </c>
    </row>
    <row r="4366" spans="1:12" x14ac:dyDescent="0.25">
      <c r="G4366" t="str">
        <f t="shared" si="374"/>
        <v>08/08/19</v>
      </c>
      <c r="H4366" t="str">
        <f t="shared" si="369"/>
        <v/>
      </c>
      <c r="I4366" s="60" t="str">
        <f t="shared" si="370"/>
        <v/>
      </c>
      <c r="J4366" t="str">
        <f t="shared" si="371"/>
        <v/>
      </c>
      <c r="K4366" s="60" t="str">
        <f t="shared" si="372"/>
        <v/>
      </c>
      <c r="L4366" t="str">
        <f t="shared" si="373"/>
        <v/>
      </c>
    </row>
    <row r="4367" spans="1:12" x14ac:dyDescent="0.25">
      <c r="A4367" t="s">
        <v>3842</v>
      </c>
      <c r="G4367" t="str">
        <f t="shared" si="374"/>
        <v>08/08/19</v>
      </c>
      <c r="H4367" t="str">
        <f t="shared" si="369"/>
        <v>New York Yankees</v>
      </c>
      <c r="I4367" s="60">
        <f t="shared" si="370"/>
        <v>12</v>
      </c>
      <c r="J4367" t="str">
        <f t="shared" si="371"/>
        <v>Toronto Blue Jays</v>
      </c>
      <c r="K4367" s="60">
        <f t="shared" si="372"/>
        <v>6</v>
      </c>
      <c r="L4367">
        <f t="shared" si="373"/>
        <v>6</v>
      </c>
    </row>
    <row r="4368" spans="1:12" x14ac:dyDescent="0.25">
      <c r="G4368" t="str">
        <f t="shared" si="374"/>
        <v>08/08/19</v>
      </c>
      <c r="H4368" t="str">
        <f t="shared" ref="H4368:H4431" si="375">IFERROR(LEFT(MID(A4368,1,SEARCH("@",A4368)-2),SEARCH("(",A4368)-2),"")</f>
        <v/>
      </c>
      <c r="I4368" s="60" t="str">
        <f t="shared" ref="I4368:I4431" si="376">IFERROR(VALUE(MID(A4368,SEARCH("(",A4368)+1,SEARCH(")",A4368)-SEARCH("(",A4368)-1)),"")</f>
        <v/>
      </c>
      <c r="J4368" t="str">
        <f t="shared" ref="J4368:J4431" si="377">IFERROR(MID(A4368,SEARCH("@",A4368)+2,SEARCH("(",A4368,SEARCH("@",A4368))-SEARCH("@",A4368)-3),"")</f>
        <v/>
      </c>
      <c r="K4368" s="60" t="str">
        <f t="shared" ref="K4368:K4431" si="378">IFERROR(VALUE(MID(A4368,SEARCH(J4368,A4368)+LEN(J4368)+2,(SEARCH(")",A4368,SEARCH("@",A4368))-SEARCH("(",A4368,SEARCH("@",A4368))-1))),"")</f>
        <v/>
      </c>
      <c r="L4368" t="str">
        <f t="shared" ref="L4368:L4431" si="379">IFERROR(I4368-K4368,"")</f>
        <v/>
      </c>
    </row>
    <row r="4369" spans="1:12" x14ac:dyDescent="0.25">
      <c r="A4369" t="s">
        <v>3843</v>
      </c>
      <c r="G4369" t="str">
        <f t="shared" si="374"/>
        <v>08/08/19</v>
      </c>
      <c r="H4369" t="str">
        <f t="shared" si="375"/>
        <v/>
      </c>
      <c r="I4369" s="60" t="str">
        <f t="shared" si="376"/>
        <v/>
      </c>
      <c r="J4369" t="str">
        <f t="shared" si="377"/>
        <v/>
      </c>
      <c r="K4369" s="60" t="str">
        <f t="shared" si="378"/>
        <v/>
      </c>
      <c r="L4369" t="str">
        <f t="shared" si="379"/>
        <v/>
      </c>
    </row>
    <row r="4370" spans="1:12" x14ac:dyDescent="0.25">
      <c r="G4370" t="str">
        <f t="shared" si="374"/>
        <v>08/08/19</v>
      </c>
      <c r="H4370" t="str">
        <f t="shared" si="375"/>
        <v/>
      </c>
      <c r="I4370" s="60" t="str">
        <f t="shared" si="376"/>
        <v/>
      </c>
      <c r="J4370" t="str">
        <f t="shared" si="377"/>
        <v/>
      </c>
      <c r="K4370" s="60" t="str">
        <f t="shared" si="378"/>
        <v/>
      </c>
      <c r="L4370" t="str">
        <f t="shared" si="379"/>
        <v/>
      </c>
    </row>
    <row r="4371" spans="1:12" x14ac:dyDescent="0.25">
      <c r="A4371" t="s">
        <v>3280</v>
      </c>
      <c r="G4371" t="str">
        <f t="shared" si="374"/>
        <v>08/09/19</v>
      </c>
      <c r="H4371" t="str">
        <f t="shared" si="375"/>
        <v/>
      </c>
      <c r="I4371" s="60" t="str">
        <f t="shared" si="376"/>
        <v/>
      </c>
      <c r="J4371" t="str">
        <f t="shared" si="377"/>
        <v/>
      </c>
      <c r="K4371" s="60" t="str">
        <f t="shared" si="378"/>
        <v/>
      </c>
      <c r="L4371" t="str">
        <f t="shared" si="379"/>
        <v/>
      </c>
    </row>
    <row r="4372" spans="1:12" x14ac:dyDescent="0.25">
      <c r="G4372" t="str">
        <f t="shared" si="374"/>
        <v>08/09/19</v>
      </c>
      <c r="H4372" t="str">
        <f t="shared" si="375"/>
        <v/>
      </c>
      <c r="I4372" s="60" t="str">
        <f t="shared" si="376"/>
        <v/>
      </c>
      <c r="J4372" t="str">
        <f t="shared" si="377"/>
        <v/>
      </c>
      <c r="K4372" s="60" t="str">
        <f t="shared" si="378"/>
        <v/>
      </c>
      <c r="L4372" t="str">
        <f t="shared" si="379"/>
        <v/>
      </c>
    </row>
    <row r="4373" spans="1:12" x14ac:dyDescent="0.25">
      <c r="A4373" t="s">
        <v>3844</v>
      </c>
      <c r="G4373" t="str">
        <f t="shared" si="374"/>
        <v>08/09/19</v>
      </c>
      <c r="H4373" t="str">
        <f t="shared" si="375"/>
        <v>Houston Astros</v>
      </c>
      <c r="I4373" s="60">
        <f t="shared" si="376"/>
        <v>3</v>
      </c>
      <c r="J4373" t="str">
        <f t="shared" si="377"/>
        <v>Baltimore Orioles</v>
      </c>
      <c r="K4373" s="60">
        <f t="shared" si="378"/>
        <v>2</v>
      </c>
      <c r="L4373">
        <f t="shared" si="379"/>
        <v>1</v>
      </c>
    </row>
    <row r="4374" spans="1:12" x14ac:dyDescent="0.25">
      <c r="G4374" t="str">
        <f t="shared" si="374"/>
        <v>08/09/19</v>
      </c>
      <c r="H4374" t="str">
        <f t="shared" si="375"/>
        <v/>
      </c>
      <c r="I4374" s="60" t="str">
        <f t="shared" si="376"/>
        <v/>
      </c>
      <c r="J4374" t="str">
        <f t="shared" si="377"/>
        <v/>
      </c>
      <c r="K4374" s="60" t="str">
        <f t="shared" si="378"/>
        <v/>
      </c>
      <c r="L4374" t="str">
        <f t="shared" si="379"/>
        <v/>
      </c>
    </row>
    <row r="4375" spans="1:12" x14ac:dyDescent="0.25">
      <c r="A4375" t="s">
        <v>3845</v>
      </c>
      <c r="G4375" t="str">
        <f t="shared" si="374"/>
        <v>08/09/19</v>
      </c>
      <c r="H4375" t="str">
        <f t="shared" si="375"/>
        <v>Los Angeles Angels</v>
      </c>
      <c r="I4375" s="60">
        <f t="shared" si="376"/>
        <v>4</v>
      </c>
      <c r="J4375" t="str">
        <f t="shared" si="377"/>
        <v>Boston Red Sox</v>
      </c>
      <c r="K4375" s="60">
        <f t="shared" si="378"/>
        <v>16</v>
      </c>
      <c r="L4375">
        <f t="shared" si="379"/>
        <v>-12</v>
      </c>
    </row>
    <row r="4376" spans="1:12" x14ac:dyDescent="0.25">
      <c r="G4376" t="str">
        <f t="shared" si="374"/>
        <v>08/09/19</v>
      </c>
      <c r="H4376" t="str">
        <f t="shared" si="375"/>
        <v/>
      </c>
      <c r="I4376" s="60" t="str">
        <f t="shared" si="376"/>
        <v/>
      </c>
      <c r="J4376" t="str">
        <f t="shared" si="377"/>
        <v/>
      </c>
      <c r="K4376" s="60" t="str">
        <f t="shared" si="378"/>
        <v/>
      </c>
      <c r="L4376" t="str">
        <f t="shared" si="379"/>
        <v/>
      </c>
    </row>
    <row r="4377" spans="1:12" x14ac:dyDescent="0.25">
      <c r="A4377" t="s">
        <v>3846</v>
      </c>
      <c r="G4377" t="str">
        <f t="shared" si="374"/>
        <v>08/09/19</v>
      </c>
      <c r="H4377" t="str">
        <f t="shared" si="375"/>
        <v>Oakland Athletics</v>
      </c>
      <c r="I4377" s="60">
        <f t="shared" si="376"/>
        <v>7</v>
      </c>
      <c r="J4377" t="str">
        <f t="shared" si="377"/>
        <v>Chicago White Sox</v>
      </c>
      <c r="K4377" s="60">
        <f t="shared" si="378"/>
        <v>0</v>
      </c>
      <c r="L4377">
        <f t="shared" si="379"/>
        <v>7</v>
      </c>
    </row>
    <row r="4378" spans="1:12" x14ac:dyDescent="0.25">
      <c r="G4378" t="str">
        <f t="shared" si="374"/>
        <v>08/09/19</v>
      </c>
      <c r="H4378" t="str">
        <f t="shared" si="375"/>
        <v/>
      </c>
      <c r="I4378" s="60" t="str">
        <f t="shared" si="376"/>
        <v/>
      </c>
      <c r="J4378" t="str">
        <f t="shared" si="377"/>
        <v/>
      </c>
      <c r="K4378" s="60" t="str">
        <f t="shared" si="378"/>
        <v/>
      </c>
      <c r="L4378" t="str">
        <f t="shared" si="379"/>
        <v/>
      </c>
    </row>
    <row r="4379" spans="1:12" x14ac:dyDescent="0.25">
      <c r="A4379" t="s">
        <v>3847</v>
      </c>
      <c r="G4379" t="str">
        <f t="shared" si="374"/>
        <v>08/09/19</v>
      </c>
      <c r="H4379" t="str">
        <f t="shared" si="375"/>
        <v>Chicago Cubs</v>
      </c>
      <c r="I4379" s="60">
        <f t="shared" si="376"/>
        <v>2</v>
      </c>
      <c r="J4379" t="str">
        <f t="shared" si="377"/>
        <v>Cincinnati Reds</v>
      </c>
      <c r="K4379" s="60">
        <f t="shared" si="378"/>
        <v>5</v>
      </c>
      <c r="L4379">
        <f t="shared" si="379"/>
        <v>-3</v>
      </c>
    </row>
    <row r="4380" spans="1:12" x14ac:dyDescent="0.25">
      <c r="G4380" t="str">
        <f t="shared" si="374"/>
        <v>08/09/19</v>
      </c>
      <c r="H4380" t="str">
        <f t="shared" si="375"/>
        <v/>
      </c>
      <c r="I4380" s="60" t="str">
        <f t="shared" si="376"/>
        <v/>
      </c>
      <c r="J4380" t="str">
        <f t="shared" si="377"/>
        <v/>
      </c>
      <c r="K4380" s="60" t="str">
        <f t="shared" si="378"/>
        <v/>
      </c>
      <c r="L4380" t="str">
        <f t="shared" si="379"/>
        <v/>
      </c>
    </row>
    <row r="4381" spans="1:12" x14ac:dyDescent="0.25">
      <c r="A4381" t="s">
        <v>2212</v>
      </c>
      <c r="G4381" t="str">
        <f t="shared" si="374"/>
        <v>08/09/19</v>
      </c>
      <c r="H4381" t="str">
        <f t="shared" si="375"/>
        <v>Kansas City Royals</v>
      </c>
      <c r="I4381" s="60">
        <f t="shared" si="376"/>
        <v>2</v>
      </c>
      <c r="J4381" t="str">
        <f t="shared" si="377"/>
        <v>Detroit Tigers</v>
      </c>
      <c r="K4381" s="60">
        <f t="shared" si="378"/>
        <v>5</v>
      </c>
      <c r="L4381">
        <f t="shared" si="379"/>
        <v>-3</v>
      </c>
    </row>
    <row r="4382" spans="1:12" x14ac:dyDescent="0.25">
      <c r="G4382" t="str">
        <f t="shared" si="374"/>
        <v>08/09/19</v>
      </c>
      <c r="H4382" t="str">
        <f t="shared" si="375"/>
        <v/>
      </c>
      <c r="I4382" s="60" t="str">
        <f t="shared" si="376"/>
        <v/>
      </c>
      <c r="J4382" t="str">
        <f t="shared" si="377"/>
        <v/>
      </c>
      <c r="K4382" s="60" t="str">
        <f t="shared" si="378"/>
        <v/>
      </c>
      <c r="L4382" t="str">
        <f t="shared" si="379"/>
        <v/>
      </c>
    </row>
    <row r="4383" spans="1:12" x14ac:dyDescent="0.25">
      <c r="A4383" t="s">
        <v>3848</v>
      </c>
      <c r="G4383" t="str">
        <f t="shared" si="374"/>
        <v>08/09/19</v>
      </c>
      <c r="H4383" t="str">
        <f t="shared" si="375"/>
        <v>Arizona D'Backs</v>
      </c>
      <c r="I4383" s="60">
        <f t="shared" si="376"/>
        <v>3</v>
      </c>
      <c r="J4383" t="str">
        <f t="shared" si="377"/>
        <v>Los Angeles Dodgers</v>
      </c>
      <c r="K4383" s="60">
        <f t="shared" si="378"/>
        <v>2</v>
      </c>
      <c r="L4383">
        <f t="shared" si="379"/>
        <v>1</v>
      </c>
    </row>
    <row r="4384" spans="1:12" x14ac:dyDescent="0.25">
      <c r="G4384" t="str">
        <f t="shared" si="374"/>
        <v>08/09/19</v>
      </c>
      <c r="H4384" t="str">
        <f t="shared" si="375"/>
        <v/>
      </c>
      <c r="I4384" s="60" t="str">
        <f t="shared" si="376"/>
        <v/>
      </c>
      <c r="J4384" t="str">
        <f t="shared" si="377"/>
        <v/>
      </c>
      <c r="K4384" s="60" t="str">
        <f t="shared" si="378"/>
        <v/>
      </c>
      <c r="L4384" t="str">
        <f t="shared" si="379"/>
        <v/>
      </c>
    </row>
    <row r="4385" spans="1:12" x14ac:dyDescent="0.25">
      <c r="A4385" t="s">
        <v>3849</v>
      </c>
      <c r="G4385" t="str">
        <f t="shared" si="374"/>
        <v>08/09/19</v>
      </c>
      <c r="H4385" t="str">
        <f t="shared" si="375"/>
        <v>Atlanta Braves</v>
      </c>
      <c r="I4385" s="60">
        <f t="shared" si="376"/>
        <v>8</v>
      </c>
      <c r="J4385" t="str">
        <f t="shared" si="377"/>
        <v>Miami Marlins</v>
      </c>
      <c r="K4385" s="60">
        <f t="shared" si="378"/>
        <v>4</v>
      </c>
      <c r="L4385">
        <f t="shared" si="379"/>
        <v>4</v>
      </c>
    </row>
    <row r="4386" spans="1:12" x14ac:dyDescent="0.25">
      <c r="G4386" t="str">
        <f t="shared" ref="G4386:G4449" si="380">IF(ISNUMBER(MATCH(IFERROR(LEFT(A4386,SEARCH(",",A4386)-1),""),$G$220:$M$220,0)),TEXT(MID(A4386,SEARCH(",",A4386)+2,LEN(A4386)),"mm/dd/yy"),G4385)</f>
        <v>08/09/19</v>
      </c>
      <c r="H4386" t="str">
        <f t="shared" si="375"/>
        <v/>
      </c>
      <c r="I4386" s="60" t="str">
        <f t="shared" si="376"/>
        <v/>
      </c>
      <c r="J4386" t="str">
        <f t="shared" si="377"/>
        <v/>
      </c>
      <c r="K4386" s="60" t="str">
        <f t="shared" si="378"/>
        <v/>
      </c>
      <c r="L4386" t="str">
        <f t="shared" si="379"/>
        <v/>
      </c>
    </row>
    <row r="4387" spans="1:12" x14ac:dyDescent="0.25">
      <c r="A4387" t="s">
        <v>3850</v>
      </c>
      <c r="G4387" t="str">
        <f t="shared" si="380"/>
        <v>08/09/19</v>
      </c>
      <c r="H4387" t="str">
        <f t="shared" si="375"/>
        <v>Texas Rangers</v>
      </c>
      <c r="I4387" s="60">
        <f t="shared" si="376"/>
        <v>5</v>
      </c>
      <c r="J4387" t="str">
        <f t="shared" si="377"/>
        <v>Milwaukee Brewers</v>
      </c>
      <c r="K4387" s="60">
        <f t="shared" si="378"/>
        <v>6</v>
      </c>
      <c r="L4387">
        <f t="shared" si="379"/>
        <v>-1</v>
      </c>
    </row>
    <row r="4388" spans="1:12" x14ac:dyDescent="0.25">
      <c r="G4388" t="str">
        <f t="shared" si="380"/>
        <v>08/09/19</v>
      </c>
      <c r="H4388" t="str">
        <f t="shared" si="375"/>
        <v/>
      </c>
      <c r="I4388" s="60" t="str">
        <f t="shared" si="376"/>
        <v/>
      </c>
      <c r="J4388" t="str">
        <f t="shared" si="377"/>
        <v/>
      </c>
      <c r="K4388" s="60" t="str">
        <f t="shared" si="378"/>
        <v/>
      </c>
      <c r="L4388" t="str">
        <f t="shared" si="379"/>
        <v/>
      </c>
    </row>
    <row r="4389" spans="1:12" x14ac:dyDescent="0.25">
      <c r="A4389" t="s">
        <v>3851</v>
      </c>
      <c r="G4389" t="str">
        <f t="shared" si="380"/>
        <v>08/09/19</v>
      </c>
      <c r="H4389" t="str">
        <f t="shared" si="375"/>
        <v>Cleveland Indians</v>
      </c>
      <c r="I4389" s="60">
        <f t="shared" si="376"/>
        <v>6</v>
      </c>
      <c r="J4389" t="str">
        <f t="shared" si="377"/>
        <v>Minnesota Twins</v>
      </c>
      <c r="K4389" s="60">
        <f t="shared" si="378"/>
        <v>2</v>
      </c>
      <c r="L4389">
        <f t="shared" si="379"/>
        <v>4</v>
      </c>
    </row>
    <row r="4390" spans="1:12" x14ac:dyDescent="0.25">
      <c r="G4390" t="str">
        <f t="shared" si="380"/>
        <v>08/09/19</v>
      </c>
      <c r="H4390" t="str">
        <f t="shared" si="375"/>
        <v/>
      </c>
      <c r="I4390" s="60" t="str">
        <f t="shared" si="376"/>
        <v/>
      </c>
      <c r="J4390" t="str">
        <f t="shared" si="377"/>
        <v/>
      </c>
      <c r="K4390" s="60" t="str">
        <f t="shared" si="378"/>
        <v/>
      </c>
      <c r="L4390" t="str">
        <f t="shared" si="379"/>
        <v/>
      </c>
    </row>
    <row r="4391" spans="1:12" x14ac:dyDescent="0.25">
      <c r="A4391" t="s">
        <v>3852</v>
      </c>
      <c r="G4391" t="str">
        <f t="shared" si="380"/>
        <v>08/09/19</v>
      </c>
      <c r="H4391" t="str">
        <f t="shared" si="375"/>
        <v>Washington Nationals</v>
      </c>
      <c r="I4391" s="60">
        <f t="shared" si="376"/>
        <v>6</v>
      </c>
      <c r="J4391" t="str">
        <f t="shared" si="377"/>
        <v>New York Mets</v>
      </c>
      <c r="K4391" s="60">
        <f t="shared" si="378"/>
        <v>7</v>
      </c>
      <c r="L4391">
        <f t="shared" si="379"/>
        <v>-1</v>
      </c>
    </row>
    <row r="4392" spans="1:12" x14ac:dyDescent="0.25">
      <c r="G4392" t="str">
        <f t="shared" si="380"/>
        <v>08/09/19</v>
      </c>
      <c r="H4392" t="str">
        <f t="shared" si="375"/>
        <v/>
      </c>
      <c r="I4392" s="60" t="str">
        <f t="shared" si="376"/>
        <v/>
      </c>
      <c r="J4392" t="str">
        <f t="shared" si="377"/>
        <v/>
      </c>
      <c r="K4392" s="60" t="str">
        <f t="shared" si="378"/>
        <v/>
      </c>
      <c r="L4392" t="str">
        <f t="shared" si="379"/>
        <v/>
      </c>
    </row>
    <row r="4393" spans="1:12" x14ac:dyDescent="0.25">
      <c r="A4393" t="s">
        <v>3853</v>
      </c>
      <c r="G4393" t="str">
        <f t="shared" si="380"/>
        <v>08/09/19</v>
      </c>
      <c r="H4393" t="str">
        <f t="shared" si="375"/>
        <v>Colorado Rockies</v>
      </c>
      <c r="I4393" s="60">
        <f t="shared" si="376"/>
        <v>1</v>
      </c>
      <c r="J4393" t="str">
        <f t="shared" si="377"/>
        <v>San Diego Padres</v>
      </c>
      <c r="K4393" s="60">
        <f t="shared" si="378"/>
        <v>7</v>
      </c>
      <c r="L4393">
        <f t="shared" si="379"/>
        <v>-6</v>
      </c>
    </row>
    <row r="4394" spans="1:12" x14ac:dyDescent="0.25">
      <c r="G4394" t="str">
        <f t="shared" si="380"/>
        <v>08/09/19</v>
      </c>
      <c r="H4394" t="str">
        <f t="shared" si="375"/>
        <v/>
      </c>
      <c r="I4394" s="60" t="str">
        <f t="shared" si="376"/>
        <v/>
      </c>
      <c r="J4394" t="str">
        <f t="shared" si="377"/>
        <v/>
      </c>
      <c r="K4394" s="60" t="str">
        <f t="shared" si="378"/>
        <v/>
      </c>
      <c r="L4394" t="str">
        <f t="shared" si="379"/>
        <v/>
      </c>
    </row>
    <row r="4395" spans="1:12" x14ac:dyDescent="0.25">
      <c r="A4395" t="s">
        <v>3854</v>
      </c>
      <c r="G4395" t="str">
        <f t="shared" si="380"/>
        <v>08/09/19</v>
      </c>
      <c r="H4395" t="str">
        <f t="shared" si="375"/>
        <v>Tampa Bay Rays</v>
      </c>
      <c r="I4395" s="60">
        <f t="shared" si="376"/>
        <v>5</v>
      </c>
      <c r="J4395" t="str">
        <f t="shared" si="377"/>
        <v>Seattle Mariners</v>
      </c>
      <c r="K4395" s="60">
        <f t="shared" si="378"/>
        <v>3</v>
      </c>
      <c r="L4395">
        <f t="shared" si="379"/>
        <v>2</v>
      </c>
    </row>
    <row r="4396" spans="1:12" x14ac:dyDescent="0.25">
      <c r="G4396" t="str">
        <f t="shared" si="380"/>
        <v>08/09/19</v>
      </c>
      <c r="H4396" t="str">
        <f t="shared" si="375"/>
        <v/>
      </c>
      <c r="I4396" s="60" t="str">
        <f t="shared" si="376"/>
        <v/>
      </c>
      <c r="J4396" t="str">
        <f t="shared" si="377"/>
        <v/>
      </c>
      <c r="K4396" s="60" t="str">
        <f t="shared" si="378"/>
        <v/>
      </c>
      <c r="L4396" t="str">
        <f t="shared" si="379"/>
        <v/>
      </c>
    </row>
    <row r="4397" spans="1:12" x14ac:dyDescent="0.25">
      <c r="A4397" t="s">
        <v>3855</v>
      </c>
      <c r="G4397" t="str">
        <f t="shared" si="380"/>
        <v>08/09/19</v>
      </c>
      <c r="H4397" t="str">
        <f t="shared" si="375"/>
        <v>Philadelphia Phillies</v>
      </c>
      <c r="I4397" s="60">
        <f t="shared" si="376"/>
        <v>9</v>
      </c>
      <c r="J4397" t="str">
        <f t="shared" si="377"/>
        <v>San Francisco Giants</v>
      </c>
      <c r="K4397" s="60">
        <f t="shared" si="378"/>
        <v>6</v>
      </c>
      <c r="L4397">
        <f t="shared" si="379"/>
        <v>3</v>
      </c>
    </row>
    <row r="4398" spans="1:12" x14ac:dyDescent="0.25">
      <c r="G4398" t="str">
        <f t="shared" si="380"/>
        <v>08/09/19</v>
      </c>
      <c r="H4398" t="str">
        <f t="shared" si="375"/>
        <v/>
      </c>
      <c r="I4398" s="60" t="str">
        <f t="shared" si="376"/>
        <v/>
      </c>
      <c r="J4398" t="str">
        <f t="shared" si="377"/>
        <v/>
      </c>
      <c r="K4398" s="60" t="str">
        <f t="shared" si="378"/>
        <v/>
      </c>
      <c r="L4398" t="str">
        <f t="shared" si="379"/>
        <v/>
      </c>
    </row>
    <row r="4399" spans="1:12" x14ac:dyDescent="0.25">
      <c r="A4399" t="s">
        <v>3856</v>
      </c>
      <c r="G4399" t="str">
        <f t="shared" si="380"/>
        <v>08/09/19</v>
      </c>
      <c r="H4399" t="str">
        <f t="shared" si="375"/>
        <v>Pittsburgh Pirates</v>
      </c>
      <c r="I4399" s="60">
        <f t="shared" si="376"/>
        <v>2</v>
      </c>
      <c r="J4399" t="str">
        <f t="shared" si="377"/>
        <v>St. Louis Cardinals</v>
      </c>
      <c r="K4399" s="60">
        <f t="shared" si="378"/>
        <v>6</v>
      </c>
      <c r="L4399">
        <f t="shared" si="379"/>
        <v>-4</v>
      </c>
    </row>
    <row r="4400" spans="1:12" x14ac:dyDescent="0.25">
      <c r="G4400" t="str">
        <f t="shared" si="380"/>
        <v>08/09/19</v>
      </c>
      <c r="H4400" t="str">
        <f t="shared" si="375"/>
        <v/>
      </c>
      <c r="I4400" s="60" t="str">
        <f t="shared" si="376"/>
        <v/>
      </c>
      <c r="J4400" t="str">
        <f t="shared" si="377"/>
        <v/>
      </c>
      <c r="K4400" s="60" t="str">
        <f t="shared" si="378"/>
        <v/>
      </c>
      <c r="L4400" t="str">
        <f t="shared" si="379"/>
        <v/>
      </c>
    </row>
    <row r="4401" spans="1:12" x14ac:dyDescent="0.25">
      <c r="A4401" t="s">
        <v>3857</v>
      </c>
      <c r="G4401" t="str">
        <f t="shared" si="380"/>
        <v>08/09/19</v>
      </c>
      <c r="H4401" t="str">
        <f t="shared" si="375"/>
        <v>New York Yankees</v>
      </c>
      <c r="I4401" s="60">
        <f t="shared" si="376"/>
        <v>2</v>
      </c>
      <c r="J4401" t="str">
        <f t="shared" si="377"/>
        <v>Toronto Blue Jays</v>
      </c>
      <c r="K4401" s="60">
        <f t="shared" si="378"/>
        <v>8</v>
      </c>
      <c r="L4401">
        <f t="shared" si="379"/>
        <v>-6</v>
      </c>
    </row>
    <row r="4402" spans="1:12" x14ac:dyDescent="0.25">
      <c r="G4402" t="str">
        <f t="shared" si="380"/>
        <v>08/09/19</v>
      </c>
      <c r="H4402" t="str">
        <f t="shared" si="375"/>
        <v/>
      </c>
      <c r="I4402" s="60" t="str">
        <f t="shared" si="376"/>
        <v/>
      </c>
      <c r="J4402" t="str">
        <f t="shared" si="377"/>
        <v/>
      </c>
      <c r="K4402" s="60" t="str">
        <f t="shared" si="378"/>
        <v/>
      </c>
      <c r="L4402" t="str">
        <f t="shared" si="379"/>
        <v/>
      </c>
    </row>
    <row r="4403" spans="1:12" x14ac:dyDescent="0.25">
      <c r="A4403" t="s">
        <v>3858</v>
      </c>
      <c r="G4403" t="str">
        <f t="shared" si="380"/>
        <v>08/09/19</v>
      </c>
      <c r="H4403" t="str">
        <f t="shared" si="375"/>
        <v/>
      </c>
      <c r="I4403" s="60" t="str">
        <f t="shared" si="376"/>
        <v/>
      </c>
      <c r="J4403" t="str">
        <f t="shared" si="377"/>
        <v/>
      </c>
      <c r="K4403" s="60" t="str">
        <f t="shared" si="378"/>
        <v/>
      </c>
      <c r="L4403" t="str">
        <f t="shared" si="379"/>
        <v/>
      </c>
    </row>
    <row r="4404" spans="1:12" x14ac:dyDescent="0.25">
      <c r="G4404" t="str">
        <f t="shared" si="380"/>
        <v>08/09/19</v>
      </c>
      <c r="H4404" t="str">
        <f t="shared" si="375"/>
        <v/>
      </c>
      <c r="I4404" s="60" t="str">
        <f t="shared" si="376"/>
        <v/>
      </c>
      <c r="J4404" t="str">
        <f t="shared" si="377"/>
        <v/>
      </c>
      <c r="K4404" s="60" t="str">
        <f t="shared" si="378"/>
        <v/>
      </c>
      <c r="L4404" t="str">
        <f t="shared" si="379"/>
        <v/>
      </c>
    </row>
    <row r="4405" spans="1:12" x14ac:dyDescent="0.25">
      <c r="A4405" t="s">
        <v>3281</v>
      </c>
      <c r="G4405" t="str">
        <f t="shared" si="380"/>
        <v>08/10/19</v>
      </c>
      <c r="H4405" t="str">
        <f t="shared" si="375"/>
        <v/>
      </c>
      <c r="I4405" s="60" t="str">
        <f t="shared" si="376"/>
        <v/>
      </c>
      <c r="J4405" t="str">
        <f t="shared" si="377"/>
        <v/>
      </c>
      <c r="K4405" s="60" t="str">
        <f t="shared" si="378"/>
        <v/>
      </c>
      <c r="L4405" t="str">
        <f t="shared" si="379"/>
        <v/>
      </c>
    </row>
    <row r="4406" spans="1:12" x14ac:dyDescent="0.25">
      <c r="G4406" t="str">
        <f t="shared" si="380"/>
        <v>08/10/19</v>
      </c>
      <c r="H4406" t="str">
        <f t="shared" si="375"/>
        <v/>
      </c>
      <c r="I4406" s="60" t="str">
        <f t="shared" si="376"/>
        <v/>
      </c>
      <c r="J4406" t="str">
        <f t="shared" si="377"/>
        <v/>
      </c>
      <c r="K4406" s="60" t="str">
        <f t="shared" si="378"/>
        <v/>
      </c>
      <c r="L4406" t="str">
        <f t="shared" si="379"/>
        <v/>
      </c>
    </row>
    <row r="4407" spans="1:12" x14ac:dyDescent="0.25">
      <c r="A4407" t="s">
        <v>3859</v>
      </c>
      <c r="G4407" t="str">
        <f t="shared" si="380"/>
        <v>08/10/19</v>
      </c>
      <c r="H4407" t="str">
        <f t="shared" si="375"/>
        <v>Houston Astros</v>
      </c>
      <c r="I4407" s="60">
        <f t="shared" si="376"/>
        <v>23</v>
      </c>
      <c r="J4407" t="str">
        <f t="shared" si="377"/>
        <v>Baltimore Orioles</v>
      </c>
      <c r="K4407" s="60">
        <f t="shared" si="378"/>
        <v>2</v>
      </c>
      <c r="L4407">
        <f t="shared" si="379"/>
        <v>21</v>
      </c>
    </row>
    <row r="4408" spans="1:12" x14ac:dyDescent="0.25">
      <c r="G4408" t="str">
        <f t="shared" si="380"/>
        <v>08/10/19</v>
      </c>
      <c r="H4408" t="str">
        <f t="shared" si="375"/>
        <v/>
      </c>
      <c r="I4408" s="60" t="str">
        <f t="shared" si="376"/>
        <v/>
      </c>
      <c r="J4408" t="str">
        <f t="shared" si="377"/>
        <v/>
      </c>
      <c r="K4408" s="60" t="str">
        <f t="shared" si="378"/>
        <v/>
      </c>
      <c r="L4408" t="str">
        <f t="shared" si="379"/>
        <v/>
      </c>
    </row>
    <row r="4409" spans="1:12" x14ac:dyDescent="0.25">
      <c r="A4409" t="s">
        <v>3860</v>
      </c>
      <c r="G4409" t="str">
        <f t="shared" si="380"/>
        <v>08/10/19</v>
      </c>
      <c r="H4409" t="str">
        <f t="shared" si="375"/>
        <v>Los Angeles Angels</v>
      </c>
      <c r="I4409" s="60">
        <f t="shared" si="376"/>
        <v>12</v>
      </c>
      <c r="J4409" t="str">
        <f t="shared" si="377"/>
        <v>Boston Red Sox</v>
      </c>
      <c r="K4409" s="60">
        <f t="shared" si="378"/>
        <v>4</v>
      </c>
      <c r="L4409">
        <f t="shared" si="379"/>
        <v>8</v>
      </c>
    </row>
    <row r="4410" spans="1:12" x14ac:dyDescent="0.25">
      <c r="G4410" t="str">
        <f t="shared" si="380"/>
        <v>08/10/19</v>
      </c>
      <c r="H4410" t="str">
        <f t="shared" si="375"/>
        <v/>
      </c>
      <c r="I4410" s="60" t="str">
        <f t="shared" si="376"/>
        <v/>
      </c>
      <c r="J4410" t="str">
        <f t="shared" si="377"/>
        <v/>
      </c>
      <c r="K4410" s="60" t="str">
        <f t="shared" si="378"/>
        <v/>
      </c>
      <c r="L4410" t="str">
        <f t="shared" si="379"/>
        <v/>
      </c>
    </row>
    <row r="4411" spans="1:12" x14ac:dyDescent="0.25">
      <c r="A4411" t="s">
        <v>3861</v>
      </c>
      <c r="G4411" t="str">
        <f t="shared" si="380"/>
        <v>08/10/19</v>
      </c>
      <c r="H4411" t="str">
        <f t="shared" si="375"/>
        <v>Oakland Athletics</v>
      </c>
      <c r="I4411" s="60">
        <f t="shared" si="376"/>
        <v>2</v>
      </c>
      <c r="J4411" t="str">
        <f t="shared" si="377"/>
        <v>Chicago White Sox</v>
      </c>
      <c r="K4411" s="60">
        <f t="shared" si="378"/>
        <v>3</v>
      </c>
      <c r="L4411">
        <f t="shared" si="379"/>
        <v>-1</v>
      </c>
    </row>
    <row r="4412" spans="1:12" x14ac:dyDescent="0.25">
      <c r="G4412" t="str">
        <f t="shared" si="380"/>
        <v>08/10/19</v>
      </c>
      <c r="H4412" t="str">
        <f t="shared" si="375"/>
        <v/>
      </c>
      <c r="I4412" s="60" t="str">
        <f t="shared" si="376"/>
        <v/>
      </c>
      <c r="J4412" t="str">
        <f t="shared" si="377"/>
        <v/>
      </c>
      <c r="K4412" s="60" t="str">
        <f t="shared" si="378"/>
        <v/>
      </c>
      <c r="L4412" t="str">
        <f t="shared" si="379"/>
        <v/>
      </c>
    </row>
    <row r="4413" spans="1:12" x14ac:dyDescent="0.25">
      <c r="A4413" t="s">
        <v>3862</v>
      </c>
      <c r="G4413" t="str">
        <f t="shared" si="380"/>
        <v>08/10/19</v>
      </c>
      <c r="H4413" t="str">
        <f t="shared" si="375"/>
        <v>Chicago Cubs</v>
      </c>
      <c r="I4413" s="60">
        <f t="shared" si="376"/>
        <v>1</v>
      </c>
      <c r="J4413" t="str">
        <f t="shared" si="377"/>
        <v>Cincinnati Reds</v>
      </c>
      <c r="K4413" s="60">
        <f t="shared" si="378"/>
        <v>10</v>
      </c>
      <c r="L4413">
        <f t="shared" si="379"/>
        <v>-9</v>
      </c>
    </row>
    <row r="4414" spans="1:12" x14ac:dyDescent="0.25">
      <c r="G4414" t="str">
        <f t="shared" si="380"/>
        <v>08/10/19</v>
      </c>
      <c r="H4414" t="str">
        <f t="shared" si="375"/>
        <v/>
      </c>
      <c r="I4414" s="60" t="str">
        <f t="shared" si="376"/>
        <v/>
      </c>
      <c r="J4414" t="str">
        <f t="shared" si="377"/>
        <v/>
      </c>
      <c r="K4414" s="60" t="str">
        <f t="shared" si="378"/>
        <v/>
      </c>
      <c r="L4414" t="str">
        <f t="shared" si="379"/>
        <v/>
      </c>
    </row>
    <row r="4415" spans="1:12" x14ac:dyDescent="0.25">
      <c r="A4415" t="s">
        <v>3863</v>
      </c>
      <c r="G4415" t="str">
        <f t="shared" si="380"/>
        <v>08/10/19</v>
      </c>
      <c r="H4415" t="str">
        <f t="shared" si="375"/>
        <v>Kansas City Royals</v>
      </c>
      <c r="I4415" s="60">
        <f t="shared" si="376"/>
        <v>7</v>
      </c>
      <c r="J4415" t="str">
        <f t="shared" si="377"/>
        <v>Detroit Tigers</v>
      </c>
      <c r="K4415" s="60">
        <f t="shared" si="378"/>
        <v>0</v>
      </c>
      <c r="L4415">
        <f t="shared" si="379"/>
        <v>7</v>
      </c>
    </row>
    <row r="4416" spans="1:12" x14ac:dyDescent="0.25">
      <c r="G4416" t="str">
        <f t="shared" si="380"/>
        <v>08/10/19</v>
      </c>
      <c r="H4416" t="str">
        <f t="shared" si="375"/>
        <v/>
      </c>
      <c r="I4416" s="60" t="str">
        <f t="shared" si="376"/>
        <v/>
      </c>
      <c r="J4416" t="str">
        <f t="shared" si="377"/>
        <v/>
      </c>
      <c r="K4416" s="60" t="str">
        <f t="shared" si="378"/>
        <v/>
      </c>
      <c r="L4416" t="str">
        <f t="shared" si="379"/>
        <v/>
      </c>
    </row>
    <row r="4417" spans="1:12" x14ac:dyDescent="0.25">
      <c r="A4417" t="s">
        <v>3864</v>
      </c>
      <c r="G4417" t="str">
        <f t="shared" si="380"/>
        <v>08/10/19</v>
      </c>
      <c r="H4417" t="str">
        <f t="shared" si="375"/>
        <v>Arizona D'Backs</v>
      </c>
      <c r="I4417" s="60">
        <f t="shared" si="376"/>
        <v>0</v>
      </c>
      <c r="J4417" t="str">
        <f t="shared" si="377"/>
        <v>Los Angeles Dodgers</v>
      </c>
      <c r="K4417" s="60">
        <f t="shared" si="378"/>
        <v>4</v>
      </c>
      <c r="L4417">
        <f t="shared" si="379"/>
        <v>-4</v>
      </c>
    </row>
    <row r="4418" spans="1:12" x14ac:dyDescent="0.25">
      <c r="G4418" t="str">
        <f t="shared" si="380"/>
        <v>08/10/19</v>
      </c>
      <c r="H4418" t="str">
        <f t="shared" si="375"/>
        <v/>
      </c>
      <c r="I4418" s="60" t="str">
        <f t="shared" si="376"/>
        <v/>
      </c>
      <c r="J4418" t="str">
        <f t="shared" si="377"/>
        <v/>
      </c>
      <c r="K4418" s="60" t="str">
        <f t="shared" si="378"/>
        <v/>
      </c>
      <c r="L4418" t="str">
        <f t="shared" si="379"/>
        <v/>
      </c>
    </row>
    <row r="4419" spans="1:12" x14ac:dyDescent="0.25">
      <c r="A4419" t="s">
        <v>3865</v>
      </c>
      <c r="G4419" t="str">
        <f t="shared" si="380"/>
        <v>08/10/19</v>
      </c>
      <c r="H4419" t="str">
        <f t="shared" si="375"/>
        <v>Atlanta Braves</v>
      </c>
      <c r="I4419" s="60">
        <f t="shared" si="376"/>
        <v>6</v>
      </c>
      <c r="J4419" t="str">
        <f t="shared" si="377"/>
        <v>Miami Marlins</v>
      </c>
      <c r="K4419" s="60">
        <f t="shared" si="378"/>
        <v>7</v>
      </c>
      <c r="L4419">
        <f t="shared" si="379"/>
        <v>-1</v>
      </c>
    </row>
    <row r="4420" spans="1:12" x14ac:dyDescent="0.25">
      <c r="G4420" t="str">
        <f t="shared" si="380"/>
        <v>08/10/19</v>
      </c>
      <c r="H4420" t="str">
        <f t="shared" si="375"/>
        <v/>
      </c>
      <c r="I4420" s="60" t="str">
        <f t="shared" si="376"/>
        <v/>
      </c>
      <c r="J4420" t="str">
        <f t="shared" si="377"/>
        <v/>
      </c>
      <c r="K4420" s="60" t="str">
        <f t="shared" si="378"/>
        <v/>
      </c>
      <c r="L4420" t="str">
        <f t="shared" si="379"/>
        <v/>
      </c>
    </row>
    <row r="4421" spans="1:12" x14ac:dyDescent="0.25">
      <c r="A4421" t="s">
        <v>3866</v>
      </c>
      <c r="G4421" t="str">
        <f t="shared" si="380"/>
        <v>08/10/19</v>
      </c>
      <c r="H4421" t="str">
        <f t="shared" si="375"/>
        <v>Texas Rangers</v>
      </c>
      <c r="I4421" s="60">
        <f t="shared" si="376"/>
        <v>2</v>
      </c>
      <c r="J4421" t="str">
        <f t="shared" si="377"/>
        <v>Milwaukee Brewers</v>
      </c>
      <c r="K4421" s="60">
        <f t="shared" si="378"/>
        <v>3</v>
      </c>
      <c r="L4421">
        <f t="shared" si="379"/>
        <v>-1</v>
      </c>
    </row>
    <row r="4422" spans="1:12" x14ac:dyDescent="0.25">
      <c r="G4422" t="str">
        <f t="shared" si="380"/>
        <v>08/10/19</v>
      </c>
      <c r="H4422" t="str">
        <f t="shared" si="375"/>
        <v/>
      </c>
      <c r="I4422" s="60" t="str">
        <f t="shared" si="376"/>
        <v/>
      </c>
      <c r="J4422" t="str">
        <f t="shared" si="377"/>
        <v/>
      </c>
      <c r="K4422" s="60" t="str">
        <f t="shared" si="378"/>
        <v/>
      </c>
      <c r="L4422" t="str">
        <f t="shared" si="379"/>
        <v/>
      </c>
    </row>
    <row r="4423" spans="1:12" x14ac:dyDescent="0.25">
      <c r="A4423" t="s">
        <v>3867</v>
      </c>
      <c r="G4423" t="str">
        <f t="shared" si="380"/>
        <v>08/10/19</v>
      </c>
      <c r="H4423" t="str">
        <f t="shared" si="375"/>
        <v>Cleveland Indians</v>
      </c>
      <c r="I4423" s="60">
        <f t="shared" si="376"/>
        <v>1</v>
      </c>
      <c r="J4423" t="str">
        <f t="shared" si="377"/>
        <v>Minnesota Twins</v>
      </c>
      <c r="K4423" s="60">
        <f t="shared" si="378"/>
        <v>4</v>
      </c>
      <c r="L4423">
        <f t="shared" si="379"/>
        <v>-3</v>
      </c>
    </row>
    <row r="4424" spans="1:12" x14ac:dyDescent="0.25">
      <c r="G4424" t="str">
        <f t="shared" si="380"/>
        <v>08/10/19</v>
      </c>
      <c r="H4424" t="str">
        <f t="shared" si="375"/>
        <v/>
      </c>
      <c r="I4424" s="60" t="str">
        <f t="shared" si="376"/>
        <v/>
      </c>
      <c r="J4424" t="str">
        <f t="shared" si="377"/>
        <v/>
      </c>
      <c r="K4424" s="60" t="str">
        <f t="shared" si="378"/>
        <v/>
      </c>
      <c r="L4424" t="str">
        <f t="shared" si="379"/>
        <v/>
      </c>
    </row>
    <row r="4425" spans="1:12" x14ac:dyDescent="0.25">
      <c r="A4425" t="s">
        <v>3868</v>
      </c>
      <c r="G4425" t="str">
        <f t="shared" si="380"/>
        <v>08/10/19</v>
      </c>
      <c r="H4425" t="str">
        <f t="shared" si="375"/>
        <v>Washington Nationals</v>
      </c>
      <c r="I4425" s="60">
        <f t="shared" si="376"/>
        <v>3</v>
      </c>
      <c r="J4425" t="str">
        <f t="shared" si="377"/>
        <v>New York Mets</v>
      </c>
      <c r="K4425" s="60">
        <f t="shared" si="378"/>
        <v>4</v>
      </c>
      <c r="L4425">
        <f t="shared" si="379"/>
        <v>-1</v>
      </c>
    </row>
    <row r="4426" spans="1:12" x14ac:dyDescent="0.25">
      <c r="G4426" t="str">
        <f t="shared" si="380"/>
        <v>08/10/19</v>
      </c>
      <c r="H4426" t="str">
        <f t="shared" si="375"/>
        <v/>
      </c>
      <c r="I4426" s="60" t="str">
        <f t="shared" si="376"/>
        <v/>
      </c>
      <c r="J4426" t="str">
        <f t="shared" si="377"/>
        <v/>
      </c>
      <c r="K4426" s="60" t="str">
        <f t="shared" si="378"/>
        <v/>
      </c>
      <c r="L4426" t="str">
        <f t="shared" si="379"/>
        <v/>
      </c>
    </row>
    <row r="4427" spans="1:12" x14ac:dyDescent="0.25">
      <c r="A4427" t="s">
        <v>3869</v>
      </c>
      <c r="G4427" t="str">
        <f t="shared" si="380"/>
        <v>08/10/19</v>
      </c>
      <c r="H4427" t="str">
        <f t="shared" si="375"/>
        <v>Colorado Rockies</v>
      </c>
      <c r="I4427" s="60">
        <f t="shared" si="376"/>
        <v>5</v>
      </c>
      <c r="J4427" t="str">
        <f t="shared" si="377"/>
        <v>San Diego Padres</v>
      </c>
      <c r="K4427" s="60">
        <f t="shared" si="378"/>
        <v>8</v>
      </c>
      <c r="L4427">
        <f t="shared" si="379"/>
        <v>-3</v>
      </c>
    </row>
    <row r="4428" spans="1:12" x14ac:dyDescent="0.25">
      <c r="G4428" t="str">
        <f t="shared" si="380"/>
        <v>08/10/19</v>
      </c>
      <c r="H4428" t="str">
        <f t="shared" si="375"/>
        <v/>
      </c>
      <c r="I4428" s="60" t="str">
        <f t="shared" si="376"/>
        <v/>
      </c>
      <c r="J4428" t="str">
        <f t="shared" si="377"/>
        <v/>
      </c>
      <c r="K4428" s="60" t="str">
        <f t="shared" si="378"/>
        <v/>
      </c>
      <c r="L4428" t="str">
        <f t="shared" si="379"/>
        <v/>
      </c>
    </row>
    <row r="4429" spans="1:12" x14ac:dyDescent="0.25">
      <c r="A4429" t="s">
        <v>3870</v>
      </c>
      <c r="G4429" t="str">
        <f t="shared" si="380"/>
        <v>08/10/19</v>
      </c>
      <c r="H4429" t="str">
        <f t="shared" si="375"/>
        <v>Tampa Bay Rays</v>
      </c>
      <c r="I4429" s="60">
        <f t="shared" si="376"/>
        <v>5</v>
      </c>
      <c r="J4429" t="str">
        <f t="shared" si="377"/>
        <v>Seattle Mariners</v>
      </c>
      <c r="K4429" s="60">
        <f t="shared" si="378"/>
        <v>4</v>
      </c>
      <c r="L4429">
        <f t="shared" si="379"/>
        <v>1</v>
      </c>
    </row>
    <row r="4430" spans="1:12" x14ac:dyDescent="0.25">
      <c r="G4430" t="str">
        <f t="shared" si="380"/>
        <v>08/10/19</v>
      </c>
      <c r="H4430" t="str">
        <f t="shared" si="375"/>
        <v/>
      </c>
      <c r="I4430" s="60" t="str">
        <f t="shared" si="376"/>
        <v/>
      </c>
      <c r="J4430" t="str">
        <f t="shared" si="377"/>
        <v/>
      </c>
      <c r="K4430" s="60" t="str">
        <f t="shared" si="378"/>
        <v/>
      </c>
      <c r="L4430" t="str">
        <f t="shared" si="379"/>
        <v/>
      </c>
    </row>
    <row r="4431" spans="1:12" x14ac:dyDescent="0.25">
      <c r="A4431" t="s">
        <v>3871</v>
      </c>
      <c r="G4431" t="str">
        <f t="shared" si="380"/>
        <v>08/10/19</v>
      </c>
      <c r="H4431" t="str">
        <f t="shared" si="375"/>
        <v>Philadelphia Phillies</v>
      </c>
      <c r="I4431" s="60">
        <f t="shared" si="376"/>
        <v>1</v>
      </c>
      <c r="J4431" t="str">
        <f t="shared" si="377"/>
        <v>San Francisco Giants</v>
      </c>
      <c r="K4431" s="60">
        <f t="shared" si="378"/>
        <v>3</v>
      </c>
      <c r="L4431">
        <f t="shared" si="379"/>
        <v>-2</v>
      </c>
    </row>
    <row r="4432" spans="1:12" x14ac:dyDescent="0.25">
      <c r="G4432" t="str">
        <f t="shared" si="380"/>
        <v>08/10/19</v>
      </c>
      <c r="H4432" t="str">
        <f t="shared" ref="H4432:H4495" si="381">IFERROR(LEFT(MID(A4432,1,SEARCH("@",A4432)-2),SEARCH("(",A4432)-2),"")</f>
        <v/>
      </c>
      <c r="I4432" s="60" t="str">
        <f t="shared" ref="I4432:I4495" si="382">IFERROR(VALUE(MID(A4432,SEARCH("(",A4432)+1,SEARCH(")",A4432)-SEARCH("(",A4432)-1)),"")</f>
        <v/>
      </c>
      <c r="J4432" t="str">
        <f t="shared" ref="J4432:J4495" si="383">IFERROR(MID(A4432,SEARCH("@",A4432)+2,SEARCH("(",A4432,SEARCH("@",A4432))-SEARCH("@",A4432)-3),"")</f>
        <v/>
      </c>
      <c r="K4432" s="60" t="str">
        <f t="shared" ref="K4432:K4495" si="384">IFERROR(VALUE(MID(A4432,SEARCH(J4432,A4432)+LEN(J4432)+2,(SEARCH(")",A4432,SEARCH("@",A4432))-SEARCH("(",A4432,SEARCH("@",A4432))-1))),"")</f>
        <v/>
      </c>
      <c r="L4432" t="str">
        <f t="shared" ref="L4432:L4495" si="385">IFERROR(I4432-K4432,"")</f>
        <v/>
      </c>
    </row>
    <row r="4433" spans="1:12" x14ac:dyDescent="0.25">
      <c r="A4433" t="s">
        <v>3872</v>
      </c>
      <c r="G4433" t="str">
        <f t="shared" si="380"/>
        <v>08/10/19</v>
      </c>
      <c r="H4433" t="str">
        <f t="shared" si="381"/>
        <v>Pittsburgh Pirates</v>
      </c>
      <c r="I4433" s="60">
        <f t="shared" si="382"/>
        <v>1</v>
      </c>
      <c r="J4433" t="str">
        <f t="shared" si="383"/>
        <v>St. Louis Cardinals</v>
      </c>
      <c r="K4433" s="60">
        <f t="shared" si="384"/>
        <v>3</v>
      </c>
      <c r="L4433">
        <f t="shared" si="385"/>
        <v>-2</v>
      </c>
    </row>
    <row r="4434" spans="1:12" x14ac:dyDescent="0.25">
      <c r="G4434" t="str">
        <f t="shared" si="380"/>
        <v>08/10/19</v>
      </c>
      <c r="H4434" t="str">
        <f t="shared" si="381"/>
        <v/>
      </c>
      <c r="I4434" s="60" t="str">
        <f t="shared" si="382"/>
        <v/>
      </c>
      <c r="J4434" t="str">
        <f t="shared" si="383"/>
        <v/>
      </c>
      <c r="K4434" s="60" t="str">
        <f t="shared" si="384"/>
        <v/>
      </c>
      <c r="L4434" t="str">
        <f t="shared" si="385"/>
        <v/>
      </c>
    </row>
    <row r="4435" spans="1:12" x14ac:dyDescent="0.25">
      <c r="A4435" t="s">
        <v>3873</v>
      </c>
      <c r="G4435" t="str">
        <f t="shared" si="380"/>
        <v>08/10/19</v>
      </c>
      <c r="H4435" t="str">
        <f t="shared" si="381"/>
        <v>New York Yankees</v>
      </c>
      <c r="I4435" s="60">
        <f t="shared" si="382"/>
        <v>4</v>
      </c>
      <c r="J4435" t="str">
        <f t="shared" si="383"/>
        <v>Toronto Blue Jays</v>
      </c>
      <c r="K4435" s="60">
        <f t="shared" si="384"/>
        <v>5</v>
      </c>
      <c r="L4435">
        <f t="shared" si="385"/>
        <v>-1</v>
      </c>
    </row>
    <row r="4436" spans="1:12" x14ac:dyDescent="0.25">
      <c r="G4436" t="str">
        <f t="shared" si="380"/>
        <v>08/10/19</v>
      </c>
      <c r="H4436" t="str">
        <f t="shared" si="381"/>
        <v/>
      </c>
      <c r="I4436" s="60" t="str">
        <f t="shared" si="382"/>
        <v/>
      </c>
      <c r="J4436" t="str">
        <f t="shared" si="383"/>
        <v/>
      </c>
      <c r="K4436" s="60" t="str">
        <f t="shared" si="384"/>
        <v/>
      </c>
      <c r="L4436" t="str">
        <f t="shared" si="385"/>
        <v/>
      </c>
    </row>
    <row r="4437" spans="1:12" x14ac:dyDescent="0.25">
      <c r="A4437" t="s">
        <v>3874</v>
      </c>
      <c r="G4437" t="str">
        <f t="shared" si="380"/>
        <v>08/10/19</v>
      </c>
      <c r="H4437" t="str">
        <f t="shared" si="381"/>
        <v/>
      </c>
      <c r="I4437" s="60" t="str">
        <f t="shared" si="382"/>
        <v/>
      </c>
      <c r="J4437" t="str">
        <f t="shared" si="383"/>
        <v/>
      </c>
      <c r="K4437" s="60" t="str">
        <f t="shared" si="384"/>
        <v/>
      </c>
      <c r="L4437" t="str">
        <f t="shared" si="385"/>
        <v/>
      </c>
    </row>
    <row r="4438" spans="1:12" x14ac:dyDescent="0.25">
      <c r="G4438" t="str">
        <f t="shared" si="380"/>
        <v>08/10/19</v>
      </c>
      <c r="H4438" t="str">
        <f t="shared" si="381"/>
        <v/>
      </c>
      <c r="I4438" s="60" t="str">
        <f t="shared" si="382"/>
        <v/>
      </c>
      <c r="J4438" t="str">
        <f t="shared" si="383"/>
        <v/>
      </c>
      <c r="K4438" s="60" t="str">
        <f t="shared" si="384"/>
        <v/>
      </c>
      <c r="L4438" t="str">
        <f t="shared" si="385"/>
        <v/>
      </c>
    </row>
    <row r="4439" spans="1:12" x14ac:dyDescent="0.25">
      <c r="A4439" t="s">
        <v>3282</v>
      </c>
      <c r="G4439" t="str">
        <f t="shared" si="380"/>
        <v>08/11/19</v>
      </c>
      <c r="H4439" t="str">
        <f t="shared" si="381"/>
        <v/>
      </c>
      <c r="I4439" s="60" t="str">
        <f t="shared" si="382"/>
        <v/>
      </c>
      <c r="J4439" t="str">
        <f t="shared" si="383"/>
        <v/>
      </c>
      <c r="K4439" s="60" t="str">
        <f t="shared" si="384"/>
        <v/>
      </c>
      <c r="L4439" t="str">
        <f t="shared" si="385"/>
        <v/>
      </c>
    </row>
    <row r="4440" spans="1:12" x14ac:dyDescent="0.25">
      <c r="G4440" t="str">
        <f t="shared" si="380"/>
        <v>08/11/19</v>
      </c>
      <c r="H4440" t="str">
        <f t="shared" si="381"/>
        <v/>
      </c>
      <c r="I4440" s="60" t="str">
        <f t="shared" si="382"/>
        <v/>
      </c>
      <c r="J4440" t="str">
        <f t="shared" si="383"/>
        <v/>
      </c>
      <c r="K4440" s="60" t="str">
        <f t="shared" si="384"/>
        <v/>
      </c>
      <c r="L4440" t="str">
        <f t="shared" si="385"/>
        <v/>
      </c>
    </row>
    <row r="4441" spans="1:12" x14ac:dyDescent="0.25">
      <c r="A4441" t="s">
        <v>3875</v>
      </c>
      <c r="G4441" t="str">
        <f t="shared" si="380"/>
        <v>08/11/19</v>
      </c>
      <c r="H4441" t="str">
        <f t="shared" si="381"/>
        <v>Houston Astros</v>
      </c>
      <c r="I4441" s="60">
        <f t="shared" si="382"/>
        <v>7</v>
      </c>
      <c r="J4441" t="str">
        <f t="shared" si="383"/>
        <v>Baltimore Orioles</v>
      </c>
      <c r="K4441" s="60">
        <f t="shared" si="384"/>
        <v>8</v>
      </c>
      <c r="L4441">
        <f t="shared" si="385"/>
        <v>-1</v>
      </c>
    </row>
    <row r="4442" spans="1:12" x14ac:dyDescent="0.25">
      <c r="G4442" t="str">
        <f t="shared" si="380"/>
        <v>08/11/19</v>
      </c>
      <c r="H4442" t="str">
        <f t="shared" si="381"/>
        <v/>
      </c>
      <c r="I4442" s="60" t="str">
        <f t="shared" si="382"/>
        <v/>
      </c>
      <c r="J4442" t="str">
        <f t="shared" si="383"/>
        <v/>
      </c>
      <c r="K4442" s="60" t="str">
        <f t="shared" si="384"/>
        <v/>
      </c>
      <c r="L4442" t="str">
        <f t="shared" si="385"/>
        <v/>
      </c>
    </row>
    <row r="4443" spans="1:12" x14ac:dyDescent="0.25">
      <c r="A4443" t="s">
        <v>3876</v>
      </c>
      <c r="G4443" t="str">
        <f t="shared" si="380"/>
        <v>08/11/19</v>
      </c>
      <c r="H4443" t="str">
        <f t="shared" si="381"/>
        <v>Los Angeles Angels</v>
      </c>
      <c r="I4443" s="60">
        <f t="shared" si="382"/>
        <v>5</v>
      </c>
      <c r="J4443" t="str">
        <f t="shared" si="383"/>
        <v>Boston Red Sox</v>
      </c>
      <c r="K4443" s="60">
        <f t="shared" si="384"/>
        <v>4</v>
      </c>
      <c r="L4443">
        <f t="shared" si="385"/>
        <v>1</v>
      </c>
    </row>
    <row r="4444" spans="1:12" x14ac:dyDescent="0.25">
      <c r="G4444" t="str">
        <f t="shared" si="380"/>
        <v>08/11/19</v>
      </c>
      <c r="H4444" t="str">
        <f t="shared" si="381"/>
        <v/>
      </c>
      <c r="I4444" s="60" t="str">
        <f t="shared" si="382"/>
        <v/>
      </c>
      <c r="J4444" t="str">
        <f t="shared" si="383"/>
        <v/>
      </c>
      <c r="K4444" s="60" t="str">
        <f t="shared" si="384"/>
        <v/>
      </c>
      <c r="L4444" t="str">
        <f t="shared" si="385"/>
        <v/>
      </c>
    </row>
    <row r="4445" spans="1:12" x14ac:dyDescent="0.25">
      <c r="A4445" t="s">
        <v>3877</v>
      </c>
      <c r="G4445" t="str">
        <f t="shared" si="380"/>
        <v>08/11/19</v>
      </c>
      <c r="H4445" t="str">
        <f t="shared" si="381"/>
        <v>Oakland Athletics</v>
      </c>
      <c r="I4445" s="60">
        <f t="shared" si="382"/>
        <v>2</v>
      </c>
      <c r="J4445" t="str">
        <f t="shared" si="383"/>
        <v>Chicago White Sox</v>
      </c>
      <c r="K4445" s="60">
        <f t="shared" si="384"/>
        <v>0</v>
      </c>
      <c r="L4445">
        <f t="shared" si="385"/>
        <v>2</v>
      </c>
    </row>
    <row r="4446" spans="1:12" x14ac:dyDescent="0.25">
      <c r="G4446" t="str">
        <f t="shared" si="380"/>
        <v>08/11/19</v>
      </c>
      <c r="H4446" t="str">
        <f t="shared" si="381"/>
        <v/>
      </c>
      <c r="I4446" s="60" t="str">
        <f t="shared" si="382"/>
        <v/>
      </c>
      <c r="J4446" t="str">
        <f t="shared" si="383"/>
        <v/>
      </c>
      <c r="K4446" s="60" t="str">
        <f t="shared" si="384"/>
        <v/>
      </c>
      <c r="L4446" t="str">
        <f t="shared" si="385"/>
        <v/>
      </c>
    </row>
    <row r="4447" spans="1:12" x14ac:dyDescent="0.25">
      <c r="A4447" t="s">
        <v>3878</v>
      </c>
      <c r="G4447" t="str">
        <f t="shared" si="380"/>
        <v>08/11/19</v>
      </c>
      <c r="H4447" t="str">
        <f t="shared" si="381"/>
        <v>Chicago Cubs</v>
      </c>
      <c r="I4447" s="60">
        <f t="shared" si="382"/>
        <v>6</v>
      </c>
      <c r="J4447" t="str">
        <f t="shared" si="383"/>
        <v>Cincinnati Reds</v>
      </c>
      <c r="K4447" s="60">
        <f t="shared" si="384"/>
        <v>3</v>
      </c>
      <c r="L4447">
        <f t="shared" si="385"/>
        <v>3</v>
      </c>
    </row>
    <row r="4448" spans="1:12" x14ac:dyDescent="0.25">
      <c r="G4448" t="str">
        <f t="shared" si="380"/>
        <v>08/11/19</v>
      </c>
      <c r="H4448" t="str">
        <f t="shared" si="381"/>
        <v/>
      </c>
      <c r="I4448" s="60" t="str">
        <f t="shared" si="382"/>
        <v/>
      </c>
      <c r="J4448" t="str">
        <f t="shared" si="383"/>
        <v/>
      </c>
      <c r="K4448" s="60" t="str">
        <f t="shared" si="384"/>
        <v/>
      </c>
      <c r="L4448" t="str">
        <f t="shared" si="385"/>
        <v/>
      </c>
    </row>
    <row r="4449" spans="1:12" x14ac:dyDescent="0.25">
      <c r="A4449" t="s">
        <v>3879</v>
      </c>
      <c r="G4449" t="str">
        <f t="shared" si="380"/>
        <v>08/11/19</v>
      </c>
      <c r="H4449" t="str">
        <f t="shared" si="381"/>
        <v>Kansas City Royals</v>
      </c>
      <c r="I4449" s="60">
        <f t="shared" si="382"/>
        <v>10</v>
      </c>
      <c r="J4449" t="str">
        <f t="shared" si="383"/>
        <v>Detroit Tigers</v>
      </c>
      <c r="K4449" s="60">
        <f t="shared" si="384"/>
        <v>2</v>
      </c>
      <c r="L4449">
        <f t="shared" si="385"/>
        <v>8</v>
      </c>
    </row>
    <row r="4450" spans="1:12" x14ac:dyDescent="0.25">
      <c r="G4450" t="str">
        <f t="shared" ref="G4450:G4513" si="386">IF(ISNUMBER(MATCH(IFERROR(LEFT(A4450,SEARCH(",",A4450)-1),""),$G$220:$M$220,0)),TEXT(MID(A4450,SEARCH(",",A4450)+2,LEN(A4450)),"mm/dd/yy"),G4449)</f>
        <v>08/11/19</v>
      </c>
      <c r="H4450" t="str">
        <f t="shared" si="381"/>
        <v/>
      </c>
      <c r="I4450" s="60" t="str">
        <f t="shared" si="382"/>
        <v/>
      </c>
      <c r="J4450" t="str">
        <f t="shared" si="383"/>
        <v/>
      </c>
      <c r="K4450" s="60" t="str">
        <f t="shared" si="384"/>
        <v/>
      </c>
      <c r="L4450" t="str">
        <f t="shared" si="385"/>
        <v/>
      </c>
    </row>
    <row r="4451" spans="1:12" x14ac:dyDescent="0.25">
      <c r="A4451" t="s">
        <v>3880</v>
      </c>
      <c r="G4451" t="str">
        <f t="shared" si="386"/>
        <v>08/11/19</v>
      </c>
      <c r="H4451" t="str">
        <f t="shared" si="381"/>
        <v>Arizona D'Backs</v>
      </c>
      <c r="I4451" s="60">
        <f t="shared" si="382"/>
        <v>3</v>
      </c>
      <c r="J4451" t="str">
        <f t="shared" si="383"/>
        <v>Los Angeles Dodgers</v>
      </c>
      <c r="K4451" s="60">
        <f t="shared" si="384"/>
        <v>9</v>
      </c>
      <c r="L4451">
        <f t="shared" si="385"/>
        <v>-6</v>
      </c>
    </row>
    <row r="4452" spans="1:12" x14ac:dyDescent="0.25">
      <c r="G4452" t="str">
        <f t="shared" si="386"/>
        <v>08/11/19</v>
      </c>
      <c r="H4452" t="str">
        <f t="shared" si="381"/>
        <v/>
      </c>
      <c r="I4452" s="60" t="str">
        <f t="shared" si="382"/>
        <v/>
      </c>
      <c r="J4452" t="str">
        <f t="shared" si="383"/>
        <v/>
      </c>
      <c r="K4452" s="60" t="str">
        <f t="shared" si="384"/>
        <v/>
      </c>
      <c r="L4452" t="str">
        <f t="shared" si="385"/>
        <v/>
      </c>
    </row>
    <row r="4453" spans="1:12" x14ac:dyDescent="0.25">
      <c r="A4453" t="s">
        <v>3881</v>
      </c>
      <c r="G4453" t="str">
        <f t="shared" si="386"/>
        <v>08/11/19</v>
      </c>
      <c r="H4453" t="str">
        <f t="shared" si="381"/>
        <v>Atlanta Braves</v>
      </c>
      <c r="I4453" s="60">
        <f t="shared" si="382"/>
        <v>5</v>
      </c>
      <c r="J4453" t="str">
        <f t="shared" si="383"/>
        <v>Miami Marlins</v>
      </c>
      <c r="K4453" s="60">
        <f t="shared" si="384"/>
        <v>4</v>
      </c>
      <c r="L4453">
        <f t="shared" si="385"/>
        <v>1</v>
      </c>
    </row>
    <row r="4454" spans="1:12" x14ac:dyDescent="0.25">
      <c r="G4454" t="str">
        <f t="shared" si="386"/>
        <v>08/11/19</v>
      </c>
      <c r="H4454" t="str">
        <f t="shared" si="381"/>
        <v/>
      </c>
      <c r="I4454" s="60" t="str">
        <f t="shared" si="382"/>
        <v/>
      </c>
      <c r="J4454" t="str">
        <f t="shared" si="383"/>
        <v/>
      </c>
      <c r="K4454" s="60" t="str">
        <f t="shared" si="384"/>
        <v/>
      </c>
      <c r="L4454" t="str">
        <f t="shared" si="385"/>
        <v/>
      </c>
    </row>
    <row r="4455" spans="1:12" x14ac:dyDescent="0.25">
      <c r="A4455" t="s">
        <v>3882</v>
      </c>
      <c r="G4455" t="str">
        <f t="shared" si="386"/>
        <v>08/11/19</v>
      </c>
      <c r="H4455" t="str">
        <f t="shared" si="381"/>
        <v>Texas Rangers</v>
      </c>
      <c r="I4455" s="60">
        <f t="shared" si="382"/>
        <v>1</v>
      </c>
      <c r="J4455" t="str">
        <f t="shared" si="383"/>
        <v>Milwaukee Brewers</v>
      </c>
      <c r="K4455" s="60">
        <f t="shared" si="384"/>
        <v>0</v>
      </c>
      <c r="L4455">
        <f t="shared" si="385"/>
        <v>1</v>
      </c>
    </row>
    <row r="4456" spans="1:12" x14ac:dyDescent="0.25">
      <c r="G4456" t="str">
        <f t="shared" si="386"/>
        <v>08/11/19</v>
      </c>
      <c r="H4456" t="str">
        <f t="shared" si="381"/>
        <v/>
      </c>
      <c r="I4456" s="60" t="str">
        <f t="shared" si="382"/>
        <v/>
      </c>
      <c r="J4456" t="str">
        <f t="shared" si="383"/>
        <v/>
      </c>
      <c r="K4456" s="60" t="str">
        <f t="shared" si="384"/>
        <v/>
      </c>
      <c r="L4456" t="str">
        <f t="shared" si="385"/>
        <v/>
      </c>
    </row>
    <row r="4457" spans="1:12" x14ac:dyDescent="0.25">
      <c r="A4457" t="s">
        <v>3883</v>
      </c>
      <c r="G4457" t="str">
        <f t="shared" si="386"/>
        <v>08/11/19</v>
      </c>
      <c r="H4457" t="str">
        <f t="shared" si="381"/>
        <v>Cleveland Indians</v>
      </c>
      <c r="I4457" s="60">
        <f t="shared" si="382"/>
        <v>7</v>
      </c>
      <c r="J4457" t="str">
        <f t="shared" si="383"/>
        <v>Minnesota Twins</v>
      </c>
      <c r="K4457" s="60">
        <f t="shared" si="384"/>
        <v>3</v>
      </c>
      <c r="L4457">
        <f t="shared" si="385"/>
        <v>4</v>
      </c>
    </row>
    <row r="4458" spans="1:12" x14ac:dyDescent="0.25">
      <c r="G4458" t="str">
        <f t="shared" si="386"/>
        <v>08/11/19</v>
      </c>
      <c r="H4458" t="str">
        <f t="shared" si="381"/>
        <v/>
      </c>
      <c r="I4458" s="60" t="str">
        <f t="shared" si="382"/>
        <v/>
      </c>
      <c r="J4458" t="str">
        <f t="shared" si="383"/>
        <v/>
      </c>
      <c r="K4458" s="60" t="str">
        <f t="shared" si="384"/>
        <v/>
      </c>
      <c r="L4458" t="str">
        <f t="shared" si="385"/>
        <v/>
      </c>
    </row>
    <row r="4459" spans="1:12" x14ac:dyDescent="0.25">
      <c r="A4459" t="s">
        <v>3884</v>
      </c>
      <c r="G4459" t="str">
        <f t="shared" si="386"/>
        <v>08/11/19</v>
      </c>
      <c r="H4459" t="str">
        <f t="shared" si="381"/>
        <v>Washington Nationals</v>
      </c>
      <c r="I4459" s="60">
        <f t="shared" si="382"/>
        <v>7</v>
      </c>
      <c r="J4459" t="str">
        <f t="shared" si="383"/>
        <v>New York Mets</v>
      </c>
      <c r="K4459" s="60">
        <f t="shared" si="384"/>
        <v>4</v>
      </c>
      <c r="L4459">
        <f t="shared" si="385"/>
        <v>3</v>
      </c>
    </row>
    <row r="4460" spans="1:12" x14ac:dyDescent="0.25">
      <c r="G4460" t="str">
        <f t="shared" si="386"/>
        <v>08/11/19</v>
      </c>
      <c r="H4460" t="str">
        <f t="shared" si="381"/>
        <v/>
      </c>
      <c r="I4460" s="60" t="str">
        <f t="shared" si="382"/>
        <v/>
      </c>
      <c r="J4460" t="str">
        <f t="shared" si="383"/>
        <v/>
      </c>
      <c r="K4460" s="60" t="str">
        <f t="shared" si="384"/>
        <v/>
      </c>
      <c r="L4460" t="str">
        <f t="shared" si="385"/>
        <v/>
      </c>
    </row>
    <row r="4461" spans="1:12" x14ac:dyDescent="0.25">
      <c r="A4461" t="s">
        <v>3885</v>
      </c>
      <c r="G4461" t="str">
        <f t="shared" si="386"/>
        <v>08/11/19</v>
      </c>
      <c r="H4461" t="str">
        <f t="shared" si="381"/>
        <v>Colorado Rockies</v>
      </c>
      <c r="I4461" s="60">
        <f t="shared" si="382"/>
        <v>8</v>
      </c>
      <c r="J4461" t="str">
        <f t="shared" si="383"/>
        <v>San Diego Padres</v>
      </c>
      <c r="K4461" s="60">
        <f t="shared" si="384"/>
        <v>3</v>
      </c>
      <c r="L4461">
        <f t="shared" si="385"/>
        <v>5</v>
      </c>
    </row>
    <row r="4462" spans="1:12" x14ac:dyDescent="0.25">
      <c r="G4462" t="str">
        <f t="shared" si="386"/>
        <v>08/11/19</v>
      </c>
      <c r="H4462" t="str">
        <f t="shared" si="381"/>
        <v/>
      </c>
      <c r="I4462" s="60" t="str">
        <f t="shared" si="382"/>
        <v/>
      </c>
      <c r="J4462" t="str">
        <f t="shared" si="383"/>
        <v/>
      </c>
      <c r="K4462" s="60" t="str">
        <f t="shared" si="384"/>
        <v/>
      </c>
      <c r="L4462" t="str">
        <f t="shared" si="385"/>
        <v/>
      </c>
    </row>
    <row r="4463" spans="1:12" x14ac:dyDescent="0.25">
      <c r="A4463" t="s">
        <v>3886</v>
      </c>
      <c r="G4463" t="str">
        <f t="shared" si="386"/>
        <v>08/11/19</v>
      </c>
      <c r="H4463" t="str">
        <f t="shared" si="381"/>
        <v>Tampa Bay Rays</v>
      </c>
      <c r="I4463" s="60">
        <f t="shared" si="382"/>
        <v>1</v>
      </c>
      <c r="J4463" t="str">
        <f t="shared" si="383"/>
        <v>Seattle Mariners</v>
      </c>
      <c r="K4463" s="60">
        <f t="shared" si="384"/>
        <v>0</v>
      </c>
      <c r="L4463">
        <f t="shared" si="385"/>
        <v>1</v>
      </c>
    </row>
    <row r="4464" spans="1:12" x14ac:dyDescent="0.25">
      <c r="G4464" t="str">
        <f t="shared" si="386"/>
        <v>08/11/19</v>
      </c>
      <c r="H4464" t="str">
        <f t="shared" si="381"/>
        <v/>
      </c>
      <c r="I4464" s="60" t="str">
        <f t="shared" si="382"/>
        <v/>
      </c>
      <c r="J4464" t="str">
        <f t="shared" si="383"/>
        <v/>
      </c>
      <c r="K4464" s="60" t="str">
        <f t="shared" si="384"/>
        <v/>
      </c>
      <c r="L4464" t="str">
        <f t="shared" si="385"/>
        <v/>
      </c>
    </row>
    <row r="4465" spans="1:12" x14ac:dyDescent="0.25">
      <c r="A4465" t="s">
        <v>3887</v>
      </c>
      <c r="G4465" t="str">
        <f t="shared" si="386"/>
        <v>08/11/19</v>
      </c>
      <c r="H4465" t="str">
        <f t="shared" si="381"/>
        <v>Philadelphia Phillies</v>
      </c>
      <c r="I4465" s="60">
        <f t="shared" si="382"/>
        <v>6</v>
      </c>
      <c r="J4465" t="str">
        <f t="shared" si="383"/>
        <v>San Francisco Giants</v>
      </c>
      <c r="K4465" s="60">
        <f t="shared" si="384"/>
        <v>9</v>
      </c>
      <c r="L4465">
        <f t="shared" si="385"/>
        <v>-3</v>
      </c>
    </row>
    <row r="4466" spans="1:12" x14ac:dyDescent="0.25">
      <c r="G4466" t="str">
        <f t="shared" si="386"/>
        <v>08/11/19</v>
      </c>
      <c r="H4466" t="str">
        <f t="shared" si="381"/>
        <v/>
      </c>
      <c r="I4466" s="60" t="str">
        <f t="shared" si="382"/>
        <v/>
      </c>
      <c r="J4466" t="str">
        <f t="shared" si="383"/>
        <v/>
      </c>
      <c r="K4466" s="60" t="str">
        <f t="shared" si="384"/>
        <v/>
      </c>
      <c r="L4466" t="str">
        <f t="shared" si="385"/>
        <v/>
      </c>
    </row>
    <row r="4467" spans="1:12" x14ac:dyDescent="0.25">
      <c r="A4467" t="s">
        <v>3888</v>
      </c>
      <c r="G4467" t="str">
        <f t="shared" si="386"/>
        <v>08/11/19</v>
      </c>
      <c r="H4467" t="str">
        <f t="shared" si="381"/>
        <v>Pittsburgh Pirates</v>
      </c>
      <c r="I4467" s="60">
        <f t="shared" si="382"/>
        <v>9</v>
      </c>
      <c r="J4467" t="str">
        <f t="shared" si="383"/>
        <v>St. Louis Cardinals</v>
      </c>
      <c r="K4467" s="60">
        <f t="shared" si="384"/>
        <v>11</v>
      </c>
      <c r="L4467">
        <f t="shared" si="385"/>
        <v>-2</v>
      </c>
    </row>
    <row r="4468" spans="1:12" x14ac:dyDescent="0.25">
      <c r="G4468" t="str">
        <f t="shared" si="386"/>
        <v>08/11/19</v>
      </c>
      <c r="H4468" t="str">
        <f t="shared" si="381"/>
        <v/>
      </c>
      <c r="I4468" s="60" t="str">
        <f t="shared" si="382"/>
        <v/>
      </c>
      <c r="J4468" t="str">
        <f t="shared" si="383"/>
        <v/>
      </c>
      <c r="K4468" s="60" t="str">
        <f t="shared" si="384"/>
        <v/>
      </c>
      <c r="L4468" t="str">
        <f t="shared" si="385"/>
        <v/>
      </c>
    </row>
    <row r="4469" spans="1:12" x14ac:dyDescent="0.25">
      <c r="A4469" t="s">
        <v>3889</v>
      </c>
      <c r="G4469" t="str">
        <f t="shared" si="386"/>
        <v>08/11/19</v>
      </c>
      <c r="H4469" t="str">
        <f t="shared" si="381"/>
        <v>New York Yankees</v>
      </c>
      <c r="I4469" s="60">
        <f t="shared" si="382"/>
        <v>1</v>
      </c>
      <c r="J4469" t="str">
        <f t="shared" si="383"/>
        <v>Toronto Blue Jays</v>
      </c>
      <c r="K4469" s="60">
        <f t="shared" si="384"/>
        <v>0</v>
      </c>
      <c r="L4469">
        <f t="shared" si="385"/>
        <v>1</v>
      </c>
    </row>
    <row r="4470" spans="1:12" x14ac:dyDescent="0.25">
      <c r="G4470" t="str">
        <f t="shared" si="386"/>
        <v>08/11/19</v>
      </c>
      <c r="H4470" t="str">
        <f t="shared" si="381"/>
        <v/>
      </c>
      <c r="I4470" s="60" t="str">
        <f t="shared" si="382"/>
        <v/>
      </c>
      <c r="J4470" t="str">
        <f t="shared" si="383"/>
        <v/>
      </c>
      <c r="K4470" s="60" t="str">
        <f t="shared" si="384"/>
        <v/>
      </c>
      <c r="L4470" t="str">
        <f t="shared" si="385"/>
        <v/>
      </c>
    </row>
    <row r="4471" spans="1:12" x14ac:dyDescent="0.25">
      <c r="A4471" t="s">
        <v>3890</v>
      </c>
      <c r="G4471" t="str">
        <f t="shared" si="386"/>
        <v>08/11/19</v>
      </c>
      <c r="H4471" t="str">
        <f t="shared" si="381"/>
        <v/>
      </c>
      <c r="I4471" s="60" t="str">
        <f t="shared" si="382"/>
        <v/>
      </c>
      <c r="J4471" t="str">
        <f t="shared" si="383"/>
        <v/>
      </c>
      <c r="K4471" s="60" t="str">
        <f t="shared" si="384"/>
        <v/>
      </c>
      <c r="L4471" t="str">
        <f t="shared" si="385"/>
        <v/>
      </c>
    </row>
    <row r="4472" spans="1:12" x14ac:dyDescent="0.25">
      <c r="G4472" t="str">
        <f t="shared" si="386"/>
        <v>08/11/19</v>
      </c>
      <c r="H4472" t="str">
        <f t="shared" si="381"/>
        <v/>
      </c>
      <c r="I4472" s="60" t="str">
        <f t="shared" si="382"/>
        <v/>
      </c>
      <c r="J4472" t="str">
        <f t="shared" si="383"/>
        <v/>
      </c>
      <c r="K4472" s="60" t="str">
        <f t="shared" si="384"/>
        <v/>
      </c>
      <c r="L4472" t="str">
        <f t="shared" si="385"/>
        <v/>
      </c>
    </row>
    <row r="4473" spans="1:12" x14ac:dyDescent="0.25">
      <c r="A4473" t="s">
        <v>3283</v>
      </c>
      <c r="G4473" t="str">
        <f t="shared" si="386"/>
        <v>08/12/19</v>
      </c>
      <c r="H4473" t="str">
        <f t="shared" si="381"/>
        <v/>
      </c>
      <c r="I4473" s="60" t="str">
        <f t="shared" si="382"/>
        <v/>
      </c>
      <c r="J4473" t="str">
        <f t="shared" si="383"/>
        <v/>
      </c>
      <c r="K4473" s="60" t="str">
        <f t="shared" si="384"/>
        <v/>
      </c>
      <c r="L4473" t="str">
        <f t="shared" si="385"/>
        <v/>
      </c>
    </row>
    <row r="4474" spans="1:12" x14ac:dyDescent="0.25">
      <c r="G4474" t="str">
        <f t="shared" si="386"/>
        <v>08/12/19</v>
      </c>
      <c r="H4474" t="str">
        <f t="shared" si="381"/>
        <v/>
      </c>
      <c r="I4474" s="60" t="str">
        <f t="shared" si="382"/>
        <v/>
      </c>
      <c r="J4474" t="str">
        <f t="shared" si="383"/>
        <v/>
      </c>
      <c r="K4474" s="60" t="str">
        <f t="shared" si="384"/>
        <v/>
      </c>
      <c r="L4474" t="str">
        <f t="shared" si="385"/>
        <v/>
      </c>
    </row>
    <row r="4475" spans="1:12" x14ac:dyDescent="0.25">
      <c r="A4475" t="s">
        <v>3891</v>
      </c>
      <c r="G4475" t="str">
        <f t="shared" si="386"/>
        <v>08/12/19</v>
      </c>
      <c r="H4475" t="str">
        <f t="shared" si="381"/>
        <v>Pittsburgh Pirates</v>
      </c>
      <c r="I4475" s="60">
        <f t="shared" si="382"/>
        <v>10</v>
      </c>
      <c r="J4475" t="str">
        <f t="shared" si="383"/>
        <v>Los Angeles Angels</v>
      </c>
      <c r="K4475" s="60">
        <f t="shared" si="384"/>
        <v>2</v>
      </c>
      <c r="L4475">
        <f t="shared" si="385"/>
        <v>8</v>
      </c>
    </row>
    <row r="4476" spans="1:12" x14ac:dyDescent="0.25">
      <c r="G4476" t="str">
        <f t="shared" si="386"/>
        <v>08/12/19</v>
      </c>
      <c r="H4476" t="str">
        <f t="shared" si="381"/>
        <v/>
      </c>
      <c r="I4476" s="60" t="str">
        <f t="shared" si="382"/>
        <v/>
      </c>
      <c r="J4476" t="str">
        <f t="shared" si="383"/>
        <v/>
      </c>
      <c r="K4476" s="60" t="str">
        <f t="shared" si="384"/>
        <v/>
      </c>
      <c r="L4476" t="str">
        <f t="shared" si="385"/>
        <v/>
      </c>
    </row>
    <row r="4477" spans="1:12" x14ac:dyDescent="0.25">
      <c r="A4477" t="s">
        <v>3892</v>
      </c>
      <c r="G4477" t="str">
        <f t="shared" si="386"/>
        <v>08/12/19</v>
      </c>
      <c r="H4477" t="str">
        <f t="shared" si="381"/>
        <v>Boston Red Sox</v>
      </c>
      <c r="I4477" s="60">
        <f t="shared" si="382"/>
        <v>5</v>
      </c>
      <c r="J4477" t="str">
        <f t="shared" si="383"/>
        <v>Cleveland Indians</v>
      </c>
      <c r="K4477" s="60">
        <f t="shared" si="384"/>
        <v>6</v>
      </c>
      <c r="L4477">
        <f t="shared" si="385"/>
        <v>-1</v>
      </c>
    </row>
    <row r="4478" spans="1:12" x14ac:dyDescent="0.25">
      <c r="G4478" t="str">
        <f t="shared" si="386"/>
        <v>08/12/19</v>
      </c>
      <c r="H4478" t="str">
        <f t="shared" si="381"/>
        <v/>
      </c>
      <c r="I4478" s="60" t="str">
        <f t="shared" si="382"/>
        <v/>
      </c>
      <c r="J4478" t="str">
        <f t="shared" si="383"/>
        <v/>
      </c>
      <c r="K4478" s="60" t="str">
        <f t="shared" si="384"/>
        <v/>
      </c>
      <c r="L4478" t="str">
        <f t="shared" si="385"/>
        <v/>
      </c>
    </row>
    <row r="4479" spans="1:12" x14ac:dyDescent="0.25">
      <c r="A4479" t="s">
        <v>3893</v>
      </c>
      <c r="G4479" t="str">
        <f t="shared" si="386"/>
        <v>08/12/19</v>
      </c>
      <c r="H4479" t="str">
        <f t="shared" si="381"/>
        <v>Arizona D'Backs</v>
      </c>
      <c r="I4479" s="60">
        <f t="shared" si="382"/>
        <v>8</v>
      </c>
      <c r="J4479" t="str">
        <f t="shared" si="383"/>
        <v>Colorado Rockies</v>
      </c>
      <c r="K4479" s="60">
        <f t="shared" si="384"/>
        <v>6</v>
      </c>
      <c r="L4479">
        <f t="shared" si="385"/>
        <v>2</v>
      </c>
    </row>
    <row r="4480" spans="1:12" x14ac:dyDescent="0.25">
      <c r="G4480" t="str">
        <f t="shared" si="386"/>
        <v>08/12/19</v>
      </c>
      <c r="H4480" t="str">
        <f t="shared" si="381"/>
        <v/>
      </c>
      <c r="I4480" s="60" t="str">
        <f t="shared" si="382"/>
        <v/>
      </c>
      <c r="J4480" t="str">
        <f t="shared" si="383"/>
        <v/>
      </c>
      <c r="K4480" s="60" t="str">
        <f t="shared" si="384"/>
        <v/>
      </c>
      <c r="L4480" t="str">
        <f t="shared" si="385"/>
        <v/>
      </c>
    </row>
    <row r="4481" spans="1:12" x14ac:dyDescent="0.25">
      <c r="A4481" t="s">
        <v>3894</v>
      </c>
      <c r="G4481" t="str">
        <f t="shared" si="386"/>
        <v>08/12/19</v>
      </c>
      <c r="H4481" t="str">
        <f t="shared" si="381"/>
        <v>Baltimore Orioles</v>
      </c>
      <c r="I4481" s="60">
        <f t="shared" si="382"/>
        <v>5</v>
      </c>
      <c r="J4481" t="str">
        <f t="shared" si="383"/>
        <v>New York Yankees</v>
      </c>
      <c r="K4481" s="60">
        <f t="shared" si="384"/>
        <v>8</v>
      </c>
      <c r="L4481">
        <f t="shared" si="385"/>
        <v>-3</v>
      </c>
    </row>
    <row r="4482" spans="1:12" x14ac:dyDescent="0.25">
      <c r="G4482" t="str">
        <f t="shared" si="386"/>
        <v>08/12/19</v>
      </c>
      <c r="H4482" t="str">
        <f t="shared" si="381"/>
        <v/>
      </c>
      <c r="I4482" s="60" t="str">
        <f t="shared" si="382"/>
        <v/>
      </c>
      <c r="J4482" t="str">
        <f t="shared" si="383"/>
        <v/>
      </c>
      <c r="K4482" s="60" t="str">
        <f t="shared" si="384"/>
        <v/>
      </c>
      <c r="L4482" t="str">
        <f t="shared" si="385"/>
        <v/>
      </c>
    </row>
    <row r="4483" spans="1:12" x14ac:dyDescent="0.25">
      <c r="A4483" t="s">
        <v>3895</v>
      </c>
      <c r="G4483" t="str">
        <f t="shared" si="386"/>
        <v>08/12/19</v>
      </c>
      <c r="H4483" t="str">
        <f t="shared" si="381"/>
        <v>Baltimore Orioles</v>
      </c>
      <c r="I4483" s="60">
        <f t="shared" si="382"/>
        <v>8</v>
      </c>
      <c r="J4483" t="str">
        <f t="shared" si="383"/>
        <v>New York Yankees</v>
      </c>
      <c r="K4483" s="60">
        <f t="shared" si="384"/>
        <v>11</v>
      </c>
      <c r="L4483">
        <f t="shared" si="385"/>
        <v>-3</v>
      </c>
    </row>
    <row r="4484" spans="1:12" x14ac:dyDescent="0.25">
      <c r="G4484" t="str">
        <f t="shared" si="386"/>
        <v>08/12/19</v>
      </c>
      <c r="H4484" t="str">
        <f t="shared" si="381"/>
        <v/>
      </c>
      <c r="I4484" s="60" t="str">
        <f t="shared" si="382"/>
        <v/>
      </c>
      <c r="J4484" t="str">
        <f t="shared" si="383"/>
        <v/>
      </c>
      <c r="K4484" s="60" t="str">
        <f t="shared" si="384"/>
        <v/>
      </c>
      <c r="L4484" t="str">
        <f t="shared" si="385"/>
        <v/>
      </c>
    </row>
    <row r="4485" spans="1:12" x14ac:dyDescent="0.25">
      <c r="A4485" t="s">
        <v>3896</v>
      </c>
      <c r="G4485" t="str">
        <f t="shared" si="386"/>
        <v>08/12/19</v>
      </c>
      <c r="H4485" t="str">
        <f t="shared" si="381"/>
        <v>Tampa Bay Rays</v>
      </c>
      <c r="I4485" s="60">
        <f t="shared" si="382"/>
        <v>10</v>
      </c>
      <c r="J4485" t="str">
        <f t="shared" si="383"/>
        <v>San Diego Padres</v>
      </c>
      <c r="K4485" s="60">
        <f t="shared" si="384"/>
        <v>4</v>
      </c>
      <c r="L4485">
        <f t="shared" si="385"/>
        <v>6</v>
      </c>
    </row>
    <row r="4486" spans="1:12" x14ac:dyDescent="0.25">
      <c r="G4486" t="str">
        <f t="shared" si="386"/>
        <v>08/12/19</v>
      </c>
      <c r="H4486" t="str">
        <f t="shared" si="381"/>
        <v/>
      </c>
      <c r="I4486" s="60" t="str">
        <f t="shared" si="382"/>
        <v/>
      </c>
      <c r="J4486" t="str">
        <f t="shared" si="383"/>
        <v/>
      </c>
      <c r="K4486" s="60" t="str">
        <f t="shared" si="384"/>
        <v/>
      </c>
      <c r="L4486" t="str">
        <f t="shared" si="385"/>
        <v/>
      </c>
    </row>
    <row r="4487" spans="1:12" x14ac:dyDescent="0.25">
      <c r="A4487" t="s">
        <v>3897</v>
      </c>
      <c r="G4487" t="str">
        <f t="shared" si="386"/>
        <v>08/12/19</v>
      </c>
      <c r="H4487" t="str">
        <f t="shared" si="381"/>
        <v>Texas Rangers</v>
      </c>
      <c r="I4487" s="60">
        <f t="shared" si="382"/>
        <v>4</v>
      </c>
      <c r="J4487" t="str">
        <f t="shared" si="383"/>
        <v>Toronto Blue Jays</v>
      </c>
      <c r="K4487" s="60">
        <f t="shared" si="384"/>
        <v>19</v>
      </c>
      <c r="L4487">
        <f t="shared" si="385"/>
        <v>-15</v>
      </c>
    </row>
    <row r="4488" spans="1:12" x14ac:dyDescent="0.25">
      <c r="G4488" t="str">
        <f t="shared" si="386"/>
        <v>08/12/19</v>
      </c>
      <c r="H4488" t="str">
        <f t="shared" si="381"/>
        <v/>
      </c>
      <c r="I4488" s="60" t="str">
        <f t="shared" si="382"/>
        <v/>
      </c>
      <c r="J4488" t="str">
        <f t="shared" si="383"/>
        <v/>
      </c>
      <c r="K4488" s="60" t="str">
        <f t="shared" si="384"/>
        <v/>
      </c>
      <c r="L4488" t="str">
        <f t="shared" si="385"/>
        <v/>
      </c>
    </row>
    <row r="4489" spans="1:12" x14ac:dyDescent="0.25">
      <c r="A4489" t="s">
        <v>3898</v>
      </c>
      <c r="G4489" t="str">
        <f t="shared" si="386"/>
        <v>08/12/19</v>
      </c>
      <c r="H4489" t="str">
        <f t="shared" si="381"/>
        <v>Cincinnati Reds</v>
      </c>
      <c r="I4489" s="60">
        <f t="shared" si="382"/>
        <v>6</v>
      </c>
      <c r="J4489" t="str">
        <f t="shared" si="383"/>
        <v>Washington Nationals</v>
      </c>
      <c r="K4489" s="60">
        <f t="shared" si="384"/>
        <v>7</v>
      </c>
      <c r="L4489">
        <f t="shared" si="385"/>
        <v>-1</v>
      </c>
    </row>
    <row r="4490" spans="1:12" x14ac:dyDescent="0.25">
      <c r="G4490" t="str">
        <f t="shared" si="386"/>
        <v>08/12/19</v>
      </c>
      <c r="H4490" t="str">
        <f t="shared" si="381"/>
        <v/>
      </c>
      <c r="I4490" s="60" t="str">
        <f t="shared" si="382"/>
        <v/>
      </c>
      <c r="J4490" t="str">
        <f t="shared" si="383"/>
        <v/>
      </c>
      <c r="K4490" s="60" t="str">
        <f t="shared" si="384"/>
        <v/>
      </c>
      <c r="L4490" t="str">
        <f t="shared" si="385"/>
        <v/>
      </c>
    </row>
    <row r="4491" spans="1:12" x14ac:dyDescent="0.25">
      <c r="A4491" t="s">
        <v>3899</v>
      </c>
      <c r="G4491" t="str">
        <f t="shared" si="386"/>
        <v>08/12/19</v>
      </c>
      <c r="H4491" t="str">
        <f t="shared" si="381"/>
        <v/>
      </c>
      <c r="I4491" s="60" t="str">
        <f t="shared" si="382"/>
        <v/>
      </c>
      <c r="J4491" t="str">
        <f t="shared" si="383"/>
        <v/>
      </c>
      <c r="K4491" s="60" t="str">
        <f t="shared" si="384"/>
        <v/>
      </c>
      <c r="L4491" t="str">
        <f t="shared" si="385"/>
        <v/>
      </c>
    </row>
    <row r="4492" spans="1:12" x14ac:dyDescent="0.25">
      <c r="G4492" t="str">
        <f t="shared" si="386"/>
        <v>08/12/19</v>
      </c>
      <c r="H4492" t="str">
        <f t="shared" si="381"/>
        <v/>
      </c>
      <c r="I4492" s="60" t="str">
        <f t="shared" si="382"/>
        <v/>
      </c>
      <c r="J4492" t="str">
        <f t="shared" si="383"/>
        <v/>
      </c>
      <c r="K4492" s="60" t="str">
        <f t="shared" si="384"/>
        <v/>
      </c>
      <c r="L4492" t="str">
        <f t="shared" si="385"/>
        <v/>
      </c>
    </row>
    <row r="4493" spans="1:12" x14ac:dyDescent="0.25">
      <c r="A4493" t="s">
        <v>3284</v>
      </c>
      <c r="G4493" t="str">
        <f t="shared" si="386"/>
        <v>08/13/19</v>
      </c>
      <c r="H4493" t="str">
        <f t="shared" si="381"/>
        <v/>
      </c>
      <c r="I4493" s="60" t="str">
        <f t="shared" si="382"/>
        <v/>
      </c>
      <c r="J4493" t="str">
        <f t="shared" si="383"/>
        <v/>
      </c>
      <c r="K4493" s="60" t="str">
        <f t="shared" si="384"/>
        <v/>
      </c>
      <c r="L4493" t="str">
        <f t="shared" si="385"/>
        <v/>
      </c>
    </row>
    <row r="4494" spans="1:12" x14ac:dyDescent="0.25">
      <c r="G4494" t="str">
        <f t="shared" si="386"/>
        <v>08/13/19</v>
      </c>
      <c r="H4494" t="str">
        <f t="shared" si="381"/>
        <v/>
      </c>
      <c r="I4494" s="60" t="str">
        <f t="shared" si="382"/>
        <v/>
      </c>
      <c r="J4494" t="str">
        <f t="shared" si="383"/>
        <v/>
      </c>
      <c r="K4494" s="60" t="str">
        <f t="shared" si="384"/>
        <v/>
      </c>
      <c r="L4494" t="str">
        <f t="shared" si="385"/>
        <v/>
      </c>
    </row>
    <row r="4495" spans="1:12" x14ac:dyDescent="0.25">
      <c r="A4495" t="s">
        <v>3900</v>
      </c>
      <c r="G4495" t="str">
        <f t="shared" si="386"/>
        <v>08/13/19</v>
      </c>
      <c r="H4495" t="str">
        <f t="shared" si="381"/>
        <v>Pittsburgh Pirates</v>
      </c>
      <c r="I4495" s="60">
        <f t="shared" si="382"/>
        <v>10</v>
      </c>
      <c r="J4495" t="str">
        <f t="shared" si="383"/>
        <v>Los Angeles Angels</v>
      </c>
      <c r="K4495" s="60">
        <f t="shared" si="384"/>
        <v>7</v>
      </c>
      <c r="L4495">
        <f t="shared" si="385"/>
        <v>3</v>
      </c>
    </row>
    <row r="4496" spans="1:12" x14ac:dyDescent="0.25">
      <c r="G4496" t="str">
        <f t="shared" si="386"/>
        <v>08/13/19</v>
      </c>
      <c r="H4496" t="str">
        <f t="shared" ref="H4496:H4559" si="387">IFERROR(LEFT(MID(A4496,1,SEARCH("@",A4496)-2),SEARCH("(",A4496)-2),"")</f>
        <v/>
      </c>
      <c r="I4496" s="60" t="str">
        <f t="shared" ref="I4496:I4559" si="388">IFERROR(VALUE(MID(A4496,SEARCH("(",A4496)+1,SEARCH(")",A4496)-SEARCH("(",A4496)-1)),"")</f>
        <v/>
      </c>
      <c r="J4496" t="str">
        <f t="shared" ref="J4496:J4559" si="389">IFERROR(MID(A4496,SEARCH("@",A4496)+2,SEARCH("(",A4496,SEARCH("@",A4496))-SEARCH("@",A4496)-3),"")</f>
        <v/>
      </c>
      <c r="K4496" s="60" t="str">
        <f t="shared" ref="K4496:K4559" si="390">IFERROR(VALUE(MID(A4496,SEARCH(J4496,A4496)+LEN(J4496)+2,(SEARCH(")",A4496,SEARCH("@",A4496))-SEARCH("(",A4496,SEARCH("@",A4496))-1))),"")</f>
        <v/>
      </c>
      <c r="L4496" t="str">
        <f t="shared" ref="L4496:L4559" si="391">IFERROR(I4496-K4496,"")</f>
        <v/>
      </c>
    </row>
    <row r="4497" spans="1:12" x14ac:dyDescent="0.25">
      <c r="A4497" t="s">
        <v>3901</v>
      </c>
      <c r="G4497" t="str">
        <f t="shared" si="386"/>
        <v>08/13/19</v>
      </c>
      <c r="H4497" t="str">
        <f t="shared" si="387"/>
        <v>New York Mets</v>
      </c>
      <c r="I4497" s="60">
        <f t="shared" si="388"/>
        <v>3</v>
      </c>
      <c r="J4497" t="str">
        <f t="shared" si="389"/>
        <v>Atlanta Braves</v>
      </c>
      <c r="K4497" s="60">
        <f t="shared" si="390"/>
        <v>5</v>
      </c>
      <c r="L4497">
        <f t="shared" si="391"/>
        <v>-2</v>
      </c>
    </row>
    <row r="4498" spans="1:12" x14ac:dyDescent="0.25">
      <c r="G4498" t="str">
        <f t="shared" si="386"/>
        <v>08/13/19</v>
      </c>
      <c r="H4498" t="str">
        <f t="shared" si="387"/>
        <v/>
      </c>
      <c r="I4498" s="60" t="str">
        <f t="shared" si="388"/>
        <v/>
      </c>
      <c r="J4498" t="str">
        <f t="shared" si="389"/>
        <v/>
      </c>
      <c r="K4498" s="60" t="str">
        <f t="shared" si="390"/>
        <v/>
      </c>
      <c r="L4498" t="str">
        <f t="shared" si="391"/>
        <v/>
      </c>
    </row>
    <row r="4499" spans="1:12" x14ac:dyDescent="0.25">
      <c r="A4499" t="s">
        <v>3902</v>
      </c>
      <c r="G4499" t="str">
        <f t="shared" si="386"/>
        <v>08/13/19</v>
      </c>
      <c r="H4499" t="str">
        <f t="shared" si="387"/>
        <v>Houston Astros</v>
      </c>
      <c r="I4499" s="60">
        <f t="shared" si="388"/>
        <v>6</v>
      </c>
      <c r="J4499" t="str">
        <f t="shared" si="389"/>
        <v>Chicago White Sox</v>
      </c>
      <c r="K4499" s="60">
        <f t="shared" si="390"/>
        <v>2</v>
      </c>
      <c r="L4499">
        <f t="shared" si="391"/>
        <v>4</v>
      </c>
    </row>
    <row r="4500" spans="1:12" x14ac:dyDescent="0.25">
      <c r="G4500" t="str">
        <f t="shared" si="386"/>
        <v>08/13/19</v>
      </c>
      <c r="H4500" t="str">
        <f t="shared" si="387"/>
        <v/>
      </c>
      <c r="I4500" s="60" t="str">
        <f t="shared" si="388"/>
        <v/>
      </c>
      <c r="J4500" t="str">
        <f t="shared" si="389"/>
        <v/>
      </c>
      <c r="K4500" s="60" t="str">
        <f t="shared" si="390"/>
        <v/>
      </c>
      <c r="L4500" t="str">
        <f t="shared" si="391"/>
        <v/>
      </c>
    </row>
    <row r="4501" spans="1:12" x14ac:dyDescent="0.25">
      <c r="A4501" t="s">
        <v>3903</v>
      </c>
      <c r="G4501" t="str">
        <f t="shared" si="386"/>
        <v>08/13/19</v>
      </c>
      <c r="H4501" t="str">
        <f t="shared" si="387"/>
        <v>Houston Astros</v>
      </c>
      <c r="I4501" s="60">
        <f t="shared" si="388"/>
        <v>1</v>
      </c>
      <c r="J4501" t="str">
        <f t="shared" si="389"/>
        <v>Chicago White Sox</v>
      </c>
      <c r="K4501" s="60">
        <f t="shared" si="390"/>
        <v>4</v>
      </c>
      <c r="L4501">
        <f t="shared" si="391"/>
        <v>-3</v>
      </c>
    </row>
    <row r="4502" spans="1:12" x14ac:dyDescent="0.25">
      <c r="G4502" t="str">
        <f t="shared" si="386"/>
        <v>08/13/19</v>
      </c>
      <c r="H4502" t="str">
        <f t="shared" si="387"/>
        <v/>
      </c>
      <c r="I4502" s="60" t="str">
        <f t="shared" si="388"/>
        <v/>
      </c>
      <c r="J4502" t="str">
        <f t="shared" si="389"/>
        <v/>
      </c>
      <c r="K4502" s="60" t="str">
        <f t="shared" si="390"/>
        <v/>
      </c>
      <c r="L4502" t="str">
        <f t="shared" si="391"/>
        <v/>
      </c>
    </row>
    <row r="4503" spans="1:12" x14ac:dyDescent="0.25">
      <c r="A4503" t="s">
        <v>3904</v>
      </c>
      <c r="G4503" t="str">
        <f t="shared" si="386"/>
        <v>08/13/19</v>
      </c>
      <c r="H4503" t="str">
        <f t="shared" si="387"/>
        <v>Boston Red Sox</v>
      </c>
      <c r="I4503" s="60">
        <f t="shared" si="388"/>
        <v>7</v>
      </c>
      <c r="J4503" t="str">
        <f t="shared" si="389"/>
        <v>Cleveland Indians</v>
      </c>
      <c r="K4503" s="60">
        <f t="shared" si="390"/>
        <v>6</v>
      </c>
      <c r="L4503">
        <f t="shared" si="391"/>
        <v>1</v>
      </c>
    </row>
    <row r="4504" spans="1:12" x14ac:dyDescent="0.25">
      <c r="G4504" t="str">
        <f t="shared" si="386"/>
        <v>08/13/19</v>
      </c>
      <c r="H4504" t="str">
        <f t="shared" si="387"/>
        <v/>
      </c>
      <c r="I4504" s="60" t="str">
        <f t="shared" si="388"/>
        <v/>
      </c>
      <c r="J4504" t="str">
        <f t="shared" si="389"/>
        <v/>
      </c>
      <c r="K4504" s="60" t="str">
        <f t="shared" si="390"/>
        <v/>
      </c>
      <c r="L4504" t="str">
        <f t="shared" si="391"/>
        <v/>
      </c>
    </row>
    <row r="4505" spans="1:12" x14ac:dyDescent="0.25">
      <c r="A4505" t="s">
        <v>3905</v>
      </c>
      <c r="G4505" t="str">
        <f t="shared" si="386"/>
        <v>08/13/19</v>
      </c>
      <c r="H4505" t="str">
        <f t="shared" si="387"/>
        <v>Arizona D'Backs</v>
      </c>
      <c r="I4505" s="60">
        <f t="shared" si="388"/>
        <v>9</v>
      </c>
      <c r="J4505" t="str">
        <f t="shared" si="389"/>
        <v>Colorado Rockies</v>
      </c>
      <c r="K4505" s="60">
        <f t="shared" si="390"/>
        <v>3</v>
      </c>
      <c r="L4505">
        <f t="shared" si="391"/>
        <v>6</v>
      </c>
    </row>
    <row r="4506" spans="1:12" x14ac:dyDescent="0.25">
      <c r="G4506" t="str">
        <f t="shared" si="386"/>
        <v>08/13/19</v>
      </c>
      <c r="H4506" t="str">
        <f t="shared" si="387"/>
        <v/>
      </c>
      <c r="I4506" s="60" t="str">
        <f t="shared" si="388"/>
        <v/>
      </c>
      <c r="J4506" t="str">
        <f t="shared" si="389"/>
        <v/>
      </c>
      <c r="K4506" s="60" t="str">
        <f t="shared" si="390"/>
        <v/>
      </c>
      <c r="L4506" t="str">
        <f t="shared" si="391"/>
        <v/>
      </c>
    </row>
    <row r="4507" spans="1:12" x14ac:dyDescent="0.25">
      <c r="A4507" t="s">
        <v>3906</v>
      </c>
      <c r="G4507" t="str">
        <f t="shared" si="386"/>
        <v>08/13/19</v>
      </c>
      <c r="H4507" t="str">
        <f t="shared" si="387"/>
        <v>Seattle Mariners</v>
      </c>
      <c r="I4507" s="60">
        <f t="shared" si="388"/>
        <v>11</v>
      </c>
      <c r="J4507" t="str">
        <f t="shared" si="389"/>
        <v>Detroit Tigers</v>
      </c>
      <c r="K4507" s="60">
        <f t="shared" si="390"/>
        <v>6</v>
      </c>
      <c r="L4507">
        <f t="shared" si="391"/>
        <v>5</v>
      </c>
    </row>
    <row r="4508" spans="1:12" x14ac:dyDescent="0.25">
      <c r="G4508" t="str">
        <f t="shared" si="386"/>
        <v>08/13/19</v>
      </c>
      <c r="H4508" t="str">
        <f t="shared" si="387"/>
        <v/>
      </c>
      <c r="I4508" s="60" t="str">
        <f t="shared" si="388"/>
        <v/>
      </c>
      <c r="J4508" t="str">
        <f t="shared" si="389"/>
        <v/>
      </c>
      <c r="K4508" s="60" t="str">
        <f t="shared" si="390"/>
        <v/>
      </c>
      <c r="L4508" t="str">
        <f t="shared" si="391"/>
        <v/>
      </c>
    </row>
    <row r="4509" spans="1:12" x14ac:dyDescent="0.25">
      <c r="A4509" t="s">
        <v>3907</v>
      </c>
      <c r="G4509" t="str">
        <f t="shared" si="386"/>
        <v>08/13/19</v>
      </c>
      <c r="H4509" t="str">
        <f t="shared" si="387"/>
        <v>St. Louis Cardinals</v>
      </c>
      <c r="I4509" s="60">
        <f t="shared" si="388"/>
        <v>2</v>
      </c>
      <c r="J4509" t="str">
        <f t="shared" si="389"/>
        <v>Kansas City Royals</v>
      </c>
      <c r="K4509" s="60">
        <f t="shared" si="390"/>
        <v>0</v>
      </c>
      <c r="L4509">
        <f t="shared" si="391"/>
        <v>2</v>
      </c>
    </row>
    <row r="4510" spans="1:12" x14ac:dyDescent="0.25">
      <c r="G4510" t="str">
        <f t="shared" si="386"/>
        <v>08/13/19</v>
      </c>
      <c r="H4510" t="str">
        <f t="shared" si="387"/>
        <v/>
      </c>
      <c r="I4510" s="60" t="str">
        <f t="shared" si="388"/>
        <v/>
      </c>
      <c r="J4510" t="str">
        <f t="shared" si="389"/>
        <v/>
      </c>
      <c r="K4510" s="60" t="str">
        <f t="shared" si="390"/>
        <v/>
      </c>
      <c r="L4510" t="str">
        <f t="shared" si="391"/>
        <v/>
      </c>
    </row>
    <row r="4511" spans="1:12" x14ac:dyDescent="0.25">
      <c r="A4511" t="s">
        <v>3908</v>
      </c>
      <c r="G4511" t="str">
        <f t="shared" si="386"/>
        <v>08/13/19</v>
      </c>
      <c r="H4511" t="str">
        <f t="shared" si="387"/>
        <v>Los Angeles Dodgers</v>
      </c>
      <c r="I4511" s="60">
        <f t="shared" si="388"/>
        <v>15</v>
      </c>
      <c r="J4511" t="str">
        <f t="shared" si="389"/>
        <v>Miami Marlins</v>
      </c>
      <c r="K4511" s="60">
        <f t="shared" si="390"/>
        <v>1</v>
      </c>
      <c r="L4511">
        <f t="shared" si="391"/>
        <v>14</v>
      </c>
    </row>
    <row r="4512" spans="1:12" x14ac:dyDescent="0.25">
      <c r="G4512" t="str">
        <f t="shared" si="386"/>
        <v>08/13/19</v>
      </c>
      <c r="H4512" t="str">
        <f t="shared" si="387"/>
        <v/>
      </c>
      <c r="I4512" s="60" t="str">
        <f t="shared" si="388"/>
        <v/>
      </c>
      <c r="J4512" t="str">
        <f t="shared" si="389"/>
        <v/>
      </c>
      <c r="K4512" s="60" t="str">
        <f t="shared" si="390"/>
        <v/>
      </c>
      <c r="L4512" t="str">
        <f t="shared" si="391"/>
        <v/>
      </c>
    </row>
    <row r="4513" spans="1:12" x14ac:dyDescent="0.25">
      <c r="A4513" t="s">
        <v>3909</v>
      </c>
      <c r="G4513" t="str">
        <f t="shared" si="386"/>
        <v>08/13/19</v>
      </c>
      <c r="H4513" t="str">
        <f t="shared" si="387"/>
        <v>Minnesota Twins</v>
      </c>
      <c r="I4513" s="60">
        <f t="shared" si="388"/>
        <v>7</v>
      </c>
      <c r="J4513" t="str">
        <f t="shared" si="389"/>
        <v>Milwaukee Brewers</v>
      </c>
      <c r="K4513" s="60">
        <f t="shared" si="390"/>
        <v>5</v>
      </c>
      <c r="L4513">
        <f t="shared" si="391"/>
        <v>2</v>
      </c>
    </row>
    <row r="4514" spans="1:12" x14ac:dyDescent="0.25">
      <c r="G4514" t="str">
        <f t="shared" ref="G4514:G4577" si="392">IF(ISNUMBER(MATCH(IFERROR(LEFT(A4514,SEARCH(",",A4514)-1),""),$G$220:$M$220,0)),TEXT(MID(A4514,SEARCH(",",A4514)+2,LEN(A4514)),"mm/dd/yy"),G4513)</f>
        <v>08/13/19</v>
      </c>
      <c r="H4514" t="str">
        <f t="shared" si="387"/>
        <v/>
      </c>
      <c r="I4514" s="60" t="str">
        <f t="shared" si="388"/>
        <v/>
      </c>
      <c r="J4514" t="str">
        <f t="shared" si="389"/>
        <v/>
      </c>
      <c r="K4514" s="60" t="str">
        <f t="shared" si="390"/>
        <v/>
      </c>
      <c r="L4514" t="str">
        <f t="shared" si="391"/>
        <v/>
      </c>
    </row>
    <row r="4515" spans="1:12" x14ac:dyDescent="0.25">
      <c r="A4515" t="s">
        <v>3910</v>
      </c>
      <c r="G4515" t="str">
        <f t="shared" si="392"/>
        <v>08/13/19</v>
      </c>
      <c r="H4515" t="str">
        <f t="shared" si="387"/>
        <v>Baltimore Orioles</v>
      </c>
      <c r="I4515" s="60">
        <f t="shared" si="388"/>
        <v>3</v>
      </c>
      <c r="J4515" t="str">
        <f t="shared" si="389"/>
        <v>New York Yankees</v>
      </c>
      <c r="K4515" s="60">
        <f t="shared" si="390"/>
        <v>8</v>
      </c>
      <c r="L4515">
        <f t="shared" si="391"/>
        <v>-5</v>
      </c>
    </row>
    <row r="4516" spans="1:12" x14ac:dyDescent="0.25">
      <c r="G4516" t="str">
        <f t="shared" si="392"/>
        <v>08/13/19</v>
      </c>
      <c r="H4516" t="str">
        <f t="shared" si="387"/>
        <v/>
      </c>
      <c r="I4516" s="60" t="str">
        <f t="shared" si="388"/>
        <v/>
      </c>
      <c r="J4516" t="str">
        <f t="shared" si="389"/>
        <v/>
      </c>
      <c r="K4516" s="60" t="str">
        <f t="shared" si="390"/>
        <v/>
      </c>
      <c r="L4516" t="str">
        <f t="shared" si="391"/>
        <v/>
      </c>
    </row>
    <row r="4517" spans="1:12" x14ac:dyDescent="0.25">
      <c r="A4517" t="s">
        <v>3911</v>
      </c>
      <c r="G4517" t="str">
        <f t="shared" si="392"/>
        <v>08/13/19</v>
      </c>
      <c r="H4517" t="str">
        <f t="shared" si="387"/>
        <v>Chicago Cubs</v>
      </c>
      <c r="I4517" s="60">
        <f t="shared" si="388"/>
        <v>2</v>
      </c>
      <c r="J4517" t="str">
        <f t="shared" si="389"/>
        <v>Philadelphia Phillies</v>
      </c>
      <c r="K4517" s="60">
        <f t="shared" si="390"/>
        <v>4</v>
      </c>
      <c r="L4517">
        <f t="shared" si="391"/>
        <v>-2</v>
      </c>
    </row>
    <row r="4518" spans="1:12" x14ac:dyDescent="0.25">
      <c r="G4518" t="str">
        <f t="shared" si="392"/>
        <v>08/13/19</v>
      </c>
      <c r="H4518" t="str">
        <f t="shared" si="387"/>
        <v/>
      </c>
      <c r="I4518" s="60" t="str">
        <f t="shared" si="388"/>
        <v/>
      </c>
      <c r="J4518" t="str">
        <f t="shared" si="389"/>
        <v/>
      </c>
      <c r="K4518" s="60" t="str">
        <f t="shared" si="390"/>
        <v/>
      </c>
      <c r="L4518" t="str">
        <f t="shared" si="391"/>
        <v/>
      </c>
    </row>
    <row r="4519" spans="1:12" x14ac:dyDescent="0.25">
      <c r="A4519" t="s">
        <v>3912</v>
      </c>
      <c r="G4519" t="str">
        <f t="shared" si="392"/>
        <v>08/13/19</v>
      </c>
      <c r="H4519" t="str">
        <f t="shared" si="387"/>
        <v>Tampa Bay Rays</v>
      </c>
      <c r="I4519" s="60">
        <f t="shared" si="388"/>
        <v>7</v>
      </c>
      <c r="J4519" t="str">
        <f t="shared" si="389"/>
        <v>San Diego Padres</v>
      </c>
      <c r="K4519" s="60">
        <f t="shared" si="390"/>
        <v>5</v>
      </c>
      <c r="L4519">
        <f t="shared" si="391"/>
        <v>2</v>
      </c>
    </row>
    <row r="4520" spans="1:12" x14ac:dyDescent="0.25">
      <c r="G4520" t="str">
        <f t="shared" si="392"/>
        <v>08/13/19</v>
      </c>
      <c r="H4520" t="str">
        <f t="shared" si="387"/>
        <v/>
      </c>
      <c r="I4520" s="60" t="str">
        <f t="shared" si="388"/>
        <v/>
      </c>
      <c r="J4520" t="str">
        <f t="shared" si="389"/>
        <v/>
      </c>
      <c r="K4520" s="60" t="str">
        <f t="shared" si="390"/>
        <v/>
      </c>
      <c r="L4520" t="str">
        <f t="shared" si="391"/>
        <v/>
      </c>
    </row>
    <row r="4521" spans="1:12" x14ac:dyDescent="0.25">
      <c r="A4521" t="s">
        <v>3913</v>
      </c>
      <c r="G4521" t="str">
        <f t="shared" si="392"/>
        <v>08/13/19</v>
      </c>
      <c r="H4521" t="str">
        <f t="shared" si="387"/>
        <v>Oakland Athletics</v>
      </c>
      <c r="I4521" s="60">
        <f t="shared" si="388"/>
        <v>2</v>
      </c>
      <c r="J4521" t="str">
        <f t="shared" si="389"/>
        <v>San Francisco Giants</v>
      </c>
      <c r="K4521" s="60">
        <f t="shared" si="390"/>
        <v>3</v>
      </c>
      <c r="L4521">
        <f t="shared" si="391"/>
        <v>-1</v>
      </c>
    </row>
    <row r="4522" spans="1:12" x14ac:dyDescent="0.25">
      <c r="G4522" t="str">
        <f t="shared" si="392"/>
        <v>08/13/19</v>
      </c>
      <c r="H4522" t="str">
        <f t="shared" si="387"/>
        <v/>
      </c>
      <c r="I4522" s="60" t="str">
        <f t="shared" si="388"/>
        <v/>
      </c>
      <c r="J4522" t="str">
        <f t="shared" si="389"/>
        <v/>
      </c>
      <c r="K4522" s="60" t="str">
        <f t="shared" si="390"/>
        <v/>
      </c>
      <c r="L4522" t="str">
        <f t="shared" si="391"/>
        <v/>
      </c>
    </row>
    <row r="4523" spans="1:12" x14ac:dyDescent="0.25">
      <c r="A4523" t="s">
        <v>3914</v>
      </c>
      <c r="G4523" t="str">
        <f t="shared" si="392"/>
        <v>08/13/19</v>
      </c>
      <c r="H4523" t="str">
        <f t="shared" si="387"/>
        <v>Texas Rangers</v>
      </c>
      <c r="I4523" s="60">
        <f t="shared" si="388"/>
        <v>0</v>
      </c>
      <c r="J4523" t="str">
        <f t="shared" si="389"/>
        <v>Toronto Blue Jays</v>
      </c>
      <c r="K4523" s="60">
        <f t="shared" si="390"/>
        <v>3</v>
      </c>
      <c r="L4523">
        <f t="shared" si="391"/>
        <v>-3</v>
      </c>
    </row>
    <row r="4524" spans="1:12" x14ac:dyDescent="0.25">
      <c r="G4524" t="str">
        <f t="shared" si="392"/>
        <v>08/13/19</v>
      </c>
      <c r="H4524" t="str">
        <f t="shared" si="387"/>
        <v/>
      </c>
      <c r="I4524" s="60" t="str">
        <f t="shared" si="388"/>
        <v/>
      </c>
      <c r="J4524" t="str">
        <f t="shared" si="389"/>
        <v/>
      </c>
      <c r="K4524" s="60" t="str">
        <f t="shared" si="390"/>
        <v/>
      </c>
      <c r="L4524" t="str">
        <f t="shared" si="391"/>
        <v/>
      </c>
    </row>
    <row r="4525" spans="1:12" x14ac:dyDescent="0.25">
      <c r="A4525" t="s">
        <v>3915</v>
      </c>
      <c r="G4525" t="str">
        <f t="shared" si="392"/>
        <v>08/13/19</v>
      </c>
      <c r="H4525" t="str">
        <f t="shared" si="387"/>
        <v>Cincinnati Reds</v>
      </c>
      <c r="I4525" s="60">
        <f t="shared" si="388"/>
        <v>1</v>
      </c>
      <c r="J4525" t="str">
        <f t="shared" si="389"/>
        <v>Washington Nationals</v>
      </c>
      <c r="K4525" s="60">
        <f t="shared" si="390"/>
        <v>3</v>
      </c>
      <c r="L4525">
        <f t="shared" si="391"/>
        <v>-2</v>
      </c>
    </row>
    <row r="4526" spans="1:12" x14ac:dyDescent="0.25">
      <c r="G4526" t="str">
        <f t="shared" si="392"/>
        <v>08/13/19</v>
      </c>
      <c r="H4526" t="str">
        <f t="shared" si="387"/>
        <v/>
      </c>
      <c r="I4526" s="60" t="str">
        <f t="shared" si="388"/>
        <v/>
      </c>
      <c r="J4526" t="str">
        <f t="shared" si="389"/>
        <v/>
      </c>
      <c r="K4526" s="60" t="str">
        <f t="shared" si="390"/>
        <v/>
      </c>
      <c r="L4526" t="str">
        <f t="shared" si="391"/>
        <v/>
      </c>
    </row>
    <row r="4527" spans="1:12" x14ac:dyDescent="0.25">
      <c r="A4527" t="s">
        <v>3916</v>
      </c>
      <c r="G4527" t="str">
        <f t="shared" si="392"/>
        <v>08/13/19</v>
      </c>
      <c r="H4527" t="str">
        <f t="shared" si="387"/>
        <v/>
      </c>
      <c r="I4527" s="60" t="str">
        <f t="shared" si="388"/>
        <v/>
      </c>
      <c r="J4527" t="str">
        <f t="shared" si="389"/>
        <v/>
      </c>
      <c r="K4527" s="60" t="str">
        <f t="shared" si="390"/>
        <v/>
      </c>
      <c r="L4527" t="str">
        <f t="shared" si="391"/>
        <v/>
      </c>
    </row>
    <row r="4528" spans="1:12" x14ac:dyDescent="0.25">
      <c r="G4528" t="str">
        <f t="shared" si="392"/>
        <v>08/13/19</v>
      </c>
      <c r="H4528" t="str">
        <f t="shared" si="387"/>
        <v/>
      </c>
      <c r="I4528" s="60" t="str">
        <f t="shared" si="388"/>
        <v/>
      </c>
      <c r="J4528" t="str">
        <f t="shared" si="389"/>
        <v/>
      </c>
      <c r="K4528" s="60" t="str">
        <f t="shared" si="390"/>
        <v/>
      </c>
      <c r="L4528" t="str">
        <f t="shared" si="391"/>
        <v/>
      </c>
    </row>
    <row r="4529" spans="1:12" x14ac:dyDescent="0.25">
      <c r="A4529" t="s">
        <v>3285</v>
      </c>
      <c r="G4529" t="str">
        <f t="shared" si="392"/>
        <v>08/14/19</v>
      </c>
      <c r="H4529" t="str">
        <f t="shared" si="387"/>
        <v/>
      </c>
      <c r="I4529" s="60" t="str">
        <f t="shared" si="388"/>
        <v/>
      </c>
      <c r="J4529" t="str">
        <f t="shared" si="389"/>
        <v/>
      </c>
      <c r="K4529" s="60" t="str">
        <f t="shared" si="390"/>
        <v/>
      </c>
      <c r="L4529" t="str">
        <f t="shared" si="391"/>
        <v/>
      </c>
    </row>
    <row r="4530" spans="1:12" x14ac:dyDescent="0.25">
      <c r="G4530" t="str">
        <f t="shared" si="392"/>
        <v>08/14/19</v>
      </c>
      <c r="H4530" t="str">
        <f t="shared" si="387"/>
        <v/>
      </c>
      <c r="I4530" s="60" t="str">
        <f t="shared" si="388"/>
        <v/>
      </c>
      <c r="J4530" t="str">
        <f t="shared" si="389"/>
        <v/>
      </c>
      <c r="K4530" s="60" t="str">
        <f t="shared" si="390"/>
        <v/>
      </c>
      <c r="L4530" t="str">
        <f t="shared" si="391"/>
        <v/>
      </c>
    </row>
    <row r="4531" spans="1:12" x14ac:dyDescent="0.25">
      <c r="A4531" t="s">
        <v>3917</v>
      </c>
      <c r="G4531" t="str">
        <f t="shared" si="392"/>
        <v>08/14/19</v>
      </c>
      <c r="H4531" t="str">
        <f t="shared" si="387"/>
        <v>Pittsburgh Pirates</v>
      </c>
      <c r="I4531" s="60">
        <f t="shared" si="388"/>
        <v>4</v>
      </c>
      <c r="J4531" t="str">
        <f t="shared" si="389"/>
        <v>Los Angeles Angels</v>
      </c>
      <c r="K4531" s="60">
        <f t="shared" si="390"/>
        <v>7</v>
      </c>
      <c r="L4531">
        <f t="shared" si="391"/>
        <v>-3</v>
      </c>
    </row>
    <row r="4532" spans="1:12" x14ac:dyDescent="0.25">
      <c r="G4532" t="str">
        <f t="shared" si="392"/>
        <v>08/14/19</v>
      </c>
      <c r="H4532" t="str">
        <f t="shared" si="387"/>
        <v/>
      </c>
      <c r="I4532" s="60" t="str">
        <f t="shared" si="388"/>
        <v/>
      </c>
      <c r="J4532" t="str">
        <f t="shared" si="389"/>
        <v/>
      </c>
      <c r="K4532" s="60" t="str">
        <f t="shared" si="390"/>
        <v/>
      </c>
      <c r="L4532" t="str">
        <f t="shared" si="391"/>
        <v/>
      </c>
    </row>
    <row r="4533" spans="1:12" x14ac:dyDescent="0.25">
      <c r="A4533" t="s">
        <v>3918</v>
      </c>
      <c r="G4533" t="str">
        <f t="shared" si="392"/>
        <v>08/14/19</v>
      </c>
      <c r="H4533" t="str">
        <f t="shared" si="387"/>
        <v>New York Mets</v>
      </c>
      <c r="I4533" s="60">
        <f t="shared" si="388"/>
        <v>4</v>
      </c>
      <c r="J4533" t="str">
        <f t="shared" si="389"/>
        <v>Atlanta Braves</v>
      </c>
      <c r="K4533" s="60">
        <f t="shared" si="390"/>
        <v>6</v>
      </c>
      <c r="L4533">
        <f t="shared" si="391"/>
        <v>-2</v>
      </c>
    </row>
    <row r="4534" spans="1:12" x14ac:dyDescent="0.25">
      <c r="G4534" t="str">
        <f t="shared" si="392"/>
        <v>08/14/19</v>
      </c>
      <c r="H4534" t="str">
        <f t="shared" si="387"/>
        <v/>
      </c>
      <c r="I4534" s="60" t="str">
        <f t="shared" si="388"/>
        <v/>
      </c>
      <c r="J4534" t="str">
        <f t="shared" si="389"/>
        <v/>
      </c>
      <c r="K4534" s="60" t="str">
        <f t="shared" si="390"/>
        <v/>
      </c>
      <c r="L4534" t="str">
        <f t="shared" si="391"/>
        <v/>
      </c>
    </row>
    <row r="4535" spans="1:12" x14ac:dyDescent="0.25">
      <c r="A4535" t="s">
        <v>3919</v>
      </c>
      <c r="G4535" t="str">
        <f t="shared" si="392"/>
        <v>08/14/19</v>
      </c>
      <c r="H4535" t="str">
        <f t="shared" si="387"/>
        <v>Houston Astros</v>
      </c>
      <c r="I4535" s="60">
        <f t="shared" si="388"/>
        <v>9</v>
      </c>
      <c r="J4535" t="str">
        <f t="shared" si="389"/>
        <v>Chicago White Sox</v>
      </c>
      <c r="K4535" s="60">
        <f t="shared" si="390"/>
        <v>13</v>
      </c>
      <c r="L4535">
        <f t="shared" si="391"/>
        <v>-4</v>
      </c>
    </row>
    <row r="4536" spans="1:12" x14ac:dyDescent="0.25">
      <c r="G4536" t="str">
        <f t="shared" si="392"/>
        <v>08/14/19</v>
      </c>
      <c r="H4536" t="str">
        <f t="shared" si="387"/>
        <v/>
      </c>
      <c r="I4536" s="60" t="str">
        <f t="shared" si="388"/>
        <v/>
      </c>
      <c r="J4536" t="str">
        <f t="shared" si="389"/>
        <v/>
      </c>
      <c r="K4536" s="60" t="str">
        <f t="shared" si="390"/>
        <v/>
      </c>
      <c r="L4536" t="str">
        <f t="shared" si="391"/>
        <v/>
      </c>
    </row>
    <row r="4537" spans="1:12" x14ac:dyDescent="0.25">
      <c r="A4537" t="s">
        <v>3920</v>
      </c>
      <c r="G4537" t="str">
        <f t="shared" si="392"/>
        <v>08/14/19</v>
      </c>
      <c r="H4537" t="str">
        <f t="shared" si="387"/>
        <v>Boston Red Sox</v>
      </c>
      <c r="I4537" s="60">
        <f t="shared" si="388"/>
        <v>5</v>
      </c>
      <c r="J4537" t="str">
        <f t="shared" si="389"/>
        <v>Cleveland Indians</v>
      </c>
      <c r="K4537" s="60">
        <f t="shared" si="390"/>
        <v>1</v>
      </c>
      <c r="L4537">
        <f t="shared" si="391"/>
        <v>4</v>
      </c>
    </row>
    <row r="4538" spans="1:12" x14ac:dyDescent="0.25">
      <c r="G4538" t="str">
        <f t="shared" si="392"/>
        <v>08/14/19</v>
      </c>
      <c r="H4538" t="str">
        <f t="shared" si="387"/>
        <v/>
      </c>
      <c r="I4538" s="60" t="str">
        <f t="shared" si="388"/>
        <v/>
      </c>
      <c r="J4538" t="str">
        <f t="shared" si="389"/>
        <v/>
      </c>
      <c r="K4538" s="60" t="str">
        <f t="shared" si="390"/>
        <v/>
      </c>
      <c r="L4538" t="str">
        <f t="shared" si="391"/>
        <v/>
      </c>
    </row>
    <row r="4539" spans="1:12" x14ac:dyDescent="0.25">
      <c r="A4539" t="s">
        <v>3921</v>
      </c>
      <c r="G4539" t="str">
        <f t="shared" si="392"/>
        <v>08/14/19</v>
      </c>
      <c r="H4539" t="str">
        <f t="shared" si="387"/>
        <v>Arizona D'Backs</v>
      </c>
      <c r="I4539" s="60">
        <f t="shared" si="388"/>
        <v>6</v>
      </c>
      <c r="J4539" t="str">
        <f t="shared" si="389"/>
        <v>Colorado Rockies</v>
      </c>
      <c r="K4539" s="60">
        <f t="shared" si="390"/>
        <v>7</v>
      </c>
      <c r="L4539">
        <f t="shared" si="391"/>
        <v>-1</v>
      </c>
    </row>
    <row r="4540" spans="1:12" x14ac:dyDescent="0.25">
      <c r="G4540" t="str">
        <f t="shared" si="392"/>
        <v>08/14/19</v>
      </c>
      <c r="H4540" t="str">
        <f t="shared" si="387"/>
        <v/>
      </c>
      <c r="I4540" s="60" t="str">
        <f t="shared" si="388"/>
        <v/>
      </c>
      <c r="J4540" t="str">
        <f t="shared" si="389"/>
        <v/>
      </c>
      <c r="K4540" s="60" t="str">
        <f t="shared" si="390"/>
        <v/>
      </c>
      <c r="L4540" t="str">
        <f t="shared" si="391"/>
        <v/>
      </c>
    </row>
    <row r="4541" spans="1:12" x14ac:dyDescent="0.25">
      <c r="A4541" t="s">
        <v>3922</v>
      </c>
      <c r="G4541" t="str">
        <f t="shared" si="392"/>
        <v>08/14/19</v>
      </c>
      <c r="H4541" t="str">
        <f t="shared" si="387"/>
        <v>Seattle Mariners</v>
      </c>
      <c r="I4541" s="60">
        <f t="shared" si="388"/>
        <v>2</v>
      </c>
      <c r="J4541" t="str">
        <f t="shared" si="389"/>
        <v>Detroit Tigers</v>
      </c>
      <c r="K4541" s="60">
        <f t="shared" si="390"/>
        <v>3</v>
      </c>
      <c r="L4541">
        <f t="shared" si="391"/>
        <v>-1</v>
      </c>
    </row>
    <row r="4542" spans="1:12" x14ac:dyDescent="0.25">
      <c r="G4542" t="str">
        <f t="shared" si="392"/>
        <v>08/14/19</v>
      </c>
      <c r="H4542" t="str">
        <f t="shared" si="387"/>
        <v/>
      </c>
      <c r="I4542" s="60" t="str">
        <f t="shared" si="388"/>
        <v/>
      </c>
      <c r="J4542" t="str">
        <f t="shared" si="389"/>
        <v/>
      </c>
      <c r="K4542" s="60" t="str">
        <f t="shared" si="390"/>
        <v/>
      </c>
      <c r="L4542" t="str">
        <f t="shared" si="391"/>
        <v/>
      </c>
    </row>
    <row r="4543" spans="1:12" x14ac:dyDescent="0.25">
      <c r="A4543" t="s">
        <v>3923</v>
      </c>
      <c r="G4543" t="str">
        <f t="shared" si="392"/>
        <v>08/14/19</v>
      </c>
      <c r="H4543" t="str">
        <f t="shared" si="387"/>
        <v>St. Louis Cardinals</v>
      </c>
      <c r="I4543" s="60">
        <f t="shared" si="388"/>
        <v>6</v>
      </c>
      <c r="J4543" t="str">
        <f t="shared" si="389"/>
        <v>Kansas City Royals</v>
      </c>
      <c r="K4543" s="60">
        <f t="shared" si="390"/>
        <v>0</v>
      </c>
      <c r="L4543">
        <f t="shared" si="391"/>
        <v>6</v>
      </c>
    </row>
    <row r="4544" spans="1:12" x14ac:dyDescent="0.25">
      <c r="G4544" t="str">
        <f t="shared" si="392"/>
        <v>08/14/19</v>
      </c>
      <c r="H4544" t="str">
        <f t="shared" si="387"/>
        <v/>
      </c>
      <c r="I4544" s="60" t="str">
        <f t="shared" si="388"/>
        <v/>
      </c>
      <c r="J4544" t="str">
        <f t="shared" si="389"/>
        <v/>
      </c>
      <c r="K4544" s="60" t="str">
        <f t="shared" si="390"/>
        <v/>
      </c>
      <c r="L4544" t="str">
        <f t="shared" si="391"/>
        <v/>
      </c>
    </row>
    <row r="4545" spans="1:12" x14ac:dyDescent="0.25">
      <c r="A4545" t="s">
        <v>3924</v>
      </c>
      <c r="G4545" t="str">
        <f t="shared" si="392"/>
        <v>08/14/19</v>
      </c>
      <c r="H4545" t="str">
        <f t="shared" si="387"/>
        <v>Los Angeles Dodgers</v>
      </c>
      <c r="I4545" s="60">
        <f t="shared" si="388"/>
        <v>9</v>
      </c>
      <c r="J4545" t="str">
        <f t="shared" si="389"/>
        <v>Miami Marlins</v>
      </c>
      <c r="K4545" s="60">
        <f t="shared" si="390"/>
        <v>1</v>
      </c>
      <c r="L4545">
        <f t="shared" si="391"/>
        <v>8</v>
      </c>
    </row>
    <row r="4546" spans="1:12" x14ac:dyDescent="0.25">
      <c r="G4546" t="str">
        <f t="shared" si="392"/>
        <v>08/14/19</v>
      </c>
      <c r="H4546" t="str">
        <f t="shared" si="387"/>
        <v/>
      </c>
      <c r="I4546" s="60" t="str">
        <f t="shared" si="388"/>
        <v/>
      </c>
      <c r="J4546" t="str">
        <f t="shared" si="389"/>
        <v/>
      </c>
      <c r="K4546" s="60" t="str">
        <f t="shared" si="390"/>
        <v/>
      </c>
      <c r="L4546" t="str">
        <f t="shared" si="391"/>
        <v/>
      </c>
    </row>
    <row r="4547" spans="1:12" x14ac:dyDescent="0.25">
      <c r="A4547" t="s">
        <v>3925</v>
      </c>
      <c r="G4547" t="str">
        <f t="shared" si="392"/>
        <v>08/14/19</v>
      </c>
      <c r="H4547" t="str">
        <f t="shared" si="387"/>
        <v>Minnesota Twins</v>
      </c>
      <c r="I4547" s="60">
        <f t="shared" si="388"/>
        <v>5</v>
      </c>
      <c r="J4547" t="str">
        <f t="shared" si="389"/>
        <v>Milwaukee Brewers</v>
      </c>
      <c r="K4547" s="60">
        <f t="shared" si="390"/>
        <v>6</v>
      </c>
      <c r="L4547">
        <f t="shared" si="391"/>
        <v>-1</v>
      </c>
    </row>
    <row r="4548" spans="1:12" x14ac:dyDescent="0.25">
      <c r="G4548" t="str">
        <f t="shared" si="392"/>
        <v>08/14/19</v>
      </c>
      <c r="H4548" t="str">
        <f t="shared" si="387"/>
        <v/>
      </c>
      <c r="I4548" s="60" t="str">
        <f t="shared" si="388"/>
        <v/>
      </c>
      <c r="J4548" t="str">
        <f t="shared" si="389"/>
        <v/>
      </c>
      <c r="K4548" s="60" t="str">
        <f t="shared" si="390"/>
        <v/>
      </c>
      <c r="L4548" t="str">
        <f t="shared" si="391"/>
        <v/>
      </c>
    </row>
    <row r="4549" spans="1:12" x14ac:dyDescent="0.25">
      <c r="A4549" t="s">
        <v>3926</v>
      </c>
      <c r="G4549" t="str">
        <f t="shared" si="392"/>
        <v>08/14/19</v>
      </c>
      <c r="H4549" t="str">
        <f t="shared" si="387"/>
        <v>Baltimore Orioles</v>
      </c>
      <c r="I4549" s="60">
        <f t="shared" si="388"/>
        <v>5</v>
      </c>
      <c r="J4549" t="str">
        <f t="shared" si="389"/>
        <v>New York Yankees</v>
      </c>
      <c r="K4549" s="60">
        <f t="shared" si="390"/>
        <v>6</v>
      </c>
      <c r="L4549">
        <f t="shared" si="391"/>
        <v>-1</v>
      </c>
    </row>
    <row r="4550" spans="1:12" x14ac:dyDescent="0.25">
      <c r="G4550" t="str">
        <f t="shared" si="392"/>
        <v>08/14/19</v>
      </c>
      <c r="H4550" t="str">
        <f t="shared" si="387"/>
        <v/>
      </c>
      <c r="I4550" s="60" t="str">
        <f t="shared" si="388"/>
        <v/>
      </c>
      <c r="J4550" t="str">
        <f t="shared" si="389"/>
        <v/>
      </c>
      <c r="K4550" s="60" t="str">
        <f t="shared" si="390"/>
        <v/>
      </c>
      <c r="L4550" t="str">
        <f t="shared" si="391"/>
        <v/>
      </c>
    </row>
    <row r="4551" spans="1:12" x14ac:dyDescent="0.25">
      <c r="A4551" t="s">
        <v>3927</v>
      </c>
      <c r="G4551" t="str">
        <f t="shared" si="392"/>
        <v>08/14/19</v>
      </c>
      <c r="H4551" t="str">
        <f t="shared" si="387"/>
        <v>Chicago Cubs</v>
      </c>
      <c r="I4551" s="60">
        <f t="shared" si="388"/>
        <v>1</v>
      </c>
      <c r="J4551" t="str">
        <f t="shared" si="389"/>
        <v>Philadelphia Phillies</v>
      </c>
      <c r="K4551" s="60">
        <f t="shared" si="390"/>
        <v>11</v>
      </c>
      <c r="L4551">
        <f t="shared" si="391"/>
        <v>-10</v>
      </c>
    </row>
    <row r="4552" spans="1:12" x14ac:dyDescent="0.25">
      <c r="G4552" t="str">
        <f t="shared" si="392"/>
        <v>08/14/19</v>
      </c>
      <c r="H4552" t="str">
        <f t="shared" si="387"/>
        <v/>
      </c>
      <c r="I4552" s="60" t="str">
        <f t="shared" si="388"/>
        <v/>
      </c>
      <c r="J4552" t="str">
        <f t="shared" si="389"/>
        <v/>
      </c>
      <c r="K4552" s="60" t="str">
        <f t="shared" si="390"/>
        <v/>
      </c>
      <c r="L4552" t="str">
        <f t="shared" si="391"/>
        <v/>
      </c>
    </row>
    <row r="4553" spans="1:12" x14ac:dyDescent="0.25">
      <c r="A4553" t="s">
        <v>3928</v>
      </c>
      <c r="G4553" t="str">
        <f t="shared" si="392"/>
        <v>08/14/19</v>
      </c>
      <c r="H4553" t="str">
        <f t="shared" si="387"/>
        <v>Tampa Bay Rays</v>
      </c>
      <c r="I4553" s="60">
        <f t="shared" si="388"/>
        <v>2</v>
      </c>
      <c r="J4553" t="str">
        <f t="shared" si="389"/>
        <v>San Diego Padres</v>
      </c>
      <c r="K4553" s="60">
        <f t="shared" si="390"/>
        <v>7</v>
      </c>
      <c r="L4553">
        <f t="shared" si="391"/>
        <v>-5</v>
      </c>
    </row>
    <row r="4554" spans="1:12" x14ac:dyDescent="0.25">
      <c r="G4554" t="str">
        <f t="shared" si="392"/>
        <v>08/14/19</v>
      </c>
      <c r="H4554" t="str">
        <f t="shared" si="387"/>
        <v/>
      </c>
      <c r="I4554" s="60" t="str">
        <f t="shared" si="388"/>
        <v/>
      </c>
      <c r="J4554" t="str">
        <f t="shared" si="389"/>
        <v/>
      </c>
      <c r="K4554" s="60" t="str">
        <f t="shared" si="390"/>
        <v/>
      </c>
      <c r="L4554" t="str">
        <f t="shared" si="391"/>
        <v/>
      </c>
    </row>
    <row r="4555" spans="1:12" x14ac:dyDescent="0.25">
      <c r="A4555" t="s">
        <v>3929</v>
      </c>
      <c r="G4555" t="str">
        <f t="shared" si="392"/>
        <v>08/14/19</v>
      </c>
      <c r="H4555" t="str">
        <f t="shared" si="387"/>
        <v>Oakland Athletics</v>
      </c>
      <c r="I4555" s="60">
        <f t="shared" si="388"/>
        <v>9</v>
      </c>
      <c r="J4555" t="str">
        <f t="shared" si="389"/>
        <v>San Francisco Giants</v>
      </c>
      <c r="K4555" s="60">
        <f t="shared" si="390"/>
        <v>5</v>
      </c>
      <c r="L4555">
        <f t="shared" si="391"/>
        <v>4</v>
      </c>
    </row>
    <row r="4556" spans="1:12" x14ac:dyDescent="0.25">
      <c r="G4556" t="str">
        <f t="shared" si="392"/>
        <v>08/14/19</v>
      </c>
      <c r="H4556" t="str">
        <f t="shared" si="387"/>
        <v/>
      </c>
      <c r="I4556" s="60" t="str">
        <f t="shared" si="388"/>
        <v/>
      </c>
      <c r="J4556" t="str">
        <f t="shared" si="389"/>
        <v/>
      </c>
      <c r="K4556" s="60" t="str">
        <f t="shared" si="390"/>
        <v/>
      </c>
      <c r="L4556" t="str">
        <f t="shared" si="391"/>
        <v/>
      </c>
    </row>
    <row r="4557" spans="1:12" x14ac:dyDescent="0.25">
      <c r="A4557" t="s">
        <v>3930</v>
      </c>
      <c r="G4557" t="str">
        <f t="shared" si="392"/>
        <v>08/14/19</v>
      </c>
      <c r="H4557" t="str">
        <f t="shared" si="387"/>
        <v>Texas Rangers</v>
      </c>
      <c r="I4557" s="60">
        <f t="shared" si="388"/>
        <v>7</v>
      </c>
      <c r="J4557" t="str">
        <f t="shared" si="389"/>
        <v>Toronto Blue Jays</v>
      </c>
      <c r="K4557" s="60">
        <f t="shared" si="390"/>
        <v>3</v>
      </c>
      <c r="L4557">
        <f t="shared" si="391"/>
        <v>4</v>
      </c>
    </row>
    <row r="4558" spans="1:12" x14ac:dyDescent="0.25">
      <c r="G4558" t="str">
        <f t="shared" si="392"/>
        <v>08/14/19</v>
      </c>
      <c r="H4558" t="str">
        <f t="shared" si="387"/>
        <v/>
      </c>
      <c r="I4558" s="60" t="str">
        <f t="shared" si="388"/>
        <v/>
      </c>
      <c r="J4558" t="str">
        <f t="shared" si="389"/>
        <v/>
      </c>
      <c r="K4558" s="60" t="str">
        <f t="shared" si="390"/>
        <v/>
      </c>
      <c r="L4558" t="str">
        <f t="shared" si="391"/>
        <v/>
      </c>
    </row>
    <row r="4559" spans="1:12" x14ac:dyDescent="0.25">
      <c r="A4559" t="s">
        <v>3931</v>
      </c>
      <c r="G4559" t="str">
        <f t="shared" si="392"/>
        <v>08/14/19</v>
      </c>
      <c r="H4559" t="str">
        <f t="shared" si="387"/>
        <v>Cincinnati Reds</v>
      </c>
      <c r="I4559" s="60">
        <f t="shared" si="388"/>
        <v>7</v>
      </c>
      <c r="J4559" t="str">
        <f t="shared" si="389"/>
        <v>Washington Nationals</v>
      </c>
      <c r="K4559" s="60">
        <f t="shared" si="390"/>
        <v>17</v>
      </c>
      <c r="L4559">
        <f t="shared" si="391"/>
        <v>-10</v>
      </c>
    </row>
    <row r="4560" spans="1:12" x14ac:dyDescent="0.25">
      <c r="G4560" t="str">
        <f t="shared" si="392"/>
        <v>08/14/19</v>
      </c>
      <c r="H4560" t="str">
        <f t="shared" ref="H4560:H4623" si="393">IFERROR(LEFT(MID(A4560,1,SEARCH("@",A4560)-2),SEARCH("(",A4560)-2),"")</f>
        <v/>
      </c>
      <c r="I4560" s="60" t="str">
        <f t="shared" ref="I4560:I4623" si="394">IFERROR(VALUE(MID(A4560,SEARCH("(",A4560)+1,SEARCH(")",A4560)-SEARCH("(",A4560)-1)),"")</f>
        <v/>
      </c>
      <c r="J4560" t="str">
        <f t="shared" ref="J4560:J4623" si="395">IFERROR(MID(A4560,SEARCH("@",A4560)+2,SEARCH("(",A4560,SEARCH("@",A4560))-SEARCH("@",A4560)-3),"")</f>
        <v/>
      </c>
      <c r="K4560" s="60" t="str">
        <f t="shared" ref="K4560:K4623" si="396">IFERROR(VALUE(MID(A4560,SEARCH(J4560,A4560)+LEN(J4560)+2,(SEARCH(")",A4560,SEARCH("@",A4560))-SEARCH("(",A4560,SEARCH("@",A4560))-1))),"")</f>
        <v/>
      </c>
      <c r="L4560" t="str">
        <f t="shared" ref="L4560:L4623" si="397">IFERROR(I4560-K4560,"")</f>
        <v/>
      </c>
    </row>
    <row r="4561" spans="1:12" x14ac:dyDescent="0.25">
      <c r="A4561" t="s">
        <v>3932</v>
      </c>
      <c r="G4561" t="str">
        <f t="shared" si="392"/>
        <v>08/14/19</v>
      </c>
      <c r="H4561" t="str">
        <f t="shared" si="393"/>
        <v/>
      </c>
      <c r="I4561" s="60" t="str">
        <f t="shared" si="394"/>
        <v/>
      </c>
      <c r="J4561" t="str">
        <f t="shared" si="395"/>
        <v/>
      </c>
      <c r="K4561" s="60" t="str">
        <f t="shared" si="396"/>
        <v/>
      </c>
      <c r="L4561" t="str">
        <f t="shared" si="397"/>
        <v/>
      </c>
    </row>
    <row r="4562" spans="1:12" x14ac:dyDescent="0.25">
      <c r="G4562" t="str">
        <f t="shared" si="392"/>
        <v>08/14/19</v>
      </c>
      <c r="H4562" t="str">
        <f t="shared" si="393"/>
        <v/>
      </c>
      <c r="I4562" s="60" t="str">
        <f t="shared" si="394"/>
        <v/>
      </c>
      <c r="J4562" t="str">
        <f t="shared" si="395"/>
        <v/>
      </c>
      <c r="K4562" s="60" t="str">
        <f t="shared" si="396"/>
        <v/>
      </c>
      <c r="L4562" t="str">
        <f t="shared" si="397"/>
        <v/>
      </c>
    </row>
    <row r="4563" spans="1:12" x14ac:dyDescent="0.25">
      <c r="A4563" t="s">
        <v>3286</v>
      </c>
      <c r="G4563" t="str">
        <f t="shared" si="392"/>
        <v>08/15/19</v>
      </c>
      <c r="H4563" t="str">
        <f t="shared" si="393"/>
        <v/>
      </c>
      <c r="I4563" s="60" t="str">
        <f t="shared" si="394"/>
        <v/>
      </c>
      <c r="J4563" t="str">
        <f t="shared" si="395"/>
        <v/>
      </c>
      <c r="K4563" s="60" t="str">
        <f t="shared" si="396"/>
        <v/>
      </c>
      <c r="L4563" t="str">
        <f t="shared" si="397"/>
        <v/>
      </c>
    </row>
    <row r="4564" spans="1:12" x14ac:dyDescent="0.25">
      <c r="G4564" t="str">
        <f t="shared" si="392"/>
        <v>08/15/19</v>
      </c>
      <c r="H4564" t="str">
        <f t="shared" si="393"/>
        <v/>
      </c>
      <c r="I4564" s="60" t="str">
        <f t="shared" si="394"/>
        <v/>
      </c>
      <c r="J4564" t="str">
        <f t="shared" si="395"/>
        <v/>
      </c>
      <c r="K4564" s="60" t="str">
        <f t="shared" si="396"/>
        <v/>
      </c>
      <c r="L4564" t="str">
        <f t="shared" si="397"/>
        <v/>
      </c>
    </row>
    <row r="4565" spans="1:12" x14ac:dyDescent="0.25">
      <c r="A4565" t="s">
        <v>3933</v>
      </c>
      <c r="G4565" t="str">
        <f t="shared" si="392"/>
        <v>08/15/19</v>
      </c>
      <c r="H4565" t="str">
        <f t="shared" si="393"/>
        <v>Chicago White Sox</v>
      </c>
      <c r="I4565" s="60">
        <f t="shared" si="394"/>
        <v>7</v>
      </c>
      <c r="J4565" t="str">
        <f t="shared" si="395"/>
        <v>Los Angeles Angels</v>
      </c>
      <c r="K4565" s="60">
        <f t="shared" si="396"/>
        <v>8</v>
      </c>
      <c r="L4565">
        <f t="shared" si="397"/>
        <v>-1</v>
      </c>
    </row>
    <row r="4566" spans="1:12" x14ac:dyDescent="0.25">
      <c r="G4566" t="str">
        <f t="shared" si="392"/>
        <v>08/15/19</v>
      </c>
      <c r="H4566" t="str">
        <f t="shared" si="393"/>
        <v/>
      </c>
      <c r="I4566" s="60" t="str">
        <f t="shared" si="394"/>
        <v/>
      </c>
      <c r="J4566" t="str">
        <f t="shared" si="395"/>
        <v/>
      </c>
      <c r="K4566" s="60" t="str">
        <f t="shared" si="396"/>
        <v/>
      </c>
      <c r="L4566" t="str">
        <f t="shared" si="397"/>
        <v/>
      </c>
    </row>
    <row r="4567" spans="1:12" x14ac:dyDescent="0.25">
      <c r="A4567" t="s">
        <v>3934</v>
      </c>
      <c r="G4567" t="str">
        <f t="shared" si="392"/>
        <v>08/15/19</v>
      </c>
      <c r="H4567" t="str">
        <f t="shared" si="393"/>
        <v>San Francisco Giants</v>
      </c>
      <c r="I4567" s="60">
        <f t="shared" si="394"/>
        <v>7</v>
      </c>
      <c r="J4567" t="str">
        <f t="shared" si="395"/>
        <v>Arizona D'Backs</v>
      </c>
      <c r="K4567" s="60">
        <f t="shared" si="396"/>
        <v>0</v>
      </c>
      <c r="L4567">
        <f t="shared" si="397"/>
        <v>7</v>
      </c>
    </row>
    <row r="4568" spans="1:12" x14ac:dyDescent="0.25">
      <c r="G4568" t="str">
        <f t="shared" si="392"/>
        <v>08/15/19</v>
      </c>
      <c r="H4568" t="str">
        <f t="shared" si="393"/>
        <v/>
      </c>
      <c r="I4568" s="60" t="str">
        <f t="shared" si="394"/>
        <v/>
      </c>
      <c r="J4568" t="str">
        <f t="shared" si="395"/>
        <v/>
      </c>
      <c r="K4568" s="60" t="str">
        <f t="shared" si="396"/>
        <v/>
      </c>
      <c r="L4568" t="str">
        <f t="shared" si="397"/>
        <v/>
      </c>
    </row>
    <row r="4569" spans="1:12" x14ac:dyDescent="0.25">
      <c r="A4569" t="s">
        <v>3935</v>
      </c>
      <c r="G4569" t="str">
        <f t="shared" si="392"/>
        <v>08/15/19</v>
      </c>
      <c r="H4569" t="str">
        <f t="shared" si="393"/>
        <v>New York Mets</v>
      </c>
      <c r="I4569" s="60">
        <f t="shared" si="394"/>
        <v>10</v>
      </c>
      <c r="J4569" t="str">
        <f t="shared" si="395"/>
        <v>Atlanta Braves</v>
      </c>
      <c r="K4569" s="60">
        <f t="shared" si="396"/>
        <v>8</v>
      </c>
      <c r="L4569">
        <f t="shared" si="397"/>
        <v>2</v>
      </c>
    </row>
    <row r="4570" spans="1:12" x14ac:dyDescent="0.25">
      <c r="G4570" t="str">
        <f t="shared" si="392"/>
        <v>08/15/19</v>
      </c>
      <c r="H4570" t="str">
        <f t="shared" si="393"/>
        <v/>
      </c>
      <c r="I4570" s="60" t="str">
        <f t="shared" si="394"/>
        <v/>
      </c>
      <c r="J4570" t="str">
        <f t="shared" si="395"/>
        <v/>
      </c>
      <c r="K4570" s="60" t="str">
        <f t="shared" si="396"/>
        <v/>
      </c>
      <c r="L4570" t="str">
        <f t="shared" si="397"/>
        <v/>
      </c>
    </row>
    <row r="4571" spans="1:12" x14ac:dyDescent="0.25">
      <c r="A4571" t="s">
        <v>3936</v>
      </c>
      <c r="G4571" t="str">
        <f t="shared" si="392"/>
        <v>08/15/19</v>
      </c>
      <c r="H4571" t="str">
        <f t="shared" si="393"/>
        <v>St. Louis Cardinals</v>
      </c>
      <c r="I4571" s="60">
        <f t="shared" si="394"/>
        <v>1</v>
      </c>
      <c r="J4571" t="str">
        <f t="shared" si="395"/>
        <v>Cincinnati Reds</v>
      </c>
      <c r="K4571" s="60">
        <f t="shared" si="396"/>
        <v>2</v>
      </c>
      <c r="L4571">
        <f t="shared" si="397"/>
        <v>-1</v>
      </c>
    </row>
    <row r="4572" spans="1:12" x14ac:dyDescent="0.25">
      <c r="G4572" t="str">
        <f t="shared" si="392"/>
        <v>08/15/19</v>
      </c>
      <c r="H4572" t="str">
        <f t="shared" si="393"/>
        <v/>
      </c>
      <c r="I4572" s="60" t="str">
        <f t="shared" si="394"/>
        <v/>
      </c>
      <c r="J4572" t="str">
        <f t="shared" si="395"/>
        <v/>
      </c>
      <c r="K4572" s="60" t="str">
        <f t="shared" si="396"/>
        <v/>
      </c>
      <c r="L4572" t="str">
        <f t="shared" si="397"/>
        <v/>
      </c>
    </row>
    <row r="4573" spans="1:12" x14ac:dyDescent="0.25">
      <c r="A4573" t="s">
        <v>3937</v>
      </c>
      <c r="G4573" t="str">
        <f t="shared" si="392"/>
        <v>08/15/19</v>
      </c>
      <c r="H4573" t="str">
        <f t="shared" si="393"/>
        <v>Seattle Mariners</v>
      </c>
      <c r="I4573" s="60">
        <f t="shared" si="394"/>
        <v>7</v>
      </c>
      <c r="J4573" t="str">
        <f t="shared" si="395"/>
        <v>Detroit Tigers</v>
      </c>
      <c r="K4573" s="60">
        <f t="shared" si="396"/>
        <v>2</v>
      </c>
      <c r="L4573">
        <f t="shared" si="397"/>
        <v>5</v>
      </c>
    </row>
    <row r="4574" spans="1:12" x14ac:dyDescent="0.25">
      <c r="G4574" t="str">
        <f t="shared" si="392"/>
        <v>08/15/19</v>
      </c>
      <c r="H4574" t="str">
        <f t="shared" si="393"/>
        <v/>
      </c>
      <c r="I4574" s="60" t="str">
        <f t="shared" si="394"/>
        <v/>
      </c>
      <c r="J4574" t="str">
        <f t="shared" si="395"/>
        <v/>
      </c>
      <c r="K4574" s="60" t="str">
        <f t="shared" si="396"/>
        <v/>
      </c>
      <c r="L4574" t="str">
        <f t="shared" si="397"/>
        <v/>
      </c>
    </row>
    <row r="4575" spans="1:12" x14ac:dyDescent="0.25">
      <c r="A4575" t="s">
        <v>3938</v>
      </c>
      <c r="G4575" t="str">
        <f t="shared" si="392"/>
        <v>08/15/19</v>
      </c>
      <c r="H4575" t="str">
        <f t="shared" si="393"/>
        <v>Los Angeles Dodgers</v>
      </c>
      <c r="I4575" s="60">
        <f t="shared" si="394"/>
        <v>7</v>
      </c>
      <c r="J4575" t="str">
        <f t="shared" si="395"/>
        <v>Miami Marlins</v>
      </c>
      <c r="K4575" s="60">
        <f t="shared" si="396"/>
        <v>13</v>
      </c>
      <c r="L4575">
        <f t="shared" si="397"/>
        <v>-6</v>
      </c>
    </row>
    <row r="4576" spans="1:12" x14ac:dyDescent="0.25">
      <c r="G4576" t="str">
        <f t="shared" si="392"/>
        <v>08/15/19</v>
      </c>
      <c r="H4576" t="str">
        <f t="shared" si="393"/>
        <v/>
      </c>
      <c r="I4576" s="60" t="str">
        <f t="shared" si="394"/>
        <v/>
      </c>
      <c r="J4576" t="str">
        <f t="shared" si="395"/>
        <v/>
      </c>
      <c r="K4576" s="60" t="str">
        <f t="shared" si="396"/>
        <v/>
      </c>
      <c r="L4576" t="str">
        <f t="shared" si="397"/>
        <v/>
      </c>
    </row>
    <row r="4577" spans="1:12" x14ac:dyDescent="0.25">
      <c r="A4577" t="s">
        <v>3939</v>
      </c>
      <c r="G4577" t="str">
        <f t="shared" si="392"/>
        <v>08/15/19</v>
      </c>
      <c r="H4577" t="str">
        <f t="shared" si="393"/>
        <v>Cleveland Indians</v>
      </c>
      <c r="I4577" s="60">
        <f t="shared" si="394"/>
        <v>19</v>
      </c>
      <c r="J4577" t="str">
        <f t="shared" si="395"/>
        <v>New York Yankees</v>
      </c>
      <c r="K4577" s="60">
        <f t="shared" si="396"/>
        <v>5</v>
      </c>
      <c r="L4577">
        <f t="shared" si="397"/>
        <v>14</v>
      </c>
    </row>
    <row r="4578" spans="1:12" x14ac:dyDescent="0.25">
      <c r="G4578" t="str">
        <f t="shared" ref="G4578:G4641" si="398">IF(ISNUMBER(MATCH(IFERROR(LEFT(A4578,SEARCH(",",A4578)-1),""),$G$220:$M$220,0)),TEXT(MID(A4578,SEARCH(",",A4578)+2,LEN(A4578)),"mm/dd/yy"),G4577)</f>
        <v>08/15/19</v>
      </c>
      <c r="H4578" t="str">
        <f t="shared" si="393"/>
        <v/>
      </c>
      <c r="I4578" s="60" t="str">
        <f t="shared" si="394"/>
        <v/>
      </c>
      <c r="J4578" t="str">
        <f t="shared" si="395"/>
        <v/>
      </c>
      <c r="K4578" s="60" t="str">
        <f t="shared" si="396"/>
        <v/>
      </c>
      <c r="L4578" t="str">
        <f t="shared" si="397"/>
        <v/>
      </c>
    </row>
    <row r="4579" spans="1:12" x14ac:dyDescent="0.25">
      <c r="A4579" t="s">
        <v>3940</v>
      </c>
      <c r="G4579" t="str">
        <f t="shared" si="398"/>
        <v>08/15/19</v>
      </c>
      <c r="H4579" t="str">
        <f t="shared" si="393"/>
        <v>Houston Astros</v>
      </c>
      <c r="I4579" s="60">
        <f t="shared" si="394"/>
        <v>6</v>
      </c>
      <c r="J4579" t="str">
        <f t="shared" si="395"/>
        <v>Oakland Athletics</v>
      </c>
      <c r="K4579" s="60">
        <f t="shared" si="396"/>
        <v>7</v>
      </c>
      <c r="L4579">
        <f t="shared" si="397"/>
        <v>-1</v>
      </c>
    </row>
    <row r="4580" spans="1:12" x14ac:dyDescent="0.25">
      <c r="G4580" t="str">
        <f t="shared" si="398"/>
        <v>08/15/19</v>
      </c>
      <c r="H4580" t="str">
        <f t="shared" si="393"/>
        <v/>
      </c>
      <c r="I4580" s="60" t="str">
        <f t="shared" si="394"/>
        <v/>
      </c>
      <c r="J4580" t="str">
        <f t="shared" si="395"/>
        <v/>
      </c>
      <c r="K4580" s="60" t="str">
        <f t="shared" si="396"/>
        <v/>
      </c>
      <c r="L4580" t="str">
        <f t="shared" si="397"/>
        <v/>
      </c>
    </row>
    <row r="4581" spans="1:12" x14ac:dyDescent="0.25">
      <c r="A4581" t="s">
        <v>3941</v>
      </c>
      <c r="G4581" t="str">
        <f t="shared" si="398"/>
        <v>08/15/19</v>
      </c>
      <c r="H4581" t="str">
        <f t="shared" si="393"/>
        <v>Chicago Cubs</v>
      </c>
      <c r="I4581" s="60">
        <f t="shared" si="394"/>
        <v>5</v>
      </c>
      <c r="J4581" t="str">
        <f t="shared" si="395"/>
        <v>Philadelphia Phillies</v>
      </c>
      <c r="K4581" s="60">
        <f t="shared" si="396"/>
        <v>7</v>
      </c>
      <c r="L4581">
        <f t="shared" si="397"/>
        <v>-2</v>
      </c>
    </row>
    <row r="4582" spans="1:12" x14ac:dyDescent="0.25">
      <c r="G4582" t="str">
        <f t="shared" si="398"/>
        <v>08/15/19</v>
      </c>
      <c r="H4582" t="str">
        <f t="shared" si="393"/>
        <v/>
      </c>
      <c r="I4582" s="60" t="str">
        <f t="shared" si="394"/>
        <v/>
      </c>
      <c r="J4582" t="str">
        <f t="shared" si="395"/>
        <v/>
      </c>
      <c r="K4582" s="60" t="str">
        <f t="shared" si="396"/>
        <v/>
      </c>
      <c r="L4582" t="str">
        <f t="shared" si="397"/>
        <v/>
      </c>
    </row>
    <row r="4583" spans="1:12" x14ac:dyDescent="0.25">
      <c r="A4583" t="s">
        <v>3942</v>
      </c>
      <c r="G4583" t="str">
        <f t="shared" si="398"/>
        <v>08/15/19</v>
      </c>
      <c r="H4583" t="str">
        <f t="shared" si="393"/>
        <v>Minnesota Twins</v>
      </c>
      <c r="I4583" s="60">
        <f t="shared" si="394"/>
        <v>13</v>
      </c>
      <c r="J4583" t="str">
        <f t="shared" si="395"/>
        <v>Texas Rangers</v>
      </c>
      <c r="K4583" s="60">
        <f t="shared" si="396"/>
        <v>6</v>
      </c>
      <c r="L4583">
        <f t="shared" si="397"/>
        <v>7</v>
      </c>
    </row>
    <row r="4584" spans="1:12" x14ac:dyDescent="0.25">
      <c r="G4584" t="str">
        <f t="shared" si="398"/>
        <v>08/15/19</v>
      </c>
      <c r="H4584" t="str">
        <f t="shared" si="393"/>
        <v/>
      </c>
      <c r="I4584" s="60" t="str">
        <f t="shared" si="394"/>
        <v/>
      </c>
      <c r="J4584" t="str">
        <f t="shared" si="395"/>
        <v/>
      </c>
      <c r="K4584" s="60" t="str">
        <f t="shared" si="396"/>
        <v/>
      </c>
      <c r="L4584" t="str">
        <f t="shared" si="397"/>
        <v/>
      </c>
    </row>
    <row r="4585" spans="1:12" x14ac:dyDescent="0.25">
      <c r="A4585" t="s">
        <v>3943</v>
      </c>
      <c r="G4585" t="str">
        <f t="shared" si="398"/>
        <v>08/15/19</v>
      </c>
      <c r="H4585" t="str">
        <f t="shared" si="393"/>
        <v/>
      </c>
      <c r="I4585" s="60" t="str">
        <f t="shared" si="394"/>
        <v/>
      </c>
      <c r="J4585" t="str">
        <f t="shared" si="395"/>
        <v/>
      </c>
      <c r="K4585" s="60" t="str">
        <f t="shared" si="396"/>
        <v/>
      </c>
      <c r="L4585" t="str">
        <f t="shared" si="397"/>
        <v/>
      </c>
    </row>
    <row r="4586" spans="1:12" x14ac:dyDescent="0.25">
      <c r="G4586" t="str">
        <f t="shared" si="398"/>
        <v>08/15/19</v>
      </c>
      <c r="H4586" t="str">
        <f t="shared" si="393"/>
        <v/>
      </c>
      <c r="I4586" s="60" t="str">
        <f t="shared" si="394"/>
        <v/>
      </c>
      <c r="J4586" t="str">
        <f t="shared" si="395"/>
        <v/>
      </c>
      <c r="K4586" s="60" t="str">
        <f t="shared" si="396"/>
        <v/>
      </c>
      <c r="L4586" t="str">
        <f t="shared" si="397"/>
        <v/>
      </c>
    </row>
    <row r="4587" spans="1:12" x14ac:dyDescent="0.25">
      <c r="A4587" t="s">
        <v>3287</v>
      </c>
      <c r="G4587" t="str">
        <f t="shared" si="398"/>
        <v>08/16/19</v>
      </c>
      <c r="H4587" t="str">
        <f t="shared" si="393"/>
        <v/>
      </c>
      <c r="I4587" s="60" t="str">
        <f t="shared" si="394"/>
        <v/>
      </c>
      <c r="J4587" t="str">
        <f t="shared" si="395"/>
        <v/>
      </c>
      <c r="K4587" s="60" t="str">
        <f t="shared" si="396"/>
        <v/>
      </c>
      <c r="L4587" t="str">
        <f t="shared" si="397"/>
        <v/>
      </c>
    </row>
    <row r="4588" spans="1:12" x14ac:dyDescent="0.25">
      <c r="G4588" t="str">
        <f t="shared" si="398"/>
        <v>08/16/19</v>
      </c>
      <c r="H4588" t="str">
        <f t="shared" si="393"/>
        <v/>
      </c>
      <c r="I4588" s="60" t="str">
        <f t="shared" si="394"/>
        <v/>
      </c>
      <c r="J4588" t="str">
        <f t="shared" si="395"/>
        <v/>
      </c>
      <c r="K4588" s="60" t="str">
        <f t="shared" si="396"/>
        <v/>
      </c>
      <c r="L4588" t="str">
        <f t="shared" si="397"/>
        <v/>
      </c>
    </row>
    <row r="4589" spans="1:12" x14ac:dyDescent="0.25">
      <c r="A4589" t="s">
        <v>3944</v>
      </c>
      <c r="G4589" t="str">
        <f t="shared" si="398"/>
        <v>08/16/19</v>
      </c>
      <c r="H4589" t="str">
        <f t="shared" si="393"/>
        <v>Chicago White Sox</v>
      </c>
      <c r="I4589" s="60">
        <f t="shared" si="394"/>
        <v>7</v>
      </c>
      <c r="J4589" t="str">
        <f t="shared" si="395"/>
        <v>Los Angeles Angels</v>
      </c>
      <c r="K4589" s="60">
        <f t="shared" si="396"/>
        <v>2</v>
      </c>
      <c r="L4589">
        <f t="shared" si="397"/>
        <v>5</v>
      </c>
    </row>
    <row r="4590" spans="1:12" x14ac:dyDescent="0.25">
      <c r="G4590" t="str">
        <f t="shared" si="398"/>
        <v>08/16/19</v>
      </c>
      <c r="H4590" t="str">
        <f t="shared" si="393"/>
        <v/>
      </c>
      <c r="I4590" s="60" t="str">
        <f t="shared" si="394"/>
        <v/>
      </c>
      <c r="J4590" t="str">
        <f t="shared" si="395"/>
        <v/>
      </c>
      <c r="K4590" s="60" t="str">
        <f t="shared" si="396"/>
        <v/>
      </c>
      <c r="L4590" t="str">
        <f t="shared" si="397"/>
        <v/>
      </c>
    </row>
    <row r="4591" spans="1:12" x14ac:dyDescent="0.25">
      <c r="A4591" t="s">
        <v>3945</v>
      </c>
      <c r="G4591" t="str">
        <f t="shared" si="398"/>
        <v>08/16/19</v>
      </c>
      <c r="H4591" t="str">
        <f t="shared" si="393"/>
        <v>San Francisco Giants</v>
      </c>
      <c r="I4591" s="60">
        <f t="shared" si="394"/>
        <v>10</v>
      </c>
      <c r="J4591" t="str">
        <f t="shared" si="395"/>
        <v>Arizona D'Backs</v>
      </c>
      <c r="K4591" s="60">
        <f t="shared" si="396"/>
        <v>9</v>
      </c>
      <c r="L4591">
        <f t="shared" si="397"/>
        <v>1</v>
      </c>
    </row>
    <row r="4592" spans="1:12" x14ac:dyDescent="0.25">
      <c r="G4592" t="str">
        <f t="shared" si="398"/>
        <v>08/16/19</v>
      </c>
      <c r="H4592" t="str">
        <f t="shared" si="393"/>
        <v/>
      </c>
      <c r="I4592" s="60" t="str">
        <f t="shared" si="394"/>
        <v/>
      </c>
      <c r="J4592" t="str">
        <f t="shared" si="395"/>
        <v/>
      </c>
      <c r="K4592" s="60" t="str">
        <f t="shared" si="396"/>
        <v/>
      </c>
      <c r="L4592" t="str">
        <f t="shared" si="397"/>
        <v/>
      </c>
    </row>
    <row r="4593" spans="1:12" x14ac:dyDescent="0.25">
      <c r="A4593" t="s">
        <v>3946</v>
      </c>
      <c r="G4593" t="str">
        <f t="shared" si="398"/>
        <v>08/16/19</v>
      </c>
      <c r="H4593" t="str">
        <f t="shared" si="393"/>
        <v>Los Angeles Dodgers</v>
      </c>
      <c r="I4593" s="60">
        <f t="shared" si="394"/>
        <v>8</v>
      </c>
      <c r="J4593" t="str">
        <f t="shared" si="395"/>
        <v>Atlanta Braves</v>
      </c>
      <c r="K4593" s="60">
        <f t="shared" si="396"/>
        <v>3</v>
      </c>
      <c r="L4593">
        <f t="shared" si="397"/>
        <v>5</v>
      </c>
    </row>
    <row r="4594" spans="1:12" x14ac:dyDescent="0.25">
      <c r="G4594" t="str">
        <f t="shared" si="398"/>
        <v>08/16/19</v>
      </c>
      <c r="H4594" t="str">
        <f t="shared" si="393"/>
        <v/>
      </c>
      <c r="I4594" s="60" t="str">
        <f t="shared" si="394"/>
        <v/>
      </c>
      <c r="J4594" t="str">
        <f t="shared" si="395"/>
        <v/>
      </c>
      <c r="K4594" s="60" t="str">
        <f t="shared" si="396"/>
        <v/>
      </c>
      <c r="L4594" t="str">
        <f t="shared" si="397"/>
        <v/>
      </c>
    </row>
    <row r="4595" spans="1:12" x14ac:dyDescent="0.25">
      <c r="A4595" t="s">
        <v>3947</v>
      </c>
      <c r="G4595" t="str">
        <f t="shared" si="398"/>
        <v>08/16/19</v>
      </c>
      <c r="H4595" t="str">
        <f t="shared" si="393"/>
        <v>Baltimore Orioles</v>
      </c>
      <c r="I4595" s="60">
        <f t="shared" si="394"/>
        <v>1</v>
      </c>
      <c r="J4595" t="str">
        <f t="shared" si="395"/>
        <v>Boston Red Sox</v>
      </c>
      <c r="K4595" s="60">
        <f t="shared" si="396"/>
        <v>9</v>
      </c>
      <c r="L4595">
        <f t="shared" si="397"/>
        <v>-8</v>
      </c>
    </row>
    <row r="4596" spans="1:12" x14ac:dyDescent="0.25">
      <c r="G4596" t="str">
        <f t="shared" si="398"/>
        <v>08/16/19</v>
      </c>
      <c r="H4596" t="str">
        <f t="shared" si="393"/>
        <v/>
      </c>
      <c r="I4596" s="60" t="str">
        <f t="shared" si="394"/>
        <v/>
      </c>
      <c r="J4596" t="str">
        <f t="shared" si="395"/>
        <v/>
      </c>
      <c r="K4596" s="60" t="str">
        <f t="shared" si="396"/>
        <v/>
      </c>
      <c r="L4596" t="str">
        <f t="shared" si="397"/>
        <v/>
      </c>
    </row>
    <row r="4597" spans="1:12" x14ac:dyDescent="0.25">
      <c r="A4597" t="s">
        <v>3948</v>
      </c>
      <c r="G4597" t="str">
        <f t="shared" si="398"/>
        <v>08/16/19</v>
      </c>
      <c r="H4597" t="str">
        <f t="shared" si="393"/>
        <v>St. Louis Cardinals</v>
      </c>
      <c r="I4597" s="60">
        <f t="shared" si="394"/>
        <v>13</v>
      </c>
      <c r="J4597" t="str">
        <f t="shared" si="395"/>
        <v>Cincinnati Reds</v>
      </c>
      <c r="K4597" s="60">
        <f t="shared" si="396"/>
        <v>4</v>
      </c>
      <c r="L4597">
        <f t="shared" si="397"/>
        <v>9</v>
      </c>
    </row>
    <row r="4598" spans="1:12" x14ac:dyDescent="0.25">
      <c r="G4598" t="str">
        <f t="shared" si="398"/>
        <v>08/16/19</v>
      </c>
      <c r="H4598" t="str">
        <f t="shared" si="393"/>
        <v/>
      </c>
      <c r="I4598" s="60" t="str">
        <f t="shared" si="394"/>
        <v/>
      </c>
      <c r="J4598" t="str">
        <f t="shared" si="395"/>
        <v/>
      </c>
      <c r="K4598" s="60" t="str">
        <f t="shared" si="396"/>
        <v/>
      </c>
      <c r="L4598" t="str">
        <f t="shared" si="397"/>
        <v/>
      </c>
    </row>
    <row r="4599" spans="1:12" x14ac:dyDescent="0.25">
      <c r="A4599" t="s">
        <v>3949</v>
      </c>
      <c r="G4599" t="str">
        <f t="shared" si="398"/>
        <v>08/16/19</v>
      </c>
      <c r="H4599" t="str">
        <f t="shared" si="393"/>
        <v>Miami Marlins</v>
      </c>
      <c r="I4599" s="60">
        <f t="shared" si="394"/>
        <v>0</v>
      </c>
      <c r="J4599" t="str">
        <f t="shared" si="395"/>
        <v>Colorado Rockies</v>
      </c>
      <c r="K4599" s="60">
        <f t="shared" si="396"/>
        <v>3</v>
      </c>
      <c r="L4599">
        <f t="shared" si="397"/>
        <v>-3</v>
      </c>
    </row>
    <row r="4600" spans="1:12" x14ac:dyDescent="0.25">
      <c r="G4600" t="str">
        <f t="shared" si="398"/>
        <v>08/16/19</v>
      </c>
      <c r="H4600" t="str">
        <f t="shared" si="393"/>
        <v/>
      </c>
      <c r="I4600" s="60" t="str">
        <f t="shared" si="394"/>
        <v/>
      </c>
      <c r="J4600" t="str">
        <f t="shared" si="395"/>
        <v/>
      </c>
      <c r="K4600" s="60" t="str">
        <f t="shared" si="396"/>
        <v/>
      </c>
      <c r="L4600" t="str">
        <f t="shared" si="397"/>
        <v/>
      </c>
    </row>
    <row r="4601" spans="1:12" x14ac:dyDescent="0.25">
      <c r="A4601" t="s">
        <v>3950</v>
      </c>
      <c r="G4601" t="str">
        <f t="shared" si="398"/>
        <v>08/16/19</v>
      </c>
      <c r="H4601" t="str">
        <f t="shared" si="393"/>
        <v>New York Mets</v>
      </c>
      <c r="I4601" s="60">
        <f t="shared" si="394"/>
        <v>1</v>
      </c>
      <c r="J4601" t="str">
        <f t="shared" si="395"/>
        <v>Kansas City Royals</v>
      </c>
      <c r="K4601" s="60">
        <f t="shared" si="396"/>
        <v>4</v>
      </c>
      <c r="L4601">
        <f t="shared" si="397"/>
        <v>-3</v>
      </c>
    </row>
    <row r="4602" spans="1:12" x14ac:dyDescent="0.25">
      <c r="G4602" t="str">
        <f t="shared" si="398"/>
        <v>08/16/19</v>
      </c>
      <c r="H4602" t="str">
        <f t="shared" si="393"/>
        <v/>
      </c>
      <c r="I4602" s="60" t="str">
        <f t="shared" si="394"/>
        <v/>
      </c>
      <c r="J4602" t="str">
        <f t="shared" si="395"/>
        <v/>
      </c>
      <c r="K4602" s="60" t="str">
        <f t="shared" si="396"/>
        <v/>
      </c>
      <c r="L4602" t="str">
        <f t="shared" si="397"/>
        <v/>
      </c>
    </row>
    <row r="4603" spans="1:12" x14ac:dyDescent="0.25">
      <c r="A4603" t="s">
        <v>3951</v>
      </c>
      <c r="G4603" t="str">
        <f t="shared" si="398"/>
        <v>08/16/19</v>
      </c>
      <c r="H4603" t="str">
        <f t="shared" si="393"/>
        <v>Cleveland Indians</v>
      </c>
      <c r="I4603" s="60">
        <f t="shared" si="394"/>
        <v>2</v>
      </c>
      <c r="J4603" t="str">
        <f t="shared" si="395"/>
        <v>New York Yankees</v>
      </c>
      <c r="K4603" s="60">
        <f t="shared" si="396"/>
        <v>3</v>
      </c>
      <c r="L4603">
        <f t="shared" si="397"/>
        <v>-1</v>
      </c>
    </row>
    <row r="4604" spans="1:12" x14ac:dyDescent="0.25">
      <c r="G4604" t="str">
        <f t="shared" si="398"/>
        <v>08/16/19</v>
      </c>
      <c r="H4604" t="str">
        <f t="shared" si="393"/>
        <v/>
      </c>
      <c r="I4604" s="60" t="str">
        <f t="shared" si="394"/>
        <v/>
      </c>
      <c r="J4604" t="str">
        <f t="shared" si="395"/>
        <v/>
      </c>
      <c r="K4604" s="60" t="str">
        <f t="shared" si="396"/>
        <v/>
      </c>
      <c r="L4604" t="str">
        <f t="shared" si="397"/>
        <v/>
      </c>
    </row>
    <row r="4605" spans="1:12" x14ac:dyDescent="0.25">
      <c r="A4605" t="s">
        <v>3952</v>
      </c>
      <c r="G4605" t="str">
        <f t="shared" si="398"/>
        <v>08/16/19</v>
      </c>
      <c r="H4605" t="str">
        <f t="shared" si="393"/>
        <v>Houston Astros</v>
      </c>
      <c r="I4605" s="60">
        <f t="shared" si="394"/>
        <v>2</v>
      </c>
      <c r="J4605" t="str">
        <f t="shared" si="395"/>
        <v>Oakland Athletics</v>
      </c>
      <c r="K4605" s="60">
        <f t="shared" si="396"/>
        <v>3</v>
      </c>
      <c r="L4605">
        <f t="shared" si="397"/>
        <v>-1</v>
      </c>
    </row>
    <row r="4606" spans="1:12" x14ac:dyDescent="0.25">
      <c r="G4606" t="str">
        <f t="shared" si="398"/>
        <v>08/16/19</v>
      </c>
      <c r="H4606" t="str">
        <f t="shared" si="393"/>
        <v/>
      </c>
      <c r="I4606" s="60" t="str">
        <f t="shared" si="394"/>
        <v/>
      </c>
      <c r="J4606" t="str">
        <f t="shared" si="395"/>
        <v/>
      </c>
      <c r="K4606" s="60" t="str">
        <f t="shared" si="396"/>
        <v/>
      </c>
      <c r="L4606" t="str">
        <f t="shared" si="397"/>
        <v/>
      </c>
    </row>
    <row r="4607" spans="1:12" x14ac:dyDescent="0.25">
      <c r="A4607" t="s">
        <v>3953</v>
      </c>
      <c r="G4607" t="str">
        <f t="shared" si="398"/>
        <v>08/16/19</v>
      </c>
      <c r="H4607" t="str">
        <f t="shared" si="393"/>
        <v>San Diego Padres</v>
      </c>
      <c r="I4607" s="60">
        <f t="shared" si="394"/>
        <v>4</v>
      </c>
      <c r="J4607" t="str">
        <f t="shared" si="395"/>
        <v>Philadelphia Phillies</v>
      </c>
      <c r="K4607" s="60">
        <f t="shared" si="396"/>
        <v>8</v>
      </c>
      <c r="L4607">
        <f t="shared" si="397"/>
        <v>-4</v>
      </c>
    </row>
    <row r="4608" spans="1:12" x14ac:dyDescent="0.25">
      <c r="G4608" t="str">
        <f t="shared" si="398"/>
        <v>08/16/19</v>
      </c>
      <c r="H4608" t="str">
        <f t="shared" si="393"/>
        <v/>
      </c>
      <c r="I4608" s="60" t="str">
        <f t="shared" si="394"/>
        <v/>
      </c>
      <c r="J4608" t="str">
        <f t="shared" si="395"/>
        <v/>
      </c>
      <c r="K4608" s="60" t="str">
        <f t="shared" si="396"/>
        <v/>
      </c>
      <c r="L4608" t="str">
        <f t="shared" si="397"/>
        <v/>
      </c>
    </row>
    <row r="4609" spans="1:12" x14ac:dyDescent="0.25">
      <c r="A4609" t="s">
        <v>3954</v>
      </c>
      <c r="G4609" t="str">
        <f t="shared" si="398"/>
        <v>08/16/19</v>
      </c>
      <c r="H4609" t="str">
        <f t="shared" si="393"/>
        <v>Chicago Cubs</v>
      </c>
      <c r="I4609" s="60">
        <f t="shared" si="394"/>
        <v>2</v>
      </c>
      <c r="J4609" t="str">
        <f t="shared" si="395"/>
        <v>Pittsburgh Pirates</v>
      </c>
      <c r="K4609" s="60">
        <f t="shared" si="396"/>
        <v>3</v>
      </c>
      <c r="L4609">
        <f t="shared" si="397"/>
        <v>-1</v>
      </c>
    </row>
    <row r="4610" spans="1:12" x14ac:dyDescent="0.25">
      <c r="G4610" t="str">
        <f t="shared" si="398"/>
        <v>08/16/19</v>
      </c>
      <c r="H4610" t="str">
        <f t="shared" si="393"/>
        <v/>
      </c>
      <c r="I4610" s="60" t="str">
        <f t="shared" si="394"/>
        <v/>
      </c>
      <c r="J4610" t="str">
        <f t="shared" si="395"/>
        <v/>
      </c>
      <c r="K4610" s="60" t="str">
        <f t="shared" si="396"/>
        <v/>
      </c>
      <c r="L4610" t="str">
        <f t="shared" si="397"/>
        <v/>
      </c>
    </row>
    <row r="4611" spans="1:12" x14ac:dyDescent="0.25">
      <c r="A4611" t="s">
        <v>3955</v>
      </c>
      <c r="G4611" t="str">
        <f t="shared" si="398"/>
        <v>08/16/19</v>
      </c>
      <c r="H4611" t="str">
        <f t="shared" si="393"/>
        <v>Detroit Tigers</v>
      </c>
      <c r="I4611" s="60">
        <f t="shared" si="394"/>
        <v>2</v>
      </c>
      <c r="J4611" t="str">
        <f t="shared" si="395"/>
        <v>Tampa Bay Rays</v>
      </c>
      <c r="K4611" s="60">
        <f t="shared" si="396"/>
        <v>0</v>
      </c>
      <c r="L4611">
        <f t="shared" si="397"/>
        <v>2</v>
      </c>
    </row>
    <row r="4612" spans="1:12" x14ac:dyDescent="0.25">
      <c r="G4612" t="str">
        <f t="shared" si="398"/>
        <v>08/16/19</v>
      </c>
      <c r="H4612" t="str">
        <f t="shared" si="393"/>
        <v/>
      </c>
      <c r="I4612" s="60" t="str">
        <f t="shared" si="394"/>
        <v/>
      </c>
      <c r="J4612" t="str">
        <f t="shared" si="395"/>
        <v/>
      </c>
      <c r="K4612" s="60" t="str">
        <f t="shared" si="396"/>
        <v/>
      </c>
      <c r="L4612" t="str">
        <f t="shared" si="397"/>
        <v/>
      </c>
    </row>
    <row r="4613" spans="1:12" x14ac:dyDescent="0.25">
      <c r="A4613" t="s">
        <v>3956</v>
      </c>
      <c r="G4613" t="str">
        <f t="shared" si="398"/>
        <v>08/16/19</v>
      </c>
      <c r="H4613" t="str">
        <f t="shared" si="393"/>
        <v>Minnesota Twins</v>
      </c>
      <c r="I4613" s="60">
        <f t="shared" si="394"/>
        <v>4</v>
      </c>
      <c r="J4613" t="str">
        <f t="shared" si="395"/>
        <v>Texas Rangers</v>
      </c>
      <c r="K4613" s="60">
        <f t="shared" si="396"/>
        <v>3</v>
      </c>
      <c r="L4613">
        <f t="shared" si="397"/>
        <v>1</v>
      </c>
    </row>
    <row r="4614" spans="1:12" x14ac:dyDescent="0.25">
      <c r="G4614" t="str">
        <f t="shared" si="398"/>
        <v>08/16/19</v>
      </c>
      <c r="H4614" t="str">
        <f t="shared" si="393"/>
        <v/>
      </c>
      <c r="I4614" s="60" t="str">
        <f t="shared" si="394"/>
        <v/>
      </c>
      <c r="J4614" t="str">
        <f t="shared" si="395"/>
        <v/>
      </c>
      <c r="K4614" s="60" t="str">
        <f t="shared" si="396"/>
        <v/>
      </c>
      <c r="L4614" t="str">
        <f t="shared" si="397"/>
        <v/>
      </c>
    </row>
    <row r="4615" spans="1:12" x14ac:dyDescent="0.25">
      <c r="A4615" t="s">
        <v>3957</v>
      </c>
      <c r="G4615" t="str">
        <f t="shared" si="398"/>
        <v>08/16/19</v>
      </c>
      <c r="H4615" t="str">
        <f t="shared" si="393"/>
        <v>Seattle Mariners</v>
      </c>
      <c r="I4615" s="60">
        <f t="shared" si="394"/>
        <v>3</v>
      </c>
      <c r="J4615" t="str">
        <f t="shared" si="395"/>
        <v>Toronto Blue Jays</v>
      </c>
      <c r="K4615" s="60">
        <f t="shared" si="396"/>
        <v>7</v>
      </c>
      <c r="L4615">
        <f t="shared" si="397"/>
        <v>-4</v>
      </c>
    </row>
    <row r="4616" spans="1:12" x14ac:dyDescent="0.25">
      <c r="G4616" t="str">
        <f t="shared" si="398"/>
        <v>08/16/19</v>
      </c>
      <c r="H4616" t="str">
        <f t="shared" si="393"/>
        <v/>
      </c>
      <c r="I4616" s="60" t="str">
        <f t="shared" si="394"/>
        <v/>
      </c>
      <c r="J4616" t="str">
        <f t="shared" si="395"/>
        <v/>
      </c>
      <c r="K4616" s="60" t="str">
        <f t="shared" si="396"/>
        <v/>
      </c>
      <c r="L4616" t="str">
        <f t="shared" si="397"/>
        <v/>
      </c>
    </row>
    <row r="4617" spans="1:12" x14ac:dyDescent="0.25">
      <c r="A4617" t="s">
        <v>3958</v>
      </c>
      <c r="G4617" t="str">
        <f t="shared" si="398"/>
        <v>08/16/19</v>
      </c>
      <c r="H4617" t="str">
        <f t="shared" si="393"/>
        <v>Milwaukee Brewers</v>
      </c>
      <c r="I4617" s="60">
        <f t="shared" si="394"/>
        <v>1</v>
      </c>
      <c r="J4617" t="str">
        <f t="shared" si="395"/>
        <v>Washington Nationals</v>
      </c>
      <c r="K4617" s="60">
        <f t="shared" si="396"/>
        <v>2</v>
      </c>
      <c r="L4617">
        <f t="shared" si="397"/>
        <v>-1</v>
      </c>
    </row>
    <row r="4618" spans="1:12" x14ac:dyDescent="0.25">
      <c r="G4618" t="str">
        <f t="shared" si="398"/>
        <v>08/16/19</v>
      </c>
      <c r="H4618" t="str">
        <f t="shared" si="393"/>
        <v/>
      </c>
      <c r="I4618" s="60" t="str">
        <f t="shared" si="394"/>
        <v/>
      </c>
      <c r="J4618" t="str">
        <f t="shared" si="395"/>
        <v/>
      </c>
      <c r="K4618" s="60" t="str">
        <f t="shared" si="396"/>
        <v/>
      </c>
      <c r="L4618" t="str">
        <f t="shared" si="397"/>
        <v/>
      </c>
    </row>
    <row r="4619" spans="1:12" x14ac:dyDescent="0.25">
      <c r="A4619" t="s">
        <v>3959</v>
      </c>
      <c r="G4619" t="str">
        <f t="shared" si="398"/>
        <v>08/16/19</v>
      </c>
      <c r="H4619" t="str">
        <f t="shared" si="393"/>
        <v/>
      </c>
      <c r="I4619" s="60" t="str">
        <f t="shared" si="394"/>
        <v/>
      </c>
      <c r="J4619" t="str">
        <f t="shared" si="395"/>
        <v/>
      </c>
      <c r="K4619" s="60" t="str">
        <f t="shared" si="396"/>
        <v/>
      </c>
      <c r="L4619" t="str">
        <f t="shared" si="397"/>
        <v/>
      </c>
    </row>
    <row r="4620" spans="1:12" x14ac:dyDescent="0.25">
      <c r="G4620" t="str">
        <f t="shared" si="398"/>
        <v>08/16/19</v>
      </c>
      <c r="H4620" t="str">
        <f t="shared" si="393"/>
        <v/>
      </c>
      <c r="I4620" s="60" t="str">
        <f t="shared" si="394"/>
        <v/>
      </c>
      <c r="J4620" t="str">
        <f t="shared" si="395"/>
        <v/>
      </c>
      <c r="K4620" s="60" t="str">
        <f t="shared" si="396"/>
        <v/>
      </c>
      <c r="L4620" t="str">
        <f t="shared" si="397"/>
        <v/>
      </c>
    </row>
    <row r="4621" spans="1:12" x14ac:dyDescent="0.25">
      <c r="A4621" t="s">
        <v>3288</v>
      </c>
      <c r="G4621" t="str">
        <f t="shared" si="398"/>
        <v>08/17/19</v>
      </c>
      <c r="H4621" t="str">
        <f t="shared" si="393"/>
        <v/>
      </c>
      <c r="I4621" s="60" t="str">
        <f t="shared" si="394"/>
        <v/>
      </c>
      <c r="J4621" t="str">
        <f t="shared" si="395"/>
        <v/>
      </c>
      <c r="K4621" s="60" t="str">
        <f t="shared" si="396"/>
        <v/>
      </c>
      <c r="L4621" t="str">
        <f t="shared" si="397"/>
        <v/>
      </c>
    </row>
    <row r="4622" spans="1:12" x14ac:dyDescent="0.25">
      <c r="G4622" t="str">
        <f t="shared" si="398"/>
        <v>08/17/19</v>
      </c>
      <c r="H4622" t="str">
        <f t="shared" si="393"/>
        <v/>
      </c>
      <c r="I4622" s="60" t="str">
        <f t="shared" si="394"/>
        <v/>
      </c>
      <c r="J4622" t="str">
        <f t="shared" si="395"/>
        <v/>
      </c>
      <c r="K4622" s="60" t="str">
        <f t="shared" si="396"/>
        <v/>
      </c>
      <c r="L4622" t="str">
        <f t="shared" si="397"/>
        <v/>
      </c>
    </row>
    <row r="4623" spans="1:12" x14ac:dyDescent="0.25">
      <c r="A4623" t="s">
        <v>3960</v>
      </c>
      <c r="G4623" t="str">
        <f t="shared" si="398"/>
        <v>08/17/19</v>
      </c>
      <c r="H4623" t="str">
        <f t="shared" si="393"/>
        <v>Chicago White Sox</v>
      </c>
      <c r="I4623" s="60">
        <f t="shared" si="394"/>
        <v>5</v>
      </c>
      <c r="J4623" t="str">
        <f t="shared" si="395"/>
        <v>Los Angeles Angels</v>
      </c>
      <c r="K4623" s="60">
        <f t="shared" si="396"/>
        <v>6</v>
      </c>
      <c r="L4623">
        <f t="shared" si="397"/>
        <v>-1</v>
      </c>
    </row>
    <row r="4624" spans="1:12" x14ac:dyDescent="0.25">
      <c r="G4624" t="str">
        <f t="shared" si="398"/>
        <v>08/17/19</v>
      </c>
      <c r="H4624" t="str">
        <f t="shared" ref="H4624:H4687" si="399">IFERROR(LEFT(MID(A4624,1,SEARCH("@",A4624)-2),SEARCH("(",A4624)-2),"")</f>
        <v/>
      </c>
      <c r="I4624" s="60" t="str">
        <f t="shared" ref="I4624:I4687" si="400">IFERROR(VALUE(MID(A4624,SEARCH("(",A4624)+1,SEARCH(")",A4624)-SEARCH("(",A4624)-1)),"")</f>
        <v/>
      </c>
      <c r="J4624" t="str">
        <f t="shared" ref="J4624:J4687" si="401">IFERROR(MID(A4624,SEARCH("@",A4624)+2,SEARCH("(",A4624,SEARCH("@",A4624))-SEARCH("@",A4624)-3),"")</f>
        <v/>
      </c>
      <c r="K4624" s="60" t="str">
        <f t="shared" ref="K4624:K4687" si="402">IFERROR(VALUE(MID(A4624,SEARCH(J4624,A4624)+LEN(J4624)+2,(SEARCH(")",A4624,SEARCH("@",A4624))-SEARCH("(",A4624,SEARCH("@",A4624))-1))),"")</f>
        <v/>
      </c>
      <c r="L4624" t="str">
        <f t="shared" ref="L4624:L4687" si="403">IFERROR(I4624-K4624,"")</f>
        <v/>
      </c>
    </row>
    <row r="4625" spans="1:12" x14ac:dyDescent="0.25">
      <c r="A4625" t="s">
        <v>3961</v>
      </c>
      <c r="G4625" t="str">
        <f t="shared" si="398"/>
        <v>08/17/19</v>
      </c>
      <c r="H4625" t="str">
        <f t="shared" si="399"/>
        <v>San Francisco Giants</v>
      </c>
      <c r="I4625" s="60">
        <f t="shared" si="400"/>
        <v>11</v>
      </c>
      <c r="J4625" t="str">
        <f t="shared" si="401"/>
        <v>Arizona D'Backs</v>
      </c>
      <c r="K4625" s="60">
        <f t="shared" si="402"/>
        <v>6</v>
      </c>
      <c r="L4625">
        <f t="shared" si="403"/>
        <v>5</v>
      </c>
    </row>
    <row r="4626" spans="1:12" x14ac:dyDescent="0.25">
      <c r="G4626" t="str">
        <f t="shared" si="398"/>
        <v>08/17/19</v>
      </c>
      <c r="H4626" t="str">
        <f t="shared" si="399"/>
        <v/>
      </c>
      <c r="I4626" s="60" t="str">
        <f t="shared" si="400"/>
        <v/>
      </c>
      <c r="J4626" t="str">
        <f t="shared" si="401"/>
        <v/>
      </c>
      <c r="K4626" s="60" t="str">
        <f t="shared" si="402"/>
        <v/>
      </c>
      <c r="L4626" t="str">
        <f t="shared" si="403"/>
        <v/>
      </c>
    </row>
    <row r="4627" spans="1:12" x14ac:dyDescent="0.25">
      <c r="A4627" t="s">
        <v>3962</v>
      </c>
      <c r="G4627" t="str">
        <f t="shared" si="398"/>
        <v>08/17/19</v>
      </c>
      <c r="H4627" t="str">
        <f t="shared" si="399"/>
        <v>Los Angeles Dodgers</v>
      </c>
      <c r="I4627" s="60">
        <f t="shared" si="400"/>
        <v>3</v>
      </c>
      <c r="J4627" t="str">
        <f t="shared" si="401"/>
        <v>Atlanta Braves</v>
      </c>
      <c r="K4627" s="60">
        <f t="shared" si="402"/>
        <v>4</v>
      </c>
      <c r="L4627">
        <f t="shared" si="403"/>
        <v>-1</v>
      </c>
    </row>
    <row r="4628" spans="1:12" x14ac:dyDescent="0.25">
      <c r="G4628" t="str">
        <f t="shared" si="398"/>
        <v>08/17/19</v>
      </c>
      <c r="H4628" t="str">
        <f t="shared" si="399"/>
        <v/>
      </c>
      <c r="I4628" s="60" t="str">
        <f t="shared" si="400"/>
        <v/>
      </c>
      <c r="J4628" t="str">
        <f t="shared" si="401"/>
        <v/>
      </c>
      <c r="K4628" s="60" t="str">
        <f t="shared" si="402"/>
        <v/>
      </c>
      <c r="L4628" t="str">
        <f t="shared" si="403"/>
        <v/>
      </c>
    </row>
    <row r="4629" spans="1:12" x14ac:dyDescent="0.25">
      <c r="A4629" t="s">
        <v>1892</v>
      </c>
      <c r="G4629" t="str">
        <f t="shared" si="398"/>
        <v>08/17/19</v>
      </c>
      <c r="H4629" t="str">
        <f t="shared" si="399"/>
        <v>Baltimore Orioles</v>
      </c>
      <c r="I4629" s="60">
        <f t="shared" si="400"/>
        <v>0</v>
      </c>
      <c r="J4629" t="str">
        <f t="shared" si="401"/>
        <v>Boston Red Sox</v>
      </c>
      <c r="K4629" s="60">
        <f t="shared" si="402"/>
        <v>4</v>
      </c>
      <c r="L4629">
        <f t="shared" si="403"/>
        <v>-4</v>
      </c>
    </row>
    <row r="4630" spans="1:12" x14ac:dyDescent="0.25">
      <c r="G4630" t="str">
        <f t="shared" si="398"/>
        <v>08/17/19</v>
      </c>
      <c r="H4630" t="str">
        <f t="shared" si="399"/>
        <v/>
      </c>
      <c r="I4630" s="60" t="str">
        <f t="shared" si="400"/>
        <v/>
      </c>
      <c r="J4630" t="str">
        <f t="shared" si="401"/>
        <v/>
      </c>
      <c r="K4630" s="60" t="str">
        <f t="shared" si="402"/>
        <v/>
      </c>
      <c r="L4630" t="str">
        <f t="shared" si="403"/>
        <v/>
      </c>
    </row>
    <row r="4631" spans="1:12" x14ac:dyDescent="0.25">
      <c r="A4631" t="s">
        <v>3963</v>
      </c>
      <c r="G4631" t="str">
        <f t="shared" si="398"/>
        <v>08/17/19</v>
      </c>
      <c r="H4631" t="str">
        <f t="shared" si="399"/>
        <v>St. Louis Cardinals</v>
      </c>
      <c r="I4631" s="60">
        <f t="shared" si="400"/>
        <v>1</v>
      </c>
      <c r="J4631" t="str">
        <f t="shared" si="401"/>
        <v>Cincinnati Reds</v>
      </c>
      <c r="K4631" s="60">
        <f t="shared" si="402"/>
        <v>6</v>
      </c>
      <c r="L4631">
        <f t="shared" si="403"/>
        <v>-5</v>
      </c>
    </row>
    <row r="4632" spans="1:12" x14ac:dyDescent="0.25">
      <c r="G4632" t="str">
        <f t="shared" si="398"/>
        <v>08/17/19</v>
      </c>
      <c r="H4632" t="str">
        <f t="shared" si="399"/>
        <v/>
      </c>
      <c r="I4632" s="60" t="str">
        <f t="shared" si="400"/>
        <v/>
      </c>
      <c r="J4632" t="str">
        <f t="shared" si="401"/>
        <v/>
      </c>
      <c r="K4632" s="60" t="str">
        <f t="shared" si="402"/>
        <v/>
      </c>
      <c r="L4632" t="str">
        <f t="shared" si="403"/>
        <v/>
      </c>
    </row>
    <row r="4633" spans="1:12" x14ac:dyDescent="0.25">
      <c r="A4633" t="s">
        <v>3964</v>
      </c>
      <c r="G4633" t="str">
        <f t="shared" si="398"/>
        <v>08/17/19</v>
      </c>
      <c r="H4633" t="str">
        <f t="shared" si="399"/>
        <v>Miami Marlins</v>
      </c>
      <c r="I4633" s="60">
        <f t="shared" si="400"/>
        <v>4</v>
      </c>
      <c r="J4633" t="str">
        <f t="shared" si="401"/>
        <v>Colorado Rockies</v>
      </c>
      <c r="K4633" s="60">
        <f t="shared" si="402"/>
        <v>11</v>
      </c>
      <c r="L4633">
        <f t="shared" si="403"/>
        <v>-7</v>
      </c>
    </row>
    <row r="4634" spans="1:12" x14ac:dyDescent="0.25">
      <c r="G4634" t="str">
        <f t="shared" si="398"/>
        <v>08/17/19</v>
      </c>
      <c r="H4634" t="str">
        <f t="shared" si="399"/>
        <v/>
      </c>
      <c r="I4634" s="60" t="str">
        <f t="shared" si="400"/>
        <v/>
      </c>
      <c r="J4634" t="str">
        <f t="shared" si="401"/>
        <v/>
      </c>
      <c r="K4634" s="60" t="str">
        <f t="shared" si="402"/>
        <v/>
      </c>
      <c r="L4634" t="str">
        <f t="shared" si="403"/>
        <v/>
      </c>
    </row>
    <row r="4635" spans="1:12" x14ac:dyDescent="0.25">
      <c r="A4635" t="s">
        <v>3965</v>
      </c>
      <c r="G4635" t="str">
        <f t="shared" si="398"/>
        <v>08/17/19</v>
      </c>
      <c r="H4635" t="str">
        <f t="shared" si="399"/>
        <v>New York Mets</v>
      </c>
      <c r="I4635" s="60">
        <f t="shared" si="400"/>
        <v>4</v>
      </c>
      <c r="J4635" t="str">
        <f t="shared" si="401"/>
        <v>Kansas City Royals</v>
      </c>
      <c r="K4635" s="60">
        <f t="shared" si="402"/>
        <v>1</v>
      </c>
      <c r="L4635">
        <f t="shared" si="403"/>
        <v>3</v>
      </c>
    </row>
    <row r="4636" spans="1:12" x14ac:dyDescent="0.25">
      <c r="G4636" t="str">
        <f t="shared" si="398"/>
        <v>08/17/19</v>
      </c>
      <c r="H4636" t="str">
        <f t="shared" si="399"/>
        <v/>
      </c>
      <c r="I4636" s="60" t="str">
        <f t="shared" si="400"/>
        <v/>
      </c>
      <c r="J4636" t="str">
        <f t="shared" si="401"/>
        <v/>
      </c>
      <c r="K4636" s="60" t="str">
        <f t="shared" si="402"/>
        <v/>
      </c>
      <c r="L4636" t="str">
        <f t="shared" si="403"/>
        <v/>
      </c>
    </row>
    <row r="4637" spans="1:12" x14ac:dyDescent="0.25">
      <c r="A4637" t="s">
        <v>3966</v>
      </c>
      <c r="G4637" t="str">
        <f t="shared" si="398"/>
        <v>08/17/19</v>
      </c>
      <c r="H4637" t="str">
        <f t="shared" si="399"/>
        <v>Cleveland Indians</v>
      </c>
      <c r="I4637" s="60">
        <f t="shared" si="400"/>
        <v>5</v>
      </c>
      <c r="J4637" t="str">
        <f t="shared" si="401"/>
        <v>New York Yankees</v>
      </c>
      <c r="K4637" s="60">
        <f t="shared" si="402"/>
        <v>6</v>
      </c>
      <c r="L4637">
        <f t="shared" si="403"/>
        <v>-1</v>
      </c>
    </row>
    <row r="4638" spans="1:12" x14ac:dyDescent="0.25">
      <c r="G4638" t="str">
        <f t="shared" si="398"/>
        <v>08/17/19</v>
      </c>
      <c r="H4638" t="str">
        <f t="shared" si="399"/>
        <v/>
      </c>
      <c r="I4638" s="60" t="str">
        <f t="shared" si="400"/>
        <v/>
      </c>
      <c r="J4638" t="str">
        <f t="shared" si="401"/>
        <v/>
      </c>
      <c r="K4638" s="60" t="str">
        <f t="shared" si="402"/>
        <v/>
      </c>
      <c r="L4638" t="str">
        <f t="shared" si="403"/>
        <v/>
      </c>
    </row>
    <row r="4639" spans="1:12" x14ac:dyDescent="0.25">
      <c r="A4639" t="s">
        <v>3967</v>
      </c>
      <c r="G4639" t="str">
        <f t="shared" si="398"/>
        <v>08/17/19</v>
      </c>
      <c r="H4639" t="str">
        <f t="shared" si="399"/>
        <v>Houston Astros</v>
      </c>
      <c r="I4639" s="60">
        <f t="shared" si="400"/>
        <v>4</v>
      </c>
      <c r="J4639" t="str">
        <f t="shared" si="401"/>
        <v>Oakland Athletics</v>
      </c>
      <c r="K4639" s="60">
        <f t="shared" si="402"/>
        <v>8</v>
      </c>
      <c r="L4639">
        <f t="shared" si="403"/>
        <v>-4</v>
      </c>
    </row>
    <row r="4640" spans="1:12" x14ac:dyDescent="0.25">
      <c r="G4640" t="str">
        <f t="shared" si="398"/>
        <v>08/17/19</v>
      </c>
      <c r="H4640" t="str">
        <f t="shared" si="399"/>
        <v/>
      </c>
      <c r="I4640" s="60" t="str">
        <f t="shared" si="400"/>
        <v/>
      </c>
      <c r="J4640" t="str">
        <f t="shared" si="401"/>
        <v/>
      </c>
      <c r="K4640" s="60" t="str">
        <f t="shared" si="402"/>
        <v/>
      </c>
      <c r="L4640" t="str">
        <f t="shared" si="403"/>
        <v/>
      </c>
    </row>
    <row r="4641" spans="1:12" x14ac:dyDescent="0.25">
      <c r="A4641" t="s">
        <v>3968</v>
      </c>
      <c r="G4641" t="str">
        <f t="shared" si="398"/>
        <v>08/17/19</v>
      </c>
      <c r="H4641" t="str">
        <f t="shared" si="399"/>
        <v>San Diego Padres</v>
      </c>
      <c r="I4641" s="60">
        <f t="shared" si="400"/>
        <v>5</v>
      </c>
      <c r="J4641" t="str">
        <f t="shared" si="401"/>
        <v>Philadelphia Phillies</v>
      </c>
      <c r="K4641" s="60">
        <f t="shared" si="402"/>
        <v>3</v>
      </c>
      <c r="L4641">
        <f t="shared" si="403"/>
        <v>2</v>
      </c>
    </row>
    <row r="4642" spans="1:12" x14ac:dyDescent="0.25">
      <c r="G4642" t="str">
        <f t="shared" ref="G4642:G4705" si="404">IF(ISNUMBER(MATCH(IFERROR(LEFT(A4642,SEARCH(",",A4642)-1),""),$G$220:$M$220,0)),TEXT(MID(A4642,SEARCH(",",A4642)+2,LEN(A4642)),"mm/dd/yy"),G4641)</f>
        <v>08/17/19</v>
      </c>
      <c r="H4642" t="str">
        <f t="shared" si="399"/>
        <v/>
      </c>
      <c r="I4642" s="60" t="str">
        <f t="shared" si="400"/>
        <v/>
      </c>
      <c r="J4642" t="str">
        <f t="shared" si="401"/>
        <v/>
      </c>
      <c r="K4642" s="60" t="str">
        <f t="shared" si="402"/>
        <v/>
      </c>
      <c r="L4642" t="str">
        <f t="shared" si="403"/>
        <v/>
      </c>
    </row>
    <row r="4643" spans="1:12" x14ac:dyDescent="0.25">
      <c r="A4643" t="s">
        <v>3969</v>
      </c>
      <c r="G4643" t="str">
        <f t="shared" si="404"/>
        <v>08/17/19</v>
      </c>
      <c r="H4643" t="str">
        <f t="shared" si="399"/>
        <v>Chicago Cubs</v>
      </c>
      <c r="I4643" s="60">
        <f t="shared" si="400"/>
        <v>2</v>
      </c>
      <c r="J4643" t="str">
        <f t="shared" si="401"/>
        <v>Pittsburgh Pirates</v>
      </c>
      <c r="K4643" s="60">
        <f t="shared" si="402"/>
        <v>0</v>
      </c>
      <c r="L4643">
        <f t="shared" si="403"/>
        <v>2</v>
      </c>
    </row>
    <row r="4644" spans="1:12" x14ac:dyDescent="0.25">
      <c r="G4644" t="str">
        <f t="shared" si="404"/>
        <v>08/17/19</v>
      </c>
      <c r="H4644" t="str">
        <f t="shared" si="399"/>
        <v/>
      </c>
      <c r="I4644" s="60" t="str">
        <f t="shared" si="400"/>
        <v/>
      </c>
      <c r="J4644" t="str">
        <f t="shared" si="401"/>
        <v/>
      </c>
      <c r="K4644" s="60" t="str">
        <f t="shared" si="402"/>
        <v/>
      </c>
      <c r="L4644" t="str">
        <f t="shared" si="403"/>
        <v/>
      </c>
    </row>
    <row r="4645" spans="1:12" x14ac:dyDescent="0.25">
      <c r="A4645" t="s">
        <v>3970</v>
      </c>
      <c r="G4645" t="str">
        <f t="shared" si="404"/>
        <v>08/17/19</v>
      </c>
      <c r="H4645" t="str">
        <f t="shared" si="399"/>
        <v>Detroit Tigers</v>
      </c>
      <c r="I4645" s="60">
        <f t="shared" si="400"/>
        <v>0</v>
      </c>
      <c r="J4645" t="str">
        <f t="shared" si="401"/>
        <v>Tampa Bay Rays</v>
      </c>
      <c r="K4645" s="60">
        <f t="shared" si="402"/>
        <v>1</v>
      </c>
      <c r="L4645">
        <f t="shared" si="403"/>
        <v>-1</v>
      </c>
    </row>
    <row r="4646" spans="1:12" x14ac:dyDescent="0.25">
      <c r="G4646" t="str">
        <f t="shared" si="404"/>
        <v>08/17/19</v>
      </c>
      <c r="H4646" t="str">
        <f t="shared" si="399"/>
        <v/>
      </c>
      <c r="I4646" s="60" t="str">
        <f t="shared" si="400"/>
        <v/>
      </c>
      <c r="J4646" t="str">
        <f t="shared" si="401"/>
        <v/>
      </c>
      <c r="K4646" s="60" t="str">
        <f t="shared" si="402"/>
        <v/>
      </c>
      <c r="L4646" t="str">
        <f t="shared" si="403"/>
        <v/>
      </c>
    </row>
    <row r="4647" spans="1:12" x14ac:dyDescent="0.25">
      <c r="A4647" t="s">
        <v>3971</v>
      </c>
      <c r="G4647" t="str">
        <f t="shared" si="404"/>
        <v>08/17/19</v>
      </c>
      <c r="H4647" t="str">
        <f t="shared" si="399"/>
        <v>Minnesota Twins</v>
      </c>
      <c r="I4647" s="60">
        <f t="shared" si="400"/>
        <v>12</v>
      </c>
      <c r="J4647" t="str">
        <f t="shared" si="401"/>
        <v>Texas Rangers</v>
      </c>
      <c r="K4647" s="60">
        <f t="shared" si="402"/>
        <v>7</v>
      </c>
      <c r="L4647">
        <f t="shared" si="403"/>
        <v>5</v>
      </c>
    </row>
    <row r="4648" spans="1:12" x14ac:dyDescent="0.25">
      <c r="G4648" t="str">
        <f t="shared" si="404"/>
        <v>08/17/19</v>
      </c>
      <c r="H4648" t="str">
        <f t="shared" si="399"/>
        <v/>
      </c>
      <c r="I4648" s="60" t="str">
        <f t="shared" si="400"/>
        <v/>
      </c>
      <c r="J4648" t="str">
        <f t="shared" si="401"/>
        <v/>
      </c>
      <c r="K4648" s="60" t="str">
        <f t="shared" si="402"/>
        <v/>
      </c>
      <c r="L4648" t="str">
        <f t="shared" si="403"/>
        <v/>
      </c>
    </row>
    <row r="4649" spans="1:12" x14ac:dyDescent="0.25">
      <c r="A4649" t="s">
        <v>3972</v>
      </c>
      <c r="G4649" t="str">
        <f t="shared" si="404"/>
        <v>08/17/19</v>
      </c>
      <c r="H4649" t="str">
        <f t="shared" si="399"/>
        <v>Seattle Mariners</v>
      </c>
      <c r="I4649" s="60">
        <f t="shared" si="400"/>
        <v>4</v>
      </c>
      <c r="J4649" t="str">
        <f t="shared" si="401"/>
        <v>Toronto Blue Jays</v>
      </c>
      <c r="K4649" s="60">
        <f t="shared" si="402"/>
        <v>3</v>
      </c>
      <c r="L4649">
        <f t="shared" si="403"/>
        <v>1</v>
      </c>
    </row>
    <row r="4650" spans="1:12" x14ac:dyDescent="0.25">
      <c r="G4650" t="str">
        <f t="shared" si="404"/>
        <v>08/17/19</v>
      </c>
      <c r="H4650" t="str">
        <f t="shared" si="399"/>
        <v/>
      </c>
      <c r="I4650" s="60" t="str">
        <f t="shared" si="400"/>
        <v/>
      </c>
      <c r="J4650" t="str">
        <f t="shared" si="401"/>
        <v/>
      </c>
      <c r="K4650" s="60" t="str">
        <f t="shared" si="402"/>
        <v/>
      </c>
      <c r="L4650" t="str">
        <f t="shared" si="403"/>
        <v/>
      </c>
    </row>
    <row r="4651" spans="1:12" x14ac:dyDescent="0.25">
      <c r="A4651" t="s">
        <v>3973</v>
      </c>
      <c r="G4651" t="str">
        <f t="shared" si="404"/>
        <v>08/17/19</v>
      </c>
      <c r="H4651" t="str">
        <f t="shared" si="399"/>
        <v>Milwaukee Brewers</v>
      </c>
      <c r="I4651" s="60">
        <f t="shared" si="400"/>
        <v>15</v>
      </c>
      <c r="J4651" t="str">
        <f t="shared" si="401"/>
        <v>Washington Nationals</v>
      </c>
      <c r="K4651" s="60">
        <f t="shared" si="402"/>
        <v>14</v>
      </c>
      <c r="L4651">
        <f t="shared" si="403"/>
        <v>1</v>
      </c>
    </row>
    <row r="4652" spans="1:12" x14ac:dyDescent="0.25">
      <c r="G4652" t="str">
        <f t="shared" si="404"/>
        <v>08/17/19</v>
      </c>
      <c r="H4652" t="str">
        <f t="shared" si="399"/>
        <v/>
      </c>
      <c r="I4652" s="60" t="str">
        <f t="shared" si="400"/>
        <v/>
      </c>
      <c r="J4652" t="str">
        <f t="shared" si="401"/>
        <v/>
      </c>
      <c r="K4652" s="60" t="str">
        <f t="shared" si="402"/>
        <v/>
      </c>
      <c r="L4652" t="str">
        <f t="shared" si="403"/>
        <v/>
      </c>
    </row>
    <row r="4653" spans="1:12" x14ac:dyDescent="0.25">
      <c r="A4653" t="s">
        <v>3974</v>
      </c>
      <c r="G4653" t="str">
        <f t="shared" si="404"/>
        <v>08/17/19</v>
      </c>
      <c r="H4653" t="str">
        <f t="shared" si="399"/>
        <v/>
      </c>
      <c r="I4653" s="60" t="str">
        <f t="shared" si="400"/>
        <v/>
      </c>
      <c r="J4653" t="str">
        <f t="shared" si="401"/>
        <v/>
      </c>
      <c r="K4653" s="60" t="str">
        <f t="shared" si="402"/>
        <v/>
      </c>
      <c r="L4653" t="str">
        <f t="shared" si="403"/>
        <v/>
      </c>
    </row>
    <row r="4654" spans="1:12" x14ac:dyDescent="0.25">
      <c r="G4654" t="str">
        <f t="shared" si="404"/>
        <v>08/17/19</v>
      </c>
      <c r="H4654" t="str">
        <f t="shared" si="399"/>
        <v/>
      </c>
      <c r="I4654" s="60" t="str">
        <f t="shared" si="400"/>
        <v/>
      </c>
      <c r="J4654" t="str">
        <f t="shared" si="401"/>
        <v/>
      </c>
      <c r="K4654" s="60" t="str">
        <f t="shared" si="402"/>
        <v/>
      </c>
      <c r="L4654" t="str">
        <f t="shared" si="403"/>
        <v/>
      </c>
    </row>
    <row r="4655" spans="1:12" x14ac:dyDescent="0.25">
      <c r="A4655" t="s">
        <v>3289</v>
      </c>
      <c r="G4655" t="str">
        <f t="shared" si="404"/>
        <v>08/18/19</v>
      </c>
      <c r="H4655" t="str">
        <f t="shared" si="399"/>
        <v/>
      </c>
      <c r="I4655" s="60" t="str">
        <f t="shared" si="400"/>
        <v/>
      </c>
      <c r="J4655" t="str">
        <f t="shared" si="401"/>
        <v/>
      </c>
      <c r="K4655" s="60" t="str">
        <f t="shared" si="402"/>
        <v/>
      </c>
      <c r="L4655" t="str">
        <f t="shared" si="403"/>
        <v/>
      </c>
    </row>
    <row r="4656" spans="1:12" x14ac:dyDescent="0.25">
      <c r="G4656" t="str">
        <f t="shared" si="404"/>
        <v>08/18/19</v>
      </c>
      <c r="H4656" t="str">
        <f t="shared" si="399"/>
        <v/>
      </c>
      <c r="I4656" s="60" t="str">
        <f t="shared" si="400"/>
        <v/>
      </c>
      <c r="J4656" t="str">
        <f t="shared" si="401"/>
        <v/>
      </c>
      <c r="K4656" s="60" t="str">
        <f t="shared" si="402"/>
        <v/>
      </c>
      <c r="L4656" t="str">
        <f t="shared" si="403"/>
        <v/>
      </c>
    </row>
    <row r="4657" spans="1:12" x14ac:dyDescent="0.25">
      <c r="A4657" t="s">
        <v>3975</v>
      </c>
      <c r="G4657" t="str">
        <f t="shared" si="404"/>
        <v>08/18/19</v>
      </c>
      <c r="H4657" t="str">
        <f t="shared" si="399"/>
        <v>Chicago White Sox</v>
      </c>
      <c r="I4657" s="60">
        <f t="shared" si="400"/>
        <v>2</v>
      </c>
      <c r="J4657" t="str">
        <f t="shared" si="401"/>
        <v>Los Angeles Angels</v>
      </c>
      <c r="K4657" s="60">
        <f t="shared" si="402"/>
        <v>9</v>
      </c>
      <c r="L4657">
        <f t="shared" si="403"/>
        <v>-7</v>
      </c>
    </row>
    <row r="4658" spans="1:12" x14ac:dyDescent="0.25">
      <c r="G4658" t="str">
        <f t="shared" si="404"/>
        <v>08/18/19</v>
      </c>
      <c r="H4658" t="str">
        <f t="shared" si="399"/>
        <v/>
      </c>
      <c r="I4658" s="60" t="str">
        <f t="shared" si="400"/>
        <v/>
      </c>
      <c r="J4658" t="str">
        <f t="shared" si="401"/>
        <v/>
      </c>
      <c r="K4658" s="60" t="str">
        <f t="shared" si="402"/>
        <v/>
      </c>
      <c r="L4658" t="str">
        <f t="shared" si="403"/>
        <v/>
      </c>
    </row>
    <row r="4659" spans="1:12" x14ac:dyDescent="0.25">
      <c r="A4659" t="s">
        <v>3976</v>
      </c>
      <c r="G4659" t="str">
        <f t="shared" si="404"/>
        <v>08/18/19</v>
      </c>
      <c r="H4659" t="str">
        <f t="shared" si="399"/>
        <v>San Francisco Giants</v>
      </c>
      <c r="I4659" s="60">
        <f t="shared" si="400"/>
        <v>1</v>
      </c>
      <c r="J4659" t="str">
        <f t="shared" si="401"/>
        <v>Arizona D'Backs</v>
      </c>
      <c r="K4659" s="60">
        <f t="shared" si="402"/>
        <v>6</v>
      </c>
      <c r="L4659">
        <f t="shared" si="403"/>
        <v>-5</v>
      </c>
    </row>
    <row r="4660" spans="1:12" x14ac:dyDescent="0.25">
      <c r="G4660" t="str">
        <f t="shared" si="404"/>
        <v>08/18/19</v>
      </c>
      <c r="H4660" t="str">
        <f t="shared" si="399"/>
        <v/>
      </c>
      <c r="I4660" s="60" t="str">
        <f t="shared" si="400"/>
        <v/>
      </c>
      <c r="J4660" t="str">
        <f t="shared" si="401"/>
        <v/>
      </c>
      <c r="K4660" s="60" t="str">
        <f t="shared" si="402"/>
        <v/>
      </c>
      <c r="L4660" t="str">
        <f t="shared" si="403"/>
        <v/>
      </c>
    </row>
    <row r="4661" spans="1:12" x14ac:dyDescent="0.25">
      <c r="A4661" t="s">
        <v>3977</v>
      </c>
      <c r="G4661" t="str">
        <f t="shared" si="404"/>
        <v>08/18/19</v>
      </c>
      <c r="H4661" t="str">
        <f t="shared" si="399"/>
        <v>Los Angeles Dodgers</v>
      </c>
      <c r="I4661" s="60">
        <f t="shared" si="400"/>
        <v>3</v>
      </c>
      <c r="J4661" t="str">
        <f t="shared" si="401"/>
        <v>Atlanta Braves</v>
      </c>
      <c r="K4661" s="60">
        <f t="shared" si="402"/>
        <v>5</v>
      </c>
      <c r="L4661">
        <f t="shared" si="403"/>
        <v>-2</v>
      </c>
    </row>
    <row r="4662" spans="1:12" x14ac:dyDescent="0.25">
      <c r="G4662" t="str">
        <f t="shared" si="404"/>
        <v>08/18/19</v>
      </c>
      <c r="H4662" t="str">
        <f t="shared" si="399"/>
        <v/>
      </c>
      <c r="I4662" s="60" t="str">
        <f t="shared" si="400"/>
        <v/>
      </c>
      <c r="J4662" t="str">
        <f t="shared" si="401"/>
        <v/>
      </c>
      <c r="K4662" s="60" t="str">
        <f t="shared" si="402"/>
        <v/>
      </c>
      <c r="L4662" t="str">
        <f t="shared" si="403"/>
        <v/>
      </c>
    </row>
    <row r="4663" spans="1:12" x14ac:dyDescent="0.25">
      <c r="A4663" t="s">
        <v>3978</v>
      </c>
      <c r="G4663" t="str">
        <f t="shared" si="404"/>
        <v>08/18/19</v>
      </c>
      <c r="H4663" t="str">
        <f t="shared" si="399"/>
        <v>Baltimore Orioles</v>
      </c>
      <c r="I4663" s="60">
        <f t="shared" si="400"/>
        <v>7</v>
      </c>
      <c r="J4663" t="str">
        <f t="shared" si="401"/>
        <v>Boston Red Sox</v>
      </c>
      <c r="K4663" s="60">
        <f t="shared" si="402"/>
        <v>13</v>
      </c>
      <c r="L4663">
        <f t="shared" si="403"/>
        <v>-6</v>
      </c>
    </row>
    <row r="4664" spans="1:12" x14ac:dyDescent="0.25">
      <c r="G4664" t="str">
        <f t="shared" si="404"/>
        <v>08/18/19</v>
      </c>
      <c r="H4664" t="str">
        <f t="shared" si="399"/>
        <v/>
      </c>
      <c r="I4664" s="60" t="str">
        <f t="shared" si="400"/>
        <v/>
      </c>
      <c r="J4664" t="str">
        <f t="shared" si="401"/>
        <v/>
      </c>
      <c r="K4664" s="60" t="str">
        <f t="shared" si="402"/>
        <v/>
      </c>
      <c r="L4664" t="str">
        <f t="shared" si="403"/>
        <v/>
      </c>
    </row>
    <row r="4665" spans="1:12" x14ac:dyDescent="0.25">
      <c r="A4665" t="s">
        <v>3979</v>
      </c>
      <c r="G4665" t="str">
        <f t="shared" si="404"/>
        <v>08/18/19</v>
      </c>
      <c r="H4665" t="str">
        <f t="shared" si="399"/>
        <v>St. Louis Cardinals</v>
      </c>
      <c r="I4665" s="60">
        <f t="shared" si="400"/>
        <v>5</v>
      </c>
      <c r="J4665" t="str">
        <f t="shared" si="401"/>
        <v>Cincinnati Reds</v>
      </c>
      <c r="K4665" s="60">
        <f t="shared" si="402"/>
        <v>4</v>
      </c>
      <c r="L4665">
        <f t="shared" si="403"/>
        <v>1</v>
      </c>
    </row>
    <row r="4666" spans="1:12" x14ac:dyDescent="0.25">
      <c r="G4666" t="str">
        <f t="shared" si="404"/>
        <v>08/18/19</v>
      </c>
      <c r="H4666" t="str">
        <f t="shared" si="399"/>
        <v/>
      </c>
      <c r="I4666" s="60" t="str">
        <f t="shared" si="400"/>
        <v/>
      </c>
      <c r="J4666" t="str">
        <f t="shared" si="401"/>
        <v/>
      </c>
      <c r="K4666" s="60" t="str">
        <f t="shared" si="402"/>
        <v/>
      </c>
      <c r="L4666" t="str">
        <f t="shared" si="403"/>
        <v/>
      </c>
    </row>
    <row r="4667" spans="1:12" x14ac:dyDescent="0.25">
      <c r="A4667" t="s">
        <v>3980</v>
      </c>
      <c r="G4667" t="str">
        <f t="shared" si="404"/>
        <v>08/18/19</v>
      </c>
      <c r="H4667" t="str">
        <f t="shared" si="399"/>
        <v>Miami Marlins</v>
      </c>
      <c r="I4667" s="60">
        <f t="shared" si="400"/>
        <v>6</v>
      </c>
      <c r="J4667" t="str">
        <f t="shared" si="401"/>
        <v>Colorado Rockies</v>
      </c>
      <c r="K4667" s="60">
        <f t="shared" si="402"/>
        <v>7</v>
      </c>
      <c r="L4667">
        <f t="shared" si="403"/>
        <v>-1</v>
      </c>
    </row>
    <row r="4668" spans="1:12" x14ac:dyDescent="0.25">
      <c r="G4668" t="str">
        <f t="shared" si="404"/>
        <v>08/18/19</v>
      </c>
      <c r="H4668" t="str">
        <f t="shared" si="399"/>
        <v/>
      </c>
      <c r="I4668" s="60" t="str">
        <f t="shared" si="400"/>
        <v/>
      </c>
      <c r="J4668" t="str">
        <f t="shared" si="401"/>
        <v/>
      </c>
      <c r="K4668" s="60" t="str">
        <f t="shared" si="402"/>
        <v/>
      </c>
      <c r="L4668" t="str">
        <f t="shared" si="403"/>
        <v/>
      </c>
    </row>
    <row r="4669" spans="1:12" x14ac:dyDescent="0.25">
      <c r="A4669" t="s">
        <v>3981</v>
      </c>
      <c r="G4669" t="str">
        <f t="shared" si="404"/>
        <v>08/18/19</v>
      </c>
      <c r="H4669" t="str">
        <f t="shared" si="399"/>
        <v>New York Mets</v>
      </c>
      <c r="I4669" s="60">
        <f t="shared" si="400"/>
        <v>11</v>
      </c>
      <c r="J4669" t="str">
        <f t="shared" si="401"/>
        <v>Kansas City Royals</v>
      </c>
      <c r="K4669" s="60">
        <f t="shared" si="402"/>
        <v>5</v>
      </c>
      <c r="L4669">
        <f t="shared" si="403"/>
        <v>6</v>
      </c>
    </row>
    <row r="4670" spans="1:12" x14ac:dyDescent="0.25">
      <c r="G4670" t="str">
        <f t="shared" si="404"/>
        <v>08/18/19</v>
      </c>
      <c r="H4670" t="str">
        <f t="shared" si="399"/>
        <v/>
      </c>
      <c r="I4670" s="60" t="str">
        <f t="shared" si="400"/>
        <v/>
      </c>
      <c r="J4670" t="str">
        <f t="shared" si="401"/>
        <v/>
      </c>
      <c r="K4670" s="60" t="str">
        <f t="shared" si="402"/>
        <v/>
      </c>
      <c r="L4670" t="str">
        <f t="shared" si="403"/>
        <v/>
      </c>
    </row>
    <row r="4671" spans="1:12" x14ac:dyDescent="0.25">
      <c r="A4671" t="s">
        <v>3982</v>
      </c>
      <c r="G4671" t="str">
        <f t="shared" si="404"/>
        <v>08/18/19</v>
      </c>
      <c r="H4671" t="str">
        <f t="shared" si="399"/>
        <v>Cleveland Indians</v>
      </c>
      <c r="I4671" s="60">
        <f t="shared" si="400"/>
        <v>8</v>
      </c>
      <c r="J4671" t="str">
        <f t="shared" si="401"/>
        <v>New York Yankees</v>
      </c>
      <c r="K4671" s="60">
        <f t="shared" si="402"/>
        <v>4</v>
      </c>
      <c r="L4671">
        <f t="shared" si="403"/>
        <v>4</v>
      </c>
    </row>
    <row r="4672" spans="1:12" x14ac:dyDescent="0.25">
      <c r="G4672" t="str">
        <f t="shared" si="404"/>
        <v>08/18/19</v>
      </c>
      <c r="H4672" t="str">
        <f t="shared" si="399"/>
        <v/>
      </c>
      <c r="I4672" s="60" t="str">
        <f t="shared" si="400"/>
        <v/>
      </c>
      <c r="J4672" t="str">
        <f t="shared" si="401"/>
        <v/>
      </c>
      <c r="K4672" s="60" t="str">
        <f t="shared" si="402"/>
        <v/>
      </c>
      <c r="L4672" t="str">
        <f t="shared" si="403"/>
        <v/>
      </c>
    </row>
    <row r="4673" spans="1:12" x14ac:dyDescent="0.25">
      <c r="A4673" t="s">
        <v>3983</v>
      </c>
      <c r="G4673" t="str">
        <f t="shared" si="404"/>
        <v>08/18/19</v>
      </c>
      <c r="H4673" t="str">
        <f t="shared" si="399"/>
        <v>Houston Astros</v>
      </c>
      <c r="I4673" s="60">
        <f t="shared" si="400"/>
        <v>4</v>
      </c>
      <c r="J4673" t="str">
        <f t="shared" si="401"/>
        <v>Oakland Athletics</v>
      </c>
      <c r="K4673" s="60">
        <f t="shared" si="402"/>
        <v>1</v>
      </c>
      <c r="L4673">
        <f t="shared" si="403"/>
        <v>3</v>
      </c>
    </row>
    <row r="4674" spans="1:12" x14ac:dyDescent="0.25">
      <c r="G4674" t="str">
        <f t="shared" si="404"/>
        <v>08/18/19</v>
      </c>
      <c r="H4674" t="str">
        <f t="shared" si="399"/>
        <v/>
      </c>
      <c r="I4674" s="60" t="str">
        <f t="shared" si="400"/>
        <v/>
      </c>
      <c r="J4674" t="str">
        <f t="shared" si="401"/>
        <v/>
      </c>
      <c r="K4674" s="60" t="str">
        <f t="shared" si="402"/>
        <v/>
      </c>
      <c r="L4674" t="str">
        <f t="shared" si="403"/>
        <v/>
      </c>
    </row>
    <row r="4675" spans="1:12" x14ac:dyDescent="0.25">
      <c r="A4675" t="s">
        <v>3984</v>
      </c>
      <c r="G4675" t="str">
        <f t="shared" si="404"/>
        <v>08/18/19</v>
      </c>
      <c r="H4675" t="str">
        <f t="shared" si="399"/>
        <v>San Diego Padres</v>
      </c>
      <c r="I4675" s="60">
        <f t="shared" si="400"/>
        <v>3</v>
      </c>
      <c r="J4675" t="str">
        <f t="shared" si="401"/>
        <v>Philadelphia Phillies</v>
      </c>
      <c r="K4675" s="60">
        <f t="shared" si="402"/>
        <v>2</v>
      </c>
      <c r="L4675">
        <f t="shared" si="403"/>
        <v>1</v>
      </c>
    </row>
    <row r="4676" spans="1:12" x14ac:dyDescent="0.25">
      <c r="G4676" t="str">
        <f t="shared" si="404"/>
        <v>08/18/19</v>
      </c>
      <c r="H4676" t="str">
        <f t="shared" si="399"/>
        <v/>
      </c>
      <c r="I4676" s="60" t="str">
        <f t="shared" si="400"/>
        <v/>
      </c>
      <c r="J4676" t="str">
        <f t="shared" si="401"/>
        <v/>
      </c>
      <c r="K4676" s="60" t="str">
        <f t="shared" si="402"/>
        <v/>
      </c>
      <c r="L4676" t="str">
        <f t="shared" si="403"/>
        <v/>
      </c>
    </row>
    <row r="4677" spans="1:12" x14ac:dyDescent="0.25">
      <c r="A4677" t="s">
        <v>3985</v>
      </c>
      <c r="G4677" t="str">
        <f t="shared" si="404"/>
        <v>08/18/19</v>
      </c>
      <c r="H4677" t="str">
        <f t="shared" si="399"/>
        <v>Chicago Cubs</v>
      </c>
      <c r="I4677" s="60">
        <f t="shared" si="400"/>
        <v>7</v>
      </c>
      <c r="J4677" t="str">
        <f t="shared" si="401"/>
        <v>Pittsburgh Pirates</v>
      </c>
      <c r="K4677" s="60">
        <f t="shared" si="402"/>
        <v>1</v>
      </c>
      <c r="L4677">
        <f t="shared" si="403"/>
        <v>6</v>
      </c>
    </row>
    <row r="4678" spans="1:12" x14ac:dyDescent="0.25">
      <c r="G4678" t="str">
        <f t="shared" si="404"/>
        <v>08/18/19</v>
      </c>
      <c r="H4678" t="str">
        <f t="shared" si="399"/>
        <v/>
      </c>
      <c r="I4678" s="60" t="str">
        <f t="shared" si="400"/>
        <v/>
      </c>
      <c r="J4678" t="str">
        <f t="shared" si="401"/>
        <v/>
      </c>
      <c r="K4678" s="60" t="str">
        <f t="shared" si="402"/>
        <v/>
      </c>
      <c r="L4678" t="str">
        <f t="shared" si="403"/>
        <v/>
      </c>
    </row>
    <row r="4679" spans="1:12" x14ac:dyDescent="0.25">
      <c r="A4679" t="s">
        <v>3986</v>
      </c>
      <c r="G4679" t="str">
        <f t="shared" si="404"/>
        <v>08/18/19</v>
      </c>
      <c r="H4679" t="str">
        <f t="shared" si="399"/>
        <v>Detroit Tigers</v>
      </c>
      <c r="I4679" s="60">
        <f t="shared" si="400"/>
        <v>4</v>
      </c>
      <c r="J4679" t="str">
        <f t="shared" si="401"/>
        <v>Tampa Bay Rays</v>
      </c>
      <c r="K4679" s="60">
        <f t="shared" si="402"/>
        <v>5</v>
      </c>
      <c r="L4679">
        <f t="shared" si="403"/>
        <v>-1</v>
      </c>
    </row>
    <row r="4680" spans="1:12" x14ac:dyDescent="0.25">
      <c r="G4680" t="str">
        <f t="shared" si="404"/>
        <v>08/18/19</v>
      </c>
      <c r="H4680" t="str">
        <f t="shared" si="399"/>
        <v/>
      </c>
      <c r="I4680" s="60" t="str">
        <f t="shared" si="400"/>
        <v/>
      </c>
      <c r="J4680" t="str">
        <f t="shared" si="401"/>
        <v/>
      </c>
      <c r="K4680" s="60" t="str">
        <f t="shared" si="402"/>
        <v/>
      </c>
      <c r="L4680" t="str">
        <f t="shared" si="403"/>
        <v/>
      </c>
    </row>
    <row r="4681" spans="1:12" x14ac:dyDescent="0.25">
      <c r="A4681" t="s">
        <v>3987</v>
      </c>
      <c r="G4681" t="str">
        <f t="shared" si="404"/>
        <v>08/18/19</v>
      </c>
      <c r="H4681" t="str">
        <f t="shared" si="399"/>
        <v>Minnesota Twins</v>
      </c>
      <c r="I4681" s="60">
        <f t="shared" si="400"/>
        <v>6</v>
      </c>
      <c r="J4681" t="str">
        <f t="shared" si="401"/>
        <v>Texas Rangers</v>
      </c>
      <c r="K4681" s="60">
        <f t="shared" si="402"/>
        <v>3</v>
      </c>
      <c r="L4681">
        <f t="shared" si="403"/>
        <v>3</v>
      </c>
    </row>
    <row r="4682" spans="1:12" x14ac:dyDescent="0.25">
      <c r="G4682" t="str">
        <f t="shared" si="404"/>
        <v>08/18/19</v>
      </c>
      <c r="H4682" t="str">
        <f t="shared" si="399"/>
        <v/>
      </c>
      <c r="I4682" s="60" t="str">
        <f t="shared" si="400"/>
        <v/>
      </c>
      <c r="J4682" t="str">
        <f t="shared" si="401"/>
        <v/>
      </c>
      <c r="K4682" s="60" t="str">
        <f t="shared" si="402"/>
        <v/>
      </c>
      <c r="L4682" t="str">
        <f t="shared" si="403"/>
        <v/>
      </c>
    </row>
    <row r="4683" spans="1:12" x14ac:dyDescent="0.25">
      <c r="A4683" t="s">
        <v>3988</v>
      </c>
      <c r="G4683" t="str">
        <f t="shared" si="404"/>
        <v>08/18/19</v>
      </c>
      <c r="H4683" t="str">
        <f t="shared" si="399"/>
        <v>Seattle Mariners</v>
      </c>
      <c r="I4683" s="60">
        <f t="shared" si="400"/>
        <v>7</v>
      </c>
      <c r="J4683" t="str">
        <f t="shared" si="401"/>
        <v>Toronto Blue Jays</v>
      </c>
      <c r="K4683" s="60">
        <f t="shared" si="402"/>
        <v>0</v>
      </c>
      <c r="L4683">
        <f t="shared" si="403"/>
        <v>7</v>
      </c>
    </row>
    <row r="4684" spans="1:12" x14ac:dyDescent="0.25">
      <c r="G4684" t="str">
        <f t="shared" si="404"/>
        <v>08/18/19</v>
      </c>
      <c r="H4684" t="str">
        <f t="shared" si="399"/>
        <v/>
      </c>
      <c r="I4684" s="60" t="str">
        <f t="shared" si="400"/>
        <v/>
      </c>
      <c r="J4684" t="str">
        <f t="shared" si="401"/>
        <v/>
      </c>
      <c r="K4684" s="60" t="str">
        <f t="shared" si="402"/>
        <v/>
      </c>
      <c r="L4684" t="str">
        <f t="shared" si="403"/>
        <v/>
      </c>
    </row>
    <row r="4685" spans="1:12" x14ac:dyDescent="0.25">
      <c r="A4685" t="s">
        <v>3989</v>
      </c>
      <c r="G4685" t="str">
        <f t="shared" si="404"/>
        <v>08/18/19</v>
      </c>
      <c r="H4685" t="str">
        <f t="shared" si="399"/>
        <v>Milwaukee Brewers</v>
      </c>
      <c r="I4685" s="60">
        <f t="shared" si="400"/>
        <v>8</v>
      </c>
      <c r="J4685" t="str">
        <f t="shared" si="401"/>
        <v>Washington Nationals</v>
      </c>
      <c r="K4685" s="60">
        <f t="shared" si="402"/>
        <v>16</v>
      </c>
      <c r="L4685">
        <f t="shared" si="403"/>
        <v>-8</v>
      </c>
    </row>
    <row r="4686" spans="1:12" x14ac:dyDescent="0.25">
      <c r="G4686" t="str">
        <f t="shared" si="404"/>
        <v>08/18/19</v>
      </c>
      <c r="H4686" t="str">
        <f t="shared" si="399"/>
        <v/>
      </c>
      <c r="I4686" s="60" t="str">
        <f t="shared" si="400"/>
        <v/>
      </c>
      <c r="J4686" t="str">
        <f t="shared" si="401"/>
        <v/>
      </c>
      <c r="K4686" s="60" t="str">
        <f t="shared" si="402"/>
        <v/>
      </c>
      <c r="L4686" t="str">
        <f t="shared" si="403"/>
        <v/>
      </c>
    </row>
    <row r="4687" spans="1:12" x14ac:dyDescent="0.25">
      <c r="A4687" t="s">
        <v>3990</v>
      </c>
      <c r="G4687" t="str">
        <f t="shared" si="404"/>
        <v>08/18/19</v>
      </c>
      <c r="H4687" t="str">
        <f t="shared" si="399"/>
        <v/>
      </c>
      <c r="I4687" s="60" t="str">
        <f t="shared" si="400"/>
        <v/>
      </c>
      <c r="J4687" t="str">
        <f t="shared" si="401"/>
        <v/>
      </c>
      <c r="K4687" s="60" t="str">
        <f t="shared" si="402"/>
        <v/>
      </c>
      <c r="L4687" t="str">
        <f t="shared" si="403"/>
        <v/>
      </c>
    </row>
    <row r="4688" spans="1:12" x14ac:dyDescent="0.25">
      <c r="G4688" t="str">
        <f t="shared" si="404"/>
        <v>08/18/19</v>
      </c>
      <c r="H4688" t="str">
        <f t="shared" ref="H4688:H4751" si="405">IFERROR(LEFT(MID(A4688,1,SEARCH("@",A4688)-2),SEARCH("(",A4688)-2),"")</f>
        <v/>
      </c>
      <c r="I4688" s="60" t="str">
        <f t="shared" ref="I4688:I4751" si="406">IFERROR(VALUE(MID(A4688,SEARCH("(",A4688)+1,SEARCH(")",A4688)-SEARCH("(",A4688)-1)),"")</f>
        <v/>
      </c>
      <c r="J4688" t="str">
        <f t="shared" ref="J4688:J4751" si="407">IFERROR(MID(A4688,SEARCH("@",A4688)+2,SEARCH("(",A4688,SEARCH("@",A4688))-SEARCH("@",A4688)-3),"")</f>
        <v/>
      </c>
      <c r="K4688" s="60" t="str">
        <f t="shared" ref="K4688:K4751" si="408">IFERROR(VALUE(MID(A4688,SEARCH(J4688,A4688)+LEN(J4688)+2,(SEARCH(")",A4688,SEARCH("@",A4688))-SEARCH("(",A4688,SEARCH("@",A4688))-1))),"")</f>
        <v/>
      </c>
      <c r="L4688" t="str">
        <f t="shared" ref="L4688:L4751" si="409">IFERROR(I4688-K4688,"")</f>
        <v/>
      </c>
    </row>
    <row r="4689" spans="1:12" x14ac:dyDescent="0.25">
      <c r="A4689" t="s">
        <v>3290</v>
      </c>
      <c r="G4689" t="str">
        <f t="shared" si="404"/>
        <v>08/19/19</v>
      </c>
      <c r="H4689" t="str">
        <f t="shared" si="405"/>
        <v/>
      </c>
      <c r="I4689" s="60" t="str">
        <f t="shared" si="406"/>
        <v/>
      </c>
      <c r="J4689" t="str">
        <f t="shared" si="407"/>
        <v/>
      </c>
      <c r="K4689" s="60" t="str">
        <f t="shared" si="408"/>
        <v/>
      </c>
      <c r="L4689" t="str">
        <f t="shared" si="409"/>
        <v/>
      </c>
    </row>
    <row r="4690" spans="1:12" x14ac:dyDescent="0.25">
      <c r="G4690" t="str">
        <f t="shared" si="404"/>
        <v>08/19/19</v>
      </c>
      <c r="H4690" t="str">
        <f t="shared" si="405"/>
        <v/>
      </c>
      <c r="I4690" s="60" t="str">
        <f t="shared" si="406"/>
        <v/>
      </c>
      <c r="J4690" t="str">
        <f t="shared" si="407"/>
        <v/>
      </c>
      <c r="K4690" s="60" t="str">
        <f t="shared" si="408"/>
        <v/>
      </c>
      <c r="L4690" t="str">
        <f t="shared" si="409"/>
        <v/>
      </c>
    </row>
    <row r="4691" spans="1:12" x14ac:dyDescent="0.25">
      <c r="A4691" t="s">
        <v>3149</v>
      </c>
      <c r="G4691" t="str">
        <f t="shared" si="404"/>
        <v>08/19/19</v>
      </c>
      <c r="H4691" t="str">
        <f t="shared" si="405"/>
        <v>Colorado Rockies</v>
      </c>
      <c r="I4691" s="60">
        <f t="shared" si="406"/>
        <v>3</v>
      </c>
      <c r="J4691" t="str">
        <f t="shared" si="407"/>
        <v>Arizona D'Backs</v>
      </c>
      <c r="K4691" s="60">
        <f t="shared" si="408"/>
        <v>5</v>
      </c>
      <c r="L4691">
        <f t="shared" si="409"/>
        <v>-2</v>
      </c>
    </row>
    <row r="4692" spans="1:12" x14ac:dyDescent="0.25">
      <c r="G4692" t="str">
        <f t="shared" si="404"/>
        <v>08/19/19</v>
      </c>
      <c r="H4692" t="str">
        <f t="shared" si="405"/>
        <v/>
      </c>
      <c r="I4692" s="60" t="str">
        <f t="shared" si="406"/>
        <v/>
      </c>
      <c r="J4692" t="str">
        <f t="shared" si="407"/>
        <v/>
      </c>
      <c r="K4692" s="60" t="str">
        <f t="shared" si="408"/>
        <v/>
      </c>
      <c r="L4692" t="str">
        <f t="shared" si="409"/>
        <v/>
      </c>
    </row>
    <row r="4693" spans="1:12" x14ac:dyDescent="0.25">
      <c r="A4693" t="s">
        <v>3991</v>
      </c>
      <c r="G4693" t="str">
        <f t="shared" si="404"/>
        <v>08/19/19</v>
      </c>
      <c r="H4693" t="str">
        <f t="shared" si="405"/>
        <v>Kansas City Royals</v>
      </c>
      <c r="I4693" s="60">
        <f t="shared" si="406"/>
        <v>5</v>
      </c>
      <c r="J4693" t="str">
        <f t="shared" si="407"/>
        <v>Baltimore Orioles</v>
      </c>
      <c r="K4693" s="60">
        <f t="shared" si="408"/>
        <v>4</v>
      </c>
      <c r="L4693">
        <f t="shared" si="409"/>
        <v>1</v>
      </c>
    </row>
    <row r="4694" spans="1:12" x14ac:dyDescent="0.25">
      <c r="G4694" t="str">
        <f t="shared" si="404"/>
        <v>08/19/19</v>
      </c>
      <c r="H4694" t="str">
        <f t="shared" si="405"/>
        <v/>
      </c>
      <c r="I4694" s="60" t="str">
        <f t="shared" si="406"/>
        <v/>
      </c>
      <c r="J4694" t="str">
        <f t="shared" si="407"/>
        <v/>
      </c>
      <c r="K4694" s="60" t="str">
        <f t="shared" si="408"/>
        <v/>
      </c>
      <c r="L4694" t="str">
        <f t="shared" si="409"/>
        <v/>
      </c>
    </row>
    <row r="4695" spans="1:12" x14ac:dyDescent="0.25">
      <c r="A4695" t="s">
        <v>3992</v>
      </c>
      <c r="G4695" t="str">
        <f t="shared" si="404"/>
        <v>08/19/19</v>
      </c>
      <c r="H4695" t="str">
        <f t="shared" si="405"/>
        <v>San Diego Padres</v>
      </c>
      <c r="I4695" s="60">
        <f t="shared" si="406"/>
        <v>3</v>
      </c>
      <c r="J4695" t="str">
        <f t="shared" si="407"/>
        <v>Cincinnati Reds</v>
      </c>
      <c r="K4695" s="60">
        <f t="shared" si="408"/>
        <v>2</v>
      </c>
      <c r="L4695">
        <f t="shared" si="409"/>
        <v>1</v>
      </c>
    </row>
    <row r="4696" spans="1:12" x14ac:dyDescent="0.25">
      <c r="G4696" t="str">
        <f t="shared" si="404"/>
        <v>08/19/19</v>
      </c>
      <c r="H4696" t="str">
        <f t="shared" si="405"/>
        <v/>
      </c>
      <c r="I4696" s="60" t="str">
        <f t="shared" si="406"/>
        <v/>
      </c>
      <c r="J4696" t="str">
        <f t="shared" si="407"/>
        <v/>
      </c>
      <c r="K4696" s="60" t="str">
        <f t="shared" si="408"/>
        <v/>
      </c>
      <c r="L4696" t="str">
        <f t="shared" si="409"/>
        <v/>
      </c>
    </row>
    <row r="4697" spans="1:12" x14ac:dyDescent="0.25">
      <c r="A4697" t="s">
        <v>3993</v>
      </c>
      <c r="G4697" t="str">
        <f t="shared" si="404"/>
        <v>08/19/19</v>
      </c>
      <c r="H4697" t="str">
        <f t="shared" si="405"/>
        <v>Detroit Tigers</v>
      </c>
      <c r="I4697" s="60">
        <f t="shared" si="406"/>
        <v>4</v>
      </c>
      <c r="J4697" t="str">
        <f t="shared" si="407"/>
        <v>Houston Astros</v>
      </c>
      <c r="K4697" s="60">
        <f t="shared" si="408"/>
        <v>5</v>
      </c>
      <c r="L4697">
        <f t="shared" si="409"/>
        <v>-1</v>
      </c>
    </row>
    <row r="4698" spans="1:12" x14ac:dyDescent="0.25">
      <c r="G4698" t="str">
        <f t="shared" si="404"/>
        <v>08/19/19</v>
      </c>
      <c r="H4698" t="str">
        <f t="shared" si="405"/>
        <v/>
      </c>
      <c r="I4698" s="60" t="str">
        <f t="shared" si="406"/>
        <v/>
      </c>
      <c r="J4698" t="str">
        <f t="shared" si="407"/>
        <v/>
      </c>
      <c r="K4698" s="60" t="str">
        <f t="shared" si="408"/>
        <v/>
      </c>
      <c r="L4698" t="str">
        <f t="shared" si="409"/>
        <v/>
      </c>
    </row>
    <row r="4699" spans="1:12" x14ac:dyDescent="0.25">
      <c r="A4699" t="s">
        <v>3994</v>
      </c>
      <c r="G4699" t="str">
        <f t="shared" si="404"/>
        <v>08/19/19</v>
      </c>
      <c r="H4699" t="str">
        <f t="shared" si="405"/>
        <v>Chicago White Sox</v>
      </c>
      <c r="I4699" s="60">
        <f t="shared" si="406"/>
        <v>6</v>
      </c>
      <c r="J4699" t="str">
        <f t="shared" si="407"/>
        <v>Minnesota Twins</v>
      </c>
      <c r="K4699" s="60">
        <f t="shared" si="408"/>
        <v>4</v>
      </c>
      <c r="L4699">
        <f t="shared" si="409"/>
        <v>2</v>
      </c>
    </row>
    <row r="4700" spans="1:12" x14ac:dyDescent="0.25">
      <c r="G4700" t="str">
        <f t="shared" si="404"/>
        <v>08/19/19</v>
      </c>
      <c r="H4700" t="str">
        <f t="shared" si="405"/>
        <v/>
      </c>
      <c r="I4700" s="60" t="str">
        <f t="shared" si="406"/>
        <v/>
      </c>
      <c r="J4700" t="str">
        <f t="shared" si="407"/>
        <v/>
      </c>
      <c r="K4700" s="60" t="str">
        <f t="shared" si="408"/>
        <v/>
      </c>
      <c r="L4700" t="str">
        <f t="shared" si="409"/>
        <v/>
      </c>
    </row>
    <row r="4701" spans="1:12" x14ac:dyDescent="0.25">
      <c r="A4701" t="s">
        <v>3995</v>
      </c>
      <c r="G4701" t="str">
        <f t="shared" si="404"/>
        <v>08/19/19</v>
      </c>
      <c r="H4701" t="str">
        <f t="shared" si="405"/>
        <v>Washington Nationals</v>
      </c>
      <c r="I4701" s="60">
        <f t="shared" si="406"/>
        <v>13</v>
      </c>
      <c r="J4701" t="str">
        <f t="shared" si="407"/>
        <v>Pittsburgh Pirates</v>
      </c>
      <c r="K4701" s="60">
        <f t="shared" si="408"/>
        <v>0</v>
      </c>
      <c r="L4701">
        <f t="shared" si="409"/>
        <v>13</v>
      </c>
    </row>
    <row r="4702" spans="1:12" x14ac:dyDescent="0.25">
      <c r="G4702" t="str">
        <f t="shared" si="404"/>
        <v>08/19/19</v>
      </c>
      <c r="H4702" t="str">
        <f t="shared" si="405"/>
        <v/>
      </c>
      <c r="I4702" s="60" t="str">
        <f t="shared" si="406"/>
        <v/>
      </c>
      <c r="J4702" t="str">
        <f t="shared" si="407"/>
        <v/>
      </c>
      <c r="K4702" s="60" t="str">
        <f t="shared" si="408"/>
        <v/>
      </c>
      <c r="L4702" t="str">
        <f t="shared" si="409"/>
        <v/>
      </c>
    </row>
    <row r="4703" spans="1:12" x14ac:dyDescent="0.25">
      <c r="A4703" t="s">
        <v>3996</v>
      </c>
      <c r="G4703" t="str">
        <f t="shared" si="404"/>
        <v>08/19/19</v>
      </c>
      <c r="H4703" t="str">
        <f t="shared" si="405"/>
        <v>Milwaukee Brewers</v>
      </c>
      <c r="I4703" s="60">
        <f t="shared" si="406"/>
        <v>0</v>
      </c>
      <c r="J4703" t="str">
        <f t="shared" si="407"/>
        <v>St. Louis Cardinals</v>
      </c>
      <c r="K4703" s="60">
        <f t="shared" si="408"/>
        <v>3</v>
      </c>
      <c r="L4703">
        <f t="shared" si="409"/>
        <v>-3</v>
      </c>
    </row>
    <row r="4704" spans="1:12" x14ac:dyDescent="0.25">
      <c r="G4704" t="str">
        <f t="shared" si="404"/>
        <v>08/19/19</v>
      </c>
      <c r="H4704" t="str">
        <f t="shared" si="405"/>
        <v/>
      </c>
      <c r="I4704" s="60" t="str">
        <f t="shared" si="406"/>
        <v/>
      </c>
      <c r="J4704" t="str">
        <f t="shared" si="407"/>
        <v/>
      </c>
      <c r="K4704" s="60" t="str">
        <f t="shared" si="408"/>
        <v/>
      </c>
      <c r="L4704" t="str">
        <f t="shared" si="409"/>
        <v/>
      </c>
    </row>
    <row r="4705" spans="1:12" x14ac:dyDescent="0.25">
      <c r="A4705" t="s">
        <v>3997</v>
      </c>
      <c r="G4705" t="str">
        <f t="shared" si="404"/>
        <v>08/19/19</v>
      </c>
      <c r="H4705" t="str">
        <f t="shared" si="405"/>
        <v>Seattle Mariners</v>
      </c>
      <c r="I4705" s="60">
        <f t="shared" si="406"/>
        <v>9</v>
      </c>
      <c r="J4705" t="str">
        <f t="shared" si="407"/>
        <v>Tampa Bay Rays</v>
      </c>
      <c r="K4705" s="60">
        <f t="shared" si="408"/>
        <v>3</v>
      </c>
      <c r="L4705">
        <f t="shared" si="409"/>
        <v>6</v>
      </c>
    </row>
    <row r="4706" spans="1:12" x14ac:dyDescent="0.25">
      <c r="G4706" t="str">
        <f t="shared" ref="G4706:G4769" si="410">IF(ISNUMBER(MATCH(IFERROR(LEFT(A4706,SEARCH(",",A4706)-1),""),$G$220:$M$220,0)),TEXT(MID(A4706,SEARCH(",",A4706)+2,LEN(A4706)),"mm/dd/yy"),G4705)</f>
        <v>08/19/19</v>
      </c>
      <c r="H4706" t="str">
        <f t="shared" si="405"/>
        <v/>
      </c>
      <c r="I4706" s="60" t="str">
        <f t="shared" si="406"/>
        <v/>
      </c>
      <c r="J4706" t="str">
        <f t="shared" si="407"/>
        <v/>
      </c>
      <c r="K4706" s="60" t="str">
        <f t="shared" si="408"/>
        <v/>
      </c>
      <c r="L4706" t="str">
        <f t="shared" si="409"/>
        <v/>
      </c>
    </row>
    <row r="4707" spans="1:12" x14ac:dyDescent="0.25">
      <c r="A4707" t="s">
        <v>3998</v>
      </c>
      <c r="G4707" t="str">
        <f t="shared" si="410"/>
        <v>08/19/19</v>
      </c>
      <c r="H4707" t="str">
        <f t="shared" si="405"/>
        <v>Los Angeles Angels</v>
      </c>
      <c r="I4707" s="60">
        <f t="shared" si="406"/>
        <v>7</v>
      </c>
      <c r="J4707" t="str">
        <f t="shared" si="407"/>
        <v>Texas Rangers</v>
      </c>
      <c r="K4707" s="60">
        <f t="shared" si="408"/>
        <v>8</v>
      </c>
      <c r="L4707">
        <f t="shared" si="409"/>
        <v>-1</v>
      </c>
    </row>
    <row r="4708" spans="1:12" x14ac:dyDescent="0.25">
      <c r="G4708" t="str">
        <f t="shared" si="410"/>
        <v>08/19/19</v>
      </c>
      <c r="H4708" t="str">
        <f t="shared" si="405"/>
        <v/>
      </c>
      <c r="I4708" s="60" t="str">
        <f t="shared" si="406"/>
        <v/>
      </c>
      <c r="J4708" t="str">
        <f t="shared" si="407"/>
        <v/>
      </c>
      <c r="K4708" s="60" t="str">
        <f t="shared" si="408"/>
        <v/>
      </c>
      <c r="L4708" t="str">
        <f t="shared" si="409"/>
        <v/>
      </c>
    </row>
    <row r="4709" spans="1:12" x14ac:dyDescent="0.25">
      <c r="A4709" t="s">
        <v>3999</v>
      </c>
      <c r="G4709" t="str">
        <f t="shared" si="410"/>
        <v>08/19/19</v>
      </c>
      <c r="H4709" t="str">
        <f t="shared" si="405"/>
        <v/>
      </c>
      <c r="I4709" s="60" t="str">
        <f t="shared" si="406"/>
        <v/>
      </c>
      <c r="J4709" t="str">
        <f t="shared" si="407"/>
        <v/>
      </c>
      <c r="K4709" s="60" t="str">
        <f t="shared" si="408"/>
        <v/>
      </c>
      <c r="L4709" t="str">
        <f t="shared" si="409"/>
        <v/>
      </c>
    </row>
    <row r="4710" spans="1:12" x14ac:dyDescent="0.25">
      <c r="G4710" t="str">
        <f t="shared" si="410"/>
        <v>08/19/19</v>
      </c>
      <c r="H4710" t="str">
        <f t="shared" si="405"/>
        <v/>
      </c>
      <c r="I4710" s="60" t="str">
        <f t="shared" si="406"/>
        <v/>
      </c>
      <c r="J4710" t="str">
        <f t="shared" si="407"/>
        <v/>
      </c>
      <c r="K4710" s="60" t="str">
        <f t="shared" si="408"/>
        <v/>
      </c>
      <c r="L4710" t="str">
        <f t="shared" si="409"/>
        <v/>
      </c>
    </row>
    <row r="4711" spans="1:12" x14ac:dyDescent="0.25">
      <c r="A4711" t="s">
        <v>3291</v>
      </c>
      <c r="G4711" t="str">
        <f t="shared" si="410"/>
        <v>08/20/19</v>
      </c>
      <c r="H4711" t="str">
        <f t="shared" si="405"/>
        <v/>
      </c>
      <c r="I4711" s="60" t="str">
        <f t="shared" si="406"/>
        <v/>
      </c>
      <c r="J4711" t="str">
        <f t="shared" si="407"/>
        <v/>
      </c>
      <c r="K4711" s="60" t="str">
        <f t="shared" si="408"/>
        <v/>
      </c>
      <c r="L4711" t="str">
        <f t="shared" si="409"/>
        <v/>
      </c>
    </row>
    <row r="4712" spans="1:12" x14ac:dyDescent="0.25">
      <c r="G4712" t="str">
        <f t="shared" si="410"/>
        <v>08/20/19</v>
      </c>
      <c r="H4712" t="str">
        <f t="shared" si="405"/>
        <v/>
      </c>
      <c r="I4712" s="60" t="str">
        <f t="shared" si="406"/>
        <v/>
      </c>
      <c r="J4712" t="str">
        <f t="shared" si="407"/>
        <v/>
      </c>
      <c r="K4712" s="60" t="str">
        <f t="shared" si="408"/>
        <v/>
      </c>
      <c r="L4712" t="str">
        <f t="shared" si="409"/>
        <v/>
      </c>
    </row>
    <row r="4713" spans="1:12" x14ac:dyDescent="0.25">
      <c r="A4713" t="s">
        <v>4000</v>
      </c>
      <c r="G4713" t="str">
        <f t="shared" si="410"/>
        <v>08/20/19</v>
      </c>
      <c r="H4713" t="str">
        <f t="shared" si="405"/>
        <v>Colorado Rockies</v>
      </c>
      <c r="I4713" s="60">
        <f t="shared" si="406"/>
        <v>7</v>
      </c>
      <c r="J4713" t="str">
        <f t="shared" si="407"/>
        <v>Arizona D'Backs</v>
      </c>
      <c r="K4713" s="60">
        <f t="shared" si="408"/>
        <v>8</v>
      </c>
      <c r="L4713">
        <f t="shared" si="409"/>
        <v>-1</v>
      </c>
    </row>
    <row r="4714" spans="1:12" x14ac:dyDescent="0.25">
      <c r="G4714" t="str">
        <f t="shared" si="410"/>
        <v>08/20/19</v>
      </c>
      <c r="H4714" t="str">
        <f t="shared" si="405"/>
        <v/>
      </c>
      <c r="I4714" s="60" t="str">
        <f t="shared" si="406"/>
        <v/>
      </c>
      <c r="J4714" t="str">
        <f t="shared" si="407"/>
        <v/>
      </c>
      <c r="K4714" s="60" t="str">
        <f t="shared" si="408"/>
        <v/>
      </c>
      <c r="L4714" t="str">
        <f t="shared" si="409"/>
        <v/>
      </c>
    </row>
    <row r="4715" spans="1:12" x14ac:dyDescent="0.25">
      <c r="A4715" t="s">
        <v>4001</v>
      </c>
      <c r="G4715" t="str">
        <f t="shared" si="410"/>
        <v>08/20/19</v>
      </c>
      <c r="H4715" t="str">
        <f t="shared" si="405"/>
        <v>Miami Marlins</v>
      </c>
      <c r="I4715" s="60">
        <f t="shared" si="406"/>
        <v>1</v>
      </c>
      <c r="J4715" t="str">
        <f t="shared" si="407"/>
        <v>Atlanta Braves</v>
      </c>
      <c r="K4715" s="60">
        <f t="shared" si="408"/>
        <v>5</v>
      </c>
      <c r="L4715">
        <f t="shared" si="409"/>
        <v>-4</v>
      </c>
    </row>
    <row r="4716" spans="1:12" x14ac:dyDescent="0.25">
      <c r="G4716" t="str">
        <f t="shared" si="410"/>
        <v>08/20/19</v>
      </c>
      <c r="H4716" t="str">
        <f t="shared" si="405"/>
        <v/>
      </c>
      <c r="I4716" s="60" t="str">
        <f t="shared" si="406"/>
        <v/>
      </c>
      <c r="J4716" t="str">
        <f t="shared" si="407"/>
        <v/>
      </c>
      <c r="K4716" s="60" t="str">
        <f t="shared" si="408"/>
        <v/>
      </c>
      <c r="L4716" t="str">
        <f t="shared" si="409"/>
        <v/>
      </c>
    </row>
    <row r="4717" spans="1:12" x14ac:dyDescent="0.25">
      <c r="A4717" t="s">
        <v>4002</v>
      </c>
      <c r="G4717" t="str">
        <f t="shared" si="410"/>
        <v>08/20/19</v>
      </c>
      <c r="H4717" t="str">
        <f t="shared" si="405"/>
        <v>Kansas City Royals</v>
      </c>
      <c r="I4717" s="60">
        <f t="shared" si="406"/>
        <v>1</v>
      </c>
      <c r="J4717" t="str">
        <f t="shared" si="407"/>
        <v>Baltimore Orioles</v>
      </c>
      <c r="K4717" s="60">
        <f t="shared" si="408"/>
        <v>4</v>
      </c>
      <c r="L4717">
        <f t="shared" si="409"/>
        <v>-3</v>
      </c>
    </row>
    <row r="4718" spans="1:12" x14ac:dyDescent="0.25">
      <c r="G4718" t="str">
        <f t="shared" si="410"/>
        <v>08/20/19</v>
      </c>
      <c r="H4718" t="str">
        <f t="shared" si="405"/>
        <v/>
      </c>
      <c r="I4718" s="60" t="str">
        <f t="shared" si="406"/>
        <v/>
      </c>
      <c r="J4718" t="str">
        <f t="shared" si="407"/>
        <v/>
      </c>
      <c r="K4718" s="60" t="str">
        <f t="shared" si="408"/>
        <v/>
      </c>
      <c r="L4718" t="str">
        <f t="shared" si="409"/>
        <v/>
      </c>
    </row>
    <row r="4719" spans="1:12" x14ac:dyDescent="0.25">
      <c r="A4719" t="s">
        <v>4003</v>
      </c>
      <c r="G4719" t="str">
        <f t="shared" si="410"/>
        <v>08/20/19</v>
      </c>
      <c r="H4719" t="str">
        <f t="shared" si="405"/>
        <v>Philadelphia Phillies</v>
      </c>
      <c r="I4719" s="60">
        <f t="shared" si="406"/>
        <v>3</v>
      </c>
      <c r="J4719" t="str">
        <f t="shared" si="407"/>
        <v>Boston Red Sox</v>
      </c>
      <c r="K4719" s="60">
        <f t="shared" si="408"/>
        <v>2</v>
      </c>
      <c r="L4719">
        <f t="shared" si="409"/>
        <v>1</v>
      </c>
    </row>
    <row r="4720" spans="1:12" x14ac:dyDescent="0.25">
      <c r="G4720" t="str">
        <f t="shared" si="410"/>
        <v>08/20/19</v>
      </c>
      <c r="H4720" t="str">
        <f t="shared" si="405"/>
        <v/>
      </c>
      <c r="I4720" s="60" t="str">
        <f t="shared" si="406"/>
        <v/>
      </c>
      <c r="J4720" t="str">
        <f t="shared" si="407"/>
        <v/>
      </c>
      <c r="K4720" s="60" t="str">
        <f t="shared" si="408"/>
        <v/>
      </c>
      <c r="L4720" t="str">
        <f t="shared" si="409"/>
        <v/>
      </c>
    </row>
    <row r="4721" spans="1:12" x14ac:dyDescent="0.25">
      <c r="A4721" t="s">
        <v>4004</v>
      </c>
      <c r="G4721" t="str">
        <f t="shared" si="410"/>
        <v>08/20/19</v>
      </c>
      <c r="H4721" t="str">
        <f t="shared" si="405"/>
        <v>San Francisco Giants</v>
      </c>
      <c r="I4721" s="60">
        <f t="shared" si="406"/>
        <v>3</v>
      </c>
      <c r="J4721" t="str">
        <f t="shared" si="407"/>
        <v>Chicago Cubs</v>
      </c>
      <c r="K4721" s="60">
        <f t="shared" si="408"/>
        <v>5</v>
      </c>
      <c r="L4721">
        <f t="shared" si="409"/>
        <v>-2</v>
      </c>
    </row>
    <row r="4722" spans="1:12" x14ac:dyDescent="0.25">
      <c r="G4722" t="str">
        <f t="shared" si="410"/>
        <v>08/20/19</v>
      </c>
      <c r="H4722" t="str">
        <f t="shared" si="405"/>
        <v/>
      </c>
      <c r="I4722" s="60" t="str">
        <f t="shared" si="406"/>
        <v/>
      </c>
      <c r="J4722" t="str">
        <f t="shared" si="407"/>
        <v/>
      </c>
      <c r="K4722" s="60" t="str">
        <f t="shared" si="408"/>
        <v/>
      </c>
      <c r="L4722" t="str">
        <f t="shared" si="409"/>
        <v/>
      </c>
    </row>
    <row r="4723" spans="1:12" x14ac:dyDescent="0.25">
      <c r="A4723" t="s">
        <v>4005</v>
      </c>
      <c r="G4723" t="str">
        <f t="shared" si="410"/>
        <v>08/20/19</v>
      </c>
      <c r="H4723" t="str">
        <f t="shared" si="405"/>
        <v>San Diego Padres</v>
      </c>
      <c r="I4723" s="60">
        <f t="shared" si="406"/>
        <v>2</v>
      </c>
      <c r="J4723" t="str">
        <f t="shared" si="407"/>
        <v>Cincinnati Reds</v>
      </c>
      <c r="K4723" s="60">
        <f t="shared" si="408"/>
        <v>3</v>
      </c>
      <c r="L4723">
        <f t="shared" si="409"/>
        <v>-1</v>
      </c>
    </row>
    <row r="4724" spans="1:12" x14ac:dyDescent="0.25">
      <c r="G4724" t="str">
        <f t="shared" si="410"/>
        <v>08/20/19</v>
      </c>
      <c r="H4724" t="str">
        <f t="shared" si="405"/>
        <v/>
      </c>
      <c r="I4724" s="60" t="str">
        <f t="shared" si="406"/>
        <v/>
      </c>
      <c r="J4724" t="str">
        <f t="shared" si="407"/>
        <v/>
      </c>
      <c r="K4724" s="60" t="str">
        <f t="shared" si="408"/>
        <v/>
      </c>
      <c r="L4724" t="str">
        <f t="shared" si="409"/>
        <v/>
      </c>
    </row>
    <row r="4725" spans="1:12" x14ac:dyDescent="0.25">
      <c r="A4725" t="s">
        <v>4006</v>
      </c>
      <c r="G4725" t="str">
        <f t="shared" si="410"/>
        <v>08/20/19</v>
      </c>
      <c r="H4725" t="str">
        <f t="shared" si="405"/>
        <v>Detroit Tigers</v>
      </c>
      <c r="I4725" s="60">
        <f t="shared" si="406"/>
        <v>3</v>
      </c>
      <c r="J4725" t="str">
        <f t="shared" si="407"/>
        <v>Houston Astros</v>
      </c>
      <c r="K4725" s="60">
        <f t="shared" si="408"/>
        <v>6</v>
      </c>
      <c r="L4725">
        <f t="shared" si="409"/>
        <v>-3</v>
      </c>
    </row>
    <row r="4726" spans="1:12" x14ac:dyDescent="0.25">
      <c r="G4726" t="str">
        <f t="shared" si="410"/>
        <v>08/20/19</v>
      </c>
      <c r="H4726" t="str">
        <f t="shared" si="405"/>
        <v/>
      </c>
      <c r="I4726" s="60" t="str">
        <f t="shared" si="406"/>
        <v/>
      </c>
      <c r="J4726" t="str">
        <f t="shared" si="407"/>
        <v/>
      </c>
      <c r="K4726" s="60" t="str">
        <f t="shared" si="408"/>
        <v/>
      </c>
      <c r="L4726" t="str">
        <f t="shared" si="409"/>
        <v/>
      </c>
    </row>
    <row r="4727" spans="1:12" x14ac:dyDescent="0.25">
      <c r="A4727" t="s">
        <v>4007</v>
      </c>
      <c r="G4727" t="str">
        <f t="shared" si="410"/>
        <v>08/20/19</v>
      </c>
      <c r="H4727" t="str">
        <f t="shared" si="405"/>
        <v>Toronto Blue Jays</v>
      </c>
      <c r="I4727" s="60">
        <f t="shared" si="406"/>
        <v>3</v>
      </c>
      <c r="J4727" t="str">
        <f t="shared" si="407"/>
        <v>Los Angeles Dodgers</v>
      </c>
      <c r="K4727" s="60">
        <f t="shared" si="408"/>
        <v>16</v>
      </c>
      <c r="L4727">
        <f t="shared" si="409"/>
        <v>-13</v>
      </c>
    </row>
    <row r="4728" spans="1:12" x14ac:dyDescent="0.25">
      <c r="G4728" t="str">
        <f t="shared" si="410"/>
        <v>08/20/19</v>
      </c>
      <c r="H4728" t="str">
        <f t="shared" si="405"/>
        <v/>
      </c>
      <c r="I4728" s="60" t="str">
        <f t="shared" si="406"/>
        <v/>
      </c>
      <c r="J4728" t="str">
        <f t="shared" si="407"/>
        <v/>
      </c>
      <c r="K4728" s="60" t="str">
        <f t="shared" si="408"/>
        <v/>
      </c>
      <c r="L4728" t="str">
        <f t="shared" si="409"/>
        <v/>
      </c>
    </row>
    <row r="4729" spans="1:12" x14ac:dyDescent="0.25">
      <c r="A4729" t="s">
        <v>4008</v>
      </c>
      <c r="G4729" t="str">
        <f t="shared" si="410"/>
        <v>08/20/19</v>
      </c>
      <c r="H4729" t="str">
        <f t="shared" si="405"/>
        <v>Chicago White Sox</v>
      </c>
      <c r="I4729" s="60">
        <f t="shared" si="406"/>
        <v>4</v>
      </c>
      <c r="J4729" t="str">
        <f t="shared" si="407"/>
        <v>Minnesota Twins</v>
      </c>
      <c r="K4729" s="60">
        <f t="shared" si="408"/>
        <v>14</v>
      </c>
      <c r="L4729">
        <f t="shared" si="409"/>
        <v>-10</v>
      </c>
    </row>
    <row r="4730" spans="1:12" x14ac:dyDescent="0.25">
      <c r="G4730" t="str">
        <f t="shared" si="410"/>
        <v>08/20/19</v>
      </c>
      <c r="H4730" t="str">
        <f t="shared" si="405"/>
        <v/>
      </c>
      <c r="I4730" s="60" t="str">
        <f t="shared" si="406"/>
        <v/>
      </c>
      <c r="J4730" t="str">
        <f t="shared" si="407"/>
        <v/>
      </c>
      <c r="K4730" s="60" t="str">
        <f t="shared" si="408"/>
        <v/>
      </c>
      <c r="L4730" t="str">
        <f t="shared" si="409"/>
        <v/>
      </c>
    </row>
    <row r="4731" spans="1:12" x14ac:dyDescent="0.25">
      <c r="A4731" t="s">
        <v>4009</v>
      </c>
      <c r="G4731" t="str">
        <f t="shared" si="410"/>
        <v>08/20/19</v>
      </c>
      <c r="H4731" t="str">
        <f t="shared" si="405"/>
        <v>Cleveland Indians</v>
      </c>
      <c r="I4731" s="60">
        <f t="shared" si="406"/>
        <v>2</v>
      </c>
      <c r="J4731" t="str">
        <f t="shared" si="407"/>
        <v>New York Mets</v>
      </c>
      <c r="K4731" s="60">
        <f t="shared" si="408"/>
        <v>9</v>
      </c>
      <c r="L4731">
        <f t="shared" si="409"/>
        <v>-7</v>
      </c>
    </row>
    <row r="4732" spans="1:12" x14ac:dyDescent="0.25">
      <c r="G4732" t="str">
        <f t="shared" si="410"/>
        <v>08/20/19</v>
      </c>
      <c r="H4732" t="str">
        <f t="shared" si="405"/>
        <v/>
      </c>
      <c r="I4732" s="60" t="str">
        <f t="shared" si="406"/>
        <v/>
      </c>
      <c r="J4732" t="str">
        <f t="shared" si="407"/>
        <v/>
      </c>
      <c r="K4732" s="60" t="str">
        <f t="shared" si="408"/>
        <v/>
      </c>
      <c r="L4732" t="str">
        <f t="shared" si="409"/>
        <v/>
      </c>
    </row>
    <row r="4733" spans="1:12" x14ac:dyDescent="0.25">
      <c r="A4733" t="s">
        <v>4010</v>
      </c>
      <c r="G4733" t="str">
        <f t="shared" si="410"/>
        <v>08/20/19</v>
      </c>
      <c r="H4733" t="str">
        <f t="shared" si="405"/>
        <v>New York Yankees</v>
      </c>
      <c r="I4733" s="60">
        <f t="shared" si="406"/>
        <v>2</v>
      </c>
      <c r="J4733" t="str">
        <f t="shared" si="407"/>
        <v>Oakland Athletics</v>
      </c>
      <c r="K4733" s="60">
        <f t="shared" si="408"/>
        <v>6</v>
      </c>
      <c r="L4733">
        <f t="shared" si="409"/>
        <v>-4</v>
      </c>
    </row>
    <row r="4734" spans="1:12" x14ac:dyDescent="0.25">
      <c r="G4734" t="str">
        <f t="shared" si="410"/>
        <v>08/20/19</v>
      </c>
      <c r="H4734" t="str">
        <f t="shared" si="405"/>
        <v/>
      </c>
      <c r="I4734" s="60" t="str">
        <f t="shared" si="406"/>
        <v/>
      </c>
      <c r="J4734" t="str">
        <f t="shared" si="407"/>
        <v/>
      </c>
      <c r="K4734" s="60" t="str">
        <f t="shared" si="408"/>
        <v/>
      </c>
      <c r="L4734" t="str">
        <f t="shared" si="409"/>
        <v/>
      </c>
    </row>
    <row r="4735" spans="1:12" x14ac:dyDescent="0.25">
      <c r="A4735" t="s">
        <v>4011</v>
      </c>
      <c r="G4735" t="str">
        <f t="shared" si="410"/>
        <v>08/20/19</v>
      </c>
      <c r="H4735" t="str">
        <f t="shared" si="405"/>
        <v>Washington Nationals</v>
      </c>
      <c r="I4735" s="60">
        <f t="shared" si="406"/>
        <v>1</v>
      </c>
      <c r="J4735" t="str">
        <f t="shared" si="407"/>
        <v>Pittsburgh Pirates</v>
      </c>
      <c r="K4735" s="60">
        <f t="shared" si="408"/>
        <v>4</v>
      </c>
      <c r="L4735">
        <f t="shared" si="409"/>
        <v>-3</v>
      </c>
    </row>
    <row r="4736" spans="1:12" x14ac:dyDescent="0.25">
      <c r="G4736" t="str">
        <f t="shared" si="410"/>
        <v>08/20/19</v>
      </c>
      <c r="H4736" t="str">
        <f t="shared" si="405"/>
        <v/>
      </c>
      <c r="I4736" s="60" t="str">
        <f t="shared" si="406"/>
        <v/>
      </c>
      <c r="J4736" t="str">
        <f t="shared" si="407"/>
        <v/>
      </c>
      <c r="K4736" s="60" t="str">
        <f t="shared" si="408"/>
        <v/>
      </c>
      <c r="L4736" t="str">
        <f t="shared" si="409"/>
        <v/>
      </c>
    </row>
    <row r="4737" spans="1:12" x14ac:dyDescent="0.25">
      <c r="A4737" t="s">
        <v>4012</v>
      </c>
      <c r="G4737" t="str">
        <f t="shared" si="410"/>
        <v>08/20/19</v>
      </c>
      <c r="H4737" t="str">
        <f t="shared" si="405"/>
        <v>Milwaukee Brewers</v>
      </c>
      <c r="I4737" s="60">
        <f t="shared" si="406"/>
        <v>4</v>
      </c>
      <c r="J4737" t="str">
        <f t="shared" si="407"/>
        <v>St. Louis Cardinals</v>
      </c>
      <c r="K4737" s="60">
        <f t="shared" si="408"/>
        <v>9</v>
      </c>
      <c r="L4737">
        <f t="shared" si="409"/>
        <v>-5</v>
      </c>
    </row>
    <row r="4738" spans="1:12" x14ac:dyDescent="0.25">
      <c r="G4738" t="str">
        <f t="shared" si="410"/>
        <v>08/20/19</v>
      </c>
      <c r="H4738" t="str">
        <f t="shared" si="405"/>
        <v/>
      </c>
      <c r="I4738" s="60" t="str">
        <f t="shared" si="406"/>
        <v/>
      </c>
      <c r="J4738" t="str">
        <f t="shared" si="407"/>
        <v/>
      </c>
      <c r="K4738" s="60" t="str">
        <f t="shared" si="408"/>
        <v/>
      </c>
      <c r="L4738" t="str">
        <f t="shared" si="409"/>
        <v/>
      </c>
    </row>
    <row r="4739" spans="1:12" x14ac:dyDescent="0.25">
      <c r="A4739" t="s">
        <v>4013</v>
      </c>
      <c r="G4739" t="str">
        <f t="shared" si="410"/>
        <v>08/20/19</v>
      </c>
      <c r="H4739" t="str">
        <f t="shared" si="405"/>
        <v>Seattle Mariners</v>
      </c>
      <c r="I4739" s="60">
        <f t="shared" si="406"/>
        <v>7</v>
      </c>
      <c r="J4739" t="str">
        <f t="shared" si="407"/>
        <v>Tampa Bay Rays</v>
      </c>
      <c r="K4739" s="60">
        <f t="shared" si="408"/>
        <v>4</v>
      </c>
      <c r="L4739">
        <f t="shared" si="409"/>
        <v>3</v>
      </c>
    </row>
    <row r="4740" spans="1:12" x14ac:dyDescent="0.25">
      <c r="G4740" t="str">
        <f t="shared" si="410"/>
        <v>08/20/19</v>
      </c>
      <c r="H4740" t="str">
        <f t="shared" si="405"/>
        <v/>
      </c>
      <c r="I4740" s="60" t="str">
        <f t="shared" si="406"/>
        <v/>
      </c>
      <c r="J4740" t="str">
        <f t="shared" si="407"/>
        <v/>
      </c>
      <c r="K4740" s="60" t="str">
        <f t="shared" si="408"/>
        <v/>
      </c>
      <c r="L4740" t="str">
        <f t="shared" si="409"/>
        <v/>
      </c>
    </row>
    <row r="4741" spans="1:12" x14ac:dyDescent="0.25">
      <c r="A4741" t="s">
        <v>4014</v>
      </c>
      <c r="G4741" t="str">
        <f t="shared" si="410"/>
        <v>08/20/19</v>
      </c>
      <c r="H4741" t="str">
        <f t="shared" si="405"/>
        <v>Los Angeles Angels</v>
      </c>
      <c r="I4741" s="60">
        <f t="shared" si="406"/>
        <v>5</v>
      </c>
      <c r="J4741" t="str">
        <f t="shared" si="407"/>
        <v>Texas Rangers</v>
      </c>
      <c r="K4741" s="60">
        <f t="shared" si="408"/>
        <v>1</v>
      </c>
      <c r="L4741">
        <f t="shared" si="409"/>
        <v>4</v>
      </c>
    </row>
    <row r="4742" spans="1:12" x14ac:dyDescent="0.25">
      <c r="G4742" t="str">
        <f t="shared" si="410"/>
        <v>08/20/19</v>
      </c>
      <c r="H4742" t="str">
        <f t="shared" si="405"/>
        <v/>
      </c>
      <c r="I4742" s="60" t="str">
        <f t="shared" si="406"/>
        <v/>
      </c>
      <c r="J4742" t="str">
        <f t="shared" si="407"/>
        <v/>
      </c>
      <c r="K4742" s="60" t="str">
        <f t="shared" si="408"/>
        <v/>
      </c>
      <c r="L4742" t="str">
        <f t="shared" si="409"/>
        <v/>
      </c>
    </row>
    <row r="4743" spans="1:12" x14ac:dyDescent="0.25">
      <c r="A4743" t="s">
        <v>4015</v>
      </c>
      <c r="G4743" t="str">
        <f t="shared" si="410"/>
        <v>08/20/19</v>
      </c>
      <c r="H4743" t="str">
        <f t="shared" si="405"/>
        <v>Los Angeles Angels</v>
      </c>
      <c r="I4743" s="60">
        <f t="shared" si="406"/>
        <v>2</v>
      </c>
      <c r="J4743" t="str">
        <f t="shared" si="407"/>
        <v>Texas Rangers</v>
      </c>
      <c r="K4743" s="60">
        <f t="shared" si="408"/>
        <v>3</v>
      </c>
      <c r="L4743">
        <f t="shared" si="409"/>
        <v>-1</v>
      </c>
    </row>
    <row r="4744" spans="1:12" x14ac:dyDescent="0.25">
      <c r="G4744" t="str">
        <f t="shared" si="410"/>
        <v>08/20/19</v>
      </c>
      <c r="H4744" t="str">
        <f t="shared" si="405"/>
        <v/>
      </c>
      <c r="I4744" s="60" t="str">
        <f t="shared" si="406"/>
        <v/>
      </c>
      <c r="J4744" t="str">
        <f t="shared" si="407"/>
        <v/>
      </c>
      <c r="K4744" s="60" t="str">
        <f t="shared" si="408"/>
        <v/>
      </c>
      <c r="L4744" t="str">
        <f t="shared" si="409"/>
        <v/>
      </c>
    </row>
    <row r="4745" spans="1:12" x14ac:dyDescent="0.25">
      <c r="A4745" t="s">
        <v>4016</v>
      </c>
      <c r="G4745" t="str">
        <f t="shared" si="410"/>
        <v>08/20/19</v>
      </c>
      <c r="H4745" t="str">
        <f t="shared" si="405"/>
        <v/>
      </c>
      <c r="I4745" s="60" t="str">
        <f t="shared" si="406"/>
        <v/>
      </c>
      <c r="J4745" t="str">
        <f t="shared" si="407"/>
        <v/>
      </c>
      <c r="K4745" s="60" t="str">
        <f t="shared" si="408"/>
        <v/>
      </c>
      <c r="L4745" t="str">
        <f t="shared" si="409"/>
        <v/>
      </c>
    </row>
    <row r="4746" spans="1:12" x14ac:dyDescent="0.25">
      <c r="G4746" t="str">
        <f t="shared" si="410"/>
        <v>08/20/19</v>
      </c>
      <c r="H4746" t="str">
        <f t="shared" si="405"/>
        <v/>
      </c>
      <c r="I4746" s="60" t="str">
        <f t="shared" si="406"/>
        <v/>
      </c>
      <c r="J4746" t="str">
        <f t="shared" si="407"/>
        <v/>
      </c>
      <c r="K4746" s="60" t="str">
        <f t="shared" si="408"/>
        <v/>
      </c>
      <c r="L4746" t="str">
        <f t="shared" si="409"/>
        <v/>
      </c>
    </row>
    <row r="4747" spans="1:12" x14ac:dyDescent="0.25">
      <c r="A4747" t="s">
        <v>3292</v>
      </c>
      <c r="G4747" t="str">
        <f t="shared" si="410"/>
        <v>08/21/19</v>
      </c>
      <c r="H4747" t="str">
        <f t="shared" si="405"/>
        <v/>
      </c>
      <c r="I4747" s="60" t="str">
        <f t="shared" si="406"/>
        <v/>
      </c>
      <c r="J4747" t="str">
        <f t="shared" si="407"/>
        <v/>
      </c>
      <c r="K4747" s="60" t="str">
        <f t="shared" si="408"/>
        <v/>
      </c>
      <c r="L4747" t="str">
        <f t="shared" si="409"/>
        <v/>
      </c>
    </row>
    <row r="4748" spans="1:12" x14ac:dyDescent="0.25">
      <c r="G4748" t="str">
        <f t="shared" si="410"/>
        <v>08/21/19</v>
      </c>
      <c r="H4748" t="str">
        <f t="shared" si="405"/>
        <v/>
      </c>
      <c r="I4748" s="60" t="str">
        <f t="shared" si="406"/>
        <v/>
      </c>
      <c r="J4748" t="str">
        <f t="shared" si="407"/>
        <v/>
      </c>
      <c r="K4748" s="60" t="str">
        <f t="shared" si="408"/>
        <v/>
      </c>
      <c r="L4748" t="str">
        <f t="shared" si="409"/>
        <v/>
      </c>
    </row>
    <row r="4749" spans="1:12" x14ac:dyDescent="0.25">
      <c r="A4749" t="s">
        <v>4017</v>
      </c>
      <c r="G4749" t="str">
        <f t="shared" si="410"/>
        <v>08/21/19</v>
      </c>
      <c r="H4749" t="str">
        <f t="shared" si="405"/>
        <v>Colorado Rockies</v>
      </c>
      <c r="I4749" s="60">
        <f t="shared" si="406"/>
        <v>7</v>
      </c>
      <c r="J4749" t="str">
        <f t="shared" si="407"/>
        <v>Arizona D'Backs</v>
      </c>
      <c r="K4749" s="60">
        <f t="shared" si="408"/>
        <v>2</v>
      </c>
      <c r="L4749">
        <f t="shared" si="409"/>
        <v>5</v>
      </c>
    </row>
    <row r="4750" spans="1:12" x14ac:dyDescent="0.25">
      <c r="G4750" t="str">
        <f t="shared" si="410"/>
        <v>08/21/19</v>
      </c>
      <c r="H4750" t="str">
        <f t="shared" si="405"/>
        <v/>
      </c>
      <c r="I4750" s="60" t="str">
        <f t="shared" si="406"/>
        <v/>
      </c>
      <c r="J4750" t="str">
        <f t="shared" si="407"/>
        <v/>
      </c>
      <c r="K4750" s="60" t="str">
        <f t="shared" si="408"/>
        <v/>
      </c>
      <c r="L4750" t="str">
        <f t="shared" si="409"/>
        <v/>
      </c>
    </row>
    <row r="4751" spans="1:12" x14ac:dyDescent="0.25">
      <c r="A4751" t="s">
        <v>4018</v>
      </c>
      <c r="G4751" t="str">
        <f t="shared" si="410"/>
        <v>08/21/19</v>
      </c>
      <c r="H4751" t="str">
        <f t="shared" si="405"/>
        <v>Miami Marlins</v>
      </c>
      <c r="I4751" s="60">
        <f t="shared" si="406"/>
        <v>0</v>
      </c>
      <c r="J4751" t="str">
        <f t="shared" si="407"/>
        <v>Atlanta Braves</v>
      </c>
      <c r="K4751" s="60">
        <f t="shared" si="408"/>
        <v>5</v>
      </c>
      <c r="L4751">
        <f t="shared" si="409"/>
        <v>-5</v>
      </c>
    </row>
    <row r="4752" spans="1:12" x14ac:dyDescent="0.25">
      <c r="G4752" t="str">
        <f t="shared" si="410"/>
        <v>08/21/19</v>
      </c>
      <c r="H4752" t="str">
        <f t="shared" ref="H4752:H4815" si="411">IFERROR(LEFT(MID(A4752,1,SEARCH("@",A4752)-2),SEARCH("(",A4752)-2),"")</f>
        <v/>
      </c>
      <c r="I4752" s="60" t="str">
        <f t="shared" ref="I4752:I4815" si="412">IFERROR(VALUE(MID(A4752,SEARCH("(",A4752)+1,SEARCH(")",A4752)-SEARCH("(",A4752)-1)),"")</f>
        <v/>
      </c>
      <c r="J4752" t="str">
        <f t="shared" ref="J4752:J4815" si="413">IFERROR(MID(A4752,SEARCH("@",A4752)+2,SEARCH("(",A4752,SEARCH("@",A4752))-SEARCH("@",A4752)-3),"")</f>
        <v/>
      </c>
      <c r="K4752" s="60" t="str">
        <f t="shared" ref="K4752:K4815" si="414">IFERROR(VALUE(MID(A4752,SEARCH(J4752,A4752)+LEN(J4752)+2,(SEARCH(")",A4752,SEARCH("@",A4752))-SEARCH("(",A4752,SEARCH("@",A4752))-1))),"")</f>
        <v/>
      </c>
      <c r="L4752" t="str">
        <f t="shared" ref="L4752:L4815" si="415">IFERROR(I4752-K4752,"")</f>
        <v/>
      </c>
    </row>
    <row r="4753" spans="1:12" x14ac:dyDescent="0.25">
      <c r="A4753" t="s">
        <v>4019</v>
      </c>
      <c r="G4753" t="str">
        <f t="shared" si="410"/>
        <v>08/21/19</v>
      </c>
      <c r="H4753" t="str">
        <f t="shared" si="411"/>
        <v>Kansas City Royals</v>
      </c>
      <c r="I4753" s="60">
        <f t="shared" si="412"/>
        <v>1</v>
      </c>
      <c r="J4753" t="str">
        <f t="shared" si="413"/>
        <v>Baltimore Orioles</v>
      </c>
      <c r="K4753" s="60">
        <f t="shared" si="414"/>
        <v>8</v>
      </c>
      <c r="L4753">
        <f t="shared" si="415"/>
        <v>-7</v>
      </c>
    </row>
    <row r="4754" spans="1:12" x14ac:dyDescent="0.25">
      <c r="G4754" t="str">
        <f t="shared" si="410"/>
        <v>08/21/19</v>
      </c>
      <c r="H4754" t="str">
        <f t="shared" si="411"/>
        <v/>
      </c>
      <c r="I4754" s="60" t="str">
        <f t="shared" si="412"/>
        <v/>
      </c>
      <c r="J4754" t="str">
        <f t="shared" si="413"/>
        <v/>
      </c>
      <c r="K4754" s="60" t="str">
        <f t="shared" si="414"/>
        <v/>
      </c>
      <c r="L4754" t="str">
        <f t="shared" si="415"/>
        <v/>
      </c>
    </row>
    <row r="4755" spans="1:12" x14ac:dyDescent="0.25">
      <c r="A4755" t="s">
        <v>4020</v>
      </c>
      <c r="G4755" t="str">
        <f t="shared" si="410"/>
        <v>08/21/19</v>
      </c>
      <c r="H4755" t="str">
        <f t="shared" si="411"/>
        <v>Philadelphia Phillies</v>
      </c>
      <c r="I4755" s="60">
        <f t="shared" si="412"/>
        <v>5</v>
      </c>
      <c r="J4755" t="str">
        <f t="shared" si="413"/>
        <v>Boston Red Sox</v>
      </c>
      <c r="K4755" s="60">
        <f t="shared" si="414"/>
        <v>2</v>
      </c>
      <c r="L4755">
        <f t="shared" si="415"/>
        <v>3</v>
      </c>
    </row>
    <row r="4756" spans="1:12" x14ac:dyDescent="0.25">
      <c r="G4756" t="str">
        <f t="shared" si="410"/>
        <v>08/21/19</v>
      </c>
      <c r="H4756" t="str">
        <f t="shared" si="411"/>
        <v/>
      </c>
      <c r="I4756" s="60" t="str">
        <f t="shared" si="412"/>
        <v/>
      </c>
      <c r="J4756" t="str">
        <f t="shared" si="413"/>
        <v/>
      </c>
      <c r="K4756" s="60" t="str">
        <f t="shared" si="414"/>
        <v/>
      </c>
      <c r="L4756" t="str">
        <f t="shared" si="415"/>
        <v/>
      </c>
    </row>
    <row r="4757" spans="1:12" x14ac:dyDescent="0.25">
      <c r="A4757" t="s">
        <v>4021</v>
      </c>
      <c r="G4757" t="str">
        <f t="shared" si="410"/>
        <v>08/21/19</v>
      </c>
      <c r="H4757" t="str">
        <f t="shared" si="411"/>
        <v>San Francisco Giants</v>
      </c>
      <c r="I4757" s="60">
        <f t="shared" si="412"/>
        <v>11</v>
      </c>
      <c r="J4757" t="str">
        <f t="shared" si="413"/>
        <v>Chicago Cubs</v>
      </c>
      <c r="K4757" s="60">
        <f t="shared" si="414"/>
        <v>12</v>
      </c>
      <c r="L4757">
        <f t="shared" si="415"/>
        <v>-1</v>
      </c>
    </row>
    <row r="4758" spans="1:12" x14ac:dyDescent="0.25">
      <c r="G4758" t="str">
        <f t="shared" si="410"/>
        <v>08/21/19</v>
      </c>
      <c r="H4758" t="str">
        <f t="shared" si="411"/>
        <v/>
      </c>
      <c r="I4758" s="60" t="str">
        <f t="shared" si="412"/>
        <v/>
      </c>
      <c r="J4758" t="str">
        <f t="shared" si="413"/>
        <v/>
      </c>
      <c r="K4758" s="60" t="str">
        <f t="shared" si="414"/>
        <v/>
      </c>
      <c r="L4758" t="str">
        <f t="shared" si="415"/>
        <v/>
      </c>
    </row>
    <row r="4759" spans="1:12" x14ac:dyDescent="0.25">
      <c r="A4759" t="s">
        <v>4022</v>
      </c>
      <c r="G4759" t="str">
        <f t="shared" si="410"/>
        <v>08/21/19</v>
      </c>
      <c r="H4759" t="str">
        <f t="shared" si="411"/>
        <v>San Diego Padres</v>
      </c>
      <c r="I4759" s="60">
        <f t="shared" si="412"/>
        <v>2</v>
      </c>
      <c r="J4759" t="str">
        <f t="shared" si="413"/>
        <v>Cincinnati Reds</v>
      </c>
      <c r="K4759" s="60">
        <f t="shared" si="414"/>
        <v>4</v>
      </c>
      <c r="L4759">
        <f t="shared" si="415"/>
        <v>-2</v>
      </c>
    </row>
    <row r="4760" spans="1:12" x14ac:dyDescent="0.25">
      <c r="G4760" t="str">
        <f t="shared" si="410"/>
        <v>08/21/19</v>
      </c>
      <c r="H4760" t="str">
        <f t="shared" si="411"/>
        <v/>
      </c>
      <c r="I4760" s="60" t="str">
        <f t="shared" si="412"/>
        <v/>
      </c>
      <c r="J4760" t="str">
        <f t="shared" si="413"/>
        <v/>
      </c>
      <c r="K4760" s="60" t="str">
        <f t="shared" si="414"/>
        <v/>
      </c>
      <c r="L4760" t="str">
        <f t="shared" si="415"/>
        <v/>
      </c>
    </row>
    <row r="4761" spans="1:12" x14ac:dyDescent="0.25">
      <c r="A4761" t="s">
        <v>4023</v>
      </c>
      <c r="G4761" t="str">
        <f t="shared" si="410"/>
        <v>08/21/19</v>
      </c>
      <c r="H4761" t="str">
        <f t="shared" si="411"/>
        <v>Detroit Tigers</v>
      </c>
      <c r="I4761" s="60">
        <f t="shared" si="412"/>
        <v>2</v>
      </c>
      <c r="J4761" t="str">
        <f t="shared" si="413"/>
        <v>Houston Astros</v>
      </c>
      <c r="K4761" s="60">
        <f t="shared" si="414"/>
        <v>1</v>
      </c>
      <c r="L4761">
        <f t="shared" si="415"/>
        <v>1</v>
      </c>
    </row>
    <row r="4762" spans="1:12" x14ac:dyDescent="0.25">
      <c r="G4762" t="str">
        <f t="shared" si="410"/>
        <v>08/21/19</v>
      </c>
      <c r="H4762" t="str">
        <f t="shared" si="411"/>
        <v/>
      </c>
      <c r="I4762" s="60" t="str">
        <f t="shared" si="412"/>
        <v/>
      </c>
      <c r="J4762" t="str">
        <f t="shared" si="413"/>
        <v/>
      </c>
      <c r="K4762" s="60" t="str">
        <f t="shared" si="414"/>
        <v/>
      </c>
      <c r="L4762" t="str">
        <f t="shared" si="415"/>
        <v/>
      </c>
    </row>
    <row r="4763" spans="1:12" x14ac:dyDescent="0.25">
      <c r="A4763" t="s">
        <v>4024</v>
      </c>
      <c r="G4763" t="str">
        <f t="shared" si="410"/>
        <v>08/21/19</v>
      </c>
      <c r="H4763" t="str">
        <f t="shared" si="411"/>
        <v>Toronto Blue Jays</v>
      </c>
      <c r="I4763" s="60">
        <f t="shared" si="412"/>
        <v>1</v>
      </c>
      <c r="J4763" t="str">
        <f t="shared" si="413"/>
        <v>Los Angeles Dodgers</v>
      </c>
      <c r="K4763" s="60">
        <f t="shared" si="414"/>
        <v>2</v>
      </c>
      <c r="L4763">
        <f t="shared" si="415"/>
        <v>-1</v>
      </c>
    </row>
    <row r="4764" spans="1:12" x14ac:dyDescent="0.25">
      <c r="G4764" t="str">
        <f t="shared" si="410"/>
        <v>08/21/19</v>
      </c>
      <c r="H4764" t="str">
        <f t="shared" si="411"/>
        <v/>
      </c>
      <c r="I4764" s="60" t="str">
        <f t="shared" si="412"/>
        <v/>
      </c>
      <c r="J4764" t="str">
        <f t="shared" si="413"/>
        <v/>
      </c>
      <c r="K4764" s="60" t="str">
        <f t="shared" si="414"/>
        <v/>
      </c>
      <c r="L4764" t="str">
        <f t="shared" si="415"/>
        <v/>
      </c>
    </row>
    <row r="4765" spans="1:12" x14ac:dyDescent="0.25">
      <c r="A4765" t="s">
        <v>4025</v>
      </c>
      <c r="G4765" t="str">
        <f t="shared" si="410"/>
        <v>08/21/19</v>
      </c>
      <c r="H4765" t="str">
        <f t="shared" si="411"/>
        <v>Chicago White Sox</v>
      </c>
      <c r="I4765" s="60">
        <f t="shared" si="412"/>
        <v>4</v>
      </c>
      <c r="J4765" t="str">
        <f t="shared" si="413"/>
        <v>Minnesota Twins</v>
      </c>
      <c r="K4765" s="60">
        <f t="shared" si="414"/>
        <v>0</v>
      </c>
      <c r="L4765">
        <f t="shared" si="415"/>
        <v>4</v>
      </c>
    </row>
    <row r="4766" spans="1:12" x14ac:dyDescent="0.25">
      <c r="G4766" t="str">
        <f t="shared" si="410"/>
        <v>08/21/19</v>
      </c>
      <c r="H4766" t="str">
        <f t="shared" si="411"/>
        <v/>
      </c>
      <c r="I4766" s="60" t="str">
        <f t="shared" si="412"/>
        <v/>
      </c>
      <c r="J4766" t="str">
        <f t="shared" si="413"/>
        <v/>
      </c>
      <c r="K4766" s="60" t="str">
        <f t="shared" si="414"/>
        <v/>
      </c>
      <c r="L4766" t="str">
        <f t="shared" si="415"/>
        <v/>
      </c>
    </row>
    <row r="4767" spans="1:12" x14ac:dyDescent="0.25">
      <c r="A4767" t="s">
        <v>4026</v>
      </c>
      <c r="G4767" t="str">
        <f t="shared" si="410"/>
        <v>08/21/19</v>
      </c>
      <c r="H4767" t="str">
        <f t="shared" si="411"/>
        <v>Cleveland Indians</v>
      </c>
      <c r="I4767" s="60">
        <f t="shared" si="412"/>
        <v>3</v>
      </c>
      <c r="J4767" t="str">
        <f t="shared" si="413"/>
        <v>New York Mets</v>
      </c>
      <c r="K4767" s="60">
        <f t="shared" si="414"/>
        <v>4</v>
      </c>
      <c r="L4767">
        <f t="shared" si="415"/>
        <v>-1</v>
      </c>
    </row>
    <row r="4768" spans="1:12" x14ac:dyDescent="0.25">
      <c r="G4768" t="str">
        <f t="shared" si="410"/>
        <v>08/21/19</v>
      </c>
      <c r="H4768" t="str">
        <f t="shared" si="411"/>
        <v/>
      </c>
      <c r="I4768" s="60" t="str">
        <f t="shared" si="412"/>
        <v/>
      </c>
      <c r="J4768" t="str">
        <f t="shared" si="413"/>
        <v/>
      </c>
      <c r="K4768" s="60" t="str">
        <f t="shared" si="414"/>
        <v/>
      </c>
      <c r="L4768" t="str">
        <f t="shared" si="415"/>
        <v/>
      </c>
    </row>
    <row r="4769" spans="1:12" x14ac:dyDescent="0.25">
      <c r="A4769" t="s">
        <v>4027</v>
      </c>
      <c r="G4769" t="str">
        <f t="shared" si="410"/>
        <v>08/21/19</v>
      </c>
      <c r="H4769" t="str">
        <f t="shared" si="411"/>
        <v>New York Yankees</v>
      </c>
      <c r="I4769" s="60">
        <f t="shared" si="412"/>
        <v>4</v>
      </c>
      <c r="J4769" t="str">
        <f t="shared" si="413"/>
        <v>Oakland Athletics</v>
      </c>
      <c r="K4769" s="60">
        <f t="shared" si="414"/>
        <v>6</v>
      </c>
      <c r="L4769">
        <f t="shared" si="415"/>
        <v>-2</v>
      </c>
    </row>
    <row r="4770" spans="1:12" x14ac:dyDescent="0.25">
      <c r="G4770" t="str">
        <f t="shared" ref="G4770:G4833" si="416">IF(ISNUMBER(MATCH(IFERROR(LEFT(A4770,SEARCH(",",A4770)-1),""),$G$220:$M$220,0)),TEXT(MID(A4770,SEARCH(",",A4770)+2,LEN(A4770)),"mm/dd/yy"),G4769)</f>
        <v>08/21/19</v>
      </c>
      <c r="H4770" t="str">
        <f t="shared" si="411"/>
        <v/>
      </c>
      <c r="I4770" s="60" t="str">
        <f t="shared" si="412"/>
        <v/>
      </c>
      <c r="J4770" t="str">
        <f t="shared" si="413"/>
        <v/>
      </c>
      <c r="K4770" s="60" t="str">
        <f t="shared" si="414"/>
        <v/>
      </c>
      <c r="L4770" t="str">
        <f t="shared" si="415"/>
        <v/>
      </c>
    </row>
    <row r="4771" spans="1:12" x14ac:dyDescent="0.25">
      <c r="A4771" t="s">
        <v>4028</v>
      </c>
      <c r="G4771" t="str">
        <f t="shared" si="416"/>
        <v>08/21/19</v>
      </c>
      <c r="H4771" t="str">
        <f t="shared" si="411"/>
        <v>Washington Nationals</v>
      </c>
      <c r="I4771" s="60">
        <f t="shared" si="412"/>
        <v>11</v>
      </c>
      <c r="J4771" t="str">
        <f t="shared" si="413"/>
        <v>Pittsburgh Pirates</v>
      </c>
      <c r="K4771" s="60">
        <f t="shared" si="414"/>
        <v>1</v>
      </c>
      <c r="L4771">
        <f t="shared" si="415"/>
        <v>10</v>
      </c>
    </row>
    <row r="4772" spans="1:12" x14ac:dyDescent="0.25">
      <c r="G4772" t="str">
        <f t="shared" si="416"/>
        <v>08/21/19</v>
      </c>
      <c r="H4772" t="str">
        <f t="shared" si="411"/>
        <v/>
      </c>
      <c r="I4772" s="60" t="str">
        <f t="shared" si="412"/>
        <v/>
      </c>
      <c r="J4772" t="str">
        <f t="shared" si="413"/>
        <v/>
      </c>
      <c r="K4772" s="60" t="str">
        <f t="shared" si="414"/>
        <v/>
      </c>
      <c r="L4772" t="str">
        <f t="shared" si="415"/>
        <v/>
      </c>
    </row>
    <row r="4773" spans="1:12" x14ac:dyDescent="0.25">
      <c r="A4773" t="s">
        <v>4029</v>
      </c>
      <c r="G4773" t="str">
        <f t="shared" si="416"/>
        <v>08/21/19</v>
      </c>
      <c r="H4773" t="str">
        <f t="shared" si="411"/>
        <v>Milwaukee Brewers</v>
      </c>
      <c r="I4773" s="60">
        <f t="shared" si="412"/>
        <v>5</v>
      </c>
      <c r="J4773" t="str">
        <f t="shared" si="413"/>
        <v>St. Louis Cardinals</v>
      </c>
      <c r="K4773" s="60">
        <f t="shared" si="414"/>
        <v>3</v>
      </c>
      <c r="L4773">
        <f t="shared" si="415"/>
        <v>2</v>
      </c>
    </row>
    <row r="4774" spans="1:12" x14ac:dyDescent="0.25">
      <c r="G4774" t="str">
        <f t="shared" si="416"/>
        <v>08/21/19</v>
      </c>
      <c r="H4774" t="str">
        <f t="shared" si="411"/>
        <v/>
      </c>
      <c r="I4774" s="60" t="str">
        <f t="shared" si="412"/>
        <v/>
      </c>
      <c r="J4774" t="str">
        <f t="shared" si="413"/>
        <v/>
      </c>
      <c r="K4774" s="60" t="str">
        <f t="shared" si="414"/>
        <v/>
      </c>
      <c r="L4774" t="str">
        <f t="shared" si="415"/>
        <v/>
      </c>
    </row>
    <row r="4775" spans="1:12" x14ac:dyDescent="0.25">
      <c r="A4775" t="s">
        <v>4030</v>
      </c>
      <c r="G4775" t="str">
        <f t="shared" si="416"/>
        <v>08/21/19</v>
      </c>
      <c r="H4775" t="str">
        <f t="shared" si="411"/>
        <v>Seattle Mariners</v>
      </c>
      <c r="I4775" s="60">
        <f t="shared" si="412"/>
        <v>6</v>
      </c>
      <c r="J4775" t="str">
        <f t="shared" si="413"/>
        <v>Tampa Bay Rays</v>
      </c>
      <c r="K4775" s="60">
        <f t="shared" si="414"/>
        <v>7</v>
      </c>
      <c r="L4775">
        <f t="shared" si="415"/>
        <v>-1</v>
      </c>
    </row>
    <row r="4776" spans="1:12" x14ac:dyDescent="0.25">
      <c r="G4776" t="str">
        <f t="shared" si="416"/>
        <v>08/21/19</v>
      </c>
      <c r="H4776" t="str">
        <f t="shared" si="411"/>
        <v/>
      </c>
      <c r="I4776" s="60" t="str">
        <f t="shared" si="412"/>
        <v/>
      </c>
      <c r="J4776" t="str">
        <f t="shared" si="413"/>
        <v/>
      </c>
      <c r="K4776" s="60" t="str">
        <f t="shared" si="414"/>
        <v/>
      </c>
      <c r="L4776" t="str">
        <f t="shared" si="415"/>
        <v/>
      </c>
    </row>
    <row r="4777" spans="1:12" x14ac:dyDescent="0.25">
      <c r="A4777" t="s">
        <v>3998</v>
      </c>
      <c r="G4777" t="str">
        <f t="shared" si="416"/>
        <v>08/21/19</v>
      </c>
      <c r="H4777" t="str">
        <f t="shared" si="411"/>
        <v>Los Angeles Angels</v>
      </c>
      <c r="I4777" s="60">
        <f t="shared" si="412"/>
        <v>7</v>
      </c>
      <c r="J4777" t="str">
        <f t="shared" si="413"/>
        <v>Texas Rangers</v>
      </c>
      <c r="K4777" s="60">
        <f t="shared" si="414"/>
        <v>8</v>
      </c>
      <c r="L4777">
        <f t="shared" si="415"/>
        <v>-1</v>
      </c>
    </row>
    <row r="4778" spans="1:12" x14ac:dyDescent="0.25">
      <c r="G4778" t="str">
        <f t="shared" si="416"/>
        <v>08/21/19</v>
      </c>
      <c r="H4778" t="str">
        <f t="shared" si="411"/>
        <v/>
      </c>
      <c r="I4778" s="60" t="str">
        <f t="shared" si="412"/>
        <v/>
      </c>
      <c r="J4778" t="str">
        <f t="shared" si="413"/>
        <v/>
      </c>
      <c r="K4778" s="60" t="str">
        <f t="shared" si="414"/>
        <v/>
      </c>
      <c r="L4778" t="str">
        <f t="shared" si="415"/>
        <v/>
      </c>
    </row>
    <row r="4779" spans="1:12" x14ac:dyDescent="0.25">
      <c r="A4779" t="s">
        <v>4031</v>
      </c>
      <c r="G4779" t="str">
        <f t="shared" si="416"/>
        <v>08/21/19</v>
      </c>
      <c r="H4779" t="str">
        <f t="shared" si="411"/>
        <v/>
      </c>
      <c r="I4779" s="60" t="str">
        <f t="shared" si="412"/>
        <v/>
      </c>
      <c r="J4779" t="str">
        <f t="shared" si="413"/>
        <v/>
      </c>
      <c r="K4779" s="60" t="str">
        <f t="shared" si="414"/>
        <v/>
      </c>
      <c r="L4779" t="str">
        <f t="shared" si="415"/>
        <v/>
      </c>
    </row>
    <row r="4780" spans="1:12" x14ac:dyDescent="0.25">
      <c r="G4780" t="str">
        <f t="shared" si="416"/>
        <v>08/21/19</v>
      </c>
      <c r="H4780" t="str">
        <f t="shared" si="411"/>
        <v/>
      </c>
      <c r="I4780" s="60" t="str">
        <f t="shared" si="412"/>
        <v/>
      </c>
      <c r="J4780" t="str">
        <f t="shared" si="413"/>
        <v/>
      </c>
      <c r="K4780" s="60" t="str">
        <f t="shared" si="414"/>
        <v/>
      </c>
      <c r="L4780" t="str">
        <f t="shared" si="415"/>
        <v/>
      </c>
    </row>
    <row r="4781" spans="1:12" x14ac:dyDescent="0.25">
      <c r="A4781" t="s">
        <v>3293</v>
      </c>
      <c r="G4781" t="str">
        <f t="shared" si="416"/>
        <v>08/22/19</v>
      </c>
      <c r="H4781" t="str">
        <f t="shared" si="411"/>
        <v/>
      </c>
      <c r="I4781" s="60" t="str">
        <f t="shared" si="412"/>
        <v/>
      </c>
      <c r="J4781" t="str">
        <f t="shared" si="413"/>
        <v/>
      </c>
      <c r="K4781" s="60" t="str">
        <f t="shared" si="414"/>
        <v/>
      </c>
      <c r="L4781" t="str">
        <f t="shared" si="415"/>
        <v/>
      </c>
    </row>
    <row r="4782" spans="1:12" x14ac:dyDescent="0.25">
      <c r="G4782" t="str">
        <f t="shared" si="416"/>
        <v>08/22/19</v>
      </c>
      <c r="H4782" t="str">
        <f t="shared" si="411"/>
        <v/>
      </c>
      <c r="I4782" s="60" t="str">
        <f t="shared" si="412"/>
        <v/>
      </c>
      <c r="J4782" t="str">
        <f t="shared" si="413"/>
        <v/>
      </c>
      <c r="K4782" s="60" t="str">
        <f t="shared" si="414"/>
        <v/>
      </c>
      <c r="L4782" t="str">
        <f t="shared" si="415"/>
        <v/>
      </c>
    </row>
    <row r="4783" spans="1:12" x14ac:dyDescent="0.25">
      <c r="A4783" t="s">
        <v>4032</v>
      </c>
      <c r="G4783" t="str">
        <f t="shared" si="416"/>
        <v>08/22/19</v>
      </c>
      <c r="H4783" t="str">
        <f t="shared" si="411"/>
        <v>Miami Marlins</v>
      </c>
      <c r="I4783" s="60">
        <f t="shared" si="412"/>
        <v>2</v>
      </c>
      <c r="J4783" t="str">
        <f t="shared" si="413"/>
        <v>Atlanta Braves</v>
      </c>
      <c r="K4783" s="60">
        <f t="shared" si="414"/>
        <v>3</v>
      </c>
      <c r="L4783">
        <f t="shared" si="415"/>
        <v>-1</v>
      </c>
    </row>
    <row r="4784" spans="1:12" x14ac:dyDescent="0.25">
      <c r="G4784" t="str">
        <f t="shared" si="416"/>
        <v>08/22/19</v>
      </c>
      <c r="H4784" t="str">
        <f t="shared" si="411"/>
        <v/>
      </c>
      <c r="I4784" s="60" t="str">
        <f t="shared" si="412"/>
        <v/>
      </c>
      <c r="J4784" t="str">
        <f t="shared" si="413"/>
        <v/>
      </c>
      <c r="K4784" s="60" t="str">
        <f t="shared" si="414"/>
        <v/>
      </c>
      <c r="L4784" t="str">
        <f t="shared" si="415"/>
        <v/>
      </c>
    </row>
    <row r="4785" spans="1:12" x14ac:dyDescent="0.25">
      <c r="A4785" t="s">
        <v>4033</v>
      </c>
      <c r="G4785" t="str">
        <f t="shared" si="416"/>
        <v>08/22/19</v>
      </c>
      <c r="H4785" t="str">
        <f t="shared" si="411"/>
        <v>Tampa Bay Rays</v>
      </c>
      <c r="I4785" s="60">
        <f t="shared" si="412"/>
        <v>5</v>
      </c>
      <c r="J4785" t="str">
        <f t="shared" si="413"/>
        <v>Baltimore Orioles</v>
      </c>
      <c r="K4785" s="60">
        <f t="shared" si="414"/>
        <v>2</v>
      </c>
      <c r="L4785">
        <f t="shared" si="415"/>
        <v>3</v>
      </c>
    </row>
    <row r="4786" spans="1:12" x14ac:dyDescent="0.25">
      <c r="G4786" t="str">
        <f t="shared" si="416"/>
        <v>08/22/19</v>
      </c>
      <c r="H4786" t="str">
        <f t="shared" si="411"/>
        <v/>
      </c>
      <c r="I4786" s="60" t="str">
        <f t="shared" si="412"/>
        <v/>
      </c>
      <c r="J4786" t="str">
        <f t="shared" si="413"/>
        <v/>
      </c>
      <c r="K4786" s="60" t="str">
        <f t="shared" si="414"/>
        <v/>
      </c>
      <c r="L4786" t="str">
        <f t="shared" si="415"/>
        <v/>
      </c>
    </row>
    <row r="4787" spans="1:12" x14ac:dyDescent="0.25">
      <c r="A4787" t="s">
        <v>4034</v>
      </c>
      <c r="G4787" t="str">
        <f t="shared" si="416"/>
        <v>08/22/19</v>
      </c>
      <c r="H4787" t="str">
        <f t="shared" si="411"/>
        <v>Texas Rangers</v>
      </c>
      <c r="I4787" s="60">
        <f t="shared" si="412"/>
        <v>1</v>
      </c>
      <c r="J4787" t="str">
        <f t="shared" si="413"/>
        <v>Chicago White Sox</v>
      </c>
      <c r="K4787" s="60">
        <f t="shared" si="414"/>
        <v>6</v>
      </c>
      <c r="L4787">
        <f t="shared" si="415"/>
        <v>-5</v>
      </c>
    </row>
    <row r="4788" spans="1:12" x14ac:dyDescent="0.25">
      <c r="G4788" t="str">
        <f t="shared" si="416"/>
        <v>08/22/19</v>
      </c>
      <c r="H4788" t="str">
        <f t="shared" si="411"/>
        <v/>
      </c>
      <c r="I4788" s="60" t="str">
        <f t="shared" si="412"/>
        <v/>
      </c>
      <c r="J4788" t="str">
        <f t="shared" si="413"/>
        <v/>
      </c>
      <c r="K4788" s="60" t="str">
        <f t="shared" si="414"/>
        <v/>
      </c>
      <c r="L4788" t="str">
        <f t="shared" si="415"/>
        <v/>
      </c>
    </row>
    <row r="4789" spans="1:12" x14ac:dyDescent="0.25">
      <c r="A4789" t="s">
        <v>4035</v>
      </c>
      <c r="G4789" t="str">
        <f t="shared" si="416"/>
        <v>08/22/19</v>
      </c>
      <c r="H4789" t="str">
        <f t="shared" si="411"/>
        <v>San Francisco Giants</v>
      </c>
      <c r="I4789" s="60">
        <f t="shared" si="412"/>
        <v>0</v>
      </c>
      <c r="J4789" t="str">
        <f t="shared" si="413"/>
        <v>Chicago Cubs</v>
      </c>
      <c r="K4789" s="60">
        <f t="shared" si="414"/>
        <v>1</v>
      </c>
      <c r="L4789">
        <f t="shared" si="415"/>
        <v>-1</v>
      </c>
    </row>
    <row r="4790" spans="1:12" x14ac:dyDescent="0.25">
      <c r="G4790" t="str">
        <f t="shared" si="416"/>
        <v>08/22/19</v>
      </c>
      <c r="H4790" t="str">
        <f t="shared" si="411"/>
        <v/>
      </c>
      <c r="I4790" s="60" t="str">
        <f t="shared" si="412"/>
        <v/>
      </c>
      <c r="J4790" t="str">
        <f t="shared" si="413"/>
        <v/>
      </c>
      <c r="K4790" s="60" t="str">
        <f t="shared" si="414"/>
        <v/>
      </c>
      <c r="L4790" t="str">
        <f t="shared" si="415"/>
        <v/>
      </c>
    </row>
    <row r="4791" spans="1:12" x14ac:dyDescent="0.25">
      <c r="A4791" t="s">
        <v>4006</v>
      </c>
      <c r="G4791" t="str">
        <f t="shared" si="416"/>
        <v>08/22/19</v>
      </c>
      <c r="H4791" t="str">
        <f t="shared" si="411"/>
        <v>Detroit Tigers</v>
      </c>
      <c r="I4791" s="60">
        <f t="shared" si="412"/>
        <v>3</v>
      </c>
      <c r="J4791" t="str">
        <f t="shared" si="413"/>
        <v>Houston Astros</v>
      </c>
      <c r="K4791" s="60">
        <f t="shared" si="414"/>
        <v>6</v>
      </c>
      <c r="L4791">
        <f t="shared" si="415"/>
        <v>-3</v>
      </c>
    </row>
    <row r="4792" spans="1:12" x14ac:dyDescent="0.25">
      <c r="G4792" t="str">
        <f t="shared" si="416"/>
        <v>08/22/19</v>
      </c>
      <c r="H4792" t="str">
        <f t="shared" si="411"/>
        <v/>
      </c>
      <c r="I4792" s="60" t="str">
        <f t="shared" si="412"/>
        <v/>
      </c>
      <c r="J4792" t="str">
        <f t="shared" si="413"/>
        <v/>
      </c>
      <c r="K4792" s="60" t="str">
        <f t="shared" si="414"/>
        <v/>
      </c>
      <c r="L4792" t="str">
        <f t="shared" si="415"/>
        <v/>
      </c>
    </row>
    <row r="4793" spans="1:12" x14ac:dyDescent="0.25">
      <c r="A4793" t="s">
        <v>4036</v>
      </c>
      <c r="G4793" t="str">
        <f t="shared" si="416"/>
        <v>08/22/19</v>
      </c>
      <c r="H4793" t="str">
        <f t="shared" si="411"/>
        <v>Toronto Blue Jays</v>
      </c>
      <c r="I4793" s="60">
        <f t="shared" si="412"/>
        <v>2</v>
      </c>
      <c r="J4793" t="str">
        <f t="shared" si="413"/>
        <v>Los Angeles Dodgers</v>
      </c>
      <c r="K4793" s="60">
        <f t="shared" si="414"/>
        <v>3</v>
      </c>
      <c r="L4793">
        <f t="shared" si="415"/>
        <v>-1</v>
      </c>
    </row>
    <row r="4794" spans="1:12" x14ac:dyDescent="0.25">
      <c r="G4794" t="str">
        <f t="shared" si="416"/>
        <v>08/22/19</v>
      </c>
      <c r="H4794" t="str">
        <f t="shared" si="411"/>
        <v/>
      </c>
      <c r="I4794" s="60" t="str">
        <f t="shared" si="412"/>
        <v/>
      </c>
      <c r="J4794" t="str">
        <f t="shared" si="413"/>
        <v/>
      </c>
      <c r="K4794" s="60" t="str">
        <f t="shared" si="414"/>
        <v/>
      </c>
      <c r="L4794" t="str">
        <f t="shared" si="415"/>
        <v/>
      </c>
    </row>
    <row r="4795" spans="1:12" x14ac:dyDescent="0.25">
      <c r="A4795" t="s">
        <v>4037</v>
      </c>
      <c r="G4795" t="str">
        <f t="shared" si="416"/>
        <v>08/22/19</v>
      </c>
      <c r="H4795" t="str">
        <f t="shared" si="411"/>
        <v>Cleveland Indians</v>
      </c>
      <c r="I4795" s="60">
        <f t="shared" si="412"/>
        <v>0</v>
      </c>
      <c r="J4795" t="str">
        <f t="shared" si="413"/>
        <v>New York Mets</v>
      </c>
      <c r="K4795" s="60">
        <f t="shared" si="414"/>
        <v>2</v>
      </c>
      <c r="L4795">
        <f t="shared" si="415"/>
        <v>-2</v>
      </c>
    </row>
    <row r="4796" spans="1:12" x14ac:dyDescent="0.25">
      <c r="G4796" t="str">
        <f t="shared" si="416"/>
        <v>08/22/19</v>
      </c>
      <c r="H4796" t="str">
        <f t="shared" si="411"/>
        <v/>
      </c>
      <c r="I4796" s="60" t="str">
        <f t="shared" si="412"/>
        <v/>
      </c>
      <c r="J4796" t="str">
        <f t="shared" si="413"/>
        <v/>
      </c>
      <c r="K4796" s="60" t="str">
        <f t="shared" si="414"/>
        <v/>
      </c>
      <c r="L4796" t="str">
        <f t="shared" si="415"/>
        <v/>
      </c>
    </row>
    <row r="4797" spans="1:12" x14ac:dyDescent="0.25">
      <c r="A4797" t="s">
        <v>4038</v>
      </c>
      <c r="G4797" t="str">
        <f t="shared" si="416"/>
        <v>08/22/19</v>
      </c>
      <c r="H4797" t="str">
        <f t="shared" si="411"/>
        <v>New York Yankees</v>
      </c>
      <c r="I4797" s="60">
        <f t="shared" si="412"/>
        <v>3</v>
      </c>
      <c r="J4797" t="str">
        <f t="shared" si="413"/>
        <v>Oakland Athletics</v>
      </c>
      <c r="K4797" s="60">
        <f t="shared" si="414"/>
        <v>5</v>
      </c>
      <c r="L4797">
        <f t="shared" si="415"/>
        <v>-2</v>
      </c>
    </row>
    <row r="4798" spans="1:12" x14ac:dyDescent="0.25">
      <c r="G4798" t="str">
        <f t="shared" si="416"/>
        <v>08/22/19</v>
      </c>
      <c r="H4798" t="str">
        <f t="shared" si="411"/>
        <v/>
      </c>
      <c r="I4798" s="60" t="str">
        <f t="shared" si="412"/>
        <v/>
      </c>
      <c r="J4798" t="str">
        <f t="shared" si="413"/>
        <v/>
      </c>
      <c r="K4798" s="60" t="str">
        <f t="shared" si="414"/>
        <v/>
      </c>
      <c r="L4798" t="str">
        <f t="shared" si="415"/>
        <v/>
      </c>
    </row>
    <row r="4799" spans="1:12" x14ac:dyDescent="0.25">
      <c r="A4799" t="s">
        <v>4039</v>
      </c>
      <c r="G4799" t="str">
        <f t="shared" si="416"/>
        <v>08/22/19</v>
      </c>
      <c r="H4799" t="str">
        <f t="shared" si="411"/>
        <v>Washington Nationals</v>
      </c>
      <c r="I4799" s="60">
        <f t="shared" si="412"/>
        <v>7</v>
      </c>
      <c r="J4799" t="str">
        <f t="shared" si="413"/>
        <v>Pittsburgh Pirates</v>
      </c>
      <c r="K4799" s="60">
        <f t="shared" si="414"/>
        <v>1</v>
      </c>
      <c r="L4799">
        <f t="shared" si="415"/>
        <v>6</v>
      </c>
    </row>
    <row r="4800" spans="1:12" x14ac:dyDescent="0.25">
      <c r="G4800" t="str">
        <f t="shared" si="416"/>
        <v>08/22/19</v>
      </c>
      <c r="H4800" t="str">
        <f t="shared" si="411"/>
        <v/>
      </c>
      <c r="I4800" s="60" t="str">
        <f t="shared" si="412"/>
        <v/>
      </c>
      <c r="J4800" t="str">
        <f t="shared" si="413"/>
        <v/>
      </c>
      <c r="K4800" s="60" t="str">
        <f t="shared" si="414"/>
        <v/>
      </c>
      <c r="L4800" t="str">
        <f t="shared" si="415"/>
        <v/>
      </c>
    </row>
    <row r="4801" spans="1:12" x14ac:dyDescent="0.25">
      <c r="A4801" t="s">
        <v>4040</v>
      </c>
      <c r="G4801" t="str">
        <f t="shared" si="416"/>
        <v>08/22/19</v>
      </c>
      <c r="H4801" t="str">
        <f t="shared" si="411"/>
        <v>Colorado Rockies</v>
      </c>
      <c r="I4801" s="60">
        <f t="shared" si="412"/>
        <v>5</v>
      </c>
      <c r="J4801" t="str">
        <f t="shared" si="413"/>
        <v>St. Louis Cardinals</v>
      </c>
      <c r="K4801" s="60">
        <f t="shared" si="414"/>
        <v>6</v>
      </c>
      <c r="L4801">
        <f t="shared" si="415"/>
        <v>-1</v>
      </c>
    </row>
    <row r="4802" spans="1:12" x14ac:dyDescent="0.25">
      <c r="G4802" t="str">
        <f t="shared" si="416"/>
        <v>08/22/19</v>
      </c>
      <c r="H4802" t="str">
        <f t="shared" si="411"/>
        <v/>
      </c>
      <c r="I4802" s="60" t="str">
        <f t="shared" si="412"/>
        <v/>
      </c>
      <c r="J4802" t="str">
        <f t="shared" si="413"/>
        <v/>
      </c>
      <c r="K4802" s="60" t="str">
        <f t="shared" si="414"/>
        <v/>
      </c>
      <c r="L4802" t="str">
        <f t="shared" si="415"/>
        <v/>
      </c>
    </row>
    <row r="4803" spans="1:12" x14ac:dyDescent="0.25">
      <c r="A4803" t="s">
        <v>4041</v>
      </c>
      <c r="G4803" t="str">
        <f t="shared" si="416"/>
        <v>08/22/19</v>
      </c>
      <c r="H4803" t="str">
        <f t="shared" si="411"/>
        <v/>
      </c>
      <c r="I4803" s="60" t="str">
        <f t="shared" si="412"/>
        <v/>
      </c>
      <c r="J4803" t="str">
        <f t="shared" si="413"/>
        <v/>
      </c>
      <c r="K4803" s="60" t="str">
        <f t="shared" si="414"/>
        <v/>
      </c>
      <c r="L4803" t="str">
        <f t="shared" si="415"/>
        <v/>
      </c>
    </row>
    <row r="4804" spans="1:12" x14ac:dyDescent="0.25">
      <c r="G4804" t="str">
        <f t="shared" si="416"/>
        <v>08/22/19</v>
      </c>
      <c r="H4804" t="str">
        <f t="shared" si="411"/>
        <v/>
      </c>
      <c r="I4804" s="60" t="str">
        <f t="shared" si="412"/>
        <v/>
      </c>
      <c r="J4804" t="str">
        <f t="shared" si="413"/>
        <v/>
      </c>
      <c r="K4804" s="60" t="str">
        <f t="shared" si="414"/>
        <v/>
      </c>
      <c r="L4804" t="str">
        <f t="shared" si="415"/>
        <v/>
      </c>
    </row>
    <row r="4805" spans="1:12" x14ac:dyDescent="0.25">
      <c r="A4805" t="s">
        <v>3294</v>
      </c>
      <c r="G4805" t="str">
        <f t="shared" si="416"/>
        <v>08/23/19</v>
      </c>
      <c r="H4805" t="str">
        <f t="shared" si="411"/>
        <v/>
      </c>
      <c r="I4805" s="60" t="str">
        <f t="shared" si="412"/>
        <v/>
      </c>
      <c r="J4805" t="str">
        <f t="shared" si="413"/>
        <v/>
      </c>
      <c r="K4805" s="60" t="str">
        <f t="shared" si="414"/>
        <v/>
      </c>
      <c r="L4805" t="str">
        <f t="shared" si="415"/>
        <v/>
      </c>
    </row>
    <row r="4806" spans="1:12" x14ac:dyDescent="0.25">
      <c r="G4806" t="str">
        <f t="shared" si="416"/>
        <v>08/23/19</v>
      </c>
      <c r="H4806" t="str">
        <f t="shared" si="411"/>
        <v/>
      </c>
      <c r="I4806" s="60" t="str">
        <f t="shared" si="412"/>
        <v/>
      </c>
      <c r="J4806" t="str">
        <f t="shared" si="413"/>
        <v/>
      </c>
      <c r="K4806" s="60" t="str">
        <f t="shared" si="414"/>
        <v/>
      </c>
      <c r="L4806" t="str">
        <f t="shared" si="415"/>
        <v/>
      </c>
    </row>
    <row r="4807" spans="1:12" x14ac:dyDescent="0.25">
      <c r="A4807" t="s">
        <v>4042</v>
      </c>
      <c r="G4807" t="str">
        <f t="shared" si="416"/>
        <v>08/23/19</v>
      </c>
      <c r="H4807" t="str">
        <f t="shared" si="411"/>
        <v>Tampa Bay Rays</v>
      </c>
      <c r="I4807" s="60">
        <f t="shared" si="412"/>
        <v>7</v>
      </c>
      <c r="J4807" t="str">
        <f t="shared" si="413"/>
        <v>Baltimore Orioles</v>
      </c>
      <c r="K4807" s="60">
        <f t="shared" si="414"/>
        <v>1</v>
      </c>
      <c r="L4807">
        <f t="shared" si="415"/>
        <v>6</v>
      </c>
    </row>
    <row r="4808" spans="1:12" x14ac:dyDescent="0.25">
      <c r="G4808" t="str">
        <f t="shared" si="416"/>
        <v>08/23/19</v>
      </c>
      <c r="H4808" t="str">
        <f t="shared" si="411"/>
        <v/>
      </c>
      <c r="I4808" s="60" t="str">
        <f t="shared" si="412"/>
        <v/>
      </c>
      <c r="J4808" t="str">
        <f t="shared" si="413"/>
        <v/>
      </c>
      <c r="K4808" s="60" t="str">
        <f t="shared" si="414"/>
        <v/>
      </c>
      <c r="L4808" t="str">
        <f t="shared" si="415"/>
        <v/>
      </c>
    </row>
    <row r="4809" spans="1:12" x14ac:dyDescent="0.25">
      <c r="A4809" t="s">
        <v>4043</v>
      </c>
      <c r="G4809" t="str">
        <f t="shared" si="416"/>
        <v>08/23/19</v>
      </c>
      <c r="H4809" t="str">
        <f t="shared" si="411"/>
        <v>Texas Rangers</v>
      </c>
      <c r="I4809" s="60">
        <f t="shared" si="412"/>
        <v>3</v>
      </c>
      <c r="J4809" t="str">
        <f t="shared" si="413"/>
        <v>Chicago White Sox</v>
      </c>
      <c r="K4809" s="60">
        <f t="shared" si="414"/>
        <v>8</v>
      </c>
      <c r="L4809">
        <f t="shared" si="415"/>
        <v>-5</v>
      </c>
    </row>
    <row r="4810" spans="1:12" x14ac:dyDescent="0.25">
      <c r="G4810" t="str">
        <f t="shared" si="416"/>
        <v>08/23/19</v>
      </c>
      <c r="H4810" t="str">
        <f t="shared" si="411"/>
        <v/>
      </c>
      <c r="I4810" s="60" t="str">
        <f t="shared" si="412"/>
        <v/>
      </c>
      <c r="J4810" t="str">
        <f t="shared" si="413"/>
        <v/>
      </c>
      <c r="K4810" s="60" t="str">
        <f t="shared" si="414"/>
        <v/>
      </c>
      <c r="L4810" t="str">
        <f t="shared" si="415"/>
        <v/>
      </c>
    </row>
    <row r="4811" spans="1:12" x14ac:dyDescent="0.25">
      <c r="A4811" t="s">
        <v>4044</v>
      </c>
      <c r="G4811" t="str">
        <f t="shared" si="416"/>
        <v>08/23/19</v>
      </c>
      <c r="H4811" t="str">
        <f t="shared" si="411"/>
        <v>Washington Nationals</v>
      </c>
      <c r="I4811" s="60">
        <f t="shared" si="412"/>
        <v>9</v>
      </c>
      <c r="J4811" t="str">
        <f t="shared" si="413"/>
        <v>Chicago Cubs</v>
      </c>
      <c r="K4811" s="60">
        <f t="shared" si="414"/>
        <v>3</v>
      </c>
      <c r="L4811">
        <f t="shared" si="415"/>
        <v>6</v>
      </c>
    </row>
    <row r="4812" spans="1:12" x14ac:dyDescent="0.25">
      <c r="G4812" t="str">
        <f t="shared" si="416"/>
        <v>08/23/19</v>
      </c>
      <c r="H4812" t="str">
        <f t="shared" si="411"/>
        <v/>
      </c>
      <c r="I4812" s="60" t="str">
        <f t="shared" si="412"/>
        <v/>
      </c>
      <c r="J4812" t="str">
        <f t="shared" si="413"/>
        <v/>
      </c>
      <c r="K4812" s="60" t="str">
        <f t="shared" si="414"/>
        <v/>
      </c>
      <c r="L4812" t="str">
        <f t="shared" si="415"/>
        <v/>
      </c>
    </row>
    <row r="4813" spans="1:12" x14ac:dyDescent="0.25">
      <c r="A4813" t="s">
        <v>4045</v>
      </c>
      <c r="G4813" t="str">
        <f t="shared" si="416"/>
        <v>08/23/19</v>
      </c>
      <c r="H4813" t="str">
        <f t="shared" si="411"/>
        <v>Kansas City Royals</v>
      </c>
      <c r="I4813" s="60">
        <f t="shared" si="412"/>
        <v>1</v>
      </c>
      <c r="J4813" t="str">
        <f t="shared" si="413"/>
        <v>Cleveland Indians</v>
      </c>
      <c r="K4813" s="60">
        <f t="shared" si="414"/>
        <v>4</v>
      </c>
      <c r="L4813">
        <f t="shared" si="415"/>
        <v>-3</v>
      </c>
    </row>
    <row r="4814" spans="1:12" x14ac:dyDescent="0.25">
      <c r="G4814" t="str">
        <f t="shared" si="416"/>
        <v>08/23/19</v>
      </c>
      <c r="H4814" t="str">
        <f t="shared" si="411"/>
        <v/>
      </c>
      <c r="I4814" s="60" t="str">
        <f t="shared" si="412"/>
        <v/>
      </c>
      <c r="J4814" t="str">
        <f t="shared" si="413"/>
        <v/>
      </c>
      <c r="K4814" s="60" t="str">
        <f t="shared" si="414"/>
        <v/>
      </c>
      <c r="L4814" t="str">
        <f t="shared" si="415"/>
        <v/>
      </c>
    </row>
    <row r="4815" spans="1:12" x14ac:dyDescent="0.25">
      <c r="A4815" t="s">
        <v>4046</v>
      </c>
      <c r="G4815" t="str">
        <f t="shared" si="416"/>
        <v>08/23/19</v>
      </c>
      <c r="H4815" t="str">
        <f t="shared" si="411"/>
        <v>Los Angeles Angels</v>
      </c>
      <c r="I4815" s="60">
        <f t="shared" si="412"/>
        <v>4</v>
      </c>
      <c r="J4815" t="str">
        <f t="shared" si="413"/>
        <v>Houston Astros</v>
      </c>
      <c r="K4815" s="60">
        <f t="shared" si="414"/>
        <v>5</v>
      </c>
      <c r="L4815">
        <f t="shared" si="415"/>
        <v>-1</v>
      </c>
    </row>
    <row r="4816" spans="1:12" x14ac:dyDescent="0.25">
      <c r="G4816" t="str">
        <f t="shared" si="416"/>
        <v>08/23/19</v>
      </c>
      <c r="H4816" t="str">
        <f t="shared" ref="H4816:H4879" si="417">IFERROR(LEFT(MID(A4816,1,SEARCH("@",A4816)-2),SEARCH("(",A4816)-2),"")</f>
        <v/>
      </c>
      <c r="I4816" s="60" t="str">
        <f t="shared" ref="I4816:I4879" si="418">IFERROR(VALUE(MID(A4816,SEARCH("(",A4816)+1,SEARCH(")",A4816)-SEARCH("(",A4816)-1)),"")</f>
        <v/>
      </c>
      <c r="J4816" t="str">
        <f t="shared" ref="J4816:J4879" si="419">IFERROR(MID(A4816,SEARCH("@",A4816)+2,SEARCH("(",A4816,SEARCH("@",A4816))-SEARCH("@",A4816)-3),"")</f>
        <v/>
      </c>
      <c r="K4816" s="60" t="str">
        <f t="shared" ref="K4816:K4879" si="420">IFERROR(VALUE(MID(A4816,SEARCH(J4816,A4816)+LEN(J4816)+2,(SEARCH(")",A4816,SEARCH("@",A4816))-SEARCH("(",A4816,SEARCH("@",A4816))-1))),"")</f>
        <v/>
      </c>
      <c r="L4816" t="str">
        <f t="shared" ref="L4816:L4879" si="421">IFERROR(I4816-K4816,"")</f>
        <v/>
      </c>
    </row>
    <row r="4817" spans="1:12" x14ac:dyDescent="0.25">
      <c r="A4817" t="s">
        <v>4047</v>
      </c>
      <c r="G4817" t="str">
        <f t="shared" si="416"/>
        <v>08/23/19</v>
      </c>
      <c r="H4817" t="str">
        <f t="shared" si="417"/>
        <v>New York Yankees</v>
      </c>
      <c r="I4817" s="60">
        <f t="shared" si="418"/>
        <v>10</v>
      </c>
      <c r="J4817" t="str">
        <f t="shared" si="419"/>
        <v>Los Angeles Dodgers</v>
      </c>
      <c r="K4817" s="60">
        <f t="shared" si="420"/>
        <v>2</v>
      </c>
      <c r="L4817">
        <f t="shared" si="421"/>
        <v>8</v>
      </c>
    </row>
    <row r="4818" spans="1:12" x14ac:dyDescent="0.25">
      <c r="G4818" t="str">
        <f t="shared" si="416"/>
        <v>08/23/19</v>
      </c>
      <c r="H4818" t="str">
        <f t="shared" si="417"/>
        <v/>
      </c>
      <c r="I4818" s="60" t="str">
        <f t="shared" si="418"/>
        <v/>
      </c>
      <c r="J4818" t="str">
        <f t="shared" si="419"/>
        <v/>
      </c>
      <c r="K4818" s="60" t="str">
        <f t="shared" si="420"/>
        <v/>
      </c>
      <c r="L4818" t="str">
        <f t="shared" si="421"/>
        <v/>
      </c>
    </row>
    <row r="4819" spans="1:12" x14ac:dyDescent="0.25">
      <c r="A4819" t="s">
        <v>4048</v>
      </c>
      <c r="G4819" t="str">
        <f t="shared" si="416"/>
        <v>08/23/19</v>
      </c>
      <c r="H4819" t="str">
        <f t="shared" si="417"/>
        <v>Philadelphia Phillies</v>
      </c>
      <c r="I4819" s="60">
        <f t="shared" si="418"/>
        <v>11</v>
      </c>
      <c r="J4819" t="str">
        <f t="shared" si="419"/>
        <v>Miami Marlins</v>
      </c>
      <c r="K4819" s="60">
        <f t="shared" si="420"/>
        <v>19</v>
      </c>
      <c r="L4819">
        <f t="shared" si="421"/>
        <v>-8</v>
      </c>
    </row>
    <row r="4820" spans="1:12" x14ac:dyDescent="0.25">
      <c r="G4820" t="str">
        <f t="shared" si="416"/>
        <v>08/23/19</v>
      </c>
      <c r="H4820" t="str">
        <f t="shared" si="417"/>
        <v/>
      </c>
      <c r="I4820" s="60" t="str">
        <f t="shared" si="418"/>
        <v/>
      </c>
      <c r="J4820" t="str">
        <f t="shared" si="419"/>
        <v/>
      </c>
      <c r="K4820" s="60" t="str">
        <f t="shared" si="420"/>
        <v/>
      </c>
      <c r="L4820" t="str">
        <f t="shared" si="421"/>
        <v/>
      </c>
    </row>
    <row r="4821" spans="1:12" x14ac:dyDescent="0.25">
      <c r="A4821" t="s">
        <v>4049</v>
      </c>
      <c r="G4821" t="str">
        <f t="shared" si="416"/>
        <v>08/23/19</v>
      </c>
      <c r="H4821" t="str">
        <f t="shared" si="417"/>
        <v>Arizona D'Backs</v>
      </c>
      <c r="I4821" s="60">
        <f t="shared" si="418"/>
        <v>1</v>
      </c>
      <c r="J4821" t="str">
        <f t="shared" si="419"/>
        <v>Milwaukee Brewers</v>
      </c>
      <c r="K4821" s="60">
        <f t="shared" si="420"/>
        <v>6</v>
      </c>
      <c r="L4821">
        <f t="shared" si="421"/>
        <v>-5</v>
      </c>
    </row>
    <row r="4822" spans="1:12" x14ac:dyDescent="0.25">
      <c r="G4822" t="str">
        <f t="shared" si="416"/>
        <v>08/23/19</v>
      </c>
      <c r="H4822" t="str">
        <f t="shared" si="417"/>
        <v/>
      </c>
      <c r="I4822" s="60" t="str">
        <f t="shared" si="418"/>
        <v/>
      </c>
      <c r="J4822" t="str">
        <f t="shared" si="419"/>
        <v/>
      </c>
      <c r="K4822" s="60" t="str">
        <f t="shared" si="420"/>
        <v/>
      </c>
      <c r="L4822" t="str">
        <f t="shared" si="421"/>
        <v/>
      </c>
    </row>
    <row r="4823" spans="1:12" x14ac:dyDescent="0.25">
      <c r="A4823" t="s">
        <v>4050</v>
      </c>
      <c r="G4823" t="str">
        <f t="shared" si="416"/>
        <v>08/23/19</v>
      </c>
      <c r="H4823" t="str">
        <f t="shared" si="417"/>
        <v>Detroit Tigers</v>
      </c>
      <c r="I4823" s="60">
        <f t="shared" si="418"/>
        <v>9</v>
      </c>
      <c r="J4823" t="str">
        <f t="shared" si="419"/>
        <v>Minnesota Twins</v>
      </c>
      <c r="K4823" s="60">
        <f t="shared" si="420"/>
        <v>6</v>
      </c>
      <c r="L4823">
        <f t="shared" si="421"/>
        <v>3</v>
      </c>
    </row>
    <row r="4824" spans="1:12" x14ac:dyDescent="0.25">
      <c r="G4824" t="str">
        <f t="shared" si="416"/>
        <v>08/23/19</v>
      </c>
      <c r="H4824" t="str">
        <f t="shared" si="417"/>
        <v/>
      </c>
      <c r="I4824" s="60" t="str">
        <f t="shared" si="418"/>
        <v/>
      </c>
      <c r="J4824" t="str">
        <f t="shared" si="419"/>
        <v/>
      </c>
      <c r="K4824" s="60" t="str">
        <f t="shared" si="420"/>
        <v/>
      </c>
      <c r="L4824" t="str">
        <f t="shared" si="421"/>
        <v/>
      </c>
    </row>
    <row r="4825" spans="1:12" x14ac:dyDescent="0.25">
      <c r="A4825" t="s">
        <v>4051</v>
      </c>
      <c r="G4825" t="str">
        <f t="shared" si="416"/>
        <v>08/23/19</v>
      </c>
      <c r="H4825" t="str">
        <f t="shared" si="417"/>
        <v>Atlanta Braves</v>
      </c>
      <c r="I4825" s="60">
        <f t="shared" si="418"/>
        <v>2</v>
      </c>
      <c r="J4825" t="str">
        <f t="shared" si="419"/>
        <v>New York Mets</v>
      </c>
      <c r="K4825" s="60">
        <f t="shared" si="420"/>
        <v>1</v>
      </c>
      <c r="L4825">
        <f t="shared" si="421"/>
        <v>1</v>
      </c>
    </row>
    <row r="4826" spans="1:12" x14ac:dyDescent="0.25">
      <c r="G4826" t="str">
        <f t="shared" si="416"/>
        <v>08/23/19</v>
      </c>
      <c r="H4826" t="str">
        <f t="shared" si="417"/>
        <v/>
      </c>
      <c r="I4826" s="60" t="str">
        <f t="shared" si="418"/>
        <v/>
      </c>
      <c r="J4826" t="str">
        <f t="shared" si="419"/>
        <v/>
      </c>
      <c r="K4826" s="60" t="str">
        <f t="shared" si="420"/>
        <v/>
      </c>
      <c r="L4826" t="str">
        <f t="shared" si="421"/>
        <v/>
      </c>
    </row>
    <row r="4827" spans="1:12" x14ac:dyDescent="0.25">
      <c r="A4827" t="s">
        <v>4052</v>
      </c>
      <c r="G4827" t="str">
        <f t="shared" si="416"/>
        <v>08/23/19</v>
      </c>
      <c r="H4827" t="str">
        <f t="shared" si="417"/>
        <v>Cincinnati Reds</v>
      </c>
      <c r="I4827" s="60">
        <f t="shared" si="418"/>
        <v>2</v>
      </c>
      <c r="J4827" t="str">
        <f t="shared" si="419"/>
        <v>Pittsburgh Pirates</v>
      </c>
      <c r="K4827" s="60">
        <f t="shared" si="420"/>
        <v>3</v>
      </c>
      <c r="L4827">
        <f t="shared" si="421"/>
        <v>-1</v>
      </c>
    </row>
    <row r="4828" spans="1:12" x14ac:dyDescent="0.25">
      <c r="G4828" t="str">
        <f t="shared" si="416"/>
        <v>08/23/19</v>
      </c>
      <c r="H4828" t="str">
        <f t="shared" si="417"/>
        <v/>
      </c>
      <c r="I4828" s="60" t="str">
        <f t="shared" si="418"/>
        <v/>
      </c>
      <c r="J4828" t="str">
        <f t="shared" si="419"/>
        <v/>
      </c>
      <c r="K4828" s="60" t="str">
        <f t="shared" si="420"/>
        <v/>
      </c>
      <c r="L4828" t="str">
        <f t="shared" si="421"/>
        <v/>
      </c>
    </row>
    <row r="4829" spans="1:12" x14ac:dyDescent="0.25">
      <c r="A4829" t="s">
        <v>4053</v>
      </c>
      <c r="G4829" t="str">
        <f t="shared" si="416"/>
        <v>08/23/19</v>
      </c>
      <c r="H4829" t="str">
        <f t="shared" si="417"/>
        <v>Boston Red Sox</v>
      </c>
      <c r="I4829" s="60">
        <f t="shared" si="418"/>
        <v>11</v>
      </c>
      <c r="J4829" t="str">
        <f t="shared" si="419"/>
        <v>San Diego Padres</v>
      </c>
      <c r="K4829" s="60">
        <f t="shared" si="420"/>
        <v>0</v>
      </c>
      <c r="L4829">
        <f t="shared" si="421"/>
        <v>11</v>
      </c>
    </row>
    <row r="4830" spans="1:12" x14ac:dyDescent="0.25">
      <c r="G4830" t="str">
        <f t="shared" si="416"/>
        <v>08/23/19</v>
      </c>
      <c r="H4830" t="str">
        <f t="shared" si="417"/>
        <v/>
      </c>
      <c r="I4830" s="60" t="str">
        <f t="shared" si="418"/>
        <v/>
      </c>
      <c r="J4830" t="str">
        <f t="shared" si="419"/>
        <v/>
      </c>
      <c r="K4830" s="60" t="str">
        <f t="shared" si="420"/>
        <v/>
      </c>
      <c r="L4830" t="str">
        <f t="shared" si="421"/>
        <v/>
      </c>
    </row>
    <row r="4831" spans="1:12" x14ac:dyDescent="0.25">
      <c r="A4831" t="s">
        <v>4054</v>
      </c>
      <c r="G4831" t="str">
        <f t="shared" si="416"/>
        <v>08/23/19</v>
      </c>
      <c r="H4831" t="str">
        <f t="shared" si="417"/>
        <v>Toronto Blue Jays</v>
      </c>
      <c r="I4831" s="60">
        <f t="shared" si="418"/>
        <v>4</v>
      </c>
      <c r="J4831" t="str">
        <f t="shared" si="419"/>
        <v>Seattle Mariners</v>
      </c>
      <c r="K4831" s="60">
        <f t="shared" si="420"/>
        <v>7</v>
      </c>
      <c r="L4831">
        <f t="shared" si="421"/>
        <v>-3</v>
      </c>
    </row>
    <row r="4832" spans="1:12" x14ac:dyDescent="0.25">
      <c r="G4832" t="str">
        <f t="shared" si="416"/>
        <v>08/23/19</v>
      </c>
      <c r="H4832" t="str">
        <f t="shared" si="417"/>
        <v/>
      </c>
      <c r="I4832" s="60" t="str">
        <f t="shared" si="418"/>
        <v/>
      </c>
      <c r="J4832" t="str">
        <f t="shared" si="419"/>
        <v/>
      </c>
      <c r="K4832" s="60" t="str">
        <f t="shared" si="420"/>
        <v/>
      </c>
      <c r="L4832" t="str">
        <f t="shared" si="421"/>
        <v/>
      </c>
    </row>
    <row r="4833" spans="1:12" x14ac:dyDescent="0.25">
      <c r="A4833" t="s">
        <v>4055</v>
      </c>
      <c r="G4833" t="str">
        <f t="shared" si="416"/>
        <v>08/23/19</v>
      </c>
      <c r="H4833" t="str">
        <f t="shared" si="417"/>
        <v>Colorado Rockies</v>
      </c>
      <c r="I4833" s="60">
        <f t="shared" si="418"/>
        <v>3</v>
      </c>
      <c r="J4833" t="str">
        <f t="shared" si="419"/>
        <v>St. Louis Cardinals</v>
      </c>
      <c r="K4833" s="60">
        <f t="shared" si="420"/>
        <v>8</v>
      </c>
      <c r="L4833">
        <f t="shared" si="421"/>
        <v>-5</v>
      </c>
    </row>
    <row r="4834" spans="1:12" x14ac:dyDescent="0.25">
      <c r="G4834" t="str">
        <f t="shared" ref="G4834:G4897" si="422">IF(ISNUMBER(MATCH(IFERROR(LEFT(A4834,SEARCH(",",A4834)-1),""),$G$220:$M$220,0)),TEXT(MID(A4834,SEARCH(",",A4834)+2,LEN(A4834)),"mm/dd/yy"),G4833)</f>
        <v>08/23/19</v>
      </c>
      <c r="H4834" t="str">
        <f t="shared" si="417"/>
        <v/>
      </c>
      <c r="I4834" s="60" t="str">
        <f t="shared" si="418"/>
        <v/>
      </c>
      <c r="J4834" t="str">
        <f t="shared" si="419"/>
        <v/>
      </c>
      <c r="K4834" s="60" t="str">
        <f t="shared" si="420"/>
        <v/>
      </c>
      <c r="L4834" t="str">
        <f t="shared" si="421"/>
        <v/>
      </c>
    </row>
    <row r="4835" spans="1:12" x14ac:dyDescent="0.25">
      <c r="A4835" t="s">
        <v>4056</v>
      </c>
      <c r="G4835" t="str">
        <f t="shared" si="422"/>
        <v>08/23/19</v>
      </c>
      <c r="H4835" t="str">
        <f t="shared" si="417"/>
        <v/>
      </c>
      <c r="I4835" s="60" t="str">
        <f t="shared" si="418"/>
        <v/>
      </c>
      <c r="J4835" t="str">
        <f t="shared" si="419"/>
        <v/>
      </c>
      <c r="K4835" s="60" t="str">
        <f t="shared" si="420"/>
        <v/>
      </c>
      <c r="L4835" t="str">
        <f t="shared" si="421"/>
        <v/>
      </c>
    </row>
    <row r="4836" spans="1:12" x14ac:dyDescent="0.25">
      <c r="G4836" t="str">
        <f t="shared" si="422"/>
        <v>08/23/19</v>
      </c>
      <c r="H4836" t="str">
        <f t="shared" si="417"/>
        <v/>
      </c>
      <c r="I4836" s="60" t="str">
        <f t="shared" si="418"/>
        <v/>
      </c>
      <c r="J4836" t="str">
        <f t="shared" si="419"/>
        <v/>
      </c>
      <c r="K4836" s="60" t="str">
        <f t="shared" si="420"/>
        <v/>
      </c>
      <c r="L4836" t="str">
        <f t="shared" si="421"/>
        <v/>
      </c>
    </row>
    <row r="4837" spans="1:12" x14ac:dyDescent="0.25">
      <c r="A4837" t="s">
        <v>3295</v>
      </c>
      <c r="G4837" t="str">
        <f t="shared" si="422"/>
        <v>08/24/19</v>
      </c>
      <c r="H4837" t="str">
        <f t="shared" si="417"/>
        <v/>
      </c>
      <c r="I4837" s="60" t="str">
        <f t="shared" si="418"/>
        <v/>
      </c>
      <c r="J4837" t="str">
        <f t="shared" si="419"/>
        <v/>
      </c>
      <c r="K4837" s="60" t="str">
        <f t="shared" si="420"/>
        <v/>
      </c>
      <c r="L4837" t="str">
        <f t="shared" si="421"/>
        <v/>
      </c>
    </row>
    <row r="4838" spans="1:12" x14ac:dyDescent="0.25">
      <c r="G4838" t="str">
        <f t="shared" si="422"/>
        <v>08/24/19</v>
      </c>
      <c r="H4838" t="str">
        <f t="shared" si="417"/>
        <v/>
      </c>
      <c r="I4838" s="60" t="str">
        <f t="shared" si="418"/>
        <v/>
      </c>
      <c r="J4838" t="str">
        <f t="shared" si="419"/>
        <v/>
      </c>
      <c r="K4838" s="60" t="str">
        <f t="shared" si="420"/>
        <v/>
      </c>
      <c r="L4838" t="str">
        <f t="shared" si="421"/>
        <v/>
      </c>
    </row>
    <row r="4839" spans="1:12" x14ac:dyDescent="0.25">
      <c r="A4839" t="s">
        <v>4057</v>
      </c>
      <c r="G4839" t="str">
        <f t="shared" si="422"/>
        <v>08/24/19</v>
      </c>
      <c r="H4839" t="str">
        <f t="shared" si="417"/>
        <v>Tampa Bay Rays</v>
      </c>
      <c r="I4839" s="60">
        <f t="shared" si="418"/>
        <v>1</v>
      </c>
      <c r="J4839" t="str">
        <f t="shared" si="419"/>
        <v>Baltimore Orioles</v>
      </c>
      <c r="K4839" s="60">
        <f t="shared" si="420"/>
        <v>7</v>
      </c>
      <c r="L4839">
        <f t="shared" si="421"/>
        <v>-6</v>
      </c>
    </row>
    <row r="4840" spans="1:12" x14ac:dyDescent="0.25">
      <c r="G4840" t="str">
        <f t="shared" si="422"/>
        <v>08/24/19</v>
      </c>
      <c r="H4840" t="str">
        <f t="shared" si="417"/>
        <v/>
      </c>
      <c r="I4840" s="60" t="str">
        <f t="shared" si="418"/>
        <v/>
      </c>
      <c r="J4840" t="str">
        <f t="shared" si="419"/>
        <v/>
      </c>
      <c r="K4840" s="60" t="str">
        <f t="shared" si="420"/>
        <v/>
      </c>
      <c r="L4840" t="str">
        <f t="shared" si="421"/>
        <v/>
      </c>
    </row>
    <row r="4841" spans="1:12" x14ac:dyDescent="0.25">
      <c r="A4841" t="s">
        <v>4058</v>
      </c>
      <c r="G4841" t="str">
        <f t="shared" si="422"/>
        <v>08/24/19</v>
      </c>
      <c r="H4841" t="str">
        <f t="shared" si="417"/>
        <v>Texas Rangers</v>
      </c>
      <c r="I4841" s="60">
        <f t="shared" si="418"/>
        <v>4</v>
      </c>
      <c r="J4841" t="str">
        <f t="shared" si="419"/>
        <v>Chicago White Sox</v>
      </c>
      <c r="K4841" s="60">
        <f t="shared" si="420"/>
        <v>0</v>
      </c>
      <c r="L4841">
        <f t="shared" si="421"/>
        <v>4</v>
      </c>
    </row>
    <row r="4842" spans="1:12" x14ac:dyDescent="0.25">
      <c r="G4842" t="str">
        <f t="shared" si="422"/>
        <v>08/24/19</v>
      </c>
      <c r="H4842" t="str">
        <f t="shared" si="417"/>
        <v/>
      </c>
      <c r="I4842" s="60" t="str">
        <f t="shared" si="418"/>
        <v/>
      </c>
      <c r="J4842" t="str">
        <f t="shared" si="419"/>
        <v/>
      </c>
      <c r="K4842" s="60" t="str">
        <f t="shared" si="420"/>
        <v/>
      </c>
      <c r="L4842" t="str">
        <f t="shared" si="421"/>
        <v/>
      </c>
    </row>
    <row r="4843" spans="1:12" x14ac:dyDescent="0.25">
      <c r="A4843" t="s">
        <v>4059</v>
      </c>
      <c r="G4843" t="str">
        <f t="shared" si="422"/>
        <v>08/24/19</v>
      </c>
      <c r="H4843" t="str">
        <f t="shared" si="417"/>
        <v>Washington Nationals</v>
      </c>
      <c r="I4843" s="60">
        <f t="shared" si="418"/>
        <v>7</v>
      </c>
      <c r="J4843" t="str">
        <f t="shared" si="419"/>
        <v>Chicago Cubs</v>
      </c>
      <c r="K4843" s="60">
        <f t="shared" si="420"/>
        <v>2</v>
      </c>
      <c r="L4843">
        <f t="shared" si="421"/>
        <v>5</v>
      </c>
    </row>
    <row r="4844" spans="1:12" x14ac:dyDescent="0.25">
      <c r="G4844" t="str">
        <f t="shared" si="422"/>
        <v>08/24/19</v>
      </c>
      <c r="H4844" t="str">
        <f t="shared" si="417"/>
        <v/>
      </c>
      <c r="I4844" s="60" t="str">
        <f t="shared" si="418"/>
        <v/>
      </c>
      <c r="J4844" t="str">
        <f t="shared" si="419"/>
        <v/>
      </c>
      <c r="K4844" s="60" t="str">
        <f t="shared" si="420"/>
        <v/>
      </c>
      <c r="L4844" t="str">
        <f t="shared" si="421"/>
        <v/>
      </c>
    </row>
    <row r="4845" spans="1:12" x14ac:dyDescent="0.25">
      <c r="A4845" t="s">
        <v>4060</v>
      </c>
      <c r="G4845" t="str">
        <f t="shared" si="422"/>
        <v>08/24/19</v>
      </c>
      <c r="H4845" t="str">
        <f t="shared" si="417"/>
        <v>Kansas City Royals</v>
      </c>
      <c r="I4845" s="60">
        <f t="shared" si="418"/>
        <v>2</v>
      </c>
      <c r="J4845" t="str">
        <f t="shared" si="419"/>
        <v>Cleveland Indians</v>
      </c>
      <c r="K4845" s="60">
        <f t="shared" si="420"/>
        <v>4</v>
      </c>
      <c r="L4845">
        <f t="shared" si="421"/>
        <v>-2</v>
      </c>
    </row>
    <row r="4846" spans="1:12" x14ac:dyDescent="0.25">
      <c r="G4846" t="str">
        <f t="shared" si="422"/>
        <v>08/24/19</v>
      </c>
      <c r="H4846" t="str">
        <f t="shared" si="417"/>
        <v/>
      </c>
      <c r="I4846" s="60" t="str">
        <f t="shared" si="418"/>
        <v/>
      </c>
      <c r="J4846" t="str">
        <f t="shared" si="419"/>
        <v/>
      </c>
      <c r="K4846" s="60" t="str">
        <f t="shared" si="420"/>
        <v/>
      </c>
      <c r="L4846" t="str">
        <f t="shared" si="421"/>
        <v/>
      </c>
    </row>
    <row r="4847" spans="1:12" x14ac:dyDescent="0.25">
      <c r="A4847" t="s">
        <v>4061</v>
      </c>
      <c r="G4847" t="str">
        <f t="shared" si="422"/>
        <v>08/24/19</v>
      </c>
      <c r="H4847" t="str">
        <f t="shared" si="417"/>
        <v>Los Angeles Angels</v>
      </c>
      <c r="I4847" s="60">
        <f t="shared" si="418"/>
        <v>2</v>
      </c>
      <c r="J4847" t="str">
        <f t="shared" si="419"/>
        <v>Houston Astros</v>
      </c>
      <c r="K4847" s="60">
        <f t="shared" si="420"/>
        <v>5</v>
      </c>
      <c r="L4847">
        <f t="shared" si="421"/>
        <v>-3</v>
      </c>
    </row>
    <row r="4848" spans="1:12" x14ac:dyDescent="0.25">
      <c r="G4848" t="str">
        <f t="shared" si="422"/>
        <v>08/24/19</v>
      </c>
      <c r="H4848" t="str">
        <f t="shared" si="417"/>
        <v/>
      </c>
      <c r="I4848" s="60" t="str">
        <f t="shared" si="418"/>
        <v/>
      </c>
      <c r="J4848" t="str">
        <f t="shared" si="419"/>
        <v/>
      </c>
      <c r="K4848" s="60" t="str">
        <f t="shared" si="420"/>
        <v/>
      </c>
      <c r="L4848" t="str">
        <f t="shared" si="421"/>
        <v/>
      </c>
    </row>
    <row r="4849" spans="1:12" x14ac:dyDescent="0.25">
      <c r="A4849" t="s">
        <v>4062</v>
      </c>
      <c r="G4849" t="str">
        <f t="shared" si="422"/>
        <v>08/24/19</v>
      </c>
      <c r="H4849" t="str">
        <f t="shared" si="417"/>
        <v>New York Yankees</v>
      </c>
      <c r="I4849" s="60">
        <f t="shared" si="418"/>
        <v>1</v>
      </c>
      <c r="J4849" t="str">
        <f t="shared" si="419"/>
        <v>Los Angeles Dodgers</v>
      </c>
      <c r="K4849" s="60">
        <f t="shared" si="420"/>
        <v>2</v>
      </c>
      <c r="L4849">
        <f t="shared" si="421"/>
        <v>-1</v>
      </c>
    </row>
    <row r="4850" spans="1:12" x14ac:dyDescent="0.25">
      <c r="G4850" t="str">
        <f t="shared" si="422"/>
        <v>08/24/19</v>
      </c>
      <c r="H4850" t="str">
        <f t="shared" si="417"/>
        <v/>
      </c>
      <c r="I4850" s="60" t="str">
        <f t="shared" si="418"/>
        <v/>
      </c>
      <c r="J4850" t="str">
        <f t="shared" si="419"/>
        <v/>
      </c>
      <c r="K4850" s="60" t="str">
        <f t="shared" si="420"/>
        <v/>
      </c>
      <c r="L4850" t="str">
        <f t="shared" si="421"/>
        <v/>
      </c>
    </row>
    <row r="4851" spans="1:12" x14ac:dyDescent="0.25">
      <c r="A4851" t="s">
        <v>4063</v>
      </c>
      <c r="G4851" t="str">
        <f t="shared" si="422"/>
        <v>08/24/19</v>
      </c>
      <c r="H4851" t="str">
        <f t="shared" si="417"/>
        <v>Philadelphia Phillies</v>
      </c>
      <c r="I4851" s="60">
        <f t="shared" si="418"/>
        <v>9</v>
      </c>
      <c r="J4851" t="str">
        <f t="shared" si="419"/>
        <v>Miami Marlins</v>
      </c>
      <c r="K4851" s="60">
        <f t="shared" si="420"/>
        <v>3</v>
      </c>
      <c r="L4851">
        <f t="shared" si="421"/>
        <v>6</v>
      </c>
    </row>
    <row r="4852" spans="1:12" x14ac:dyDescent="0.25">
      <c r="G4852" t="str">
        <f t="shared" si="422"/>
        <v>08/24/19</v>
      </c>
      <c r="H4852" t="str">
        <f t="shared" si="417"/>
        <v/>
      </c>
      <c r="I4852" s="60" t="str">
        <f t="shared" si="418"/>
        <v/>
      </c>
      <c r="J4852" t="str">
        <f t="shared" si="419"/>
        <v/>
      </c>
      <c r="K4852" s="60" t="str">
        <f t="shared" si="420"/>
        <v/>
      </c>
      <c r="L4852" t="str">
        <f t="shared" si="421"/>
        <v/>
      </c>
    </row>
    <row r="4853" spans="1:12" x14ac:dyDescent="0.25">
      <c r="A4853" t="s">
        <v>4064</v>
      </c>
      <c r="G4853" t="str">
        <f t="shared" si="422"/>
        <v>08/24/19</v>
      </c>
      <c r="H4853" t="str">
        <f t="shared" si="417"/>
        <v>Arizona D'Backs</v>
      </c>
      <c r="I4853" s="60">
        <f t="shared" si="418"/>
        <v>0</v>
      </c>
      <c r="J4853" t="str">
        <f t="shared" si="419"/>
        <v>Milwaukee Brewers</v>
      </c>
      <c r="K4853" s="60">
        <f t="shared" si="420"/>
        <v>4</v>
      </c>
      <c r="L4853">
        <f t="shared" si="421"/>
        <v>-4</v>
      </c>
    </row>
    <row r="4854" spans="1:12" x14ac:dyDescent="0.25">
      <c r="G4854" t="str">
        <f t="shared" si="422"/>
        <v>08/24/19</v>
      </c>
      <c r="H4854" t="str">
        <f t="shared" si="417"/>
        <v/>
      </c>
      <c r="I4854" s="60" t="str">
        <f t="shared" si="418"/>
        <v/>
      </c>
      <c r="J4854" t="str">
        <f t="shared" si="419"/>
        <v/>
      </c>
      <c r="K4854" s="60" t="str">
        <f t="shared" si="420"/>
        <v/>
      </c>
      <c r="L4854" t="str">
        <f t="shared" si="421"/>
        <v/>
      </c>
    </row>
    <row r="4855" spans="1:12" x14ac:dyDescent="0.25">
      <c r="A4855" t="s">
        <v>4065</v>
      </c>
      <c r="G4855" t="str">
        <f t="shared" si="422"/>
        <v>08/24/19</v>
      </c>
      <c r="H4855" t="str">
        <f t="shared" si="417"/>
        <v>Detroit Tigers</v>
      </c>
      <c r="I4855" s="60">
        <f t="shared" si="418"/>
        <v>5</v>
      </c>
      <c r="J4855" t="str">
        <f t="shared" si="419"/>
        <v>Minnesota Twins</v>
      </c>
      <c r="K4855" s="60">
        <f t="shared" si="420"/>
        <v>8</v>
      </c>
      <c r="L4855">
        <f t="shared" si="421"/>
        <v>-3</v>
      </c>
    </row>
    <row r="4856" spans="1:12" x14ac:dyDescent="0.25">
      <c r="G4856" t="str">
        <f t="shared" si="422"/>
        <v>08/24/19</v>
      </c>
      <c r="H4856" t="str">
        <f t="shared" si="417"/>
        <v/>
      </c>
      <c r="I4856" s="60" t="str">
        <f t="shared" si="418"/>
        <v/>
      </c>
      <c r="J4856" t="str">
        <f t="shared" si="419"/>
        <v/>
      </c>
      <c r="K4856" s="60" t="str">
        <f t="shared" si="420"/>
        <v/>
      </c>
      <c r="L4856" t="str">
        <f t="shared" si="421"/>
        <v/>
      </c>
    </row>
    <row r="4857" spans="1:12" x14ac:dyDescent="0.25">
      <c r="A4857" t="s">
        <v>4066</v>
      </c>
      <c r="G4857" t="str">
        <f t="shared" si="422"/>
        <v>08/24/19</v>
      </c>
      <c r="H4857" t="str">
        <f t="shared" si="417"/>
        <v>Atlanta Braves</v>
      </c>
      <c r="I4857" s="60">
        <f t="shared" si="418"/>
        <v>9</v>
      </c>
      <c r="J4857" t="str">
        <f t="shared" si="419"/>
        <v>New York Mets</v>
      </c>
      <c r="K4857" s="60">
        <f t="shared" si="420"/>
        <v>5</v>
      </c>
      <c r="L4857">
        <f t="shared" si="421"/>
        <v>4</v>
      </c>
    </row>
    <row r="4858" spans="1:12" x14ac:dyDescent="0.25">
      <c r="G4858" t="str">
        <f t="shared" si="422"/>
        <v>08/24/19</v>
      </c>
      <c r="H4858" t="str">
        <f t="shared" si="417"/>
        <v/>
      </c>
      <c r="I4858" s="60" t="str">
        <f t="shared" si="418"/>
        <v/>
      </c>
      <c r="J4858" t="str">
        <f t="shared" si="419"/>
        <v/>
      </c>
      <c r="K4858" s="60" t="str">
        <f t="shared" si="420"/>
        <v/>
      </c>
      <c r="L4858" t="str">
        <f t="shared" si="421"/>
        <v/>
      </c>
    </row>
    <row r="4859" spans="1:12" x14ac:dyDescent="0.25">
      <c r="A4859" t="s">
        <v>4067</v>
      </c>
      <c r="G4859" t="str">
        <f t="shared" si="422"/>
        <v>08/24/19</v>
      </c>
      <c r="H4859" t="str">
        <f t="shared" si="417"/>
        <v>San Francisco Giants</v>
      </c>
      <c r="I4859" s="60">
        <f t="shared" si="418"/>
        <v>10</v>
      </c>
      <c r="J4859" t="str">
        <f t="shared" si="419"/>
        <v>Oakland Athletics</v>
      </c>
      <c r="K4859" s="60">
        <f t="shared" si="420"/>
        <v>5</v>
      </c>
      <c r="L4859">
        <f t="shared" si="421"/>
        <v>5</v>
      </c>
    </row>
    <row r="4860" spans="1:12" x14ac:dyDescent="0.25">
      <c r="G4860" t="str">
        <f t="shared" si="422"/>
        <v>08/24/19</v>
      </c>
      <c r="H4860" t="str">
        <f t="shared" si="417"/>
        <v/>
      </c>
      <c r="I4860" s="60" t="str">
        <f t="shared" si="418"/>
        <v/>
      </c>
      <c r="J4860" t="str">
        <f t="shared" si="419"/>
        <v/>
      </c>
      <c r="K4860" s="60" t="str">
        <f t="shared" si="420"/>
        <v/>
      </c>
      <c r="L4860" t="str">
        <f t="shared" si="421"/>
        <v/>
      </c>
    </row>
    <row r="4861" spans="1:12" x14ac:dyDescent="0.25">
      <c r="A4861" t="s">
        <v>4068</v>
      </c>
      <c r="G4861" t="str">
        <f t="shared" si="422"/>
        <v>08/24/19</v>
      </c>
      <c r="H4861" t="str">
        <f t="shared" si="417"/>
        <v>Cincinnati Reds</v>
      </c>
      <c r="I4861" s="60">
        <f t="shared" si="418"/>
        <v>0</v>
      </c>
      <c r="J4861" t="str">
        <f t="shared" si="419"/>
        <v>Pittsburgh Pirates</v>
      </c>
      <c r="K4861" s="60">
        <f t="shared" si="420"/>
        <v>14</v>
      </c>
      <c r="L4861">
        <f t="shared" si="421"/>
        <v>-14</v>
      </c>
    </row>
    <row r="4862" spans="1:12" x14ac:dyDescent="0.25">
      <c r="G4862" t="str">
        <f t="shared" si="422"/>
        <v>08/24/19</v>
      </c>
      <c r="H4862" t="str">
        <f t="shared" si="417"/>
        <v/>
      </c>
      <c r="I4862" s="60" t="str">
        <f t="shared" si="418"/>
        <v/>
      </c>
      <c r="J4862" t="str">
        <f t="shared" si="419"/>
        <v/>
      </c>
      <c r="K4862" s="60" t="str">
        <f t="shared" si="420"/>
        <v/>
      </c>
      <c r="L4862" t="str">
        <f t="shared" si="421"/>
        <v/>
      </c>
    </row>
    <row r="4863" spans="1:12" x14ac:dyDescent="0.25">
      <c r="A4863" t="s">
        <v>4069</v>
      </c>
      <c r="G4863" t="str">
        <f t="shared" si="422"/>
        <v>08/24/19</v>
      </c>
      <c r="H4863" t="str">
        <f t="shared" si="417"/>
        <v>Boston Red Sox</v>
      </c>
      <c r="I4863" s="60">
        <f t="shared" si="418"/>
        <v>5</v>
      </c>
      <c r="J4863" t="str">
        <f t="shared" si="419"/>
        <v>San Diego Padres</v>
      </c>
      <c r="K4863" s="60">
        <f t="shared" si="420"/>
        <v>4</v>
      </c>
      <c r="L4863">
        <f t="shared" si="421"/>
        <v>1</v>
      </c>
    </row>
    <row r="4864" spans="1:12" x14ac:dyDescent="0.25">
      <c r="G4864" t="str">
        <f t="shared" si="422"/>
        <v>08/24/19</v>
      </c>
      <c r="H4864" t="str">
        <f t="shared" si="417"/>
        <v/>
      </c>
      <c r="I4864" s="60" t="str">
        <f t="shared" si="418"/>
        <v/>
      </c>
      <c r="J4864" t="str">
        <f t="shared" si="419"/>
        <v/>
      </c>
      <c r="K4864" s="60" t="str">
        <f t="shared" si="420"/>
        <v/>
      </c>
      <c r="L4864" t="str">
        <f t="shared" si="421"/>
        <v/>
      </c>
    </row>
    <row r="4865" spans="1:12" x14ac:dyDescent="0.25">
      <c r="A4865" t="s">
        <v>4070</v>
      </c>
      <c r="G4865" t="str">
        <f t="shared" si="422"/>
        <v>08/24/19</v>
      </c>
      <c r="H4865" t="str">
        <f t="shared" si="417"/>
        <v>Toronto Blue Jays</v>
      </c>
      <c r="I4865" s="60">
        <f t="shared" si="418"/>
        <v>7</v>
      </c>
      <c r="J4865" t="str">
        <f t="shared" si="419"/>
        <v>Seattle Mariners</v>
      </c>
      <c r="K4865" s="60">
        <f t="shared" si="420"/>
        <v>5</v>
      </c>
      <c r="L4865">
        <f t="shared" si="421"/>
        <v>2</v>
      </c>
    </row>
    <row r="4866" spans="1:12" x14ac:dyDescent="0.25">
      <c r="G4866" t="str">
        <f t="shared" si="422"/>
        <v>08/24/19</v>
      </c>
      <c r="H4866" t="str">
        <f t="shared" si="417"/>
        <v/>
      </c>
      <c r="I4866" s="60" t="str">
        <f t="shared" si="418"/>
        <v/>
      </c>
      <c r="J4866" t="str">
        <f t="shared" si="419"/>
        <v/>
      </c>
      <c r="K4866" s="60" t="str">
        <f t="shared" si="420"/>
        <v/>
      </c>
      <c r="L4866" t="str">
        <f t="shared" si="421"/>
        <v/>
      </c>
    </row>
    <row r="4867" spans="1:12" x14ac:dyDescent="0.25">
      <c r="A4867" t="s">
        <v>4071</v>
      </c>
      <c r="G4867" t="str">
        <f t="shared" si="422"/>
        <v>08/24/19</v>
      </c>
      <c r="H4867" t="str">
        <f t="shared" si="417"/>
        <v>Colorado Rockies</v>
      </c>
      <c r="I4867" s="60">
        <f t="shared" si="418"/>
        <v>0</v>
      </c>
      <c r="J4867" t="str">
        <f t="shared" si="419"/>
        <v>St. Louis Cardinals</v>
      </c>
      <c r="K4867" s="60">
        <f t="shared" si="420"/>
        <v>6</v>
      </c>
      <c r="L4867">
        <f t="shared" si="421"/>
        <v>-6</v>
      </c>
    </row>
    <row r="4868" spans="1:12" x14ac:dyDescent="0.25">
      <c r="G4868" t="str">
        <f t="shared" si="422"/>
        <v>08/24/19</v>
      </c>
      <c r="H4868" t="str">
        <f t="shared" si="417"/>
        <v/>
      </c>
      <c r="I4868" s="60" t="str">
        <f t="shared" si="418"/>
        <v/>
      </c>
      <c r="J4868" t="str">
        <f t="shared" si="419"/>
        <v/>
      </c>
      <c r="K4868" s="60" t="str">
        <f t="shared" si="420"/>
        <v/>
      </c>
      <c r="L4868" t="str">
        <f t="shared" si="421"/>
        <v/>
      </c>
    </row>
    <row r="4869" spans="1:12" x14ac:dyDescent="0.25">
      <c r="A4869" t="s">
        <v>4072</v>
      </c>
      <c r="G4869" t="str">
        <f t="shared" si="422"/>
        <v>08/24/19</v>
      </c>
      <c r="H4869" t="str">
        <f t="shared" si="417"/>
        <v/>
      </c>
      <c r="I4869" s="60" t="str">
        <f t="shared" si="418"/>
        <v/>
      </c>
      <c r="J4869" t="str">
        <f t="shared" si="419"/>
        <v/>
      </c>
      <c r="K4869" s="60" t="str">
        <f t="shared" si="420"/>
        <v/>
      </c>
      <c r="L4869" t="str">
        <f t="shared" si="421"/>
        <v/>
      </c>
    </row>
    <row r="4870" spans="1:12" x14ac:dyDescent="0.25">
      <c r="G4870" t="str">
        <f t="shared" si="422"/>
        <v>08/24/19</v>
      </c>
      <c r="H4870" t="str">
        <f t="shared" si="417"/>
        <v/>
      </c>
      <c r="I4870" s="60" t="str">
        <f t="shared" si="418"/>
        <v/>
      </c>
      <c r="J4870" t="str">
        <f t="shared" si="419"/>
        <v/>
      </c>
      <c r="K4870" s="60" t="str">
        <f t="shared" si="420"/>
        <v/>
      </c>
      <c r="L4870" t="str">
        <f t="shared" si="421"/>
        <v/>
      </c>
    </row>
    <row r="4871" spans="1:12" x14ac:dyDescent="0.25">
      <c r="A4871" t="s">
        <v>3296</v>
      </c>
      <c r="G4871" t="str">
        <f t="shared" si="422"/>
        <v>08/25/19</v>
      </c>
      <c r="H4871" t="str">
        <f t="shared" si="417"/>
        <v/>
      </c>
      <c r="I4871" s="60" t="str">
        <f t="shared" si="418"/>
        <v/>
      </c>
      <c r="J4871" t="str">
        <f t="shared" si="419"/>
        <v/>
      </c>
      <c r="K4871" s="60" t="str">
        <f t="shared" si="420"/>
        <v/>
      </c>
      <c r="L4871" t="str">
        <f t="shared" si="421"/>
        <v/>
      </c>
    </row>
    <row r="4872" spans="1:12" x14ac:dyDescent="0.25">
      <c r="G4872" t="str">
        <f t="shared" si="422"/>
        <v>08/25/19</v>
      </c>
      <c r="H4872" t="str">
        <f t="shared" si="417"/>
        <v/>
      </c>
      <c r="I4872" s="60" t="str">
        <f t="shared" si="418"/>
        <v/>
      </c>
      <c r="J4872" t="str">
        <f t="shared" si="419"/>
        <v/>
      </c>
      <c r="K4872" s="60" t="str">
        <f t="shared" si="420"/>
        <v/>
      </c>
      <c r="L4872" t="str">
        <f t="shared" si="421"/>
        <v/>
      </c>
    </row>
    <row r="4873" spans="1:12" x14ac:dyDescent="0.25">
      <c r="A4873" t="s">
        <v>4073</v>
      </c>
      <c r="G4873" t="str">
        <f t="shared" si="422"/>
        <v>08/25/19</v>
      </c>
      <c r="H4873" t="str">
        <f t="shared" si="417"/>
        <v>Tampa Bay Rays</v>
      </c>
      <c r="I4873" s="60">
        <f t="shared" si="418"/>
        <v>3</v>
      </c>
      <c r="J4873" t="str">
        <f t="shared" si="419"/>
        <v>Baltimore Orioles</v>
      </c>
      <c r="K4873" s="60">
        <f t="shared" si="420"/>
        <v>8</v>
      </c>
      <c r="L4873">
        <f t="shared" si="421"/>
        <v>-5</v>
      </c>
    </row>
    <row r="4874" spans="1:12" x14ac:dyDescent="0.25">
      <c r="G4874" t="str">
        <f t="shared" si="422"/>
        <v>08/25/19</v>
      </c>
      <c r="H4874" t="str">
        <f t="shared" si="417"/>
        <v/>
      </c>
      <c r="I4874" s="60" t="str">
        <f t="shared" si="418"/>
        <v/>
      </c>
      <c r="J4874" t="str">
        <f t="shared" si="419"/>
        <v/>
      </c>
      <c r="K4874" s="60" t="str">
        <f t="shared" si="420"/>
        <v/>
      </c>
      <c r="L4874" t="str">
        <f t="shared" si="421"/>
        <v/>
      </c>
    </row>
    <row r="4875" spans="1:12" x14ac:dyDescent="0.25">
      <c r="A4875" t="s">
        <v>4074</v>
      </c>
      <c r="G4875" t="str">
        <f t="shared" si="422"/>
        <v>08/25/19</v>
      </c>
      <c r="H4875" t="str">
        <f t="shared" si="417"/>
        <v>Texas Rangers</v>
      </c>
      <c r="I4875" s="60">
        <f t="shared" si="418"/>
        <v>0</v>
      </c>
      <c r="J4875" t="str">
        <f t="shared" si="419"/>
        <v>Chicago White Sox</v>
      </c>
      <c r="K4875" s="60">
        <f t="shared" si="420"/>
        <v>2</v>
      </c>
      <c r="L4875">
        <f t="shared" si="421"/>
        <v>-2</v>
      </c>
    </row>
    <row r="4876" spans="1:12" x14ac:dyDescent="0.25">
      <c r="G4876" t="str">
        <f t="shared" si="422"/>
        <v>08/25/19</v>
      </c>
      <c r="H4876" t="str">
        <f t="shared" si="417"/>
        <v/>
      </c>
      <c r="I4876" s="60" t="str">
        <f t="shared" si="418"/>
        <v/>
      </c>
      <c r="J4876" t="str">
        <f t="shared" si="419"/>
        <v/>
      </c>
      <c r="K4876" s="60" t="str">
        <f t="shared" si="420"/>
        <v/>
      </c>
      <c r="L4876" t="str">
        <f t="shared" si="421"/>
        <v/>
      </c>
    </row>
    <row r="4877" spans="1:12" x14ac:dyDescent="0.25">
      <c r="A4877" t="s">
        <v>4075</v>
      </c>
      <c r="G4877" t="str">
        <f t="shared" si="422"/>
        <v>08/25/19</v>
      </c>
      <c r="H4877" t="str">
        <f t="shared" si="417"/>
        <v>Washington Nationals</v>
      </c>
      <c r="I4877" s="60">
        <f t="shared" si="418"/>
        <v>7</v>
      </c>
      <c r="J4877" t="str">
        <f t="shared" si="419"/>
        <v>Chicago Cubs</v>
      </c>
      <c r="K4877" s="60">
        <f t="shared" si="420"/>
        <v>5</v>
      </c>
      <c r="L4877">
        <f t="shared" si="421"/>
        <v>2</v>
      </c>
    </row>
    <row r="4878" spans="1:12" x14ac:dyDescent="0.25">
      <c r="G4878" t="str">
        <f t="shared" si="422"/>
        <v>08/25/19</v>
      </c>
      <c r="H4878" t="str">
        <f t="shared" si="417"/>
        <v/>
      </c>
      <c r="I4878" s="60" t="str">
        <f t="shared" si="418"/>
        <v/>
      </c>
      <c r="J4878" t="str">
        <f t="shared" si="419"/>
        <v/>
      </c>
      <c r="K4878" s="60" t="str">
        <f t="shared" si="420"/>
        <v/>
      </c>
      <c r="L4878" t="str">
        <f t="shared" si="421"/>
        <v/>
      </c>
    </row>
    <row r="4879" spans="1:12" x14ac:dyDescent="0.25">
      <c r="A4879" t="s">
        <v>4076</v>
      </c>
      <c r="G4879" t="str">
        <f t="shared" si="422"/>
        <v>08/25/19</v>
      </c>
      <c r="H4879" t="str">
        <f t="shared" si="417"/>
        <v>Kansas City Royals</v>
      </c>
      <c r="I4879" s="60">
        <f t="shared" si="418"/>
        <v>9</v>
      </c>
      <c r="J4879" t="str">
        <f t="shared" si="419"/>
        <v>Cleveland Indians</v>
      </c>
      <c r="K4879" s="60">
        <f t="shared" si="420"/>
        <v>8</v>
      </c>
      <c r="L4879">
        <f t="shared" si="421"/>
        <v>1</v>
      </c>
    </row>
    <row r="4880" spans="1:12" x14ac:dyDescent="0.25">
      <c r="G4880" t="str">
        <f t="shared" si="422"/>
        <v>08/25/19</v>
      </c>
      <c r="H4880" t="str">
        <f t="shared" ref="H4880:H4943" si="423">IFERROR(LEFT(MID(A4880,1,SEARCH("@",A4880)-2),SEARCH("(",A4880)-2),"")</f>
        <v/>
      </c>
      <c r="I4880" s="60" t="str">
        <f t="shared" ref="I4880:I4943" si="424">IFERROR(VALUE(MID(A4880,SEARCH("(",A4880)+1,SEARCH(")",A4880)-SEARCH("(",A4880)-1)),"")</f>
        <v/>
      </c>
      <c r="J4880" t="str">
        <f t="shared" ref="J4880:J4943" si="425">IFERROR(MID(A4880,SEARCH("@",A4880)+2,SEARCH("(",A4880,SEARCH("@",A4880))-SEARCH("@",A4880)-3),"")</f>
        <v/>
      </c>
      <c r="K4880" s="60" t="str">
        <f t="shared" ref="K4880:K4943" si="426">IFERROR(VALUE(MID(A4880,SEARCH(J4880,A4880)+LEN(J4880)+2,(SEARCH(")",A4880,SEARCH("@",A4880))-SEARCH("(",A4880,SEARCH("@",A4880))-1))),"")</f>
        <v/>
      </c>
      <c r="L4880" t="str">
        <f t="shared" ref="L4880:L4943" si="427">IFERROR(I4880-K4880,"")</f>
        <v/>
      </c>
    </row>
    <row r="4881" spans="1:12" x14ac:dyDescent="0.25">
      <c r="A4881" t="s">
        <v>4077</v>
      </c>
      <c r="G4881" t="str">
        <f t="shared" si="422"/>
        <v>08/25/19</v>
      </c>
      <c r="H4881" t="str">
        <f t="shared" si="423"/>
        <v>Los Angeles Angels</v>
      </c>
      <c r="I4881" s="60">
        <f t="shared" si="424"/>
        <v>2</v>
      </c>
      <c r="J4881" t="str">
        <f t="shared" si="425"/>
        <v>Houston Astros</v>
      </c>
      <c r="K4881" s="60">
        <f t="shared" si="426"/>
        <v>11</v>
      </c>
      <c r="L4881">
        <f t="shared" si="427"/>
        <v>-9</v>
      </c>
    </row>
    <row r="4882" spans="1:12" x14ac:dyDescent="0.25">
      <c r="G4882" t="str">
        <f t="shared" si="422"/>
        <v>08/25/19</v>
      </c>
      <c r="H4882" t="str">
        <f t="shared" si="423"/>
        <v/>
      </c>
      <c r="I4882" s="60" t="str">
        <f t="shared" si="424"/>
        <v/>
      </c>
      <c r="J4882" t="str">
        <f t="shared" si="425"/>
        <v/>
      </c>
      <c r="K4882" s="60" t="str">
        <f t="shared" si="426"/>
        <v/>
      </c>
      <c r="L4882" t="str">
        <f t="shared" si="427"/>
        <v/>
      </c>
    </row>
    <row r="4883" spans="1:12" x14ac:dyDescent="0.25">
      <c r="A4883" t="s">
        <v>4078</v>
      </c>
      <c r="G4883" t="str">
        <f t="shared" si="422"/>
        <v>08/25/19</v>
      </c>
      <c r="H4883" t="str">
        <f t="shared" si="423"/>
        <v>New York Yankees</v>
      </c>
      <c r="I4883" s="60">
        <f t="shared" si="424"/>
        <v>5</v>
      </c>
      <c r="J4883" t="str">
        <f t="shared" si="425"/>
        <v>Los Angeles Dodgers</v>
      </c>
      <c r="K4883" s="60">
        <f t="shared" si="426"/>
        <v>1</v>
      </c>
      <c r="L4883">
        <f t="shared" si="427"/>
        <v>4</v>
      </c>
    </row>
    <row r="4884" spans="1:12" x14ac:dyDescent="0.25">
      <c r="G4884" t="str">
        <f t="shared" si="422"/>
        <v>08/25/19</v>
      </c>
      <c r="H4884" t="str">
        <f t="shared" si="423"/>
        <v/>
      </c>
      <c r="I4884" s="60" t="str">
        <f t="shared" si="424"/>
        <v/>
      </c>
      <c r="J4884" t="str">
        <f t="shared" si="425"/>
        <v/>
      </c>
      <c r="K4884" s="60" t="str">
        <f t="shared" si="426"/>
        <v/>
      </c>
      <c r="L4884" t="str">
        <f t="shared" si="427"/>
        <v/>
      </c>
    </row>
    <row r="4885" spans="1:12" x14ac:dyDescent="0.25">
      <c r="A4885" t="s">
        <v>4079</v>
      </c>
      <c r="G4885" t="str">
        <f t="shared" si="422"/>
        <v>08/25/19</v>
      </c>
      <c r="H4885" t="str">
        <f t="shared" si="423"/>
        <v>Philadelphia Phillies</v>
      </c>
      <c r="I4885" s="60">
        <f t="shared" si="424"/>
        <v>2</v>
      </c>
      <c r="J4885" t="str">
        <f t="shared" si="425"/>
        <v>Miami Marlins</v>
      </c>
      <c r="K4885" s="60">
        <f t="shared" si="426"/>
        <v>3</v>
      </c>
      <c r="L4885">
        <f t="shared" si="427"/>
        <v>-1</v>
      </c>
    </row>
    <row r="4886" spans="1:12" x14ac:dyDescent="0.25">
      <c r="G4886" t="str">
        <f t="shared" si="422"/>
        <v>08/25/19</v>
      </c>
      <c r="H4886" t="str">
        <f t="shared" si="423"/>
        <v/>
      </c>
      <c r="I4886" s="60" t="str">
        <f t="shared" si="424"/>
        <v/>
      </c>
      <c r="J4886" t="str">
        <f t="shared" si="425"/>
        <v/>
      </c>
      <c r="K4886" s="60" t="str">
        <f t="shared" si="426"/>
        <v/>
      </c>
      <c r="L4886" t="str">
        <f t="shared" si="427"/>
        <v/>
      </c>
    </row>
    <row r="4887" spans="1:12" x14ac:dyDescent="0.25">
      <c r="A4887" t="s">
        <v>4080</v>
      </c>
      <c r="G4887" t="str">
        <f t="shared" si="422"/>
        <v>08/25/19</v>
      </c>
      <c r="H4887" t="str">
        <f t="shared" si="423"/>
        <v>Arizona D'Backs</v>
      </c>
      <c r="I4887" s="60">
        <f t="shared" si="424"/>
        <v>5</v>
      </c>
      <c r="J4887" t="str">
        <f t="shared" si="425"/>
        <v>Milwaukee Brewers</v>
      </c>
      <c r="K4887" s="60">
        <f t="shared" si="426"/>
        <v>2</v>
      </c>
      <c r="L4887">
        <f t="shared" si="427"/>
        <v>3</v>
      </c>
    </row>
    <row r="4888" spans="1:12" x14ac:dyDescent="0.25">
      <c r="G4888" t="str">
        <f t="shared" si="422"/>
        <v>08/25/19</v>
      </c>
      <c r="H4888" t="str">
        <f t="shared" si="423"/>
        <v/>
      </c>
      <c r="I4888" s="60" t="str">
        <f t="shared" si="424"/>
        <v/>
      </c>
      <c r="J4888" t="str">
        <f t="shared" si="425"/>
        <v/>
      </c>
      <c r="K4888" s="60" t="str">
        <f t="shared" si="426"/>
        <v/>
      </c>
      <c r="L4888" t="str">
        <f t="shared" si="427"/>
        <v/>
      </c>
    </row>
    <row r="4889" spans="1:12" x14ac:dyDescent="0.25">
      <c r="A4889" t="s">
        <v>4081</v>
      </c>
      <c r="G4889" t="str">
        <f t="shared" si="422"/>
        <v>08/25/19</v>
      </c>
      <c r="H4889" t="str">
        <f t="shared" si="423"/>
        <v>Detroit Tigers</v>
      </c>
      <c r="I4889" s="60">
        <f t="shared" si="424"/>
        <v>4</v>
      </c>
      <c r="J4889" t="str">
        <f t="shared" si="425"/>
        <v>Minnesota Twins</v>
      </c>
      <c r="K4889" s="60">
        <f t="shared" si="426"/>
        <v>7</v>
      </c>
      <c r="L4889">
        <f t="shared" si="427"/>
        <v>-3</v>
      </c>
    </row>
    <row r="4890" spans="1:12" x14ac:dyDescent="0.25">
      <c r="G4890" t="str">
        <f t="shared" si="422"/>
        <v>08/25/19</v>
      </c>
      <c r="H4890" t="str">
        <f t="shared" si="423"/>
        <v/>
      </c>
      <c r="I4890" s="60" t="str">
        <f t="shared" si="424"/>
        <v/>
      </c>
      <c r="J4890" t="str">
        <f t="shared" si="425"/>
        <v/>
      </c>
      <c r="K4890" s="60" t="str">
        <f t="shared" si="426"/>
        <v/>
      </c>
      <c r="L4890" t="str">
        <f t="shared" si="427"/>
        <v/>
      </c>
    </row>
    <row r="4891" spans="1:12" x14ac:dyDescent="0.25">
      <c r="A4891" t="s">
        <v>4051</v>
      </c>
      <c r="G4891" t="str">
        <f t="shared" si="422"/>
        <v>08/25/19</v>
      </c>
      <c r="H4891" t="str">
        <f t="shared" si="423"/>
        <v>Atlanta Braves</v>
      </c>
      <c r="I4891" s="60">
        <f t="shared" si="424"/>
        <v>2</v>
      </c>
      <c r="J4891" t="str">
        <f t="shared" si="425"/>
        <v>New York Mets</v>
      </c>
      <c r="K4891" s="60">
        <f t="shared" si="426"/>
        <v>1</v>
      </c>
      <c r="L4891">
        <f t="shared" si="427"/>
        <v>1</v>
      </c>
    </row>
    <row r="4892" spans="1:12" x14ac:dyDescent="0.25">
      <c r="G4892" t="str">
        <f t="shared" si="422"/>
        <v>08/25/19</v>
      </c>
      <c r="H4892" t="str">
        <f t="shared" si="423"/>
        <v/>
      </c>
      <c r="I4892" s="60" t="str">
        <f t="shared" si="424"/>
        <v/>
      </c>
      <c r="J4892" t="str">
        <f t="shared" si="425"/>
        <v/>
      </c>
      <c r="K4892" s="60" t="str">
        <f t="shared" si="426"/>
        <v/>
      </c>
      <c r="L4892" t="str">
        <f t="shared" si="427"/>
        <v/>
      </c>
    </row>
    <row r="4893" spans="1:12" x14ac:dyDescent="0.25">
      <c r="A4893" t="s">
        <v>4082</v>
      </c>
      <c r="G4893" t="str">
        <f t="shared" si="422"/>
        <v>08/25/19</v>
      </c>
      <c r="H4893" t="str">
        <f t="shared" si="423"/>
        <v>San Francisco Giants</v>
      </c>
      <c r="I4893" s="60">
        <f t="shared" si="424"/>
        <v>5</v>
      </c>
      <c r="J4893" t="str">
        <f t="shared" si="425"/>
        <v>Oakland Athletics</v>
      </c>
      <c r="K4893" s="60">
        <f t="shared" si="426"/>
        <v>4</v>
      </c>
      <c r="L4893">
        <f t="shared" si="427"/>
        <v>1</v>
      </c>
    </row>
    <row r="4894" spans="1:12" x14ac:dyDescent="0.25">
      <c r="G4894" t="str">
        <f t="shared" si="422"/>
        <v>08/25/19</v>
      </c>
      <c r="H4894" t="str">
        <f t="shared" si="423"/>
        <v/>
      </c>
      <c r="I4894" s="60" t="str">
        <f t="shared" si="424"/>
        <v/>
      </c>
      <c r="J4894" t="str">
        <f t="shared" si="425"/>
        <v/>
      </c>
      <c r="K4894" s="60" t="str">
        <f t="shared" si="426"/>
        <v/>
      </c>
      <c r="L4894" t="str">
        <f t="shared" si="427"/>
        <v/>
      </c>
    </row>
    <row r="4895" spans="1:12" x14ac:dyDescent="0.25">
      <c r="A4895" t="s">
        <v>4083</v>
      </c>
      <c r="G4895" t="str">
        <f t="shared" si="422"/>
        <v>08/25/19</v>
      </c>
      <c r="H4895" t="str">
        <f t="shared" si="423"/>
        <v>Cincinnati Reds</v>
      </c>
      <c r="I4895" s="60">
        <f t="shared" si="424"/>
        <v>8</v>
      </c>
      <c r="J4895" t="str">
        <f t="shared" si="425"/>
        <v>Pittsburgh Pirates</v>
      </c>
      <c r="K4895" s="60">
        <f t="shared" si="426"/>
        <v>9</v>
      </c>
      <c r="L4895">
        <f t="shared" si="427"/>
        <v>-1</v>
      </c>
    </row>
    <row r="4896" spans="1:12" x14ac:dyDescent="0.25">
      <c r="G4896" t="str">
        <f t="shared" si="422"/>
        <v>08/25/19</v>
      </c>
      <c r="H4896" t="str">
        <f t="shared" si="423"/>
        <v/>
      </c>
      <c r="I4896" s="60" t="str">
        <f t="shared" si="424"/>
        <v/>
      </c>
      <c r="J4896" t="str">
        <f t="shared" si="425"/>
        <v/>
      </c>
      <c r="K4896" s="60" t="str">
        <f t="shared" si="426"/>
        <v/>
      </c>
      <c r="L4896" t="str">
        <f t="shared" si="427"/>
        <v/>
      </c>
    </row>
    <row r="4897" spans="1:12" x14ac:dyDescent="0.25">
      <c r="A4897" t="s">
        <v>4084</v>
      </c>
      <c r="G4897" t="str">
        <f t="shared" si="422"/>
        <v>08/25/19</v>
      </c>
      <c r="H4897" t="str">
        <f t="shared" si="423"/>
        <v>Boston Red Sox</v>
      </c>
      <c r="I4897" s="60">
        <f t="shared" si="424"/>
        <v>1</v>
      </c>
      <c r="J4897" t="str">
        <f t="shared" si="425"/>
        <v>San Diego Padres</v>
      </c>
      <c r="K4897" s="60">
        <f t="shared" si="426"/>
        <v>3</v>
      </c>
      <c r="L4897">
        <f t="shared" si="427"/>
        <v>-2</v>
      </c>
    </row>
    <row r="4898" spans="1:12" x14ac:dyDescent="0.25">
      <c r="G4898" t="str">
        <f t="shared" ref="G4898:G4961" si="428">IF(ISNUMBER(MATCH(IFERROR(LEFT(A4898,SEARCH(",",A4898)-1),""),$G$220:$M$220,0)),TEXT(MID(A4898,SEARCH(",",A4898)+2,LEN(A4898)),"mm/dd/yy"),G4897)</f>
        <v>08/25/19</v>
      </c>
      <c r="H4898" t="str">
        <f t="shared" si="423"/>
        <v/>
      </c>
      <c r="I4898" s="60" t="str">
        <f t="shared" si="424"/>
        <v/>
      </c>
      <c r="J4898" t="str">
        <f t="shared" si="425"/>
        <v/>
      </c>
      <c r="K4898" s="60" t="str">
        <f t="shared" si="426"/>
        <v/>
      </c>
      <c r="L4898" t="str">
        <f t="shared" si="427"/>
        <v/>
      </c>
    </row>
    <row r="4899" spans="1:12" x14ac:dyDescent="0.25">
      <c r="A4899" t="s">
        <v>4085</v>
      </c>
      <c r="G4899" t="str">
        <f t="shared" si="428"/>
        <v>08/25/19</v>
      </c>
      <c r="H4899" t="str">
        <f t="shared" si="423"/>
        <v>Toronto Blue Jays</v>
      </c>
      <c r="I4899" s="60">
        <f t="shared" si="424"/>
        <v>1</v>
      </c>
      <c r="J4899" t="str">
        <f t="shared" si="425"/>
        <v>Seattle Mariners</v>
      </c>
      <c r="K4899" s="60">
        <f t="shared" si="426"/>
        <v>3</v>
      </c>
      <c r="L4899">
        <f t="shared" si="427"/>
        <v>-2</v>
      </c>
    </row>
    <row r="4900" spans="1:12" x14ac:dyDescent="0.25">
      <c r="G4900" t="str">
        <f t="shared" si="428"/>
        <v>08/25/19</v>
      </c>
      <c r="H4900" t="str">
        <f t="shared" si="423"/>
        <v/>
      </c>
      <c r="I4900" s="60" t="str">
        <f t="shared" si="424"/>
        <v/>
      </c>
      <c r="J4900" t="str">
        <f t="shared" si="425"/>
        <v/>
      </c>
      <c r="K4900" s="60" t="str">
        <f t="shared" si="426"/>
        <v/>
      </c>
      <c r="L4900" t="str">
        <f t="shared" si="427"/>
        <v/>
      </c>
    </row>
    <row r="4901" spans="1:12" x14ac:dyDescent="0.25">
      <c r="A4901" t="s">
        <v>4086</v>
      </c>
      <c r="G4901" t="str">
        <f t="shared" si="428"/>
        <v>08/25/19</v>
      </c>
      <c r="H4901" t="str">
        <f t="shared" si="423"/>
        <v>Colorado Rockies</v>
      </c>
      <c r="I4901" s="60">
        <f t="shared" si="424"/>
        <v>4</v>
      </c>
      <c r="J4901" t="str">
        <f t="shared" si="425"/>
        <v>St. Louis Cardinals</v>
      </c>
      <c r="K4901" s="60">
        <f t="shared" si="426"/>
        <v>11</v>
      </c>
      <c r="L4901">
        <f t="shared" si="427"/>
        <v>-7</v>
      </c>
    </row>
    <row r="4902" spans="1:12" x14ac:dyDescent="0.25">
      <c r="G4902" t="str">
        <f t="shared" si="428"/>
        <v>08/25/19</v>
      </c>
      <c r="H4902" t="str">
        <f t="shared" si="423"/>
        <v/>
      </c>
      <c r="I4902" s="60" t="str">
        <f t="shared" si="424"/>
        <v/>
      </c>
      <c r="J4902" t="str">
        <f t="shared" si="425"/>
        <v/>
      </c>
      <c r="K4902" s="60" t="str">
        <f t="shared" si="426"/>
        <v/>
      </c>
      <c r="L4902" t="str">
        <f t="shared" si="427"/>
        <v/>
      </c>
    </row>
    <row r="4903" spans="1:12" x14ac:dyDescent="0.25">
      <c r="A4903" t="s">
        <v>4087</v>
      </c>
      <c r="G4903" t="str">
        <f t="shared" si="428"/>
        <v>08/25/19</v>
      </c>
      <c r="H4903" t="str">
        <f t="shared" si="423"/>
        <v/>
      </c>
      <c r="I4903" s="60" t="str">
        <f t="shared" si="424"/>
        <v/>
      </c>
      <c r="J4903" t="str">
        <f t="shared" si="425"/>
        <v/>
      </c>
      <c r="K4903" s="60" t="str">
        <f t="shared" si="426"/>
        <v/>
      </c>
      <c r="L4903" t="str">
        <f t="shared" si="427"/>
        <v/>
      </c>
    </row>
    <row r="4904" spans="1:12" x14ac:dyDescent="0.25">
      <c r="G4904" t="str">
        <f t="shared" si="428"/>
        <v>08/25/19</v>
      </c>
      <c r="H4904" t="str">
        <f t="shared" si="423"/>
        <v/>
      </c>
      <c r="I4904" s="60" t="str">
        <f t="shared" si="424"/>
        <v/>
      </c>
      <c r="J4904" t="str">
        <f t="shared" si="425"/>
        <v/>
      </c>
      <c r="K4904" s="60" t="str">
        <f t="shared" si="426"/>
        <v/>
      </c>
      <c r="L4904" t="str">
        <f t="shared" si="427"/>
        <v/>
      </c>
    </row>
    <row r="4905" spans="1:12" x14ac:dyDescent="0.25">
      <c r="A4905" t="s">
        <v>4141</v>
      </c>
      <c r="G4905" t="str">
        <f t="shared" si="428"/>
        <v>08/26/19</v>
      </c>
      <c r="H4905" t="str">
        <f t="shared" si="423"/>
        <v/>
      </c>
      <c r="I4905" s="60" t="str">
        <f t="shared" si="424"/>
        <v/>
      </c>
      <c r="J4905" t="str">
        <f t="shared" si="425"/>
        <v/>
      </c>
      <c r="K4905" s="60" t="str">
        <f t="shared" si="426"/>
        <v/>
      </c>
      <c r="L4905" t="str">
        <f t="shared" si="427"/>
        <v/>
      </c>
    </row>
    <row r="4906" spans="1:12" x14ac:dyDescent="0.25">
      <c r="G4906" t="str">
        <f t="shared" si="428"/>
        <v>08/26/19</v>
      </c>
      <c r="H4906" t="str">
        <f t="shared" si="423"/>
        <v/>
      </c>
      <c r="I4906" s="60" t="str">
        <f t="shared" si="424"/>
        <v/>
      </c>
      <c r="J4906" t="str">
        <f t="shared" si="425"/>
        <v/>
      </c>
      <c r="K4906" s="60" t="str">
        <f t="shared" si="426"/>
        <v/>
      </c>
      <c r="L4906" t="str">
        <f t="shared" si="427"/>
        <v/>
      </c>
    </row>
    <row r="4907" spans="1:12" x14ac:dyDescent="0.25">
      <c r="A4907" t="s">
        <v>4142</v>
      </c>
      <c r="G4907" t="str">
        <f t="shared" si="428"/>
        <v>08/26/19</v>
      </c>
      <c r="H4907" t="str">
        <f t="shared" si="423"/>
        <v>Atlanta Braves</v>
      </c>
      <c r="I4907" s="60">
        <f t="shared" si="424"/>
        <v>1</v>
      </c>
      <c r="J4907" t="str">
        <f t="shared" si="425"/>
        <v>Colorado Rockies</v>
      </c>
      <c r="K4907" s="60">
        <f t="shared" si="426"/>
        <v>3</v>
      </c>
      <c r="L4907">
        <f t="shared" si="427"/>
        <v>-2</v>
      </c>
    </row>
    <row r="4908" spans="1:12" x14ac:dyDescent="0.25">
      <c r="G4908" t="str">
        <f t="shared" si="428"/>
        <v>08/26/19</v>
      </c>
      <c r="H4908" t="str">
        <f t="shared" si="423"/>
        <v/>
      </c>
      <c r="I4908" s="60" t="str">
        <f t="shared" si="424"/>
        <v/>
      </c>
      <c r="J4908" t="str">
        <f t="shared" si="425"/>
        <v/>
      </c>
      <c r="K4908" s="60" t="str">
        <f t="shared" si="426"/>
        <v/>
      </c>
      <c r="L4908" t="str">
        <f t="shared" si="427"/>
        <v/>
      </c>
    </row>
    <row r="4909" spans="1:12" x14ac:dyDescent="0.25">
      <c r="A4909" t="s">
        <v>4143</v>
      </c>
      <c r="G4909" t="str">
        <f t="shared" si="428"/>
        <v>08/26/19</v>
      </c>
      <c r="H4909" t="str">
        <f t="shared" si="423"/>
        <v>Oakland Athletics</v>
      </c>
      <c r="I4909" s="60">
        <f t="shared" si="424"/>
        <v>19</v>
      </c>
      <c r="J4909" t="str">
        <f t="shared" si="425"/>
        <v>Kansas City Royals</v>
      </c>
      <c r="K4909" s="60">
        <f t="shared" si="426"/>
        <v>4</v>
      </c>
      <c r="L4909">
        <f t="shared" si="427"/>
        <v>15</v>
      </c>
    </row>
    <row r="4910" spans="1:12" x14ac:dyDescent="0.25">
      <c r="G4910" t="str">
        <f t="shared" si="428"/>
        <v>08/26/19</v>
      </c>
      <c r="H4910" t="str">
        <f t="shared" si="423"/>
        <v/>
      </c>
      <c r="I4910" s="60" t="str">
        <f t="shared" si="424"/>
        <v/>
      </c>
      <c r="J4910" t="str">
        <f t="shared" si="425"/>
        <v/>
      </c>
      <c r="K4910" s="60" t="str">
        <f t="shared" si="426"/>
        <v/>
      </c>
      <c r="L4910" t="str">
        <f t="shared" si="427"/>
        <v/>
      </c>
    </row>
    <row r="4911" spans="1:12" x14ac:dyDescent="0.25">
      <c r="A4911" t="s">
        <v>4144</v>
      </c>
      <c r="G4911" t="str">
        <f t="shared" si="428"/>
        <v>08/26/19</v>
      </c>
      <c r="H4911" t="str">
        <f t="shared" si="423"/>
        <v>Cincinnati Reds</v>
      </c>
      <c r="I4911" s="60">
        <f t="shared" si="424"/>
        <v>6</v>
      </c>
      <c r="J4911" t="str">
        <f t="shared" si="425"/>
        <v>Miami Marlins</v>
      </c>
      <c r="K4911" s="60">
        <f t="shared" si="426"/>
        <v>3</v>
      </c>
      <c r="L4911">
        <f t="shared" si="427"/>
        <v>3</v>
      </c>
    </row>
    <row r="4912" spans="1:12" x14ac:dyDescent="0.25">
      <c r="G4912" t="str">
        <f t="shared" si="428"/>
        <v>08/26/19</v>
      </c>
      <c r="H4912" t="str">
        <f t="shared" si="423"/>
        <v/>
      </c>
      <c r="I4912" s="60" t="str">
        <f t="shared" si="424"/>
        <v/>
      </c>
      <c r="J4912" t="str">
        <f t="shared" si="425"/>
        <v/>
      </c>
      <c r="K4912" s="60" t="str">
        <f t="shared" si="426"/>
        <v/>
      </c>
      <c r="L4912" t="str">
        <f t="shared" si="427"/>
        <v/>
      </c>
    </row>
    <row r="4913" spans="1:12" x14ac:dyDescent="0.25">
      <c r="A4913" t="s">
        <v>4145</v>
      </c>
      <c r="G4913" t="str">
        <f t="shared" si="428"/>
        <v>08/26/19</v>
      </c>
      <c r="H4913" t="str">
        <f t="shared" si="423"/>
        <v>St. Louis Cardinals</v>
      </c>
      <c r="I4913" s="60">
        <f t="shared" si="424"/>
        <v>12</v>
      </c>
      <c r="J4913" t="str">
        <f t="shared" si="425"/>
        <v>Milwaukee Brewers</v>
      </c>
      <c r="K4913" s="60">
        <f t="shared" si="426"/>
        <v>2</v>
      </c>
      <c r="L4913">
        <f t="shared" si="427"/>
        <v>10</v>
      </c>
    </row>
    <row r="4914" spans="1:12" x14ac:dyDescent="0.25">
      <c r="G4914" t="str">
        <f t="shared" si="428"/>
        <v>08/26/19</v>
      </c>
      <c r="H4914" t="str">
        <f t="shared" si="423"/>
        <v/>
      </c>
      <c r="I4914" s="60" t="str">
        <f t="shared" si="424"/>
        <v/>
      </c>
      <c r="J4914" t="str">
        <f t="shared" si="425"/>
        <v/>
      </c>
      <c r="K4914" s="60" t="str">
        <f t="shared" si="426"/>
        <v/>
      </c>
      <c r="L4914" t="str">
        <f t="shared" si="427"/>
        <v/>
      </c>
    </row>
    <row r="4915" spans="1:12" x14ac:dyDescent="0.25">
      <c r="A4915" t="s">
        <v>4146</v>
      </c>
      <c r="G4915" t="str">
        <f t="shared" si="428"/>
        <v>08/26/19</v>
      </c>
      <c r="H4915" t="str">
        <f t="shared" si="423"/>
        <v>Pittsburgh Pirates</v>
      </c>
      <c r="I4915" s="60">
        <f t="shared" si="424"/>
        <v>5</v>
      </c>
      <c r="J4915" t="str">
        <f t="shared" si="425"/>
        <v>Philadelphia Phillies</v>
      </c>
      <c r="K4915" s="60">
        <f t="shared" si="426"/>
        <v>6</v>
      </c>
      <c r="L4915">
        <f t="shared" si="427"/>
        <v>-1</v>
      </c>
    </row>
    <row r="4916" spans="1:12" x14ac:dyDescent="0.25">
      <c r="G4916" t="str">
        <f t="shared" si="428"/>
        <v>08/26/19</v>
      </c>
      <c r="H4916" t="str">
        <f t="shared" si="423"/>
        <v/>
      </c>
      <c r="I4916" s="60" t="str">
        <f t="shared" si="424"/>
        <v/>
      </c>
      <c r="J4916" t="str">
        <f t="shared" si="425"/>
        <v/>
      </c>
      <c r="K4916" s="60" t="str">
        <f t="shared" si="426"/>
        <v/>
      </c>
      <c r="L4916" t="str">
        <f t="shared" si="427"/>
        <v/>
      </c>
    </row>
    <row r="4917" spans="1:12" x14ac:dyDescent="0.25">
      <c r="A4917" t="s">
        <v>4147</v>
      </c>
      <c r="G4917" t="str">
        <f t="shared" si="428"/>
        <v>08/26/19</v>
      </c>
      <c r="H4917" t="str">
        <f t="shared" si="423"/>
        <v>Los Angeles Dodgers</v>
      </c>
      <c r="I4917" s="60">
        <f t="shared" si="424"/>
        <v>3</v>
      </c>
      <c r="J4917" t="str">
        <f t="shared" si="425"/>
        <v>San Diego Padres</v>
      </c>
      <c r="K4917" s="60">
        <f t="shared" si="426"/>
        <v>4</v>
      </c>
      <c r="L4917">
        <f t="shared" si="427"/>
        <v>-1</v>
      </c>
    </row>
    <row r="4918" spans="1:12" x14ac:dyDescent="0.25">
      <c r="G4918" t="str">
        <f t="shared" si="428"/>
        <v>08/26/19</v>
      </c>
      <c r="H4918" t="str">
        <f t="shared" si="423"/>
        <v/>
      </c>
      <c r="I4918" s="60" t="str">
        <f t="shared" si="424"/>
        <v/>
      </c>
      <c r="J4918" t="str">
        <f t="shared" si="425"/>
        <v/>
      </c>
      <c r="K4918" s="60" t="str">
        <f t="shared" si="426"/>
        <v/>
      </c>
      <c r="L4918" t="str">
        <f t="shared" si="427"/>
        <v/>
      </c>
    </row>
    <row r="4919" spans="1:12" x14ac:dyDescent="0.25">
      <c r="A4919" t="s">
        <v>4148</v>
      </c>
      <c r="G4919" t="str">
        <f t="shared" si="428"/>
        <v>08/26/19</v>
      </c>
      <c r="H4919" t="str">
        <f t="shared" si="423"/>
        <v>New York Yankees</v>
      </c>
      <c r="I4919" s="60">
        <f t="shared" si="424"/>
        <v>5</v>
      </c>
      <c r="J4919" t="str">
        <f t="shared" si="425"/>
        <v>Seattle Mariners</v>
      </c>
      <c r="K4919" s="60">
        <f t="shared" si="426"/>
        <v>4</v>
      </c>
      <c r="L4919">
        <f t="shared" si="427"/>
        <v>1</v>
      </c>
    </row>
    <row r="4920" spans="1:12" x14ac:dyDescent="0.25">
      <c r="G4920" t="str">
        <f t="shared" si="428"/>
        <v>08/26/19</v>
      </c>
      <c r="H4920" t="str">
        <f t="shared" si="423"/>
        <v/>
      </c>
      <c r="I4920" s="60" t="str">
        <f t="shared" si="424"/>
        <v/>
      </c>
      <c r="J4920" t="str">
        <f t="shared" si="425"/>
        <v/>
      </c>
      <c r="K4920" s="60" t="str">
        <f t="shared" si="426"/>
        <v/>
      </c>
      <c r="L4920" t="str">
        <f t="shared" si="427"/>
        <v/>
      </c>
    </row>
    <row r="4921" spans="1:12" x14ac:dyDescent="0.25">
      <c r="A4921" t="s">
        <v>4149</v>
      </c>
      <c r="G4921" t="str">
        <f t="shared" si="428"/>
        <v>08/26/19</v>
      </c>
      <c r="H4921" t="str">
        <f t="shared" si="423"/>
        <v>Arizona D'Backs</v>
      </c>
      <c r="I4921" s="60">
        <f t="shared" si="424"/>
        <v>6</v>
      </c>
      <c r="J4921" t="str">
        <f t="shared" si="425"/>
        <v>San Francisco Giants</v>
      </c>
      <c r="K4921" s="60">
        <f t="shared" si="426"/>
        <v>4</v>
      </c>
      <c r="L4921">
        <f t="shared" si="427"/>
        <v>2</v>
      </c>
    </row>
    <row r="4922" spans="1:12" x14ac:dyDescent="0.25">
      <c r="G4922" t="str">
        <f t="shared" si="428"/>
        <v>08/26/19</v>
      </c>
      <c r="H4922" t="str">
        <f t="shared" si="423"/>
        <v/>
      </c>
      <c r="I4922" s="60" t="str">
        <f t="shared" si="424"/>
        <v/>
      </c>
      <c r="J4922" t="str">
        <f t="shared" si="425"/>
        <v/>
      </c>
      <c r="K4922" s="60" t="str">
        <f t="shared" si="426"/>
        <v/>
      </c>
      <c r="L4922" t="str">
        <f t="shared" si="427"/>
        <v/>
      </c>
    </row>
    <row r="4923" spans="1:12" x14ac:dyDescent="0.25">
      <c r="A4923" t="s">
        <v>4150</v>
      </c>
      <c r="G4923" t="str">
        <f t="shared" si="428"/>
        <v>08/26/19</v>
      </c>
      <c r="H4923" t="str">
        <f t="shared" si="423"/>
        <v/>
      </c>
      <c r="I4923" s="60" t="str">
        <f t="shared" si="424"/>
        <v/>
      </c>
      <c r="J4923" t="str">
        <f t="shared" si="425"/>
        <v/>
      </c>
      <c r="K4923" s="60" t="str">
        <f t="shared" si="426"/>
        <v/>
      </c>
      <c r="L4923" t="str">
        <f t="shared" si="427"/>
        <v/>
      </c>
    </row>
    <row r="4924" spans="1:12" x14ac:dyDescent="0.25">
      <c r="G4924" t="str">
        <f t="shared" si="428"/>
        <v>08/26/19</v>
      </c>
      <c r="H4924" t="str">
        <f t="shared" si="423"/>
        <v/>
      </c>
      <c r="I4924" s="60" t="str">
        <f t="shared" si="424"/>
        <v/>
      </c>
      <c r="J4924" t="str">
        <f t="shared" si="425"/>
        <v/>
      </c>
      <c r="K4924" s="60" t="str">
        <f t="shared" si="426"/>
        <v/>
      </c>
      <c r="L4924" t="str">
        <f t="shared" si="427"/>
        <v/>
      </c>
    </row>
    <row r="4925" spans="1:12" x14ac:dyDescent="0.25">
      <c r="A4925" t="s">
        <v>4161</v>
      </c>
      <c r="G4925" t="str">
        <f t="shared" si="428"/>
        <v>08/27/19</v>
      </c>
      <c r="H4925" t="str">
        <f t="shared" si="423"/>
        <v/>
      </c>
      <c r="I4925" s="60" t="str">
        <f t="shared" si="424"/>
        <v/>
      </c>
      <c r="J4925" t="str">
        <f t="shared" si="425"/>
        <v/>
      </c>
      <c r="K4925" s="60" t="str">
        <f t="shared" si="426"/>
        <v/>
      </c>
      <c r="L4925" t="str">
        <f t="shared" si="427"/>
        <v/>
      </c>
    </row>
    <row r="4926" spans="1:12" x14ac:dyDescent="0.25">
      <c r="G4926" t="str">
        <f t="shared" si="428"/>
        <v>08/27/19</v>
      </c>
      <c r="H4926" t="str">
        <f t="shared" si="423"/>
        <v/>
      </c>
      <c r="I4926" s="60" t="str">
        <f t="shared" si="424"/>
        <v/>
      </c>
      <c r="J4926" t="str">
        <f t="shared" si="425"/>
        <v/>
      </c>
      <c r="K4926" s="60" t="str">
        <f t="shared" si="426"/>
        <v/>
      </c>
      <c r="L4926" t="str">
        <f t="shared" si="427"/>
        <v/>
      </c>
    </row>
    <row r="4927" spans="1:12" x14ac:dyDescent="0.25">
      <c r="A4927" t="s">
        <v>4162</v>
      </c>
      <c r="G4927" t="str">
        <f t="shared" si="428"/>
        <v>08/27/19</v>
      </c>
      <c r="H4927" t="str">
        <f t="shared" si="423"/>
        <v>Texas Rangers</v>
      </c>
      <c r="I4927" s="60">
        <f t="shared" si="424"/>
        <v>2</v>
      </c>
      <c r="J4927" t="str">
        <f t="shared" si="425"/>
        <v>Los Angeles Angels</v>
      </c>
      <c r="K4927" s="60">
        <f t="shared" si="426"/>
        <v>5</v>
      </c>
      <c r="L4927">
        <f t="shared" si="427"/>
        <v>-3</v>
      </c>
    </row>
    <row r="4928" spans="1:12" x14ac:dyDescent="0.25">
      <c r="G4928" t="str">
        <f t="shared" si="428"/>
        <v>08/27/19</v>
      </c>
      <c r="H4928" t="str">
        <f t="shared" si="423"/>
        <v/>
      </c>
      <c r="I4928" s="60" t="str">
        <f t="shared" si="424"/>
        <v/>
      </c>
      <c r="J4928" t="str">
        <f t="shared" si="425"/>
        <v/>
      </c>
      <c r="K4928" s="60" t="str">
        <f t="shared" si="426"/>
        <v/>
      </c>
      <c r="L4928" t="str">
        <f t="shared" si="427"/>
        <v/>
      </c>
    </row>
    <row r="4929" spans="1:12" x14ac:dyDescent="0.25">
      <c r="A4929" t="s">
        <v>4163</v>
      </c>
      <c r="G4929" t="str">
        <f t="shared" si="428"/>
        <v>08/27/19</v>
      </c>
      <c r="H4929" t="str">
        <f t="shared" si="423"/>
        <v>Minnesota Twins</v>
      </c>
      <c r="I4929" s="60">
        <f t="shared" si="424"/>
        <v>3</v>
      </c>
      <c r="J4929" t="str">
        <f t="shared" si="425"/>
        <v>Chicago White Sox</v>
      </c>
      <c r="K4929" s="60">
        <f t="shared" si="426"/>
        <v>1</v>
      </c>
      <c r="L4929">
        <f t="shared" si="427"/>
        <v>2</v>
      </c>
    </row>
    <row r="4930" spans="1:12" x14ac:dyDescent="0.25">
      <c r="G4930" t="str">
        <f t="shared" si="428"/>
        <v>08/27/19</v>
      </c>
      <c r="H4930" t="str">
        <f t="shared" si="423"/>
        <v/>
      </c>
      <c r="I4930" s="60" t="str">
        <f t="shared" si="424"/>
        <v/>
      </c>
      <c r="J4930" t="str">
        <f t="shared" si="425"/>
        <v/>
      </c>
      <c r="K4930" s="60" t="str">
        <f t="shared" si="426"/>
        <v/>
      </c>
      <c r="L4930" t="str">
        <f t="shared" si="427"/>
        <v/>
      </c>
    </row>
    <row r="4931" spans="1:12" x14ac:dyDescent="0.25">
      <c r="A4931" t="s">
        <v>4164</v>
      </c>
      <c r="G4931" t="str">
        <f t="shared" si="428"/>
        <v>08/27/19</v>
      </c>
      <c r="H4931" t="str">
        <f t="shared" si="423"/>
        <v>Boston Red Sox</v>
      </c>
      <c r="I4931" s="60">
        <f t="shared" si="424"/>
        <v>10</v>
      </c>
      <c r="J4931" t="str">
        <f t="shared" si="425"/>
        <v>Colorado Rockies</v>
      </c>
      <c r="K4931" s="60">
        <f t="shared" si="426"/>
        <v>6</v>
      </c>
      <c r="L4931">
        <f t="shared" si="427"/>
        <v>4</v>
      </c>
    </row>
    <row r="4932" spans="1:12" x14ac:dyDescent="0.25">
      <c r="G4932" t="str">
        <f t="shared" si="428"/>
        <v>08/27/19</v>
      </c>
      <c r="H4932" t="str">
        <f t="shared" si="423"/>
        <v/>
      </c>
      <c r="I4932" s="60" t="str">
        <f t="shared" si="424"/>
        <v/>
      </c>
      <c r="J4932" t="str">
        <f t="shared" si="425"/>
        <v/>
      </c>
      <c r="K4932" s="60" t="str">
        <f t="shared" si="426"/>
        <v/>
      </c>
      <c r="L4932" t="str">
        <f t="shared" si="427"/>
        <v/>
      </c>
    </row>
    <row r="4933" spans="1:12" x14ac:dyDescent="0.25">
      <c r="A4933" t="s">
        <v>4165</v>
      </c>
      <c r="G4933" t="str">
        <f t="shared" si="428"/>
        <v>08/27/19</v>
      </c>
      <c r="H4933" t="str">
        <f t="shared" si="423"/>
        <v>Cleveland Indians</v>
      </c>
      <c r="I4933" s="60">
        <f t="shared" si="424"/>
        <v>10</v>
      </c>
      <c r="J4933" t="str">
        <f t="shared" si="425"/>
        <v>Detroit Tigers</v>
      </c>
      <c r="K4933" s="60">
        <f t="shared" si="426"/>
        <v>1</v>
      </c>
      <c r="L4933">
        <f t="shared" si="427"/>
        <v>9</v>
      </c>
    </row>
    <row r="4934" spans="1:12" x14ac:dyDescent="0.25">
      <c r="G4934" t="str">
        <f t="shared" si="428"/>
        <v>08/27/19</v>
      </c>
      <c r="H4934" t="str">
        <f t="shared" si="423"/>
        <v/>
      </c>
      <c r="I4934" s="60" t="str">
        <f t="shared" si="424"/>
        <v/>
      </c>
      <c r="J4934" t="str">
        <f t="shared" si="425"/>
        <v/>
      </c>
      <c r="K4934" s="60" t="str">
        <f t="shared" si="426"/>
        <v/>
      </c>
      <c r="L4934" t="str">
        <f t="shared" si="427"/>
        <v/>
      </c>
    </row>
    <row r="4935" spans="1:12" x14ac:dyDescent="0.25">
      <c r="A4935" t="s">
        <v>4166</v>
      </c>
      <c r="G4935" t="str">
        <f t="shared" si="428"/>
        <v>08/27/19</v>
      </c>
      <c r="H4935" t="str">
        <f t="shared" si="423"/>
        <v>Tampa Bay Rays</v>
      </c>
      <c r="I4935" s="60">
        <f t="shared" si="424"/>
        <v>1</v>
      </c>
      <c r="J4935" t="str">
        <f t="shared" si="425"/>
        <v>Houston Astros</v>
      </c>
      <c r="K4935" s="60">
        <f t="shared" si="426"/>
        <v>15</v>
      </c>
      <c r="L4935">
        <f t="shared" si="427"/>
        <v>-14</v>
      </c>
    </row>
    <row r="4936" spans="1:12" x14ac:dyDescent="0.25">
      <c r="G4936" t="str">
        <f t="shared" si="428"/>
        <v>08/27/19</v>
      </c>
      <c r="H4936" t="str">
        <f t="shared" si="423"/>
        <v/>
      </c>
      <c r="I4936" s="60" t="str">
        <f t="shared" si="424"/>
        <v/>
      </c>
      <c r="J4936" t="str">
        <f t="shared" si="425"/>
        <v/>
      </c>
      <c r="K4936" s="60" t="str">
        <f t="shared" si="426"/>
        <v/>
      </c>
      <c r="L4936" t="str">
        <f t="shared" si="427"/>
        <v/>
      </c>
    </row>
    <row r="4937" spans="1:12" x14ac:dyDescent="0.25">
      <c r="A4937" t="s">
        <v>4167</v>
      </c>
      <c r="G4937" t="str">
        <f t="shared" si="428"/>
        <v>08/27/19</v>
      </c>
      <c r="H4937" t="str">
        <f t="shared" si="423"/>
        <v>Oakland Athletics</v>
      </c>
      <c r="I4937" s="60">
        <f t="shared" si="424"/>
        <v>2</v>
      </c>
      <c r="J4937" t="str">
        <f t="shared" si="425"/>
        <v>Kansas City Royals</v>
      </c>
      <c r="K4937" s="60">
        <f t="shared" si="426"/>
        <v>1</v>
      </c>
      <c r="L4937">
        <f t="shared" si="427"/>
        <v>1</v>
      </c>
    </row>
    <row r="4938" spans="1:12" x14ac:dyDescent="0.25">
      <c r="G4938" t="str">
        <f t="shared" si="428"/>
        <v>08/27/19</v>
      </c>
      <c r="H4938" t="str">
        <f t="shared" si="423"/>
        <v/>
      </c>
      <c r="I4938" s="60" t="str">
        <f t="shared" si="424"/>
        <v/>
      </c>
      <c r="J4938" t="str">
        <f t="shared" si="425"/>
        <v/>
      </c>
      <c r="K4938" s="60" t="str">
        <f t="shared" si="426"/>
        <v/>
      </c>
      <c r="L4938" t="str">
        <f t="shared" si="427"/>
        <v/>
      </c>
    </row>
    <row r="4939" spans="1:12" x14ac:dyDescent="0.25">
      <c r="A4939" t="s">
        <v>4168</v>
      </c>
      <c r="G4939" t="str">
        <f t="shared" si="428"/>
        <v>08/27/19</v>
      </c>
      <c r="H4939" t="str">
        <f t="shared" si="423"/>
        <v>Cincinnati Reds</v>
      </c>
      <c r="I4939" s="60">
        <f t="shared" si="424"/>
        <v>8</v>
      </c>
      <c r="J4939" t="str">
        <f t="shared" si="425"/>
        <v>Miami Marlins</v>
      </c>
      <c r="K4939" s="60">
        <f t="shared" si="426"/>
        <v>5</v>
      </c>
      <c r="L4939">
        <f t="shared" si="427"/>
        <v>3</v>
      </c>
    </row>
    <row r="4940" spans="1:12" x14ac:dyDescent="0.25">
      <c r="G4940" t="str">
        <f t="shared" si="428"/>
        <v>08/27/19</v>
      </c>
      <c r="H4940" t="str">
        <f t="shared" si="423"/>
        <v/>
      </c>
      <c r="I4940" s="60" t="str">
        <f t="shared" si="424"/>
        <v/>
      </c>
      <c r="J4940" t="str">
        <f t="shared" si="425"/>
        <v/>
      </c>
      <c r="K4940" s="60" t="str">
        <f t="shared" si="426"/>
        <v/>
      </c>
      <c r="L4940" t="str">
        <f t="shared" si="427"/>
        <v/>
      </c>
    </row>
    <row r="4941" spans="1:12" x14ac:dyDescent="0.25">
      <c r="A4941" t="s">
        <v>1940</v>
      </c>
      <c r="G4941" t="str">
        <f t="shared" si="428"/>
        <v>08/27/19</v>
      </c>
      <c r="H4941" t="str">
        <f t="shared" si="423"/>
        <v>St. Louis Cardinals</v>
      </c>
      <c r="I4941" s="60">
        <f t="shared" si="424"/>
        <v>6</v>
      </c>
      <c r="J4941" t="str">
        <f t="shared" si="425"/>
        <v>Milwaukee Brewers</v>
      </c>
      <c r="K4941" s="60">
        <f t="shared" si="426"/>
        <v>3</v>
      </c>
      <c r="L4941">
        <f t="shared" si="427"/>
        <v>3</v>
      </c>
    </row>
    <row r="4942" spans="1:12" x14ac:dyDescent="0.25">
      <c r="G4942" t="str">
        <f t="shared" si="428"/>
        <v>08/27/19</v>
      </c>
      <c r="H4942" t="str">
        <f t="shared" si="423"/>
        <v/>
      </c>
      <c r="I4942" s="60" t="str">
        <f t="shared" si="424"/>
        <v/>
      </c>
      <c r="J4942" t="str">
        <f t="shared" si="425"/>
        <v/>
      </c>
      <c r="K4942" s="60" t="str">
        <f t="shared" si="426"/>
        <v/>
      </c>
      <c r="L4942" t="str">
        <f t="shared" si="427"/>
        <v/>
      </c>
    </row>
    <row r="4943" spans="1:12" x14ac:dyDescent="0.25">
      <c r="A4943" t="s">
        <v>4169</v>
      </c>
      <c r="G4943" t="str">
        <f t="shared" si="428"/>
        <v>08/27/19</v>
      </c>
      <c r="H4943" t="str">
        <f t="shared" si="423"/>
        <v>Chicago Cubs</v>
      </c>
      <c r="I4943" s="60">
        <f t="shared" si="424"/>
        <v>5</v>
      </c>
      <c r="J4943" t="str">
        <f t="shared" si="425"/>
        <v>New York Mets</v>
      </c>
      <c r="K4943" s="60">
        <f t="shared" si="426"/>
        <v>2</v>
      </c>
      <c r="L4943">
        <f t="shared" si="427"/>
        <v>3</v>
      </c>
    </row>
    <row r="4944" spans="1:12" x14ac:dyDescent="0.25">
      <c r="G4944" t="str">
        <f t="shared" si="428"/>
        <v>08/27/19</v>
      </c>
      <c r="H4944" t="str">
        <f t="shared" ref="H4944:H5007" si="429">IFERROR(LEFT(MID(A4944,1,SEARCH("@",A4944)-2),SEARCH("(",A4944)-2),"")</f>
        <v/>
      </c>
      <c r="I4944" s="60" t="str">
        <f t="shared" ref="I4944:I5007" si="430">IFERROR(VALUE(MID(A4944,SEARCH("(",A4944)+1,SEARCH(")",A4944)-SEARCH("(",A4944)-1)),"")</f>
        <v/>
      </c>
      <c r="J4944" t="str">
        <f t="shared" ref="J4944:J5007" si="431">IFERROR(MID(A4944,SEARCH("@",A4944)+2,SEARCH("(",A4944,SEARCH("@",A4944))-SEARCH("@",A4944)-3),"")</f>
        <v/>
      </c>
      <c r="K4944" s="60" t="str">
        <f t="shared" ref="K4944:K5007" si="432">IFERROR(VALUE(MID(A4944,SEARCH(J4944,A4944)+LEN(J4944)+2,(SEARCH(")",A4944,SEARCH("@",A4944))-SEARCH("(",A4944,SEARCH("@",A4944))-1))),"")</f>
        <v/>
      </c>
      <c r="L4944" t="str">
        <f t="shared" ref="L4944:L5007" si="433">IFERROR(I4944-K4944,"")</f>
        <v/>
      </c>
    </row>
    <row r="4945" spans="1:12" x14ac:dyDescent="0.25">
      <c r="A4945" t="s">
        <v>4170</v>
      </c>
      <c r="G4945" t="str">
        <f t="shared" si="428"/>
        <v>08/27/19</v>
      </c>
      <c r="H4945" t="str">
        <f t="shared" si="429"/>
        <v>Pittsburgh Pirates</v>
      </c>
      <c r="I4945" s="60">
        <f t="shared" si="430"/>
        <v>5</v>
      </c>
      <c r="J4945" t="str">
        <f t="shared" si="431"/>
        <v>Philadelphia Phillies</v>
      </c>
      <c r="K4945" s="60">
        <f t="shared" si="432"/>
        <v>4</v>
      </c>
      <c r="L4945">
        <f t="shared" si="433"/>
        <v>1</v>
      </c>
    </row>
    <row r="4946" spans="1:12" x14ac:dyDescent="0.25">
      <c r="G4946" t="str">
        <f t="shared" si="428"/>
        <v>08/27/19</v>
      </c>
      <c r="H4946" t="str">
        <f t="shared" si="429"/>
        <v/>
      </c>
      <c r="I4946" s="60" t="str">
        <f t="shared" si="430"/>
        <v/>
      </c>
      <c r="J4946" t="str">
        <f t="shared" si="431"/>
        <v/>
      </c>
      <c r="K4946" s="60" t="str">
        <f t="shared" si="432"/>
        <v/>
      </c>
      <c r="L4946" t="str">
        <f t="shared" si="433"/>
        <v/>
      </c>
    </row>
    <row r="4947" spans="1:12" x14ac:dyDescent="0.25">
      <c r="A4947" t="s">
        <v>4171</v>
      </c>
      <c r="G4947" t="str">
        <f t="shared" si="428"/>
        <v>08/27/19</v>
      </c>
      <c r="H4947" t="str">
        <f t="shared" si="429"/>
        <v>Los Angeles Dodgers</v>
      </c>
      <c r="I4947" s="60">
        <f t="shared" si="430"/>
        <v>9</v>
      </c>
      <c r="J4947" t="str">
        <f t="shared" si="431"/>
        <v>San Diego Padres</v>
      </c>
      <c r="K4947" s="60">
        <f t="shared" si="432"/>
        <v>0</v>
      </c>
      <c r="L4947">
        <f t="shared" si="433"/>
        <v>9</v>
      </c>
    </row>
    <row r="4948" spans="1:12" x14ac:dyDescent="0.25">
      <c r="G4948" t="str">
        <f t="shared" si="428"/>
        <v>08/27/19</v>
      </c>
      <c r="H4948" t="str">
        <f t="shared" si="429"/>
        <v/>
      </c>
      <c r="I4948" s="60" t="str">
        <f t="shared" si="430"/>
        <v/>
      </c>
      <c r="J4948" t="str">
        <f t="shared" si="431"/>
        <v/>
      </c>
      <c r="K4948" s="60" t="str">
        <f t="shared" si="432"/>
        <v/>
      </c>
      <c r="L4948" t="str">
        <f t="shared" si="433"/>
        <v/>
      </c>
    </row>
    <row r="4949" spans="1:12" x14ac:dyDescent="0.25">
      <c r="A4949" t="s">
        <v>4172</v>
      </c>
      <c r="G4949" t="str">
        <f t="shared" si="428"/>
        <v>08/27/19</v>
      </c>
      <c r="H4949" t="str">
        <f t="shared" si="429"/>
        <v>New York Yankees</v>
      </c>
      <c r="I4949" s="60">
        <f t="shared" si="430"/>
        <v>7</v>
      </c>
      <c r="J4949" t="str">
        <f t="shared" si="431"/>
        <v>Seattle Mariners</v>
      </c>
      <c r="K4949" s="60">
        <f t="shared" si="432"/>
        <v>0</v>
      </c>
      <c r="L4949">
        <f t="shared" si="433"/>
        <v>7</v>
      </c>
    </row>
    <row r="4950" spans="1:12" x14ac:dyDescent="0.25">
      <c r="G4950" t="str">
        <f t="shared" si="428"/>
        <v>08/27/19</v>
      </c>
      <c r="H4950" t="str">
        <f t="shared" si="429"/>
        <v/>
      </c>
      <c r="I4950" s="60" t="str">
        <f t="shared" si="430"/>
        <v/>
      </c>
      <c r="J4950" t="str">
        <f t="shared" si="431"/>
        <v/>
      </c>
      <c r="K4950" s="60" t="str">
        <f t="shared" si="432"/>
        <v/>
      </c>
      <c r="L4950" t="str">
        <f t="shared" si="433"/>
        <v/>
      </c>
    </row>
    <row r="4951" spans="1:12" x14ac:dyDescent="0.25">
      <c r="A4951" t="s">
        <v>4173</v>
      </c>
      <c r="G4951" t="str">
        <f t="shared" si="428"/>
        <v>08/27/19</v>
      </c>
      <c r="H4951" t="str">
        <f t="shared" si="429"/>
        <v>Arizona D'Backs</v>
      </c>
      <c r="I4951" s="60">
        <f t="shared" si="430"/>
        <v>3</v>
      </c>
      <c r="J4951" t="str">
        <f t="shared" si="431"/>
        <v>San Francisco Giants</v>
      </c>
      <c r="K4951" s="60">
        <f t="shared" si="432"/>
        <v>2</v>
      </c>
      <c r="L4951">
        <f t="shared" si="433"/>
        <v>1</v>
      </c>
    </row>
    <row r="4952" spans="1:12" x14ac:dyDescent="0.25">
      <c r="G4952" t="str">
        <f t="shared" si="428"/>
        <v>08/27/19</v>
      </c>
      <c r="H4952" t="str">
        <f t="shared" si="429"/>
        <v/>
      </c>
      <c r="I4952" s="60" t="str">
        <f t="shared" si="430"/>
        <v/>
      </c>
      <c r="J4952" t="str">
        <f t="shared" si="431"/>
        <v/>
      </c>
      <c r="K4952" s="60" t="str">
        <f t="shared" si="432"/>
        <v/>
      </c>
      <c r="L4952" t="str">
        <f t="shared" si="433"/>
        <v/>
      </c>
    </row>
    <row r="4953" spans="1:12" x14ac:dyDescent="0.25">
      <c r="A4953" t="s">
        <v>4174</v>
      </c>
      <c r="G4953" t="str">
        <f t="shared" si="428"/>
        <v>08/27/19</v>
      </c>
      <c r="H4953" t="str">
        <f t="shared" si="429"/>
        <v>Atlanta Braves</v>
      </c>
      <c r="I4953" s="60">
        <f t="shared" si="430"/>
        <v>1</v>
      </c>
      <c r="J4953" t="str">
        <f t="shared" si="431"/>
        <v>Toronto Blue Jays</v>
      </c>
      <c r="K4953" s="60">
        <f t="shared" si="432"/>
        <v>3</v>
      </c>
      <c r="L4953">
        <f t="shared" si="433"/>
        <v>-2</v>
      </c>
    </row>
    <row r="4954" spans="1:12" x14ac:dyDescent="0.25">
      <c r="G4954" t="str">
        <f t="shared" si="428"/>
        <v>08/27/19</v>
      </c>
      <c r="H4954" t="str">
        <f t="shared" si="429"/>
        <v/>
      </c>
      <c r="I4954" s="60" t="str">
        <f t="shared" si="430"/>
        <v/>
      </c>
      <c r="J4954" t="str">
        <f t="shared" si="431"/>
        <v/>
      </c>
      <c r="K4954" s="60" t="str">
        <f t="shared" si="432"/>
        <v/>
      </c>
      <c r="L4954" t="str">
        <f t="shared" si="433"/>
        <v/>
      </c>
    </row>
    <row r="4955" spans="1:12" x14ac:dyDescent="0.25">
      <c r="A4955" t="s">
        <v>4175</v>
      </c>
      <c r="G4955" t="str">
        <f t="shared" si="428"/>
        <v>08/27/19</v>
      </c>
      <c r="H4955" t="str">
        <f t="shared" si="429"/>
        <v>Baltimore Orioles</v>
      </c>
      <c r="I4955" s="60">
        <f t="shared" si="430"/>
        <v>2</v>
      </c>
      <c r="J4955" t="str">
        <f t="shared" si="431"/>
        <v>Washington Nationals</v>
      </c>
      <c r="K4955" s="60">
        <f t="shared" si="432"/>
        <v>0</v>
      </c>
      <c r="L4955">
        <f t="shared" si="433"/>
        <v>2</v>
      </c>
    </row>
    <row r="4956" spans="1:12" x14ac:dyDescent="0.25">
      <c r="G4956" t="str">
        <f t="shared" si="428"/>
        <v>08/27/19</v>
      </c>
      <c r="H4956" t="str">
        <f t="shared" si="429"/>
        <v/>
      </c>
      <c r="I4956" s="60" t="str">
        <f t="shared" si="430"/>
        <v/>
      </c>
      <c r="J4956" t="str">
        <f t="shared" si="431"/>
        <v/>
      </c>
      <c r="K4956" s="60" t="str">
        <f t="shared" si="432"/>
        <v/>
      </c>
      <c r="L4956" t="str">
        <f t="shared" si="433"/>
        <v/>
      </c>
    </row>
    <row r="4957" spans="1:12" x14ac:dyDescent="0.25">
      <c r="A4957" t="s">
        <v>4176</v>
      </c>
      <c r="G4957" t="str">
        <f t="shared" si="428"/>
        <v>08/27/19</v>
      </c>
      <c r="H4957" t="str">
        <f t="shared" si="429"/>
        <v/>
      </c>
      <c r="I4957" s="60" t="str">
        <f t="shared" si="430"/>
        <v/>
      </c>
      <c r="J4957" t="str">
        <f t="shared" si="431"/>
        <v/>
      </c>
      <c r="K4957" s="60" t="str">
        <f t="shared" si="432"/>
        <v/>
      </c>
      <c r="L4957" t="str">
        <f t="shared" si="433"/>
        <v/>
      </c>
    </row>
    <row r="4958" spans="1:12" x14ac:dyDescent="0.25">
      <c r="G4958" t="str">
        <f t="shared" si="428"/>
        <v>08/27/19</v>
      </c>
      <c r="H4958" t="str">
        <f t="shared" si="429"/>
        <v/>
      </c>
      <c r="I4958" s="60" t="str">
        <f t="shared" si="430"/>
        <v/>
      </c>
      <c r="J4958" t="str">
        <f t="shared" si="431"/>
        <v/>
      </c>
      <c r="K4958" s="60" t="str">
        <f t="shared" si="432"/>
        <v/>
      </c>
      <c r="L4958" t="str">
        <f t="shared" si="433"/>
        <v/>
      </c>
    </row>
    <row r="4959" spans="1:12" x14ac:dyDescent="0.25">
      <c r="A4959" t="s">
        <v>4185</v>
      </c>
      <c r="G4959" t="str">
        <f t="shared" si="428"/>
        <v>08/28/19</v>
      </c>
      <c r="H4959" t="str">
        <f t="shared" si="429"/>
        <v/>
      </c>
      <c r="I4959" s="60" t="str">
        <f t="shared" si="430"/>
        <v/>
      </c>
      <c r="J4959" t="str">
        <f t="shared" si="431"/>
        <v/>
      </c>
      <c r="K4959" s="60" t="str">
        <f t="shared" si="432"/>
        <v/>
      </c>
      <c r="L4959" t="str">
        <f t="shared" si="433"/>
        <v/>
      </c>
    </row>
    <row r="4960" spans="1:12" x14ac:dyDescent="0.25">
      <c r="G4960" t="str">
        <f t="shared" si="428"/>
        <v>08/28/19</v>
      </c>
      <c r="H4960" t="str">
        <f t="shared" si="429"/>
        <v/>
      </c>
      <c r="I4960" s="60" t="str">
        <f t="shared" si="430"/>
        <v/>
      </c>
      <c r="J4960" t="str">
        <f t="shared" si="431"/>
        <v/>
      </c>
      <c r="K4960" s="60" t="str">
        <f t="shared" si="432"/>
        <v/>
      </c>
      <c r="L4960" t="str">
        <f t="shared" si="433"/>
        <v/>
      </c>
    </row>
    <row r="4961" spans="1:12" x14ac:dyDescent="0.25">
      <c r="A4961" t="s">
        <v>4186</v>
      </c>
      <c r="G4961" t="str">
        <f t="shared" si="428"/>
        <v>08/28/19</v>
      </c>
      <c r="H4961" t="str">
        <f t="shared" si="429"/>
        <v>Texas Rangers</v>
      </c>
      <c r="I4961" s="60">
        <f t="shared" si="430"/>
        <v>3</v>
      </c>
      <c r="J4961" t="str">
        <f t="shared" si="431"/>
        <v>Los Angeles Angels</v>
      </c>
      <c r="K4961" s="60">
        <f t="shared" si="432"/>
        <v>0</v>
      </c>
      <c r="L4961">
        <f t="shared" si="433"/>
        <v>3</v>
      </c>
    </row>
    <row r="4962" spans="1:12" x14ac:dyDescent="0.25">
      <c r="G4962" t="str">
        <f t="shared" ref="G4962:G5025" si="434">IF(ISNUMBER(MATCH(IFERROR(LEFT(A4962,SEARCH(",",A4962)-1),""),$G$220:$M$220,0)),TEXT(MID(A4962,SEARCH(",",A4962)+2,LEN(A4962)),"mm/dd/yy"),G4961)</f>
        <v>08/28/19</v>
      </c>
      <c r="H4962" t="str">
        <f t="shared" si="429"/>
        <v/>
      </c>
      <c r="I4962" s="60" t="str">
        <f t="shared" si="430"/>
        <v/>
      </c>
      <c r="J4962" t="str">
        <f t="shared" si="431"/>
        <v/>
      </c>
      <c r="K4962" s="60" t="str">
        <f t="shared" si="432"/>
        <v/>
      </c>
      <c r="L4962" t="str">
        <f t="shared" si="433"/>
        <v/>
      </c>
    </row>
    <row r="4963" spans="1:12" x14ac:dyDescent="0.25">
      <c r="A4963" t="s">
        <v>4187</v>
      </c>
      <c r="G4963" t="str">
        <f t="shared" si="434"/>
        <v>08/28/19</v>
      </c>
      <c r="H4963" t="str">
        <f t="shared" si="429"/>
        <v>Minnesota Twins</v>
      </c>
      <c r="I4963" s="60">
        <f t="shared" si="430"/>
        <v>8</v>
      </c>
      <c r="J4963" t="str">
        <f t="shared" si="431"/>
        <v>Chicago White Sox</v>
      </c>
      <c r="K4963" s="60">
        <f t="shared" si="432"/>
        <v>2</v>
      </c>
      <c r="L4963">
        <f t="shared" si="433"/>
        <v>6</v>
      </c>
    </row>
    <row r="4964" spans="1:12" x14ac:dyDescent="0.25">
      <c r="G4964" t="str">
        <f t="shared" si="434"/>
        <v>08/28/19</v>
      </c>
      <c r="H4964" t="str">
        <f t="shared" si="429"/>
        <v/>
      </c>
      <c r="I4964" s="60" t="str">
        <f t="shared" si="430"/>
        <v/>
      </c>
      <c r="J4964" t="str">
        <f t="shared" si="431"/>
        <v/>
      </c>
      <c r="K4964" s="60" t="str">
        <f t="shared" si="432"/>
        <v/>
      </c>
      <c r="L4964" t="str">
        <f t="shared" si="433"/>
        <v/>
      </c>
    </row>
    <row r="4965" spans="1:12" x14ac:dyDescent="0.25">
      <c r="A4965" t="s">
        <v>4188</v>
      </c>
      <c r="G4965" t="str">
        <f t="shared" si="434"/>
        <v>08/28/19</v>
      </c>
      <c r="H4965" t="str">
        <f t="shared" si="429"/>
        <v>Boston Red Sox</v>
      </c>
      <c r="I4965" s="60">
        <f t="shared" si="430"/>
        <v>7</v>
      </c>
      <c r="J4965" t="str">
        <f t="shared" si="431"/>
        <v>Colorado Rockies</v>
      </c>
      <c r="K4965" s="60">
        <f t="shared" si="432"/>
        <v>4</v>
      </c>
      <c r="L4965">
        <f t="shared" si="433"/>
        <v>3</v>
      </c>
    </row>
    <row r="4966" spans="1:12" x14ac:dyDescent="0.25">
      <c r="G4966" t="str">
        <f t="shared" si="434"/>
        <v>08/28/19</v>
      </c>
      <c r="H4966" t="str">
        <f t="shared" si="429"/>
        <v/>
      </c>
      <c r="I4966" s="60" t="str">
        <f t="shared" si="430"/>
        <v/>
      </c>
      <c r="J4966" t="str">
        <f t="shared" si="431"/>
        <v/>
      </c>
      <c r="K4966" s="60" t="str">
        <f t="shared" si="432"/>
        <v/>
      </c>
      <c r="L4966" t="str">
        <f t="shared" si="433"/>
        <v/>
      </c>
    </row>
    <row r="4967" spans="1:12" x14ac:dyDescent="0.25">
      <c r="A4967" t="s">
        <v>2824</v>
      </c>
      <c r="G4967" t="str">
        <f t="shared" si="434"/>
        <v>08/28/19</v>
      </c>
      <c r="H4967" t="str">
        <f t="shared" si="429"/>
        <v>Cleveland Indians</v>
      </c>
      <c r="I4967" s="60">
        <f t="shared" si="430"/>
        <v>4</v>
      </c>
      <c r="J4967" t="str">
        <f t="shared" si="431"/>
        <v>Detroit Tigers</v>
      </c>
      <c r="K4967" s="60">
        <f t="shared" si="432"/>
        <v>2</v>
      </c>
      <c r="L4967">
        <f t="shared" si="433"/>
        <v>2</v>
      </c>
    </row>
    <row r="4968" spans="1:12" x14ac:dyDescent="0.25">
      <c r="G4968" t="str">
        <f t="shared" si="434"/>
        <v>08/28/19</v>
      </c>
      <c r="H4968" t="str">
        <f t="shared" si="429"/>
        <v/>
      </c>
      <c r="I4968" s="60" t="str">
        <f t="shared" si="430"/>
        <v/>
      </c>
      <c r="J4968" t="str">
        <f t="shared" si="431"/>
        <v/>
      </c>
      <c r="K4968" s="60" t="str">
        <f t="shared" si="432"/>
        <v/>
      </c>
      <c r="L4968" t="str">
        <f t="shared" si="433"/>
        <v/>
      </c>
    </row>
    <row r="4969" spans="1:12" x14ac:dyDescent="0.25">
      <c r="A4969" t="s">
        <v>4189</v>
      </c>
      <c r="G4969" t="str">
        <f t="shared" si="434"/>
        <v>08/28/19</v>
      </c>
      <c r="H4969" t="str">
        <f t="shared" si="429"/>
        <v>Tampa Bay Rays</v>
      </c>
      <c r="I4969" s="60">
        <f t="shared" si="430"/>
        <v>6</v>
      </c>
      <c r="J4969" t="str">
        <f t="shared" si="431"/>
        <v>Houston Astros</v>
      </c>
      <c r="K4969" s="60">
        <f t="shared" si="432"/>
        <v>8</v>
      </c>
      <c r="L4969">
        <f t="shared" si="433"/>
        <v>-2</v>
      </c>
    </row>
    <row r="4970" spans="1:12" x14ac:dyDescent="0.25">
      <c r="G4970" t="str">
        <f t="shared" si="434"/>
        <v>08/28/19</v>
      </c>
      <c r="H4970" t="str">
        <f t="shared" si="429"/>
        <v/>
      </c>
      <c r="I4970" s="60" t="str">
        <f t="shared" si="430"/>
        <v/>
      </c>
      <c r="J4970" t="str">
        <f t="shared" si="431"/>
        <v/>
      </c>
      <c r="K4970" s="60" t="str">
        <f t="shared" si="432"/>
        <v/>
      </c>
      <c r="L4970" t="str">
        <f t="shared" si="433"/>
        <v/>
      </c>
    </row>
    <row r="4971" spans="1:12" x14ac:dyDescent="0.25">
      <c r="A4971" t="s">
        <v>4190</v>
      </c>
      <c r="G4971" t="str">
        <f t="shared" si="434"/>
        <v>08/28/19</v>
      </c>
      <c r="H4971" t="str">
        <f t="shared" si="429"/>
        <v>Oakland Athletics</v>
      </c>
      <c r="I4971" s="60">
        <f t="shared" si="430"/>
        <v>4</v>
      </c>
      <c r="J4971" t="str">
        <f t="shared" si="431"/>
        <v>Kansas City Royals</v>
      </c>
      <c r="K4971" s="60">
        <f t="shared" si="432"/>
        <v>6</v>
      </c>
      <c r="L4971">
        <f t="shared" si="433"/>
        <v>-2</v>
      </c>
    </row>
    <row r="4972" spans="1:12" x14ac:dyDescent="0.25">
      <c r="G4972" t="str">
        <f t="shared" si="434"/>
        <v>08/28/19</v>
      </c>
      <c r="H4972" t="str">
        <f t="shared" si="429"/>
        <v/>
      </c>
      <c r="I4972" s="60" t="str">
        <f t="shared" si="430"/>
        <v/>
      </c>
      <c r="J4972" t="str">
        <f t="shared" si="431"/>
        <v/>
      </c>
      <c r="K4972" s="60" t="str">
        <f t="shared" si="432"/>
        <v/>
      </c>
      <c r="L4972" t="str">
        <f t="shared" si="433"/>
        <v/>
      </c>
    </row>
    <row r="4973" spans="1:12" x14ac:dyDescent="0.25">
      <c r="A4973" t="s">
        <v>4191</v>
      </c>
      <c r="G4973" t="str">
        <f t="shared" si="434"/>
        <v>08/28/19</v>
      </c>
      <c r="H4973" t="str">
        <f t="shared" si="429"/>
        <v>Cincinnati Reds</v>
      </c>
      <c r="I4973" s="60">
        <f t="shared" si="430"/>
        <v>5</v>
      </c>
      <c r="J4973" t="str">
        <f t="shared" si="431"/>
        <v>Miami Marlins</v>
      </c>
      <c r="K4973" s="60">
        <f t="shared" si="432"/>
        <v>0</v>
      </c>
      <c r="L4973">
        <f t="shared" si="433"/>
        <v>5</v>
      </c>
    </row>
    <row r="4974" spans="1:12" x14ac:dyDescent="0.25">
      <c r="G4974" t="str">
        <f t="shared" si="434"/>
        <v>08/28/19</v>
      </c>
      <c r="H4974" t="str">
        <f t="shared" si="429"/>
        <v/>
      </c>
      <c r="I4974" s="60" t="str">
        <f t="shared" si="430"/>
        <v/>
      </c>
      <c r="J4974" t="str">
        <f t="shared" si="431"/>
        <v/>
      </c>
      <c r="K4974" s="60" t="str">
        <f t="shared" si="432"/>
        <v/>
      </c>
      <c r="L4974" t="str">
        <f t="shared" si="433"/>
        <v/>
      </c>
    </row>
    <row r="4975" spans="1:12" x14ac:dyDescent="0.25">
      <c r="A4975" t="s">
        <v>4192</v>
      </c>
      <c r="G4975" t="str">
        <f t="shared" si="434"/>
        <v>08/28/19</v>
      </c>
      <c r="H4975" t="str">
        <f t="shared" si="429"/>
        <v>St. Louis Cardinals</v>
      </c>
      <c r="I4975" s="60">
        <f t="shared" si="430"/>
        <v>1</v>
      </c>
      <c r="J4975" t="str">
        <f t="shared" si="431"/>
        <v>Milwaukee Brewers</v>
      </c>
      <c r="K4975" s="60">
        <f t="shared" si="432"/>
        <v>4</v>
      </c>
      <c r="L4975">
        <f t="shared" si="433"/>
        <v>-3</v>
      </c>
    </row>
    <row r="4976" spans="1:12" x14ac:dyDescent="0.25">
      <c r="G4976" t="str">
        <f t="shared" si="434"/>
        <v>08/28/19</v>
      </c>
      <c r="H4976" t="str">
        <f t="shared" si="429"/>
        <v/>
      </c>
      <c r="I4976" s="60" t="str">
        <f t="shared" si="430"/>
        <v/>
      </c>
      <c r="J4976" t="str">
        <f t="shared" si="431"/>
        <v/>
      </c>
      <c r="K4976" s="60" t="str">
        <f t="shared" si="432"/>
        <v/>
      </c>
      <c r="L4976" t="str">
        <f t="shared" si="433"/>
        <v/>
      </c>
    </row>
    <row r="4977" spans="1:12" x14ac:dyDescent="0.25">
      <c r="A4977" t="s">
        <v>4193</v>
      </c>
      <c r="G4977" t="str">
        <f t="shared" si="434"/>
        <v>08/28/19</v>
      </c>
      <c r="H4977" t="str">
        <f t="shared" si="429"/>
        <v>Chicago Cubs</v>
      </c>
      <c r="I4977" s="60">
        <f t="shared" si="430"/>
        <v>10</v>
      </c>
      <c r="J4977" t="str">
        <f t="shared" si="431"/>
        <v>New York Mets</v>
      </c>
      <c r="K4977" s="60">
        <f t="shared" si="432"/>
        <v>7</v>
      </c>
      <c r="L4977">
        <f t="shared" si="433"/>
        <v>3</v>
      </c>
    </row>
    <row r="4978" spans="1:12" x14ac:dyDescent="0.25">
      <c r="G4978" t="str">
        <f t="shared" si="434"/>
        <v>08/28/19</v>
      </c>
      <c r="H4978" t="str">
        <f t="shared" si="429"/>
        <v/>
      </c>
      <c r="I4978" s="60" t="str">
        <f t="shared" si="430"/>
        <v/>
      </c>
      <c r="J4978" t="str">
        <f t="shared" si="431"/>
        <v/>
      </c>
      <c r="K4978" s="60" t="str">
        <f t="shared" si="432"/>
        <v/>
      </c>
      <c r="L4978" t="str">
        <f t="shared" si="433"/>
        <v/>
      </c>
    </row>
    <row r="4979" spans="1:12" x14ac:dyDescent="0.25">
      <c r="A4979" t="s">
        <v>4194</v>
      </c>
      <c r="G4979" t="str">
        <f t="shared" si="434"/>
        <v>08/28/19</v>
      </c>
      <c r="H4979" t="str">
        <f t="shared" si="429"/>
        <v>Pittsburgh Pirates</v>
      </c>
      <c r="I4979" s="60">
        <f t="shared" si="430"/>
        <v>3</v>
      </c>
      <c r="J4979" t="str">
        <f t="shared" si="431"/>
        <v>Philadelphia Phillies</v>
      </c>
      <c r="K4979" s="60">
        <f t="shared" si="432"/>
        <v>12</v>
      </c>
      <c r="L4979">
        <f t="shared" si="433"/>
        <v>-9</v>
      </c>
    </row>
    <row r="4980" spans="1:12" x14ac:dyDescent="0.25">
      <c r="G4980" t="str">
        <f t="shared" si="434"/>
        <v>08/28/19</v>
      </c>
      <c r="H4980" t="str">
        <f t="shared" si="429"/>
        <v/>
      </c>
      <c r="I4980" s="60" t="str">
        <f t="shared" si="430"/>
        <v/>
      </c>
      <c r="J4980" t="str">
        <f t="shared" si="431"/>
        <v/>
      </c>
      <c r="K4980" s="60" t="str">
        <f t="shared" si="432"/>
        <v/>
      </c>
      <c r="L4980" t="str">
        <f t="shared" si="433"/>
        <v/>
      </c>
    </row>
    <row r="4981" spans="1:12" x14ac:dyDescent="0.25">
      <c r="A4981" t="s">
        <v>4195</v>
      </c>
      <c r="G4981" t="str">
        <f t="shared" si="434"/>
        <v>08/28/19</v>
      </c>
      <c r="H4981" t="str">
        <f t="shared" si="429"/>
        <v>Los Angeles Dodgers</v>
      </c>
      <c r="I4981" s="60">
        <f t="shared" si="430"/>
        <v>6</v>
      </c>
      <c r="J4981" t="str">
        <f t="shared" si="431"/>
        <v>San Diego Padres</v>
      </c>
      <c r="K4981" s="60">
        <f t="shared" si="432"/>
        <v>4</v>
      </c>
      <c r="L4981">
        <f t="shared" si="433"/>
        <v>2</v>
      </c>
    </row>
    <row r="4982" spans="1:12" x14ac:dyDescent="0.25">
      <c r="G4982" t="str">
        <f t="shared" si="434"/>
        <v>08/28/19</v>
      </c>
      <c r="H4982" t="str">
        <f t="shared" si="429"/>
        <v/>
      </c>
      <c r="I4982" s="60" t="str">
        <f t="shared" si="430"/>
        <v/>
      </c>
      <c r="J4982" t="str">
        <f t="shared" si="431"/>
        <v/>
      </c>
      <c r="K4982" s="60" t="str">
        <f t="shared" si="432"/>
        <v/>
      </c>
      <c r="L4982" t="str">
        <f t="shared" si="433"/>
        <v/>
      </c>
    </row>
    <row r="4983" spans="1:12" x14ac:dyDescent="0.25">
      <c r="A4983" t="s">
        <v>4196</v>
      </c>
      <c r="G4983" t="str">
        <f t="shared" si="434"/>
        <v>08/28/19</v>
      </c>
      <c r="H4983" t="str">
        <f t="shared" si="429"/>
        <v>New York Yankees</v>
      </c>
      <c r="I4983" s="60">
        <f t="shared" si="430"/>
        <v>7</v>
      </c>
      <c r="J4983" t="str">
        <f t="shared" si="431"/>
        <v>Seattle Mariners</v>
      </c>
      <c r="K4983" s="60">
        <f t="shared" si="432"/>
        <v>3</v>
      </c>
      <c r="L4983">
        <f t="shared" si="433"/>
        <v>4</v>
      </c>
    </row>
    <row r="4984" spans="1:12" x14ac:dyDescent="0.25">
      <c r="G4984" t="str">
        <f t="shared" si="434"/>
        <v>08/28/19</v>
      </c>
      <c r="H4984" t="str">
        <f t="shared" si="429"/>
        <v/>
      </c>
      <c r="I4984" s="60" t="str">
        <f t="shared" si="430"/>
        <v/>
      </c>
      <c r="J4984" t="str">
        <f t="shared" si="431"/>
        <v/>
      </c>
      <c r="K4984" s="60" t="str">
        <f t="shared" si="432"/>
        <v/>
      </c>
      <c r="L4984" t="str">
        <f t="shared" si="433"/>
        <v/>
      </c>
    </row>
    <row r="4985" spans="1:12" x14ac:dyDescent="0.25">
      <c r="A4985" t="s">
        <v>4197</v>
      </c>
      <c r="G4985" t="str">
        <f t="shared" si="434"/>
        <v>08/28/19</v>
      </c>
      <c r="H4985" t="str">
        <f t="shared" si="429"/>
        <v>Atlanta Braves</v>
      </c>
      <c r="I4985" s="60">
        <f t="shared" si="430"/>
        <v>9</v>
      </c>
      <c r="J4985" t="str">
        <f t="shared" si="431"/>
        <v>Toronto Blue Jays</v>
      </c>
      <c r="K4985" s="60">
        <f t="shared" si="432"/>
        <v>4</v>
      </c>
      <c r="L4985">
        <f t="shared" si="433"/>
        <v>5</v>
      </c>
    </row>
    <row r="4986" spans="1:12" x14ac:dyDescent="0.25">
      <c r="G4986" t="str">
        <f t="shared" si="434"/>
        <v>08/28/19</v>
      </c>
      <c r="H4986" t="str">
        <f t="shared" si="429"/>
        <v/>
      </c>
      <c r="I4986" s="60" t="str">
        <f t="shared" si="430"/>
        <v/>
      </c>
      <c r="J4986" t="str">
        <f t="shared" si="431"/>
        <v/>
      </c>
      <c r="K4986" s="60" t="str">
        <f t="shared" si="432"/>
        <v/>
      </c>
      <c r="L4986" t="str">
        <f t="shared" si="433"/>
        <v/>
      </c>
    </row>
    <row r="4987" spans="1:12" x14ac:dyDescent="0.25">
      <c r="A4987" t="s">
        <v>4198</v>
      </c>
      <c r="G4987" t="str">
        <f t="shared" si="434"/>
        <v>08/28/19</v>
      </c>
      <c r="H4987" t="str">
        <f t="shared" si="429"/>
        <v>Baltimore Orioles</v>
      </c>
      <c r="I4987" s="60">
        <f t="shared" si="430"/>
        <v>4</v>
      </c>
      <c r="J4987" t="str">
        <f t="shared" si="431"/>
        <v>Washington Nationals</v>
      </c>
      <c r="K4987" s="60">
        <f t="shared" si="432"/>
        <v>8</v>
      </c>
      <c r="L4987">
        <f t="shared" si="433"/>
        <v>-4</v>
      </c>
    </row>
    <row r="4988" spans="1:12" x14ac:dyDescent="0.25">
      <c r="G4988" t="str">
        <f t="shared" si="434"/>
        <v>08/28/19</v>
      </c>
      <c r="H4988" t="str">
        <f t="shared" si="429"/>
        <v/>
      </c>
      <c r="I4988" s="60" t="str">
        <f t="shared" si="430"/>
        <v/>
      </c>
      <c r="J4988" t="str">
        <f t="shared" si="431"/>
        <v/>
      </c>
      <c r="K4988" s="60" t="str">
        <f t="shared" si="432"/>
        <v/>
      </c>
      <c r="L4988" t="str">
        <f t="shared" si="433"/>
        <v/>
      </c>
    </row>
    <row r="4989" spans="1:12" x14ac:dyDescent="0.25">
      <c r="A4989" t="s">
        <v>4199</v>
      </c>
      <c r="G4989" t="str">
        <f t="shared" si="434"/>
        <v>08/28/19</v>
      </c>
      <c r="H4989" t="str">
        <f t="shared" si="429"/>
        <v/>
      </c>
      <c r="I4989" s="60" t="str">
        <f t="shared" si="430"/>
        <v/>
      </c>
      <c r="J4989" t="str">
        <f t="shared" si="431"/>
        <v/>
      </c>
      <c r="K4989" s="60" t="str">
        <f t="shared" si="432"/>
        <v/>
      </c>
      <c r="L4989" t="str">
        <f t="shared" si="433"/>
        <v/>
      </c>
    </row>
    <row r="4990" spans="1:12" x14ac:dyDescent="0.25">
      <c r="G4990" t="str">
        <f t="shared" si="434"/>
        <v>08/28/19</v>
      </c>
      <c r="H4990" t="str">
        <f t="shared" si="429"/>
        <v/>
      </c>
      <c r="I4990" s="60" t="str">
        <f t="shared" si="430"/>
        <v/>
      </c>
      <c r="J4990" t="str">
        <f t="shared" si="431"/>
        <v/>
      </c>
      <c r="K4990" s="60" t="str">
        <f t="shared" si="432"/>
        <v/>
      </c>
      <c r="L4990" t="str">
        <f t="shared" si="433"/>
        <v/>
      </c>
    </row>
    <row r="4991" spans="1:12" x14ac:dyDescent="0.25">
      <c r="A4991" t="s">
        <v>3297</v>
      </c>
      <c r="G4991" t="str">
        <f t="shared" si="434"/>
        <v>08/29/19</v>
      </c>
      <c r="H4991" t="str">
        <f t="shared" si="429"/>
        <v/>
      </c>
      <c r="I4991" s="60" t="str">
        <f t="shared" si="430"/>
        <v/>
      </c>
      <c r="J4991" t="str">
        <f t="shared" si="431"/>
        <v/>
      </c>
      <c r="K4991" s="60" t="str">
        <f t="shared" si="432"/>
        <v/>
      </c>
      <c r="L4991" t="str">
        <f t="shared" si="433"/>
        <v/>
      </c>
    </row>
    <row r="4992" spans="1:12" x14ac:dyDescent="0.25">
      <c r="G4992" t="str">
        <f t="shared" si="434"/>
        <v>08/29/19</v>
      </c>
      <c r="H4992" t="str">
        <f t="shared" si="429"/>
        <v/>
      </c>
      <c r="I4992" s="60" t="str">
        <f t="shared" si="430"/>
        <v/>
      </c>
      <c r="J4992" t="str">
        <f t="shared" si="431"/>
        <v/>
      </c>
      <c r="K4992" s="60" t="str">
        <f t="shared" si="432"/>
        <v/>
      </c>
      <c r="L4992" t="str">
        <f t="shared" si="433"/>
        <v/>
      </c>
    </row>
    <row r="4993" spans="1:12" x14ac:dyDescent="0.25">
      <c r="A4993" t="s">
        <v>4200</v>
      </c>
      <c r="G4993" t="str">
        <f t="shared" si="434"/>
        <v>08/29/19</v>
      </c>
      <c r="H4993" t="str">
        <f t="shared" si="429"/>
        <v>Los Angeles Dodgers</v>
      </c>
      <c r="I4993" s="60">
        <f t="shared" si="430"/>
        <v>5</v>
      </c>
      <c r="J4993" t="str">
        <f t="shared" si="431"/>
        <v>Arizona D'Backs</v>
      </c>
      <c r="K4993" s="60">
        <f t="shared" si="432"/>
        <v>11</v>
      </c>
      <c r="L4993">
        <f t="shared" si="433"/>
        <v>-6</v>
      </c>
    </row>
    <row r="4994" spans="1:12" x14ac:dyDescent="0.25">
      <c r="G4994" t="str">
        <f t="shared" si="434"/>
        <v>08/29/19</v>
      </c>
      <c r="H4994" t="str">
        <f t="shared" si="429"/>
        <v/>
      </c>
      <c r="I4994" s="60" t="str">
        <f t="shared" si="430"/>
        <v/>
      </c>
      <c r="J4994" t="str">
        <f t="shared" si="431"/>
        <v/>
      </c>
      <c r="K4994" s="60" t="str">
        <f t="shared" si="432"/>
        <v/>
      </c>
      <c r="L4994" t="str">
        <f t="shared" si="433"/>
        <v/>
      </c>
    </row>
    <row r="4995" spans="1:12" x14ac:dyDescent="0.25">
      <c r="A4995" t="s">
        <v>4201</v>
      </c>
      <c r="G4995" t="str">
        <f t="shared" si="434"/>
        <v>08/29/19</v>
      </c>
      <c r="H4995" t="str">
        <f t="shared" si="429"/>
        <v>Minnesota Twins</v>
      </c>
      <c r="I4995" s="60">
        <f t="shared" si="430"/>
        <v>10</v>
      </c>
      <c r="J4995" t="str">
        <f t="shared" si="431"/>
        <v>Chicago White Sox</v>
      </c>
      <c r="K4995" s="60">
        <f t="shared" si="432"/>
        <v>5</v>
      </c>
      <c r="L4995">
        <f t="shared" si="433"/>
        <v>5</v>
      </c>
    </row>
    <row r="4996" spans="1:12" x14ac:dyDescent="0.25">
      <c r="G4996" t="str">
        <f t="shared" si="434"/>
        <v>08/29/19</v>
      </c>
      <c r="H4996" t="str">
        <f t="shared" si="429"/>
        <v/>
      </c>
      <c r="I4996" s="60" t="str">
        <f t="shared" si="430"/>
        <v/>
      </c>
      <c r="J4996" t="str">
        <f t="shared" si="431"/>
        <v/>
      </c>
      <c r="K4996" s="60" t="str">
        <f t="shared" si="432"/>
        <v/>
      </c>
      <c r="L4996" t="str">
        <f t="shared" si="433"/>
        <v/>
      </c>
    </row>
    <row r="4997" spans="1:12" x14ac:dyDescent="0.25">
      <c r="A4997" t="s">
        <v>4202</v>
      </c>
      <c r="G4997" t="str">
        <f t="shared" si="434"/>
        <v>08/29/19</v>
      </c>
      <c r="H4997" t="str">
        <f t="shared" si="429"/>
        <v>Pittsburgh Pirates</v>
      </c>
      <c r="I4997" s="60">
        <f t="shared" si="430"/>
        <v>11</v>
      </c>
      <c r="J4997" t="str">
        <f t="shared" si="431"/>
        <v>Colorado Rockies</v>
      </c>
      <c r="K4997" s="60">
        <f t="shared" si="432"/>
        <v>8</v>
      </c>
      <c r="L4997">
        <f t="shared" si="433"/>
        <v>3</v>
      </c>
    </row>
    <row r="4998" spans="1:12" x14ac:dyDescent="0.25">
      <c r="G4998" t="str">
        <f t="shared" si="434"/>
        <v>08/29/19</v>
      </c>
      <c r="H4998" t="str">
        <f t="shared" si="429"/>
        <v/>
      </c>
      <c r="I4998" s="60" t="str">
        <f t="shared" si="430"/>
        <v/>
      </c>
      <c r="J4998" t="str">
        <f t="shared" si="431"/>
        <v/>
      </c>
      <c r="K4998" s="60" t="str">
        <f t="shared" si="432"/>
        <v/>
      </c>
      <c r="L4998" t="str">
        <f t="shared" si="433"/>
        <v/>
      </c>
    </row>
    <row r="4999" spans="1:12" x14ac:dyDescent="0.25">
      <c r="A4999" t="s">
        <v>4203</v>
      </c>
      <c r="G4999" t="str">
        <f t="shared" si="434"/>
        <v>08/29/19</v>
      </c>
      <c r="H4999" t="str">
        <f t="shared" si="429"/>
        <v>Cleveland Indians</v>
      </c>
      <c r="I4999" s="60">
        <f t="shared" si="430"/>
        <v>2</v>
      </c>
      <c r="J4999" t="str">
        <f t="shared" si="431"/>
        <v>Detroit Tigers</v>
      </c>
      <c r="K4999" s="60">
        <f t="shared" si="432"/>
        <v>0</v>
      </c>
      <c r="L4999">
        <f t="shared" si="433"/>
        <v>2</v>
      </c>
    </row>
    <row r="5000" spans="1:12" x14ac:dyDescent="0.25">
      <c r="G5000" t="str">
        <f t="shared" si="434"/>
        <v>08/29/19</v>
      </c>
      <c r="H5000" t="str">
        <f t="shared" si="429"/>
        <v/>
      </c>
      <c r="I5000" s="60" t="str">
        <f t="shared" si="430"/>
        <v/>
      </c>
      <c r="J5000" t="str">
        <f t="shared" si="431"/>
        <v/>
      </c>
      <c r="K5000" s="60" t="str">
        <f t="shared" si="432"/>
        <v/>
      </c>
      <c r="L5000" t="str">
        <f t="shared" si="433"/>
        <v/>
      </c>
    </row>
    <row r="5001" spans="1:12" x14ac:dyDescent="0.25">
      <c r="A5001" t="s">
        <v>4204</v>
      </c>
      <c r="G5001" t="str">
        <f t="shared" si="434"/>
        <v>08/29/19</v>
      </c>
      <c r="H5001" t="str">
        <f t="shared" si="429"/>
        <v>Tampa Bay Rays</v>
      </c>
      <c r="I5001" s="60">
        <f t="shared" si="430"/>
        <v>9</v>
      </c>
      <c r="J5001" t="str">
        <f t="shared" si="431"/>
        <v>Houston Astros</v>
      </c>
      <c r="K5001" s="60">
        <f t="shared" si="432"/>
        <v>8</v>
      </c>
      <c r="L5001">
        <f t="shared" si="433"/>
        <v>1</v>
      </c>
    </row>
    <row r="5002" spans="1:12" x14ac:dyDescent="0.25">
      <c r="G5002" t="str">
        <f t="shared" si="434"/>
        <v>08/29/19</v>
      </c>
      <c r="H5002" t="str">
        <f t="shared" si="429"/>
        <v/>
      </c>
      <c r="I5002" s="60" t="str">
        <f t="shared" si="430"/>
        <v/>
      </c>
      <c r="J5002" t="str">
        <f t="shared" si="431"/>
        <v/>
      </c>
      <c r="K5002" s="60" t="str">
        <f t="shared" si="432"/>
        <v/>
      </c>
      <c r="L5002" t="str">
        <f t="shared" si="433"/>
        <v/>
      </c>
    </row>
    <row r="5003" spans="1:12" x14ac:dyDescent="0.25">
      <c r="A5003" t="s">
        <v>4205</v>
      </c>
      <c r="G5003" t="str">
        <f t="shared" si="434"/>
        <v>08/29/19</v>
      </c>
      <c r="H5003" t="str">
        <f t="shared" si="429"/>
        <v>Oakland Athletics</v>
      </c>
      <c r="I5003" s="60">
        <f t="shared" si="430"/>
        <v>9</v>
      </c>
      <c r="J5003" t="str">
        <f t="shared" si="431"/>
        <v>Kansas City Royals</v>
      </c>
      <c r="K5003" s="60">
        <f t="shared" si="432"/>
        <v>8</v>
      </c>
      <c r="L5003">
        <f t="shared" si="433"/>
        <v>1</v>
      </c>
    </row>
    <row r="5004" spans="1:12" x14ac:dyDescent="0.25">
      <c r="G5004" t="str">
        <f t="shared" si="434"/>
        <v>08/29/19</v>
      </c>
      <c r="H5004" t="str">
        <f t="shared" si="429"/>
        <v/>
      </c>
      <c r="I5004" s="60" t="str">
        <f t="shared" si="430"/>
        <v/>
      </c>
      <c r="J5004" t="str">
        <f t="shared" si="431"/>
        <v/>
      </c>
      <c r="K5004" s="60" t="str">
        <f t="shared" si="432"/>
        <v/>
      </c>
      <c r="L5004" t="str">
        <f t="shared" si="433"/>
        <v/>
      </c>
    </row>
    <row r="5005" spans="1:12" x14ac:dyDescent="0.25">
      <c r="A5005" t="s">
        <v>4206</v>
      </c>
      <c r="G5005" t="str">
        <f t="shared" si="434"/>
        <v>08/29/19</v>
      </c>
      <c r="H5005" t="str">
        <f t="shared" si="429"/>
        <v>Cincinnati Reds</v>
      </c>
      <c r="I5005" s="60">
        <f t="shared" si="430"/>
        <v>3</v>
      </c>
      <c r="J5005" t="str">
        <f t="shared" si="431"/>
        <v>Miami Marlins</v>
      </c>
      <c r="K5005" s="60">
        <f t="shared" si="432"/>
        <v>4</v>
      </c>
      <c r="L5005">
        <f t="shared" si="433"/>
        <v>-1</v>
      </c>
    </row>
    <row r="5006" spans="1:12" x14ac:dyDescent="0.25">
      <c r="G5006" t="str">
        <f t="shared" si="434"/>
        <v>08/29/19</v>
      </c>
      <c r="H5006" t="str">
        <f t="shared" si="429"/>
        <v/>
      </c>
      <c r="I5006" s="60" t="str">
        <f t="shared" si="430"/>
        <v/>
      </c>
      <c r="J5006" t="str">
        <f t="shared" si="431"/>
        <v/>
      </c>
      <c r="K5006" s="60" t="str">
        <f t="shared" si="432"/>
        <v/>
      </c>
      <c r="L5006" t="str">
        <f t="shared" si="433"/>
        <v/>
      </c>
    </row>
    <row r="5007" spans="1:12" x14ac:dyDescent="0.25">
      <c r="A5007" t="s">
        <v>4207</v>
      </c>
      <c r="G5007" t="str">
        <f t="shared" si="434"/>
        <v>08/29/19</v>
      </c>
      <c r="H5007" t="str">
        <f t="shared" si="429"/>
        <v>Chicago Cubs</v>
      </c>
      <c r="I5007" s="60">
        <f t="shared" si="430"/>
        <v>4</v>
      </c>
      <c r="J5007" t="str">
        <f t="shared" si="431"/>
        <v>New York Mets</v>
      </c>
      <c r="K5007" s="60">
        <f t="shared" si="432"/>
        <v>1</v>
      </c>
      <c r="L5007">
        <f t="shared" si="433"/>
        <v>3</v>
      </c>
    </row>
    <row r="5008" spans="1:12" x14ac:dyDescent="0.25">
      <c r="G5008" t="str">
        <f t="shared" si="434"/>
        <v>08/29/19</v>
      </c>
      <c r="H5008" t="str">
        <f t="shared" ref="H5008:H5071" si="435">IFERROR(LEFT(MID(A5008,1,SEARCH("@",A5008)-2),SEARCH("(",A5008)-2),"")</f>
        <v/>
      </c>
      <c r="I5008" s="60" t="str">
        <f t="shared" ref="I5008:I5071" si="436">IFERROR(VALUE(MID(A5008,SEARCH("(",A5008)+1,SEARCH(")",A5008)-SEARCH("(",A5008)-1)),"")</f>
        <v/>
      </c>
      <c r="J5008" t="str">
        <f t="shared" ref="J5008:J5071" si="437">IFERROR(MID(A5008,SEARCH("@",A5008)+2,SEARCH("(",A5008,SEARCH("@",A5008))-SEARCH("@",A5008)-3),"")</f>
        <v/>
      </c>
      <c r="K5008" s="60" t="str">
        <f t="shared" ref="K5008:K5071" si="438">IFERROR(VALUE(MID(A5008,SEARCH(J5008,A5008)+LEN(J5008)+2,(SEARCH(")",A5008,SEARCH("@",A5008))-SEARCH("(",A5008,SEARCH("@",A5008))-1))),"")</f>
        <v/>
      </c>
      <c r="L5008" t="str">
        <f t="shared" ref="L5008:L5071" si="439">IFERROR(I5008-K5008,"")</f>
        <v/>
      </c>
    </row>
    <row r="5009" spans="1:12" x14ac:dyDescent="0.25">
      <c r="A5009" t="s">
        <v>4208</v>
      </c>
      <c r="G5009" t="str">
        <f t="shared" si="434"/>
        <v>08/29/19</v>
      </c>
      <c r="H5009" t="str">
        <f t="shared" si="435"/>
        <v>San Diego Padres</v>
      </c>
      <c r="I5009" s="60">
        <f t="shared" si="436"/>
        <v>5</v>
      </c>
      <c r="J5009" t="str">
        <f t="shared" si="437"/>
        <v>San Francisco Giants</v>
      </c>
      <c r="K5009" s="60">
        <f t="shared" si="438"/>
        <v>3</v>
      </c>
      <c r="L5009">
        <f t="shared" si="439"/>
        <v>2</v>
      </c>
    </row>
    <row r="5010" spans="1:12" x14ac:dyDescent="0.25">
      <c r="G5010" t="str">
        <f t="shared" si="434"/>
        <v>08/29/19</v>
      </c>
      <c r="H5010" t="str">
        <f t="shared" si="435"/>
        <v/>
      </c>
      <c r="I5010" s="60" t="str">
        <f t="shared" si="436"/>
        <v/>
      </c>
      <c r="J5010" t="str">
        <f t="shared" si="437"/>
        <v/>
      </c>
      <c r="K5010" s="60" t="str">
        <f t="shared" si="438"/>
        <v/>
      </c>
      <c r="L5010" t="str">
        <f t="shared" si="439"/>
        <v/>
      </c>
    </row>
    <row r="5011" spans="1:12" x14ac:dyDescent="0.25">
      <c r="A5011" t="s">
        <v>4209</v>
      </c>
      <c r="G5011" t="str">
        <f t="shared" si="434"/>
        <v>08/29/19</v>
      </c>
      <c r="H5011" t="str">
        <f t="shared" si="435"/>
        <v>Seattle Mariners</v>
      </c>
      <c r="I5011" s="60">
        <f t="shared" si="436"/>
        <v>5</v>
      </c>
      <c r="J5011" t="str">
        <f t="shared" si="437"/>
        <v>Texas Rangers</v>
      </c>
      <c r="K5011" s="60">
        <f t="shared" si="438"/>
        <v>3</v>
      </c>
      <c r="L5011">
        <f t="shared" si="439"/>
        <v>2</v>
      </c>
    </row>
    <row r="5012" spans="1:12" x14ac:dyDescent="0.25">
      <c r="G5012" t="str">
        <f t="shared" si="434"/>
        <v>08/29/19</v>
      </c>
      <c r="H5012" t="str">
        <f t="shared" si="435"/>
        <v/>
      </c>
      <c r="I5012" s="60" t="str">
        <f t="shared" si="436"/>
        <v/>
      </c>
      <c r="J5012" t="str">
        <f t="shared" si="437"/>
        <v/>
      </c>
      <c r="K5012" s="60" t="str">
        <f t="shared" si="438"/>
        <v/>
      </c>
      <c r="L5012" t="str">
        <f t="shared" si="439"/>
        <v/>
      </c>
    </row>
    <row r="5013" spans="1:12" x14ac:dyDescent="0.25">
      <c r="A5013" t="s">
        <v>4210</v>
      </c>
      <c r="G5013" t="str">
        <f t="shared" si="434"/>
        <v>08/29/19</v>
      </c>
      <c r="H5013" t="str">
        <f t="shared" si="435"/>
        <v/>
      </c>
      <c r="I5013" s="60" t="str">
        <f t="shared" si="436"/>
        <v/>
      </c>
      <c r="J5013" t="str">
        <f t="shared" si="437"/>
        <v/>
      </c>
      <c r="K5013" s="60" t="str">
        <f t="shared" si="438"/>
        <v/>
      </c>
      <c r="L5013" t="str">
        <f t="shared" si="439"/>
        <v/>
      </c>
    </row>
    <row r="5014" spans="1:12" x14ac:dyDescent="0.25">
      <c r="G5014" t="str">
        <f t="shared" si="434"/>
        <v>08/29/19</v>
      </c>
      <c r="H5014" t="str">
        <f t="shared" si="435"/>
        <v/>
      </c>
      <c r="I5014" s="60" t="str">
        <f t="shared" si="436"/>
        <v/>
      </c>
      <c r="J5014" t="str">
        <f t="shared" si="437"/>
        <v/>
      </c>
      <c r="K5014" s="60" t="str">
        <f t="shared" si="438"/>
        <v/>
      </c>
      <c r="L5014" t="str">
        <f t="shared" si="439"/>
        <v/>
      </c>
    </row>
    <row r="5015" spans="1:12" x14ac:dyDescent="0.25">
      <c r="A5015" t="s">
        <v>3298</v>
      </c>
      <c r="G5015" t="str">
        <f t="shared" si="434"/>
        <v>08/30/19</v>
      </c>
      <c r="H5015" t="str">
        <f t="shared" si="435"/>
        <v/>
      </c>
      <c r="I5015" s="60" t="str">
        <f t="shared" si="436"/>
        <v/>
      </c>
      <c r="J5015" t="str">
        <f t="shared" si="437"/>
        <v/>
      </c>
      <c r="K5015" s="60" t="str">
        <f t="shared" si="438"/>
        <v/>
      </c>
      <c r="L5015" t="str">
        <f t="shared" si="439"/>
        <v/>
      </c>
    </row>
    <row r="5016" spans="1:12" x14ac:dyDescent="0.25">
      <c r="G5016" t="str">
        <f t="shared" si="434"/>
        <v>08/30/19</v>
      </c>
      <c r="H5016" t="str">
        <f t="shared" si="435"/>
        <v/>
      </c>
      <c r="I5016" s="60" t="str">
        <f t="shared" si="436"/>
        <v/>
      </c>
      <c r="J5016" t="str">
        <f t="shared" si="437"/>
        <v/>
      </c>
      <c r="K5016" s="60" t="str">
        <f t="shared" si="438"/>
        <v/>
      </c>
      <c r="L5016" t="str">
        <f t="shared" si="439"/>
        <v/>
      </c>
    </row>
    <row r="5017" spans="1:12" x14ac:dyDescent="0.25">
      <c r="A5017" t="s">
        <v>4211</v>
      </c>
      <c r="G5017" t="str">
        <f t="shared" si="434"/>
        <v>08/30/19</v>
      </c>
      <c r="H5017" t="str">
        <f t="shared" si="435"/>
        <v>Boston Red Sox</v>
      </c>
      <c r="I5017" s="60">
        <f t="shared" si="436"/>
        <v>7</v>
      </c>
      <c r="J5017" t="str">
        <f t="shared" si="437"/>
        <v>Los Angeles Angels</v>
      </c>
      <c r="K5017" s="60">
        <f t="shared" si="438"/>
        <v>6</v>
      </c>
      <c r="L5017">
        <f t="shared" si="439"/>
        <v>1</v>
      </c>
    </row>
    <row r="5018" spans="1:12" x14ac:dyDescent="0.25">
      <c r="G5018" t="str">
        <f t="shared" si="434"/>
        <v>08/30/19</v>
      </c>
      <c r="H5018" t="str">
        <f t="shared" si="435"/>
        <v/>
      </c>
      <c r="I5018" s="60" t="str">
        <f t="shared" si="436"/>
        <v/>
      </c>
      <c r="J5018" t="str">
        <f t="shared" si="437"/>
        <v/>
      </c>
      <c r="K5018" s="60" t="str">
        <f t="shared" si="438"/>
        <v/>
      </c>
      <c r="L5018" t="str">
        <f t="shared" si="439"/>
        <v/>
      </c>
    </row>
    <row r="5019" spans="1:12" x14ac:dyDescent="0.25">
      <c r="A5019" t="s">
        <v>4212</v>
      </c>
      <c r="G5019" t="str">
        <f t="shared" si="434"/>
        <v>08/30/19</v>
      </c>
      <c r="H5019" t="str">
        <f t="shared" si="435"/>
        <v>Los Angeles Dodgers</v>
      </c>
      <c r="I5019" s="60">
        <f t="shared" si="436"/>
        <v>4</v>
      </c>
      <c r="J5019" t="str">
        <f t="shared" si="437"/>
        <v>Arizona D'Backs</v>
      </c>
      <c r="K5019" s="60">
        <f t="shared" si="438"/>
        <v>5</v>
      </c>
      <c r="L5019">
        <f t="shared" si="439"/>
        <v>-1</v>
      </c>
    </row>
    <row r="5020" spans="1:12" x14ac:dyDescent="0.25">
      <c r="G5020" t="str">
        <f t="shared" si="434"/>
        <v>08/30/19</v>
      </c>
      <c r="H5020" t="str">
        <f t="shared" si="435"/>
        <v/>
      </c>
      <c r="I5020" s="60" t="str">
        <f t="shared" si="436"/>
        <v/>
      </c>
      <c r="J5020" t="str">
        <f t="shared" si="437"/>
        <v/>
      </c>
      <c r="K5020" s="60" t="str">
        <f t="shared" si="438"/>
        <v/>
      </c>
      <c r="L5020" t="str">
        <f t="shared" si="439"/>
        <v/>
      </c>
    </row>
    <row r="5021" spans="1:12" x14ac:dyDescent="0.25">
      <c r="A5021" t="s">
        <v>4213</v>
      </c>
      <c r="G5021" t="str">
        <f t="shared" si="434"/>
        <v>08/30/19</v>
      </c>
      <c r="H5021" t="str">
        <f t="shared" si="435"/>
        <v>Chicago White Sox</v>
      </c>
      <c r="I5021" s="60">
        <f t="shared" si="436"/>
        <v>7</v>
      </c>
      <c r="J5021" t="str">
        <f t="shared" si="437"/>
        <v>Atlanta Braves</v>
      </c>
      <c r="K5021" s="60">
        <f t="shared" si="438"/>
        <v>10</v>
      </c>
      <c r="L5021">
        <f t="shared" si="439"/>
        <v>-3</v>
      </c>
    </row>
    <row r="5022" spans="1:12" x14ac:dyDescent="0.25">
      <c r="G5022" t="str">
        <f t="shared" si="434"/>
        <v>08/30/19</v>
      </c>
      <c r="H5022" t="str">
        <f t="shared" si="435"/>
        <v/>
      </c>
      <c r="I5022" s="60" t="str">
        <f t="shared" si="436"/>
        <v/>
      </c>
      <c r="J5022" t="str">
        <f t="shared" si="437"/>
        <v/>
      </c>
      <c r="K5022" s="60" t="str">
        <f t="shared" si="438"/>
        <v/>
      </c>
      <c r="L5022" t="str">
        <f t="shared" si="439"/>
        <v/>
      </c>
    </row>
    <row r="5023" spans="1:12" x14ac:dyDescent="0.25">
      <c r="A5023" t="s">
        <v>4214</v>
      </c>
      <c r="G5023" t="str">
        <f t="shared" si="434"/>
        <v>08/30/19</v>
      </c>
      <c r="H5023" t="str">
        <f t="shared" si="435"/>
        <v>Milwaukee Brewers</v>
      </c>
      <c r="I5023" s="60">
        <f t="shared" si="436"/>
        <v>1</v>
      </c>
      <c r="J5023" t="str">
        <f t="shared" si="437"/>
        <v>Chicago Cubs</v>
      </c>
      <c r="K5023" s="60">
        <f t="shared" si="438"/>
        <v>7</v>
      </c>
      <c r="L5023">
        <f t="shared" si="439"/>
        <v>-6</v>
      </c>
    </row>
    <row r="5024" spans="1:12" x14ac:dyDescent="0.25">
      <c r="G5024" t="str">
        <f t="shared" si="434"/>
        <v>08/30/19</v>
      </c>
      <c r="H5024" t="str">
        <f t="shared" si="435"/>
        <v/>
      </c>
      <c r="I5024" s="60" t="str">
        <f t="shared" si="436"/>
        <v/>
      </c>
      <c r="J5024" t="str">
        <f t="shared" si="437"/>
        <v/>
      </c>
      <c r="K5024" s="60" t="str">
        <f t="shared" si="438"/>
        <v/>
      </c>
      <c r="L5024" t="str">
        <f t="shared" si="439"/>
        <v/>
      </c>
    </row>
    <row r="5025" spans="1:12" x14ac:dyDescent="0.25">
      <c r="A5025" t="s">
        <v>4215</v>
      </c>
      <c r="G5025" t="str">
        <f t="shared" si="434"/>
        <v>08/30/19</v>
      </c>
      <c r="H5025" t="str">
        <f t="shared" si="435"/>
        <v>Pittsburgh Pirates</v>
      </c>
      <c r="I5025" s="60">
        <f t="shared" si="436"/>
        <v>9</v>
      </c>
      <c r="J5025" t="str">
        <f t="shared" si="437"/>
        <v>Colorado Rockies</v>
      </c>
      <c r="K5025" s="60">
        <f t="shared" si="438"/>
        <v>4</v>
      </c>
      <c r="L5025">
        <f t="shared" si="439"/>
        <v>5</v>
      </c>
    </row>
    <row r="5026" spans="1:12" x14ac:dyDescent="0.25">
      <c r="G5026" t="str">
        <f t="shared" ref="G5026:G5089" si="440">IF(ISNUMBER(MATCH(IFERROR(LEFT(A5026,SEARCH(",",A5026)-1),""),$G$220:$M$220,0)),TEXT(MID(A5026,SEARCH(",",A5026)+2,LEN(A5026)),"mm/dd/yy"),G5025)</f>
        <v>08/30/19</v>
      </c>
      <c r="H5026" t="str">
        <f t="shared" si="435"/>
        <v/>
      </c>
      <c r="I5026" s="60" t="str">
        <f t="shared" si="436"/>
        <v/>
      </c>
      <c r="J5026" t="str">
        <f t="shared" si="437"/>
        <v/>
      </c>
      <c r="K5026" s="60" t="str">
        <f t="shared" si="438"/>
        <v/>
      </c>
      <c r="L5026" t="str">
        <f t="shared" si="439"/>
        <v/>
      </c>
    </row>
    <row r="5027" spans="1:12" x14ac:dyDescent="0.25">
      <c r="A5027" t="s">
        <v>4216</v>
      </c>
      <c r="G5027" t="str">
        <f t="shared" si="440"/>
        <v>08/30/19</v>
      </c>
      <c r="H5027" t="str">
        <f t="shared" si="435"/>
        <v>Minnesota Twins</v>
      </c>
      <c r="I5027" s="60">
        <f t="shared" si="436"/>
        <v>13</v>
      </c>
      <c r="J5027" t="str">
        <f t="shared" si="437"/>
        <v>Detroit Tigers</v>
      </c>
      <c r="K5027" s="60">
        <f t="shared" si="438"/>
        <v>5</v>
      </c>
      <c r="L5027">
        <f t="shared" si="439"/>
        <v>8</v>
      </c>
    </row>
    <row r="5028" spans="1:12" x14ac:dyDescent="0.25">
      <c r="G5028" t="str">
        <f t="shared" si="440"/>
        <v>08/30/19</v>
      </c>
      <c r="H5028" t="str">
        <f t="shared" si="435"/>
        <v/>
      </c>
      <c r="I5028" s="60" t="str">
        <f t="shared" si="436"/>
        <v/>
      </c>
      <c r="J5028" t="str">
        <f t="shared" si="437"/>
        <v/>
      </c>
      <c r="K5028" s="60" t="str">
        <f t="shared" si="438"/>
        <v/>
      </c>
      <c r="L5028" t="str">
        <f t="shared" si="439"/>
        <v/>
      </c>
    </row>
    <row r="5029" spans="1:12" x14ac:dyDescent="0.25">
      <c r="A5029" t="s">
        <v>4217</v>
      </c>
      <c r="G5029" t="str">
        <f t="shared" si="440"/>
        <v>08/30/19</v>
      </c>
      <c r="H5029" t="str">
        <f t="shared" si="435"/>
        <v>Baltimore Orioles</v>
      </c>
      <c r="I5029" s="60">
        <f t="shared" si="436"/>
        <v>14</v>
      </c>
      <c r="J5029" t="str">
        <f t="shared" si="437"/>
        <v>Kansas City Royals</v>
      </c>
      <c r="K5029" s="60">
        <f t="shared" si="438"/>
        <v>2</v>
      </c>
      <c r="L5029">
        <f t="shared" si="439"/>
        <v>12</v>
      </c>
    </row>
    <row r="5030" spans="1:12" x14ac:dyDescent="0.25">
      <c r="G5030" t="str">
        <f t="shared" si="440"/>
        <v>08/30/19</v>
      </c>
      <c r="H5030" t="str">
        <f t="shared" si="435"/>
        <v/>
      </c>
      <c r="I5030" s="60" t="str">
        <f t="shared" si="436"/>
        <v/>
      </c>
      <c r="J5030" t="str">
        <f t="shared" si="437"/>
        <v/>
      </c>
      <c r="K5030" s="60" t="str">
        <f t="shared" si="438"/>
        <v/>
      </c>
      <c r="L5030" t="str">
        <f t="shared" si="439"/>
        <v/>
      </c>
    </row>
    <row r="5031" spans="1:12" x14ac:dyDescent="0.25">
      <c r="A5031" t="s">
        <v>4218</v>
      </c>
      <c r="G5031" t="str">
        <f t="shared" si="440"/>
        <v>08/30/19</v>
      </c>
      <c r="H5031" t="str">
        <f t="shared" si="435"/>
        <v>Oakland Athletics</v>
      </c>
      <c r="I5031" s="60">
        <f t="shared" si="436"/>
        <v>8</v>
      </c>
      <c r="J5031" t="str">
        <f t="shared" si="437"/>
        <v>New York Yankees</v>
      </c>
      <c r="K5031" s="60">
        <f t="shared" si="438"/>
        <v>2</v>
      </c>
      <c r="L5031">
        <f t="shared" si="439"/>
        <v>6</v>
      </c>
    </row>
    <row r="5032" spans="1:12" x14ac:dyDescent="0.25">
      <c r="G5032" t="str">
        <f t="shared" si="440"/>
        <v>08/30/19</v>
      </c>
      <c r="H5032" t="str">
        <f t="shared" si="435"/>
        <v/>
      </c>
      <c r="I5032" s="60" t="str">
        <f t="shared" si="436"/>
        <v/>
      </c>
      <c r="J5032" t="str">
        <f t="shared" si="437"/>
        <v/>
      </c>
      <c r="K5032" s="60" t="str">
        <f t="shared" si="438"/>
        <v/>
      </c>
      <c r="L5032" t="str">
        <f t="shared" si="439"/>
        <v/>
      </c>
    </row>
    <row r="5033" spans="1:12" x14ac:dyDescent="0.25">
      <c r="A5033" t="s">
        <v>4219</v>
      </c>
      <c r="G5033" t="str">
        <f t="shared" si="440"/>
        <v>08/30/19</v>
      </c>
      <c r="H5033" t="str">
        <f t="shared" si="435"/>
        <v>New York Mets</v>
      </c>
      <c r="I5033" s="60">
        <f t="shared" si="436"/>
        <v>11</v>
      </c>
      <c r="J5033" t="str">
        <f t="shared" si="437"/>
        <v>Philadelphia Phillies</v>
      </c>
      <c r="K5033" s="60">
        <f t="shared" si="438"/>
        <v>5</v>
      </c>
      <c r="L5033">
        <f t="shared" si="439"/>
        <v>6</v>
      </c>
    </row>
    <row r="5034" spans="1:12" x14ac:dyDescent="0.25">
      <c r="G5034" t="str">
        <f t="shared" si="440"/>
        <v>08/30/19</v>
      </c>
      <c r="H5034" t="str">
        <f t="shared" si="435"/>
        <v/>
      </c>
      <c r="I5034" s="60" t="str">
        <f t="shared" si="436"/>
        <v/>
      </c>
      <c r="J5034" t="str">
        <f t="shared" si="437"/>
        <v/>
      </c>
      <c r="K5034" s="60" t="str">
        <f t="shared" si="438"/>
        <v/>
      </c>
      <c r="L5034" t="str">
        <f t="shared" si="439"/>
        <v/>
      </c>
    </row>
    <row r="5035" spans="1:12" x14ac:dyDescent="0.25">
      <c r="A5035" t="s">
        <v>4220</v>
      </c>
      <c r="G5035" t="str">
        <f t="shared" si="440"/>
        <v>08/30/19</v>
      </c>
      <c r="H5035" t="str">
        <f t="shared" si="435"/>
        <v>San Diego Padres</v>
      </c>
      <c r="I5035" s="60">
        <f t="shared" si="436"/>
        <v>3</v>
      </c>
      <c r="J5035" t="str">
        <f t="shared" si="437"/>
        <v>San Francisco Giants</v>
      </c>
      <c r="K5035" s="60">
        <f t="shared" si="438"/>
        <v>8</v>
      </c>
      <c r="L5035">
        <f t="shared" si="439"/>
        <v>-5</v>
      </c>
    </row>
    <row r="5036" spans="1:12" x14ac:dyDescent="0.25">
      <c r="G5036" t="str">
        <f t="shared" si="440"/>
        <v>08/30/19</v>
      </c>
      <c r="H5036" t="str">
        <f t="shared" si="435"/>
        <v/>
      </c>
      <c r="I5036" s="60" t="str">
        <f t="shared" si="436"/>
        <v/>
      </c>
      <c r="J5036" t="str">
        <f t="shared" si="437"/>
        <v/>
      </c>
      <c r="K5036" s="60" t="str">
        <f t="shared" si="438"/>
        <v/>
      </c>
      <c r="L5036" t="str">
        <f t="shared" si="439"/>
        <v/>
      </c>
    </row>
    <row r="5037" spans="1:12" x14ac:dyDescent="0.25">
      <c r="A5037" t="s">
        <v>4221</v>
      </c>
      <c r="G5037" t="str">
        <f t="shared" si="440"/>
        <v>08/30/19</v>
      </c>
      <c r="H5037" t="str">
        <f t="shared" si="435"/>
        <v>Cleveland Indians</v>
      </c>
      <c r="I5037" s="60">
        <f t="shared" si="436"/>
        <v>0</v>
      </c>
      <c r="J5037" t="str">
        <f t="shared" si="437"/>
        <v>Tampa Bay Rays</v>
      </c>
      <c r="K5037" s="60">
        <f t="shared" si="438"/>
        <v>4</v>
      </c>
      <c r="L5037">
        <f t="shared" si="439"/>
        <v>-4</v>
      </c>
    </row>
    <row r="5038" spans="1:12" x14ac:dyDescent="0.25">
      <c r="G5038" t="str">
        <f t="shared" si="440"/>
        <v>08/30/19</v>
      </c>
      <c r="H5038" t="str">
        <f t="shared" si="435"/>
        <v/>
      </c>
      <c r="I5038" s="60" t="str">
        <f t="shared" si="436"/>
        <v/>
      </c>
      <c r="J5038" t="str">
        <f t="shared" si="437"/>
        <v/>
      </c>
      <c r="K5038" s="60" t="str">
        <f t="shared" si="438"/>
        <v/>
      </c>
      <c r="L5038" t="str">
        <f t="shared" si="439"/>
        <v/>
      </c>
    </row>
    <row r="5039" spans="1:12" x14ac:dyDescent="0.25">
      <c r="A5039" t="s">
        <v>4222</v>
      </c>
      <c r="G5039" t="str">
        <f t="shared" si="440"/>
        <v>08/30/19</v>
      </c>
      <c r="H5039" t="str">
        <f t="shared" si="435"/>
        <v>Seattle Mariners</v>
      </c>
      <c r="I5039" s="60">
        <f t="shared" si="436"/>
        <v>3</v>
      </c>
      <c r="J5039" t="str">
        <f t="shared" si="437"/>
        <v>Texas Rangers</v>
      </c>
      <c r="K5039" s="60">
        <f t="shared" si="438"/>
        <v>6</v>
      </c>
      <c r="L5039">
        <f t="shared" si="439"/>
        <v>-3</v>
      </c>
    </row>
    <row r="5040" spans="1:12" x14ac:dyDescent="0.25">
      <c r="G5040" t="str">
        <f t="shared" si="440"/>
        <v>08/30/19</v>
      </c>
      <c r="H5040" t="str">
        <f t="shared" si="435"/>
        <v/>
      </c>
      <c r="I5040" s="60" t="str">
        <f t="shared" si="436"/>
        <v/>
      </c>
      <c r="J5040" t="str">
        <f t="shared" si="437"/>
        <v/>
      </c>
      <c r="K5040" s="60" t="str">
        <f t="shared" si="438"/>
        <v/>
      </c>
      <c r="L5040" t="str">
        <f t="shared" si="439"/>
        <v/>
      </c>
    </row>
    <row r="5041" spans="1:12" x14ac:dyDescent="0.25">
      <c r="A5041" t="s">
        <v>4223</v>
      </c>
      <c r="G5041" t="str">
        <f t="shared" si="440"/>
        <v>08/30/19</v>
      </c>
      <c r="H5041" t="str">
        <f t="shared" si="435"/>
        <v>Houston Astros</v>
      </c>
      <c r="I5041" s="60">
        <f t="shared" si="436"/>
        <v>7</v>
      </c>
      <c r="J5041" t="str">
        <f t="shared" si="437"/>
        <v>Toronto Blue Jays</v>
      </c>
      <c r="K5041" s="60">
        <f t="shared" si="438"/>
        <v>4</v>
      </c>
      <c r="L5041">
        <f t="shared" si="439"/>
        <v>3</v>
      </c>
    </row>
    <row r="5042" spans="1:12" x14ac:dyDescent="0.25">
      <c r="G5042" t="str">
        <f t="shared" si="440"/>
        <v>08/30/19</v>
      </c>
      <c r="H5042" t="str">
        <f t="shared" si="435"/>
        <v/>
      </c>
      <c r="I5042" s="60" t="str">
        <f t="shared" si="436"/>
        <v/>
      </c>
      <c r="J5042" t="str">
        <f t="shared" si="437"/>
        <v/>
      </c>
      <c r="K5042" s="60" t="str">
        <f t="shared" si="438"/>
        <v/>
      </c>
      <c r="L5042" t="str">
        <f t="shared" si="439"/>
        <v/>
      </c>
    </row>
    <row r="5043" spans="1:12" x14ac:dyDescent="0.25">
      <c r="A5043" t="s">
        <v>4224</v>
      </c>
      <c r="G5043" t="str">
        <f t="shared" si="440"/>
        <v>08/30/19</v>
      </c>
      <c r="H5043" t="str">
        <f t="shared" si="435"/>
        <v>Miami Marlins</v>
      </c>
      <c r="I5043" s="60">
        <f t="shared" si="436"/>
        <v>6</v>
      </c>
      <c r="J5043" t="str">
        <f t="shared" si="437"/>
        <v>Washington Nationals</v>
      </c>
      <c r="K5043" s="60">
        <f t="shared" si="438"/>
        <v>7</v>
      </c>
      <c r="L5043">
        <f t="shared" si="439"/>
        <v>-1</v>
      </c>
    </row>
    <row r="5044" spans="1:12" x14ac:dyDescent="0.25">
      <c r="G5044" t="str">
        <f t="shared" si="440"/>
        <v>08/30/19</v>
      </c>
      <c r="H5044" t="str">
        <f t="shared" si="435"/>
        <v/>
      </c>
      <c r="I5044" s="60" t="str">
        <f t="shared" si="436"/>
        <v/>
      </c>
      <c r="J5044" t="str">
        <f t="shared" si="437"/>
        <v/>
      </c>
      <c r="K5044" s="60" t="str">
        <f t="shared" si="438"/>
        <v/>
      </c>
      <c r="L5044" t="str">
        <f t="shared" si="439"/>
        <v/>
      </c>
    </row>
    <row r="5045" spans="1:12" x14ac:dyDescent="0.25">
      <c r="A5045" t="s">
        <v>4225</v>
      </c>
      <c r="G5045" t="str">
        <f t="shared" si="440"/>
        <v>08/30/19</v>
      </c>
      <c r="H5045" t="str">
        <f t="shared" si="435"/>
        <v/>
      </c>
      <c r="I5045" s="60" t="str">
        <f t="shared" si="436"/>
        <v/>
      </c>
      <c r="J5045" t="str">
        <f t="shared" si="437"/>
        <v/>
      </c>
      <c r="K5045" s="60" t="str">
        <f t="shared" si="438"/>
        <v/>
      </c>
      <c r="L5045" t="str">
        <f t="shared" si="439"/>
        <v/>
      </c>
    </row>
    <row r="5046" spans="1:12" x14ac:dyDescent="0.25">
      <c r="G5046" t="str">
        <f t="shared" si="440"/>
        <v>08/30/19</v>
      </c>
      <c r="H5046" t="str">
        <f t="shared" si="435"/>
        <v/>
      </c>
      <c r="I5046" s="60" t="str">
        <f t="shared" si="436"/>
        <v/>
      </c>
      <c r="J5046" t="str">
        <f t="shared" si="437"/>
        <v/>
      </c>
      <c r="K5046" s="60" t="str">
        <f t="shared" si="438"/>
        <v/>
      </c>
      <c r="L5046" t="str">
        <f t="shared" si="439"/>
        <v/>
      </c>
    </row>
    <row r="5047" spans="1:12" x14ac:dyDescent="0.25">
      <c r="A5047" t="s">
        <v>3299</v>
      </c>
      <c r="G5047" t="str">
        <f t="shared" si="440"/>
        <v>08/31/19</v>
      </c>
      <c r="H5047" t="str">
        <f t="shared" si="435"/>
        <v/>
      </c>
      <c r="I5047" s="60" t="str">
        <f t="shared" si="436"/>
        <v/>
      </c>
      <c r="J5047" t="str">
        <f t="shared" si="437"/>
        <v/>
      </c>
      <c r="K5047" s="60" t="str">
        <f t="shared" si="438"/>
        <v/>
      </c>
      <c r="L5047" t="str">
        <f t="shared" si="439"/>
        <v/>
      </c>
    </row>
    <row r="5048" spans="1:12" x14ac:dyDescent="0.25">
      <c r="G5048" t="str">
        <f t="shared" si="440"/>
        <v>08/31/19</v>
      </c>
      <c r="H5048" t="str">
        <f t="shared" si="435"/>
        <v/>
      </c>
      <c r="I5048" s="60" t="str">
        <f t="shared" si="436"/>
        <v/>
      </c>
      <c r="J5048" t="str">
        <f t="shared" si="437"/>
        <v/>
      </c>
      <c r="K5048" s="60" t="str">
        <f t="shared" si="438"/>
        <v/>
      </c>
      <c r="L5048" t="str">
        <f t="shared" si="439"/>
        <v/>
      </c>
    </row>
    <row r="5049" spans="1:12" x14ac:dyDescent="0.25">
      <c r="A5049" t="s">
        <v>4226</v>
      </c>
      <c r="G5049" t="str">
        <f t="shared" si="440"/>
        <v>08/31/19</v>
      </c>
      <c r="H5049" t="str">
        <f t="shared" si="435"/>
        <v>Boston Red Sox</v>
      </c>
      <c r="I5049" s="60">
        <f t="shared" si="436"/>
        <v>4</v>
      </c>
      <c r="J5049" t="str">
        <f t="shared" si="437"/>
        <v>Los Angeles Angels</v>
      </c>
      <c r="K5049" s="60">
        <f t="shared" si="438"/>
        <v>10</v>
      </c>
      <c r="L5049">
        <f t="shared" si="439"/>
        <v>-6</v>
      </c>
    </row>
    <row r="5050" spans="1:12" x14ac:dyDescent="0.25">
      <c r="G5050" t="str">
        <f t="shared" si="440"/>
        <v>08/31/19</v>
      </c>
      <c r="H5050" t="str">
        <f t="shared" si="435"/>
        <v/>
      </c>
      <c r="I5050" s="60" t="str">
        <f t="shared" si="436"/>
        <v/>
      </c>
      <c r="J5050" t="str">
        <f t="shared" si="437"/>
        <v/>
      </c>
      <c r="K5050" s="60" t="str">
        <f t="shared" si="438"/>
        <v/>
      </c>
      <c r="L5050" t="str">
        <f t="shared" si="439"/>
        <v/>
      </c>
    </row>
    <row r="5051" spans="1:12" x14ac:dyDescent="0.25">
      <c r="A5051" t="s">
        <v>4227</v>
      </c>
      <c r="G5051" t="str">
        <f t="shared" si="440"/>
        <v>08/31/19</v>
      </c>
      <c r="H5051" t="str">
        <f t="shared" si="435"/>
        <v>Los Angeles Dodgers</v>
      </c>
      <c r="I5051" s="60">
        <f t="shared" si="436"/>
        <v>5</v>
      </c>
      <c r="J5051" t="str">
        <f t="shared" si="437"/>
        <v>Arizona D'Backs</v>
      </c>
      <c r="K5051" s="60">
        <f t="shared" si="438"/>
        <v>6</v>
      </c>
      <c r="L5051">
        <f t="shared" si="439"/>
        <v>-1</v>
      </c>
    </row>
    <row r="5052" spans="1:12" x14ac:dyDescent="0.25">
      <c r="G5052" t="str">
        <f t="shared" si="440"/>
        <v>08/31/19</v>
      </c>
      <c r="H5052" t="str">
        <f t="shared" si="435"/>
        <v/>
      </c>
      <c r="I5052" s="60" t="str">
        <f t="shared" si="436"/>
        <v/>
      </c>
      <c r="J5052" t="str">
        <f t="shared" si="437"/>
        <v/>
      </c>
      <c r="K5052" s="60" t="str">
        <f t="shared" si="438"/>
        <v/>
      </c>
      <c r="L5052" t="str">
        <f t="shared" si="439"/>
        <v/>
      </c>
    </row>
    <row r="5053" spans="1:12" x14ac:dyDescent="0.25">
      <c r="A5053" t="s">
        <v>4228</v>
      </c>
      <c r="G5053" t="str">
        <f t="shared" si="440"/>
        <v>08/31/19</v>
      </c>
      <c r="H5053" t="str">
        <f t="shared" si="435"/>
        <v>Chicago White Sox</v>
      </c>
      <c r="I5053" s="60">
        <f t="shared" si="436"/>
        <v>5</v>
      </c>
      <c r="J5053" t="str">
        <f t="shared" si="437"/>
        <v>Atlanta Braves</v>
      </c>
      <c r="K5053" s="60">
        <f t="shared" si="438"/>
        <v>11</v>
      </c>
      <c r="L5053">
        <f t="shared" si="439"/>
        <v>-6</v>
      </c>
    </row>
    <row r="5054" spans="1:12" x14ac:dyDescent="0.25">
      <c r="G5054" t="str">
        <f t="shared" si="440"/>
        <v>08/31/19</v>
      </c>
      <c r="H5054" t="str">
        <f t="shared" si="435"/>
        <v/>
      </c>
      <c r="I5054" s="60" t="str">
        <f t="shared" si="436"/>
        <v/>
      </c>
      <c r="J5054" t="str">
        <f t="shared" si="437"/>
        <v/>
      </c>
      <c r="K5054" s="60" t="str">
        <f t="shared" si="438"/>
        <v/>
      </c>
      <c r="L5054" t="str">
        <f t="shared" si="439"/>
        <v/>
      </c>
    </row>
    <row r="5055" spans="1:12" x14ac:dyDescent="0.25">
      <c r="A5055" t="s">
        <v>4229</v>
      </c>
      <c r="G5055" t="str">
        <f t="shared" si="440"/>
        <v>08/31/19</v>
      </c>
      <c r="H5055" t="str">
        <f t="shared" si="435"/>
        <v>Milwaukee Brewers</v>
      </c>
      <c r="I5055" s="60">
        <f t="shared" si="436"/>
        <v>2</v>
      </c>
      <c r="J5055" t="str">
        <f t="shared" si="437"/>
        <v>Chicago Cubs</v>
      </c>
      <c r="K5055" s="60">
        <f t="shared" si="438"/>
        <v>0</v>
      </c>
      <c r="L5055">
        <f t="shared" si="439"/>
        <v>2</v>
      </c>
    </row>
    <row r="5056" spans="1:12" x14ac:dyDescent="0.25">
      <c r="G5056" t="str">
        <f t="shared" si="440"/>
        <v>08/31/19</v>
      </c>
      <c r="H5056" t="str">
        <f t="shared" si="435"/>
        <v/>
      </c>
      <c r="I5056" s="60" t="str">
        <f t="shared" si="436"/>
        <v/>
      </c>
      <c r="J5056" t="str">
        <f t="shared" si="437"/>
        <v/>
      </c>
      <c r="K5056" s="60" t="str">
        <f t="shared" si="438"/>
        <v/>
      </c>
      <c r="L5056" t="str">
        <f t="shared" si="439"/>
        <v/>
      </c>
    </row>
    <row r="5057" spans="1:12" x14ac:dyDescent="0.25">
      <c r="A5057" t="s">
        <v>4230</v>
      </c>
      <c r="G5057" t="str">
        <f t="shared" si="440"/>
        <v>08/31/19</v>
      </c>
      <c r="H5057" t="str">
        <f t="shared" si="435"/>
        <v>Pittsburgh Pirates</v>
      </c>
      <c r="I5057" s="60">
        <f t="shared" si="436"/>
        <v>11</v>
      </c>
      <c r="J5057" t="str">
        <f t="shared" si="437"/>
        <v>Colorado Rockies</v>
      </c>
      <c r="K5057" s="60">
        <f t="shared" si="438"/>
        <v>4</v>
      </c>
      <c r="L5057">
        <f t="shared" si="439"/>
        <v>7</v>
      </c>
    </row>
    <row r="5058" spans="1:12" x14ac:dyDescent="0.25">
      <c r="G5058" t="str">
        <f t="shared" si="440"/>
        <v>08/31/19</v>
      </c>
      <c r="H5058" t="str">
        <f t="shared" si="435"/>
        <v/>
      </c>
      <c r="I5058" s="60" t="str">
        <f t="shared" si="436"/>
        <v/>
      </c>
      <c r="J5058" t="str">
        <f t="shared" si="437"/>
        <v/>
      </c>
      <c r="K5058" s="60" t="str">
        <f t="shared" si="438"/>
        <v/>
      </c>
      <c r="L5058" t="str">
        <f t="shared" si="439"/>
        <v/>
      </c>
    </row>
    <row r="5059" spans="1:12" x14ac:dyDescent="0.25">
      <c r="A5059" t="s">
        <v>4231</v>
      </c>
      <c r="G5059" t="str">
        <f t="shared" si="440"/>
        <v>08/31/19</v>
      </c>
      <c r="H5059" t="str">
        <f t="shared" si="435"/>
        <v>Minnesota Twins</v>
      </c>
      <c r="I5059" s="60">
        <f t="shared" si="436"/>
        <v>7</v>
      </c>
      <c r="J5059" t="str">
        <f t="shared" si="437"/>
        <v>Detroit Tigers</v>
      </c>
      <c r="K5059" s="60">
        <f t="shared" si="438"/>
        <v>10</v>
      </c>
      <c r="L5059">
        <f t="shared" si="439"/>
        <v>-3</v>
      </c>
    </row>
    <row r="5060" spans="1:12" x14ac:dyDescent="0.25">
      <c r="G5060" t="str">
        <f t="shared" si="440"/>
        <v>08/31/19</v>
      </c>
      <c r="H5060" t="str">
        <f t="shared" si="435"/>
        <v/>
      </c>
      <c r="I5060" s="60" t="str">
        <f t="shared" si="436"/>
        <v/>
      </c>
      <c r="J5060" t="str">
        <f t="shared" si="437"/>
        <v/>
      </c>
      <c r="K5060" s="60" t="str">
        <f t="shared" si="438"/>
        <v/>
      </c>
      <c r="L5060" t="str">
        <f t="shared" si="439"/>
        <v/>
      </c>
    </row>
    <row r="5061" spans="1:12" x14ac:dyDescent="0.25">
      <c r="A5061" t="s">
        <v>4232</v>
      </c>
      <c r="G5061" t="str">
        <f t="shared" si="440"/>
        <v>08/31/19</v>
      </c>
      <c r="H5061" t="str">
        <f t="shared" si="435"/>
        <v>Baltimore Orioles</v>
      </c>
      <c r="I5061" s="60">
        <f t="shared" si="436"/>
        <v>5</v>
      </c>
      <c r="J5061" t="str">
        <f t="shared" si="437"/>
        <v>Kansas City Royals</v>
      </c>
      <c r="K5061" s="60">
        <f t="shared" si="438"/>
        <v>7</v>
      </c>
      <c r="L5061">
        <f t="shared" si="439"/>
        <v>-2</v>
      </c>
    </row>
    <row r="5062" spans="1:12" x14ac:dyDescent="0.25">
      <c r="G5062" t="str">
        <f t="shared" si="440"/>
        <v>08/31/19</v>
      </c>
      <c r="H5062" t="str">
        <f t="shared" si="435"/>
        <v/>
      </c>
      <c r="I5062" s="60" t="str">
        <f t="shared" si="436"/>
        <v/>
      </c>
      <c r="J5062" t="str">
        <f t="shared" si="437"/>
        <v/>
      </c>
      <c r="K5062" s="60" t="str">
        <f t="shared" si="438"/>
        <v/>
      </c>
      <c r="L5062" t="str">
        <f t="shared" si="439"/>
        <v/>
      </c>
    </row>
    <row r="5063" spans="1:12" x14ac:dyDescent="0.25">
      <c r="A5063" t="s">
        <v>4233</v>
      </c>
      <c r="G5063" t="str">
        <f t="shared" si="440"/>
        <v>08/31/19</v>
      </c>
      <c r="H5063" t="str">
        <f t="shared" si="435"/>
        <v>Oakland Athletics</v>
      </c>
      <c r="I5063" s="60">
        <f t="shared" si="436"/>
        <v>3</v>
      </c>
      <c r="J5063" t="str">
        <f t="shared" si="437"/>
        <v>New York Yankees</v>
      </c>
      <c r="K5063" s="60">
        <f t="shared" si="438"/>
        <v>4</v>
      </c>
      <c r="L5063">
        <f t="shared" si="439"/>
        <v>-1</v>
      </c>
    </row>
    <row r="5064" spans="1:12" x14ac:dyDescent="0.25">
      <c r="G5064" t="str">
        <f t="shared" si="440"/>
        <v>08/31/19</v>
      </c>
      <c r="H5064" t="str">
        <f t="shared" si="435"/>
        <v/>
      </c>
      <c r="I5064" s="60" t="str">
        <f t="shared" si="436"/>
        <v/>
      </c>
      <c r="J5064" t="str">
        <f t="shared" si="437"/>
        <v/>
      </c>
      <c r="K5064" s="60" t="str">
        <f t="shared" si="438"/>
        <v/>
      </c>
      <c r="L5064" t="str">
        <f t="shared" si="439"/>
        <v/>
      </c>
    </row>
    <row r="5065" spans="1:12" x14ac:dyDescent="0.25">
      <c r="A5065" t="s">
        <v>4234</v>
      </c>
      <c r="G5065" t="str">
        <f t="shared" si="440"/>
        <v>08/31/19</v>
      </c>
      <c r="H5065" t="str">
        <f t="shared" si="435"/>
        <v>New York Mets</v>
      </c>
      <c r="I5065" s="60">
        <f t="shared" si="436"/>
        <v>6</v>
      </c>
      <c r="J5065" t="str">
        <f t="shared" si="437"/>
        <v>Philadelphia Phillies</v>
      </c>
      <c r="K5065" s="60">
        <f t="shared" si="438"/>
        <v>3</v>
      </c>
      <c r="L5065">
        <f t="shared" si="439"/>
        <v>3</v>
      </c>
    </row>
    <row r="5066" spans="1:12" x14ac:dyDescent="0.25">
      <c r="G5066" t="str">
        <f t="shared" si="440"/>
        <v>08/31/19</v>
      </c>
      <c r="H5066" t="str">
        <f t="shared" si="435"/>
        <v/>
      </c>
      <c r="I5066" s="60" t="str">
        <f t="shared" si="436"/>
        <v/>
      </c>
      <c r="J5066" t="str">
        <f t="shared" si="437"/>
        <v/>
      </c>
      <c r="K5066" s="60" t="str">
        <f t="shared" si="438"/>
        <v/>
      </c>
      <c r="L5066" t="str">
        <f t="shared" si="439"/>
        <v/>
      </c>
    </row>
    <row r="5067" spans="1:12" x14ac:dyDescent="0.25">
      <c r="A5067" t="s">
        <v>4235</v>
      </c>
      <c r="G5067" t="str">
        <f t="shared" si="440"/>
        <v>08/31/19</v>
      </c>
      <c r="H5067" t="str">
        <f t="shared" si="435"/>
        <v>San Diego Padres</v>
      </c>
      <c r="I5067" s="60">
        <f t="shared" si="436"/>
        <v>4</v>
      </c>
      <c r="J5067" t="str">
        <f t="shared" si="437"/>
        <v>San Francisco Giants</v>
      </c>
      <c r="K5067" s="60">
        <f t="shared" si="438"/>
        <v>1</v>
      </c>
      <c r="L5067">
        <f t="shared" si="439"/>
        <v>3</v>
      </c>
    </row>
    <row r="5068" spans="1:12" x14ac:dyDescent="0.25">
      <c r="G5068" t="str">
        <f t="shared" si="440"/>
        <v>08/31/19</v>
      </c>
      <c r="H5068" t="str">
        <f t="shared" si="435"/>
        <v/>
      </c>
      <c r="I5068" s="60" t="str">
        <f t="shared" si="436"/>
        <v/>
      </c>
      <c r="J5068" t="str">
        <f t="shared" si="437"/>
        <v/>
      </c>
      <c r="K5068" s="60" t="str">
        <f t="shared" si="438"/>
        <v/>
      </c>
      <c r="L5068" t="str">
        <f t="shared" si="439"/>
        <v/>
      </c>
    </row>
    <row r="5069" spans="1:12" x14ac:dyDescent="0.25">
      <c r="A5069" t="s">
        <v>4236</v>
      </c>
      <c r="G5069" t="str">
        <f t="shared" si="440"/>
        <v>08/31/19</v>
      </c>
      <c r="H5069" t="str">
        <f t="shared" si="435"/>
        <v>Cincinnati Reds</v>
      </c>
      <c r="I5069" s="60">
        <f t="shared" si="436"/>
        <v>6</v>
      </c>
      <c r="J5069" t="str">
        <f t="shared" si="437"/>
        <v>St. Louis Cardinals</v>
      </c>
      <c r="K5069" s="60">
        <f t="shared" si="438"/>
        <v>10</v>
      </c>
      <c r="L5069">
        <f t="shared" si="439"/>
        <v>-4</v>
      </c>
    </row>
    <row r="5070" spans="1:12" x14ac:dyDescent="0.25">
      <c r="G5070" t="str">
        <f t="shared" si="440"/>
        <v>08/31/19</v>
      </c>
      <c r="H5070" t="str">
        <f t="shared" si="435"/>
        <v/>
      </c>
      <c r="I5070" s="60" t="str">
        <f t="shared" si="436"/>
        <v/>
      </c>
      <c r="J5070" t="str">
        <f t="shared" si="437"/>
        <v/>
      </c>
      <c r="K5070" s="60" t="str">
        <f t="shared" si="438"/>
        <v/>
      </c>
      <c r="L5070" t="str">
        <f t="shared" si="439"/>
        <v/>
      </c>
    </row>
    <row r="5071" spans="1:12" x14ac:dyDescent="0.25">
      <c r="A5071" t="s">
        <v>4237</v>
      </c>
      <c r="G5071" t="str">
        <f t="shared" si="440"/>
        <v>08/31/19</v>
      </c>
      <c r="H5071" t="str">
        <f t="shared" si="435"/>
        <v>Cincinnati Reds</v>
      </c>
      <c r="I5071" s="60">
        <f t="shared" si="436"/>
        <v>2</v>
      </c>
      <c r="J5071" t="str">
        <f t="shared" si="437"/>
        <v>St. Louis Cardinals</v>
      </c>
      <c r="K5071" s="60">
        <f t="shared" si="438"/>
        <v>3</v>
      </c>
      <c r="L5071">
        <f t="shared" si="439"/>
        <v>-1</v>
      </c>
    </row>
    <row r="5072" spans="1:12" x14ac:dyDescent="0.25">
      <c r="G5072" t="str">
        <f t="shared" si="440"/>
        <v>08/31/19</v>
      </c>
      <c r="H5072" t="str">
        <f t="shared" ref="H5072:H5135" si="441">IFERROR(LEFT(MID(A5072,1,SEARCH("@",A5072)-2),SEARCH("(",A5072)-2),"")</f>
        <v/>
      </c>
      <c r="I5072" s="60" t="str">
        <f t="shared" ref="I5072:I5135" si="442">IFERROR(VALUE(MID(A5072,SEARCH("(",A5072)+1,SEARCH(")",A5072)-SEARCH("(",A5072)-1)),"")</f>
        <v/>
      </c>
      <c r="J5072" t="str">
        <f t="shared" ref="J5072:J5135" si="443">IFERROR(MID(A5072,SEARCH("@",A5072)+2,SEARCH("(",A5072,SEARCH("@",A5072))-SEARCH("@",A5072)-3),"")</f>
        <v/>
      </c>
      <c r="K5072" s="60" t="str">
        <f t="shared" ref="K5072:K5135" si="444">IFERROR(VALUE(MID(A5072,SEARCH(J5072,A5072)+LEN(J5072)+2,(SEARCH(")",A5072,SEARCH("@",A5072))-SEARCH("(",A5072,SEARCH("@",A5072))-1))),"")</f>
        <v/>
      </c>
      <c r="L5072" t="str">
        <f t="shared" ref="L5072:L5135" si="445">IFERROR(I5072-K5072,"")</f>
        <v/>
      </c>
    </row>
    <row r="5073" spans="1:12" x14ac:dyDescent="0.25">
      <c r="A5073" t="s">
        <v>4238</v>
      </c>
      <c r="G5073" t="str">
        <f t="shared" si="440"/>
        <v>08/31/19</v>
      </c>
      <c r="H5073" t="str">
        <f t="shared" si="441"/>
        <v>Cleveland Indians</v>
      </c>
      <c r="I5073" s="60">
        <f t="shared" si="442"/>
        <v>6</v>
      </c>
      <c r="J5073" t="str">
        <f t="shared" si="443"/>
        <v>Tampa Bay Rays</v>
      </c>
      <c r="K5073" s="60">
        <f t="shared" si="444"/>
        <v>9</v>
      </c>
      <c r="L5073">
        <f t="shared" si="445"/>
        <v>-3</v>
      </c>
    </row>
    <row r="5074" spans="1:12" x14ac:dyDescent="0.25">
      <c r="G5074" t="str">
        <f t="shared" si="440"/>
        <v>08/31/19</v>
      </c>
      <c r="H5074" t="str">
        <f t="shared" si="441"/>
        <v/>
      </c>
      <c r="I5074" s="60" t="str">
        <f t="shared" si="442"/>
        <v/>
      </c>
      <c r="J5074" t="str">
        <f t="shared" si="443"/>
        <v/>
      </c>
      <c r="K5074" s="60" t="str">
        <f t="shared" si="444"/>
        <v/>
      </c>
      <c r="L5074" t="str">
        <f t="shared" si="445"/>
        <v/>
      </c>
    </row>
    <row r="5075" spans="1:12" x14ac:dyDescent="0.25">
      <c r="A5075" t="s">
        <v>4239</v>
      </c>
      <c r="G5075" t="str">
        <f t="shared" si="440"/>
        <v>08/31/19</v>
      </c>
      <c r="H5075" t="str">
        <f t="shared" si="441"/>
        <v>Seattle Mariners</v>
      </c>
      <c r="I5075" s="60">
        <f t="shared" si="442"/>
        <v>2</v>
      </c>
      <c r="J5075" t="str">
        <f t="shared" si="443"/>
        <v>Texas Rangers</v>
      </c>
      <c r="K5075" s="60">
        <f t="shared" si="444"/>
        <v>3</v>
      </c>
      <c r="L5075">
        <f t="shared" si="445"/>
        <v>-1</v>
      </c>
    </row>
    <row r="5076" spans="1:12" x14ac:dyDescent="0.25">
      <c r="G5076" t="str">
        <f t="shared" si="440"/>
        <v>08/31/19</v>
      </c>
      <c r="H5076" t="str">
        <f t="shared" si="441"/>
        <v/>
      </c>
      <c r="I5076" s="60" t="str">
        <f t="shared" si="442"/>
        <v/>
      </c>
      <c r="J5076" t="str">
        <f t="shared" si="443"/>
        <v/>
      </c>
      <c r="K5076" s="60" t="str">
        <f t="shared" si="444"/>
        <v/>
      </c>
      <c r="L5076" t="str">
        <f t="shared" si="445"/>
        <v/>
      </c>
    </row>
    <row r="5077" spans="1:12" x14ac:dyDescent="0.25">
      <c r="A5077" t="s">
        <v>4240</v>
      </c>
      <c r="G5077" t="str">
        <f t="shared" si="440"/>
        <v>08/31/19</v>
      </c>
      <c r="H5077" t="str">
        <f t="shared" si="441"/>
        <v>Houston Astros</v>
      </c>
      <c r="I5077" s="60">
        <f t="shared" si="442"/>
        <v>4</v>
      </c>
      <c r="J5077" t="str">
        <f t="shared" si="443"/>
        <v>Toronto Blue Jays</v>
      </c>
      <c r="K5077" s="60">
        <f t="shared" si="444"/>
        <v>6</v>
      </c>
      <c r="L5077">
        <f t="shared" si="445"/>
        <v>-2</v>
      </c>
    </row>
    <row r="5078" spans="1:12" x14ac:dyDescent="0.25">
      <c r="G5078" t="str">
        <f t="shared" si="440"/>
        <v>08/31/19</v>
      </c>
      <c r="H5078" t="str">
        <f t="shared" si="441"/>
        <v/>
      </c>
      <c r="I5078" s="60" t="str">
        <f t="shared" si="442"/>
        <v/>
      </c>
      <c r="J5078" t="str">
        <f t="shared" si="443"/>
        <v/>
      </c>
      <c r="K5078" s="60" t="str">
        <f t="shared" si="444"/>
        <v/>
      </c>
      <c r="L5078" t="str">
        <f t="shared" si="445"/>
        <v/>
      </c>
    </row>
    <row r="5079" spans="1:12" x14ac:dyDescent="0.25">
      <c r="A5079" t="s">
        <v>4241</v>
      </c>
      <c r="G5079" t="str">
        <f t="shared" si="440"/>
        <v>08/31/19</v>
      </c>
      <c r="H5079" t="str">
        <f t="shared" si="441"/>
        <v>Miami Marlins</v>
      </c>
      <c r="I5079" s="60">
        <f t="shared" si="442"/>
        <v>0</v>
      </c>
      <c r="J5079" t="str">
        <f t="shared" si="443"/>
        <v>Washington Nationals</v>
      </c>
      <c r="K5079" s="60">
        <f t="shared" si="444"/>
        <v>7</v>
      </c>
      <c r="L5079">
        <f t="shared" si="445"/>
        <v>-7</v>
      </c>
    </row>
    <row r="5080" spans="1:12" x14ac:dyDescent="0.25">
      <c r="G5080" t="str">
        <f t="shared" si="440"/>
        <v>08/31/19</v>
      </c>
      <c r="H5080" t="str">
        <f t="shared" si="441"/>
        <v/>
      </c>
      <c r="I5080" s="60" t="str">
        <f t="shared" si="442"/>
        <v/>
      </c>
      <c r="J5080" t="str">
        <f t="shared" si="443"/>
        <v/>
      </c>
      <c r="K5080" s="60" t="str">
        <f t="shared" si="444"/>
        <v/>
      </c>
      <c r="L5080" t="str">
        <f t="shared" si="445"/>
        <v/>
      </c>
    </row>
    <row r="5081" spans="1:12" x14ac:dyDescent="0.25">
      <c r="A5081" t="s">
        <v>4242</v>
      </c>
      <c r="G5081" t="str">
        <f t="shared" si="440"/>
        <v>08/31/19</v>
      </c>
      <c r="H5081" t="str">
        <f t="shared" si="441"/>
        <v/>
      </c>
      <c r="I5081" s="60" t="str">
        <f t="shared" si="442"/>
        <v/>
      </c>
      <c r="J5081" t="str">
        <f t="shared" si="443"/>
        <v/>
      </c>
      <c r="K5081" s="60" t="str">
        <f t="shared" si="444"/>
        <v/>
      </c>
      <c r="L5081" t="str">
        <f t="shared" si="445"/>
        <v/>
      </c>
    </row>
    <row r="5082" spans="1:12" x14ac:dyDescent="0.25">
      <c r="G5082" t="str">
        <f t="shared" si="440"/>
        <v>08/31/19</v>
      </c>
      <c r="H5082" t="str">
        <f t="shared" si="441"/>
        <v/>
      </c>
      <c r="I5082" s="60" t="str">
        <f t="shared" si="442"/>
        <v/>
      </c>
      <c r="J5082" t="str">
        <f t="shared" si="443"/>
        <v/>
      </c>
      <c r="K5082" s="60" t="str">
        <f t="shared" si="444"/>
        <v/>
      </c>
      <c r="L5082" t="str">
        <f t="shared" si="445"/>
        <v/>
      </c>
    </row>
    <row r="5083" spans="1:12" x14ac:dyDescent="0.25">
      <c r="A5083" t="s">
        <v>3300</v>
      </c>
      <c r="G5083" t="str">
        <f t="shared" si="440"/>
        <v>09/01/19</v>
      </c>
      <c r="H5083" t="str">
        <f t="shared" si="441"/>
        <v/>
      </c>
      <c r="I5083" s="60" t="str">
        <f t="shared" si="442"/>
        <v/>
      </c>
      <c r="J5083" t="str">
        <f t="shared" si="443"/>
        <v/>
      </c>
      <c r="K5083" s="60" t="str">
        <f t="shared" si="444"/>
        <v/>
      </c>
      <c r="L5083" t="str">
        <f t="shared" si="445"/>
        <v/>
      </c>
    </row>
    <row r="5084" spans="1:12" x14ac:dyDescent="0.25">
      <c r="G5084" t="str">
        <f t="shared" si="440"/>
        <v>09/01/19</v>
      </c>
      <c r="H5084" t="str">
        <f t="shared" si="441"/>
        <v/>
      </c>
      <c r="I5084" s="60" t="str">
        <f t="shared" si="442"/>
        <v/>
      </c>
      <c r="J5084" t="str">
        <f t="shared" si="443"/>
        <v/>
      </c>
      <c r="K5084" s="60" t="str">
        <f t="shared" si="444"/>
        <v/>
      </c>
      <c r="L5084" t="str">
        <f t="shared" si="445"/>
        <v/>
      </c>
    </row>
    <row r="5085" spans="1:12" x14ac:dyDescent="0.25">
      <c r="A5085" t="s">
        <v>4243</v>
      </c>
      <c r="G5085" t="str">
        <f t="shared" si="440"/>
        <v>09/01/19</v>
      </c>
      <c r="H5085" t="str">
        <f t="shared" si="441"/>
        <v>Boston Red Sox</v>
      </c>
      <c r="I5085" s="60">
        <f t="shared" si="442"/>
        <v>4</v>
      </c>
      <c r="J5085" t="str">
        <f t="shared" si="443"/>
        <v>Los Angeles Angels</v>
      </c>
      <c r="K5085" s="60">
        <f t="shared" si="444"/>
        <v>3</v>
      </c>
      <c r="L5085">
        <f t="shared" si="445"/>
        <v>1</v>
      </c>
    </row>
    <row r="5086" spans="1:12" x14ac:dyDescent="0.25">
      <c r="G5086" t="str">
        <f t="shared" si="440"/>
        <v>09/01/19</v>
      </c>
      <c r="H5086" t="str">
        <f t="shared" si="441"/>
        <v/>
      </c>
      <c r="I5086" s="60" t="str">
        <f t="shared" si="442"/>
        <v/>
      </c>
      <c r="J5086" t="str">
        <f t="shared" si="443"/>
        <v/>
      </c>
      <c r="K5086" s="60" t="str">
        <f t="shared" si="444"/>
        <v/>
      </c>
      <c r="L5086" t="str">
        <f t="shared" si="445"/>
        <v/>
      </c>
    </row>
    <row r="5087" spans="1:12" x14ac:dyDescent="0.25">
      <c r="A5087" t="s">
        <v>4244</v>
      </c>
      <c r="G5087" t="str">
        <f t="shared" si="440"/>
        <v>09/01/19</v>
      </c>
      <c r="H5087" t="str">
        <f t="shared" si="441"/>
        <v>Los Angeles Dodgers</v>
      </c>
      <c r="I5087" s="60">
        <f t="shared" si="442"/>
        <v>4</v>
      </c>
      <c r="J5087" t="str">
        <f t="shared" si="443"/>
        <v>Arizona D'Backs</v>
      </c>
      <c r="K5087" s="60">
        <f t="shared" si="444"/>
        <v>3</v>
      </c>
      <c r="L5087">
        <f t="shared" si="445"/>
        <v>1</v>
      </c>
    </row>
    <row r="5088" spans="1:12" x14ac:dyDescent="0.25">
      <c r="G5088" t="str">
        <f t="shared" si="440"/>
        <v>09/01/19</v>
      </c>
      <c r="H5088" t="str">
        <f t="shared" si="441"/>
        <v/>
      </c>
      <c r="I5088" s="60" t="str">
        <f t="shared" si="442"/>
        <v/>
      </c>
      <c r="J5088" t="str">
        <f t="shared" si="443"/>
        <v/>
      </c>
      <c r="K5088" s="60" t="str">
        <f t="shared" si="444"/>
        <v/>
      </c>
      <c r="L5088" t="str">
        <f t="shared" si="445"/>
        <v/>
      </c>
    </row>
    <row r="5089" spans="1:12" x14ac:dyDescent="0.25">
      <c r="A5089" t="s">
        <v>4245</v>
      </c>
      <c r="G5089" t="str">
        <f t="shared" si="440"/>
        <v>09/01/19</v>
      </c>
      <c r="H5089" t="str">
        <f t="shared" si="441"/>
        <v>Chicago White Sox</v>
      </c>
      <c r="I5089" s="60">
        <f t="shared" si="442"/>
        <v>3</v>
      </c>
      <c r="J5089" t="str">
        <f t="shared" si="443"/>
        <v>Atlanta Braves</v>
      </c>
      <c r="K5089" s="60">
        <f t="shared" si="444"/>
        <v>5</v>
      </c>
      <c r="L5089">
        <f t="shared" si="445"/>
        <v>-2</v>
      </c>
    </row>
    <row r="5090" spans="1:12" x14ac:dyDescent="0.25">
      <c r="G5090" t="str">
        <f t="shared" ref="G5090:G5153" si="446">IF(ISNUMBER(MATCH(IFERROR(LEFT(A5090,SEARCH(",",A5090)-1),""),$G$220:$M$220,0)),TEXT(MID(A5090,SEARCH(",",A5090)+2,LEN(A5090)),"mm/dd/yy"),G5089)</f>
        <v>09/01/19</v>
      </c>
      <c r="H5090" t="str">
        <f t="shared" si="441"/>
        <v/>
      </c>
      <c r="I5090" s="60" t="str">
        <f t="shared" si="442"/>
        <v/>
      </c>
      <c r="J5090" t="str">
        <f t="shared" si="443"/>
        <v/>
      </c>
      <c r="K5090" s="60" t="str">
        <f t="shared" si="444"/>
        <v/>
      </c>
      <c r="L5090" t="str">
        <f t="shared" si="445"/>
        <v/>
      </c>
    </row>
    <row r="5091" spans="1:12" x14ac:dyDescent="0.25">
      <c r="A5091" t="s">
        <v>4246</v>
      </c>
      <c r="G5091" t="str">
        <f t="shared" si="446"/>
        <v>09/01/19</v>
      </c>
      <c r="H5091" t="str">
        <f t="shared" si="441"/>
        <v>Milwaukee Brewers</v>
      </c>
      <c r="I5091" s="60">
        <f t="shared" si="442"/>
        <v>4</v>
      </c>
      <c r="J5091" t="str">
        <f t="shared" si="443"/>
        <v>Chicago Cubs</v>
      </c>
      <c r="K5091" s="60">
        <f t="shared" si="444"/>
        <v>0</v>
      </c>
      <c r="L5091">
        <f t="shared" si="445"/>
        <v>4</v>
      </c>
    </row>
    <row r="5092" spans="1:12" x14ac:dyDescent="0.25">
      <c r="G5092" t="str">
        <f t="shared" si="446"/>
        <v>09/01/19</v>
      </c>
      <c r="H5092" t="str">
        <f t="shared" si="441"/>
        <v/>
      </c>
      <c r="I5092" s="60" t="str">
        <f t="shared" si="442"/>
        <v/>
      </c>
      <c r="J5092" t="str">
        <f t="shared" si="443"/>
        <v/>
      </c>
      <c r="K5092" s="60" t="str">
        <f t="shared" si="444"/>
        <v/>
      </c>
      <c r="L5092" t="str">
        <f t="shared" si="445"/>
        <v/>
      </c>
    </row>
    <row r="5093" spans="1:12" x14ac:dyDescent="0.25">
      <c r="A5093" t="s">
        <v>4247</v>
      </c>
      <c r="G5093" t="str">
        <f t="shared" si="446"/>
        <v>09/01/19</v>
      </c>
      <c r="H5093" t="str">
        <f t="shared" si="441"/>
        <v>Pittsburgh Pirates</v>
      </c>
      <c r="I5093" s="60">
        <f t="shared" si="442"/>
        <v>6</v>
      </c>
      <c r="J5093" t="str">
        <f t="shared" si="443"/>
        <v>Colorado Rockies</v>
      </c>
      <c r="K5093" s="60">
        <f t="shared" si="444"/>
        <v>2</v>
      </c>
      <c r="L5093">
        <f t="shared" si="445"/>
        <v>4</v>
      </c>
    </row>
    <row r="5094" spans="1:12" x14ac:dyDescent="0.25">
      <c r="G5094" t="str">
        <f t="shared" si="446"/>
        <v>09/01/19</v>
      </c>
      <c r="H5094" t="str">
        <f t="shared" si="441"/>
        <v/>
      </c>
      <c r="I5094" s="60" t="str">
        <f t="shared" si="442"/>
        <v/>
      </c>
      <c r="J5094" t="str">
        <f t="shared" si="443"/>
        <v/>
      </c>
      <c r="K5094" s="60" t="str">
        <f t="shared" si="444"/>
        <v/>
      </c>
      <c r="L5094" t="str">
        <f t="shared" si="445"/>
        <v/>
      </c>
    </row>
    <row r="5095" spans="1:12" x14ac:dyDescent="0.25">
      <c r="A5095" t="s">
        <v>4248</v>
      </c>
      <c r="G5095" t="str">
        <f t="shared" si="446"/>
        <v>09/01/19</v>
      </c>
      <c r="H5095" t="str">
        <f t="shared" si="441"/>
        <v>Minnesota Twins</v>
      </c>
      <c r="I5095" s="60">
        <f t="shared" si="442"/>
        <v>8</v>
      </c>
      <c r="J5095" t="str">
        <f t="shared" si="443"/>
        <v>Detroit Tigers</v>
      </c>
      <c r="K5095" s="60">
        <f t="shared" si="444"/>
        <v>3</v>
      </c>
      <c r="L5095">
        <f t="shared" si="445"/>
        <v>5</v>
      </c>
    </row>
    <row r="5096" spans="1:12" x14ac:dyDescent="0.25">
      <c r="G5096" t="str">
        <f t="shared" si="446"/>
        <v>09/01/19</v>
      </c>
      <c r="H5096" t="str">
        <f t="shared" si="441"/>
        <v/>
      </c>
      <c r="I5096" s="60" t="str">
        <f t="shared" si="442"/>
        <v/>
      </c>
      <c r="J5096" t="str">
        <f t="shared" si="443"/>
        <v/>
      </c>
      <c r="K5096" s="60" t="str">
        <f t="shared" si="444"/>
        <v/>
      </c>
      <c r="L5096" t="str">
        <f t="shared" si="445"/>
        <v/>
      </c>
    </row>
    <row r="5097" spans="1:12" x14ac:dyDescent="0.25">
      <c r="A5097" t="s">
        <v>4249</v>
      </c>
      <c r="G5097" t="str">
        <f t="shared" si="446"/>
        <v>09/01/19</v>
      </c>
      <c r="H5097" t="str">
        <f t="shared" si="441"/>
        <v>Baltimore Orioles</v>
      </c>
      <c r="I5097" s="60">
        <f t="shared" si="442"/>
        <v>4</v>
      </c>
      <c r="J5097" t="str">
        <f t="shared" si="443"/>
        <v>Kansas City Royals</v>
      </c>
      <c r="K5097" s="60">
        <f t="shared" si="444"/>
        <v>6</v>
      </c>
      <c r="L5097">
        <f t="shared" si="445"/>
        <v>-2</v>
      </c>
    </row>
    <row r="5098" spans="1:12" x14ac:dyDescent="0.25">
      <c r="G5098" t="str">
        <f t="shared" si="446"/>
        <v>09/01/19</v>
      </c>
      <c r="H5098" t="str">
        <f t="shared" si="441"/>
        <v/>
      </c>
      <c r="I5098" s="60" t="str">
        <f t="shared" si="442"/>
        <v/>
      </c>
      <c r="J5098" t="str">
        <f t="shared" si="443"/>
        <v/>
      </c>
      <c r="K5098" s="60" t="str">
        <f t="shared" si="444"/>
        <v/>
      </c>
      <c r="L5098" t="str">
        <f t="shared" si="445"/>
        <v/>
      </c>
    </row>
    <row r="5099" spans="1:12" x14ac:dyDescent="0.25">
      <c r="A5099" t="s">
        <v>4250</v>
      </c>
      <c r="G5099" t="str">
        <f t="shared" si="446"/>
        <v>09/01/19</v>
      </c>
      <c r="H5099" t="str">
        <f t="shared" si="441"/>
        <v>Oakland Athletics</v>
      </c>
      <c r="I5099" s="60">
        <f t="shared" si="442"/>
        <v>4</v>
      </c>
      <c r="J5099" t="str">
        <f t="shared" si="443"/>
        <v>New York Yankees</v>
      </c>
      <c r="K5099" s="60">
        <f t="shared" si="444"/>
        <v>5</v>
      </c>
      <c r="L5099">
        <f t="shared" si="445"/>
        <v>-1</v>
      </c>
    </row>
    <row r="5100" spans="1:12" x14ac:dyDescent="0.25">
      <c r="G5100" t="str">
        <f t="shared" si="446"/>
        <v>09/01/19</v>
      </c>
      <c r="H5100" t="str">
        <f t="shared" si="441"/>
        <v/>
      </c>
      <c r="I5100" s="60" t="str">
        <f t="shared" si="442"/>
        <v/>
      </c>
      <c r="J5100" t="str">
        <f t="shared" si="443"/>
        <v/>
      </c>
      <c r="K5100" s="60" t="str">
        <f t="shared" si="444"/>
        <v/>
      </c>
      <c r="L5100" t="str">
        <f t="shared" si="445"/>
        <v/>
      </c>
    </row>
    <row r="5101" spans="1:12" x14ac:dyDescent="0.25">
      <c r="A5101" t="s">
        <v>4251</v>
      </c>
      <c r="G5101" t="str">
        <f t="shared" si="446"/>
        <v>09/01/19</v>
      </c>
      <c r="H5101" t="str">
        <f t="shared" si="441"/>
        <v>New York Mets</v>
      </c>
      <c r="I5101" s="60">
        <f t="shared" si="442"/>
        <v>2</v>
      </c>
      <c r="J5101" t="str">
        <f t="shared" si="443"/>
        <v>Philadelphia Phillies</v>
      </c>
      <c r="K5101" s="60">
        <f t="shared" si="444"/>
        <v>5</v>
      </c>
      <c r="L5101">
        <f t="shared" si="445"/>
        <v>-3</v>
      </c>
    </row>
    <row r="5102" spans="1:12" x14ac:dyDescent="0.25">
      <c r="G5102" t="str">
        <f t="shared" si="446"/>
        <v>09/01/19</v>
      </c>
      <c r="H5102" t="str">
        <f t="shared" si="441"/>
        <v/>
      </c>
      <c r="I5102" s="60" t="str">
        <f t="shared" si="442"/>
        <v/>
      </c>
      <c r="J5102" t="str">
        <f t="shared" si="443"/>
        <v/>
      </c>
      <c r="K5102" s="60" t="str">
        <f t="shared" si="444"/>
        <v/>
      </c>
      <c r="L5102" t="str">
        <f t="shared" si="445"/>
        <v/>
      </c>
    </row>
    <row r="5103" spans="1:12" x14ac:dyDescent="0.25">
      <c r="A5103" t="s">
        <v>4252</v>
      </c>
      <c r="G5103" t="str">
        <f t="shared" si="446"/>
        <v>09/01/19</v>
      </c>
      <c r="H5103" t="str">
        <f t="shared" si="441"/>
        <v>San Diego Padres</v>
      </c>
      <c r="I5103" s="60">
        <f t="shared" si="442"/>
        <v>8</v>
      </c>
      <c r="J5103" t="str">
        <f t="shared" si="443"/>
        <v>San Francisco Giants</v>
      </c>
      <c r="K5103" s="60">
        <f t="shared" si="444"/>
        <v>4</v>
      </c>
      <c r="L5103">
        <f t="shared" si="445"/>
        <v>4</v>
      </c>
    </row>
    <row r="5104" spans="1:12" x14ac:dyDescent="0.25">
      <c r="G5104" t="str">
        <f t="shared" si="446"/>
        <v>09/01/19</v>
      </c>
      <c r="H5104" t="str">
        <f t="shared" si="441"/>
        <v/>
      </c>
      <c r="I5104" s="60" t="str">
        <f t="shared" si="442"/>
        <v/>
      </c>
      <c r="J5104" t="str">
        <f t="shared" si="443"/>
        <v/>
      </c>
      <c r="K5104" s="60" t="str">
        <f t="shared" si="444"/>
        <v/>
      </c>
      <c r="L5104" t="str">
        <f t="shared" si="445"/>
        <v/>
      </c>
    </row>
    <row r="5105" spans="1:12" x14ac:dyDescent="0.25">
      <c r="A5105" t="s">
        <v>4253</v>
      </c>
      <c r="G5105" t="str">
        <f t="shared" si="446"/>
        <v>09/01/19</v>
      </c>
      <c r="H5105" t="str">
        <f t="shared" si="441"/>
        <v>Cincinnati Reds</v>
      </c>
      <c r="I5105" s="60">
        <f t="shared" si="442"/>
        <v>3</v>
      </c>
      <c r="J5105" t="str">
        <f t="shared" si="443"/>
        <v>St. Louis Cardinals</v>
      </c>
      <c r="K5105" s="60">
        <f t="shared" si="444"/>
        <v>4</v>
      </c>
      <c r="L5105">
        <f t="shared" si="445"/>
        <v>-1</v>
      </c>
    </row>
    <row r="5106" spans="1:12" x14ac:dyDescent="0.25">
      <c r="G5106" t="str">
        <f t="shared" si="446"/>
        <v>09/01/19</v>
      </c>
      <c r="H5106" t="str">
        <f t="shared" si="441"/>
        <v/>
      </c>
      <c r="I5106" s="60" t="str">
        <f t="shared" si="442"/>
        <v/>
      </c>
      <c r="J5106" t="str">
        <f t="shared" si="443"/>
        <v/>
      </c>
      <c r="K5106" s="60" t="str">
        <f t="shared" si="444"/>
        <v/>
      </c>
      <c r="L5106" t="str">
        <f t="shared" si="445"/>
        <v/>
      </c>
    </row>
    <row r="5107" spans="1:12" x14ac:dyDescent="0.25">
      <c r="A5107" t="s">
        <v>4254</v>
      </c>
      <c r="G5107" t="str">
        <f t="shared" si="446"/>
        <v>09/01/19</v>
      </c>
      <c r="H5107" t="str">
        <f t="shared" si="441"/>
        <v>Cincinnati Reds</v>
      </c>
      <c r="I5107" s="60">
        <f t="shared" si="442"/>
        <v>5</v>
      </c>
      <c r="J5107" t="str">
        <f t="shared" si="443"/>
        <v>St. Louis Cardinals</v>
      </c>
      <c r="K5107" s="60">
        <f t="shared" si="444"/>
        <v>3</v>
      </c>
      <c r="L5107">
        <f t="shared" si="445"/>
        <v>2</v>
      </c>
    </row>
    <row r="5108" spans="1:12" x14ac:dyDescent="0.25">
      <c r="G5108" t="str">
        <f t="shared" si="446"/>
        <v>09/01/19</v>
      </c>
      <c r="H5108" t="str">
        <f t="shared" si="441"/>
        <v/>
      </c>
      <c r="I5108" s="60" t="str">
        <f t="shared" si="442"/>
        <v/>
      </c>
      <c r="J5108" t="str">
        <f t="shared" si="443"/>
        <v/>
      </c>
      <c r="K5108" s="60" t="str">
        <f t="shared" si="444"/>
        <v/>
      </c>
      <c r="L5108" t="str">
        <f t="shared" si="445"/>
        <v/>
      </c>
    </row>
    <row r="5109" spans="1:12" x14ac:dyDescent="0.25">
      <c r="A5109" t="s">
        <v>4255</v>
      </c>
      <c r="G5109" t="str">
        <f t="shared" si="446"/>
        <v>09/01/19</v>
      </c>
      <c r="H5109" t="str">
        <f t="shared" si="441"/>
        <v>Cleveland Indians</v>
      </c>
      <c r="I5109" s="60">
        <f t="shared" si="442"/>
        <v>2</v>
      </c>
      <c r="J5109" t="str">
        <f t="shared" si="443"/>
        <v>Tampa Bay Rays</v>
      </c>
      <c r="K5109" s="60">
        <f t="shared" si="444"/>
        <v>8</v>
      </c>
      <c r="L5109">
        <f t="shared" si="445"/>
        <v>-6</v>
      </c>
    </row>
    <row r="5110" spans="1:12" x14ac:dyDescent="0.25">
      <c r="G5110" t="str">
        <f t="shared" si="446"/>
        <v>09/01/19</v>
      </c>
      <c r="H5110" t="str">
        <f t="shared" si="441"/>
        <v/>
      </c>
      <c r="I5110" s="60" t="str">
        <f t="shared" si="442"/>
        <v/>
      </c>
      <c r="J5110" t="str">
        <f t="shared" si="443"/>
        <v/>
      </c>
      <c r="K5110" s="60" t="str">
        <f t="shared" si="444"/>
        <v/>
      </c>
      <c r="L5110" t="str">
        <f t="shared" si="445"/>
        <v/>
      </c>
    </row>
    <row r="5111" spans="1:12" x14ac:dyDescent="0.25">
      <c r="A5111" t="s">
        <v>4256</v>
      </c>
      <c r="G5111" t="str">
        <f t="shared" si="446"/>
        <v>09/01/19</v>
      </c>
      <c r="H5111" t="str">
        <f t="shared" si="441"/>
        <v>Seattle Mariners</v>
      </c>
      <c r="I5111" s="60">
        <f t="shared" si="442"/>
        <v>11</v>
      </c>
      <c r="J5111" t="str">
        <f t="shared" si="443"/>
        <v>Texas Rangers</v>
      </c>
      <c r="K5111" s="60">
        <f t="shared" si="444"/>
        <v>3</v>
      </c>
      <c r="L5111">
        <f t="shared" si="445"/>
        <v>8</v>
      </c>
    </row>
    <row r="5112" spans="1:12" x14ac:dyDescent="0.25">
      <c r="G5112" t="str">
        <f t="shared" si="446"/>
        <v>09/01/19</v>
      </c>
      <c r="H5112" t="str">
        <f t="shared" si="441"/>
        <v/>
      </c>
      <c r="I5112" s="60" t="str">
        <f t="shared" si="442"/>
        <v/>
      </c>
      <c r="J5112" t="str">
        <f t="shared" si="443"/>
        <v/>
      </c>
      <c r="K5112" s="60" t="str">
        <f t="shared" si="444"/>
        <v/>
      </c>
      <c r="L5112" t="str">
        <f t="shared" si="445"/>
        <v/>
      </c>
    </row>
    <row r="5113" spans="1:12" x14ac:dyDescent="0.25">
      <c r="A5113" t="s">
        <v>4257</v>
      </c>
      <c r="G5113" t="str">
        <f t="shared" si="446"/>
        <v>09/01/19</v>
      </c>
      <c r="H5113" t="str">
        <f t="shared" si="441"/>
        <v>Houston Astros</v>
      </c>
      <c r="I5113" s="60">
        <f t="shared" si="442"/>
        <v>2</v>
      </c>
      <c r="J5113" t="str">
        <f t="shared" si="443"/>
        <v>Toronto Blue Jays</v>
      </c>
      <c r="K5113" s="60">
        <f t="shared" si="444"/>
        <v>0</v>
      </c>
      <c r="L5113">
        <f t="shared" si="445"/>
        <v>2</v>
      </c>
    </row>
    <row r="5114" spans="1:12" x14ac:dyDescent="0.25">
      <c r="G5114" t="str">
        <f t="shared" si="446"/>
        <v>09/01/19</v>
      </c>
      <c r="H5114" t="str">
        <f t="shared" si="441"/>
        <v/>
      </c>
      <c r="I5114" s="60" t="str">
        <f t="shared" si="442"/>
        <v/>
      </c>
      <c r="J5114" t="str">
        <f t="shared" si="443"/>
        <v/>
      </c>
      <c r="K5114" s="60" t="str">
        <f t="shared" si="444"/>
        <v/>
      </c>
      <c r="L5114" t="str">
        <f t="shared" si="445"/>
        <v/>
      </c>
    </row>
    <row r="5115" spans="1:12" x14ac:dyDescent="0.25">
      <c r="A5115" t="s">
        <v>4258</v>
      </c>
      <c r="G5115" t="str">
        <f t="shared" si="446"/>
        <v>09/01/19</v>
      </c>
      <c r="H5115" t="str">
        <f t="shared" si="441"/>
        <v>Miami Marlins</v>
      </c>
      <c r="I5115" s="60">
        <f t="shared" si="442"/>
        <v>3</v>
      </c>
      <c r="J5115" t="str">
        <f t="shared" si="443"/>
        <v>Washington Nationals</v>
      </c>
      <c r="K5115" s="60">
        <f t="shared" si="444"/>
        <v>9</v>
      </c>
      <c r="L5115">
        <f t="shared" si="445"/>
        <v>-6</v>
      </c>
    </row>
    <row r="5116" spans="1:12" x14ac:dyDescent="0.25">
      <c r="G5116" t="str">
        <f t="shared" si="446"/>
        <v>09/01/19</v>
      </c>
      <c r="H5116" t="str">
        <f t="shared" si="441"/>
        <v/>
      </c>
      <c r="I5116" s="60" t="str">
        <f t="shared" si="442"/>
        <v/>
      </c>
      <c r="J5116" t="str">
        <f t="shared" si="443"/>
        <v/>
      </c>
      <c r="K5116" s="60" t="str">
        <f t="shared" si="444"/>
        <v/>
      </c>
      <c r="L5116" t="str">
        <f t="shared" si="445"/>
        <v/>
      </c>
    </row>
    <row r="5117" spans="1:12" x14ac:dyDescent="0.25">
      <c r="A5117" t="s">
        <v>4259</v>
      </c>
      <c r="G5117" t="str">
        <f t="shared" si="446"/>
        <v>09/01/19</v>
      </c>
      <c r="H5117" t="str">
        <f t="shared" si="441"/>
        <v/>
      </c>
      <c r="I5117" s="60" t="str">
        <f t="shared" si="442"/>
        <v/>
      </c>
      <c r="J5117" t="str">
        <f t="shared" si="443"/>
        <v/>
      </c>
      <c r="K5117" s="60" t="str">
        <f t="shared" si="444"/>
        <v/>
      </c>
      <c r="L5117" t="str">
        <f t="shared" si="445"/>
        <v/>
      </c>
    </row>
    <row r="5118" spans="1:12" x14ac:dyDescent="0.25">
      <c r="G5118" t="str">
        <f t="shared" si="446"/>
        <v>09/01/19</v>
      </c>
      <c r="H5118" t="str">
        <f t="shared" si="441"/>
        <v/>
      </c>
      <c r="I5118" s="60" t="str">
        <f t="shared" si="442"/>
        <v/>
      </c>
      <c r="J5118" t="str">
        <f t="shared" si="443"/>
        <v/>
      </c>
      <c r="K5118" s="60" t="str">
        <f t="shared" si="444"/>
        <v/>
      </c>
      <c r="L5118" t="str">
        <f t="shared" si="445"/>
        <v/>
      </c>
    </row>
    <row r="5119" spans="1:12" x14ac:dyDescent="0.25">
      <c r="A5119" t="s">
        <v>3301</v>
      </c>
      <c r="G5119" t="str">
        <f t="shared" si="446"/>
        <v>09/02/19</v>
      </c>
      <c r="H5119" t="str">
        <f t="shared" si="441"/>
        <v/>
      </c>
      <c r="I5119" s="60" t="str">
        <f t="shared" si="442"/>
        <v/>
      </c>
      <c r="J5119" t="str">
        <f t="shared" si="443"/>
        <v/>
      </c>
      <c r="K5119" s="60" t="str">
        <f t="shared" si="444"/>
        <v/>
      </c>
      <c r="L5119" t="str">
        <f t="shared" si="445"/>
        <v/>
      </c>
    </row>
    <row r="5120" spans="1:12" x14ac:dyDescent="0.25">
      <c r="G5120" t="str">
        <f t="shared" si="446"/>
        <v>09/02/19</v>
      </c>
      <c r="H5120" t="str">
        <f t="shared" si="441"/>
        <v/>
      </c>
      <c r="I5120" s="60" t="str">
        <f t="shared" si="442"/>
        <v/>
      </c>
      <c r="J5120" t="str">
        <f t="shared" si="443"/>
        <v/>
      </c>
      <c r="K5120" s="60" t="str">
        <f t="shared" si="444"/>
        <v/>
      </c>
      <c r="L5120" t="str">
        <f t="shared" si="445"/>
        <v/>
      </c>
    </row>
    <row r="5121" spans="1:12" x14ac:dyDescent="0.25">
      <c r="A5121" t="s">
        <v>4260</v>
      </c>
      <c r="G5121" t="str">
        <f t="shared" si="446"/>
        <v>09/02/19</v>
      </c>
      <c r="H5121" t="str">
        <f t="shared" si="441"/>
        <v>San Diego Padres</v>
      </c>
      <c r="I5121" s="60">
        <f t="shared" si="442"/>
        <v>7</v>
      </c>
      <c r="J5121" t="str">
        <f t="shared" si="443"/>
        <v>Arizona D'Backs</v>
      </c>
      <c r="K5121" s="60">
        <f t="shared" si="444"/>
        <v>14</v>
      </c>
      <c r="L5121">
        <f t="shared" si="445"/>
        <v>-7</v>
      </c>
    </row>
    <row r="5122" spans="1:12" x14ac:dyDescent="0.25">
      <c r="G5122" t="str">
        <f t="shared" si="446"/>
        <v>09/02/19</v>
      </c>
      <c r="H5122" t="str">
        <f t="shared" si="441"/>
        <v/>
      </c>
      <c r="I5122" s="60" t="str">
        <f t="shared" si="442"/>
        <v/>
      </c>
      <c r="J5122" t="str">
        <f t="shared" si="443"/>
        <v/>
      </c>
      <c r="K5122" s="60" t="str">
        <f t="shared" si="444"/>
        <v/>
      </c>
      <c r="L5122" t="str">
        <f t="shared" si="445"/>
        <v/>
      </c>
    </row>
    <row r="5123" spans="1:12" x14ac:dyDescent="0.25">
      <c r="A5123" t="s">
        <v>4261</v>
      </c>
      <c r="G5123" t="str">
        <f t="shared" si="446"/>
        <v>09/02/19</v>
      </c>
      <c r="H5123" t="str">
        <f t="shared" si="441"/>
        <v>Toronto Blue Jays</v>
      </c>
      <c r="I5123" s="60">
        <f t="shared" si="442"/>
        <v>3</v>
      </c>
      <c r="J5123" t="str">
        <f t="shared" si="443"/>
        <v>Atlanta Braves</v>
      </c>
      <c r="K5123" s="60">
        <f t="shared" si="444"/>
        <v>6</v>
      </c>
      <c r="L5123">
        <f t="shared" si="445"/>
        <v>-3</v>
      </c>
    </row>
    <row r="5124" spans="1:12" x14ac:dyDescent="0.25">
      <c r="G5124" t="str">
        <f t="shared" si="446"/>
        <v>09/02/19</v>
      </c>
      <c r="H5124" t="str">
        <f t="shared" si="441"/>
        <v/>
      </c>
      <c r="I5124" s="60" t="str">
        <f t="shared" si="442"/>
        <v/>
      </c>
      <c r="J5124" t="str">
        <f t="shared" si="443"/>
        <v/>
      </c>
      <c r="K5124" s="60" t="str">
        <f t="shared" si="444"/>
        <v/>
      </c>
      <c r="L5124" t="str">
        <f t="shared" si="445"/>
        <v/>
      </c>
    </row>
    <row r="5125" spans="1:12" x14ac:dyDescent="0.25">
      <c r="A5125" t="s">
        <v>4262</v>
      </c>
      <c r="G5125" t="str">
        <f t="shared" si="446"/>
        <v>09/02/19</v>
      </c>
      <c r="H5125" t="str">
        <f t="shared" si="441"/>
        <v>Seattle Mariners</v>
      </c>
      <c r="I5125" s="60">
        <f t="shared" si="442"/>
        <v>1</v>
      </c>
      <c r="J5125" t="str">
        <f t="shared" si="443"/>
        <v>Chicago Cubs</v>
      </c>
      <c r="K5125" s="60">
        <f t="shared" si="444"/>
        <v>5</v>
      </c>
      <c r="L5125">
        <f t="shared" si="445"/>
        <v>-4</v>
      </c>
    </row>
    <row r="5126" spans="1:12" x14ac:dyDescent="0.25">
      <c r="G5126" t="str">
        <f t="shared" si="446"/>
        <v>09/02/19</v>
      </c>
      <c r="H5126" t="str">
        <f t="shared" si="441"/>
        <v/>
      </c>
      <c r="I5126" s="60" t="str">
        <f t="shared" si="442"/>
        <v/>
      </c>
      <c r="J5126" t="str">
        <f t="shared" si="443"/>
        <v/>
      </c>
      <c r="K5126" s="60" t="str">
        <f t="shared" si="444"/>
        <v/>
      </c>
      <c r="L5126" t="str">
        <f t="shared" si="445"/>
        <v/>
      </c>
    </row>
    <row r="5127" spans="1:12" x14ac:dyDescent="0.25">
      <c r="A5127" t="s">
        <v>4263</v>
      </c>
      <c r="G5127" t="str">
        <f t="shared" si="446"/>
        <v>09/02/19</v>
      </c>
      <c r="H5127" t="str">
        <f t="shared" si="441"/>
        <v>Philadelphia Phillies</v>
      </c>
      <c r="I5127" s="60">
        <f t="shared" si="442"/>
        <v>7</v>
      </c>
      <c r="J5127" t="str">
        <f t="shared" si="443"/>
        <v>Cincinnati Reds</v>
      </c>
      <c r="K5127" s="60">
        <f t="shared" si="444"/>
        <v>1</v>
      </c>
      <c r="L5127">
        <f t="shared" si="445"/>
        <v>6</v>
      </c>
    </row>
    <row r="5128" spans="1:12" x14ac:dyDescent="0.25">
      <c r="G5128" t="str">
        <f t="shared" si="446"/>
        <v>09/02/19</v>
      </c>
      <c r="H5128" t="str">
        <f t="shared" si="441"/>
        <v/>
      </c>
      <c r="I5128" s="60" t="str">
        <f t="shared" si="442"/>
        <v/>
      </c>
      <c r="J5128" t="str">
        <f t="shared" si="443"/>
        <v/>
      </c>
      <c r="K5128" s="60" t="str">
        <f t="shared" si="444"/>
        <v/>
      </c>
      <c r="L5128" t="str">
        <f t="shared" si="445"/>
        <v/>
      </c>
    </row>
    <row r="5129" spans="1:12" x14ac:dyDescent="0.25">
      <c r="A5129" t="s">
        <v>4264</v>
      </c>
      <c r="G5129" t="str">
        <f t="shared" si="446"/>
        <v>09/02/19</v>
      </c>
      <c r="H5129" t="str">
        <f t="shared" si="441"/>
        <v>Chicago White Sox</v>
      </c>
      <c r="I5129" s="60">
        <f t="shared" si="442"/>
        <v>3</v>
      </c>
      <c r="J5129" t="str">
        <f t="shared" si="443"/>
        <v>Cleveland Indians</v>
      </c>
      <c r="K5129" s="60">
        <f t="shared" si="444"/>
        <v>11</v>
      </c>
      <c r="L5129">
        <f t="shared" si="445"/>
        <v>-8</v>
      </c>
    </row>
    <row r="5130" spans="1:12" x14ac:dyDescent="0.25">
      <c r="G5130" t="str">
        <f t="shared" si="446"/>
        <v>09/02/19</v>
      </c>
      <c r="H5130" t="str">
        <f t="shared" si="441"/>
        <v/>
      </c>
      <c r="I5130" s="60" t="str">
        <f t="shared" si="442"/>
        <v/>
      </c>
      <c r="J5130" t="str">
        <f t="shared" si="443"/>
        <v/>
      </c>
      <c r="K5130" s="60" t="str">
        <f t="shared" si="444"/>
        <v/>
      </c>
      <c r="L5130" t="str">
        <f t="shared" si="445"/>
        <v/>
      </c>
    </row>
    <row r="5131" spans="1:12" x14ac:dyDescent="0.25">
      <c r="A5131" t="s">
        <v>4265</v>
      </c>
      <c r="G5131" t="str">
        <f t="shared" si="446"/>
        <v>09/02/19</v>
      </c>
      <c r="H5131" t="str">
        <f t="shared" si="441"/>
        <v>Minnesota Twins</v>
      </c>
      <c r="I5131" s="60">
        <f t="shared" si="442"/>
        <v>4</v>
      </c>
      <c r="J5131" t="str">
        <f t="shared" si="443"/>
        <v>Detroit Tigers</v>
      </c>
      <c r="K5131" s="60">
        <f t="shared" si="444"/>
        <v>3</v>
      </c>
      <c r="L5131">
        <f t="shared" si="445"/>
        <v>1</v>
      </c>
    </row>
    <row r="5132" spans="1:12" x14ac:dyDescent="0.25">
      <c r="G5132" t="str">
        <f t="shared" si="446"/>
        <v>09/02/19</v>
      </c>
      <c r="H5132" t="str">
        <f t="shared" si="441"/>
        <v/>
      </c>
      <c r="I5132" s="60" t="str">
        <f t="shared" si="442"/>
        <v/>
      </c>
      <c r="J5132" t="str">
        <f t="shared" si="443"/>
        <v/>
      </c>
      <c r="K5132" s="60" t="str">
        <f t="shared" si="444"/>
        <v/>
      </c>
      <c r="L5132" t="str">
        <f t="shared" si="445"/>
        <v/>
      </c>
    </row>
    <row r="5133" spans="1:12" x14ac:dyDescent="0.25">
      <c r="A5133" t="s">
        <v>4266</v>
      </c>
      <c r="G5133" t="str">
        <f t="shared" si="446"/>
        <v>09/02/19</v>
      </c>
      <c r="H5133" t="str">
        <f t="shared" si="441"/>
        <v>Colorado Rockies</v>
      </c>
      <c r="I5133" s="60">
        <f t="shared" si="442"/>
        <v>9</v>
      </c>
      <c r="J5133" t="str">
        <f t="shared" si="443"/>
        <v>Los Angeles Dodgers</v>
      </c>
      <c r="K5133" s="60">
        <f t="shared" si="444"/>
        <v>16</v>
      </c>
      <c r="L5133">
        <f t="shared" si="445"/>
        <v>-7</v>
      </c>
    </row>
    <row r="5134" spans="1:12" x14ac:dyDescent="0.25">
      <c r="G5134" t="str">
        <f t="shared" si="446"/>
        <v>09/02/19</v>
      </c>
      <c r="H5134" t="str">
        <f t="shared" si="441"/>
        <v/>
      </c>
      <c r="I5134" s="60" t="str">
        <f t="shared" si="442"/>
        <v/>
      </c>
      <c r="J5134" t="str">
        <f t="shared" si="443"/>
        <v/>
      </c>
      <c r="K5134" s="60" t="str">
        <f t="shared" si="444"/>
        <v/>
      </c>
      <c r="L5134" t="str">
        <f t="shared" si="445"/>
        <v/>
      </c>
    </row>
    <row r="5135" spans="1:12" x14ac:dyDescent="0.25">
      <c r="A5135" t="s">
        <v>4267</v>
      </c>
      <c r="G5135" t="str">
        <f t="shared" si="446"/>
        <v>09/02/19</v>
      </c>
      <c r="H5135" t="str">
        <f t="shared" si="441"/>
        <v>Houston Astros</v>
      </c>
      <c r="I5135" s="60">
        <f t="shared" si="442"/>
        <v>3</v>
      </c>
      <c r="J5135" t="str">
        <f t="shared" si="443"/>
        <v>Milwaukee Brewers</v>
      </c>
      <c r="K5135" s="60">
        <f t="shared" si="444"/>
        <v>2</v>
      </c>
      <c r="L5135">
        <f t="shared" si="445"/>
        <v>1</v>
      </c>
    </row>
    <row r="5136" spans="1:12" x14ac:dyDescent="0.25">
      <c r="G5136" t="str">
        <f t="shared" si="446"/>
        <v>09/02/19</v>
      </c>
      <c r="H5136" t="str">
        <f t="shared" ref="H5136:H5199" si="447">IFERROR(LEFT(MID(A5136,1,SEARCH("@",A5136)-2),SEARCH("(",A5136)-2),"")</f>
        <v/>
      </c>
      <c r="I5136" s="60" t="str">
        <f t="shared" ref="I5136:I5199" si="448">IFERROR(VALUE(MID(A5136,SEARCH("(",A5136)+1,SEARCH(")",A5136)-SEARCH("(",A5136)-1)),"")</f>
        <v/>
      </c>
      <c r="J5136" t="str">
        <f t="shared" ref="J5136:J5199" si="449">IFERROR(MID(A5136,SEARCH("@",A5136)+2,SEARCH("(",A5136,SEARCH("@",A5136))-SEARCH("@",A5136)-3),"")</f>
        <v/>
      </c>
      <c r="K5136" s="60" t="str">
        <f t="shared" ref="K5136:K5199" si="450">IFERROR(VALUE(MID(A5136,SEARCH(J5136,A5136)+LEN(J5136)+2,(SEARCH(")",A5136,SEARCH("@",A5136))-SEARCH("(",A5136,SEARCH("@",A5136))-1))),"")</f>
        <v/>
      </c>
      <c r="L5136" t="str">
        <f t="shared" ref="L5136:L5199" si="451">IFERROR(I5136-K5136,"")</f>
        <v/>
      </c>
    </row>
    <row r="5137" spans="1:12" x14ac:dyDescent="0.25">
      <c r="A5137" t="s">
        <v>4268</v>
      </c>
      <c r="G5137" t="str">
        <f t="shared" si="446"/>
        <v>09/02/19</v>
      </c>
      <c r="H5137" t="str">
        <f t="shared" si="447"/>
        <v>Texas Rangers</v>
      </c>
      <c r="I5137" s="60">
        <f t="shared" si="448"/>
        <v>7</v>
      </c>
      <c r="J5137" t="str">
        <f t="shared" si="449"/>
        <v>New York Yankees</v>
      </c>
      <c r="K5137" s="60">
        <f t="shared" si="450"/>
        <v>0</v>
      </c>
      <c r="L5137">
        <f t="shared" si="451"/>
        <v>7</v>
      </c>
    </row>
    <row r="5138" spans="1:12" x14ac:dyDescent="0.25">
      <c r="G5138" t="str">
        <f t="shared" si="446"/>
        <v>09/02/19</v>
      </c>
      <c r="H5138" t="str">
        <f t="shared" si="447"/>
        <v/>
      </c>
      <c r="I5138" s="60" t="str">
        <f t="shared" si="448"/>
        <v/>
      </c>
      <c r="J5138" t="str">
        <f t="shared" si="449"/>
        <v/>
      </c>
      <c r="K5138" s="60" t="str">
        <f t="shared" si="450"/>
        <v/>
      </c>
      <c r="L5138" t="str">
        <f t="shared" si="451"/>
        <v/>
      </c>
    </row>
    <row r="5139" spans="1:12" x14ac:dyDescent="0.25">
      <c r="A5139" t="s">
        <v>4269</v>
      </c>
      <c r="G5139" t="str">
        <f t="shared" si="446"/>
        <v>09/02/19</v>
      </c>
      <c r="H5139" t="str">
        <f t="shared" si="447"/>
        <v>San Francisco Giants</v>
      </c>
      <c r="I5139" s="60">
        <f t="shared" si="448"/>
        <v>1</v>
      </c>
      <c r="J5139" t="str">
        <f t="shared" si="449"/>
        <v>St. Louis Cardinals</v>
      </c>
      <c r="K5139" s="60">
        <f t="shared" si="450"/>
        <v>3</v>
      </c>
      <c r="L5139">
        <f t="shared" si="451"/>
        <v>-2</v>
      </c>
    </row>
    <row r="5140" spans="1:12" x14ac:dyDescent="0.25">
      <c r="G5140" t="str">
        <f t="shared" si="446"/>
        <v>09/02/19</v>
      </c>
      <c r="H5140" t="str">
        <f t="shared" si="447"/>
        <v/>
      </c>
      <c r="I5140" s="60" t="str">
        <f t="shared" si="448"/>
        <v/>
      </c>
      <c r="J5140" t="str">
        <f t="shared" si="449"/>
        <v/>
      </c>
      <c r="K5140" s="60" t="str">
        <f t="shared" si="450"/>
        <v/>
      </c>
      <c r="L5140" t="str">
        <f t="shared" si="451"/>
        <v/>
      </c>
    </row>
    <row r="5141" spans="1:12" x14ac:dyDescent="0.25">
      <c r="A5141" t="s">
        <v>4270</v>
      </c>
      <c r="G5141" t="str">
        <f t="shared" si="446"/>
        <v>09/02/19</v>
      </c>
      <c r="H5141" t="str">
        <f t="shared" si="447"/>
        <v>Baltimore Orioles</v>
      </c>
      <c r="I5141" s="60">
        <f t="shared" si="448"/>
        <v>4</v>
      </c>
      <c r="J5141" t="str">
        <f t="shared" si="449"/>
        <v>Tampa Bay Rays</v>
      </c>
      <c r="K5141" s="60">
        <f t="shared" si="450"/>
        <v>5</v>
      </c>
      <c r="L5141">
        <f t="shared" si="451"/>
        <v>-1</v>
      </c>
    </row>
    <row r="5142" spans="1:12" x14ac:dyDescent="0.25">
      <c r="G5142" t="str">
        <f t="shared" si="446"/>
        <v>09/02/19</v>
      </c>
      <c r="H5142" t="str">
        <f t="shared" si="447"/>
        <v/>
      </c>
      <c r="I5142" s="60" t="str">
        <f t="shared" si="448"/>
        <v/>
      </c>
      <c r="J5142" t="str">
        <f t="shared" si="449"/>
        <v/>
      </c>
      <c r="K5142" s="60" t="str">
        <f t="shared" si="450"/>
        <v/>
      </c>
      <c r="L5142" t="str">
        <f t="shared" si="451"/>
        <v/>
      </c>
    </row>
    <row r="5143" spans="1:12" x14ac:dyDescent="0.25">
      <c r="A5143" t="s">
        <v>4271</v>
      </c>
      <c r="G5143" t="str">
        <f t="shared" si="446"/>
        <v>09/02/19</v>
      </c>
      <c r="H5143" t="str">
        <f t="shared" si="447"/>
        <v>New York Mets</v>
      </c>
      <c r="I5143" s="60">
        <f t="shared" si="448"/>
        <v>7</v>
      </c>
      <c r="J5143" t="str">
        <f t="shared" si="449"/>
        <v>Washington Nationals</v>
      </c>
      <c r="K5143" s="60">
        <f t="shared" si="450"/>
        <v>3</v>
      </c>
      <c r="L5143">
        <f t="shared" si="451"/>
        <v>4</v>
      </c>
    </row>
    <row r="5144" spans="1:12" x14ac:dyDescent="0.25">
      <c r="G5144" t="str">
        <f t="shared" si="446"/>
        <v>09/02/19</v>
      </c>
      <c r="H5144" t="str">
        <f t="shared" si="447"/>
        <v/>
      </c>
      <c r="I5144" s="60" t="str">
        <f t="shared" si="448"/>
        <v/>
      </c>
      <c r="J5144" t="str">
        <f t="shared" si="449"/>
        <v/>
      </c>
      <c r="K5144" s="60" t="str">
        <f t="shared" si="450"/>
        <v/>
      </c>
      <c r="L5144" t="str">
        <f t="shared" si="451"/>
        <v/>
      </c>
    </row>
    <row r="5145" spans="1:12" x14ac:dyDescent="0.25">
      <c r="A5145" t="s">
        <v>4272</v>
      </c>
      <c r="G5145" t="str">
        <f t="shared" si="446"/>
        <v>09/02/19</v>
      </c>
      <c r="H5145" t="str">
        <f t="shared" si="447"/>
        <v/>
      </c>
      <c r="I5145" s="60" t="str">
        <f t="shared" si="448"/>
        <v/>
      </c>
      <c r="J5145" t="str">
        <f t="shared" si="449"/>
        <v/>
      </c>
      <c r="K5145" s="60" t="str">
        <f t="shared" si="450"/>
        <v/>
      </c>
      <c r="L5145" t="str">
        <f t="shared" si="451"/>
        <v/>
      </c>
    </row>
    <row r="5146" spans="1:12" x14ac:dyDescent="0.25">
      <c r="G5146" t="str">
        <f t="shared" si="446"/>
        <v>09/02/19</v>
      </c>
      <c r="H5146" t="str">
        <f t="shared" si="447"/>
        <v/>
      </c>
      <c r="I5146" s="60" t="str">
        <f t="shared" si="448"/>
        <v/>
      </c>
      <c r="J5146" t="str">
        <f t="shared" si="449"/>
        <v/>
      </c>
      <c r="K5146" s="60" t="str">
        <f t="shared" si="450"/>
        <v/>
      </c>
      <c r="L5146" t="str">
        <f t="shared" si="451"/>
        <v/>
      </c>
    </row>
    <row r="5147" spans="1:12" x14ac:dyDescent="0.25">
      <c r="A5147" t="s">
        <v>3302</v>
      </c>
      <c r="G5147" t="str">
        <f t="shared" si="446"/>
        <v>09/03/19</v>
      </c>
      <c r="H5147" t="str">
        <f t="shared" si="447"/>
        <v/>
      </c>
      <c r="I5147" s="60" t="str">
        <f t="shared" si="448"/>
        <v/>
      </c>
      <c r="J5147" t="str">
        <f t="shared" si="449"/>
        <v/>
      </c>
      <c r="K5147" s="60" t="str">
        <f t="shared" si="450"/>
        <v/>
      </c>
      <c r="L5147" t="str">
        <f t="shared" si="451"/>
        <v/>
      </c>
    </row>
    <row r="5148" spans="1:12" x14ac:dyDescent="0.25">
      <c r="G5148" t="str">
        <f t="shared" si="446"/>
        <v>09/03/19</v>
      </c>
      <c r="H5148" t="str">
        <f t="shared" si="447"/>
        <v/>
      </c>
      <c r="I5148" s="60" t="str">
        <f t="shared" si="448"/>
        <v/>
      </c>
      <c r="J5148" t="str">
        <f t="shared" si="449"/>
        <v/>
      </c>
      <c r="K5148" s="60" t="str">
        <f t="shared" si="450"/>
        <v/>
      </c>
      <c r="L5148" t="str">
        <f t="shared" si="451"/>
        <v/>
      </c>
    </row>
    <row r="5149" spans="1:12" x14ac:dyDescent="0.25">
      <c r="A5149" t="s">
        <v>4273</v>
      </c>
      <c r="G5149" t="str">
        <f t="shared" si="446"/>
        <v>09/03/19</v>
      </c>
      <c r="H5149" t="str">
        <f t="shared" si="447"/>
        <v>San Diego Padres</v>
      </c>
      <c r="I5149" s="60">
        <f t="shared" si="448"/>
        <v>1</v>
      </c>
      <c r="J5149" t="str">
        <f t="shared" si="449"/>
        <v>Arizona D'Backs</v>
      </c>
      <c r="K5149" s="60">
        <f t="shared" si="450"/>
        <v>2</v>
      </c>
      <c r="L5149">
        <f t="shared" si="451"/>
        <v>-1</v>
      </c>
    </row>
    <row r="5150" spans="1:12" x14ac:dyDescent="0.25">
      <c r="G5150" t="str">
        <f t="shared" si="446"/>
        <v>09/03/19</v>
      </c>
      <c r="H5150" t="str">
        <f t="shared" si="447"/>
        <v/>
      </c>
      <c r="I5150" s="60" t="str">
        <f t="shared" si="448"/>
        <v/>
      </c>
      <c r="J5150" t="str">
        <f t="shared" si="449"/>
        <v/>
      </c>
      <c r="K5150" s="60" t="str">
        <f t="shared" si="450"/>
        <v/>
      </c>
      <c r="L5150" t="str">
        <f t="shared" si="451"/>
        <v/>
      </c>
    </row>
    <row r="5151" spans="1:12" x14ac:dyDescent="0.25">
      <c r="A5151" t="s">
        <v>4274</v>
      </c>
      <c r="G5151" t="str">
        <f t="shared" si="446"/>
        <v>09/03/19</v>
      </c>
      <c r="H5151" t="str">
        <f t="shared" si="447"/>
        <v>Toronto Blue Jays</v>
      </c>
      <c r="I5151" s="60">
        <f t="shared" si="448"/>
        <v>2</v>
      </c>
      <c r="J5151" t="str">
        <f t="shared" si="449"/>
        <v>Atlanta Braves</v>
      </c>
      <c r="K5151" s="60">
        <f t="shared" si="450"/>
        <v>7</v>
      </c>
      <c r="L5151">
        <f t="shared" si="451"/>
        <v>-5</v>
      </c>
    </row>
    <row r="5152" spans="1:12" x14ac:dyDescent="0.25">
      <c r="G5152" t="str">
        <f t="shared" si="446"/>
        <v>09/03/19</v>
      </c>
      <c r="H5152" t="str">
        <f t="shared" si="447"/>
        <v/>
      </c>
      <c r="I5152" s="60" t="str">
        <f t="shared" si="448"/>
        <v/>
      </c>
      <c r="J5152" t="str">
        <f t="shared" si="449"/>
        <v/>
      </c>
      <c r="K5152" s="60" t="str">
        <f t="shared" si="450"/>
        <v/>
      </c>
      <c r="L5152" t="str">
        <f t="shared" si="451"/>
        <v/>
      </c>
    </row>
    <row r="5153" spans="1:12" x14ac:dyDescent="0.25">
      <c r="A5153" t="s">
        <v>4275</v>
      </c>
      <c r="G5153" t="str">
        <f t="shared" si="446"/>
        <v>09/03/19</v>
      </c>
      <c r="H5153" t="str">
        <f t="shared" si="447"/>
        <v>Minnesota Twins</v>
      </c>
      <c r="I5153" s="60">
        <f t="shared" si="448"/>
        <v>6</v>
      </c>
      <c r="J5153" t="str">
        <f t="shared" si="449"/>
        <v>Boston Red Sox</v>
      </c>
      <c r="K5153" s="60">
        <f t="shared" si="450"/>
        <v>5</v>
      </c>
      <c r="L5153">
        <f t="shared" si="451"/>
        <v>1</v>
      </c>
    </row>
    <row r="5154" spans="1:12" x14ac:dyDescent="0.25">
      <c r="G5154" t="str">
        <f t="shared" ref="G5154:G5217" si="452">IF(ISNUMBER(MATCH(IFERROR(LEFT(A5154,SEARCH(",",A5154)-1),""),$G$220:$M$220,0)),TEXT(MID(A5154,SEARCH(",",A5154)+2,LEN(A5154)),"mm/dd/yy"),G5153)</f>
        <v>09/03/19</v>
      </c>
      <c r="H5154" t="str">
        <f t="shared" si="447"/>
        <v/>
      </c>
      <c r="I5154" s="60" t="str">
        <f t="shared" si="448"/>
        <v/>
      </c>
      <c r="J5154" t="str">
        <f t="shared" si="449"/>
        <v/>
      </c>
      <c r="K5154" s="60" t="str">
        <f t="shared" si="450"/>
        <v/>
      </c>
      <c r="L5154" t="str">
        <f t="shared" si="451"/>
        <v/>
      </c>
    </row>
    <row r="5155" spans="1:12" x14ac:dyDescent="0.25">
      <c r="A5155" t="s">
        <v>4276</v>
      </c>
      <c r="G5155" t="str">
        <f t="shared" si="452"/>
        <v>09/03/19</v>
      </c>
      <c r="H5155" t="str">
        <f t="shared" si="447"/>
        <v>Seattle Mariners</v>
      </c>
      <c r="I5155" s="60">
        <f t="shared" si="448"/>
        <v>1</v>
      </c>
      <c r="J5155" t="str">
        <f t="shared" si="449"/>
        <v>Chicago Cubs</v>
      </c>
      <c r="K5155" s="60">
        <f t="shared" si="450"/>
        <v>6</v>
      </c>
      <c r="L5155">
        <f t="shared" si="451"/>
        <v>-5</v>
      </c>
    </row>
    <row r="5156" spans="1:12" x14ac:dyDescent="0.25">
      <c r="G5156" t="str">
        <f t="shared" si="452"/>
        <v>09/03/19</v>
      </c>
      <c r="H5156" t="str">
        <f t="shared" si="447"/>
        <v/>
      </c>
      <c r="I5156" s="60" t="str">
        <f t="shared" si="448"/>
        <v/>
      </c>
      <c r="J5156" t="str">
        <f t="shared" si="449"/>
        <v/>
      </c>
      <c r="K5156" s="60" t="str">
        <f t="shared" si="450"/>
        <v/>
      </c>
      <c r="L5156" t="str">
        <f t="shared" si="451"/>
        <v/>
      </c>
    </row>
    <row r="5157" spans="1:12" x14ac:dyDescent="0.25">
      <c r="A5157" t="s">
        <v>4277</v>
      </c>
      <c r="G5157" t="str">
        <f t="shared" si="452"/>
        <v>09/03/19</v>
      </c>
      <c r="H5157" t="str">
        <f t="shared" si="447"/>
        <v>Philadelphia Phillies</v>
      </c>
      <c r="I5157" s="60">
        <f t="shared" si="448"/>
        <v>6</v>
      </c>
      <c r="J5157" t="str">
        <f t="shared" si="449"/>
        <v>Cincinnati Reds</v>
      </c>
      <c r="K5157" s="60">
        <f t="shared" si="450"/>
        <v>2</v>
      </c>
      <c r="L5157">
        <f t="shared" si="451"/>
        <v>4</v>
      </c>
    </row>
    <row r="5158" spans="1:12" x14ac:dyDescent="0.25">
      <c r="G5158" t="str">
        <f t="shared" si="452"/>
        <v>09/03/19</v>
      </c>
      <c r="H5158" t="str">
        <f t="shared" si="447"/>
        <v/>
      </c>
      <c r="I5158" s="60" t="str">
        <f t="shared" si="448"/>
        <v/>
      </c>
      <c r="J5158" t="str">
        <f t="shared" si="449"/>
        <v/>
      </c>
      <c r="K5158" s="60" t="str">
        <f t="shared" si="450"/>
        <v/>
      </c>
      <c r="L5158" t="str">
        <f t="shared" si="451"/>
        <v/>
      </c>
    </row>
    <row r="5159" spans="1:12" x14ac:dyDescent="0.25">
      <c r="A5159" t="s">
        <v>4278</v>
      </c>
      <c r="G5159" t="str">
        <f t="shared" si="452"/>
        <v>09/03/19</v>
      </c>
      <c r="H5159" t="str">
        <f t="shared" si="447"/>
        <v>Chicago White Sox</v>
      </c>
      <c r="I5159" s="60">
        <f t="shared" si="448"/>
        <v>6</v>
      </c>
      <c r="J5159" t="str">
        <f t="shared" si="449"/>
        <v>Cleveland Indians</v>
      </c>
      <c r="K5159" s="60">
        <f t="shared" si="450"/>
        <v>5</v>
      </c>
      <c r="L5159">
        <f t="shared" si="451"/>
        <v>1</v>
      </c>
    </row>
    <row r="5160" spans="1:12" x14ac:dyDescent="0.25">
      <c r="G5160" t="str">
        <f t="shared" si="452"/>
        <v>09/03/19</v>
      </c>
      <c r="H5160" t="str">
        <f t="shared" si="447"/>
        <v/>
      </c>
      <c r="I5160" s="60" t="str">
        <f t="shared" si="448"/>
        <v/>
      </c>
      <c r="J5160" t="str">
        <f t="shared" si="449"/>
        <v/>
      </c>
      <c r="K5160" s="60" t="str">
        <f t="shared" si="450"/>
        <v/>
      </c>
      <c r="L5160" t="str">
        <f t="shared" si="451"/>
        <v/>
      </c>
    </row>
    <row r="5161" spans="1:12" x14ac:dyDescent="0.25">
      <c r="A5161" t="s">
        <v>4279</v>
      </c>
      <c r="G5161" t="str">
        <f t="shared" si="452"/>
        <v>09/03/19</v>
      </c>
      <c r="H5161" t="str">
        <f t="shared" si="447"/>
        <v>Detroit Tigers</v>
      </c>
      <c r="I5161" s="60">
        <f t="shared" si="448"/>
        <v>5</v>
      </c>
      <c r="J5161" t="str">
        <f t="shared" si="449"/>
        <v>Kansas City Royals</v>
      </c>
      <c r="K5161" s="60">
        <f t="shared" si="450"/>
        <v>6</v>
      </c>
      <c r="L5161">
        <f t="shared" si="451"/>
        <v>-1</v>
      </c>
    </row>
    <row r="5162" spans="1:12" x14ac:dyDescent="0.25">
      <c r="G5162" t="str">
        <f t="shared" si="452"/>
        <v>09/03/19</v>
      </c>
      <c r="H5162" t="str">
        <f t="shared" si="447"/>
        <v/>
      </c>
      <c r="I5162" s="60" t="str">
        <f t="shared" si="448"/>
        <v/>
      </c>
      <c r="J5162" t="str">
        <f t="shared" si="449"/>
        <v/>
      </c>
      <c r="K5162" s="60" t="str">
        <f t="shared" si="450"/>
        <v/>
      </c>
      <c r="L5162" t="str">
        <f t="shared" si="451"/>
        <v/>
      </c>
    </row>
    <row r="5163" spans="1:12" x14ac:dyDescent="0.25">
      <c r="A5163" t="s">
        <v>4280</v>
      </c>
      <c r="G5163" t="str">
        <f t="shared" si="452"/>
        <v>09/03/19</v>
      </c>
      <c r="H5163" t="str">
        <f t="shared" si="447"/>
        <v>Colorado Rockies</v>
      </c>
      <c r="I5163" s="60">
        <f t="shared" si="448"/>
        <v>3</v>
      </c>
      <c r="J5163" t="str">
        <f t="shared" si="449"/>
        <v>Los Angeles Dodgers</v>
      </c>
      <c r="K5163" s="60">
        <f t="shared" si="450"/>
        <v>5</v>
      </c>
      <c r="L5163">
        <f t="shared" si="451"/>
        <v>-2</v>
      </c>
    </row>
    <row r="5164" spans="1:12" x14ac:dyDescent="0.25">
      <c r="G5164" t="str">
        <f t="shared" si="452"/>
        <v>09/03/19</v>
      </c>
      <c r="H5164" t="str">
        <f t="shared" si="447"/>
        <v/>
      </c>
      <c r="I5164" s="60" t="str">
        <f t="shared" si="448"/>
        <v/>
      </c>
      <c r="J5164" t="str">
        <f t="shared" si="449"/>
        <v/>
      </c>
      <c r="K5164" s="60" t="str">
        <f t="shared" si="450"/>
        <v/>
      </c>
      <c r="L5164" t="str">
        <f t="shared" si="451"/>
        <v/>
      </c>
    </row>
    <row r="5165" spans="1:12" x14ac:dyDescent="0.25">
      <c r="A5165" t="s">
        <v>4281</v>
      </c>
      <c r="G5165" t="str">
        <f t="shared" si="452"/>
        <v>09/03/19</v>
      </c>
      <c r="H5165" t="str">
        <f t="shared" si="447"/>
        <v>Houston Astros</v>
      </c>
      <c r="I5165" s="60">
        <f t="shared" si="448"/>
        <v>2</v>
      </c>
      <c r="J5165" t="str">
        <f t="shared" si="449"/>
        <v>Milwaukee Brewers</v>
      </c>
      <c r="K5165" s="60">
        <f t="shared" si="450"/>
        <v>4</v>
      </c>
      <c r="L5165">
        <f t="shared" si="451"/>
        <v>-2</v>
      </c>
    </row>
    <row r="5166" spans="1:12" x14ac:dyDescent="0.25">
      <c r="G5166" t="str">
        <f t="shared" si="452"/>
        <v>09/03/19</v>
      </c>
      <c r="H5166" t="str">
        <f t="shared" si="447"/>
        <v/>
      </c>
      <c r="I5166" s="60" t="str">
        <f t="shared" si="448"/>
        <v/>
      </c>
      <c r="J5166" t="str">
        <f t="shared" si="449"/>
        <v/>
      </c>
      <c r="K5166" s="60" t="str">
        <f t="shared" si="450"/>
        <v/>
      </c>
      <c r="L5166" t="str">
        <f t="shared" si="451"/>
        <v/>
      </c>
    </row>
    <row r="5167" spans="1:12" x14ac:dyDescent="0.25">
      <c r="A5167" t="s">
        <v>4282</v>
      </c>
      <c r="G5167" t="str">
        <f t="shared" si="452"/>
        <v>09/03/19</v>
      </c>
      <c r="H5167" t="str">
        <f t="shared" si="447"/>
        <v>Texas Rangers</v>
      </c>
      <c r="I5167" s="60">
        <f t="shared" si="448"/>
        <v>1</v>
      </c>
      <c r="J5167" t="str">
        <f t="shared" si="449"/>
        <v>New York Yankees</v>
      </c>
      <c r="K5167" s="60">
        <f t="shared" si="450"/>
        <v>10</v>
      </c>
      <c r="L5167">
        <f t="shared" si="451"/>
        <v>-9</v>
      </c>
    </row>
    <row r="5168" spans="1:12" x14ac:dyDescent="0.25">
      <c r="G5168" t="str">
        <f t="shared" si="452"/>
        <v>09/03/19</v>
      </c>
      <c r="H5168" t="str">
        <f t="shared" si="447"/>
        <v/>
      </c>
      <c r="I5168" s="60" t="str">
        <f t="shared" si="448"/>
        <v/>
      </c>
      <c r="J5168" t="str">
        <f t="shared" si="449"/>
        <v/>
      </c>
      <c r="K5168" s="60" t="str">
        <f t="shared" si="450"/>
        <v/>
      </c>
      <c r="L5168" t="str">
        <f t="shared" si="451"/>
        <v/>
      </c>
    </row>
    <row r="5169" spans="1:12" x14ac:dyDescent="0.25">
      <c r="A5169" t="s">
        <v>4283</v>
      </c>
      <c r="G5169" t="str">
        <f t="shared" si="452"/>
        <v>09/03/19</v>
      </c>
      <c r="H5169" t="str">
        <f t="shared" si="447"/>
        <v>Los Angeles Angels</v>
      </c>
      <c r="I5169" s="60">
        <f t="shared" si="448"/>
        <v>5</v>
      </c>
      <c r="J5169" t="str">
        <f t="shared" si="449"/>
        <v>Oakland Athletics</v>
      </c>
      <c r="K5169" s="60">
        <f t="shared" si="450"/>
        <v>7</v>
      </c>
      <c r="L5169">
        <f t="shared" si="451"/>
        <v>-2</v>
      </c>
    </row>
    <row r="5170" spans="1:12" x14ac:dyDescent="0.25">
      <c r="G5170" t="str">
        <f t="shared" si="452"/>
        <v>09/03/19</v>
      </c>
      <c r="H5170" t="str">
        <f t="shared" si="447"/>
        <v/>
      </c>
      <c r="I5170" s="60" t="str">
        <f t="shared" si="448"/>
        <v/>
      </c>
      <c r="J5170" t="str">
        <f t="shared" si="449"/>
        <v/>
      </c>
      <c r="K5170" s="60" t="str">
        <f t="shared" si="450"/>
        <v/>
      </c>
      <c r="L5170" t="str">
        <f t="shared" si="451"/>
        <v/>
      </c>
    </row>
    <row r="5171" spans="1:12" x14ac:dyDescent="0.25">
      <c r="A5171" t="s">
        <v>4284</v>
      </c>
      <c r="G5171" t="str">
        <f t="shared" si="452"/>
        <v>09/03/19</v>
      </c>
      <c r="H5171" t="str">
        <f t="shared" si="447"/>
        <v>Miami Marlins</v>
      </c>
      <c r="I5171" s="60">
        <f t="shared" si="448"/>
        <v>5</v>
      </c>
      <c r="J5171" t="str">
        <f t="shared" si="449"/>
        <v>Pittsburgh Pirates</v>
      </c>
      <c r="K5171" s="60">
        <f t="shared" si="450"/>
        <v>4</v>
      </c>
      <c r="L5171">
        <f t="shared" si="451"/>
        <v>1</v>
      </c>
    </row>
    <row r="5172" spans="1:12" x14ac:dyDescent="0.25">
      <c r="G5172" t="str">
        <f t="shared" si="452"/>
        <v>09/03/19</v>
      </c>
      <c r="H5172" t="str">
        <f t="shared" si="447"/>
        <v/>
      </c>
      <c r="I5172" s="60" t="str">
        <f t="shared" si="448"/>
        <v/>
      </c>
      <c r="J5172" t="str">
        <f t="shared" si="449"/>
        <v/>
      </c>
      <c r="K5172" s="60" t="str">
        <f t="shared" si="450"/>
        <v/>
      </c>
      <c r="L5172" t="str">
        <f t="shared" si="451"/>
        <v/>
      </c>
    </row>
    <row r="5173" spans="1:12" x14ac:dyDescent="0.25">
      <c r="A5173" t="s">
        <v>4285</v>
      </c>
      <c r="G5173" t="str">
        <f t="shared" si="452"/>
        <v>09/03/19</v>
      </c>
      <c r="H5173" t="str">
        <f t="shared" si="447"/>
        <v>San Francisco Giants</v>
      </c>
      <c r="I5173" s="60">
        <f t="shared" si="448"/>
        <v>0</v>
      </c>
      <c r="J5173" t="str">
        <f t="shared" si="449"/>
        <v>St. Louis Cardinals</v>
      </c>
      <c r="K5173" s="60">
        <f t="shared" si="450"/>
        <v>1</v>
      </c>
      <c r="L5173">
        <f t="shared" si="451"/>
        <v>-1</v>
      </c>
    </row>
    <row r="5174" spans="1:12" x14ac:dyDescent="0.25">
      <c r="G5174" t="str">
        <f t="shared" si="452"/>
        <v>09/03/19</v>
      </c>
      <c r="H5174" t="str">
        <f t="shared" si="447"/>
        <v/>
      </c>
      <c r="I5174" s="60" t="str">
        <f t="shared" si="448"/>
        <v/>
      </c>
      <c r="J5174" t="str">
        <f t="shared" si="449"/>
        <v/>
      </c>
      <c r="K5174" s="60" t="str">
        <f t="shared" si="450"/>
        <v/>
      </c>
      <c r="L5174" t="str">
        <f t="shared" si="451"/>
        <v/>
      </c>
    </row>
    <row r="5175" spans="1:12" x14ac:dyDescent="0.25">
      <c r="A5175" t="s">
        <v>4286</v>
      </c>
      <c r="G5175" t="str">
        <f t="shared" si="452"/>
        <v>09/03/19</v>
      </c>
      <c r="H5175" t="str">
        <f t="shared" si="447"/>
        <v>Baltimore Orioles</v>
      </c>
      <c r="I5175" s="60">
        <f t="shared" si="448"/>
        <v>4</v>
      </c>
      <c r="J5175" t="str">
        <f t="shared" si="449"/>
        <v>Tampa Bay Rays</v>
      </c>
      <c r="K5175" s="60">
        <f t="shared" si="450"/>
        <v>2</v>
      </c>
      <c r="L5175">
        <f t="shared" si="451"/>
        <v>2</v>
      </c>
    </row>
    <row r="5176" spans="1:12" x14ac:dyDescent="0.25">
      <c r="G5176" t="str">
        <f t="shared" si="452"/>
        <v>09/03/19</v>
      </c>
      <c r="H5176" t="str">
        <f t="shared" si="447"/>
        <v/>
      </c>
      <c r="I5176" s="60" t="str">
        <f t="shared" si="448"/>
        <v/>
      </c>
      <c r="J5176" t="str">
        <f t="shared" si="449"/>
        <v/>
      </c>
      <c r="K5176" s="60" t="str">
        <f t="shared" si="450"/>
        <v/>
      </c>
      <c r="L5176" t="str">
        <f t="shared" si="451"/>
        <v/>
      </c>
    </row>
    <row r="5177" spans="1:12" x14ac:dyDescent="0.25">
      <c r="A5177" t="s">
        <v>4287</v>
      </c>
      <c r="G5177" t="str">
        <f t="shared" si="452"/>
        <v>09/03/19</v>
      </c>
      <c r="H5177" t="str">
        <f t="shared" si="447"/>
        <v>Baltimore Orioles</v>
      </c>
      <c r="I5177" s="60">
        <f t="shared" si="448"/>
        <v>0</v>
      </c>
      <c r="J5177" t="str">
        <f t="shared" si="449"/>
        <v>Tampa Bay Rays</v>
      </c>
      <c r="K5177" s="60">
        <f t="shared" si="450"/>
        <v>2</v>
      </c>
      <c r="L5177">
        <f t="shared" si="451"/>
        <v>-2</v>
      </c>
    </row>
    <row r="5178" spans="1:12" x14ac:dyDescent="0.25">
      <c r="G5178" t="str">
        <f t="shared" si="452"/>
        <v>09/03/19</v>
      </c>
      <c r="H5178" t="str">
        <f t="shared" si="447"/>
        <v/>
      </c>
      <c r="I5178" s="60" t="str">
        <f t="shared" si="448"/>
        <v/>
      </c>
      <c r="J5178" t="str">
        <f t="shared" si="449"/>
        <v/>
      </c>
      <c r="K5178" s="60" t="str">
        <f t="shared" si="450"/>
        <v/>
      </c>
      <c r="L5178" t="str">
        <f t="shared" si="451"/>
        <v/>
      </c>
    </row>
    <row r="5179" spans="1:12" x14ac:dyDescent="0.25">
      <c r="A5179" t="s">
        <v>4288</v>
      </c>
      <c r="G5179" t="str">
        <f t="shared" si="452"/>
        <v>09/03/19</v>
      </c>
      <c r="H5179" t="str">
        <f t="shared" si="447"/>
        <v>New York Mets</v>
      </c>
      <c r="I5179" s="60">
        <f t="shared" si="448"/>
        <v>10</v>
      </c>
      <c r="J5179" t="str">
        <f t="shared" si="449"/>
        <v>Washington Nationals</v>
      </c>
      <c r="K5179" s="60">
        <f t="shared" si="450"/>
        <v>11</v>
      </c>
      <c r="L5179">
        <f t="shared" si="451"/>
        <v>-1</v>
      </c>
    </row>
    <row r="5180" spans="1:12" x14ac:dyDescent="0.25">
      <c r="G5180" t="str">
        <f t="shared" si="452"/>
        <v>09/03/19</v>
      </c>
      <c r="H5180" t="str">
        <f t="shared" si="447"/>
        <v/>
      </c>
      <c r="I5180" s="60" t="str">
        <f t="shared" si="448"/>
        <v/>
      </c>
      <c r="J5180" t="str">
        <f t="shared" si="449"/>
        <v/>
      </c>
      <c r="K5180" s="60" t="str">
        <f t="shared" si="450"/>
        <v/>
      </c>
      <c r="L5180" t="str">
        <f t="shared" si="451"/>
        <v/>
      </c>
    </row>
    <row r="5181" spans="1:12" x14ac:dyDescent="0.25">
      <c r="A5181" t="s">
        <v>4289</v>
      </c>
      <c r="G5181" t="str">
        <f t="shared" si="452"/>
        <v>09/03/19</v>
      </c>
      <c r="H5181" t="str">
        <f t="shared" si="447"/>
        <v/>
      </c>
      <c r="I5181" s="60" t="str">
        <f t="shared" si="448"/>
        <v/>
      </c>
      <c r="J5181" t="str">
        <f t="shared" si="449"/>
        <v/>
      </c>
      <c r="K5181" s="60" t="str">
        <f t="shared" si="450"/>
        <v/>
      </c>
      <c r="L5181" t="str">
        <f t="shared" si="451"/>
        <v/>
      </c>
    </row>
    <row r="5182" spans="1:12" x14ac:dyDescent="0.25">
      <c r="G5182" t="str">
        <f t="shared" si="452"/>
        <v>09/03/19</v>
      </c>
      <c r="H5182" t="str">
        <f t="shared" si="447"/>
        <v/>
      </c>
      <c r="I5182" s="60" t="str">
        <f t="shared" si="448"/>
        <v/>
      </c>
      <c r="J5182" t="str">
        <f t="shared" si="449"/>
        <v/>
      </c>
      <c r="K5182" s="60" t="str">
        <f t="shared" si="450"/>
        <v/>
      </c>
      <c r="L5182" t="str">
        <f t="shared" si="451"/>
        <v/>
      </c>
    </row>
    <row r="5183" spans="1:12" x14ac:dyDescent="0.25">
      <c r="A5183" t="s">
        <v>3303</v>
      </c>
      <c r="G5183" t="str">
        <f t="shared" si="452"/>
        <v>09/04/19</v>
      </c>
      <c r="H5183" t="str">
        <f t="shared" si="447"/>
        <v/>
      </c>
      <c r="I5183" s="60" t="str">
        <f t="shared" si="448"/>
        <v/>
      </c>
      <c r="J5183" t="str">
        <f t="shared" si="449"/>
        <v/>
      </c>
      <c r="K5183" s="60" t="str">
        <f t="shared" si="450"/>
        <v/>
      </c>
      <c r="L5183" t="str">
        <f t="shared" si="451"/>
        <v/>
      </c>
    </row>
    <row r="5184" spans="1:12" x14ac:dyDescent="0.25">
      <c r="G5184" t="str">
        <f t="shared" si="452"/>
        <v>09/04/19</v>
      </c>
      <c r="H5184" t="str">
        <f t="shared" si="447"/>
        <v/>
      </c>
      <c r="I5184" s="60" t="str">
        <f t="shared" si="448"/>
        <v/>
      </c>
      <c r="J5184" t="str">
        <f t="shared" si="449"/>
        <v/>
      </c>
      <c r="K5184" s="60" t="str">
        <f t="shared" si="450"/>
        <v/>
      </c>
      <c r="L5184" t="str">
        <f t="shared" si="451"/>
        <v/>
      </c>
    </row>
    <row r="5185" spans="1:12" x14ac:dyDescent="0.25">
      <c r="A5185" t="s">
        <v>4290</v>
      </c>
      <c r="G5185" t="str">
        <f t="shared" si="452"/>
        <v>09/04/19</v>
      </c>
      <c r="H5185" t="str">
        <f t="shared" si="447"/>
        <v>San Diego Padres</v>
      </c>
      <c r="I5185" s="60">
        <f t="shared" si="448"/>
        <v>1</v>
      </c>
      <c r="J5185" t="str">
        <f t="shared" si="449"/>
        <v>Arizona D'Backs</v>
      </c>
      <c r="K5185" s="60">
        <f t="shared" si="450"/>
        <v>4</v>
      </c>
      <c r="L5185">
        <f t="shared" si="451"/>
        <v>-3</v>
      </c>
    </row>
    <row r="5186" spans="1:12" x14ac:dyDescent="0.25">
      <c r="G5186" t="str">
        <f t="shared" si="452"/>
        <v>09/04/19</v>
      </c>
      <c r="H5186" t="str">
        <f t="shared" si="447"/>
        <v/>
      </c>
      <c r="I5186" s="60" t="str">
        <f t="shared" si="448"/>
        <v/>
      </c>
      <c r="J5186" t="str">
        <f t="shared" si="449"/>
        <v/>
      </c>
      <c r="K5186" s="60" t="str">
        <f t="shared" si="450"/>
        <v/>
      </c>
      <c r="L5186" t="str">
        <f t="shared" si="451"/>
        <v/>
      </c>
    </row>
    <row r="5187" spans="1:12" x14ac:dyDescent="0.25">
      <c r="A5187" t="s">
        <v>4291</v>
      </c>
      <c r="G5187" t="str">
        <f t="shared" si="452"/>
        <v>09/04/19</v>
      </c>
      <c r="H5187" t="str">
        <f t="shared" si="447"/>
        <v>Minnesota Twins</v>
      </c>
      <c r="I5187" s="60">
        <f t="shared" si="448"/>
        <v>2</v>
      </c>
      <c r="J5187" t="str">
        <f t="shared" si="449"/>
        <v>Boston Red Sox</v>
      </c>
      <c r="K5187" s="60">
        <f t="shared" si="450"/>
        <v>6</v>
      </c>
      <c r="L5187">
        <f t="shared" si="451"/>
        <v>-4</v>
      </c>
    </row>
    <row r="5188" spans="1:12" x14ac:dyDescent="0.25">
      <c r="G5188" t="str">
        <f t="shared" si="452"/>
        <v>09/04/19</v>
      </c>
      <c r="H5188" t="str">
        <f t="shared" si="447"/>
        <v/>
      </c>
      <c r="I5188" s="60" t="str">
        <f t="shared" si="448"/>
        <v/>
      </c>
      <c r="J5188" t="str">
        <f t="shared" si="449"/>
        <v/>
      </c>
      <c r="K5188" s="60" t="str">
        <f t="shared" si="450"/>
        <v/>
      </c>
      <c r="L5188" t="str">
        <f t="shared" si="451"/>
        <v/>
      </c>
    </row>
    <row r="5189" spans="1:12" x14ac:dyDescent="0.25">
      <c r="A5189" t="s">
        <v>4292</v>
      </c>
      <c r="G5189" t="str">
        <f t="shared" si="452"/>
        <v>09/04/19</v>
      </c>
      <c r="H5189" t="str">
        <f t="shared" si="447"/>
        <v>Philadelphia Phillies</v>
      </c>
      <c r="I5189" s="60">
        <f t="shared" si="448"/>
        <v>5</v>
      </c>
      <c r="J5189" t="str">
        <f t="shared" si="449"/>
        <v>Cincinnati Reds</v>
      </c>
      <c r="K5189" s="60">
        <f t="shared" si="450"/>
        <v>8</v>
      </c>
      <c r="L5189">
        <f t="shared" si="451"/>
        <v>-3</v>
      </c>
    </row>
    <row r="5190" spans="1:12" x14ac:dyDescent="0.25">
      <c r="G5190" t="str">
        <f t="shared" si="452"/>
        <v>09/04/19</v>
      </c>
      <c r="H5190" t="str">
        <f t="shared" si="447"/>
        <v/>
      </c>
      <c r="I5190" s="60" t="str">
        <f t="shared" si="448"/>
        <v/>
      </c>
      <c r="J5190" t="str">
        <f t="shared" si="449"/>
        <v/>
      </c>
      <c r="K5190" s="60" t="str">
        <f t="shared" si="450"/>
        <v/>
      </c>
      <c r="L5190" t="str">
        <f t="shared" si="451"/>
        <v/>
      </c>
    </row>
    <row r="5191" spans="1:12" x14ac:dyDescent="0.25">
      <c r="A5191" t="s">
        <v>4293</v>
      </c>
      <c r="G5191" t="str">
        <f t="shared" si="452"/>
        <v>09/04/19</v>
      </c>
      <c r="H5191" t="str">
        <f t="shared" si="447"/>
        <v>Chicago White Sox</v>
      </c>
      <c r="I5191" s="60">
        <f t="shared" si="448"/>
        <v>6</v>
      </c>
      <c r="J5191" t="str">
        <f t="shared" si="449"/>
        <v>Cleveland Indians</v>
      </c>
      <c r="K5191" s="60">
        <f t="shared" si="450"/>
        <v>8</v>
      </c>
      <c r="L5191">
        <f t="shared" si="451"/>
        <v>-2</v>
      </c>
    </row>
    <row r="5192" spans="1:12" x14ac:dyDescent="0.25">
      <c r="G5192" t="str">
        <f t="shared" si="452"/>
        <v>09/04/19</v>
      </c>
      <c r="H5192" t="str">
        <f t="shared" si="447"/>
        <v/>
      </c>
      <c r="I5192" s="60" t="str">
        <f t="shared" si="448"/>
        <v/>
      </c>
      <c r="J5192" t="str">
        <f t="shared" si="449"/>
        <v/>
      </c>
      <c r="K5192" s="60" t="str">
        <f t="shared" si="450"/>
        <v/>
      </c>
      <c r="L5192" t="str">
        <f t="shared" si="451"/>
        <v/>
      </c>
    </row>
    <row r="5193" spans="1:12" x14ac:dyDescent="0.25">
      <c r="A5193" t="s">
        <v>4294</v>
      </c>
      <c r="G5193" t="str">
        <f t="shared" si="452"/>
        <v>09/04/19</v>
      </c>
      <c r="H5193" t="str">
        <f t="shared" si="447"/>
        <v>Detroit Tigers</v>
      </c>
      <c r="I5193" s="60">
        <f t="shared" si="448"/>
        <v>4</v>
      </c>
      <c r="J5193" t="str">
        <f t="shared" si="449"/>
        <v>Kansas City Royals</v>
      </c>
      <c r="K5193" s="60">
        <f t="shared" si="450"/>
        <v>5</v>
      </c>
      <c r="L5193">
        <f t="shared" si="451"/>
        <v>-1</v>
      </c>
    </row>
    <row r="5194" spans="1:12" x14ac:dyDescent="0.25">
      <c r="G5194" t="str">
        <f t="shared" si="452"/>
        <v>09/04/19</v>
      </c>
      <c r="H5194" t="str">
        <f t="shared" si="447"/>
        <v/>
      </c>
      <c r="I5194" s="60" t="str">
        <f t="shared" si="448"/>
        <v/>
      </c>
      <c r="J5194" t="str">
        <f t="shared" si="449"/>
        <v/>
      </c>
      <c r="K5194" s="60" t="str">
        <f t="shared" si="450"/>
        <v/>
      </c>
      <c r="L5194" t="str">
        <f t="shared" si="451"/>
        <v/>
      </c>
    </row>
    <row r="5195" spans="1:12" x14ac:dyDescent="0.25">
      <c r="A5195" t="s">
        <v>4295</v>
      </c>
      <c r="G5195" t="str">
        <f t="shared" si="452"/>
        <v>09/04/19</v>
      </c>
      <c r="H5195" t="str">
        <f t="shared" si="447"/>
        <v>Colorado Rockies</v>
      </c>
      <c r="I5195" s="60">
        <f t="shared" si="448"/>
        <v>3</v>
      </c>
      <c r="J5195" t="str">
        <f t="shared" si="449"/>
        <v>Los Angeles Dodgers</v>
      </c>
      <c r="K5195" s="60">
        <f t="shared" si="450"/>
        <v>7</v>
      </c>
      <c r="L5195">
        <f t="shared" si="451"/>
        <v>-4</v>
      </c>
    </row>
    <row r="5196" spans="1:12" x14ac:dyDescent="0.25">
      <c r="G5196" t="str">
        <f t="shared" si="452"/>
        <v>09/04/19</v>
      </c>
      <c r="H5196" t="str">
        <f t="shared" si="447"/>
        <v/>
      </c>
      <c r="I5196" s="60" t="str">
        <f t="shared" si="448"/>
        <v/>
      </c>
      <c r="J5196" t="str">
        <f t="shared" si="449"/>
        <v/>
      </c>
      <c r="K5196" s="60" t="str">
        <f t="shared" si="450"/>
        <v/>
      </c>
      <c r="L5196" t="str">
        <f t="shared" si="451"/>
        <v/>
      </c>
    </row>
    <row r="5197" spans="1:12" x14ac:dyDescent="0.25">
      <c r="A5197" t="s">
        <v>4296</v>
      </c>
      <c r="G5197" t="str">
        <f t="shared" si="452"/>
        <v>09/04/19</v>
      </c>
      <c r="H5197" t="str">
        <f t="shared" si="447"/>
        <v>Texas Rangers</v>
      </c>
      <c r="I5197" s="60">
        <f t="shared" si="448"/>
        <v>1</v>
      </c>
      <c r="J5197" t="str">
        <f t="shared" si="449"/>
        <v>New York Yankees</v>
      </c>
      <c r="K5197" s="60">
        <f t="shared" si="450"/>
        <v>4</v>
      </c>
      <c r="L5197">
        <f t="shared" si="451"/>
        <v>-3</v>
      </c>
    </row>
    <row r="5198" spans="1:12" x14ac:dyDescent="0.25">
      <c r="G5198" t="str">
        <f t="shared" si="452"/>
        <v>09/04/19</v>
      </c>
      <c r="H5198" t="str">
        <f t="shared" si="447"/>
        <v/>
      </c>
      <c r="I5198" s="60" t="str">
        <f t="shared" si="448"/>
        <v/>
      </c>
      <c r="J5198" t="str">
        <f t="shared" si="449"/>
        <v/>
      </c>
      <c r="K5198" s="60" t="str">
        <f t="shared" si="450"/>
        <v/>
      </c>
      <c r="L5198" t="str">
        <f t="shared" si="451"/>
        <v/>
      </c>
    </row>
    <row r="5199" spans="1:12" x14ac:dyDescent="0.25">
      <c r="A5199" t="s">
        <v>1652</v>
      </c>
      <c r="G5199" t="str">
        <f t="shared" si="452"/>
        <v>09/04/19</v>
      </c>
      <c r="H5199" t="str">
        <f t="shared" si="447"/>
        <v>Los Angeles Angels</v>
      </c>
      <c r="I5199" s="60">
        <f t="shared" si="448"/>
        <v>0</v>
      </c>
      <c r="J5199" t="str">
        <f t="shared" si="449"/>
        <v>Oakland Athletics</v>
      </c>
      <c r="K5199" s="60">
        <f t="shared" si="450"/>
        <v>4</v>
      </c>
      <c r="L5199">
        <f t="shared" si="451"/>
        <v>-4</v>
      </c>
    </row>
    <row r="5200" spans="1:12" x14ac:dyDescent="0.25">
      <c r="G5200" t="str">
        <f t="shared" si="452"/>
        <v>09/04/19</v>
      </c>
      <c r="H5200" t="str">
        <f t="shared" ref="H5200:H5263" si="453">IFERROR(LEFT(MID(A5200,1,SEARCH("@",A5200)-2),SEARCH("(",A5200)-2),"")</f>
        <v/>
      </c>
      <c r="I5200" s="60" t="str">
        <f t="shared" ref="I5200:I5263" si="454">IFERROR(VALUE(MID(A5200,SEARCH("(",A5200)+1,SEARCH(")",A5200)-SEARCH("(",A5200)-1)),"")</f>
        <v/>
      </c>
      <c r="J5200" t="str">
        <f t="shared" ref="J5200:J5263" si="455">IFERROR(MID(A5200,SEARCH("@",A5200)+2,SEARCH("(",A5200,SEARCH("@",A5200))-SEARCH("@",A5200)-3),"")</f>
        <v/>
      </c>
      <c r="K5200" s="60" t="str">
        <f t="shared" ref="K5200:K5263" si="456">IFERROR(VALUE(MID(A5200,SEARCH(J5200,A5200)+LEN(J5200)+2,(SEARCH(")",A5200,SEARCH("@",A5200))-SEARCH("(",A5200,SEARCH("@",A5200))-1))),"")</f>
        <v/>
      </c>
      <c r="L5200" t="str">
        <f t="shared" ref="L5200:L5263" si="457">IFERROR(I5200-K5200,"")</f>
        <v/>
      </c>
    </row>
    <row r="5201" spans="1:12" x14ac:dyDescent="0.25">
      <c r="A5201" t="s">
        <v>4297</v>
      </c>
      <c r="G5201" t="str">
        <f t="shared" si="452"/>
        <v>09/04/19</v>
      </c>
      <c r="H5201" t="str">
        <f t="shared" si="453"/>
        <v>Miami Marlins</v>
      </c>
      <c r="I5201" s="60">
        <f t="shared" si="454"/>
        <v>5</v>
      </c>
      <c r="J5201" t="str">
        <f t="shared" si="455"/>
        <v>Pittsburgh Pirates</v>
      </c>
      <c r="K5201" s="60">
        <f t="shared" si="456"/>
        <v>6</v>
      </c>
      <c r="L5201">
        <f t="shared" si="457"/>
        <v>-1</v>
      </c>
    </row>
    <row r="5202" spans="1:12" x14ac:dyDescent="0.25">
      <c r="G5202" t="str">
        <f t="shared" si="452"/>
        <v>09/04/19</v>
      </c>
      <c r="H5202" t="str">
        <f t="shared" si="453"/>
        <v/>
      </c>
      <c r="I5202" s="60" t="str">
        <f t="shared" si="454"/>
        <v/>
      </c>
      <c r="J5202" t="str">
        <f t="shared" si="455"/>
        <v/>
      </c>
      <c r="K5202" s="60" t="str">
        <f t="shared" si="456"/>
        <v/>
      </c>
      <c r="L5202" t="str">
        <f t="shared" si="457"/>
        <v/>
      </c>
    </row>
    <row r="5203" spans="1:12" x14ac:dyDescent="0.25">
      <c r="A5203" t="s">
        <v>4298</v>
      </c>
      <c r="G5203" t="str">
        <f t="shared" si="452"/>
        <v>09/04/19</v>
      </c>
      <c r="H5203" t="str">
        <f t="shared" si="453"/>
        <v>San Francisco Giants</v>
      </c>
      <c r="I5203" s="60">
        <f t="shared" si="454"/>
        <v>9</v>
      </c>
      <c r="J5203" t="str">
        <f t="shared" si="455"/>
        <v>St. Louis Cardinals</v>
      </c>
      <c r="K5203" s="60">
        <f t="shared" si="456"/>
        <v>8</v>
      </c>
      <c r="L5203">
        <f t="shared" si="457"/>
        <v>1</v>
      </c>
    </row>
    <row r="5204" spans="1:12" x14ac:dyDescent="0.25">
      <c r="G5204" t="str">
        <f t="shared" si="452"/>
        <v>09/04/19</v>
      </c>
      <c r="H5204" t="str">
        <f t="shared" si="453"/>
        <v/>
      </c>
      <c r="I5204" s="60" t="str">
        <f t="shared" si="454"/>
        <v/>
      </c>
      <c r="J5204" t="str">
        <f t="shared" si="455"/>
        <v/>
      </c>
      <c r="K5204" s="60" t="str">
        <f t="shared" si="456"/>
        <v/>
      </c>
      <c r="L5204" t="str">
        <f t="shared" si="457"/>
        <v/>
      </c>
    </row>
    <row r="5205" spans="1:12" x14ac:dyDescent="0.25">
      <c r="A5205" t="s">
        <v>4299</v>
      </c>
      <c r="G5205" t="str">
        <f t="shared" si="452"/>
        <v>09/04/19</v>
      </c>
      <c r="H5205" t="str">
        <f t="shared" si="453"/>
        <v>New York Mets</v>
      </c>
      <c r="I5205" s="60">
        <f t="shared" si="454"/>
        <v>8</v>
      </c>
      <c r="J5205" t="str">
        <f t="shared" si="455"/>
        <v>Washington Nationals</v>
      </c>
      <c r="K5205" s="60">
        <f t="shared" si="456"/>
        <v>4</v>
      </c>
      <c r="L5205">
        <f t="shared" si="457"/>
        <v>4</v>
      </c>
    </row>
    <row r="5206" spans="1:12" x14ac:dyDescent="0.25">
      <c r="G5206" t="str">
        <f t="shared" si="452"/>
        <v>09/04/19</v>
      </c>
      <c r="H5206" t="str">
        <f t="shared" si="453"/>
        <v/>
      </c>
      <c r="I5206" s="60" t="str">
        <f t="shared" si="454"/>
        <v/>
      </c>
      <c r="J5206" t="str">
        <f t="shared" si="455"/>
        <v/>
      </c>
      <c r="K5206" s="60" t="str">
        <f t="shared" si="456"/>
        <v/>
      </c>
      <c r="L5206" t="str">
        <f t="shared" si="457"/>
        <v/>
      </c>
    </row>
    <row r="5207" spans="1:12" x14ac:dyDescent="0.25">
      <c r="A5207" t="s">
        <v>4300</v>
      </c>
      <c r="G5207" t="str">
        <f t="shared" si="452"/>
        <v>09/04/19</v>
      </c>
      <c r="H5207" t="str">
        <f t="shared" si="453"/>
        <v/>
      </c>
      <c r="I5207" s="60" t="str">
        <f t="shared" si="454"/>
        <v/>
      </c>
      <c r="J5207" t="str">
        <f t="shared" si="455"/>
        <v/>
      </c>
      <c r="K5207" s="60" t="str">
        <f t="shared" si="456"/>
        <v/>
      </c>
      <c r="L5207" t="str">
        <f t="shared" si="457"/>
        <v/>
      </c>
    </row>
    <row r="5208" spans="1:12" x14ac:dyDescent="0.25">
      <c r="G5208" t="str">
        <f t="shared" si="452"/>
        <v>09/04/19</v>
      </c>
      <c r="H5208" t="str">
        <f t="shared" si="453"/>
        <v/>
      </c>
      <c r="I5208" s="60" t="str">
        <f t="shared" si="454"/>
        <v/>
      </c>
      <c r="J5208" t="str">
        <f t="shared" si="455"/>
        <v/>
      </c>
      <c r="K5208" s="60" t="str">
        <f t="shared" si="456"/>
        <v/>
      </c>
      <c r="L5208" t="str">
        <f t="shared" si="457"/>
        <v/>
      </c>
    </row>
    <row r="5209" spans="1:12" x14ac:dyDescent="0.25">
      <c r="A5209" t="s">
        <v>3304</v>
      </c>
      <c r="G5209" t="str">
        <f t="shared" si="452"/>
        <v>09/05/19</v>
      </c>
      <c r="H5209" t="str">
        <f t="shared" si="453"/>
        <v/>
      </c>
      <c r="I5209" s="60" t="str">
        <f t="shared" si="454"/>
        <v/>
      </c>
      <c r="J5209" t="str">
        <f t="shared" si="455"/>
        <v/>
      </c>
      <c r="K5209" s="60" t="str">
        <f t="shared" si="456"/>
        <v/>
      </c>
      <c r="L5209" t="str">
        <f t="shared" si="457"/>
        <v/>
      </c>
    </row>
    <row r="5210" spans="1:12" x14ac:dyDescent="0.25">
      <c r="G5210" t="str">
        <f t="shared" si="452"/>
        <v>09/05/19</v>
      </c>
      <c r="H5210" t="str">
        <f t="shared" si="453"/>
        <v/>
      </c>
      <c r="I5210" s="60" t="str">
        <f t="shared" si="454"/>
        <v/>
      </c>
      <c r="J5210" t="str">
        <f t="shared" si="455"/>
        <v/>
      </c>
      <c r="K5210" s="60" t="str">
        <f t="shared" si="456"/>
        <v/>
      </c>
      <c r="L5210" t="str">
        <f t="shared" si="457"/>
        <v/>
      </c>
    </row>
    <row r="5211" spans="1:12" x14ac:dyDescent="0.25">
      <c r="A5211" t="s">
        <v>4301</v>
      </c>
      <c r="G5211" t="str">
        <f t="shared" si="452"/>
        <v>09/05/19</v>
      </c>
      <c r="H5211" t="str">
        <f t="shared" si="453"/>
        <v>Washington Nationals</v>
      </c>
      <c r="I5211" s="60">
        <f t="shared" si="454"/>
        <v>2</v>
      </c>
      <c r="J5211" t="str">
        <f t="shared" si="455"/>
        <v>Atlanta Braves</v>
      </c>
      <c r="K5211" s="60">
        <f t="shared" si="456"/>
        <v>4</v>
      </c>
      <c r="L5211">
        <f t="shared" si="457"/>
        <v>-2</v>
      </c>
    </row>
    <row r="5212" spans="1:12" x14ac:dyDescent="0.25">
      <c r="G5212" t="str">
        <f t="shared" si="452"/>
        <v>09/05/19</v>
      </c>
      <c r="H5212" t="str">
        <f t="shared" si="453"/>
        <v/>
      </c>
      <c r="I5212" s="60" t="str">
        <f t="shared" si="454"/>
        <v/>
      </c>
      <c r="J5212" t="str">
        <f t="shared" si="455"/>
        <v/>
      </c>
      <c r="K5212" s="60" t="str">
        <f t="shared" si="456"/>
        <v/>
      </c>
      <c r="L5212" t="str">
        <f t="shared" si="457"/>
        <v/>
      </c>
    </row>
    <row r="5213" spans="1:12" x14ac:dyDescent="0.25">
      <c r="A5213" t="s">
        <v>4302</v>
      </c>
      <c r="G5213" t="str">
        <f t="shared" si="452"/>
        <v>09/05/19</v>
      </c>
      <c r="H5213" t="str">
        <f t="shared" si="453"/>
        <v>Texas Rangers</v>
      </c>
      <c r="I5213" s="60">
        <f t="shared" si="454"/>
        <v>3</v>
      </c>
      <c r="J5213" t="str">
        <f t="shared" si="455"/>
        <v>Baltimore Orioles</v>
      </c>
      <c r="K5213" s="60">
        <f t="shared" si="456"/>
        <v>1</v>
      </c>
      <c r="L5213">
        <f t="shared" si="457"/>
        <v>2</v>
      </c>
    </row>
    <row r="5214" spans="1:12" x14ac:dyDescent="0.25">
      <c r="G5214" t="str">
        <f t="shared" si="452"/>
        <v>09/05/19</v>
      </c>
      <c r="H5214" t="str">
        <f t="shared" si="453"/>
        <v/>
      </c>
      <c r="I5214" s="60" t="str">
        <f t="shared" si="454"/>
        <v/>
      </c>
      <c r="J5214" t="str">
        <f t="shared" si="455"/>
        <v/>
      </c>
      <c r="K5214" s="60" t="str">
        <f t="shared" si="456"/>
        <v/>
      </c>
      <c r="L5214" t="str">
        <f t="shared" si="457"/>
        <v/>
      </c>
    </row>
    <row r="5215" spans="1:12" x14ac:dyDescent="0.25">
      <c r="A5215" t="s">
        <v>4303</v>
      </c>
      <c r="G5215" t="str">
        <f t="shared" si="452"/>
        <v>09/05/19</v>
      </c>
      <c r="H5215" t="str">
        <f t="shared" si="453"/>
        <v>Minnesota Twins</v>
      </c>
      <c r="I5215" s="60">
        <f t="shared" si="454"/>
        <v>2</v>
      </c>
      <c r="J5215" t="str">
        <f t="shared" si="455"/>
        <v>Boston Red Sox</v>
      </c>
      <c r="K5215" s="60">
        <f t="shared" si="456"/>
        <v>1</v>
      </c>
      <c r="L5215">
        <f t="shared" si="457"/>
        <v>1</v>
      </c>
    </row>
    <row r="5216" spans="1:12" x14ac:dyDescent="0.25">
      <c r="G5216" t="str">
        <f t="shared" si="452"/>
        <v>09/05/19</v>
      </c>
      <c r="H5216" t="str">
        <f t="shared" si="453"/>
        <v/>
      </c>
      <c r="I5216" s="60" t="str">
        <f t="shared" si="454"/>
        <v/>
      </c>
      <c r="J5216" t="str">
        <f t="shared" si="455"/>
        <v/>
      </c>
      <c r="K5216" s="60" t="str">
        <f t="shared" si="456"/>
        <v/>
      </c>
      <c r="L5216" t="str">
        <f t="shared" si="457"/>
        <v/>
      </c>
    </row>
    <row r="5217" spans="1:12" x14ac:dyDescent="0.25">
      <c r="A5217" t="s">
        <v>4304</v>
      </c>
      <c r="G5217" t="str">
        <f t="shared" si="452"/>
        <v>09/05/19</v>
      </c>
      <c r="H5217" t="str">
        <f t="shared" si="453"/>
        <v>Philadelphia Phillies</v>
      </c>
      <c r="I5217" s="60">
        <f t="shared" si="454"/>
        <v>3</v>
      </c>
      <c r="J5217" t="str">
        <f t="shared" si="455"/>
        <v>Cincinnati Reds</v>
      </c>
      <c r="K5217" s="60">
        <f t="shared" si="456"/>
        <v>4</v>
      </c>
      <c r="L5217">
        <f t="shared" si="457"/>
        <v>-1</v>
      </c>
    </row>
    <row r="5218" spans="1:12" x14ac:dyDescent="0.25">
      <c r="G5218" t="str">
        <f t="shared" ref="G5218:G5281" si="458">IF(ISNUMBER(MATCH(IFERROR(LEFT(A5218,SEARCH(",",A5218)-1),""),$G$220:$M$220,0)),TEXT(MID(A5218,SEARCH(",",A5218)+2,LEN(A5218)),"mm/dd/yy"),G5217)</f>
        <v>09/05/19</v>
      </c>
      <c r="H5218" t="str">
        <f t="shared" si="453"/>
        <v/>
      </c>
      <c r="I5218" s="60" t="str">
        <f t="shared" si="454"/>
        <v/>
      </c>
      <c r="J5218" t="str">
        <f t="shared" si="455"/>
        <v/>
      </c>
      <c r="K5218" s="60" t="str">
        <f t="shared" si="456"/>
        <v/>
      </c>
      <c r="L5218" t="str">
        <f t="shared" si="457"/>
        <v/>
      </c>
    </row>
    <row r="5219" spans="1:12" x14ac:dyDescent="0.25">
      <c r="A5219" t="s">
        <v>4305</v>
      </c>
      <c r="G5219" t="str">
        <f t="shared" si="458"/>
        <v>09/05/19</v>
      </c>
      <c r="H5219" t="str">
        <f t="shared" si="453"/>
        <v>Chicago White Sox</v>
      </c>
      <c r="I5219" s="60">
        <f t="shared" si="454"/>
        <v>7</v>
      </c>
      <c r="J5219" t="str">
        <f t="shared" si="455"/>
        <v>Cleveland Indians</v>
      </c>
      <c r="K5219" s="60">
        <f t="shared" si="456"/>
        <v>1</v>
      </c>
      <c r="L5219">
        <f t="shared" si="457"/>
        <v>6</v>
      </c>
    </row>
    <row r="5220" spans="1:12" x14ac:dyDescent="0.25">
      <c r="G5220" t="str">
        <f t="shared" si="458"/>
        <v>09/05/19</v>
      </c>
      <c r="H5220" t="str">
        <f t="shared" si="453"/>
        <v/>
      </c>
      <c r="I5220" s="60" t="str">
        <f t="shared" si="454"/>
        <v/>
      </c>
      <c r="J5220" t="str">
        <f t="shared" si="455"/>
        <v/>
      </c>
      <c r="K5220" s="60" t="str">
        <f t="shared" si="456"/>
        <v/>
      </c>
      <c r="L5220" t="str">
        <f t="shared" si="457"/>
        <v/>
      </c>
    </row>
    <row r="5221" spans="1:12" x14ac:dyDescent="0.25">
      <c r="A5221" t="s">
        <v>4306</v>
      </c>
      <c r="G5221" t="str">
        <f t="shared" si="458"/>
        <v>09/05/19</v>
      </c>
      <c r="H5221" t="str">
        <f t="shared" si="453"/>
        <v>Seattle Mariners</v>
      </c>
      <c r="I5221" s="60">
        <f t="shared" si="454"/>
        <v>9</v>
      </c>
      <c r="J5221" t="str">
        <f t="shared" si="455"/>
        <v>Houston Astros</v>
      </c>
      <c r="K5221" s="60">
        <f t="shared" si="456"/>
        <v>11</v>
      </c>
      <c r="L5221">
        <f t="shared" si="457"/>
        <v>-2</v>
      </c>
    </row>
    <row r="5222" spans="1:12" x14ac:dyDescent="0.25">
      <c r="G5222" t="str">
        <f t="shared" si="458"/>
        <v>09/05/19</v>
      </c>
      <c r="H5222" t="str">
        <f t="shared" si="453"/>
        <v/>
      </c>
      <c r="I5222" s="60" t="str">
        <f t="shared" si="454"/>
        <v/>
      </c>
      <c r="J5222" t="str">
        <f t="shared" si="455"/>
        <v/>
      </c>
      <c r="K5222" s="60" t="str">
        <f t="shared" si="456"/>
        <v/>
      </c>
      <c r="L5222" t="str">
        <f t="shared" si="457"/>
        <v/>
      </c>
    </row>
    <row r="5223" spans="1:12" x14ac:dyDescent="0.25">
      <c r="A5223" t="s">
        <v>4307</v>
      </c>
      <c r="G5223" t="str">
        <f t="shared" si="458"/>
        <v>09/05/19</v>
      </c>
      <c r="H5223" t="str">
        <f t="shared" si="453"/>
        <v>Detroit Tigers</v>
      </c>
      <c r="I5223" s="60">
        <f t="shared" si="454"/>
        <v>6</v>
      </c>
      <c r="J5223" t="str">
        <f t="shared" si="455"/>
        <v>Kansas City Royals</v>
      </c>
      <c r="K5223" s="60">
        <f t="shared" si="456"/>
        <v>4</v>
      </c>
      <c r="L5223">
        <f t="shared" si="457"/>
        <v>2</v>
      </c>
    </row>
    <row r="5224" spans="1:12" x14ac:dyDescent="0.25">
      <c r="G5224" t="str">
        <f t="shared" si="458"/>
        <v>09/05/19</v>
      </c>
      <c r="H5224" t="str">
        <f t="shared" si="453"/>
        <v/>
      </c>
      <c r="I5224" s="60" t="str">
        <f t="shared" si="454"/>
        <v/>
      </c>
      <c r="J5224" t="str">
        <f t="shared" si="455"/>
        <v/>
      </c>
      <c r="K5224" s="60" t="str">
        <f t="shared" si="456"/>
        <v/>
      </c>
      <c r="L5224" t="str">
        <f t="shared" si="457"/>
        <v/>
      </c>
    </row>
    <row r="5225" spans="1:12" x14ac:dyDescent="0.25">
      <c r="A5225" t="s">
        <v>4308</v>
      </c>
      <c r="G5225" t="str">
        <f t="shared" si="458"/>
        <v>09/05/19</v>
      </c>
      <c r="H5225" t="str">
        <f t="shared" si="453"/>
        <v>Chicago Cubs</v>
      </c>
      <c r="I5225" s="60">
        <f t="shared" si="454"/>
        <v>10</v>
      </c>
      <c r="J5225" t="str">
        <f t="shared" si="455"/>
        <v>Milwaukee Brewers</v>
      </c>
      <c r="K5225" s="60">
        <f t="shared" si="456"/>
        <v>5</v>
      </c>
      <c r="L5225">
        <f t="shared" si="457"/>
        <v>5</v>
      </c>
    </row>
    <row r="5226" spans="1:12" x14ac:dyDescent="0.25">
      <c r="G5226" t="str">
        <f t="shared" si="458"/>
        <v>09/05/19</v>
      </c>
      <c r="H5226" t="str">
        <f t="shared" si="453"/>
        <v/>
      </c>
      <c r="I5226" s="60" t="str">
        <f t="shared" si="454"/>
        <v/>
      </c>
      <c r="J5226" t="str">
        <f t="shared" si="455"/>
        <v/>
      </c>
      <c r="K5226" s="60" t="str">
        <f t="shared" si="456"/>
        <v/>
      </c>
      <c r="L5226" t="str">
        <f t="shared" si="457"/>
        <v/>
      </c>
    </row>
    <row r="5227" spans="1:12" x14ac:dyDescent="0.25">
      <c r="A5227" t="s">
        <v>4309</v>
      </c>
      <c r="G5227" t="str">
        <f t="shared" si="458"/>
        <v>09/05/19</v>
      </c>
      <c r="H5227" t="str">
        <f t="shared" si="453"/>
        <v>Los Angeles Angels</v>
      </c>
      <c r="I5227" s="60">
        <f t="shared" si="454"/>
        <v>6</v>
      </c>
      <c r="J5227" t="str">
        <f t="shared" si="455"/>
        <v>Oakland Athletics</v>
      </c>
      <c r="K5227" s="60">
        <f t="shared" si="456"/>
        <v>10</v>
      </c>
      <c r="L5227">
        <f t="shared" si="457"/>
        <v>-4</v>
      </c>
    </row>
    <row r="5228" spans="1:12" x14ac:dyDescent="0.25">
      <c r="G5228" t="str">
        <f t="shared" si="458"/>
        <v>09/05/19</v>
      </c>
      <c r="H5228" t="str">
        <f t="shared" si="453"/>
        <v/>
      </c>
      <c r="I5228" s="60" t="str">
        <f t="shared" si="454"/>
        <v/>
      </c>
      <c r="J5228" t="str">
        <f t="shared" si="455"/>
        <v/>
      </c>
      <c r="K5228" s="60" t="str">
        <f t="shared" si="456"/>
        <v/>
      </c>
      <c r="L5228" t="str">
        <f t="shared" si="457"/>
        <v/>
      </c>
    </row>
    <row r="5229" spans="1:12" x14ac:dyDescent="0.25">
      <c r="A5229" t="s">
        <v>4310</v>
      </c>
      <c r="G5229" t="str">
        <f t="shared" si="458"/>
        <v>09/05/19</v>
      </c>
      <c r="H5229" t="str">
        <f t="shared" si="453"/>
        <v>Miami Marlins</v>
      </c>
      <c r="I5229" s="60">
        <f t="shared" si="454"/>
        <v>10</v>
      </c>
      <c r="J5229" t="str">
        <f t="shared" si="455"/>
        <v>Pittsburgh Pirates</v>
      </c>
      <c r="K5229" s="60">
        <f t="shared" si="456"/>
        <v>7</v>
      </c>
      <c r="L5229">
        <f t="shared" si="457"/>
        <v>3</v>
      </c>
    </row>
    <row r="5230" spans="1:12" x14ac:dyDescent="0.25">
      <c r="G5230" t="str">
        <f t="shared" si="458"/>
        <v>09/05/19</v>
      </c>
      <c r="H5230" t="str">
        <f t="shared" si="453"/>
        <v/>
      </c>
      <c r="I5230" s="60" t="str">
        <f t="shared" si="454"/>
        <v/>
      </c>
      <c r="J5230" t="str">
        <f t="shared" si="455"/>
        <v/>
      </c>
      <c r="K5230" s="60" t="str">
        <f t="shared" si="456"/>
        <v/>
      </c>
      <c r="L5230" t="str">
        <f t="shared" si="457"/>
        <v/>
      </c>
    </row>
    <row r="5231" spans="1:12" x14ac:dyDescent="0.25">
      <c r="A5231" t="s">
        <v>4311</v>
      </c>
      <c r="G5231" t="str">
        <f t="shared" si="458"/>
        <v>09/05/19</v>
      </c>
      <c r="H5231" t="str">
        <f t="shared" si="453"/>
        <v>San Francisco Giants</v>
      </c>
      <c r="I5231" s="60">
        <f t="shared" si="454"/>
        <v>0</v>
      </c>
      <c r="J5231" t="str">
        <f t="shared" si="455"/>
        <v>St. Louis Cardinals</v>
      </c>
      <c r="K5231" s="60">
        <f t="shared" si="456"/>
        <v>10</v>
      </c>
      <c r="L5231">
        <f t="shared" si="457"/>
        <v>-10</v>
      </c>
    </row>
    <row r="5232" spans="1:12" x14ac:dyDescent="0.25">
      <c r="G5232" t="str">
        <f t="shared" si="458"/>
        <v>09/05/19</v>
      </c>
      <c r="H5232" t="str">
        <f t="shared" si="453"/>
        <v/>
      </c>
      <c r="I5232" s="60" t="str">
        <f t="shared" si="454"/>
        <v/>
      </c>
      <c r="J5232" t="str">
        <f t="shared" si="455"/>
        <v/>
      </c>
      <c r="K5232" s="60" t="str">
        <f t="shared" si="456"/>
        <v/>
      </c>
      <c r="L5232" t="str">
        <f t="shared" si="457"/>
        <v/>
      </c>
    </row>
    <row r="5233" spans="1:12" x14ac:dyDescent="0.25">
      <c r="A5233" t="s">
        <v>4312</v>
      </c>
      <c r="G5233" t="str">
        <f t="shared" si="458"/>
        <v>09/05/19</v>
      </c>
      <c r="H5233" t="str">
        <f t="shared" si="453"/>
        <v>Toronto Blue Jays</v>
      </c>
      <c r="I5233" s="60">
        <f t="shared" si="454"/>
        <v>4</v>
      </c>
      <c r="J5233" t="str">
        <f t="shared" si="455"/>
        <v>Tampa Bay Rays</v>
      </c>
      <c r="K5233" s="60">
        <f t="shared" si="456"/>
        <v>6</v>
      </c>
      <c r="L5233">
        <f t="shared" si="457"/>
        <v>-2</v>
      </c>
    </row>
    <row r="5234" spans="1:12" x14ac:dyDescent="0.25">
      <c r="G5234" t="str">
        <f t="shared" si="458"/>
        <v>09/05/19</v>
      </c>
      <c r="H5234" t="str">
        <f t="shared" si="453"/>
        <v/>
      </c>
      <c r="I5234" s="60" t="str">
        <f t="shared" si="454"/>
        <v/>
      </c>
      <c r="J5234" t="str">
        <f t="shared" si="455"/>
        <v/>
      </c>
      <c r="K5234" s="60" t="str">
        <f t="shared" si="456"/>
        <v/>
      </c>
      <c r="L5234" t="str">
        <f t="shared" si="457"/>
        <v/>
      </c>
    </row>
    <row r="5235" spans="1:12" x14ac:dyDescent="0.25">
      <c r="A5235" t="s">
        <v>4313</v>
      </c>
      <c r="G5235" t="str">
        <f t="shared" si="458"/>
        <v>09/05/19</v>
      </c>
      <c r="H5235" t="str">
        <f t="shared" si="453"/>
        <v/>
      </c>
      <c r="I5235" s="60" t="str">
        <f t="shared" si="454"/>
        <v/>
      </c>
      <c r="J5235" t="str">
        <f t="shared" si="455"/>
        <v/>
      </c>
      <c r="K5235" s="60" t="str">
        <f t="shared" si="456"/>
        <v/>
      </c>
      <c r="L5235" t="str">
        <f t="shared" si="457"/>
        <v/>
      </c>
    </row>
    <row r="5236" spans="1:12" x14ac:dyDescent="0.25">
      <c r="G5236" t="str">
        <f t="shared" si="458"/>
        <v>09/05/19</v>
      </c>
      <c r="H5236" t="str">
        <f t="shared" si="453"/>
        <v/>
      </c>
      <c r="I5236" s="60" t="str">
        <f t="shared" si="454"/>
        <v/>
      </c>
      <c r="J5236" t="str">
        <f t="shared" si="455"/>
        <v/>
      </c>
      <c r="K5236" s="60" t="str">
        <f t="shared" si="456"/>
        <v/>
      </c>
      <c r="L5236" t="str">
        <f t="shared" si="457"/>
        <v/>
      </c>
    </row>
    <row r="5237" spans="1:12" x14ac:dyDescent="0.25">
      <c r="A5237" t="s">
        <v>3305</v>
      </c>
      <c r="G5237" t="str">
        <f t="shared" si="458"/>
        <v>09/06/19</v>
      </c>
      <c r="H5237" t="str">
        <f t="shared" si="453"/>
        <v/>
      </c>
      <c r="I5237" s="60" t="str">
        <f t="shared" si="454"/>
        <v/>
      </c>
      <c r="J5237" t="str">
        <f t="shared" si="455"/>
        <v/>
      </c>
      <c r="K5237" s="60" t="str">
        <f t="shared" si="456"/>
        <v/>
      </c>
      <c r="L5237" t="str">
        <f t="shared" si="457"/>
        <v/>
      </c>
    </row>
    <row r="5238" spans="1:12" x14ac:dyDescent="0.25">
      <c r="G5238" t="str">
        <f t="shared" si="458"/>
        <v>09/06/19</v>
      </c>
      <c r="H5238" t="str">
        <f t="shared" si="453"/>
        <v/>
      </c>
      <c r="I5238" s="60" t="str">
        <f t="shared" si="454"/>
        <v/>
      </c>
      <c r="J5238" t="str">
        <f t="shared" si="455"/>
        <v/>
      </c>
      <c r="K5238" s="60" t="str">
        <f t="shared" si="456"/>
        <v/>
      </c>
      <c r="L5238" t="str">
        <f t="shared" si="457"/>
        <v/>
      </c>
    </row>
    <row r="5239" spans="1:12" x14ac:dyDescent="0.25">
      <c r="A5239" t="s">
        <v>3402</v>
      </c>
      <c r="G5239" t="str">
        <f t="shared" si="458"/>
        <v>09/06/19</v>
      </c>
      <c r="H5239" t="str">
        <f t="shared" si="453"/>
        <v>Washington Nationals</v>
      </c>
      <c r="I5239" s="60">
        <f t="shared" si="454"/>
        <v>3</v>
      </c>
      <c r="J5239" t="str">
        <f t="shared" si="455"/>
        <v>Atlanta Braves</v>
      </c>
      <c r="K5239" s="60">
        <f t="shared" si="456"/>
        <v>4</v>
      </c>
      <c r="L5239">
        <f t="shared" si="457"/>
        <v>-1</v>
      </c>
    </row>
    <row r="5240" spans="1:12" x14ac:dyDescent="0.25">
      <c r="G5240" t="str">
        <f t="shared" si="458"/>
        <v>09/06/19</v>
      </c>
      <c r="H5240" t="str">
        <f t="shared" si="453"/>
        <v/>
      </c>
      <c r="I5240" s="60" t="str">
        <f t="shared" si="454"/>
        <v/>
      </c>
      <c r="J5240" t="str">
        <f t="shared" si="455"/>
        <v/>
      </c>
      <c r="K5240" s="60" t="str">
        <f t="shared" si="456"/>
        <v/>
      </c>
      <c r="L5240" t="str">
        <f t="shared" si="457"/>
        <v/>
      </c>
    </row>
    <row r="5241" spans="1:12" x14ac:dyDescent="0.25">
      <c r="A5241" t="s">
        <v>4314</v>
      </c>
      <c r="G5241" t="str">
        <f t="shared" si="458"/>
        <v>09/06/19</v>
      </c>
      <c r="H5241" t="str">
        <f t="shared" si="453"/>
        <v>Texas Rangers</v>
      </c>
      <c r="I5241" s="60">
        <f t="shared" si="454"/>
        <v>7</v>
      </c>
      <c r="J5241" t="str">
        <f t="shared" si="455"/>
        <v>Baltimore Orioles</v>
      </c>
      <c r="K5241" s="60">
        <f t="shared" si="456"/>
        <v>6</v>
      </c>
      <c r="L5241">
        <f t="shared" si="457"/>
        <v>1</v>
      </c>
    </row>
    <row r="5242" spans="1:12" x14ac:dyDescent="0.25">
      <c r="G5242" t="str">
        <f t="shared" si="458"/>
        <v>09/06/19</v>
      </c>
      <c r="H5242" t="str">
        <f t="shared" si="453"/>
        <v/>
      </c>
      <c r="I5242" s="60" t="str">
        <f t="shared" si="454"/>
        <v/>
      </c>
      <c r="J5242" t="str">
        <f t="shared" si="455"/>
        <v/>
      </c>
      <c r="K5242" s="60" t="str">
        <f t="shared" si="456"/>
        <v/>
      </c>
      <c r="L5242" t="str">
        <f t="shared" si="457"/>
        <v/>
      </c>
    </row>
    <row r="5243" spans="1:12" x14ac:dyDescent="0.25">
      <c r="A5243" t="s">
        <v>4315</v>
      </c>
      <c r="G5243" t="str">
        <f t="shared" si="458"/>
        <v>09/06/19</v>
      </c>
      <c r="H5243" t="str">
        <f t="shared" si="453"/>
        <v>New York Yankees</v>
      </c>
      <c r="I5243" s="60">
        <f t="shared" si="454"/>
        <v>1</v>
      </c>
      <c r="J5243" t="str">
        <f t="shared" si="455"/>
        <v>Boston Red Sox</v>
      </c>
      <c r="K5243" s="60">
        <f t="shared" si="456"/>
        <v>6</v>
      </c>
      <c r="L5243">
        <f t="shared" si="457"/>
        <v>-5</v>
      </c>
    </row>
    <row r="5244" spans="1:12" x14ac:dyDescent="0.25">
      <c r="G5244" t="str">
        <f t="shared" si="458"/>
        <v>09/06/19</v>
      </c>
      <c r="H5244" t="str">
        <f t="shared" si="453"/>
        <v/>
      </c>
      <c r="I5244" s="60" t="str">
        <f t="shared" si="454"/>
        <v/>
      </c>
      <c r="J5244" t="str">
        <f t="shared" si="455"/>
        <v/>
      </c>
      <c r="K5244" s="60" t="str">
        <f t="shared" si="456"/>
        <v/>
      </c>
      <c r="L5244" t="str">
        <f t="shared" si="457"/>
        <v/>
      </c>
    </row>
    <row r="5245" spans="1:12" x14ac:dyDescent="0.25">
      <c r="A5245" t="s">
        <v>4316</v>
      </c>
      <c r="G5245" t="str">
        <f t="shared" si="458"/>
        <v>09/06/19</v>
      </c>
      <c r="H5245" t="str">
        <f t="shared" si="453"/>
        <v>Los Angeles Angels</v>
      </c>
      <c r="I5245" s="60">
        <f t="shared" si="454"/>
        <v>5</v>
      </c>
      <c r="J5245" t="str">
        <f t="shared" si="455"/>
        <v>Chicago White Sox</v>
      </c>
      <c r="K5245" s="60">
        <f t="shared" si="456"/>
        <v>4</v>
      </c>
      <c r="L5245">
        <f t="shared" si="457"/>
        <v>1</v>
      </c>
    </row>
    <row r="5246" spans="1:12" x14ac:dyDescent="0.25">
      <c r="G5246" t="str">
        <f t="shared" si="458"/>
        <v>09/06/19</v>
      </c>
      <c r="H5246" t="str">
        <f t="shared" si="453"/>
        <v/>
      </c>
      <c r="I5246" s="60" t="str">
        <f t="shared" si="454"/>
        <v/>
      </c>
      <c r="J5246" t="str">
        <f t="shared" si="455"/>
        <v/>
      </c>
      <c r="K5246" s="60" t="str">
        <f t="shared" si="456"/>
        <v/>
      </c>
      <c r="L5246" t="str">
        <f t="shared" si="457"/>
        <v/>
      </c>
    </row>
    <row r="5247" spans="1:12" x14ac:dyDescent="0.25">
      <c r="A5247" t="s">
        <v>4317</v>
      </c>
      <c r="G5247" t="str">
        <f t="shared" si="458"/>
        <v>09/06/19</v>
      </c>
      <c r="H5247" t="str">
        <f t="shared" si="453"/>
        <v>Arizona D'Backs</v>
      </c>
      <c r="I5247" s="60">
        <f t="shared" si="454"/>
        <v>7</v>
      </c>
      <c r="J5247" t="str">
        <f t="shared" si="455"/>
        <v>Cincinnati Reds</v>
      </c>
      <c r="K5247" s="60">
        <f t="shared" si="456"/>
        <v>5</v>
      </c>
      <c r="L5247">
        <f t="shared" si="457"/>
        <v>2</v>
      </c>
    </row>
    <row r="5248" spans="1:12" x14ac:dyDescent="0.25">
      <c r="G5248" t="str">
        <f t="shared" si="458"/>
        <v>09/06/19</v>
      </c>
      <c r="H5248" t="str">
        <f t="shared" si="453"/>
        <v/>
      </c>
      <c r="I5248" s="60" t="str">
        <f t="shared" si="454"/>
        <v/>
      </c>
      <c r="J5248" t="str">
        <f t="shared" si="455"/>
        <v/>
      </c>
      <c r="K5248" s="60" t="str">
        <f t="shared" si="456"/>
        <v/>
      </c>
      <c r="L5248" t="str">
        <f t="shared" si="457"/>
        <v/>
      </c>
    </row>
    <row r="5249" spans="1:12" x14ac:dyDescent="0.25">
      <c r="A5249" t="s">
        <v>4318</v>
      </c>
      <c r="G5249" t="str">
        <f t="shared" si="458"/>
        <v>09/06/19</v>
      </c>
      <c r="H5249" t="str">
        <f t="shared" si="453"/>
        <v>Seattle Mariners</v>
      </c>
      <c r="I5249" s="60">
        <f t="shared" si="454"/>
        <v>4</v>
      </c>
      <c r="J5249" t="str">
        <f t="shared" si="455"/>
        <v>Houston Astros</v>
      </c>
      <c r="K5249" s="60">
        <f t="shared" si="456"/>
        <v>7</v>
      </c>
      <c r="L5249">
        <f t="shared" si="457"/>
        <v>-3</v>
      </c>
    </row>
    <row r="5250" spans="1:12" x14ac:dyDescent="0.25">
      <c r="G5250" t="str">
        <f t="shared" si="458"/>
        <v>09/06/19</v>
      </c>
      <c r="H5250" t="str">
        <f t="shared" si="453"/>
        <v/>
      </c>
      <c r="I5250" s="60" t="str">
        <f t="shared" si="454"/>
        <v/>
      </c>
      <c r="J5250" t="str">
        <f t="shared" si="455"/>
        <v/>
      </c>
      <c r="K5250" s="60" t="str">
        <f t="shared" si="456"/>
        <v/>
      </c>
      <c r="L5250" t="str">
        <f t="shared" si="457"/>
        <v/>
      </c>
    </row>
    <row r="5251" spans="1:12" x14ac:dyDescent="0.25">
      <c r="A5251" t="s">
        <v>4319</v>
      </c>
      <c r="G5251" t="str">
        <f t="shared" si="458"/>
        <v>09/06/19</v>
      </c>
      <c r="H5251" t="str">
        <f t="shared" si="453"/>
        <v>San Francisco Giants</v>
      </c>
      <c r="I5251" s="60">
        <f t="shared" si="454"/>
        <v>5</v>
      </c>
      <c r="J5251" t="str">
        <f t="shared" si="455"/>
        <v>Los Angeles Dodgers</v>
      </c>
      <c r="K5251" s="60">
        <f t="shared" si="456"/>
        <v>4</v>
      </c>
      <c r="L5251">
        <f t="shared" si="457"/>
        <v>1</v>
      </c>
    </row>
    <row r="5252" spans="1:12" x14ac:dyDescent="0.25">
      <c r="G5252" t="str">
        <f t="shared" si="458"/>
        <v>09/06/19</v>
      </c>
      <c r="H5252" t="str">
        <f t="shared" si="453"/>
        <v/>
      </c>
      <c r="I5252" s="60" t="str">
        <f t="shared" si="454"/>
        <v/>
      </c>
      <c r="J5252" t="str">
        <f t="shared" si="455"/>
        <v/>
      </c>
      <c r="K5252" s="60" t="str">
        <f t="shared" si="456"/>
        <v/>
      </c>
      <c r="L5252" t="str">
        <f t="shared" si="457"/>
        <v/>
      </c>
    </row>
    <row r="5253" spans="1:12" x14ac:dyDescent="0.25">
      <c r="A5253" t="s">
        <v>4320</v>
      </c>
      <c r="G5253" t="str">
        <f t="shared" si="458"/>
        <v>09/06/19</v>
      </c>
      <c r="H5253" t="str">
        <f t="shared" si="453"/>
        <v>Kansas City Royals</v>
      </c>
      <c r="I5253" s="60">
        <f t="shared" si="454"/>
        <v>3</v>
      </c>
      <c r="J5253" t="str">
        <f t="shared" si="455"/>
        <v>Miami Marlins</v>
      </c>
      <c r="K5253" s="60">
        <f t="shared" si="456"/>
        <v>0</v>
      </c>
      <c r="L5253">
        <f t="shared" si="457"/>
        <v>3</v>
      </c>
    </row>
    <row r="5254" spans="1:12" x14ac:dyDescent="0.25">
      <c r="G5254" t="str">
        <f t="shared" si="458"/>
        <v>09/06/19</v>
      </c>
      <c r="H5254" t="str">
        <f t="shared" si="453"/>
        <v/>
      </c>
      <c r="I5254" s="60" t="str">
        <f t="shared" si="454"/>
        <v/>
      </c>
      <c r="J5254" t="str">
        <f t="shared" si="455"/>
        <v/>
      </c>
      <c r="K5254" s="60" t="str">
        <f t="shared" si="456"/>
        <v/>
      </c>
      <c r="L5254" t="str">
        <f t="shared" si="457"/>
        <v/>
      </c>
    </row>
    <row r="5255" spans="1:12" x14ac:dyDescent="0.25">
      <c r="A5255" t="s">
        <v>4321</v>
      </c>
      <c r="G5255" t="str">
        <f t="shared" si="458"/>
        <v>09/06/19</v>
      </c>
      <c r="H5255" t="str">
        <f t="shared" si="453"/>
        <v>Chicago Cubs</v>
      </c>
      <c r="I5255" s="60">
        <f t="shared" si="454"/>
        <v>1</v>
      </c>
      <c r="J5255" t="str">
        <f t="shared" si="455"/>
        <v>Milwaukee Brewers</v>
      </c>
      <c r="K5255" s="60">
        <f t="shared" si="456"/>
        <v>7</v>
      </c>
      <c r="L5255">
        <f t="shared" si="457"/>
        <v>-6</v>
      </c>
    </row>
    <row r="5256" spans="1:12" x14ac:dyDescent="0.25">
      <c r="G5256" t="str">
        <f t="shared" si="458"/>
        <v>09/06/19</v>
      </c>
      <c r="H5256" t="str">
        <f t="shared" si="453"/>
        <v/>
      </c>
      <c r="I5256" s="60" t="str">
        <f t="shared" si="454"/>
        <v/>
      </c>
      <c r="J5256" t="str">
        <f t="shared" si="455"/>
        <v/>
      </c>
      <c r="K5256" s="60" t="str">
        <f t="shared" si="456"/>
        <v/>
      </c>
      <c r="L5256" t="str">
        <f t="shared" si="457"/>
        <v/>
      </c>
    </row>
    <row r="5257" spans="1:12" x14ac:dyDescent="0.25">
      <c r="A5257" t="s">
        <v>3851</v>
      </c>
      <c r="G5257" t="str">
        <f t="shared" si="458"/>
        <v>09/06/19</v>
      </c>
      <c r="H5257" t="str">
        <f t="shared" si="453"/>
        <v>Cleveland Indians</v>
      </c>
      <c r="I5257" s="60">
        <f t="shared" si="454"/>
        <v>6</v>
      </c>
      <c r="J5257" t="str">
        <f t="shared" si="455"/>
        <v>Minnesota Twins</v>
      </c>
      <c r="K5257" s="60">
        <f t="shared" si="456"/>
        <v>2</v>
      </c>
      <c r="L5257">
        <f t="shared" si="457"/>
        <v>4</v>
      </c>
    </row>
    <row r="5258" spans="1:12" x14ac:dyDescent="0.25">
      <c r="G5258" t="str">
        <f t="shared" si="458"/>
        <v>09/06/19</v>
      </c>
      <c r="H5258" t="str">
        <f t="shared" si="453"/>
        <v/>
      </c>
      <c r="I5258" s="60" t="str">
        <f t="shared" si="454"/>
        <v/>
      </c>
      <c r="J5258" t="str">
        <f t="shared" si="455"/>
        <v/>
      </c>
      <c r="K5258" s="60" t="str">
        <f t="shared" si="456"/>
        <v/>
      </c>
      <c r="L5258" t="str">
        <f t="shared" si="457"/>
        <v/>
      </c>
    </row>
    <row r="5259" spans="1:12" x14ac:dyDescent="0.25">
      <c r="A5259" t="s">
        <v>4322</v>
      </c>
      <c r="G5259" t="str">
        <f t="shared" si="458"/>
        <v>09/06/19</v>
      </c>
      <c r="H5259" t="str">
        <f t="shared" si="453"/>
        <v>Philadelphia Phillies</v>
      </c>
      <c r="I5259" s="60">
        <f t="shared" si="454"/>
        <v>4</v>
      </c>
      <c r="J5259" t="str">
        <f t="shared" si="455"/>
        <v>New York Mets</v>
      </c>
      <c r="K5259" s="60">
        <f t="shared" si="456"/>
        <v>5</v>
      </c>
      <c r="L5259">
        <f t="shared" si="457"/>
        <v>-1</v>
      </c>
    </row>
    <row r="5260" spans="1:12" x14ac:dyDescent="0.25">
      <c r="G5260" t="str">
        <f t="shared" si="458"/>
        <v>09/06/19</v>
      </c>
      <c r="H5260" t="str">
        <f t="shared" si="453"/>
        <v/>
      </c>
      <c r="I5260" s="60" t="str">
        <f t="shared" si="454"/>
        <v/>
      </c>
      <c r="J5260" t="str">
        <f t="shared" si="455"/>
        <v/>
      </c>
      <c r="K5260" s="60" t="str">
        <f t="shared" si="456"/>
        <v/>
      </c>
      <c r="L5260" t="str">
        <f t="shared" si="457"/>
        <v/>
      </c>
    </row>
    <row r="5261" spans="1:12" x14ac:dyDescent="0.25">
      <c r="A5261" t="s">
        <v>4323</v>
      </c>
      <c r="G5261" t="str">
        <f t="shared" si="458"/>
        <v>09/06/19</v>
      </c>
      <c r="H5261" t="str">
        <f t="shared" si="453"/>
        <v>Detroit Tigers</v>
      </c>
      <c r="I5261" s="60">
        <f t="shared" si="454"/>
        <v>5</v>
      </c>
      <c r="J5261" t="str">
        <f t="shared" si="455"/>
        <v>Oakland Athletics</v>
      </c>
      <c r="K5261" s="60">
        <f t="shared" si="456"/>
        <v>4</v>
      </c>
      <c r="L5261">
        <f t="shared" si="457"/>
        <v>1</v>
      </c>
    </row>
    <row r="5262" spans="1:12" x14ac:dyDescent="0.25">
      <c r="G5262" t="str">
        <f t="shared" si="458"/>
        <v>09/06/19</v>
      </c>
      <c r="H5262" t="str">
        <f t="shared" si="453"/>
        <v/>
      </c>
      <c r="I5262" s="60" t="str">
        <f t="shared" si="454"/>
        <v/>
      </c>
      <c r="J5262" t="str">
        <f t="shared" si="455"/>
        <v/>
      </c>
      <c r="K5262" s="60" t="str">
        <f t="shared" si="456"/>
        <v/>
      </c>
      <c r="L5262" t="str">
        <f t="shared" si="457"/>
        <v/>
      </c>
    </row>
    <row r="5263" spans="1:12" x14ac:dyDescent="0.25">
      <c r="A5263" t="s">
        <v>4324</v>
      </c>
      <c r="G5263" t="str">
        <f t="shared" si="458"/>
        <v>09/06/19</v>
      </c>
      <c r="H5263" t="str">
        <f t="shared" si="453"/>
        <v>St. Louis Cardinals</v>
      </c>
      <c r="I5263" s="60">
        <f t="shared" si="454"/>
        <v>4</v>
      </c>
      <c r="J5263" t="str">
        <f t="shared" si="455"/>
        <v>Pittsburgh Pirates</v>
      </c>
      <c r="K5263" s="60">
        <f t="shared" si="456"/>
        <v>9</v>
      </c>
      <c r="L5263">
        <f t="shared" si="457"/>
        <v>-5</v>
      </c>
    </row>
    <row r="5264" spans="1:12" x14ac:dyDescent="0.25">
      <c r="G5264" t="str">
        <f t="shared" si="458"/>
        <v>09/06/19</v>
      </c>
      <c r="H5264" t="str">
        <f t="shared" ref="H5264:H5327" si="459">IFERROR(LEFT(MID(A5264,1,SEARCH("@",A5264)-2),SEARCH("(",A5264)-2),"")</f>
        <v/>
      </c>
      <c r="I5264" s="60" t="str">
        <f t="shared" ref="I5264:I5327" si="460">IFERROR(VALUE(MID(A5264,SEARCH("(",A5264)+1,SEARCH(")",A5264)-SEARCH("(",A5264)-1)),"")</f>
        <v/>
      </c>
      <c r="J5264" t="str">
        <f t="shared" ref="J5264:J5327" si="461">IFERROR(MID(A5264,SEARCH("@",A5264)+2,SEARCH("(",A5264,SEARCH("@",A5264))-SEARCH("@",A5264)-3),"")</f>
        <v/>
      </c>
      <c r="K5264" s="60" t="str">
        <f t="shared" ref="K5264:K5327" si="462">IFERROR(VALUE(MID(A5264,SEARCH(J5264,A5264)+LEN(J5264)+2,(SEARCH(")",A5264,SEARCH("@",A5264))-SEARCH("(",A5264,SEARCH("@",A5264))-1))),"")</f>
        <v/>
      </c>
      <c r="L5264" t="str">
        <f t="shared" ref="L5264:L5327" si="463">IFERROR(I5264-K5264,"")</f>
        <v/>
      </c>
    </row>
    <row r="5265" spans="1:12" x14ac:dyDescent="0.25">
      <c r="A5265" t="s">
        <v>4325</v>
      </c>
      <c r="G5265" t="str">
        <f t="shared" si="458"/>
        <v>09/06/19</v>
      </c>
      <c r="H5265" t="str">
        <f t="shared" si="459"/>
        <v>Colorado Rockies</v>
      </c>
      <c r="I5265" s="60">
        <f t="shared" si="460"/>
        <v>3</v>
      </c>
      <c r="J5265" t="str">
        <f t="shared" si="461"/>
        <v>San Diego Padres</v>
      </c>
      <c r="K5265" s="60">
        <f t="shared" si="462"/>
        <v>2</v>
      </c>
      <c r="L5265">
        <f t="shared" si="463"/>
        <v>1</v>
      </c>
    </row>
    <row r="5266" spans="1:12" x14ac:dyDescent="0.25">
      <c r="G5266" t="str">
        <f t="shared" si="458"/>
        <v>09/06/19</v>
      </c>
      <c r="H5266" t="str">
        <f t="shared" si="459"/>
        <v/>
      </c>
      <c r="I5266" s="60" t="str">
        <f t="shared" si="460"/>
        <v/>
      </c>
      <c r="J5266" t="str">
        <f t="shared" si="461"/>
        <v/>
      </c>
      <c r="K5266" s="60" t="str">
        <f t="shared" si="462"/>
        <v/>
      </c>
      <c r="L5266" t="str">
        <f t="shared" si="463"/>
        <v/>
      </c>
    </row>
    <row r="5267" spans="1:12" x14ac:dyDescent="0.25">
      <c r="A5267" t="s">
        <v>4326</v>
      </c>
      <c r="G5267" t="str">
        <f t="shared" si="458"/>
        <v>09/06/19</v>
      </c>
      <c r="H5267" t="str">
        <f t="shared" si="459"/>
        <v>Toronto Blue Jays</v>
      </c>
      <c r="I5267" s="60">
        <f t="shared" si="460"/>
        <v>0</v>
      </c>
      <c r="J5267" t="str">
        <f t="shared" si="461"/>
        <v>Tampa Bay Rays</v>
      </c>
      <c r="K5267" s="60">
        <f t="shared" si="462"/>
        <v>5</v>
      </c>
      <c r="L5267">
        <f t="shared" si="463"/>
        <v>-5</v>
      </c>
    </row>
    <row r="5268" spans="1:12" x14ac:dyDescent="0.25">
      <c r="G5268" t="str">
        <f t="shared" si="458"/>
        <v>09/06/19</v>
      </c>
      <c r="H5268" t="str">
        <f t="shared" si="459"/>
        <v/>
      </c>
      <c r="I5268" s="60" t="str">
        <f t="shared" si="460"/>
        <v/>
      </c>
      <c r="J5268" t="str">
        <f t="shared" si="461"/>
        <v/>
      </c>
      <c r="K5268" s="60" t="str">
        <f t="shared" si="462"/>
        <v/>
      </c>
      <c r="L5268" t="str">
        <f t="shared" si="463"/>
        <v/>
      </c>
    </row>
    <row r="5269" spans="1:12" x14ac:dyDescent="0.25">
      <c r="A5269" t="s">
        <v>4327</v>
      </c>
      <c r="G5269" t="str">
        <f t="shared" si="458"/>
        <v>09/06/19</v>
      </c>
      <c r="H5269" t="str">
        <f t="shared" si="459"/>
        <v/>
      </c>
      <c r="I5269" s="60" t="str">
        <f t="shared" si="460"/>
        <v/>
      </c>
      <c r="J5269" t="str">
        <f t="shared" si="461"/>
        <v/>
      </c>
      <c r="K5269" s="60" t="str">
        <f t="shared" si="462"/>
        <v/>
      </c>
      <c r="L5269" t="str">
        <f t="shared" si="463"/>
        <v/>
      </c>
    </row>
    <row r="5270" spans="1:12" x14ac:dyDescent="0.25">
      <c r="G5270" t="str">
        <f t="shared" si="458"/>
        <v>09/06/19</v>
      </c>
      <c r="H5270" t="str">
        <f t="shared" si="459"/>
        <v/>
      </c>
      <c r="I5270" s="60" t="str">
        <f t="shared" si="460"/>
        <v/>
      </c>
      <c r="J5270" t="str">
        <f t="shared" si="461"/>
        <v/>
      </c>
      <c r="K5270" s="60" t="str">
        <f t="shared" si="462"/>
        <v/>
      </c>
      <c r="L5270" t="str">
        <f t="shared" si="463"/>
        <v/>
      </c>
    </row>
    <row r="5271" spans="1:12" x14ac:dyDescent="0.25">
      <c r="A5271" t="s">
        <v>3306</v>
      </c>
      <c r="G5271" t="str">
        <f t="shared" si="458"/>
        <v>09/07/19</v>
      </c>
      <c r="H5271" t="str">
        <f t="shared" si="459"/>
        <v/>
      </c>
      <c r="I5271" s="60" t="str">
        <f t="shared" si="460"/>
        <v/>
      </c>
      <c r="J5271" t="str">
        <f t="shared" si="461"/>
        <v/>
      </c>
      <c r="K5271" s="60" t="str">
        <f t="shared" si="462"/>
        <v/>
      </c>
      <c r="L5271" t="str">
        <f t="shared" si="463"/>
        <v/>
      </c>
    </row>
    <row r="5272" spans="1:12" x14ac:dyDescent="0.25">
      <c r="G5272" t="str">
        <f t="shared" si="458"/>
        <v>09/07/19</v>
      </c>
      <c r="H5272" t="str">
        <f t="shared" si="459"/>
        <v/>
      </c>
      <c r="I5272" s="60" t="str">
        <f t="shared" si="460"/>
        <v/>
      </c>
      <c r="J5272" t="str">
        <f t="shared" si="461"/>
        <v/>
      </c>
      <c r="K5272" s="60" t="str">
        <f t="shared" si="462"/>
        <v/>
      </c>
      <c r="L5272" t="str">
        <f t="shared" si="463"/>
        <v/>
      </c>
    </row>
    <row r="5273" spans="1:12" x14ac:dyDescent="0.25">
      <c r="A5273" t="s">
        <v>4328</v>
      </c>
      <c r="G5273" t="str">
        <f t="shared" si="458"/>
        <v>09/07/19</v>
      </c>
      <c r="H5273" t="str">
        <f t="shared" si="459"/>
        <v>Washington Nationals</v>
      </c>
      <c r="I5273" s="60">
        <f t="shared" si="460"/>
        <v>4</v>
      </c>
      <c r="J5273" t="str">
        <f t="shared" si="461"/>
        <v>Atlanta Braves</v>
      </c>
      <c r="K5273" s="60">
        <f t="shared" si="462"/>
        <v>5</v>
      </c>
      <c r="L5273">
        <f t="shared" si="463"/>
        <v>-1</v>
      </c>
    </row>
    <row r="5274" spans="1:12" x14ac:dyDescent="0.25">
      <c r="G5274" t="str">
        <f t="shared" si="458"/>
        <v>09/07/19</v>
      </c>
      <c r="H5274" t="str">
        <f t="shared" si="459"/>
        <v/>
      </c>
      <c r="I5274" s="60" t="str">
        <f t="shared" si="460"/>
        <v/>
      </c>
      <c r="J5274" t="str">
        <f t="shared" si="461"/>
        <v/>
      </c>
      <c r="K5274" s="60" t="str">
        <f t="shared" si="462"/>
        <v/>
      </c>
      <c r="L5274" t="str">
        <f t="shared" si="463"/>
        <v/>
      </c>
    </row>
    <row r="5275" spans="1:12" x14ac:dyDescent="0.25">
      <c r="A5275" t="s">
        <v>4329</v>
      </c>
      <c r="G5275" t="str">
        <f t="shared" si="458"/>
        <v>09/07/19</v>
      </c>
      <c r="H5275" t="str">
        <f t="shared" si="459"/>
        <v>Texas Rangers</v>
      </c>
      <c r="I5275" s="60">
        <f t="shared" si="460"/>
        <v>9</v>
      </c>
      <c r="J5275" t="str">
        <f t="shared" si="461"/>
        <v>Baltimore Orioles</v>
      </c>
      <c r="K5275" s="60">
        <f t="shared" si="462"/>
        <v>4</v>
      </c>
      <c r="L5275">
        <f t="shared" si="463"/>
        <v>5</v>
      </c>
    </row>
    <row r="5276" spans="1:12" x14ac:dyDescent="0.25">
      <c r="G5276" t="str">
        <f t="shared" si="458"/>
        <v>09/07/19</v>
      </c>
      <c r="H5276" t="str">
        <f t="shared" si="459"/>
        <v/>
      </c>
      <c r="I5276" s="60" t="str">
        <f t="shared" si="460"/>
        <v/>
      </c>
      <c r="J5276" t="str">
        <f t="shared" si="461"/>
        <v/>
      </c>
      <c r="K5276" s="60" t="str">
        <f t="shared" si="462"/>
        <v/>
      </c>
      <c r="L5276" t="str">
        <f t="shared" si="463"/>
        <v/>
      </c>
    </row>
    <row r="5277" spans="1:12" x14ac:dyDescent="0.25">
      <c r="A5277" t="s">
        <v>4330</v>
      </c>
      <c r="G5277" t="str">
        <f t="shared" si="458"/>
        <v>09/07/19</v>
      </c>
      <c r="H5277" t="str">
        <f t="shared" si="459"/>
        <v>New York Yankees</v>
      </c>
      <c r="I5277" s="60">
        <f t="shared" si="460"/>
        <v>5</v>
      </c>
      <c r="J5277" t="str">
        <f t="shared" si="461"/>
        <v>Boston Red Sox</v>
      </c>
      <c r="K5277" s="60">
        <f t="shared" si="462"/>
        <v>1</v>
      </c>
      <c r="L5277">
        <f t="shared" si="463"/>
        <v>4</v>
      </c>
    </row>
    <row r="5278" spans="1:12" x14ac:dyDescent="0.25">
      <c r="G5278" t="str">
        <f t="shared" si="458"/>
        <v>09/07/19</v>
      </c>
      <c r="H5278" t="str">
        <f t="shared" si="459"/>
        <v/>
      </c>
      <c r="I5278" s="60" t="str">
        <f t="shared" si="460"/>
        <v/>
      </c>
      <c r="J5278" t="str">
        <f t="shared" si="461"/>
        <v/>
      </c>
      <c r="K5278" s="60" t="str">
        <f t="shared" si="462"/>
        <v/>
      </c>
      <c r="L5278" t="str">
        <f t="shared" si="463"/>
        <v/>
      </c>
    </row>
    <row r="5279" spans="1:12" x14ac:dyDescent="0.25">
      <c r="A5279" t="s">
        <v>4331</v>
      </c>
      <c r="G5279" t="str">
        <f t="shared" si="458"/>
        <v>09/07/19</v>
      </c>
      <c r="H5279" t="str">
        <f t="shared" si="459"/>
        <v>Los Angeles Angels</v>
      </c>
      <c r="I5279" s="60">
        <f t="shared" si="460"/>
        <v>8</v>
      </c>
      <c r="J5279" t="str">
        <f t="shared" si="461"/>
        <v>Chicago White Sox</v>
      </c>
      <c r="K5279" s="60">
        <f t="shared" si="462"/>
        <v>7</v>
      </c>
      <c r="L5279">
        <f t="shared" si="463"/>
        <v>1</v>
      </c>
    </row>
    <row r="5280" spans="1:12" x14ac:dyDescent="0.25">
      <c r="G5280" t="str">
        <f t="shared" si="458"/>
        <v>09/07/19</v>
      </c>
      <c r="H5280" t="str">
        <f t="shared" si="459"/>
        <v/>
      </c>
      <c r="I5280" s="60" t="str">
        <f t="shared" si="460"/>
        <v/>
      </c>
      <c r="J5280" t="str">
        <f t="shared" si="461"/>
        <v/>
      </c>
      <c r="K5280" s="60" t="str">
        <f t="shared" si="462"/>
        <v/>
      </c>
      <c r="L5280" t="str">
        <f t="shared" si="463"/>
        <v/>
      </c>
    </row>
    <row r="5281" spans="1:12" x14ac:dyDescent="0.25">
      <c r="A5281" t="s">
        <v>4332</v>
      </c>
      <c r="G5281" t="str">
        <f t="shared" si="458"/>
        <v>09/07/19</v>
      </c>
      <c r="H5281" t="str">
        <f t="shared" si="459"/>
        <v>Arizona D'Backs</v>
      </c>
      <c r="I5281" s="60">
        <f t="shared" si="460"/>
        <v>2</v>
      </c>
      <c r="J5281" t="str">
        <f t="shared" si="461"/>
        <v>Cincinnati Reds</v>
      </c>
      <c r="K5281" s="60">
        <f t="shared" si="462"/>
        <v>0</v>
      </c>
      <c r="L5281">
        <f t="shared" si="463"/>
        <v>2</v>
      </c>
    </row>
    <row r="5282" spans="1:12" x14ac:dyDescent="0.25">
      <c r="G5282" t="str">
        <f t="shared" ref="G5282:G5345" si="464">IF(ISNUMBER(MATCH(IFERROR(LEFT(A5282,SEARCH(",",A5282)-1),""),$G$220:$M$220,0)),TEXT(MID(A5282,SEARCH(",",A5282)+2,LEN(A5282)),"mm/dd/yy"),G5281)</f>
        <v>09/07/19</v>
      </c>
      <c r="H5282" t="str">
        <f t="shared" si="459"/>
        <v/>
      </c>
      <c r="I5282" s="60" t="str">
        <f t="shared" si="460"/>
        <v/>
      </c>
      <c r="J5282" t="str">
        <f t="shared" si="461"/>
        <v/>
      </c>
      <c r="K5282" s="60" t="str">
        <f t="shared" si="462"/>
        <v/>
      </c>
      <c r="L5282" t="str">
        <f t="shared" si="463"/>
        <v/>
      </c>
    </row>
    <row r="5283" spans="1:12" x14ac:dyDescent="0.25">
      <c r="A5283" t="s">
        <v>3022</v>
      </c>
      <c r="G5283" t="str">
        <f t="shared" si="464"/>
        <v>09/07/19</v>
      </c>
      <c r="H5283" t="str">
        <f t="shared" si="459"/>
        <v>Seattle Mariners</v>
      </c>
      <c r="I5283" s="60">
        <f t="shared" si="460"/>
        <v>1</v>
      </c>
      <c r="J5283" t="str">
        <f t="shared" si="461"/>
        <v>Houston Astros</v>
      </c>
      <c r="K5283" s="60">
        <f t="shared" si="462"/>
        <v>2</v>
      </c>
      <c r="L5283">
        <f t="shared" si="463"/>
        <v>-1</v>
      </c>
    </row>
    <row r="5284" spans="1:12" x14ac:dyDescent="0.25">
      <c r="G5284" t="str">
        <f t="shared" si="464"/>
        <v>09/07/19</v>
      </c>
      <c r="H5284" t="str">
        <f t="shared" si="459"/>
        <v/>
      </c>
      <c r="I5284" s="60" t="str">
        <f t="shared" si="460"/>
        <v/>
      </c>
      <c r="J5284" t="str">
        <f t="shared" si="461"/>
        <v/>
      </c>
      <c r="K5284" s="60" t="str">
        <f t="shared" si="462"/>
        <v/>
      </c>
      <c r="L5284" t="str">
        <f t="shared" si="463"/>
        <v/>
      </c>
    </row>
    <row r="5285" spans="1:12" x14ac:dyDescent="0.25">
      <c r="A5285" t="s">
        <v>4333</v>
      </c>
      <c r="G5285" t="str">
        <f t="shared" si="464"/>
        <v>09/07/19</v>
      </c>
      <c r="H5285" t="str">
        <f t="shared" si="459"/>
        <v>San Francisco Giants</v>
      </c>
      <c r="I5285" s="60">
        <f t="shared" si="460"/>
        <v>1</v>
      </c>
      <c r="J5285" t="str">
        <f t="shared" si="461"/>
        <v>Los Angeles Dodgers</v>
      </c>
      <c r="K5285" s="60">
        <f t="shared" si="462"/>
        <v>0</v>
      </c>
      <c r="L5285">
        <f t="shared" si="463"/>
        <v>1</v>
      </c>
    </row>
    <row r="5286" spans="1:12" x14ac:dyDescent="0.25">
      <c r="G5286" t="str">
        <f t="shared" si="464"/>
        <v>09/07/19</v>
      </c>
      <c r="H5286" t="str">
        <f t="shared" si="459"/>
        <v/>
      </c>
      <c r="I5286" s="60" t="str">
        <f t="shared" si="460"/>
        <v/>
      </c>
      <c r="J5286" t="str">
        <f t="shared" si="461"/>
        <v/>
      </c>
      <c r="K5286" s="60" t="str">
        <f t="shared" si="462"/>
        <v/>
      </c>
      <c r="L5286" t="str">
        <f t="shared" si="463"/>
        <v/>
      </c>
    </row>
    <row r="5287" spans="1:12" x14ac:dyDescent="0.25">
      <c r="A5287" t="s">
        <v>4334</v>
      </c>
      <c r="G5287" t="str">
        <f t="shared" si="464"/>
        <v>09/07/19</v>
      </c>
      <c r="H5287" t="str">
        <f t="shared" si="459"/>
        <v>Kansas City Royals</v>
      </c>
      <c r="I5287" s="60">
        <f t="shared" si="460"/>
        <v>7</v>
      </c>
      <c r="J5287" t="str">
        <f t="shared" si="461"/>
        <v>Miami Marlins</v>
      </c>
      <c r="K5287" s="60">
        <f t="shared" si="462"/>
        <v>2</v>
      </c>
      <c r="L5287">
        <f t="shared" si="463"/>
        <v>5</v>
      </c>
    </row>
    <row r="5288" spans="1:12" x14ac:dyDescent="0.25">
      <c r="G5288" t="str">
        <f t="shared" si="464"/>
        <v>09/07/19</v>
      </c>
      <c r="H5288" t="str">
        <f t="shared" si="459"/>
        <v/>
      </c>
      <c r="I5288" s="60" t="str">
        <f t="shared" si="460"/>
        <v/>
      </c>
      <c r="J5288" t="str">
        <f t="shared" si="461"/>
        <v/>
      </c>
      <c r="K5288" s="60" t="str">
        <f t="shared" si="462"/>
        <v/>
      </c>
      <c r="L5288" t="str">
        <f t="shared" si="463"/>
        <v/>
      </c>
    </row>
    <row r="5289" spans="1:12" x14ac:dyDescent="0.25">
      <c r="A5289" t="s">
        <v>3539</v>
      </c>
      <c r="G5289" t="str">
        <f t="shared" si="464"/>
        <v>09/07/19</v>
      </c>
      <c r="H5289" t="str">
        <f t="shared" si="459"/>
        <v>Chicago Cubs</v>
      </c>
      <c r="I5289" s="60">
        <f t="shared" si="460"/>
        <v>2</v>
      </c>
      <c r="J5289" t="str">
        <f t="shared" si="461"/>
        <v>Milwaukee Brewers</v>
      </c>
      <c r="K5289" s="60">
        <f t="shared" si="462"/>
        <v>3</v>
      </c>
      <c r="L5289">
        <f t="shared" si="463"/>
        <v>-1</v>
      </c>
    </row>
    <row r="5290" spans="1:12" x14ac:dyDescent="0.25">
      <c r="G5290" t="str">
        <f t="shared" si="464"/>
        <v>09/07/19</v>
      </c>
      <c r="H5290" t="str">
        <f t="shared" si="459"/>
        <v/>
      </c>
      <c r="I5290" s="60" t="str">
        <f t="shared" si="460"/>
        <v/>
      </c>
      <c r="J5290" t="str">
        <f t="shared" si="461"/>
        <v/>
      </c>
      <c r="K5290" s="60" t="str">
        <f t="shared" si="462"/>
        <v/>
      </c>
      <c r="L5290" t="str">
        <f t="shared" si="463"/>
        <v/>
      </c>
    </row>
    <row r="5291" spans="1:12" x14ac:dyDescent="0.25">
      <c r="A5291" t="s">
        <v>4335</v>
      </c>
      <c r="G5291" t="str">
        <f t="shared" si="464"/>
        <v>09/07/19</v>
      </c>
      <c r="H5291" t="str">
        <f t="shared" si="459"/>
        <v>Cleveland Indians</v>
      </c>
      <c r="I5291" s="60">
        <f t="shared" si="460"/>
        <v>3</v>
      </c>
      <c r="J5291" t="str">
        <f t="shared" si="461"/>
        <v>Minnesota Twins</v>
      </c>
      <c r="K5291" s="60">
        <f t="shared" si="462"/>
        <v>5</v>
      </c>
      <c r="L5291">
        <f t="shared" si="463"/>
        <v>-2</v>
      </c>
    </row>
    <row r="5292" spans="1:12" x14ac:dyDescent="0.25">
      <c r="G5292" t="str">
        <f t="shared" si="464"/>
        <v>09/07/19</v>
      </c>
      <c r="H5292" t="str">
        <f t="shared" si="459"/>
        <v/>
      </c>
      <c r="I5292" s="60" t="str">
        <f t="shared" si="460"/>
        <v/>
      </c>
      <c r="J5292" t="str">
        <f t="shared" si="461"/>
        <v/>
      </c>
      <c r="K5292" s="60" t="str">
        <f t="shared" si="462"/>
        <v/>
      </c>
      <c r="L5292" t="str">
        <f t="shared" si="463"/>
        <v/>
      </c>
    </row>
    <row r="5293" spans="1:12" x14ac:dyDescent="0.25">
      <c r="A5293" t="s">
        <v>4336</v>
      </c>
      <c r="G5293" t="str">
        <f t="shared" si="464"/>
        <v>09/07/19</v>
      </c>
      <c r="H5293" t="str">
        <f t="shared" si="459"/>
        <v>Philadelphia Phillies</v>
      </c>
      <c r="I5293" s="60">
        <f t="shared" si="460"/>
        <v>5</v>
      </c>
      <c r="J5293" t="str">
        <f t="shared" si="461"/>
        <v>New York Mets</v>
      </c>
      <c r="K5293" s="60">
        <f t="shared" si="462"/>
        <v>0</v>
      </c>
      <c r="L5293">
        <f t="shared" si="463"/>
        <v>5</v>
      </c>
    </row>
    <row r="5294" spans="1:12" x14ac:dyDescent="0.25">
      <c r="G5294" t="str">
        <f t="shared" si="464"/>
        <v>09/07/19</v>
      </c>
      <c r="H5294" t="str">
        <f t="shared" si="459"/>
        <v/>
      </c>
      <c r="I5294" s="60" t="str">
        <f t="shared" si="460"/>
        <v/>
      </c>
      <c r="J5294" t="str">
        <f t="shared" si="461"/>
        <v/>
      </c>
      <c r="K5294" s="60" t="str">
        <f t="shared" si="462"/>
        <v/>
      </c>
      <c r="L5294" t="str">
        <f t="shared" si="463"/>
        <v/>
      </c>
    </row>
    <row r="5295" spans="1:12" x14ac:dyDescent="0.25">
      <c r="A5295" t="s">
        <v>4337</v>
      </c>
      <c r="G5295" t="str">
        <f t="shared" si="464"/>
        <v>09/07/19</v>
      </c>
      <c r="H5295" t="str">
        <f t="shared" si="459"/>
        <v>Detroit Tigers</v>
      </c>
      <c r="I5295" s="60">
        <f t="shared" si="460"/>
        <v>2</v>
      </c>
      <c r="J5295" t="str">
        <f t="shared" si="461"/>
        <v>Oakland Athletics</v>
      </c>
      <c r="K5295" s="60">
        <f t="shared" si="462"/>
        <v>10</v>
      </c>
      <c r="L5295">
        <f t="shared" si="463"/>
        <v>-8</v>
      </c>
    </row>
    <row r="5296" spans="1:12" x14ac:dyDescent="0.25">
      <c r="G5296" t="str">
        <f t="shared" si="464"/>
        <v>09/07/19</v>
      </c>
      <c r="H5296" t="str">
        <f t="shared" si="459"/>
        <v/>
      </c>
      <c r="I5296" s="60" t="str">
        <f t="shared" si="460"/>
        <v/>
      </c>
      <c r="J5296" t="str">
        <f t="shared" si="461"/>
        <v/>
      </c>
      <c r="K5296" s="60" t="str">
        <f t="shared" si="462"/>
        <v/>
      </c>
      <c r="L5296" t="str">
        <f t="shared" si="463"/>
        <v/>
      </c>
    </row>
    <row r="5297" spans="1:12" x14ac:dyDescent="0.25">
      <c r="A5297" t="s">
        <v>4338</v>
      </c>
      <c r="G5297" t="str">
        <f t="shared" si="464"/>
        <v>09/07/19</v>
      </c>
      <c r="H5297" t="str">
        <f t="shared" si="459"/>
        <v>St. Louis Cardinals</v>
      </c>
      <c r="I5297" s="60">
        <f t="shared" si="460"/>
        <v>10</v>
      </c>
      <c r="J5297" t="str">
        <f t="shared" si="461"/>
        <v>Pittsburgh Pirates</v>
      </c>
      <c r="K5297" s="60">
        <f t="shared" si="462"/>
        <v>1</v>
      </c>
      <c r="L5297">
        <f t="shared" si="463"/>
        <v>9</v>
      </c>
    </row>
    <row r="5298" spans="1:12" x14ac:dyDescent="0.25">
      <c r="G5298" t="str">
        <f t="shared" si="464"/>
        <v>09/07/19</v>
      </c>
      <c r="H5298" t="str">
        <f t="shared" si="459"/>
        <v/>
      </c>
      <c r="I5298" s="60" t="str">
        <f t="shared" si="460"/>
        <v/>
      </c>
      <c r="J5298" t="str">
        <f t="shared" si="461"/>
        <v/>
      </c>
      <c r="K5298" s="60" t="str">
        <f t="shared" si="462"/>
        <v/>
      </c>
      <c r="L5298" t="str">
        <f t="shared" si="463"/>
        <v/>
      </c>
    </row>
    <row r="5299" spans="1:12" x14ac:dyDescent="0.25">
      <c r="A5299" t="s">
        <v>4339</v>
      </c>
      <c r="G5299" t="str">
        <f t="shared" si="464"/>
        <v>09/07/19</v>
      </c>
      <c r="H5299" t="str">
        <f t="shared" si="459"/>
        <v>Colorado Rockies</v>
      </c>
      <c r="I5299" s="60">
        <f t="shared" si="460"/>
        <v>0</v>
      </c>
      <c r="J5299" t="str">
        <f t="shared" si="461"/>
        <v>San Diego Padres</v>
      </c>
      <c r="K5299" s="60">
        <f t="shared" si="462"/>
        <v>3</v>
      </c>
      <c r="L5299">
        <f t="shared" si="463"/>
        <v>-3</v>
      </c>
    </row>
    <row r="5300" spans="1:12" x14ac:dyDescent="0.25">
      <c r="G5300" t="str">
        <f t="shared" si="464"/>
        <v>09/07/19</v>
      </c>
      <c r="H5300" t="str">
        <f t="shared" si="459"/>
        <v/>
      </c>
      <c r="I5300" s="60" t="str">
        <f t="shared" si="460"/>
        <v/>
      </c>
      <c r="J5300" t="str">
        <f t="shared" si="461"/>
        <v/>
      </c>
      <c r="K5300" s="60" t="str">
        <f t="shared" si="462"/>
        <v/>
      </c>
      <c r="L5300" t="str">
        <f t="shared" si="463"/>
        <v/>
      </c>
    </row>
    <row r="5301" spans="1:12" x14ac:dyDescent="0.25">
      <c r="A5301" t="s">
        <v>4340</v>
      </c>
      <c r="G5301" t="str">
        <f t="shared" si="464"/>
        <v>09/07/19</v>
      </c>
      <c r="H5301" t="str">
        <f t="shared" si="459"/>
        <v>Toronto Blue Jays</v>
      </c>
      <c r="I5301" s="60">
        <f t="shared" si="460"/>
        <v>3</v>
      </c>
      <c r="J5301" t="str">
        <f t="shared" si="461"/>
        <v>Tampa Bay Rays</v>
      </c>
      <c r="K5301" s="60">
        <f t="shared" si="462"/>
        <v>5</v>
      </c>
      <c r="L5301">
        <f t="shared" si="463"/>
        <v>-2</v>
      </c>
    </row>
    <row r="5302" spans="1:12" x14ac:dyDescent="0.25">
      <c r="G5302" t="str">
        <f t="shared" si="464"/>
        <v>09/07/19</v>
      </c>
      <c r="H5302" t="str">
        <f t="shared" si="459"/>
        <v/>
      </c>
      <c r="I5302" s="60" t="str">
        <f t="shared" si="460"/>
        <v/>
      </c>
      <c r="J5302" t="str">
        <f t="shared" si="461"/>
        <v/>
      </c>
      <c r="K5302" s="60" t="str">
        <f t="shared" si="462"/>
        <v/>
      </c>
      <c r="L5302" t="str">
        <f t="shared" si="463"/>
        <v/>
      </c>
    </row>
    <row r="5303" spans="1:12" x14ac:dyDescent="0.25">
      <c r="A5303" t="s">
        <v>4341</v>
      </c>
      <c r="G5303" t="str">
        <f t="shared" si="464"/>
        <v>09/07/19</v>
      </c>
      <c r="H5303" t="str">
        <f t="shared" si="459"/>
        <v/>
      </c>
      <c r="I5303" s="60" t="str">
        <f t="shared" si="460"/>
        <v/>
      </c>
      <c r="J5303" t="str">
        <f t="shared" si="461"/>
        <v/>
      </c>
      <c r="K5303" s="60" t="str">
        <f t="shared" si="462"/>
        <v/>
      </c>
      <c r="L5303" t="str">
        <f t="shared" si="463"/>
        <v/>
      </c>
    </row>
    <row r="5304" spans="1:12" x14ac:dyDescent="0.25">
      <c r="G5304" t="str">
        <f t="shared" si="464"/>
        <v>09/07/19</v>
      </c>
      <c r="H5304" t="str">
        <f t="shared" si="459"/>
        <v/>
      </c>
      <c r="I5304" s="60" t="str">
        <f t="shared" si="460"/>
        <v/>
      </c>
      <c r="J5304" t="str">
        <f t="shared" si="461"/>
        <v/>
      </c>
      <c r="K5304" s="60" t="str">
        <f t="shared" si="462"/>
        <v/>
      </c>
      <c r="L5304" t="str">
        <f t="shared" si="463"/>
        <v/>
      </c>
    </row>
    <row r="5305" spans="1:12" x14ac:dyDescent="0.25">
      <c r="A5305" t="s">
        <v>3307</v>
      </c>
      <c r="G5305" t="str">
        <f t="shared" si="464"/>
        <v>09/08/19</v>
      </c>
      <c r="H5305" t="str">
        <f t="shared" si="459"/>
        <v/>
      </c>
      <c r="I5305" s="60" t="str">
        <f t="shared" si="460"/>
        <v/>
      </c>
      <c r="J5305" t="str">
        <f t="shared" si="461"/>
        <v/>
      </c>
      <c r="K5305" s="60" t="str">
        <f t="shared" si="462"/>
        <v/>
      </c>
      <c r="L5305" t="str">
        <f t="shared" si="463"/>
        <v/>
      </c>
    </row>
    <row r="5306" spans="1:12" x14ac:dyDescent="0.25">
      <c r="G5306" t="str">
        <f t="shared" si="464"/>
        <v>09/08/19</v>
      </c>
      <c r="H5306" t="str">
        <f t="shared" si="459"/>
        <v/>
      </c>
      <c r="I5306" s="60" t="str">
        <f t="shared" si="460"/>
        <v/>
      </c>
      <c r="J5306" t="str">
        <f t="shared" si="461"/>
        <v/>
      </c>
      <c r="K5306" s="60" t="str">
        <f t="shared" si="462"/>
        <v/>
      </c>
      <c r="L5306" t="str">
        <f t="shared" si="463"/>
        <v/>
      </c>
    </row>
    <row r="5307" spans="1:12" x14ac:dyDescent="0.25">
      <c r="A5307" t="s">
        <v>4342</v>
      </c>
      <c r="G5307" t="str">
        <f t="shared" si="464"/>
        <v>09/08/19</v>
      </c>
      <c r="H5307" t="str">
        <f t="shared" si="459"/>
        <v>Washington Nationals</v>
      </c>
      <c r="I5307" s="60">
        <f t="shared" si="460"/>
        <v>9</v>
      </c>
      <c r="J5307" t="str">
        <f t="shared" si="461"/>
        <v>Atlanta Braves</v>
      </c>
      <c r="K5307" s="60">
        <f t="shared" si="462"/>
        <v>4</v>
      </c>
      <c r="L5307">
        <f t="shared" si="463"/>
        <v>5</v>
      </c>
    </row>
    <row r="5308" spans="1:12" x14ac:dyDescent="0.25">
      <c r="G5308" t="str">
        <f t="shared" si="464"/>
        <v>09/08/19</v>
      </c>
      <c r="H5308" t="str">
        <f t="shared" si="459"/>
        <v/>
      </c>
      <c r="I5308" s="60" t="str">
        <f t="shared" si="460"/>
        <v/>
      </c>
      <c r="J5308" t="str">
        <f t="shared" si="461"/>
        <v/>
      </c>
      <c r="K5308" s="60" t="str">
        <f t="shared" si="462"/>
        <v/>
      </c>
      <c r="L5308" t="str">
        <f t="shared" si="463"/>
        <v/>
      </c>
    </row>
    <row r="5309" spans="1:12" x14ac:dyDescent="0.25">
      <c r="A5309" t="s">
        <v>4343</v>
      </c>
      <c r="G5309" t="str">
        <f t="shared" si="464"/>
        <v>09/08/19</v>
      </c>
      <c r="H5309" t="str">
        <f t="shared" si="459"/>
        <v>Texas Rangers</v>
      </c>
      <c r="I5309" s="60">
        <f t="shared" si="460"/>
        <v>10</v>
      </c>
      <c r="J5309" t="str">
        <f t="shared" si="461"/>
        <v>Baltimore Orioles</v>
      </c>
      <c r="K5309" s="60">
        <f t="shared" si="462"/>
        <v>4</v>
      </c>
      <c r="L5309">
        <f t="shared" si="463"/>
        <v>6</v>
      </c>
    </row>
    <row r="5310" spans="1:12" x14ac:dyDescent="0.25">
      <c r="G5310" t="str">
        <f t="shared" si="464"/>
        <v>09/08/19</v>
      </c>
      <c r="H5310" t="str">
        <f t="shared" si="459"/>
        <v/>
      </c>
      <c r="I5310" s="60" t="str">
        <f t="shared" si="460"/>
        <v/>
      </c>
      <c r="J5310" t="str">
        <f t="shared" si="461"/>
        <v/>
      </c>
      <c r="K5310" s="60" t="str">
        <f t="shared" si="462"/>
        <v/>
      </c>
      <c r="L5310" t="str">
        <f t="shared" si="463"/>
        <v/>
      </c>
    </row>
    <row r="5311" spans="1:12" x14ac:dyDescent="0.25">
      <c r="A5311" t="s">
        <v>4344</v>
      </c>
      <c r="G5311" t="str">
        <f t="shared" si="464"/>
        <v>09/08/19</v>
      </c>
      <c r="H5311" t="str">
        <f t="shared" si="459"/>
        <v>New York Yankees</v>
      </c>
      <c r="I5311" s="60">
        <f t="shared" si="460"/>
        <v>10</v>
      </c>
      <c r="J5311" t="str">
        <f t="shared" si="461"/>
        <v>Boston Red Sox</v>
      </c>
      <c r="K5311" s="60">
        <f t="shared" si="462"/>
        <v>5</v>
      </c>
      <c r="L5311">
        <f t="shared" si="463"/>
        <v>5</v>
      </c>
    </row>
    <row r="5312" spans="1:12" x14ac:dyDescent="0.25">
      <c r="G5312" t="str">
        <f t="shared" si="464"/>
        <v>09/08/19</v>
      </c>
      <c r="H5312" t="str">
        <f t="shared" si="459"/>
        <v/>
      </c>
      <c r="I5312" s="60" t="str">
        <f t="shared" si="460"/>
        <v/>
      </c>
      <c r="J5312" t="str">
        <f t="shared" si="461"/>
        <v/>
      </c>
      <c r="K5312" s="60" t="str">
        <f t="shared" si="462"/>
        <v/>
      </c>
      <c r="L5312" t="str">
        <f t="shared" si="463"/>
        <v/>
      </c>
    </row>
    <row r="5313" spans="1:12" x14ac:dyDescent="0.25">
      <c r="A5313" t="s">
        <v>4345</v>
      </c>
      <c r="G5313" t="str">
        <f t="shared" si="464"/>
        <v>09/08/19</v>
      </c>
      <c r="H5313" t="str">
        <f t="shared" si="459"/>
        <v>Los Angeles Angels</v>
      </c>
      <c r="I5313" s="60">
        <f t="shared" si="460"/>
        <v>1</v>
      </c>
      <c r="J5313" t="str">
        <f t="shared" si="461"/>
        <v>Chicago White Sox</v>
      </c>
      <c r="K5313" s="60">
        <f t="shared" si="462"/>
        <v>5</v>
      </c>
      <c r="L5313">
        <f t="shared" si="463"/>
        <v>-4</v>
      </c>
    </row>
    <row r="5314" spans="1:12" x14ac:dyDescent="0.25">
      <c r="G5314" t="str">
        <f t="shared" si="464"/>
        <v>09/08/19</v>
      </c>
      <c r="H5314" t="str">
        <f t="shared" si="459"/>
        <v/>
      </c>
      <c r="I5314" s="60" t="str">
        <f t="shared" si="460"/>
        <v/>
      </c>
      <c r="J5314" t="str">
        <f t="shared" si="461"/>
        <v/>
      </c>
      <c r="K5314" s="60" t="str">
        <f t="shared" si="462"/>
        <v/>
      </c>
      <c r="L5314" t="str">
        <f t="shared" si="463"/>
        <v/>
      </c>
    </row>
    <row r="5315" spans="1:12" x14ac:dyDescent="0.25">
      <c r="A5315" t="s">
        <v>4346</v>
      </c>
      <c r="G5315" t="str">
        <f t="shared" si="464"/>
        <v>09/08/19</v>
      </c>
      <c r="H5315" t="str">
        <f t="shared" si="459"/>
        <v>Arizona D'Backs</v>
      </c>
      <c r="I5315" s="60">
        <f t="shared" si="460"/>
        <v>3</v>
      </c>
      <c r="J5315" t="str">
        <f t="shared" si="461"/>
        <v>Cincinnati Reds</v>
      </c>
      <c r="K5315" s="60">
        <f t="shared" si="462"/>
        <v>4</v>
      </c>
      <c r="L5315">
        <f t="shared" si="463"/>
        <v>-1</v>
      </c>
    </row>
    <row r="5316" spans="1:12" x14ac:dyDescent="0.25">
      <c r="G5316" t="str">
        <f t="shared" si="464"/>
        <v>09/08/19</v>
      </c>
      <c r="H5316" t="str">
        <f t="shared" si="459"/>
        <v/>
      </c>
      <c r="I5316" s="60" t="str">
        <f t="shared" si="460"/>
        <v/>
      </c>
      <c r="J5316" t="str">
        <f t="shared" si="461"/>
        <v/>
      </c>
      <c r="K5316" s="60" t="str">
        <f t="shared" si="462"/>
        <v/>
      </c>
      <c r="L5316" t="str">
        <f t="shared" si="463"/>
        <v/>
      </c>
    </row>
    <row r="5317" spans="1:12" x14ac:dyDescent="0.25">
      <c r="A5317" t="s">
        <v>4347</v>
      </c>
      <c r="G5317" t="str">
        <f t="shared" si="464"/>
        <v>09/08/19</v>
      </c>
      <c r="H5317" t="str">
        <f t="shared" si="459"/>
        <v>Seattle Mariners</v>
      </c>
      <c r="I5317" s="60">
        <f t="shared" si="460"/>
        <v>1</v>
      </c>
      <c r="J5317" t="str">
        <f t="shared" si="461"/>
        <v>Houston Astros</v>
      </c>
      <c r="K5317" s="60">
        <f t="shared" si="462"/>
        <v>21</v>
      </c>
      <c r="L5317">
        <f t="shared" si="463"/>
        <v>-20</v>
      </c>
    </row>
    <row r="5318" spans="1:12" x14ac:dyDescent="0.25">
      <c r="G5318" t="str">
        <f t="shared" si="464"/>
        <v>09/08/19</v>
      </c>
      <c r="H5318" t="str">
        <f t="shared" si="459"/>
        <v/>
      </c>
      <c r="I5318" s="60" t="str">
        <f t="shared" si="460"/>
        <v/>
      </c>
      <c r="J5318" t="str">
        <f t="shared" si="461"/>
        <v/>
      </c>
      <c r="K5318" s="60" t="str">
        <f t="shared" si="462"/>
        <v/>
      </c>
      <c r="L5318" t="str">
        <f t="shared" si="463"/>
        <v/>
      </c>
    </row>
    <row r="5319" spans="1:12" x14ac:dyDescent="0.25">
      <c r="A5319" t="s">
        <v>4348</v>
      </c>
      <c r="G5319" t="str">
        <f t="shared" si="464"/>
        <v>09/08/19</v>
      </c>
      <c r="H5319" t="str">
        <f t="shared" si="459"/>
        <v>San Francisco Giants</v>
      </c>
      <c r="I5319" s="60">
        <f t="shared" si="460"/>
        <v>0</v>
      </c>
      <c r="J5319" t="str">
        <f t="shared" si="461"/>
        <v>Los Angeles Dodgers</v>
      </c>
      <c r="K5319" s="60">
        <f t="shared" si="462"/>
        <v>5</v>
      </c>
      <c r="L5319">
        <f t="shared" si="463"/>
        <v>-5</v>
      </c>
    </row>
    <row r="5320" spans="1:12" x14ac:dyDescent="0.25">
      <c r="G5320" t="str">
        <f t="shared" si="464"/>
        <v>09/08/19</v>
      </c>
      <c r="H5320" t="str">
        <f t="shared" si="459"/>
        <v/>
      </c>
      <c r="I5320" s="60" t="str">
        <f t="shared" si="460"/>
        <v/>
      </c>
      <c r="J5320" t="str">
        <f t="shared" si="461"/>
        <v/>
      </c>
      <c r="K5320" s="60" t="str">
        <f t="shared" si="462"/>
        <v/>
      </c>
      <c r="L5320" t="str">
        <f t="shared" si="463"/>
        <v/>
      </c>
    </row>
    <row r="5321" spans="1:12" x14ac:dyDescent="0.25">
      <c r="A5321" t="s">
        <v>4349</v>
      </c>
      <c r="G5321" t="str">
        <f t="shared" si="464"/>
        <v>09/08/19</v>
      </c>
      <c r="H5321" t="str">
        <f t="shared" si="459"/>
        <v>Kansas City Royals</v>
      </c>
      <c r="I5321" s="60">
        <f t="shared" si="460"/>
        <v>0</v>
      </c>
      <c r="J5321" t="str">
        <f t="shared" si="461"/>
        <v>Miami Marlins</v>
      </c>
      <c r="K5321" s="60">
        <f t="shared" si="462"/>
        <v>9</v>
      </c>
      <c r="L5321">
        <f t="shared" si="463"/>
        <v>-9</v>
      </c>
    </row>
    <row r="5322" spans="1:12" x14ac:dyDescent="0.25">
      <c r="G5322" t="str">
        <f t="shared" si="464"/>
        <v>09/08/19</v>
      </c>
      <c r="H5322" t="str">
        <f t="shared" si="459"/>
        <v/>
      </c>
      <c r="I5322" s="60" t="str">
        <f t="shared" si="460"/>
        <v/>
      </c>
      <c r="J5322" t="str">
        <f t="shared" si="461"/>
        <v/>
      </c>
      <c r="K5322" s="60" t="str">
        <f t="shared" si="462"/>
        <v/>
      </c>
      <c r="L5322" t="str">
        <f t="shared" si="463"/>
        <v/>
      </c>
    </row>
    <row r="5323" spans="1:12" x14ac:dyDescent="0.25">
      <c r="A5323" t="s">
        <v>4350</v>
      </c>
      <c r="G5323" t="str">
        <f t="shared" si="464"/>
        <v>09/08/19</v>
      </c>
      <c r="H5323" t="str">
        <f t="shared" si="459"/>
        <v>Chicago Cubs</v>
      </c>
      <c r="I5323" s="60">
        <f t="shared" si="460"/>
        <v>5</v>
      </c>
      <c r="J5323" t="str">
        <f t="shared" si="461"/>
        <v>Milwaukee Brewers</v>
      </c>
      <c r="K5323" s="60">
        <f t="shared" si="462"/>
        <v>8</v>
      </c>
      <c r="L5323">
        <f t="shared" si="463"/>
        <v>-3</v>
      </c>
    </row>
    <row r="5324" spans="1:12" x14ac:dyDescent="0.25">
      <c r="G5324" t="str">
        <f t="shared" si="464"/>
        <v>09/08/19</v>
      </c>
      <c r="H5324" t="str">
        <f t="shared" si="459"/>
        <v/>
      </c>
      <c r="I5324" s="60" t="str">
        <f t="shared" si="460"/>
        <v/>
      </c>
      <c r="J5324" t="str">
        <f t="shared" si="461"/>
        <v/>
      </c>
      <c r="K5324" s="60" t="str">
        <f t="shared" si="462"/>
        <v/>
      </c>
      <c r="L5324" t="str">
        <f t="shared" si="463"/>
        <v/>
      </c>
    </row>
    <row r="5325" spans="1:12" x14ac:dyDescent="0.25">
      <c r="A5325" t="s">
        <v>4351</v>
      </c>
      <c r="G5325" t="str">
        <f t="shared" si="464"/>
        <v>09/08/19</v>
      </c>
      <c r="H5325" t="str">
        <f t="shared" si="459"/>
        <v>Cleveland Indians</v>
      </c>
      <c r="I5325" s="60">
        <f t="shared" si="460"/>
        <v>5</v>
      </c>
      <c r="J5325" t="str">
        <f t="shared" si="461"/>
        <v>Minnesota Twins</v>
      </c>
      <c r="K5325" s="60">
        <f t="shared" si="462"/>
        <v>2</v>
      </c>
      <c r="L5325">
        <f t="shared" si="463"/>
        <v>3</v>
      </c>
    </row>
    <row r="5326" spans="1:12" x14ac:dyDescent="0.25">
      <c r="G5326" t="str">
        <f t="shared" si="464"/>
        <v>09/08/19</v>
      </c>
      <c r="H5326" t="str">
        <f t="shared" si="459"/>
        <v/>
      </c>
      <c r="I5326" s="60" t="str">
        <f t="shared" si="460"/>
        <v/>
      </c>
      <c r="J5326" t="str">
        <f t="shared" si="461"/>
        <v/>
      </c>
      <c r="K5326" s="60" t="str">
        <f t="shared" si="462"/>
        <v/>
      </c>
      <c r="L5326" t="str">
        <f t="shared" si="463"/>
        <v/>
      </c>
    </row>
    <row r="5327" spans="1:12" x14ac:dyDescent="0.25">
      <c r="A5327" t="s">
        <v>4352</v>
      </c>
      <c r="G5327" t="str">
        <f t="shared" si="464"/>
        <v>09/08/19</v>
      </c>
      <c r="H5327" t="str">
        <f t="shared" si="459"/>
        <v>Philadelphia Phillies</v>
      </c>
      <c r="I5327" s="60">
        <f t="shared" si="460"/>
        <v>10</v>
      </c>
      <c r="J5327" t="str">
        <f t="shared" si="461"/>
        <v>New York Mets</v>
      </c>
      <c r="K5327" s="60">
        <f t="shared" si="462"/>
        <v>7</v>
      </c>
      <c r="L5327">
        <f t="shared" si="463"/>
        <v>3</v>
      </c>
    </row>
    <row r="5328" spans="1:12" x14ac:dyDescent="0.25">
      <c r="G5328" t="str">
        <f t="shared" si="464"/>
        <v>09/08/19</v>
      </c>
      <c r="H5328" t="str">
        <f t="shared" ref="H5328:H5391" si="465">IFERROR(LEFT(MID(A5328,1,SEARCH("@",A5328)-2),SEARCH("(",A5328)-2),"")</f>
        <v/>
      </c>
      <c r="I5328" s="60" t="str">
        <f t="shared" ref="I5328:I5391" si="466">IFERROR(VALUE(MID(A5328,SEARCH("(",A5328)+1,SEARCH(")",A5328)-SEARCH("(",A5328)-1)),"")</f>
        <v/>
      </c>
      <c r="J5328" t="str">
        <f t="shared" ref="J5328:J5391" si="467">IFERROR(MID(A5328,SEARCH("@",A5328)+2,SEARCH("(",A5328,SEARCH("@",A5328))-SEARCH("@",A5328)-3),"")</f>
        <v/>
      </c>
      <c r="K5328" s="60" t="str">
        <f t="shared" ref="K5328:K5391" si="468">IFERROR(VALUE(MID(A5328,SEARCH(J5328,A5328)+LEN(J5328)+2,(SEARCH(")",A5328,SEARCH("@",A5328))-SEARCH("(",A5328,SEARCH("@",A5328))-1))),"")</f>
        <v/>
      </c>
      <c r="L5328" t="str">
        <f t="shared" ref="L5328:L5391" si="469">IFERROR(I5328-K5328,"")</f>
        <v/>
      </c>
    </row>
    <row r="5329" spans="1:12" x14ac:dyDescent="0.25">
      <c r="A5329" t="s">
        <v>4353</v>
      </c>
      <c r="G5329" t="str">
        <f t="shared" si="464"/>
        <v>09/08/19</v>
      </c>
      <c r="H5329" t="str">
        <f t="shared" si="465"/>
        <v>Detroit Tigers</v>
      </c>
      <c r="I5329" s="60">
        <f t="shared" si="466"/>
        <v>1</v>
      </c>
      <c r="J5329" t="str">
        <f t="shared" si="467"/>
        <v>Oakland Athletics</v>
      </c>
      <c r="K5329" s="60">
        <f t="shared" si="468"/>
        <v>3</v>
      </c>
      <c r="L5329">
        <f t="shared" si="469"/>
        <v>-2</v>
      </c>
    </row>
    <row r="5330" spans="1:12" x14ac:dyDescent="0.25">
      <c r="G5330" t="str">
        <f t="shared" si="464"/>
        <v>09/08/19</v>
      </c>
      <c r="H5330" t="str">
        <f t="shared" si="465"/>
        <v/>
      </c>
      <c r="I5330" s="60" t="str">
        <f t="shared" si="466"/>
        <v/>
      </c>
      <c r="J5330" t="str">
        <f t="shared" si="467"/>
        <v/>
      </c>
      <c r="K5330" s="60" t="str">
        <f t="shared" si="468"/>
        <v/>
      </c>
      <c r="L5330" t="str">
        <f t="shared" si="469"/>
        <v/>
      </c>
    </row>
    <row r="5331" spans="1:12" x14ac:dyDescent="0.25">
      <c r="A5331" t="s">
        <v>4354</v>
      </c>
      <c r="G5331" t="str">
        <f t="shared" si="464"/>
        <v>09/08/19</v>
      </c>
      <c r="H5331" t="str">
        <f t="shared" si="465"/>
        <v>St. Louis Cardinals</v>
      </c>
      <c r="I5331" s="60">
        <f t="shared" si="466"/>
        <v>2</v>
      </c>
      <c r="J5331" t="str">
        <f t="shared" si="467"/>
        <v>Pittsburgh Pirates</v>
      </c>
      <c r="K5331" s="60">
        <f t="shared" si="468"/>
        <v>0</v>
      </c>
      <c r="L5331">
        <f t="shared" si="469"/>
        <v>2</v>
      </c>
    </row>
    <row r="5332" spans="1:12" x14ac:dyDescent="0.25">
      <c r="G5332" t="str">
        <f t="shared" si="464"/>
        <v>09/08/19</v>
      </c>
      <c r="H5332" t="str">
        <f t="shared" si="465"/>
        <v/>
      </c>
      <c r="I5332" s="60" t="str">
        <f t="shared" si="466"/>
        <v/>
      </c>
      <c r="J5332" t="str">
        <f t="shared" si="467"/>
        <v/>
      </c>
      <c r="K5332" s="60" t="str">
        <f t="shared" si="468"/>
        <v/>
      </c>
      <c r="L5332" t="str">
        <f t="shared" si="469"/>
        <v/>
      </c>
    </row>
    <row r="5333" spans="1:12" x14ac:dyDescent="0.25">
      <c r="A5333" t="s">
        <v>4355</v>
      </c>
      <c r="G5333" t="str">
        <f t="shared" si="464"/>
        <v>09/08/19</v>
      </c>
      <c r="H5333" t="str">
        <f t="shared" si="465"/>
        <v>Colorado Rockies</v>
      </c>
      <c r="I5333" s="60">
        <f t="shared" si="466"/>
        <v>1</v>
      </c>
      <c r="J5333" t="str">
        <f t="shared" si="467"/>
        <v>San Diego Padres</v>
      </c>
      <c r="K5333" s="60">
        <f t="shared" si="468"/>
        <v>2</v>
      </c>
      <c r="L5333">
        <f t="shared" si="469"/>
        <v>-1</v>
      </c>
    </row>
    <row r="5334" spans="1:12" x14ac:dyDescent="0.25">
      <c r="G5334" t="str">
        <f t="shared" si="464"/>
        <v>09/08/19</v>
      </c>
      <c r="H5334" t="str">
        <f t="shared" si="465"/>
        <v/>
      </c>
      <c r="I5334" s="60" t="str">
        <f t="shared" si="466"/>
        <v/>
      </c>
      <c r="J5334" t="str">
        <f t="shared" si="467"/>
        <v/>
      </c>
      <c r="K5334" s="60" t="str">
        <f t="shared" si="468"/>
        <v/>
      </c>
      <c r="L5334" t="str">
        <f t="shared" si="469"/>
        <v/>
      </c>
    </row>
    <row r="5335" spans="1:12" x14ac:dyDescent="0.25">
      <c r="A5335" t="s">
        <v>2549</v>
      </c>
      <c r="G5335" t="str">
        <f t="shared" si="464"/>
        <v>09/08/19</v>
      </c>
      <c r="H5335" t="str">
        <f t="shared" si="465"/>
        <v>Toronto Blue Jays</v>
      </c>
      <c r="I5335" s="60">
        <f t="shared" si="466"/>
        <v>3</v>
      </c>
      <c r="J5335" t="str">
        <f t="shared" si="467"/>
        <v>Tampa Bay Rays</v>
      </c>
      <c r="K5335" s="60">
        <f t="shared" si="468"/>
        <v>8</v>
      </c>
      <c r="L5335">
        <f t="shared" si="469"/>
        <v>-5</v>
      </c>
    </row>
    <row r="5336" spans="1:12" x14ac:dyDescent="0.25">
      <c r="G5336" t="str">
        <f t="shared" si="464"/>
        <v>09/08/19</v>
      </c>
      <c r="H5336" t="str">
        <f t="shared" si="465"/>
        <v/>
      </c>
      <c r="I5336" s="60" t="str">
        <f t="shared" si="466"/>
        <v/>
      </c>
      <c r="J5336" t="str">
        <f t="shared" si="467"/>
        <v/>
      </c>
      <c r="K5336" s="60" t="str">
        <f t="shared" si="468"/>
        <v/>
      </c>
      <c r="L5336" t="str">
        <f t="shared" si="469"/>
        <v/>
      </c>
    </row>
    <row r="5337" spans="1:12" x14ac:dyDescent="0.25">
      <c r="A5337" t="s">
        <v>4356</v>
      </c>
      <c r="G5337" t="str">
        <f t="shared" si="464"/>
        <v>09/08/19</v>
      </c>
      <c r="H5337" t="str">
        <f t="shared" si="465"/>
        <v/>
      </c>
      <c r="I5337" s="60" t="str">
        <f t="shared" si="466"/>
        <v/>
      </c>
      <c r="J5337" t="str">
        <f t="shared" si="467"/>
        <v/>
      </c>
      <c r="K5337" s="60" t="str">
        <f t="shared" si="468"/>
        <v/>
      </c>
      <c r="L5337" t="str">
        <f t="shared" si="469"/>
        <v/>
      </c>
    </row>
    <row r="5338" spans="1:12" x14ac:dyDescent="0.25">
      <c r="G5338" t="str">
        <f t="shared" si="464"/>
        <v>09/08/19</v>
      </c>
      <c r="H5338" t="str">
        <f t="shared" si="465"/>
        <v/>
      </c>
      <c r="I5338" s="60" t="str">
        <f t="shared" si="466"/>
        <v/>
      </c>
      <c r="J5338" t="str">
        <f t="shared" si="467"/>
        <v/>
      </c>
      <c r="K5338" s="60" t="str">
        <f t="shared" si="468"/>
        <v/>
      </c>
      <c r="L5338" t="str">
        <f t="shared" si="469"/>
        <v/>
      </c>
    </row>
    <row r="5339" spans="1:12" x14ac:dyDescent="0.25">
      <c r="A5339" t="s">
        <v>3308</v>
      </c>
      <c r="G5339" t="str">
        <f t="shared" si="464"/>
        <v>09/09/19</v>
      </c>
      <c r="H5339" t="str">
        <f t="shared" si="465"/>
        <v/>
      </c>
      <c r="I5339" s="60" t="str">
        <f t="shared" si="466"/>
        <v/>
      </c>
      <c r="J5339" t="str">
        <f t="shared" si="467"/>
        <v/>
      </c>
      <c r="K5339" s="60" t="str">
        <f t="shared" si="468"/>
        <v/>
      </c>
      <c r="L5339" t="str">
        <f t="shared" si="469"/>
        <v/>
      </c>
    </row>
    <row r="5340" spans="1:12" x14ac:dyDescent="0.25">
      <c r="G5340" t="str">
        <f t="shared" si="464"/>
        <v>09/09/19</v>
      </c>
      <c r="H5340" t="str">
        <f t="shared" si="465"/>
        <v/>
      </c>
      <c r="I5340" s="60" t="str">
        <f t="shared" si="466"/>
        <v/>
      </c>
      <c r="J5340" t="str">
        <f t="shared" si="467"/>
        <v/>
      </c>
      <c r="K5340" s="60" t="str">
        <f t="shared" si="468"/>
        <v/>
      </c>
      <c r="L5340" t="str">
        <f t="shared" si="469"/>
        <v/>
      </c>
    </row>
    <row r="5341" spans="1:12" x14ac:dyDescent="0.25">
      <c r="A5341" t="s">
        <v>4415</v>
      </c>
      <c r="G5341" t="str">
        <f t="shared" si="464"/>
        <v>09/09/19</v>
      </c>
      <c r="H5341" t="str">
        <f t="shared" si="465"/>
        <v>Cleveland Indians</v>
      </c>
      <c r="I5341" s="60">
        <f t="shared" si="466"/>
        <v>6</v>
      </c>
      <c r="J5341" t="str">
        <f t="shared" si="467"/>
        <v>Los Angeles Angels</v>
      </c>
      <c r="K5341" s="60">
        <f t="shared" si="468"/>
        <v>2</v>
      </c>
      <c r="L5341">
        <f t="shared" si="469"/>
        <v>4</v>
      </c>
    </row>
    <row r="5342" spans="1:12" x14ac:dyDescent="0.25">
      <c r="G5342" t="str">
        <f t="shared" si="464"/>
        <v>09/09/19</v>
      </c>
      <c r="H5342" t="str">
        <f t="shared" si="465"/>
        <v/>
      </c>
      <c r="I5342" s="60" t="str">
        <f t="shared" si="466"/>
        <v/>
      </c>
      <c r="J5342" t="str">
        <f t="shared" si="467"/>
        <v/>
      </c>
      <c r="K5342" s="60" t="str">
        <f t="shared" si="468"/>
        <v/>
      </c>
      <c r="L5342" t="str">
        <f t="shared" si="469"/>
        <v/>
      </c>
    </row>
    <row r="5343" spans="1:12" x14ac:dyDescent="0.25">
      <c r="A5343" t="s">
        <v>4416</v>
      </c>
      <c r="G5343" t="str">
        <f t="shared" si="464"/>
        <v>09/09/19</v>
      </c>
      <c r="H5343" t="str">
        <f t="shared" si="465"/>
        <v>New York Yankees</v>
      </c>
      <c r="I5343" s="60">
        <f t="shared" si="466"/>
        <v>5</v>
      </c>
      <c r="J5343" t="str">
        <f t="shared" si="467"/>
        <v>Boston Red Sox</v>
      </c>
      <c r="K5343" s="60">
        <f t="shared" si="468"/>
        <v>0</v>
      </c>
      <c r="L5343">
        <f t="shared" si="469"/>
        <v>5</v>
      </c>
    </row>
    <row r="5344" spans="1:12" x14ac:dyDescent="0.25">
      <c r="G5344" t="str">
        <f t="shared" si="464"/>
        <v>09/09/19</v>
      </c>
      <c r="H5344" t="str">
        <f t="shared" si="465"/>
        <v/>
      </c>
      <c r="I5344" s="60" t="str">
        <f t="shared" si="466"/>
        <v/>
      </c>
      <c r="J5344" t="str">
        <f t="shared" si="467"/>
        <v/>
      </c>
      <c r="K5344" s="60" t="str">
        <f t="shared" si="468"/>
        <v/>
      </c>
      <c r="L5344" t="str">
        <f t="shared" si="469"/>
        <v/>
      </c>
    </row>
    <row r="5345" spans="1:12" x14ac:dyDescent="0.25">
      <c r="A5345" t="s">
        <v>4417</v>
      </c>
      <c r="G5345" t="str">
        <f t="shared" si="464"/>
        <v>09/09/19</v>
      </c>
      <c r="H5345" t="str">
        <f t="shared" si="465"/>
        <v>Oakland Athletics</v>
      </c>
      <c r="I5345" s="60">
        <f t="shared" si="466"/>
        <v>0</v>
      </c>
      <c r="J5345" t="str">
        <f t="shared" si="467"/>
        <v>Houston Astros</v>
      </c>
      <c r="K5345" s="60">
        <f t="shared" si="468"/>
        <v>15</v>
      </c>
      <c r="L5345">
        <f t="shared" si="469"/>
        <v>-15</v>
      </c>
    </row>
    <row r="5346" spans="1:12" x14ac:dyDescent="0.25">
      <c r="G5346" t="str">
        <f t="shared" ref="G5346:G5409" si="470">IF(ISNUMBER(MATCH(IFERROR(LEFT(A5346,SEARCH(",",A5346)-1),""),$G$220:$M$220,0)),TEXT(MID(A5346,SEARCH(",",A5346)+2,LEN(A5346)),"mm/dd/yy"),G5345)</f>
        <v>09/09/19</v>
      </c>
      <c r="H5346" t="str">
        <f t="shared" si="465"/>
        <v/>
      </c>
      <c r="I5346" s="60" t="str">
        <f t="shared" si="466"/>
        <v/>
      </c>
      <c r="J5346" t="str">
        <f t="shared" si="467"/>
        <v/>
      </c>
      <c r="K5346" s="60" t="str">
        <f t="shared" si="468"/>
        <v/>
      </c>
      <c r="L5346" t="str">
        <f t="shared" si="469"/>
        <v/>
      </c>
    </row>
    <row r="5347" spans="1:12" x14ac:dyDescent="0.25">
      <c r="A5347" t="s">
        <v>4418</v>
      </c>
      <c r="G5347" t="str">
        <f t="shared" si="470"/>
        <v>09/09/19</v>
      </c>
      <c r="H5347" t="str">
        <f t="shared" si="465"/>
        <v>Milwaukee Brewers</v>
      </c>
      <c r="I5347" s="60">
        <f t="shared" si="466"/>
        <v>8</v>
      </c>
      <c r="J5347" t="str">
        <f t="shared" si="467"/>
        <v>Miami Marlins</v>
      </c>
      <c r="K5347" s="60">
        <f t="shared" si="468"/>
        <v>3</v>
      </c>
      <c r="L5347">
        <f t="shared" si="469"/>
        <v>5</v>
      </c>
    </row>
    <row r="5348" spans="1:12" x14ac:dyDescent="0.25">
      <c r="G5348" t="str">
        <f t="shared" si="470"/>
        <v>09/09/19</v>
      </c>
      <c r="H5348" t="str">
        <f t="shared" si="465"/>
        <v/>
      </c>
      <c r="I5348" s="60" t="str">
        <f t="shared" si="466"/>
        <v/>
      </c>
      <c r="J5348" t="str">
        <f t="shared" si="467"/>
        <v/>
      </c>
      <c r="K5348" s="60" t="str">
        <f t="shared" si="468"/>
        <v/>
      </c>
      <c r="L5348" t="str">
        <f t="shared" si="469"/>
        <v/>
      </c>
    </row>
    <row r="5349" spans="1:12" x14ac:dyDescent="0.25">
      <c r="A5349" t="s">
        <v>4419</v>
      </c>
      <c r="G5349" t="str">
        <f t="shared" si="470"/>
        <v>09/09/19</v>
      </c>
      <c r="H5349" t="str">
        <f t="shared" si="465"/>
        <v>Arizona D'Backs</v>
      </c>
      <c r="I5349" s="60">
        <f t="shared" si="466"/>
        <v>1</v>
      </c>
      <c r="J5349" t="str">
        <f t="shared" si="467"/>
        <v>New York Mets</v>
      </c>
      <c r="K5349" s="60">
        <f t="shared" si="468"/>
        <v>3</v>
      </c>
      <c r="L5349">
        <f t="shared" si="469"/>
        <v>-2</v>
      </c>
    </row>
    <row r="5350" spans="1:12" x14ac:dyDescent="0.25">
      <c r="G5350" t="str">
        <f t="shared" si="470"/>
        <v>09/09/19</v>
      </c>
      <c r="H5350" t="str">
        <f t="shared" si="465"/>
        <v/>
      </c>
      <c r="I5350" s="60" t="str">
        <f t="shared" si="466"/>
        <v/>
      </c>
      <c r="J5350" t="str">
        <f t="shared" si="467"/>
        <v/>
      </c>
      <c r="K5350" s="60" t="str">
        <f t="shared" si="468"/>
        <v/>
      </c>
      <c r="L5350" t="str">
        <f t="shared" si="469"/>
        <v/>
      </c>
    </row>
    <row r="5351" spans="1:12" x14ac:dyDescent="0.25">
      <c r="A5351" t="s">
        <v>4420</v>
      </c>
      <c r="G5351" t="str">
        <f t="shared" si="470"/>
        <v>09/09/19</v>
      </c>
      <c r="H5351" t="str">
        <f t="shared" si="465"/>
        <v>Atlanta Braves</v>
      </c>
      <c r="I5351" s="60">
        <f t="shared" si="466"/>
        <v>7</v>
      </c>
      <c r="J5351" t="str">
        <f t="shared" si="467"/>
        <v>Philadelphia Phillies</v>
      </c>
      <c r="K5351" s="60">
        <f t="shared" si="468"/>
        <v>2</v>
      </c>
      <c r="L5351">
        <f t="shared" si="469"/>
        <v>5</v>
      </c>
    </row>
    <row r="5352" spans="1:12" x14ac:dyDescent="0.25">
      <c r="G5352" t="str">
        <f t="shared" si="470"/>
        <v>09/09/19</v>
      </c>
      <c r="H5352" t="str">
        <f t="shared" si="465"/>
        <v/>
      </c>
      <c r="I5352" s="60" t="str">
        <f t="shared" si="466"/>
        <v/>
      </c>
      <c r="J5352" t="str">
        <f t="shared" si="467"/>
        <v/>
      </c>
      <c r="K5352" s="60" t="str">
        <f t="shared" si="468"/>
        <v/>
      </c>
      <c r="L5352" t="str">
        <f t="shared" si="469"/>
        <v/>
      </c>
    </row>
    <row r="5353" spans="1:12" x14ac:dyDescent="0.25">
      <c r="A5353" t="s">
        <v>4421</v>
      </c>
      <c r="G5353" t="str">
        <f t="shared" si="470"/>
        <v>09/09/19</v>
      </c>
      <c r="H5353" t="str">
        <f t="shared" si="465"/>
        <v>Chicago Cubs</v>
      </c>
      <c r="I5353" s="60">
        <f t="shared" si="466"/>
        <v>10</v>
      </c>
      <c r="J5353" t="str">
        <f t="shared" si="467"/>
        <v>San Diego Padres</v>
      </c>
      <c r="K5353" s="60">
        <f t="shared" si="468"/>
        <v>2</v>
      </c>
      <c r="L5353">
        <f t="shared" si="469"/>
        <v>8</v>
      </c>
    </row>
    <row r="5354" spans="1:12" x14ac:dyDescent="0.25">
      <c r="G5354" t="str">
        <f t="shared" si="470"/>
        <v>09/09/19</v>
      </c>
      <c r="H5354" t="str">
        <f t="shared" si="465"/>
        <v/>
      </c>
      <c r="I5354" s="60" t="str">
        <f t="shared" si="466"/>
        <v/>
      </c>
      <c r="J5354" t="str">
        <f t="shared" si="467"/>
        <v/>
      </c>
      <c r="K5354" s="60" t="str">
        <f t="shared" si="468"/>
        <v/>
      </c>
      <c r="L5354" t="str">
        <f t="shared" si="469"/>
        <v/>
      </c>
    </row>
    <row r="5355" spans="1:12" x14ac:dyDescent="0.25">
      <c r="A5355" t="s">
        <v>4422</v>
      </c>
      <c r="G5355" t="str">
        <f t="shared" si="470"/>
        <v>09/09/19</v>
      </c>
      <c r="H5355" t="str">
        <f t="shared" si="465"/>
        <v>Pittsburgh Pirates</v>
      </c>
      <c r="I5355" s="60">
        <f t="shared" si="466"/>
        <v>6</v>
      </c>
      <c r="J5355" t="str">
        <f t="shared" si="467"/>
        <v>San Francisco Giants</v>
      </c>
      <c r="K5355" s="60">
        <f t="shared" si="468"/>
        <v>4</v>
      </c>
      <c r="L5355">
        <f t="shared" si="469"/>
        <v>2</v>
      </c>
    </row>
    <row r="5356" spans="1:12" x14ac:dyDescent="0.25">
      <c r="G5356" t="str">
        <f t="shared" si="470"/>
        <v>09/09/19</v>
      </c>
      <c r="H5356" t="str">
        <f t="shared" si="465"/>
        <v/>
      </c>
      <c r="I5356" s="60" t="str">
        <f t="shared" si="466"/>
        <v/>
      </c>
      <c r="J5356" t="str">
        <f t="shared" si="467"/>
        <v/>
      </c>
      <c r="K5356" s="60" t="str">
        <f t="shared" si="468"/>
        <v/>
      </c>
      <c r="L5356" t="str">
        <f t="shared" si="469"/>
        <v/>
      </c>
    </row>
    <row r="5357" spans="1:12" x14ac:dyDescent="0.25">
      <c r="A5357" t="s">
        <v>4423</v>
      </c>
      <c r="G5357" t="str">
        <f t="shared" si="470"/>
        <v>09/09/19</v>
      </c>
      <c r="H5357" t="str">
        <f t="shared" si="465"/>
        <v/>
      </c>
      <c r="I5357" s="60" t="str">
        <f t="shared" si="466"/>
        <v/>
      </c>
      <c r="J5357" t="str">
        <f t="shared" si="467"/>
        <v/>
      </c>
      <c r="K5357" s="60" t="str">
        <f t="shared" si="468"/>
        <v/>
      </c>
      <c r="L5357" t="str">
        <f t="shared" si="469"/>
        <v/>
      </c>
    </row>
    <row r="5358" spans="1:12" x14ac:dyDescent="0.25">
      <c r="G5358" t="str">
        <f t="shared" si="470"/>
        <v>09/09/19</v>
      </c>
      <c r="H5358" t="str">
        <f t="shared" si="465"/>
        <v/>
      </c>
      <c r="I5358" s="60" t="str">
        <f t="shared" si="466"/>
        <v/>
      </c>
      <c r="J5358" t="str">
        <f t="shared" si="467"/>
        <v/>
      </c>
      <c r="K5358" s="60" t="str">
        <f t="shared" si="468"/>
        <v/>
      </c>
      <c r="L5358" t="str">
        <f t="shared" si="469"/>
        <v/>
      </c>
    </row>
    <row r="5359" spans="1:12" x14ac:dyDescent="0.25">
      <c r="A5359" t="s">
        <v>4427</v>
      </c>
      <c r="G5359" t="str">
        <f t="shared" si="470"/>
        <v>09/10/19</v>
      </c>
      <c r="H5359" t="str">
        <f t="shared" si="465"/>
        <v/>
      </c>
      <c r="I5359" s="60" t="str">
        <f t="shared" si="466"/>
        <v/>
      </c>
      <c r="J5359" t="str">
        <f t="shared" si="467"/>
        <v/>
      </c>
      <c r="K5359" s="60" t="str">
        <f t="shared" si="468"/>
        <v/>
      </c>
      <c r="L5359" t="str">
        <f t="shared" si="469"/>
        <v/>
      </c>
    </row>
    <row r="5360" spans="1:12" x14ac:dyDescent="0.25">
      <c r="G5360" t="str">
        <f t="shared" si="470"/>
        <v>09/10/19</v>
      </c>
      <c r="H5360" t="str">
        <f t="shared" si="465"/>
        <v/>
      </c>
      <c r="I5360" s="60" t="str">
        <f t="shared" si="466"/>
        <v/>
      </c>
      <c r="J5360" t="str">
        <f t="shared" si="467"/>
        <v/>
      </c>
      <c r="K5360" s="60" t="str">
        <f t="shared" si="468"/>
        <v/>
      </c>
      <c r="L5360" t="str">
        <f t="shared" si="469"/>
        <v/>
      </c>
    </row>
    <row r="5361" spans="1:12" x14ac:dyDescent="0.25">
      <c r="A5361" t="s">
        <v>4428</v>
      </c>
      <c r="G5361" t="str">
        <f t="shared" si="470"/>
        <v>09/10/19</v>
      </c>
      <c r="H5361" t="str">
        <f t="shared" si="465"/>
        <v>Cleveland Indians</v>
      </c>
      <c r="I5361" s="60">
        <f t="shared" si="466"/>
        <v>8</v>
      </c>
      <c r="J5361" t="str">
        <f t="shared" si="467"/>
        <v>Los Angeles Angels</v>
      </c>
      <c r="K5361" s="60">
        <f t="shared" si="468"/>
        <v>0</v>
      </c>
      <c r="L5361">
        <f t="shared" si="469"/>
        <v>8</v>
      </c>
    </row>
    <row r="5362" spans="1:12" x14ac:dyDescent="0.25">
      <c r="G5362" t="str">
        <f t="shared" si="470"/>
        <v>09/10/19</v>
      </c>
      <c r="H5362" t="str">
        <f t="shared" si="465"/>
        <v/>
      </c>
      <c r="I5362" s="60" t="str">
        <f t="shared" si="466"/>
        <v/>
      </c>
      <c r="J5362" t="str">
        <f t="shared" si="467"/>
        <v/>
      </c>
      <c r="K5362" s="60" t="str">
        <f t="shared" si="468"/>
        <v/>
      </c>
      <c r="L5362" t="str">
        <f t="shared" si="469"/>
        <v/>
      </c>
    </row>
    <row r="5363" spans="1:12" x14ac:dyDescent="0.25">
      <c r="A5363" t="s">
        <v>4429</v>
      </c>
      <c r="G5363" t="str">
        <f t="shared" si="470"/>
        <v>09/10/19</v>
      </c>
      <c r="H5363" t="str">
        <f t="shared" si="465"/>
        <v>Los Angeles Dodgers</v>
      </c>
      <c r="I5363" s="60">
        <f t="shared" si="466"/>
        <v>7</v>
      </c>
      <c r="J5363" t="str">
        <f t="shared" si="467"/>
        <v>Baltimore Orioles</v>
      </c>
      <c r="K5363" s="60">
        <f t="shared" si="468"/>
        <v>3</v>
      </c>
      <c r="L5363">
        <f t="shared" si="469"/>
        <v>4</v>
      </c>
    </row>
    <row r="5364" spans="1:12" x14ac:dyDescent="0.25">
      <c r="G5364" t="str">
        <f t="shared" si="470"/>
        <v>09/10/19</v>
      </c>
      <c r="H5364" t="str">
        <f t="shared" si="465"/>
        <v/>
      </c>
      <c r="I5364" s="60" t="str">
        <f t="shared" si="466"/>
        <v/>
      </c>
      <c r="J5364" t="str">
        <f t="shared" si="467"/>
        <v/>
      </c>
      <c r="K5364" s="60" t="str">
        <f t="shared" si="468"/>
        <v/>
      </c>
      <c r="L5364" t="str">
        <f t="shared" si="469"/>
        <v/>
      </c>
    </row>
    <row r="5365" spans="1:12" x14ac:dyDescent="0.25">
      <c r="A5365" t="s">
        <v>4430</v>
      </c>
      <c r="G5365" t="str">
        <f t="shared" si="470"/>
        <v>09/10/19</v>
      </c>
      <c r="H5365" t="str">
        <f t="shared" si="465"/>
        <v>Kansas City Royals</v>
      </c>
      <c r="I5365" s="60">
        <f t="shared" si="466"/>
        <v>3</v>
      </c>
      <c r="J5365" t="str">
        <f t="shared" si="467"/>
        <v>Chicago White Sox</v>
      </c>
      <c r="K5365" s="60">
        <f t="shared" si="468"/>
        <v>7</v>
      </c>
      <c r="L5365">
        <f t="shared" si="469"/>
        <v>-4</v>
      </c>
    </row>
    <row r="5366" spans="1:12" x14ac:dyDescent="0.25">
      <c r="G5366" t="str">
        <f t="shared" si="470"/>
        <v>09/10/19</v>
      </c>
      <c r="H5366" t="str">
        <f t="shared" si="465"/>
        <v/>
      </c>
      <c r="I5366" s="60" t="str">
        <f t="shared" si="466"/>
        <v/>
      </c>
      <c r="J5366" t="str">
        <f t="shared" si="467"/>
        <v/>
      </c>
      <c r="K5366" s="60" t="str">
        <f t="shared" si="468"/>
        <v/>
      </c>
      <c r="L5366" t="str">
        <f t="shared" si="469"/>
        <v/>
      </c>
    </row>
    <row r="5367" spans="1:12" x14ac:dyDescent="0.25">
      <c r="A5367" t="s">
        <v>4431</v>
      </c>
      <c r="G5367" t="str">
        <f t="shared" si="470"/>
        <v>09/10/19</v>
      </c>
      <c r="H5367" t="str">
        <f t="shared" si="465"/>
        <v>St. Louis Cardinals</v>
      </c>
      <c r="I5367" s="60">
        <f t="shared" si="466"/>
        <v>1</v>
      </c>
      <c r="J5367" t="str">
        <f t="shared" si="467"/>
        <v>Colorado Rockies</v>
      </c>
      <c r="K5367" s="60">
        <f t="shared" si="468"/>
        <v>2</v>
      </c>
      <c r="L5367">
        <f t="shared" si="469"/>
        <v>-1</v>
      </c>
    </row>
    <row r="5368" spans="1:12" x14ac:dyDescent="0.25">
      <c r="G5368" t="str">
        <f t="shared" si="470"/>
        <v>09/10/19</v>
      </c>
      <c r="H5368" t="str">
        <f t="shared" si="465"/>
        <v/>
      </c>
      <c r="I5368" s="60" t="str">
        <f t="shared" si="466"/>
        <v/>
      </c>
      <c r="J5368" t="str">
        <f t="shared" si="467"/>
        <v/>
      </c>
      <c r="K5368" s="60" t="str">
        <f t="shared" si="468"/>
        <v/>
      </c>
      <c r="L5368" t="str">
        <f t="shared" si="469"/>
        <v/>
      </c>
    </row>
    <row r="5369" spans="1:12" x14ac:dyDescent="0.25">
      <c r="A5369" t="s">
        <v>4432</v>
      </c>
      <c r="G5369" t="str">
        <f t="shared" si="470"/>
        <v>09/10/19</v>
      </c>
      <c r="H5369" t="str">
        <f t="shared" si="465"/>
        <v>New York Yankees</v>
      </c>
      <c r="I5369" s="60">
        <f t="shared" si="466"/>
        <v>11</v>
      </c>
      <c r="J5369" t="str">
        <f t="shared" si="467"/>
        <v>Detroit Tigers</v>
      </c>
      <c r="K5369" s="60">
        <f t="shared" si="468"/>
        <v>12</v>
      </c>
      <c r="L5369">
        <f t="shared" si="469"/>
        <v>-1</v>
      </c>
    </row>
    <row r="5370" spans="1:12" x14ac:dyDescent="0.25">
      <c r="G5370" t="str">
        <f t="shared" si="470"/>
        <v>09/10/19</v>
      </c>
      <c r="H5370" t="str">
        <f t="shared" si="465"/>
        <v/>
      </c>
      <c r="I5370" s="60" t="str">
        <f t="shared" si="466"/>
        <v/>
      </c>
      <c r="J5370" t="str">
        <f t="shared" si="467"/>
        <v/>
      </c>
      <c r="K5370" s="60" t="str">
        <f t="shared" si="468"/>
        <v/>
      </c>
      <c r="L5370" t="str">
        <f t="shared" si="469"/>
        <v/>
      </c>
    </row>
    <row r="5371" spans="1:12" x14ac:dyDescent="0.25">
      <c r="A5371" t="s">
        <v>4433</v>
      </c>
      <c r="G5371" t="str">
        <f t="shared" si="470"/>
        <v>09/10/19</v>
      </c>
      <c r="H5371" t="str">
        <f t="shared" si="465"/>
        <v>Oakland Athletics</v>
      </c>
      <c r="I5371" s="60">
        <f t="shared" si="466"/>
        <v>21</v>
      </c>
      <c r="J5371" t="str">
        <f t="shared" si="467"/>
        <v>Houston Astros</v>
      </c>
      <c r="K5371" s="60">
        <f t="shared" si="468"/>
        <v>7</v>
      </c>
      <c r="L5371">
        <f t="shared" si="469"/>
        <v>14</v>
      </c>
    </row>
    <row r="5372" spans="1:12" x14ac:dyDescent="0.25">
      <c r="G5372" t="str">
        <f t="shared" si="470"/>
        <v>09/10/19</v>
      </c>
      <c r="H5372" t="str">
        <f t="shared" si="465"/>
        <v/>
      </c>
      <c r="I5372" s="60" t="str">
        <f t="shared" si="466"/>
        <v/>
      </c>
      <c r="J5372" t="str">
        <f t="shared" si="467"/>
        <v/>
      </c>
      <c r="K5372" s="60" t="str">
        <f t="shared" si="468"/>
        <v/>
      </c>
      <c r="L5372" t="str">
        <f t="shared" si="469"/>
        <v/>
      </c>
    </row>
    <row r="5373" spans="1:12" x14ac:dyDescent="0.25">
      <c r="A5373" t="s">
        <v>4434</v>
      </c>
      <c r="G5373" t="str">
        <f t="shared" si="470"/>
        <v>09/10/19</v>
      </c>
      <c r="H5373" t="str">
        <f t="shared" si="465"/>
        <v>Milwaukee Brewers</v>
      </c>
      <c r="I5373" s="60">
        <f t="shared" si="466"/>
        <v>4</v>
      </c>
      <c r="J5373" t="str">
        <f t="shared" si="467"/>
        <v>Miami Marlins</v>
      </c>
      <c r="K5373" s="60">
        <f t="shared" si="468"/>
        <v>3</v>
      </c>
      <c r="L5373">
        <f t="shared" si="469"/>
        <v>1</v>
      </c>
    </row>
    <row r="5374" spans="1:12" x14ac:dyDescent="0.25">
      <c r="G5374" t="str">
        <f t="shared" si="470"/>
        <v>09/10/19</v>
      </c>
      <c r="H5374" t="str">
        <f t="shared" si="465"/>
        <v/>
      </c>
      <c r="I5374" s="60" t="str">
        <f t="shared" si="466"/>
        <v/>
      </c>
      <c r="J5374" t="str">
        <f t="shared" si="467"/>
        <v/>
      </c>
      <c r="K5374" s="60" t="str">
        <f t="shared" si="468"/>
        <v/>
      </c>
      <c r="L5374" t="str">
        <f t="shared" si="469"/>
        <v/>
      </c>
    </row>
    <row r="5375" spans="1:12" x14ac:dyDescent="0.25">
      <c r="A5375" t="s">
        <v>4435</v>
      </c>
      <c r="G5375" t="str">
        <f t="shared" si="470"/>
        <v>09/10/19</v>
      </c>
      <c r="H5375" t="str">
        <f t="shared" si="465"/>
        <v>Washington Nationals</v>
      </c>
      <c r="I5375" s="60">
        <f t="shared" si="466"/>
        <v>0</v>
      </c>
      <c r="J5375" t="str">
        <f t="shared" si="467"/>
        <v>Minnesota Twins</v>
      </c>
      <c r="K5375" s="60">
        <f t="shared" si="468"/>
        <v>5</v>
      </c>
      <c r="L5375">
        <f t="shared" si="469"/>
        <v>-5</v>
      </c>
    </row>
    <row r="5376" spans="1:12" x14ac:dyDescent="0.25">
      <c r="G5376" t="str">
        <f t="shared" si="470"/>
        <v>09/10/19</v>
      </c>
      <c r="H5376" t="str">
        <f t="shared" si="465"/>
        <v/>
      </c>
      <c r="I5376" s="60" t="str">
        <f t="shared" si="466"/>
        <v/>
      </c>
      <c r="J5376" t="str">
        <f t="shared" si="467"/>
        <v/>
      </c>
      <c r="K5376" s="60" t="str">
        <f t="shared" si="468"/>
        <v/>
      </c>
      <c r="L5376" t="str">
        <f t="shared" si="469"/>
        <v/>
      </c>
    </row>
    <row r="5377" spans="1:12" x14ac:dyDescent="0.25">
      <c r="A5377" t="s">
        <v>4436</v>
      </c>
      <c r="G5377" t="str">
        <f t="shared" si="470"/>
        <v>09/10/19</v>
      </c>
      <c r="H5377" t="str">
        <f t="shared" si="465"/>
        <v>Arizona D'Backs</v>
      </c>
      <c r="I5377" s="60">
        <f t="shared" si="466"/>
        <v>2</v>
      </c>
      <c r="J5377" t="str">
        <f t="shared" si="467"/>
        <v>New York Mets</v>
      </c>
      <c r="K5377" s="60">
        <f t="shared" si="468"/>
        <v>3</v>
      </c>
      <c r="L5377">
        <f t="shared" si="469"/>
        <v>-1</v>
      </c>
    </row>
    <row r="5378" spans="1:12" x14ac:dyDescent="0.25">
      <c r="G5378" t="str">
        <f t="shared" si="470"/>
        <v>09/10/19</v>
      </c>
      <c r="H5378" t="str">
        <f t="shared" si="465"/>
        <v/>
      </c>
      <c r="I5378" s="60" t="str">
        <f t="shared" si="466"/>
        <v/>
      </c>
      <c r="J5378" t="str">
        <f t="shared" si="467"/>
        <v/>
      </c>
      <c r="K5378" s="60" t="str">
        <f t="shared" si="468"/>
        <v/>
      </c>
      <c r="L5378" t="str">
        <f t="shared" si="469"/>
        <v/>
      </c>
    </row>
    <row r="5379" spans="1:12" x14ac:dyDescent="0.25">
      <c r="A5379" t="s">
        <v>4437</v>
      </c>
      <c r="G5379" t="str">
        <f t="shared" si="470"/>
        <v>09/10/19</v>
      </c>
      <c r="H5379" t="str">
        <f t="shared" si="465"/>
        <v>Atlanta Braves</v>
      </c>
      <c r="I5379" s="60">
        <f t="shared" si="466"/>
        <v>5</v>
      </c>
      <c r="J5379" t="str">
        <f t="shared" si="467"/>
        <v>Philadelphia Phillies</v>
      </c>
      <c r="K5379" s="60">
        <f t="shared" si="468"/>
        <v>6</v>
      </c>
      <c r="L5379">
        <f t="shared" si="469"/>
        <v>-1</v>
      </c>
    </row>
    <row r="5380" spans="1:12" x14ac:dyDescent="0.25">
      <c r="G5380" t="str">
        <f t="shared" si="470"/>
        <v>09/10/19</v>
      </c>
      <c r="H5380" t="str">
        <f t="shared" si="465"/>
        <v/>
      </c>
      <c r="I5380" s="60" t="str">
        <f t="shared" si="466"/>
        <v/>
      </c>
      <c r="J5380" t="str">
        <f t="shared" si="467"/>
        <v/>
      </c>
      <c r="K5380" s="60" t="str">
        <f t="shared" si="468"/>
        <v/>
      </c>
      <c r="L5380" t="str">
        <f t="shared" si="469"/>
        <v/>
      </c>
    </row>
    <row r="5381" spans="1:12" x14ac:dyDescent="0.25">
      <c r="A5381" t="s">
        <v>4438</v>
      </c>
      <c r="G5381" t="str">
        <f t="shared" si="470"/>
        <v>09/10/19</v>
      </c>
      <c r="H5381" t="str">
        <f t="shared" si="465"/>
        <v>Chicago Cubs</v>
      </c>
      <c r="I5381" s="60">
        <f t="shared" si="466"/>
        <v>8</v>
      </c>
      <c r="J5381" t="str">
        <f t="shared" si="467"/>
        <v>San Diego Padres</v>
      </c>
      <c r="K5381" s="60">
        <f t="shared" si="468"/>
        <v>9</v>
      </c>
      <c r="L5381">
        <f t="shared" si="469"/>
        <v>-1</v>
      </c>
    </row>
    <row r="5382" spans="1:12" x14ac:dyDescent="0.25">
      <c r="G5382" t="str">
        <f t="shared" si="470"/>
        <v>09/10/19</v>
      </c>
      <c r="H5382" t="str">
        <f t="shared" si="465"/>
        <v/>
      </c>
      <c r="I5382" s="60" t="str">
        <f t="shared" si="466"/>
        <v/>
      </c>
      <c r="J5382" t="str">
        <f t="shared" si="467"/>
        <v/>
      </c>
      <c r="K5382" s="60" t="str">
        <f t="shared" si="468"/>
        <v/>
      </c>
      <c r="L5382" t="str">
        <f t="shared" si="469"/>
        <v/>
      </c>
    </row>
    <row r="5383" spans="1:12" x14ac:dyDescent="0.25">
      <c r="A5383" t="s">
        <v>4439</v>
      </c>
      <c r="G5383" t="str">
        <f t="shared" si="470"/>
        <v>09/10/19</v>
      </c>
      <c r="H5383" t="str">
        <f t="shared" si="465"/>
        <v>Cincinnati Reds</v>
      </c>
      <c r="I5383" s="60">
        <f t="shared" si="466"/>
        <v>3</v>
      </c>
      <c r="J5383" t="str">
        <f t="shared" si="467"/>
        <v>Seattle Mariners</v>
      </c>
      <c r="K5383" s="60">
        <f t="shared" si="468"/>
        <v>4</v>
      </c>
      <c r="L5383">
        <f t="shared" si="469"/>
        <v>-1</v>
      </c>
    </row>
    <row r="5384" spans="1:12" x14ac:dyDescent="0.25">
      <c r="G5384" t="str">
        <f t="shared" si="470"/>
        <v>09/10/19</v>
      </c>
      <c r="H5384" t="str">
        <f t="shared" si="465"/>
        <v/>
      </c>
      <c r="I5384" s="60" t="str">
        <f t="shared" si="466"/>
        <v/>
      </c>
      <c r="J5384" t="str">
        <f t="shared" si="467"/>
        <v/>
      </c>
      <c r="K5384" s="60" t="str">
        <f t="shared" si="468"/>
        <v/>
      </c>
      <c r="L5384" t="str">
        <f t="shared" si="469"/>
        <v/>
      </c>
    </row>
    <row r="5385" spans="1:12" x14ac:dyDescent="0.25">
      <c r="A5385" t="s">
        <v>4440</v>
      </c>
      <c r="G5385" t="str">
        <f t="shared" si="470"/>
        <v>09/10/19</v>
      </c>
      <c r="H5385" t="str">
        <f t="shared" si="465"/>
        <v>Pittsburgh Pirates</v>
      </c>
      <c r="I5385" s="60">
        <f t="shared" si="466"/>
        <v>4</v>
      </c>
      <c r="J5385" t="str">
        <f t="shared" si="467"/>
        <v>San Francisco Giants</v>
      </c>
      <c r="K5385" s="60">
        <f t="shared" si="468"/>
        <v>5</v>
      </c>
      <c r="L5385">
        <f t="shared" si="469"/>
        <v>-1</v>
      </c>
    </row>
    <row r="5386" spans="1:12" x14ac:dyDescent="0.25">
      <c r="G5386" t="str">
        <f t="shared" si="470"/>
        <v>09/10/19</v>
      </c>
      <c r="H5386" t="str">
        <f t="shared" si="465"/>
        <v/>
      </c>
      <c r="I5386" s="60" t="str">
        <f t="shared" si="466"/>
        <v/>
      </c>
      <c r="J5386" t="str">
        <f t="shared" si="467"/>
        <v/>
      </c>
      <c r="K5386" s="60" t="str">
        <f t="shared" si="468"/>
        <v/>
      </c>
      <c r="L5386" t="str">
        <f t="shared" si="469"/>
        <v/>
      </c>
    </row>
    <row r="5387" spans="1:12" x14ac:dyDescent="0.25">
      <c r="A5387" t="s">
        <v>4441</v>
      </c>
      <c r="G5387" t="str">
        <f t="shared" si="470"/>
        <v>09/10/19</v>
      </c>
      <c r="H5387" t="str">
        <f t="shared" si="465"/>
        <v>Tampa Bay Rays</v>
      </c>
      <c r="I5387" s="60">
        <f t="shared" si="466"/>
        <v>5</v>
      </c>
      <c r="J5387" t="str">
        <f t="shared" si="467"/>
        <v>Texas Rangers</v>
      </c>
      <c r="K5387" s="60">
        <f t="shared" si="468"/>
        <v>3</v>
      </c>
      <c r="L5387">
        <f t="shared" si="469"/>
        <v>2</v>
      </c>
    </row>
    <row r="5388" spans="1:12" x14ac:dyDescent="0.25">
      <c r="G5388" t="str">
        <f t="shared" si="470"/>
        <v>09/10/19</v>
      </c>
      <c r="H5388" t="str">
        <f t="shared" si="465"/>
        <v/>
      </c>
      <c r="I5388" s="60" t="str">
        <f t="shared" si="466"/>
        <v/>
      </c>
      <c r="J5388" t="str">
        <f t="shared" si="467"/>
        <v/>
      </c>
      <c r="K5388" s="60" t="str">
        <f t="shared" si="468"/>
        <v/>
      </c>
      <c r="L5388" t="str">
        <f t="shared" si="469"/>
        <v/>
      </c>
    </row>
    <row r="5389" spans="1:12" x14ac:dyDescent="0.25">
      <c r="A5389" t="s">
        <v>4442</v>
      </c>
      <c r="G5389" t="str">
        <f t="shared" si="470"/>
        <v>09/10/19</v>
      </c>
      <c r="H5389" t="str">
        <f t="shared" si="465"/>
        <v>Boston Red Sox</v>
      </c>
      <c r="I5389" s="60">
        <f t="shared" si="466"/>
        <v>3</v>
      </c>
      <c r="J5389" t="str">
        <f t="shared" si="467"/>
        <v>Toronto Blue Jays</v>
      </c>
      <c r="K5389" s="60">
        <f t="shared" si="468"/>
        <v>4</v>
      </c>
      <c r="L5389">
        <f t="shared" si="469"/>
        <v>-1</v>
      </c>
    </row>
    <row r="5390" spans="1:12" x14ac:dyDescent="0.25">
      <c r="G5390" t="str">
        <f t="shared" si="470"/>
        <v>09/10/19</v>
      </c>
      <c r="H5390" t="str">
        <f t="shared" si="465"/>
        <v/>
      </c>
      <c r="I5390" s="60" t="str">
        <f t="shared" si="466"/>
        <v/>
      </c>
      <c r="J5390" t="str">
        <f t="shared" si="467"/>
        <v/>
      </c>
      <c r="K5390" s="60" t="str">
        <f t="shared" si="468"/>
        <v/>
      </c>
      <c r="L5390" t="str">
        <f t="shared" si="469"/>
        <v/>
      </c>
    </row>
    <row r="5391" spans="1:12" x14ac:dyDescent="0.25">
      <c r="A5391" t="s">
        <v>4443</v>
      </c>
      <c r="G5391" t="str">
        <f t="shared" si="470"/>
        <v>09/10/19</v>
      </c>
      <c r="H5391" t="str">
        <f t="shared" si="465"/>
        <v/>
      </c>
      <c r="I5391" s="60" t="str">
        <f t="shared" si="466"/>
        <v/>
      </c>
      <c r="J5391" t="str">
        <f t="shared" si="467"/>
        <v/>
      </c>
      <c r="K5391" s="60" t="str">
        <f t="shared" si="468"/>
        <v/>
      </c>
      <c r="L5391" t="str">
        <f t="shared" si="469"/>
        <v/>
      </c>
    </row>
    <row r="5392" spans="1:12" x14ac:dyDescent="0.25">
      <c r="G5392" t="str">
        <f t="shared" si="470"/>
        <v>09/10/19</v>
      </c>
      <c r="H5392" t="str">
        <f t="shared" ref="H5392:H5455" si="471">IFERROR(LEFT(MID(A5392,1,SEARCH("@",A5392)-2),SEARCH("(",A5392)-2),"")</f>
        <v/>
      </c>
      <c r="I5392" s="60" t="str">
        <f t="shared" ref="I5392:I5455" si="472">IFERROR(VALUE(MID(A5392,SEARCH("(",A5392)+1,SEARCH(")",A5392)-SEARCH("(",A5392)-1)),"")</f>
        <v/>
      </c>
      <c r="J5392" t="str">
        <f t="shared" ref="J5392:J5455" si="473">IFERROR(MID(A5392,SEARCH("@",A5392)+2,SEARCH("(",A5392,SEARCH("@",A5392))-SEARCH("@",A5392)-3),"")</f>
        <v/>
      </c>
      <c r="K5392" s="60" t="str">
        <f t="shared" ref="K5392:K5455" si="474">IFERROR(VALUE(MID(A5392,SEARCH(J5392,A5392)+LEN(J5392)+2,(SEARCH(")",A5392,SEARCH("@",A5392))-SEARCH("(",A5392,SEARCH("@",A5392))-1))),"")</f>
        <v/>
      </c>
      <c r="L5392" t="str">
        <f t="shared" ref="L5392:L5455" si="475">IFERROR(I5392-K5392,"")</f>
        <v/>
      </c>
    </row>
    <row r="5393" spans="1:12" x14ac:dyDescent="0.25">
      <c r="A5393" t="s">
        <v>3309</v>
      </c>
      <c r="G5393" t="str">
        <f t="shared" si="470"/>
        <v>09/11/19</v>
      </c>
      <c r="H5393" t="str">
        <f t="shared" si="471"/>
        <v/>
      </c>
      <c r="I5393" s="60" t="str">
        <f t="shared" si="472"/>
        <v/>
      </c>
      <c r="J5393" t="str">
        <f t="shared" si="473"/>
        <v/>
      </c>
      <c r="K5393" s="60" t="str">
        <f t="shared" si="474"/>
        <v/>
      </c>
      <c r="L5393" t="str">
        <f t="shared" si="475"/>
        <v/>
      </c>
    </row>
    <row r="5394" spans="1:12" x14ac:dyDescent="0.25">
      <c r="G5394" t="str">
        <f t="shared" si="470"/>
        <v>09/11/19</v>
      </c>
      <c r="H5394" t="str">
        <f t="shared" si="471"/>
        <v/>
      </c>
      <c r="I5394" s="60" t="str">
        <f t="shared" si="472"/>
        <v/>
      </c>
      <c r="J5394" t="str">
        <f t="shared" si="473"/>
        <v/>
      </c>
      <c r="K5394" s="60" t="str">
        <f t="shared" si="474"/>
        <v/>
      </c>
      <c r="L5394" t="str">
        <f t="shared" si="475"/>
        <v/>
      </c>
    </row>
    <row r="5395" spans="1:12" x14ac:dyDescent="0.25">
      <c r="A5395" t="s">
        <v>4449</v>
      </c>
      <c r="G5395" t="str">
        <f t="shared" si="470"/>
        <v>09/11/19</v>
      </c>
      <c r="H5395" t="str">
        <f t="shared" si="471"/>
        <v>Cleveland Indians</v>
      </c>
      <c r="I5395" s="60">
        <f t="shared" si="472"/>
        <v>4</v>
      </c>
      <c r="J5395" t="str">
        <f t="shared" si="473"/>
        <v>Los Angeles Angels</v>
      </c>
      <c r="K5395" s="60">
        <f t="shared" si="474"/>
        <v>3</v>
      </c>
      <c r="L5395">
        <f t="shared" si="475"/>
        <v>1</v>
      </c>
    </row>
    <row r="5396" spans="1:12" x14ac:dyDescent="0.25">
      <c r="G5396" t="str">
        <f t="shared" si="470"/>
        <v>09/11/19</v>
      </c>
      <c r="H5396" t="str">
        <f t="shared" si="471"/>
        <v/>
      </c>
      <c r="I5396" s="60" t="str">
        <f t="shared" si="472"/>
        <v/>
      </c>
      <c r="J5396" t="str">
        <f t="shared" si="473"/>
        <v/>
      </c>
      <c r="K5396" s="60" t="str">
        <f t="shared" si="474"/>
        <v/>
      </c>
      <c r="L5396" t="str">
        <f t="shared" si="475"/>
        <v/>
      </c>
    </row>
    <row r="5397" spans="1:12" x14ac:dyDescent="0.25">
      <c r="A5397" t="s">
        <v>4450</v>
      </c>
      <c r="G5397" t="str">
        <f t="shared" si="470"/>
        <v>09/11/19</v>
      </c>
      <c r="H5397" t="str">
        <f t="shared" si="471"/>
        <v>Los Angeles Dodgers</v>
      </c>
      <c r="I5397" s="60">
        <f t="shared" si="472"/>
        <v>3</v>
      </c>
      <c r="J5397" t="str">
        <f t="shared" si="473"/>
        <v>Baltimore Orioles</v>
      </c>
      <c r="K5397" s="60">
        <f t="shared" si="474"/>
        <v>7</v>
      </c>
      <c r="L5397">
        <f t="shared" si="475"/>
        <v>-4</v>
      </c>
    </row>
    <row r="5398" spans="1:12" x14ac:dyDescent="0.25">
      <c r="G5398" t="str">
        <f t="shared" si="470"/>
        <v>09/11/19</v>
      </c>
      <c r="H5398" t="str">
        <f t="shared" si="471"/>
        <v/>
      </c>
      <c r="I5398" s="60" t="str">
        <f t="shared" si="472"/>
        <v/>
      </c>
      <c r="J5398" t="str">
        <f t="shared" si="473"/>
        <v/>
      </c>
      <c r="K5398" s="60" t="str">
        <f t="shared" si="474"/>
        <v/>
      </c>
      <c r="L5398" t="str">
        <f t="shared" si="475"/>
        <v/>
      </c>
    </row>
    <row r="5399" spans="1:12" x14ac:dyDescent="0.25">
      <c r="A5399" t="s">
        <v>4451</v>
      </c>
      <c r="G5399" t="str">
        <f t="shared" si="470"/>
        <v>09/11/19</v>
      </c>
      <c r="H5399" t="str">
        <f t="shared" si="471"/>
        <v>Kansas City Royals</v>
      </c>
      <c r="I5399" s="60">
        <f t="shared" si="472"/>
        <v>8</v>
      </c>
      <c r="J5399" t="str">
        <f t="shared" si="473"/>
        <v>Chicago White Sox</v>
      </c>
      <c r="K5399" s="60">
        <f t="shared" si="474"/>
        <v>6</v>
      </c>
      <c r="L5399">
        <f t="shared" si="475"/>
        <v>2</v>
      </c>
    </row>
    <row r="5400" spans="1:12" x14ac:dyDescent="0.25">
      <c r="G5400" t="str">
        <f t="shared" si="470"/>
        <v>09/11/19</v>
      </c>
      <c r="H5400" t="str">
        <f t="shared" si="471"/>
        <v/>
      </c>
      <c r="I5400" s="60" t="str">
        <f t="shared" si="472"/>
        <v/>
      </c>
      <c r="J5400" t="str">
        <f t="shared" si="473"/>
        <v/>
      </c>
      <c r="K5400" s="60" t="str">
        <f t="shared" si="474"/>
        <v/>
      </c>
      <c r="L5400" t="str">
        <f t="shared" si="475"/>
        <v/>
      </c>
    </row>
    <row r="5401" spans="1:12" x14ac:dyDescent="0.25">
      <c r="A5401" t="s">
        <v>4431</v>
      </c>
      <c r="G5401" t="str">
        <f t="shared" si="470"/>
        <v>09/11/19</v>
      </c>
      <c r="H5401" t="str">
        <f t="shared" si="471"/>
        <v>St. Louis Cardinals</v>
      </c>
      <c r="I5401" s="60">
        <f t="shared" si="472"/>
        <v>1</v>
      </c>
      <c r="J5401" t="str">
        <f t="shared" si="473"/>
        <v>Colorado Rockies</v>
      </c>
      <c r="K5401" s="60">
        <f t="shared" si="474"/>
        <v>2</v>
      </c>
      <c r="L5401">
        <f t="shared" si="475"/>
        <v>-1</v>
      </c>
    </row>
    <row r="5402" spans="1:12" x14ac:dyDescent="0.25">
      <c r="G5402" t="str">
        <f t="shared" si="470"/>
        <v>09/11/19</v>
      </c>
      <c r="H5402" t="str">
        <f t="shared" si="471"/>
        <v/>
      </c>
      <c r="I5402" s="60" t="str">
        <f t="shared" si="472"/>
        <v/>
      </c>
      <c r="J5402" t="str">
        <f t="shared" si="473"/>
        <v/>
      </c>
      <c r="K5402" s="60" t="str">
        <f t="shared" si="474"/>
        <v/>
      </c>
      <c r="L5402" t="str">
        <f t="shared" si="475"/>
        <v/>
      </c>
    </row>
    <row r="5403" spans="1:12" x14ac:dyDescent="0.25">
      <c r="A5403" t="s">
        <v>4452</v>
      </c>
      <c r="G5403" t="str">
        <f t="shared" si="470"/>
        <v>09/11/19</v>
      </c>
      <c r="H5403" t="str">
        <f t="shared" si="471"/>
        <v>Oakland Athletics</v>
      </c>
      <c r="I5403" s="60">
        <f t="shared" si="472"/>
        <v>5</v>
      </c>
      <c r="J5403" t="str">
        <f t="shared" si="473"/>
        <v>Houston Astros</v>
      </c>
      <c r="K5403" s="60">
        <f t="shared" si="474"/>
        <v>3</v>
      </c>
      <c r="L5403">
        <f t="shared" si="475"/>
        <v>2</v>
      </c>
    </row>
    <row r="5404" spans="1:12" x14ac:dyDescent="0.25">
      <c r="G5404" t="str">
        <f t="shared" si="470"/>
        <v>09/11/19</v>
      </c>
      <c r="H5404" t="str">
        <f t="shared" si="471"/>
        <v/>
      </c>
      <c r="I5404" s="60" t="str">
        <f t="shared" si="472"/>
        <v/>
      </c>
      <c r="J5404" t="str">
        <f t="shared" si="473"/>
        <v/>
      </c>
      <c r="K5404" s="60" t="str">
        <f t="shared" si="474"/>
        <v/>
      </c>
      <c r="L5404" t="str">
        <f t="shared" si="475"/>
        <v/>
      </c>
    </row>
    <row r="5405" spans="1:12" x14ac:dyDescent="0.25">
      <c r="A5405" t="s">
        <v>4453</v>
      </c>
      <c r="G5405" t="str">
        <f t="shared" si="470"/>
        <v>09/11/19</v>
      </c>
      <c r="H5405" t="str">
        <f t="shared" si="471"/>
        <v>Milwaukee Brewers</v>
      </c>
      <c r="I5405" s="60">
        <f t="shared" si="472"/>
        <v>7</v>
      </c>
      <c r="J5405" t="str">
        <f t="shared" si="473"/>
        <v>Miami Marlins</v>
      </c>
      <c r="K5405" s="60">
        <f t="shared" si="474"/>
        <v>5</v>
      </c>
      <c r="L5405">
        <f t="shared" si="475"/>
        <v>2</v>
      </c>
    </row>
    <row r="5406" spans="1:12" x14ac:dyDescent="0.25">
      <c r="G5406" t="str">
        <f t="shared" si="470"/>
        <v>09/11/19</v>
      </c>
      <c r="H5406" t="str">
        <f t="shared" si="471"/>
        <v/>
      </c>
      <c r="I5406" s="60" t="str">
        <f t="shared" si="472"/>
        <v/>
      </c>
      <c r="J5406" t="str">
        <f t="shared" si="473"/>
        <v/>
      </c>
      <c r="K5406" s="60" t="str">
        <f t="shared" si="474"/>
        <v/>
      </c>
      <c r="L5406" t="str">
        <f t="shared" si="475"/>
        <v/>
      </c>
    </row>
    <row r="5407" spans="1:12" x14ac:dyDescent="0.25">
      <c r="A5407" t="s">
        <v>4454</v>
      </c>
      <c r="G5407" t="str">
        <f t="shared" si="470"/>
        <v>09/11/19</v>
      </c>
      <c r="H5407" t="str">
        <f t="shared" si="471"/>
        <v>Washington Nationals</v>
      </c>
      <c r="I5407" s="60">
        <f t="shared" si="472"/>
        <v>6</v>
      </c>
      <c r="J5407" t="str">
        <f t="shared" si="473"/>
        <v>Minnesota Twins</v>
      </c>
      <c r="K5407" s="60">
        <f t="shared" si="474"/>
        <v>2</v>
      </c>
      <c r="L5407">
        <f t="shared" si="475"/>
        <v>4</v>
      </c>
    </row>
    <row r="5408" spans="1:12" x14ac:dyDescent="0.25">
      <c r="G5408" t="str">
        <f t="shared" si="470"/>
        <v>09/11/19</v>
      </c>
      <c r="H5408" t="str">
        <f t="shared" si="471"/>
        <v/>
      </c>
      <c r="I5408" s="60" t="str">
        <f t="shared" si="472"/>
        <v/>
      </c>
      <c r="J5408" t="str">
        <f t="shared" si="473"/>
        <v/>
      </c>
      <c r="K5408" s="60" t="str">
        <f t="shared" si="474"/>
        <v/>
      </c>
      <c r="L5408" t="str">
        <f t="shared" si="475"/>
        <v/>
      </c>
    </row>
    <row r="5409" spans="1:12" x14ac:dyDescent="0.25">
      <c r="A5409" t="s">
        <v>4455</v>
      </c>
      <c r="G5409" t="str">
        <f t="shared" si="470"/>
        <v>09/11/19</v>
      </c>
      <c r="H5409" t="str">
        <f t="shared" si="471"/>
        <v>Arizona D'Backs</v>
      </c>
      <c r="I5409" s="60">
        <f t="shared" si="472"/>
        <v>0</v>
      </c>
      <c r="J5409" t="str">
        <f t="shared" si="473"/>
        <v>New York Mets</v>
      </c>
      <c r="K5409" s="60">
        <f t="shared" si="474"/>
        <v>9</v>
      </c>
      <c r="L5409">
        <f t="shared" si="475"/>
        <v>-9</v>
      </c>
    </row>
    <row r="5410" spans="1:12" x14ac:dyDescent="0.25">
      <c r="G5410" t="str">
        <f t="shared" ref="G5410:G5473" si="476">IF(ISNUMBER(MATCH(IFERROR(LEFT(A5410,SEARCH(",",A5410)-1),""),$G$220:$M$220,0)),TEXT(MID(A5410,SEARCH(",",A5410)+2,LEN(A5410)),"mm/dd/yy"),G5409)</f>
        <v>09/11/19</v>
      </c>
      <c r="H5410" t="str">
        <f t="shared" si="471"/>
        <v/>
      </c>
      <c r="I5410" s="60" t="str">
        <f t="shared" si="472"/>
        <v/>
      </c>
      <c r="J5410" t="str">
        <f t="shared" si="473"/>
        <v/>
      </c>
      <c r="K5410" s="60" t="str">
        <f t="shared" si="474"/>
        <v/>
      </c>
      <c r="L5410" t="str">
        <f t="shared" si="475"/>
        <v/>
      </c>
    </row>
    <row r="5411" spans="1:12" x14ac:dyDescent="0.25">
      <c r="A5411" t="s">
        <v>4456</v>
      </c>
      <c r="G5411" t="str">
        <f t="shared" si="476"/>
        <v>09/11/19</v>
      </c>
      <c r="H5411" t="str">
        <f t="shared" si="471"/>
        <v>Atlanta Braves</v>
      </c>
      <c r="I5411" s="60">
        <f t="shared" si="472"/>
        <v>3</v>
      </c>
      <c r="J5411" t="str">
        <f t="shared" si="473"/>
        <v>Philadelphia Phillies</v>
      </c>
      <c r="K5411" s="60">
        <f t="shared" si="474"/>
        <v>1</v>
      </c>
      <c r="L5411">
        <f t="shared" si="475"/>
        <v>2</v>
      </c>
    </row>
    <row r="5412" spans="1:12" x14ac:dyDescent="0.25">
      <c r="G5412" t="str">
        <f t="shared" si="476"/>
        <v>09/11/19</v>
      </c>
      <c r="H5412" t="str">
        <f t="shared" si="471"/>
        <v/>
      </c>
      <c r="I5412" s="60" t="str">
        <f t="shared" si="472"/>
        <v/>
      </c>
      <c r="J5412" t="str">
        <f t="shared" si="473"/>
        <v/>
      </c>
      <c r="K5412" s="60" t="str">
        <f t="shared" si="474"/>
        <v/>
      </c>
      <c r="L5412" t="str">
        <f t="shared" si="475"/>
        <v/>
      </c>
    </row>
    <row r="5413" spans="1:12" x14ac:dyDescent="0.25">
      <c r="A5413" t="s">
        <v>4457</v>
      </c>
      <c r="G5413" t="str">
        <f t="shared" si="476"/>
        <v>09/11/19</v>
      </c>
      <c r="H5413" t="str">
        <f t="shared" si="471"/>
        <v>Chicago Cubs</v>
      </c>
      <c r="I5413" s="60">
        <f t="shared" si="472"/>
        <v>0</v>
      </c>
      <c r="J5413" t="str">
        <f t="shared" si="473"/>
        <v>San Diego Padres</v>
      </c>
      <c r="K5413" s="60">
        <f t="shared" si="474"/>
        <v>4</v>
      </c>
      <c r="L5413">
        <f t="shared" si="475"/>
        <v>-4</v>
      </c>
    </row>
    <row r="5414" spans="1:12" x14ac:dyDescent="0.25">
      <c r="G5414" t="str">
        <f t="shared" si="476"/>
        <v>09/11/19</v>
      </c>
      <c r="H5414" t="str">
        <f t="shared" si="471"/>
        <v/>
      </c>
      <c r="I5414" s="60" t="str">
        <f t="shared" si="472"/>
        <v/>
      </c>
      <c r="J5414" t="str">
        <f t="shared" si="473"/>
        <v/>
      </c>
      <c r="K5414" s="60" t="str">
        <f t="shared" si="474"/>
        <v/>
      </c>
      <c r="L5414" t="str">
        <f t="shared" si="475"/>
        <v/>
      </c>
    </row>
    <row r="5415" spans="1:12" x14ac:dyDescent="0.25">
      <c r="A5415" t="s">
        <v>4458</v>
      </c>
      <c r="G5415" t="str">
        <f t="shared" si="476"/>
        <v>09/11/19</v>
      </c>
      <c r="H5415" t="str">
        <f t="shared" si="471"/>
        <v>Cincinnati Reds</v>
      </c>
      <c r="I5415" s="60">
        <f t="shared" si="472"/>
        <v>3</v>
      </c>
      <c r="J5415" t="str">
        <f t="shared" si="473"/>
        <v>Seattle Mariners</v>
      </c>
      <c r="K5415" s="60">
        <f t="shared" si="474"/>
        <v>5</v>
      </c>
      <c r="L5415">
        <f t="shared" si="475"/>
        <v>-2</v>
      </c>
    </row>
    <row r="5416" spans="1:12" x14ac:dyDescent="0.25">
      <c r="G5416" t="str">
        <f t="shared" si="476"/>
        <v>09/11/19</v>
      </c>
      <c r="H5416" t="str">
        <f t="shared" si="471"/>
        <v/>
      </c>
      <c r="I5416" s="60" t="str">
        <f t="shared" si="472"/>
        <v/>
      </c>
      <c r="J5416" t="str">
        <f t="shared" si="473"/>
        <v/>
      </c>
      <c r="K5416" s="60" t="str">
        <f t="shared" si="474"/>
        <v/>
      </c>
      <c r="L5416" t="str">
        <f t="shared" si="475"/>
        <v/>
      </c>
    </row>
    <row r="5417" spans="1:12" x14ac:dyDescent="0.25">
      <c r="A5417" t="s">
        <v>4459</v>
      </c>
      <c r="G5417" t="str">
        <f t="shared" si="476"/>
        <v>09/11/19</v>
      </c>
      <c r="H5417" t="str">
        <f t="shared" si="471"/>
        <v>Pittsburgh Pirates</v>
      </c>
      <c r="I5417" s="60">
        <f t="shared" si="472"/>
        <v>6</v>
      </c>
      <c r="J5417" t="str">
        <f t="shared" si="473"/>
        <v>San Francisco Giants</v>
      </c>
      <c r="K5417" s="60">
        <f t="shared" si="474"/>
        <v>3</v>
      </c>
      <c r="L5417">
        <f t="shared" si="475"/>
        <v>3</v>
      </c>
    </row>
    <row r="5418" spans="1:12" x14ac:dyDescent="0.25">
      <c r="G5418" t="str">
        <f t="shared" si="476"/>
        <v>09/11/19</v>
      </c>
      <c r="H5418" t="str">
        <f t="shared" si="471"/>
        <v/>
      </c>
      <c r="I5418" s="60" t="str">
        <f t="shared" si="472"/>
        <v/>
      </c>
      <c r="J5418" t="str">
        <f t="shared" si="473"/>
        <v/>
      </c>
      <c r="K5418" s="60" t="str">
        <f t="shared" si="474"/>
        <v/>
      </c>
      <c r="L5418" t="str">
        <f t="shared" si="475"/>
        <v/>
      </c>
    </row>
    <row r="5419" spans="1:12" x14ac:dyDescent="0.25">
      <c r="A5419" t="s">
        <v>4460</v>
      </c>
      <c r="G5419" t="str">
        <f t="shared" si="476"/>
        <v>09/11/19</v>
      </c>
      <c r="H5419" t="str">
        <f t="shared" si="471"/>
        <v>Tampa Bay Rays</v>
      </c>
      <c r="I5419" s="60">
        <f t="shared" si="472"/>
        <v>9</v>
      </c>
      <c r="J5419" t="str">
        <f t="shared" si="473"/>
        <v>Texas Rangers</v>
      </c>
      <c r="K5419" s="60">
        <f t="shared" si="474"/>
        <v>10</v>
      </c>
      <c r="L5419">
        <f t="shared" si="475"/>
        <v>-1</v>
      </c>
    </row>
    <row r="5420" spans="1:12" x14ac:dyDescent="0.25">
      <c r="G5420" t="str">
        <f t="shared" si="476"/>
        <v>09/11/19</v>
      </c>
      <c r="H5420" t="str">
        <f t="shared" si="471"/>
        <v/>
      </c>
      <c r="I5420" s="60" t="str">
        <f t="shared" si="472"/>
        <v/>
      </c>
      <c r="J5420" t="str">
        <f t="shared" si="473"/>
        <v/>
      </c>
      <c r="K5420" s="60" t="str">
        <f t="shared" si="474"/>
        <v/>
      </c>
      <c r="L5420" t="str">
        <f t="shared" si="475"/>
        <v/>
      </c>
    </row>
    <row r="5421" spans="1:12" x14ac:dyDescent="0.25">
      <c r="A5421" t="s">
        <v>4461</v>
      </c>
      <c r="G5421" t="str">
        <f t="shared" si="476"/>
        <v>09/11/19</v>
      </c>
      <c r="H5421" t="str">
        <f t="shared" si="471"/>
        <v>Boston Red Sox</v>
      </c>
      <c r="I5421" s="60">
        <f t="shared" si="472"/>
        <v>0</v>
      </c>
      <c r="J5421" t="str">
        <f t="shared" si="473"/>
        <v>Toronto Blue Jays</v>
      </c>
      <c r="K5421" s="60">
        <f t="shared" si="474"/>
        <v>8</v>
      </c>
      <c r="L5421">
        <f t="shared" si="475"/>
        <v>-8</v>
      </c>
    </row>
    <row r="5422" spans="1:12" x14ac:dyDescent="0.25">
      <c r="G5422" t="str">
        <f t="shared" si="476"/>
        <v>09/11/19</v>
      </c>
      <c r="H5422" t="str">
        <f t="shared" si="471"/>
        <v/>
      </c>
      <c r="I5422" s="60" t="str">
        <f t="shared" si="472"/>
        <v/>
      </c>
      <c r="J5422" t="str">
        <f t="shared" si="473"/>
        <v/>
      </c>
      <c r="K5422" s="60" t="str">
        <f t="shared" si="474"/>
        <v/>
      </c>
      <c r="L5422" t="str">
        <f t="shared" si="475"/>
        <v/>
      </c>
    </row>
    <row r="5423" spans="1:12" x14ac:dyDescent="0.25">
      <c r="A5423" t="s">
        <v>4462</v>
      </c>
      <c r="G5423" t="str">
        <f t="shared" si="476"/>
        <v>09/11/19</v>
      </c>
      <c r="H5423" t="str">
        <f t="shared" si="471"/>
        <v/>
      </c>
      <c r="I5423" s="60" t="str">
        <f t="shared" si="472"/>
        <v/>
      </c>
      <c r="J5423" t="str">
        <f t="shared" si="473"/>
        <v/>
      </c>
      <c r="K5423" s="60" t="str">
        <f t="shared" si="474"/>
        <v/>
      </c>
      <c r="L5423" t="str">
        <f t="shared" si="475"/>
        <v/>
      </c>
    </row>
    <row r="5424" spans="1:12" x14ac:dyDescent="0.25">
      <c r="G5424" t="str">
        <f t="shared" si="476"/>
        <v>09/11/19</v>
      </c>
      <c r="H5424" t="str">
        <f t="shared" si="471"/>
        <v/>
      </c>
      <c r="I5424" s="60" t="str">
        <f t="shared" si="472"/>
        <v/>
      </c>
      <c r="J5424" t="str">
        <f t="shared" si="473"/>
        <v/>
      </c>
      <c r="K5424" s="60" t="str">
        <f t="shared" si="474"/>
        <v/>
      </c>
      <c r="L5424" t="str">
        <f t="shared" si="475"/>
        <v/>
      </c>
    </row>
    <row r="5425" spans="1:12" x14ac:dyDescent="0.25">
      <c r="A5425" t="s">
        <v>3310</v>
      </c>
      <c r="G5425" t="str">
        <f t="shared" si="476"/>
        <v>09/12/19</v>
      </c>
      <c r="H5425" t="str">
        <f t="shared" si="471"/>
        <v/>
      </c>
      <c r="I5425" s="60" t="str">
        <f t="shared" si="472"/>
        <v/>
      </c>
      <c r="J5425" t="str">
        <f t="shared" si="473"/>
        <v/>
      </c>
      <c r="K5425" s="60" t="str">
        <f t="shared" si="474"/>
        <v/>
      </c>
      <c r="L5425" t="str">
        <f t="shared" si="475"/>
        <v/>
      </c>
    </row>
    <row r="5426" spans="1:12" x14ac:dyDescent="0.25">
      <c r="G5426" t="str">
        <f t="shared" si="476"/>
        <v>09/12/19</v>
      </c>
      <c r="H5426" t="str">
        <f t="shared" si="471"/>
        <v/>
      </c>
      <c r="I5426" s="60" t="str">
        <f t="shared" si="472"/>
        <v/>
      </c>
      <c r="J5426" t="str">
        <f t="shared" si="473"/>
        <v/>
      </c>
      <c r="K5426" s="60" t="str">
        <f t="shared" si="474"/>
        <v/>
      </c>
      <c r="L5426" t="str">
        <f t="shared" si="475"/>
        <v/>
      </c>
    </row>
    <row r="5427" spans="1:12" x14ac:dyDescent="0.25">
      <c r="A5427" t="s">
        <v>4465</v>
      </c>
      <c r="G5427" t="str">
        <f t="shared" si="476"/>
        <v>09/12/19</v>
      </c>
      <c r="H5427" t="str">
        <f t="shared" si="471"/>
        <v>Los Angeles Dodgers</v>
      </c>
      <c r="I5427" s="60">
        <f t="shared" si="472"/>
        <v>4</v>
      </c>
      <c r="J5427" t="str">
        <f t="shared" si="473"/>
        <v>Baltimore Orioles</v>
      </c>
      <c r="K5427" s="60">
        <f t="shared" si="474"/>
        <v>2</v>
      </c>
      <c r="L5427">
        <f t="shared" si="475"/>
        <v>2</v>
      </c>
    </row>
    <row r="5428" spans="1:12" x14ac:dyDescent="0.25">
      <c r="G5428" t="str">
        <f t="shared" si="476"/>
        <v>09/12/19</v>
      </c>
      <c r="H5428" t="str">
        <f t="shared" si="471"/>
        <v/>
      </c>
      <c r="I5428" s="60" t="str">
        <f t="shared" si="472"/>
        <v/>
      </c>
      <c r="J5428" t="str">
        <f t="shared" si="473"/>
        <v/>
      </c>
      <c r="K5428" s="60" t="str">
        <f t="shared" si="474"/>
        <v/>
      </c>
      <c r="L5428" t="str">
        <f t="shared" si="475"/>
        <v/>
      </c>
    </row>
    <row r="5429" spans="1:12" x14ac:dyDescent="0.25">
      <c r="A5429" t="s">
        <v>4466</v>
      </c>
      <c r="G5429" t="str">
        <f t="shared" si="476"/>
        <v>09/12/19</v>
      </c>
      <c r="H5429" t="str">
        <f t="shared" si="471"/>
        <v>Kansas City Royals</v>
      </c>
      <c r="I5429" s="60">
        <f t="shared" si="472"/>
        <v>6</v>
      </c>
      <c r="J5429" t="str">
        <f t="shared" si="473"/>
        <v>Chicago White Sox</v>
      </c>
      <c r="K5429" s="60">
        <f t="shared" si="474"/>
        <v>3</v>
      </c>
      <c r="L5429">
        <f t="shared" si="475"/>
        <v>3</v>
      </c>
    </row>
    <row r="5430" spans="1:12" x14ac:dyDescent="0.25">
      <c r="G5430" t="str">
        <f t="shared" si="476"/>
        <v>09/12/19</v>
      </c>
      <c r="H5430" t="str">
        <f t="shared" si="471"/>
        <v/>
      </c>
      <c r="I5430" s="60" t="str">
        <f t="shared" si="472"/>
        <v/>
      </c>
      <c r="J5430" t="str">
        <f t="shared" si="473"/>
        <v/>
      </c>
      <c r="K5430" s="60" t="str">
        <f t="shared" si="474"/>
        <v/>
      </c>
      <c r="L5430" t="str">
        <f t="shared" si="475"/>
        <v/>
      </c>
    </row>
    <row r="5431" spans="1:12" x14ac:dyDescent="0.25">
      <c r="A5431" t="s">
        <v>4467</v>
      </c>
      <c r="G5431" t="str">
        <f t="shared" si="476"/>
        <v>09/12/19</v>
      </c>
      <c r="H5431" t="str">
        <f t="shared" si="471"/>
        <v>St. Louis Cardinals</v>
      </c>
      <c r="I5431" s="60">
        <f t="shared" si="472"/>
        <v>10</v>
      </c>
      <c r="J5431" t="str">
        <f t="shared" si="473"/>
        <v>Colorado Rockies</v>
      </c>
      <c r="K5431" s="60">
        <f t="shared" si="474"/>
        <v>3</v>
      </c>
      <c r="L5431">
        <f t="shared" si="475"/>
        <v>7</v>
      </c>
    </row>
    <row r="5432" spans="1:12" x14ac:dyDescent="0.25">
      <c r="G5432" t="str">
        <f t="shared" si="476"/>
        <v>09/12/19</v>
      </c>
      <c r="H5432" t="str">
        <f t="shared" si="471"/>
        <v/>
      </c>
      <c r="I5432" s="60" t="str">
        <f t="shared" si="472"/>
        <v/>
      </c>
      <c r="J5432" t="str">
        <f t="shared" si="473"/>
        <v/>
      </c>
      <c r="K5432" s="60" t="str">
        <f t="shared" si="474"/>
        <v/>
      </c>
      <c r="L5432" t="str">
        <f t="shared" si="475"/>
        <v/>
      </c>
    </row>
    <row r="5433" spans="1:12" x14ac:dyDescent="0.25">
      <c r="A5433" t="s">
        <v>4468</v>
      </c>
      <c r="G5433" t="str">
        <f t="shared" si="476"/>
        <v>09/12/19</v>
      </c>
      <c r="H5433" t="str">
        <f t="shared" si="471"/>
        <v>New York Yankees</v>
      </c>
      <c r="I5433" s="60">
        <f t="shared" si="472"/>
        <v>10</v>
      </c>
      <c r="J5433" t="str">
        <f t="shared" si="473"/>
        <v>Detroit Tigers</v>
      </c>
      <c r="K5433" s="60">
        <f t="shared" si="474"/>
        <v>4</v>
      </c>
      <c r="L5433">
        <f t="shared" si="475"/>
        <v>6</v>
      </c>
    </row>
    <row r="5434" spans="1:12" x14ac:dyDescent="0.25">
      <c r="G5434" t="str">
        <f t="shared" si="476"/>
        <v>09/12/19</v>
      </c>
      <c r="H5434" t="str">
        <f t="shared" si="471"/>
        <v/>
      </c>
      <c r="I5434" s="60" t="str">
        <f t="shared" si="472"/>
        <v/>
      </c>
      <c r="J5434" t="str">
        <f t="shared" si="473"/>
        <v/>
      </c>
      <c r="K5434" s="60" t="str">
        <f t="shared" si="474"/>
        <v/>
      </c>
      <c r="L5434" t="str">
        <f t="shared" si="475"/>
        <v/>
      </c>
    </row>
    <row r="5435" spans="1:12" x14ac:dyDescent="0.25">
      <c r="A5435" t="s">
        <v>4469</v>
      </c>
      <c r="G5435" t="str">
        <f t="shared" si="476"/>
        <v>09/12/19</v>
      </c>
      <c r="H5435" t="str">
        <f t="shared" si="471"/>
        <v>New York Yankees</v>
      </c>
      <c r="I5435" s="60">
        <f t="shared" si="472"/>
        <v>6</v>
      </c>
      <c r="J5435" t="str">
        <f t="shared" si="473"/>
        <v>Detroit Tigers</v>
      </c>
      <c r="K5435" s="60">
        <f t="shared" si="474"/>
        <v>4</v>
      </c>
      <c r="L5435">
        <f t="shared" si="475"/>
        <v>2</v>
      </c>
    </row>
    <row r="5436" spans="1:12" x14ac:dyDescent="0.25">
      <c r="G5436" t="str">
        <f t="shared" si="476"/>
        <v>09/12/19</v>
      </c>
      <c r="H5436" t="str">
        <f t="shared" si="471"/>
        <v/>
      </c>
      <c r="I5436" s="60" t="str">
        <f t="shared" si="472"/>
        <v/>
      </c>
      <c r="J5436" t="str">
        <f t="shared" si="473"/>
        <v/>
      </c>
      <c r="K5436" s="60" t="str">
        <f t="shared" si="474"/>
        <v/>
      </c>
      <c r="L5436" t="str">
        <f t="shared" si="475"/>
        <v/>
      </c>
    </row>
    <row r="5437" spans="1:12" x14ac:dyDescent="0.25">
      <c r="A5437" t="s">
        <v>4470</v>
      </c>
      <c r="G5437" t="str">
        <f t="shared" si="476"/>
        <v>09/12/19</v>
      </c>
      <c r="H5437" t="str">
        <f t="shared" si="471"/>
        <v>Oakland Athletics</v>
      </c>
      <c r="I5437" s="60">
        <f t="shared" si="472"/>
        <v>3</v>
      </c>
      <c r="J5437" t="str">
        <f t="shared" si="473"/>
        <v>Houston Astros</v>
      </c>
      <c r="K5437" s="60">
        <f t="shared" si="474"/>
        <v>2</v>
      </c>
      <c r="L5437">
        <f t="shared" si="475"/>
        <v>1</v>
      </c>
    </row>
    <row r="5438" spans="1:12" x14ac:dyDescent="0.25">
      <c r="G5438" t="str">
        <f t="shared" si="476"/>
        <v>09/12/19</v>
      </c>
      <c r="H5438" t="str">
        <f t="shared" si="471"/>
        <v/>
      </c>
      <c r="I5438" s="60" t="str">
        <f t="shared" si="472"/>
        <v/>
      </c>
      <c r="J5438" t="str">
        <f t="shared" si="473"/>
        <v/>
      </c>
      <c r="K5438" s="60" t="str">
        <f t="shared" si="474"/>
        <v/>
      </c>
      <c r="L5438" t="str">
        <f t="shared" si="475"/>
        <v/>
      </c>
    </row>
    <row r="5439" spans="1:12" x14ac:dyDescent="0.25">
      <c r="A5439" t="s">
        <v>4471</v>
      </c>
      <c r="G5439" t="str">
        <f t="shared" si="476"/>
        <v>09/12/19</v>
      </c>
      <c r="H5439" t="str">
        <f t="shared" si="471"/>
        <v>Milwaukee Brewers</v>
      </c>
      <c r="I5439" s="60">
        <f t="shared" si="472"/>
        <v>3</v>
      </c>
      <c r="J5439" t="str">
        <f t="shared" si="473"/>
        <v>Miami Marlins</v>
      </c>
      <c r="K5439" s="60">
        <f t="shared" si="474"/>
        <v>2</v>
      </c>
      <c r="L5439">
        <f t="shared" si="475"/>
        <v>1</v>
      </c>
    </row>
    <row r="5440" spans="1:12" x14ac:dyDescent="0.25">
      <c r="G5440" t="str">
        <f t="shared" si="476"/>
        <v>09/12/19</v>
      </c>
      <c r="H5440" t="str">
        <f t="shared" si="471"/>
        <v/>
      </c>
      <c r="I5440" s="60" t="str">
        <f t="shared" si="472"/>
        <v/>
      </c>
      <c r="J5440" t="str">
        <f t="shared" si="473"/>
        <v/>
      </c>
      <c r="K5440" s="60" t="str">
        <f t="shared" si="474"/>
        <v/>
      </c>
      <c r="L5440" t="str">
        <f t="shared" si="475"/>
        <v/>
      </c>
    </row>
    <row r="5441" spans="1:12" x14ac:dyDescent="0.25">
      <c r="A5441" t="s">
        <v>4472</v>
      </c>
      <c r="G5441" t="str">
        <f t="shared" si="476"/>
        <v>09/12/19</v>
      </c>
      <c r="H5441" t="str">
        <f t="shared" si="471"/>
        <v>Washington Nationals</v>
      </c>
      <c r="I5441" s="60">
        <f t="shared" si="472"/>
        <v>12</v>
      </c>
      <c r="J5441" t="str">
        <f t="shared" si="473"/>
        <v>Minnesota Twins</v>
      </c>
      <c r="K5441" s="60">
        <f t="shared" si="474"/>
        <v>6</v>
      </c>
      <c r="L5441">
        <f t="shared" si="475"/>
        <v>6</v>
      </c>
    </row>
    <row r="5442" spans="1:12" x14ac:dyDescent="0.25">
      <c r="G5442" t="str">
        <f t="shared" si="476"/>
        <v>09/12/19</v>
      </c>
      <c r="H5442" t="str">
        <f t="shared" si="471"/>
        <v/>
      </c>
      <c r="I5442" s="60" t="str">
        <f t="shared" si="472"/>
        <v/>
      </c>
      <c r="J5442" t="str">
        <f t="shared" si="473"/>
        <v/>
      </c>
      <c r="K5442" s="60" t="str">
        <f t="shared" si="474"/>
        <v/>
      </c>
      <c r="L5442" t="str">
        <f t="shared" si="475"/>
        <v/>
      </c>
    </row>
    <row r="5443" spans="1:12" x14ac:dyDescent="0.25">
      <c r="A5443" t="s">
        <v>4473</v>
      </c>
      <c r="G5443" t="str">
        <f t="shared" si="476"/>
        <v>09/12/19</v>
      </c>
      <c r="H5443" t="str">
        <f t="shared" si="471"/>
        <v>Arizona D'Backs</v>
      </c>
      <c r="I5443" s="60">
        <f t="shared" si="472"/>
        <v>1</v>
      </c>
      <c r="J5443" t="str">
        <f t="shared" si="473"/>
        <v>New York Mets</v>
      </c>
      <c r="K5443" s="60">
        <f t="shared" si="474"/>
        <v>11</v>
      </c>
      <c r="L5443">
        <f t="shared" si="475"/>
        <v>-10</v>
      </c>
    </row>
    <row r="5444" spans="1:12" x14ac:dyDescent="0.25">
      <c r="G5444" t="str">
        <f t="shared" si="476"/>
        <v>09/12/19</v>
      </c>
      <c r="H5444" t="str">
        <f t="shared" si="471"/>
        <v/>
      </c>
      <c r="I5444" s="60" t="str">
        <f t="shared" si="472"/>
        <v/>
      </c>
      <c r="J5444" t="str">
        <f t="shared" si="473"/>
        <v/>
      </c>
      <c r="K5444" s="60" t="str">
        <f t="shared" si="474"/>
        <v/>
      </c>
      <c r="L5444" t="str">
        <f t="shared" si="475"/>
        <v/>
      </c>
    </row>
    <row r="5445" spans="1:12" x14ac:dyDescent="0.25">
      <c r="A5445" t="s">
        <v>4474</v>
      </c>
      <c r="G5445" t="str">
        <f t="shared" si="476"/>
        <v>09/12/19</v>
      </c>
      <c r="H5445" t="str">
        <f t="shared" si="471"/>
        <v>Atlanta Braves</v>
      </c>
      <c r="I5445" s="60">
        <f t="shared" si="472"/>
        <v>5</v>
      </c>
      <c r="J5445" t="str">
        <f t="shared" si="473"/>
        <v>Philadelphia Phillies</v>
      </c>
      <c r="K5445" s="60">
        <f t="shared" si="474"/>
        <v>9</v>
      </c>
      <c r="L5445">
        <f t="shared" si="475"/>
        <v>-4</v>
      </c>
    </row>
    <row r="5446" spans="1:12" x14ac:dyDescent="0.25">
      <c r="G5446" t="str">
        <f t="shared" si="476"/>
        <v>09/12/19</v>
      </c>
      <c r="H5446" t="str">
        <f t="shared" si="471"/>
        <v/>
      </c>
      <c r="I5446" s="60" t="str">
        <f t="shared" si="472"/>
        <v/>
      </c>
      <c r="J5446" t="str">
        <f t="shared" si="473"/>
        <v/>
      </c>
      <c r="K5446" s="60" t="str">
        <f t="shared" si="474"/>
        <v/>
      </c>
      <c r="L5446" t="str">
        <f t="shared" si="475"/>
        <v/>
      </c>
    </row>
    <row r="5447" spans="1:12" x14ac:dyDescent="0.25">
      <c r="A5447" t="s">
        <v>4475</v>
      </c>
      <c r="G5447" t="str">
        <f t="shared" si="476"/>
        <v>09/12/19</v>
      </c>
      <c r="H5447" t="str">
        <f t="shared" si="471"/>
        <v>Chicago Cubs</v>
      </c>
      <c r="I5447" s="60">
        <f t="shared" si="472"/>
        <v>4</v>
      </c>
      <c r="J5447" t="str">
        <f t="shared" si="473"/>
        <v>San Diego Padres</v>
      </c>
      <c r="K5447" s="60">
        <f t="shared" si="474"/>
        <v>1</v>
      </c>
      <c r="L5447">
        <f t="shared" si="475"/>
        <v>3</v>
      </c>
    </row>
    <row r="5448" spans="1:12" x14ac:dyDescent="0.25">
      <c r="G5448" t="str">
        <f t="shared" si="476"/>
        <v>09/12/19</v>
      </c>
      <c r="H5448" t="str">
        <f t="shared" si="471"/>
        <v/>
      </c>
      <c r="I5448" s="60" t="str">
        <f t="shared" si="472"/>
        <v/>
      </c>
      <c r="J5448" t="str">
        <f t="shared" si="473"/>
        <v/>
      </c>
      <c r="K5448" s="60" t="str">
        <f t="shared" si="474"/>
        <v/>
      </c>
      <c r="L5448" t="str">
        <f t="shared" si="475"/>
        <v/>
      </c>
    </row>
    <row r="5449" spans="1:12" x14ac:dyDescent="0.25">
      <c r="A5449" t="s">
        <v>4476</v>
      </c>
      <c r="G5449" t="str">
        <f t="shared" si="476"/>
        <v>09/12/19</v>
      </c>
      <c r="H5449" t="str">
        <f t="shared" si="471"/>
        <v>Cincinnati Reds</v>
      </c>
      <c r="I5449" s="60">
        <f t="shared" si="472"/>
        <v>11</v>
      </c>
      <c r="J5449" t="str">
        <f t="shared" si="473"/>
        <v>Seattle Mariners</v>
      </c>
      <c r="K5449" s="60">
        <f t="shared" si="474"/>
        <v>5</v>
      </c>
      <c r="L5449">
        <f t="shared" si="475"/>
        <v>6</v>
      </c>
    </row>
    <row r="5450" spans="1:12" x14ac:dyDescent="0.25">
      <c r="G5450" t="str">
        <f t="shared" si="476"/>
        <v>09/12/19</v>
      </c>
      <c r="H5450" t="str">
        <f t="shared" si="471"/>
        <v/>
      </c>
      <c r="I5450" s="60" t="str">
        <f t="shared" si="472"/>
        <v/>
      </c>
      <c r="J5450" t="str">
        <f t="shared" si="473"/>
        <v/>
      </c>
      <c r="K5450" s="60" t="str">
        <f t="shared" si="474"/>
        <v/>
      </c>
      <c r="L5450" t="str">
        <f t="shared" si="475"/>
        <v/>
      </c>
    </row>
    <row r="5451" spans="1:12" x14ac:dyDescent="0.25">
      <c r="A5451" t="s">
        <v>4477</v>
      </c>
      <c r="G5451" t="str">
        <f t="shared" si="476"/>
        <v>09/12/19</v>
      </c>
      <c r="H5451" t="str">
        <f t="shared" si="471"/>
        <v>Pittsburgh Pirates</v>
      </c>
      <c r="I5451" s="60">
        <f t="shared" si="472"/>
        <v>4</v>
      </c>
      <c r="J5451" t="str">
        <f t="shared" si="473"/>
        <v>San Francisco Giants</v>
      </c>
      <c r="K5451" s="60">
        <f t="shared" si="474"/>
        <v>2</v>
      </c>
      <c r="L5451">
        <f t="shared" si="475"/>
        <v>2</v>
      </c>
    </row>
    <row r="5452" spans="1:12" x14ac:dyDescent="0.25">
      <c r="G5452" t="str">
        <f t="shared" si="476"/>
        <v>09/12/19</v>
      </c>
      <c r="H5452" t="str">
        <f t="shared" si="471"/>
        <v/>
      </c>
      <c r="I5452" s="60" t="str">
        <f t="shared" si="472"/>
        <v/>
      </c>
      <c r="J5452" t="str">
        <f t="shared" si="473"/>
        <v/>
      </c>
      <c r="K5452" s="60" t="str">
        <f t="shared" si="474"/>
        <v/>
      </c>
      <c r="L5452" t="str">
        <f t="shared" si="475"/>
        <v/>
      </c>
    </row>
    <row r="5453" spans="1:12" x14ac:dyDescent="0.25">
      <c r="A5453" t="s">
        <v>4478</v>
      </c>
      <c r="G5453" t="str">
        <f t="shared" si="476"/>
        <v>09/12/19</v>
      </c>
      <c r="H5453" t="str">
        <f t="shared" si="471"/>
        <v>Tampa Bay Rays</v>
      </c>
      <c r="I5453" s="60">
        <f t="shared" si="472"/>
        <v>4</v>
      </c>
      <c r="J5453" t="str">
        <f t="shared" si="473"/>
        <v>Texas Rangers</v>
      </c>
      <c r="K5453" s="60">
        <f t="shared" si="474"/>
        <v>6</v>
      </c>
      <c r="L5453">
        <f t="shared" si="475"/>
        <v>-2</v>
      </c>
    </row>
    <row r="5454" spans="1:12" x14ac:dyDescent="0.25">
      <c r="G5454" t="str">
        <f t="shared" si="476"/>
        <v>09/12/19</v>
      </c>
      <c r="H5454" t="str">
        <f t="shared" si="471"/>
        <v/>
      </c>
      <c r="I5454" s="60" t="str">
        <f t="shared" si="472"/>
        <v/>
      </c>
      <c r="J5454" t="str">
        <f t="shared" si="473"/>
        <v/>
      </c>
      <c r="K5454" s="60" t="str">
        <f t="shared" si="474"/>
        <v/>
      </c>
      <c r="L5454" t="str">
        <f t="shared" si="475"/>
        <v/>
      </c>
    </row>
    <row r="5455" spans="1:12" x14ac:dyDescent="0.25">
      <c r="A5455" t="s">
        <v>4479</v>
      </c>
      <c r="G5455" t="str">
        <f t="shared" si="476"/>
        <v>09/12/19</v>
      </c>
      <c r="H5455" t="str">
        <f t="shared" si="471"/>
        <v>Boston Red Sox</v>
      </c>
      <c r="I5455" s="60">
        <f t="shared" si="472"/>
        <v>7</v>
      </c>
      <c r="J5455" t="str">
        <f t="shared" si="473"/>
        <v>Toronto Blue Jays</v>
      </c>
      <c r="K5455" s="60">
        <f t="shared" si="474"/>
        <v>4</v>
      </c>
      <c r="L5455">
        <f t="shared" si="475"/>
        <v>3</v>
      </c>
    </row>
    <row r="5456" spans="1:12" x14ac:dyDescent="0.25">
      <c r="G5456" t="str">
        <f t="shared" si="476"/>
        <v>09/12/19</v>
      </c>
      <c r="H5456" t="str">
        <f t="shared" ref="H5456:H5519" si="477">IFERROR(LEFT(MID(A5456,1,SEARCH("@",A5456)-2),SEARCH("(",A5456)-2),"")</f>
        <v/>
      </c>
      <c r="I5456" s="60" t="str">
        <f t="shared" ref="I5456:I5519" si="478">IFERROR(VALUE(MID(A5456,SEARCH("(",A5456)+1,SEARCH(")",A5456)-SEARCH("(",A5456)-1)),"")</f>
        <v/>
      </c>
      <c r="J5456" t="str">
        <f t="shared" ref="J5456:J5519" si="479">IFERROR(MID(A5456,SEARCH("@",A5456)+2,SEARCH("(",A5456,SEARCH("@",A5456))-SEARCH("@",A5456)-3),"")</f>
        <v/>
      </c>
      <c r="K5456" s="60" t="str">
        <f t="shared" ref="K5456:K5519" si="480">IFERROR(VALUE(MID(A5456,SEARCH(J5456,A5456)+LEN(J5456)+2,(SEARCH(")",A5456,SEARCH("@",A5456))-SEARCH("(",A5456,SEARCH("@",A5456))-1))),"")</f>
        <v/>
      </c>
      <c r="L5456" t="str">
        <f t="shared" ref="L5456:L5519" si="481">IFERROR(I5456-K5456,"")</f>
        <v/>
      </c>
    </row>
    <row r="5457" spans="1:12" x14ac:dyDescent="0.25">
      <c r="A5457" t="s">
        <v>4480</v>
      </c>
      <c r="G5457" t="str">
        <f t="shared" si="476"/>
        <v>09/12/19</v>
      </c>
      <c r="H5457" t="str">
        <f t="shared" si="477"/>
        <v/>
      </c>
      <c r="I5457" s="60" t="str">
        <f t="shared" si="478"/>
        <v/>
      </c>
      <c r="J5457" t="str">
        <f t="shared" si="479"/>
        <v/>
      </c>
      <c r="K5457" s="60" t="str">
        <f t="shared" si="480"/>
        <v/>
      </c>
      <c r="L5457" t="str">
        <f t="shared" si="481"/>
        <v/>
      </c>
    </row>
    <row r="5458" spans="1:12" x14ac:dyDescent="0.25">
      <c r="G5458" t="str">
        <f t="shared" si="476"/>
        <v>09/12/19</v>
      </c>
      <c r="H5458" t="str">
        <f t="shared" si="477"/>
        <v/>
      </c>
      <c r="I5458" s="60" t="str">
        <f t="shared" si="478"/>
        <v/>
      </c>
      <c r="J5458" t="str">
        <f t="shared" si="479"/>
        <v/>
      </c>
      <c r="K5458" s="60" t="str">
        <f t="shared" si="480"/>
        <v/>
      </c>
      <c r="L5458" t="str">
        <f t="shared" si="481"/>
        <v/>
      </c>
    </row>
    <row r="5459" spans="1:12" x14ac:dyDescent="0.25">
      <c r="A5459" t="s">
        <v>4485</v>
      </c>
      <c r="G5459" t="str">
        <f t="shared" si="476"/>
        <v>09/13/19</v>
      </c>
      <c r="H5459" t="str">
        <f t="shared" si="477"/>
        <v/>
      </c>
      <c r="I5459" s="60" t="str">
        <f t="shared" si="478"/>
        <v/>
      </c>
      <c r="J5459" t="str">
        <f t="shared" si="479"/>
        <v/>
      </c>
      <c r="K5459" s="60" t="str">
        <f t="shared" si="480"/>
        <v/>
      </c>
      <c r="L5459" t="str">
        <f t="shared" si="481"/>
        <v/>
      </c>
    </row>
    <row r="5460" spans="1:12" x14ac:dyDescent="0.25">
      <c r="G5460" t="str">
        <f t="shared" si="476"/>
        <v>09/13/19</v>
      </c>
      <c r="H5460" t="str">
        <f t="shared" si="477"/>
        <v/>
      </c>
      <c r="I5460" s="60" t="str">
        <f t="shared" si="478"/>
        <v/>
      </c>
      <c r="J5460" t="str">
        <f t="shared" si="479"/>
        <v/>
      </c>
      <c r="K5460" s="60" t="str">
        <f t="shared" si="480"/>
        <v/>
      </c>
      <c r="L5460" t="str">
        <f t="shared" si="481"/>
        <v/>
      </c>
    </row>
    <row r="5461" spans="1:12" x14ac:dyDescent="0.25">
      <c r="A5461" t="s">
        <v>4486</v>
      </c>
      <c r="G5461" t="str">
        <f t="shared" si="476"/>
        <v>09/13/19</v>
      </c>
      <c r="H5461" t="str">
        <f t="shared" si="477"/>
        <v>Tampa Bay Rays</v>
      </c>
      <c r="I5461" s="60">
        <f t="shared" si="478"/>
        <v>11</v>
      </c>
      <c r="J5461" t="str">
        <f t="shared" si="479"/>
        <v>Los Angeles Angels</v>
      </c>
      <c r="K5461" s="60">
        <f t="shared" si="480"/>
        <v>4</v>
      </c>
      <c r="L5461">
        <f t="shared" si="481"/>
        <v>7</v>
      </c>
    </row>
    <row r="5462" spans="1:12" x14ac:dyDescent="0.25">
      <c r="G5462" t="str">
        <f t="shared" si="476"/>
        <v>09/13/19</v>
      </c>
      <c r="H5462" t="str">
        <f t="shared" si="477"/>
        <v/>
      </c>
      <c r="I5462" s="60" t="str">
        <f t="shared" si="478"/>
        <v/>
      </c>
      <c r="J5462" t="str">
        <f t="shared" si="479"/>
        <v/>
      </c>
      <c r="K5462" s="60" t="str">
        <f t="shared" si="480"/>
        <v/>
      </c>
      <c r="L5462" t="str">
        <f t="shared" si="481"/>
        <v/>
      </c>
    </row>
    <row r="5463" spans="1:12" x14ac:dyDescent="0.25">
      <c r="A5463" t="s">
        <v>4487</v>
      </c>
      <c r="G5463" t="str">
        <f t="shared" si="476"/>
        <v>09/13/19</v>
      </c>
      <c r="H5463" t="str">
        <f t="shared" si="477"/>
        <v>Cincinnati Reds</v>
      </c>
      <c r="I5463" s="60">
        <f t="shared" si="478"/>
        <v>4</v>
      </c>
      <c r="J5463" t="str">
        <f t="shared" si="479"/>
        <v>Arizona D'Backs</v>
      </c>
      <c r="K5463" s="60">
        <f t="shared" si="480"/>
        <v>3</v>
      </c>
      <c r="L5463">
        <f t="shared" si="481"/>
        <v>1</v>
      </c>
    </row>
    <row r="5464" spans="1:12" x14ac:dyDescent="0.25">
      <c r="G5464" t="str">
        <f t="shared" si="476"/>
        <v>09/13/19</v>
      </c>
      <c r="H5464" t="str">
        <f t="shared" si="477"/>
        <v/>
      </c>
      <c r="I5464" s="60" t="str">
        <f t="shared" si="478"/>
        <v/>
      </c>
      <c r="J5464" t="str">
        <f t="shared" si="479"/>
        <v/>
      </c>
      <c r="K5464" s="60" t="str">
        <f t="shared" si="480"/>
        <v/>
      </c>
      <c r="L5464" t="str">
        <f t="shared" si="481"/>
        <v/>
      </c>
    </row>
    <row r="5465" spans="1:12" x14ac:dyDescent="0.25">
      <c r="A5465" t="s">
        <v>4488</v>
      </c>
      <c r="G5465" t="str">
        <f t="shared" si="476"/>
        <v>09/13/19</v>
      </c>
      <c r="H5465" t="str">
        <f t="shared" si="477"/>
        <v>Pittsburgh Pirates</v>
      </c>
      <c r="I5465" s="60">
        <f t="shared" si="478"/>
        <v>8</v>
      </c>
      <c r="J5465" t="str">
        <f t="shared" si="479"/>
        <v>Chicago Cubs</v>
      </c>
      <c r="K5465" s="60">
        <f t="shared" si="480"/>
        <v>17</v>
      </c>
      <c r="L5465">
        <f t="shared" si="481"/>
        <v>-9</v>
      </c>
    </row>
    <row r="5466" spans="1:12" x14ac:dyDescent="0.25">
      <c r="G5466" t="str">
        <f t="shared" si="476"/>
        <v>09/13/19</v>
      </c>
      <c r="H5466" t="str">
        <f t="shared" si="477"/>
        <v/>
      </c>
      <c r="I5466" s="60" t="str">
        <f t="shared" si="478"/>
        <v/>
      </c>
      <c r="J5466" t="str">
        <f t="shared" si="479"/>
        <v/>
      </c>
      <c r="K5466" s="60" t="str">
        <f t="shared" si="480"/>
        <v/>
      </c>
      <c r="L5466" t="str">
        <f t="shared" si="481"/>
        <v/>
      </c>
    </row>
    <row r="5467" spans="1:12" x14ac:dyDescent="0.25">
      <c r="A5467" t="s">
        <v>4489</v>
      </c>
      <c r="G5467" t="str">
        <f t="shared" si="476"/>
        <v>09/13/19</v>
      </c>
      <c r="H5467" t="str">
        <f t="shared" si="477"/>
        <v>San Diego Padres</v>
      </c>
      <c r="I5467" s="60">
        <f t="shared" si="478"/>
        <v>8</v>
      </c>
      <c r="J5467" t="str">
        <f t="shared" si="479"/>
        <v>Colorado Rockies</v>
      </c>
      <c r="K5467" s="60">
        <f t="shared" si="480"/>
        <v>10</v>
      </c>
      <c r="L5467">
        <f t="shared" si="481"/>
        <v>-2</v>
      </c>
    </row>
    <row r="5468" spans="1:12" x14ac:dyDescent="0.25">
      <c r="G5468" t="str">
        <f t="shared" si="476"/>
        <v>09/13/19</v>
      </c>
      <c r="H5468" t="str">
        <f t="shared" si="477"/>
        <v/>
      </c>
      <c r="I5468" s="60" t="str">
        <f t="shared" si="478"/>
        <v/>
      </c>
      <c r="J5468" t="str">
        <f t="shared" si="479"/>
        <v/>
      </c>
      <c r="K5468" s="60" t="str">
        <f t="shared" si="480"/>
        <v/>
      </c>
      <c r="L5468" t="str">
        <f t="shared" si="481"/>
        <v/>
      </c>
    </row>
    <row r="5469" spans="1:12" x14ac:dyDescent="0.25">
      <c r="A5469" t="s">
        <v>4490</v>
      </c>
      <c r="G5469" t="str">
        <f t="shared" si="476"/>
        <v>09/13/19</v>
      </c>
      <c r="H5469" t="str">
        <f t="shared" si="477"/>
        <v>Baltimore Orioles</v>
      </c>
      <c r="I5469" s="60">
        <f t="shared" si="478"/>
        <v>6</v>
      </c>
      <c r="J5469" t="str">
        <f t="shared" si="479"/>
        <v>Detroit Tigers</v>
      </c>
      <c r="K5469" s="60">
        <f t="shared" si="480"/>
        <v>2</v>
      </c>
      <c r="L5469">
        <f t="shared" si="481"/>
        <v>4</v>
      </c>
    </row>
    <row r="5470" spans="1:12" x14ac:dyDescent="0.25">
      <c r="G5470" t="str">
        <f t="shared" si="476"/>
        <v>09/13/19</v>
      </c>
      <c r="H5470" t="str">
        <f t="shared" si="477"/>
        <v/>
      </c>
      <c r="I5470" s="60" t="str">
        <f t="shared" si="478"/>
        <v/>
      </c>
      <c r="J5470" t="str">
        <f t="shared" si="479"/>
        <v/>
      </c>
      <c r="K5470" s="60" t="str">
        <f t="shared" si="480"/>
        <v/>
      </c>
      <c r="L5470" t="str">
        <f t="shared" si="481"/>
        <v/>
      </c>
    </row>
    <row r="5471" spans="1:12" x14ac:dyDescent="0.25">
      <c r="A5471" t="s">
        <v>4491</v>
      </c>
      <c r="G5471" t="str">
        <f t="shared" si="476"/>
        <v>09/13/19</v>
      </c>
      <c r="H5471" t="str">
        <f t="shared" si="477"/>
        <v>Houston Astros</v>
      </c>
      <c r="I5471" s="60">
        <f t="shared" si="478"/>
        <v>4</v>
      </c>
      <c r="J5471" t="str">
        <f t="shared" si="479"/>
        <v>Kansas City Royals</v>
      </c>
      <c r="K5471" s="60">
        <f t="shared" si="480"/>
        <v>1</v>
      </c>
      <c r="L5471">
        <f t="shared" si="481"/>
        <v>3</v>
      </c>
    </row>
    <row r="5472" spans="1:12" x14ac:dyDescent="0.25">
      <c r="G5472" t="str">
        <f t="shared" si="476"/>
        <v>09/13/19</v>
      </c>
      <c r="H5472" t="str">
        <f t="shared" si="477"/>
        <v/>
      </c>
      <c r="I5472" s="60" t="str">
        <f t="shared" si="478"/>
        <v/>
      </c>
      <c r="J5472" t="str">
        <f t="shared" si="479"/>
        <v/>
      </c>
      <c r="K5472" s="60" t="str">
        <f t="shared" si="480"/>
        <v/>
      </c>
      <c r="L5472" t="str">
        <f t="shared" si="481"/>
        <v/>
      </c>
    </row>
    <row r="5473" spans="1:12" x14ac:dyDescent="0.25">
      <c r="A5473" t="s">
        <v>4492</v>
      </c>
      <c r="G5473" t="str">
        <f t="shared" si="476"/>
        <v>09/13/19</v>
      </c>
      <c r="H5473" t="str">
        <f t="shared" si="477"/>
        <v>Los Angeles Dodgers</v>
      </c>
      <c r="I5473" s="60">
        <f t="shared" si="478"/>
        <v>9</v>
      </c>
      <c r="J5473" t="str">
        <f t="shared" si="479"/>
        <v>New York Mets</v>
      </c>
      <c r="K5473" s="60">
        <f t="shared" si="480"/>
        <v>2</v>
      </c>
      <c r="L5473">
        <f t="shared" si="481"/>
        <v>7</v>
      </c>
    </row>
    <row r="5474" spans="1:12" x14ac:dyDescent="0.25">
      <c r="G5474" t="str">
        <f t="shared" ref="G5474:G5537" si="482">IF(ISNUMBER(MATCH(IFERROR(LEFT(A5474,SEARCH(",",A5474)-1),""),$G$220:$M$220,0)),TEXT(MID(A5474,SEARCH(",",A5474)+2,LEN(A5474)),"mm/dd/yy"),G5473)</f>
        <v>09/13/19</v>
      </c>
      <c r="H5474" t="str">
        <f t="shared" si="477"/>
        <v/>
      </c>
      <c r="I5474" s="60" t="str">
        <f t="shared" si="478"/>
        <v/>
      </c>
      <c r="J5474" t="str">
        <f t="shared" si="479"/>
        <v/>
      </c>
      <c r="K5474" s="60" t="str">
        <f t="shared" si="480"/>
        <v/>
      </c>
      <c r="L5474" t="str">
        <f t="shared" si="481"/>
        <v/>
      </c>
    </row>
    <row r="5475" spans="1:12" x14ac:dyDescent="0.25">
      <c r="A5475" t="s">
        <v>4493</v>
      </c>
      <c r="G5475" t="str">
        <f t="shared" si="482"/>
        <v>09/13/19</v>
      </c>
      <c r="H5475" t="str">
        <f t="shared" si="477"/>
        <v>Chicago White Sox</v>
      </c>
      <c r="I5475" s="60">
        <f t="shared" si="478"/>
        <v>9</v>
      </c>
      <c r="J5475" t="str">
        <f t="shared" si="479"/>
        <v>Seattle Mariners</v>
      </c>
      <c r="K5475" s="60">
        <f t="shared" si="480"/>
        <v>7</v>
      </c>
      <c r="L5475">
        <f t="shared" si="481"/>
        <v>2</v>
      </c>
    </row>
    <row r="5476" spans="1:12" x14ac:dyDescent="0.25">
      <c r="G5476" t="str">
        <f t="shared" si="482"/>
        <v>09/13/19</v>
      </c>
      <c r="H5476" t="str">
        <f t="shared" si="477"/>
        <v/>
      </c>
      <c r="I5476" s="60" t="str">
        <f t="shared" si="478"/>
        <v/>
      </c>
      <c r="J5476" t="str">
        <f t="shared" si="479"/>
        <v/>
      </c>
      <c r="K5476" s="60" t="str">
        <f t="shared" si="480"/>
        <v/>
      </c>
      <c r="L5476" t="str">
        <f t="shared" si="481"/>
        <v/>
      </c>
    </row>
    <row r="5477" spans="1:12" x14ac:dyDescent="0.25">
      <c r="A5477" t="s">
        <v>4494</v>
      </c>
      <c r="G5477" t="str">
        <f t="shared" si="482"/>
        <v>09/13/19</v>
      </c>
      <c r="H5477" t="str">
        <f t="shared" si="477"/>
        <v>Miami Marlins</v>
      </c>
      <c r="I5477" s="60">
        <f t="shared" si="478"/>
        <v>0</v>
      </c>
      <c r="J5477" t="str">
        <f t="shared" si="479"/>
        <v>San Francisco Giants</v>
      </c>
      <c r="K5477" s="60">
        <f t="shared" si="480"/>
        <v>1</v>
      </c>
      <c r="L5477">
        <f t="shared" si="481"/>
        <v>-1</v>
      </c>
    </row>
    <row r="5478" spans="1:12" x14ac:dyDescent="0.25">
      <c r="G5478" t="str">
        <f t="shared" si="482"/>
        <v>09/13/19</v>
      </c>
      <c r="H5478" t="str">
        <f t="shared" si="477"/>
        <v/>
      </c>
      <c r="I5478" s="60" t="str">
        <f t="shared" si="478"/>
        <v/>
      </c>
      <c r="J5478" t="str">
        <f t="shared" si="479"/>
        <v/>
      </c>
      <c r="K5478" s="60" t="str">
        <f t="shared" si="480"/>
        <v/>
      </c>
      <c r="L5478" t="str">
        <f t="shared" si="481"/>
        <v/>
      </c>
    </row>
    <row r="5479" spans="1:12" x14ac:dyDescent="0.25">
      <c r="A5479" t="s">
        <v>4495</v>
      </c>
      <c r="G5479" t="str">
        <f t="shared" si="482"/>
        <v>09/13/19</v>
      </c>
      <c r="H5479" t="str">
        <f t="shared" si="477"/>
        <v>Milwaukee Brewers</v>
      </c>
      <c r="I5479" s="60">
        <f t="shared" si="478"/>
        <v>0</v>
      </c>
      <c r="J5479" t="str">
        <f t="shared" si="479"/>
        <v>St. Louis Cardinals</v>
      </c>
      <c r="K5479" s="60">
        <f t="shared" si="480"/>
        <v>10</v>
      </c>
      <c r="L5479">
        <f t="shared" si="481"/>
        <v>-10</v>
      </c>
    </row>
    <row r="5480" spans="1:12" x14ac:dyDescent="0.25">
      <c r="G5480" t="str">
        <f t="shared" si="482"/>
        <v>09/13/19</v>
      </c>
      <c r="H5480" t="str">
        <f t="shared" si="477"/>
        <v/>
      </c>
      <c r="I5480" s="60" t="str">
        <f t="shared" si="478"/>
        <v/>
      </c>
      <c r="J5480" t="str">
        <f t="shared" si="479"/>
        <v/>
      </c>
      <c r="K5480" s="60" t="str">
        <f t="shared" si="480"/>
        <v/>
      </c>
      <c r="L5480" t="str">
        <f t="shared" si="481"/>
        <v/>
      </c>
    </row>
    <row r="5481" spans="1:12" x14ac:dyDescent="0.25">
      <c r="A5481" t="s">
        <v>4496</v>
      </c>
      <c r="G5481" t="str">
        <f t="shared" si="482"/>
        <v>09/13/19</v>
      </c>
      <c r="H5481" t="str">
        <f t="shared" si="477"/>
        <v>Oakland Athletics</v>
      </c>
      <c r="I5481" s="60">
        <f t="shared" si="478"/>
        <v>14</v>
      </c>
      <c r="J5481" t="str">
        <f t="shared" si="479"/>
        <v>Texas Rangers</v>
      </c>
      <c r="K5481" s="60">
        <f t="shared" si="480"/>
        <v>9</v>
      </c>
      <c r="L5481">
        <f t="shared" si="481"/>
        <v>5</v>
      </c>
    </row>
    <row r="5482" spans="1:12" x14ac:dyDescent="0.25">
      <c r="G5482" t="str">
        <f t="shared" si="482"/>
        <v>09/13/19</v>
      </c>
      <c r="H5482" t="str">
        <f t="shared" si="477"/>
        <v/>
      </c>
      <c r="I5482" s="60" t="str">
        <f t="shared" si="478"/>
        <v/>
      </c>
      <c r="J5482" t="str">
        <f t="shared" si="479"/>
        <v/>
      </c>
      <c r="K5482" s="60" t="str">
        <f t="shared" si="480"/>
        <v/>
      </c>
      <c r="L5482" t="str">
        <f t="shared" si="481"/>
        <v/>
      </c>
    </row>
    <row r="5483" spans="1:12" x14ac:dyDescent="0.25">
      <c r="A5483" t="s">
        <v>4497</v>
      </c>
      <c r="G5483" t="str">
        <f t="shared" si="482"/>
        <v>09/13/19</v>
      </c>
      <c r="H5483" t="str">
        <f t="shared" si="477"/>
        <v>New York Yankees</v>
      </c>
      <c r="I5483" s="60">
        <f t="shared" si="478"/>
        <v>5</v>
      </c>
      <c r="J5483" t="str">
        <f t="shared" si="479"/>
        <v>Toronto Blue Jays</v>
      </c>
      <c r="K5483" s="60">
        <f t="shared" si="480"/>
        <v>6</v>
      </c>
      <c r="L5483">
        <f t="shared" si="481"/>
        <v>-1</v>
      </c>
    </row>
    <row r="5484" spans="1:12" x14ac:dyDescent="0.25">
      <c r="G5484" t="str">
        <f t="shared" si="482"/>
        <v>09/13/19</v>
      </c>
      <c r="H5484" t="str">
        <f t="shared" si="477"/>
        <v/>
      </c>
      <c r="I5484" s="60" t="str">
        <f t="shared" si="478"/>
        <v/>
      </c>
      <c r="J5484" t="str">
        <f t="shared" si="479"/>
        <v/>
      </c>
      <c r="K5484" s="60" t="str">
        <f t="shared" si="480"/>
        <v/>
      </c>
      <c r="L5484" t="str">
        <f t="shared" si="481"/>
        <v/>
      </c>
    </row>
    <row r="5485" spans="1:12" x14ac:dyDescent="0.25">
      <c r="A5485" t="s">
        <v>4498</v>
      </c>
      <c r="G5485" t="str">
        <f t="shared" si="482"/>
        <v>09/13/19</v>
      </c>
      <c r="H5485" t="str">
        <f t="shared" si="477"/>
        <v>Atlanta Braves</v>
      </c>
      <c r="I5485" s="60">
        <f t="shared" si="478"/>
        <v>5</v>
      </c>
      <c r="J5485" t="str">
        <f t="shared" si="479"/>
        <v>Washington Nationals</v>
      </c>
      <c r="K5485" s="60">
        <f t="shared" si="480"/>
        <v>0</v>
      </c>
      <c r="L5485">
        <f t="shared" si="481"/>
        <v>5</v>
      </c>
    </row>
    <row r="5486" spans="1:12" x14ac:dyDescent="0.25">
      <c r="G5486" t="str">
        <f t="shared" si="482"/>
        <v>09/13/19</v>
      </c>
      <c r="H5486" t="str">
        <f t="shared" si="477"/>
        <v/>
      </c>
      <c r="I5486" s="60" t="str">
        <f t="shared" si="478"/>
        <v/>
      </c>
      <c r="J5486" t="str">
        <f t="shared" si="479"/>
        <v/>
      </c>
      <c r="K5486" s="60" t="str">
        <f t="shared" si="480"/>
        <v/>
      </c>
      <c r="L5486" t="str">
        <f t="shared" si="481"/>
        <v/>
      </c>
    </row>
    <row r="5487" spans="1:12" x14ac:dyDescent="0.25">
      <c r="A5487" t="s">
        <v>4499</v>
      </c>
      <c r="G5487" t="str">
        <f t="shared" si="482"/>
        <v>09/13/19</v>
      </c>
      <c r="H5487" t="str">
        <f t="shared" si="477"/>
        <v/>
      </c>
      <c r="I5487" s="60" t="str">
        <f t="shared" si="478"/>
        <v/>
      </c>
      <c r="J5487" t="str">
        <f t="shared" si="479"/>
        <v/>
      </c>
      <c r="K5487" s="60" t="str">
        <f t="shared" si="480"/>
        <v/>
      </c>
      <c r="L5487" t="str">
        <f t="shared" si="481"/>
        <v/>
      </c>
    </row>
    <row r="5488" spans="1:12" x14ac:dyDescent="0.25">
      <c r="G5488" t="str">
        <f t="shared" si="482"/>
        <v>09/13/19</v>
      </c>
      <c r="H5488" t="str">
        <f t="shared" si="477"/>
        <v/>
      </c>
      <c r="I5488" s="60" t="str">
        <f t="shared" si="478"/>
        <v/>
      </c>
      <c r="J5488" t="str">
        <f t="shared" si="479"/>
        <v/>
      </c>
      <c r="K5488" s="60" t="str">
        <f t="shared" si="480"/>
        <v/>
      </c>
      <c r="L5488" t="str">
        <f t="shared" si="481"/>
        <v/>
      </c>
    </row>
    <row r="5489" spans="1:12" x14ac:dyDescent="0.25">
      <c r="A5489" t="s">
        <v>3311</v>
      </c>
      <c r="G5489" t="str">
        <f t="shared" si="482"/>
        <v>09/14/19</v>
      </c>
      <c r="H5489" t="str">
        <f t="shared" si="477"/>
        <v/>
      </c>
      <c r="I5489" s="60" t="str">
        <f t="shared" si="478"/>
        <v/>
      </c>
      <c r="J5489" t="str">
        <f t="shared" si="479"/>
        <v/>
      </c>
      <c r="K5489" s="60" t="str">
        <f t="shared" si="480"/>
        <v/>
      </c>
      <c r="L5489" t="str">
        <f t="shared" si="481"/>
        <v/>
      </c>
    </row>
    <row r="5490" spans="1:12" x14ac:dyDescent="0.25">
      <c r="G5490" t="str">
        <f t="shared" si="482"/>
        <v>09/14/19</v>
      </c>
      <c r="H5490" t="str">
        <f t="shared" si="477"/>
        <v/>
      </c>
      <c r="I5490" s="60" t="str">
        <f t="shared" si="478"/>
        <v/>
      </c>
      <c r="J5490" t="str">
        <f t="shared" si="479"/>
        <v/>
      </c>
      <c r="K5490" s="60" t="str">
        <f t="shared" si="480"/>
        <v/>
      </c>
      <c r="L5490" t="str">
        <f t="shared" si="481"/>
        <v/>
      </c>
    </row>
    <row r="5491" spans="1:12" x14ac:dyDescent="0.25">
      <c r="A5491" t="s">
        <v>4500</v>
      </c>
      <c r="G5491" t="str">
        <f t="shared" si="482"/>
        <v>09/14/19</v>
      </c>
      <c r="H5491" t="str">
        <f t="shared" si="477"/>
        <v>Tampa Bay Rays</v>
      </c>
      <c r="I5491" s="60">
        <f t="shared" si="478"/>
        <v>3</v>
      </c>
      <c r="J5491" t="str">
        <f t="shared" si="479"/>
        <v>Los Angeles Angels</v>
      </c>
      <c r="K5491" s="60">
        <f t="shared" si="480"/>
        <v>1</v>
      </c>
      <c r="L5491">
        <f t="shared" si="481"/>
        <v>2</v>
      </c>
    </row>
    <row r="5492" spans="1:12" x14ac:dyDescent="0.25">
      <c r="G5492" t="str">
        <f t="shared" si="482"/>
        <v>09/14/19</v>
      </c>
      <c r="H5492" t="str">
        <f t="shared" si="477"/>
        <v/>
      </c>
      <c r="I5492" s="60" t="str">
        <f t="shared" si="478"/>
        <v/>
      </c>
      <c r="J5492" t="str">
        <f t="shared" si="479"/>
        <v/>
      </c>
      <c r="K5492" s="60" t="str">
        <f t="shared" si="480"/>
        <v/>
      </c>
      <c r="L5492" t="str">
        <f t="shared" si="481"/>
        <v/>
      </c>
    </row>
    <row r="5493" spans="1:12" x14ac:dyDescent="0.25">
      <c r="A5493" t="s">
        <v>4501</v>
      </c>
      <c r="G5493" t="str">
        <f t="shared" si="482"/>
        <v>09/14/19</v>
      </c>
      <c r="H5493" t="str">
        <f t="shared" si="477"/>
        <v>Cincinnati Reds</v>
      </c>
      <c r="I5493" s="60">
        <f t="shared" si="478"/>
        <v>0</v>
      </c>
      <c r="J5493" t="str">
        <f t="shared" si="479"/>
        <v>Arizona D'Backs</v>
      </c>
      <c r="K5493" s="60">
        <f t="shared" si="480"/>
        <v>1</v>
      </c>
      <c r="L5493">
        <f t="shared" si="481"/>
        <v>-1</v>
      </c>
    </row>
    <row r="5494" spans="1:12" x14ac:dyDescent="0.25">
      <c r="G5494" t="str">
        <f t="shared" si="482"/>
        <v>09/14/19</v>
      </c>
      <c r="H5494" t="str">
        <f t="shared" si="477"/>
        <v/>
      </c>
      <c r="I5494" s="60" t="str">
        <f t="shared" si="478"/>
        <v/>
      </c>
      <c r="J5494" t="str">
        <f t="shared" si="479"/>
        <v/>
      </c>
      <c r="K5494" s="60" t="str">
        <f t="shared" si="480"/>
        <v/>
      </c>
      <c r="L5494" t="str">
        <f t="shared" si="481"/>
        <v/>
      </c>
    </row>
    <row r="5495" spans="1:12" x14ac:dyDescent="0.25">
      <c r="A5495" t="s">
        <v>4502</v>
      </c>
      <c r="G5495" t="str">
        <f t="shared" si="482"/>
        <v>09/14/19</v>
      </c>
      <c r="H5495" t="str">
        <f t="shared" si="477"/>
        <v>Pittsburgh Pirates</v>
      </c>
      <c r="I5495" s="60">
        <f t="shared" si="478"/>
        <v>1</v>
      </c>
      <c r="J5495" t="str">
        <f t="shared" si="479"/>
        <v>Chicago Cubs</v>
      </c>
      <c r="K5495" s="60">
        <f t="shared" si="480"/>
        <v>14</v>
      </c>
      <c r="L5495">
        <f t="shared" si="481"/>
        <v>-13</v>
      </c>
    </row>
    <row r="5496" spans="1:12" x14ac:dyDescent="0.25">
      <c r="G5496" t="str">
        <f t="shared" si="482"/>
        <v>09/14/19</v>
      </c>
      <c r="H5496" t="str">
        <f t="shared" si="477"/>
        <v/>
      </c>
      <c r="I5496" s="60" t="str">
        <f t="shared" si="478"/>
        <v/>
      </c>
      <c r="J5496" t="str">
        <f t="shared" si="479"/>
        <v/>
      </c>
      <c r="K5496" s="60" t="str">
        <f t="shared" si="480"/>
        <v/>
      </c>
      <c r="L5496" t="str">
        <f t="shared" si="481"/>
        <v/>
      </c>
    </row>
    <row r="5497" spans="1:12" x14ac:dyDescent="0.25">
      <c r="A5497" t="s">
        <v>4503</v>
      </c>
      <c r="G5497" t="str">
        <f t="shared" si="482"/>
        <v>09/14/19</v>
      </c>
      <c r="H5497" t="str">
        <f t="shared" si="477"/>
        <v>Minnesota Twins</v>
      </c>
      <c r="I5497" s="60">
        <f t="shared" si="478"/>
        <v>2</v>
      </c>
      <c r="J5497" t="str">
        <f t="shared" si="479"/>
        <v>Cleveland Indians</v>
      </c>
      <c r="K5497" s="60">
        <f t="shared" si="480"/>
        <v>0</v>
      </c>
      <c r="L5497">
        <f t="shared" si="481"/>
        <v>2</v>
      </c>
    </row>
    <row r="5498" spans="1:12" x14ac:dyDescent="0.25">
      <c r="G5498" t="str">
        <f t="shared" si="482"/>
        <v>09/14/19</v>
      </c>
      <c r="H5498" t="str">
        <f t="shared" si="477"/>
        <v/>
      </c>
      <c r="I5498" s="60" t="str">
        <f t="shared" si="478"/>
        <v/>
      </c>
      <c r="J5498" t="str">
        <f t="shared" si="479"/>
        <v/>
      </c>
      <c r="K5498" s="60" t="str">
        <f t="shared" si="480"/>
        <v/>
      </c>
      <c r="L5498" t="str">
        <f t="shared" si="481"/>
        <v/>
      </c>
    </row>
    <row r="5499" spans="1:12" x14ac:dyDescent="0.25">
      <c r="A5499" t="s">
        <v>4504</v>
      </c>
      <c r="G5499" t="str">
        <f t="shared" si="482"/>
        <v>09/14/19</v>
      </c>
      <c r="H5499" t="str">
        <f t="shared" si="477"/>
        <v>Minnesota Twins</v>
      </c>
      <c r="I5499" s="60">
        <f t="shared" si="478"/>
        <v>9</v>
      </c>
      <c r="J5499" t="str">
        <f t="shared" si="479"/>
        <v>Cleveland Indians</v>
      </c>
      <c r="K5499" s="60">
        <f t="shared" si="480"/>
        <v>5</v>
      </c>
      <c r="L5499">
        <f t="shared" si="481"/>
        <v>4</v>
      </c>
    </row>
    <row r="5500" spans="1:12" x14ac:dyDescent="0.25">
      <c r="G5500" t="str">
        <f t="shared" si="482"/>
        <v>09/14/19</v>
      </c>
      <c r="H5500" t="str">
        <f t="shared" si="477"/>
        <v/>
      </c>
      <c r="I5500" s="60" t="str">
        <f t="shared" si="478"/>
        <v/>
      </c>
      <c r="J5500" t="str">
        <f t="shared" si="479"/>
        <v/>
      </c>
      <c r="K5500" s="60" t="str">
        <f t="shared" si="480"/>
        <v/>
      </c>
      <c r="L5500" t="str">
        <f t="shared" si="481"/>
        <v/>
      </c>
    </row>
    <row r="5501" spans="1:12" x14ac:dyDescent="0.25">
      <c r="A5501" t="s">
        <v>4505</v>
      </c>
      <c r="G5501" t="str">
        <f t="shared" si="482"/>
        <v>09/14/19</v>
      </c>
      <c r="H5501" t="str">
        <f t="shared" si="477"/>
        <v>San Diego Padres</v>
      </c>
      <c r="I5501" s="60">
        <f t="shared" si="478"/>
        <v>10</v>
      </c>
      <c r="J5501" t="str">
        <f t="shared" si="479"/>
        <v>Colorado Rockies</v>
      </c>
      <c r="K5501" s="60">
        <f t="shared" si="480"/>
        <v>11</v>
      </c>
      <c r="L5501">
        <f t="shared" si="481"/>
        <v>-1</v>
      </c>
    </row>
    <row r="5502" spans="1:12" x14ac:dyDescent="0.25">
      <c r="G5502" t="str">
        <f t="shared" si="482"/>
        <v>09/14/19</v>
      </c>
      <c r="H5502" t="str">
        <f t="shared" si="477"/>
        <v/>
      </c>
      <c r="I5502" s="60" t="str">
        <f t="shared" si="478"/>
        <v/>
      </c>
      <c r="J5502" t="str">
        <f t="shared" si="479"/>
        <v/>
      </c>
      <c r="K5502" s="60" t="str">
        <f t="shared" si="480"/>
        <v/>
      </c>
      <c r="L5502" t="str">
        <f t="shared" si="481"/>
        <v/>
      </c>
    </row>
    <row r="5503" spans="1:12" x14ac:dyDescent="0.25">
      <c r="A5503" t="s">
        <v>4506</v>
      </c>
      <c r="G5503" t="str">
        <f t="shared" si="482"/>
        <v>09/14/19</v>
      </c>
      <c r="H5503" t="str">
        <f t="shared" si="477"/>
        <v>Baltimore Orioles</v>
      </c>
      <c r="I5503" s="60">
        <f t="shared" si="478"/>
        <v>4</v>
      </c>
      <c r="J5503" t="str">
        <f t="shared" si="479"/>
        <v>Detroit Tigers</v>
      </c>
      <c r="K5503" s="60">
        <f t="shared" si="480"/>
        <v>8</v>
      </c>
      <c r="L5503">
        <f t="shared" si="481"/>
        <v>-4</v>
      </c>
    </row>
    <row r="5504" spans="1:12" x14ac:dyDescent="0.25">
      <c r="G5504" t="str">
        <f t="shared" si="482"/>
        <v>09/14/19</v>
      </c>
      <c r="H5504" t="str">
        <f t="shared" si="477"/>
        <v/>
      </c>
      <c r="I5504" s="60" t="str">
        <f t="shared" si="478"/>
        <v/>
      </c>
      <c r="J5504" t="str">
        <f t="shared" si="479"/>
        <v/>
      </c>
      <c r="K5504" s="60" t="str">
        <f t="shared" si="480"/>
        <v/>
      </c>
      <c r="L5504" t="str">
        <f t="shared" si="481"/>
        <v/>
      </c>
    </row>
    <row r="5505" spans="1:12" x14ac:dyDescent="0.25">
      <c r="A5505" t="s">
        <v>4507</v>
      </c>
      <c r="G5505" t="str">
        <f t="shared" si="482"/>
        <v>09/14/19</v>
      </c>
      <c r="H5505" t="str">
        <f t="shared" si="477"/>
        <v>Houston Astros</v>
      </c>
      <c r="I5505" s="60">
        <f t="shared" si="478"/>
        <v>6</v>
      </c>
      <c r="J5505" t="str">
        <f t="shared" si="479"/>
        <v>Kansas City Royals</v>
      </c>
      <c r="K5505" s="60">
        <f t="shared" si="480"/>
        <v>1</v>
      </c>
      <c r="L5505">
        <f t="shared" si="481"/>
        <v>5</v>
      </c>
    </row>
    <row r="5506" spans="1:12" x14ac:dyDescent="0.25">
      <c r="G5506" t="str">
        <f t="shared" si="482"/>
        <v>09/14/19</v>
      </c>
      <c r="H5506" t="str">
        <f t="shared" si="477"/>
        <v/>
      </c>
      <c r="I5506" s="60" t="str">
        <f t="shared" si="478"/>
        <v/>
      </c>
      <c r="J5506" t="str">
        <f t="shared" si="479"/>
        <v/>
      </c>
      <c r="K5506" s="60" t="str">
        <f t="shared" si="480"/>
        <v/>
      </c>
      <c r="L5506" t="str">
        <f t="shared" si="481"/>
        <v/>
      </c>
    </row>
    <row r="5507" spans="1:12" x14ac:dyDescent="0.25">
      <c r="A5507" t="s">
        <v>4508</v>
      </c>
      <c r="G5507" t="str">
        <f t="shared" si="482"/>
        <v>09/14/19</v>
      </c>
      <c r="H5507" t="str">
        <f t="shared" si="477"/>
        <v>Los Angeles Dodgers</v>
      </c>
      <c r="I5507" s="60">
        <f t="shared" si="478"/>
        <v>0</v>
      </c>
      <c r="J5507" t="str">
        <f t="shared" si="479"/>
        <v>New York Mets</v>
      </c>
      <c r="K5507" s="60">
        <f t="shared" si="480"/>
        <v>3</v>
      </c>
      <c r="L5507">
        <f t="shared" si="481"/>
        <v>-3</v>
      </c>
    </row>
    <row r="5508" spans="1:12" x14ac:dyDescent="0.25">
      <c r="G5508" t="str">
        <f t="shared" si="482"/>
        <v>09/14/19</v>
      </c>
      <c r="H5508" t="str">
        <f t="shared" si="477"/>
        <v/>
      </c>
      <c r="I5508" s="60" t="str">
        <f t="shared" si="478"/>
        <v/>
      </c>
      <c r="J5508" t="str">
        <f t="shared" si="479"/>
        <v/>
      </c>
      <c r="K5508" s="60" t="str">
        <f t="shared" si="480"/>
        <v/>
      </c>
      <c r="L5508" t="str">
        <f t="shared" si="481"/>
        <v/>
      </c>
    </row>
    <row r="5509" spans="1:12" x14ac:dyDescent="0.25">
      <c r="A5509" t="s">
        <v>4509</v>
      </c>
      <c r="G5509" t="str">
        <f t="shared" si="482"/>
        <v>09/14/19</v>
      </c>
      <c r="H5509" t="str">
        <f t="shared" si="477"/>
        <v>Boston Red Sox</v>
      </c>
      <c r="I5509" s="60">
        <f t="shared" si="478"/>
        <v>2</v>
      </c>
      <c r="J5509" t="str">
        <f t="shared" si="479"/>
        <v>Philadelphia Phillies</v>
      </c>
      <c r="K5509" s="60">
        <f t="shared" si="480"/>
        <v>1</v>
      </c>
      <c r="L5509">
        <f t="shared" si="481"/>
        <v>1</v>
      </c>
    </row>
    <row r="5510" spans="1:12" x14ac:dyDescent="0.25">
      <c r="G5510" t="str">
        <f t="shared" si="482"/>
        <v>09/14/19</v>
      </c>
      <c r="H5510" t="str">
        <f t="shared" si="477"/>
        <v/>
      </c>
      <c r="I5510" s="60" t="str">
        <f t="shared" si="478"/>
        <v/>
      </c>
      <c r="J5510" t="str">
        <f t="shared" si="479"/>
        <v/>
      </c>
      <c r="K5510" s="60" t="str">
        <f t="shared" si="480"/>
        <v/>
      </c>
      <c r="L5510" t="str">
        <f t="shared" si="481"/>
        <v/>
      </c>
    </row>
    <row r="5511" spans="1:12" x14ac:dyDescent="0.25">
      <c r="A5511" t="s">
        <v>4510</v>
      </c>
      <c r="G5511" t="str">
        <f t="shared" si="482"/>
        <v>09/14/19</v>
      </c>
      <c r="H5511" t="str">
        <f t="shared" si="477"/>
        <v>Chicago White Sox</v>
      </c>
      <c r="I5511" s="60">
        <f t="shared" si="478"/>
        <v>1</v>
      </c>
      <c r="J5511" t="str">
        <f t="shared" si="479"/>
        <v>Seattle Mariners</v>
      </c>
      <c r="K5511" s="60">
        <f t="shared" si="480"/>
        <v>2</v>
      </c>
      <c r="L5511">
        <f t="shared" si="481"/>
        <v>-1</v>
      </c>
    </row>
    <row r="5512" spans="1:12" x14ac:dyDescent="0.25">
      <c r="G5512" t="str">
        <f t="shared" si="482"/>
        <v>09/14/19</v>
      </c>
      <c r="H5512" t="str">
        <f t="shared" si="477"/>
        <v/>
      </c>
      <c r="I5512" s="60" t="str">
        <f t="shared" si="478"/>
        <v/>
      </c>
      <c r="J5512" t="str">
        <f t="shared" si="479"/>
        <v/>
      </c>
      <c r="K5512" s="60" t="str">
        <f t="shared" si="480"/>
        <v/>
      </c>
      <c r="L5512" t="str">
        <f t="shared" si="481"/>
        <v/>
      </c>
    </row>
    <row r="5513" spans="1:12" x14ac:dyDescent="0.25">
      <c r="A5513" t="s">
        <v>4511</v>
      </c>
      <c r="G5513" t="str">
        <f t="shared" si="482"/>
        <v>09/14/19</v>
      </c>
      <c r="H5513" t="str">
        <f t="shared" si="477"/>
        <v>Miami Marlins</v>
      </c>
      <c r="I5513" s="60">
        <f t="shared" si="478"/>
        <v>4</v>
      </c>
      <c r="J5513" t="str">
        <f t="shared" si="479"/>
        <v>San Francisco Giants</v>
      </c>
      <c r="K5513" s="60">
        <f t="shared" si="480"/>
        <v>2</v>
      </c>
      <c r="L5513">
        <f t="shared" si="481"/>
        <v>2</v>
      </c>
    </row>
    <row r="5514" spans="1:12" x14ac:dyDescent="0.25">
      <c r="G5514" t="str">
        <f t="shared" si="482"/>
        <v>09/14/19</v>
      </c>
      <c r="H5514" t="str">
        <f t="shared" si="477"/>
        <v/>
      </c>
      <c r="I5514" s="60" t="str">
        <f t="shared" si="478"/>
        <v/>
      </c>
      <c r="J5514" t="str">
        <f t="shared" si="479"/>
        <v/>
      </c>
      <c r="K5514" s="60" t="str">
        <f t="shared" si="480"/>
        <v/>
      </c>
      <c r="L5514" t="str">
        <f t="shared" si="481"/>
        <v/>
      </c>
    </row>
    <row r="5515" spans="1:12" x14ac:dyDescent="0.25">
      <c r="A5515" t="s">
        <v>4512</v>
      </c>
      <c r="G5515" t="str">
        <f t="shared" si="482"/>
        <v>09/14/19</v>
      </c>
      <c r="H5515" t="str">
        <f t="shared" si="477"/>
        <v>Milwaukee Brewers</v>
      </c>
      <c r="I5515" s="60">
        <f t="shared" si="478"/>
        <v>5</v>
      </c>
      <c r="J5515" t="str">
        <f t="shared" si="479"/>
        <v>St. Louis Cardinals</v>
      </c>
      <c r="K5515" s="60">
        <f t="shared" si="480"/>
        <v>2</v>
      </c>
      <c r="L5515">
        <f t="shared" si="481"/>
        <v>3</v>
      </c>
    </row>
    <row r="5516" spans="1:12" x14ac:dyDescent="0.25">
      <c r="G5516" t="str">
        <f t="shared" si="482"/>
        <v>09/14/19</v>
      </c>
      <c r="H5516" t="str">
        <f t="shared" si="477"/>
        <v/>
      </c>
      <c r="I5516" s="60" t="str">
        <f t="shared" si="478"/>
        <v/>
      </c>
      <c r="J5516" t="str">
        <f t="shared" si="479"/>
        <v/>
      </c>
      <c r="K5516" s="60" t="str">
        <f t="shared" si="480"/>
        <v/>
      </c>
      <c r="L5516" t="str">
        <f t="shared" si="481"/>
        <v/>
      </c>
    </row>
    <row r="5517" spans="1:12" x14ac:dyDescent="0.25">
      <c r="A5517" t="s">
        <v>1869</v>
      </c>
      <c r="G5517" t="str">
        <f t="shared" si="482"/>
        <v>09/14/19</v>
      </c>
      <c r="H5517" t="str">
        <f t="shared" si="477"/>
        <v>Oakland Athletics</v>
      </c>
      <c r="I5517" s="60">
        <f t="shared" si="478"/>
        <v>8</v>
      </c>
      <c r="J5517" t="str">
        <f t="shared" si="479"/>
        <v>Texas Rangers</v>
      </c>
      <c r="K5517" s="60">
        <f t="shared" si="480"/>
        <v>6</v>
      </c>
      <c r="L5517">
        <f t="shared" si="481"/>
        <v>2</v>
      </c>
    </row>
    <row r="5518" spans="1:12" x14ac:dyDescent="0.25">
      <c r="G5518" t="str">
        <f t="shared" si="482"/>
        <v>09/14/19</v>
      </c>
      <c r="H5518" t="str">
        <f t="shared" si="477"/>
        <v/>
      </c>
      <c r="I5518" s="60" t="str">
        <f t="shared" si="478"/>
        <v/>
      </c>
      <c r="J5518" t="str">
        <f t="shared" si="479"/>
        <v/>
      </c>
      <c r="K5518" s="60" t="str">
        <f t="shared" si="480"/>
        <v/>
      </c>
      <c r="L5518" t="str">
        <f t="shared" si="481"/>
        <v/>
      </c>
    </row>
    <row r="5519" spans="1:12" x14ac:dyDescent="0.25">
      <c r="A5519" t="s">
        <v>4513</v>
      </c>
      <c r="G5519" t="str">
        <f t="shared" si="482"/>
        <v>09/14/19</v>
      </c>
      <c r="H5519" t="str">
        <f t="shared" si="477"/>
        <v>New York Yankees</v>
      </c>
      <c r="I5519" s="60">
        <f t="shared" si="478"/>
        <v>13</v>
      </c>
      <c r="J5519" t="str">
        <f t="shared" si="479"/>
        <v>Toronto Blue Jays</v>
      </c>
      <c r="K5519" s="60">
        <f t="shared" si="480"/>
        <v>3</v>
      </c>
      <c r="L5519">
        <f t="shared" si="481"/>
        <v>10</v>
      </c>
    </row>
    <row r="5520" spans="1:12" x14ac:dyDescent="0.25">
      <c r="G5520" t="str">
        <f t="shared" si="482"/>
        <v>09/14/19</v>
      </c>
      <c r="H5520" t="str">
        <f t="shared" ref="H5520:H5583" si="483">IFERROR(LEFT(MID(A5520,1,SEARCH("@",A5520)-2),SEARCH("(",A5520)-2),"")</f>
        <v/>
      </c>
      <c r="I5520" s="60" t="str">
        <f t="shared" ref="I5520:I5583" si="484">IFERROR(VALUE(MID(A5520,SEARCH("(",A5520)+1,SEARCH(")",A5520)-SEARCH("(",A5520)-1)),"")</f>
        <v/>
      </c>
      <c r="J5520" t="str">
        <f t="shared" ref="J5520:J5583" si="485">IFERROR(MID(A5520,SEARCH("@",A5520)+2,SEARCH("(",A5520,SEARCH("@",A5520))-SEARCH("@",A5520)-3),"")</f>
        <v/>
      </c>
      <c r="K5520" s="60" t="str">
        <f t="shared" ref="K5520:K5583" si="486">IFERROR(VALUE(MID(A5520,SEARCH(J5520,A5520)+LEN(J5520)+2,(SEARCH(")",A5520,SEARCH("@",A5520))-SEARCH("(",A5520,SEARCH("@",A5520))-1))),"")</f>
        <v/>
      </c>
      <c r="L5520" t="str">
        <f t="shared" ref="L5520:L5583" si="487">IFERROR(I5520-K5520,"")</f>
        <v/>
      </c>
    </row>
    <row r="5521" spans="1:12" x14ac:dyDescent="0.25">
      <c r="A5521" t="s">
        <v>4514</v>
      </c>
      <c r="G5521" t="str">
        <f t="shared" si="482"/>
        <v>09/14/19</v>
      </c>
      <c r="H5521" t="str">
        <f t="shared" si="483"/>
        <v>Atlanta Braves</v>
      </c>
      <c r="I5521" s="60">
        <f t="shared" si="484"/>
        <v>10</v>
      </c>
      <c r="J5521" t="str">
        <f t="shared" si="485"/>
        <v>Washington Nationals</v>
      </c>
      <c r="K5521" s="60">
        <f t="shared" si="486"/>
        <v>1</v>
      </c>
      <c r="L5521">
        <f t="shared" si="487"/>
        <v>9</v>
      </c>
    </row>
    <row r="5522" spans="1:12" x14ac:dyDescent="0.25">
      <c r="G5522" t="str">
        <f t="shared" si="482"/>
        <v>09/14/19</v>
      </c>
      <c r="H5522" t="str">
        <f t="shared" si="483"/>
        <v/>
      </c>
      <c r="I5522" s="60" t="str">
        <f t="shared" si="484"/>
        <v/>
      </c>
      <c r="J5522" t="str">
        <f t="shared" si="485"/>
        <v/>
      </c>
      <c r="K5522" s="60" t="str">
        <f t="shared" si="486"/>
        <v/>
      </c>
      <c r="L5522" t="str">
        <f t="shared" si="487"/>
        <v/>
      </c>
    </row>
    <row r="5523" spans="1:12" x14ac:dyDescent="0.25">
      <c r="A5523" t="s">
        <v>4515</v>
      </c>
      <c r="G5523" t="str">
        <f t="shared" si="482"/>
        <v>09/14/19</v>
      </c>
      <c r="H5523" t="str">
        <f t="shared" si="483"/>
        <v/>
      </c>
      <c r="I5523" s="60" t="str">
        <f t="shared" si="484"/>
        <v/>
      </c>
      <c r="J5523" t="str">
        <f t="shared" si="485"/>
        <v/>
      </c>
      <c r="K5523" s="60" t="str">
        <f t="shared" si="486"/>
        <v/>
      </c>
      <c r="L5523" t="str">
        <f t="shared" si="487"/>
        <v/>
      </c>
    </row>
    <row r="5524" spans="1:12" x14ac:dyDescent="0.25">
      <c r="G5524" t="str">
        <f t="shared" si="482"/>
        <v>09/14/19</v>
      </c>
      <c r="H5524" t="str">
        <f t="shared" si="483"/>
        <v/>
      </c>
      <c r="I5524" s="60" t="str">
        <f t="shared" si="484"/>
        <v/>
      </c>
      <c r="J5524" t="str">
        <f t="shared" si="485"/>
        <v/>
      </c>
      <c r="K5524" s="60" t="str">
        <f t="shared" si="486"/>
        <v/>
      </c>
      <c r="L5524" t="str">
        <f t="shared" si="487"/>
        <v/>
      </c>
    </row>
    <row r="5525" spans="1:12" x14ac:dyDescent="0.25">
      <c r="A5525" t="s">
        <v>3312</v>
      </c>
      <c r="G5525" t="str">
        <f t="shared" si="482"/>
        <v>09/15/19</v>
      </c>
      <c r="H5525" t="str">
        <f t="shared" si="483"/>
        <v/>
      </c>
      <c r="I5525" s="60" t="str">
        <f t="shared" si="484"/>
        <v/>
      </c>
      <c r="J5525" t="str">
        <f t="shared" si="485"/>
        <v/>
      </c>
      <c r="K5525" s="60" t="str">
        <f t="shared" si="486"/>
        <v/>
      </c>
      <c r="L5525" t="str">
        <f t="shared" si="487"/>
        <v/>
      </c>
    </row>
    <row r="5526" spans="1:12" x14ac:dyDescent="0.25">
      <c r="G5526" t="str">
        <f t="shared" si="482"/>
        <v>09/15/19</v>
      </c>
      <c r="H5526" t="str">
        <f t="shared" si="483"/>
        <v/>
      </c>
      <c r="I5526" s="60" t="str">
        <f t="shared" si="484"/>
        <v/>
      </c>
      <c r="J5526" t="str">
        <f t="shared" si="485"/>
        <v/>
      </c>
      <c r="K5526" s="60" t="str">
        <f t="shared" si="486"/>
        <v/>
      </c>
      <c r="L5526" t="str">
        <f t="shared" si="487"/>
        <v/>
      </c>
    </row>
    <row r="5527" spans="1:12" x14ac:dyDescent="0.25">
      <c r="A5527" t="s">
        <v>4516</v>
      </c>
      <c r="G5527" t="str">
        <f t="shared" si="482"/>
        <v>09/15/19</v>
      </c>
      <c r="H5527" t="str">
        <f t="shared" si="483"/>
        <v>Tampa Bay Rays</v>
      </c>
      <c r="I5527" s="60">
        <f t="shared" si="484"/>
        <v>4</v>
      </c>
      <c r="J5527" t="str">
        <f t="shared" si="485"/>
        <v>Los Angeles Angels</v>
      </c>
      <c r="K5527" s="60">
        <f t="shared" si="486"/>
        <v>6</v>
      </c>
      <c r="L5527">
        <f t="shared" si="487"/>
        <v>-2</v>
      </c>
    </row>
    <row r="5528" spans="1:12" x14ac:dyDescent="0.25">
      <c r="G5528" t="str">
        <f t="shared" si="482"/>
        <v>09/15/19</v>
      </c>
      <c r="H5528" t="str">
        <f t="shared" si="483"/>
        <v/>
      </c>
      <c r="I5528" s="60" t="str">
        <f t="shared" si="484"/>
        <v/>
      </c>
      <c r="J5528" t="str">
        <f t="shared" si="485"/>
        <v/>
      </c>
      <c r="K5528" s="60" t="str">
        <f t="shared" si="486"/>
        <v/>
      </c>
      <c r="L5528" t="str">
        <f t="shared" si="487"/>
        <v/>
      </c>
    </row>
    <row r="5529" spans="1:12" x14ac:dyDescent="0.25">
      <c r="A5529" t="s">
        <v>4517</v>
      </c>
      <c r="G5529" t="str">
        <f t="shared" si="482"/>
        <v>09/15/19</v>
      </c>
      <c r="H5529" t="str">
        <f t="shared" si="483"/>
        <v>Cincinnati Reds</v>
      </c>
      <c r="I5529" s="60">
        <f t="shared" si="484"/>
        <v>3</v>
      </c>
      <c r="J5529" t="str">
        <f t="shared" si="485"/>
        <v>Arizona D'Backs</v>
      </c>
      <c r="K5529" s="60">
        <f t="shared" si="486"/>
        <v>1</v>
      </c>
      <c r="L5529">
        <f t="shared" si="487"/>
        <v>2</v>
      </c>
    </row>
    <row r="5530" spans="1:12" x14ac:dyDescent="0.25">
      <c r="G5530" t="str">
        <f t="shared" si="482"/>
        <v>09/15/19</v>
      </c>
      <c r="H5530" t="str">
        <f t="shared" si="483"/>
        <v/>
      </c>
      <c r="I5530" s="60" t="str">
        <f t="shared" si="484"/>
        <v/>
      </c>
      <c r="J5530" t="str">
        <f t="shared" si="485"/>
        <v/>
      </c>
      <c r="K5530" s="60" t="str">
        <f t="shared" si="486"/>
        <v/>
      </c>
      <c r="L5530" t="str">
        <f t="shared" si="487"/>
        <v/>
      </c>
    </row>
    <row r="5531" spans="1:12" x14ac:dyDescent="0.25">
      <c r="A5531" t="s">
        <v>4518</v>
      </c>
      <c r="G5531" t="str">
        <f t="shared" si="482"/>
        <v>09/15/19</v>
      </c>
      <c r="H5531" t="str">
        <f t="shared" si="483"/>
        <v>Pittsburgh Pirates</v>
      </c>
      <c r="I5531" s="60">
        <f t="shared" si="484"/>
        <v>6</v>
      </c>
      <c r="J5531" t="str">
        <f t="shared" si="485"/>
        <v>Chicago Cubs</v>
      </c>
      <c r="K5531" s="60">
        <f t="shared" si="486"/>
        <v>16</v>
      </c>
      <c r="L5531">
        <f t="shared" si="487"/>
        <v>-10</v>
      </c>
    </row>
    <row r="5532" spans="1:12" x14ac:dyDescent="0.25">
      <c r="G5532" t="str">
        <f t="shared" si="482"/>
        <v>09/15/19</v>
      </c>
      <c r="H5532" t="str">
        <f t="shared" si="483"/>
        <v/>
      </c>
      <c r="I5532" s="60" t="str">
        <f t="shared" si="484"/>
        <v/>
      </c>
      <c r="J5532" t="str">
        <f t="shared" si="485"/>
        <v/>
      </c>
      <c r="K5532" s="60" t="str">
        <f t="shared" si="486"/>
        <v/>
      </c>
      <c r="L5532" t="str">
        <f t="shared" si="487"/>
        <v/>
      </c>
    </row>
    <row r="5533" spans="1:12" x14ac:dyDescent="0.25">
      <c r="A5533" t="s">
        <v>4519</v>
      </c>
      <c r="G5533" t="str">
        <f t="shared" si="482"/>
        <v>09/15/19</v>
      </c>
      <c r="H5533" t="str">
        <f t="shared" si="483"/>
        <v>Minnesota Twins</v>
      </c>
      <c r="I5533" s="60">
        <f t="shared" si="484"/>
        <v>5</v>
      </c>
      <c r="J5533" t="str">
        <f t="shared" si="485"/>
        <v>Cleveland Indians</v>
      </c>
      <c r="K5533" s="60">
        <f t="shared" si="486"/>
        <v>7</v>
      </c>
      <c r="L5533">
        <f t="shared" si="487"/>
        <v>-2</v>
      </c>
    </row>
    <row r="5534" spans="1:12" x14ac:dyDescent="0.25">
      <c r="G5534" t="str">
        <f t="shared" si="482"/>
        <v>09/15/19</v>
      </c>
      <c r="H5534" t="str">
        <f t="shared" si="483"/>
        <v/>
      </c>
      <c r="I5534" s="60" t="str">
        <f t="shared" si="484"/>
        <v/>
      </c>
      <c r="J5534" t="str">
        <f t="shared" si="485"/>
        <v/>
      </c>
      <c r="K5534" s="60" t="str">
        <f t="shared" si="486"/>
        <v/>
      </c>
      <c r="L5534" t="str">
        <f t="shared" si="487"/>
        <v/>
      </c>
    </row>
    <row r="5535" spans="1:12" x14ac:dyDescent="0.25">
      <c r="A5535" t="s">
        <v>4520</v>
      </c>
      <c r="G5535" t="str">
        <f t="shared" si="482"/>
        <v>09/15/19</v>
      </c>
      <c r="H5535" t="str">
        <f t="shared" si="483"/>
        <v>San Diego Padres</v>
      </c>
      <c r="I5535" s="60">
        <f t="shared" si="484"/>
        <v>5</v>
      </c>
      <c r="J5535" t="str">
        <f t="shared" si="485"/>
        <v>Colorado Rockies</v>
      </c>
      <c r="K5535" s="60">
        <f t="shared" si="486"/>
        <v>10</v>
      </c>
      <c r="L5535">
        <f t="shared" si="487"/>
        <v>-5</v>
      </c>
    </row>
    <row r="5536" spans="1:12" x14ac:dyDescent="0.25">
      <c r="G5536" t="str">
        <f t="shared" si="482"/>
        <v>09/15/19</v>
      </c>
      <c r="H5536" t="str">
        <f t="shared" si="483"/>
        <v/>
      </c>
      <c r="I5536" s="60" t="str">
        <f t="shared" si="484"/>
        <v/>
      </c>
      <c r="J5536" t="str">
        <f t="shared" si="485"/>
        <v/>
      </c>
      <c r="K5536" s="60" t="str">
        <f t="shared" si="486"/>
        <v/>
      </c>
      <c r="L5536" t="str">
        <f t="shared" si="487"/>
        <v/>
      </c>
    </row>
    <row r="5537" spans="1:12" x14ac:dyDescent="0.25">
      <c r="A5537" t="s">
        <v>4521</v>
      </c>
      <c r="G5537" t="str">
        <f t="shared" si="482"/>
        <v>09/15/19</v>
      </c>
      <c r="H5537" t="str">
        <f t="shared" si="483"/>
        <v>Baltimore Orioles</v>
      </c>
      <c r="I5537" s="60">
        <f t="shared" si="484"/>
        <v>8</v>
      </c>
      <c r="J5537" t="str">
        <f t="shared" si="485"/>
        <v>Detroit Tigers</v>
      </c>
      <c r="K5537" s="60">
        <f t="shared" si="486"/>
        <v>2</v>
      </c>
      <c r="L5537">
        <f t="shared" si="487"/>
        <v>6</v>
      </c>
    </row>
    <row r="5538" spans="1:12" x14ac:dyDescent="0.25">
      <c r="G5538" t="str">
        <f t="shared" ref="G5538:G5601" si="488">IF(ISNUMBER(MATCH(IFERROR(LEFT(A5538,SEARCH(",",A5538)-1),""),$G$220:$M$220,0)),TEXT(MID(A5538,SEARCH(",",A5538)+2,LEN(A5538)),"mm/dd/yy"),G5537)</f>
        <v>09/15/19</v>
      </c>
      <c r="H5538" t="str">
        <f t="shared" si="483"/>
        <v/>
      </c>
      <c r="I5538" s="60" t="str">
        <f t="shared" si="484"/>
        <v/>
      </c>
      <c r="J5538" t="str">
        <f t="shared" si="485"/>
        <v/>
      </c>
      <c r="K5538" s="60" t="str">
        <f t="shared" si="486"/>
        <v/>
      </c>
      <c r="L5538" t="str">
        <f t="shared" si="487"/>
        <v/>
      </c>
    </row>
    <row r="5539" spans="1:12" x14ac:dyDescent="0.25">
      <c r="A5539" t="s">
        <v>4522</v>
      </c>
      <c r="G5539" t="str">
        <f t="shared" si="488"/>
        <v>09/15/19</v>
      </c>
      <c r="H5539" t="str">
        <f t="shared" si="483"/>
        <v>Houston Astros</v>
      </c>
      <c r="I5539" s="60">
        <f t="shared" si="484"/>
        <v>12</v>
      </c>
      <c r="J5539" t="str">
        <f t="shared" si="485"/>
        <v>Kansas City Royals</v>
      </c>
      <c r="K5539" s="60">
        <f t="shared" si="486"/>
        <v>3</v>
      </c>
      <c r="L5539">
        <f t="shared" si="487"/>
        <v>9</v>
      </c>
    </row>
    <row r="5540" spans="1:12" x14ac:dyDescent="0.25">
      <c r="G5540" t="str">
        <f t="shared" si="488"/>
        <v>09/15/19</v>
      </c>
      <c r="H5540" t="str">
        <f t="shared" si="483"/>
        <v/>
      </c>
      <c r="I5540" s="60" t="str">
        <f t="shared" si="484"/>
        <v/>
      </c>
      <c r="J5540" t="str">
        <f t="shared" si="485"/>
        <v/>
      </c>
      <c r="K5540" s="60" t="str">
        <f t="shared" si="486"/>
        <v/>
      </c>
      <c r="L5540" t="str">
        <f t="shared" si="487"/>
        <v/>
      </c>
    </row>
    <row r="5541" spans="1:12" x14ac:dyDescent="0.25">
      <c r="A5541" t="s">
        <v>4523</v>
      </c>
      <c r="G5541" t="str">
        <f t="shared" si="488"/>
        <v>09/15/19</v>
      </c>
      <c r="H5541" t="str">
        <f t="shared" si="483"/>
        <v>Los Angeles Dodgers</v>
      </c>
      <c r="I5541" s="60">
        <f t="shared" si="484"/>
        <v>3</v>
      </c>
      <c r="J5541" t="str">
        <f t="shared" si="485"/>
        <v>New York Mets</v>
      </c>
      <c r="K5541" s="60">
        <f t="shared" si="486"/>
        <v>2</v>
      </c>
      <c r="L5541">
        <f t="shared" si="487"/>
        <v>1</v>
      </c>
    </row>
    <row r="5542" spans="1:12" x14ac:dyDescent="0.25">
      <c r="G5542" t="str">
        <f t="shared" si="488"/>
        <v>09/15/19</v>
      </c>
      <c r="H5542" t="str">
        <f t="shared" si="483"/>
        <v/>
      </c>
      <c r="I5542" s="60" t="str">
        <f t="shared" si="484"/>
        <v/>
      </c>
      <c r="J5542" t="str">
        <f t="shared" si="485"/>
        <v/>
      </c>
      <c r="K5542" s="60" t="str">
        <f t="shared" si="486"/>
        <v/>
      </c>
      <c r="L5542" t="str">
        <f t="shared" si="487"/>
        <v/>
      </c>
    </row>
    <row r="5543" spans="1:12" x14ac:dyDescent="0.25">
      <c r="A5543" t="s">
        <v>4524</v>
      </c>
      <c r="G5543" t="str">
        <f t="shared" si="488"/>
        <v>09/15/19</v>
      </c>
      <c r="H5543" t="str">
        <f t="shared" si="483"/>
        <v>Boston Red Sox</v>
      </c>
      <c r="I5543" s="60">
        <f t="shared" si="484"/>
        <v>6</v>
      </c>
      <c r="J5543" t="str">
        <f t="shared" si="485"/>
        <v>Philadelphia Phillies</v>
      </c>
      <c r="K5543" s="60">
        <f t="shared" si="486"/>
        <v>3</v>
      </c>
      <c r="L5543">
        <f t="shared" si="487"/>
        <v>3</v>
      </c>
    </row>
    <row r="5544" spans="1:12" x14ac:dyDescent="0.25">
      <c r="G5544" t="str">
        <f t="shared" si="488"/>
        <v>09/15/19</v>
      </c>
      <c r="H5544" t="str">
        <f t="shared" si="483"/>
        <v/>
      </c>
      <c r="I5544" s="60" t="str">
        <f t="shared" si="484"/>
        <v/>
      </c>
      <c r="J5544" t="str">
        <f t="shared" si="485"/>
        <v/>
      </c>
      <c r="K5544" s="60" t="str">
        <f t="shared" si="486"/>
        <v/>
      </c>
      <c r="L5544" t="str">
        <f t="shared" si="487"/>
        <v/>
      </c>
    </row>
    <row r="5545" spans="1:12" x14ac:dyDescent="0.25">
      <c r="A5545" t="s">
        <v>4525</v>
      </c>
      <c r="G5545" t="str">
        <f t="shared" si="488"/>
        <v>09/15/19</v>
      </c>
      <c r="H5545" t="str">
        <f t="shared" si="483"/>
        <v>Chicago White Sox</v>
      </c>
      <c r="I5545" s="60">
        <f t="shared" si="484"/>
        <v>10</v>
      </c>
      <c r="J5545" t="str">
        <f t="shared" si="485"/>
        <v>Seattle Mariners</v>
      </c>
      <c r="K5545" s="60">
        <f t="shared" si="486"/>
        <v>11</v>
      </c>
      <c r="L5545">
        <f t="shared" si="487"/>
        <v>-1</v>
      </c>
    </row>
    <row r="5546" spans="1:12" x14ac:dyDescent="0.25">
      <c r="G5546" t="str">
        <f t="shared" si="488"/>
        <v>09/15/19</v>
      </c>
      <c r="H5546" t="str">
        <f t="shared" si="483"/>
        <v/>
      </c>
      <c r="I5546" s="60" t="str">
        <f t="shared" si="484"/>
        <v/>
      </c>
      <c r="J5546" t="str">
        <f t="shared" si="485"/>
        <v/>
      </c>
      <c r="K5546" s="60" t="str">
        <f t="shared" si="486"/>
        <v/>
      </c>
      <c r="L5546" t="str">
        <f t="shared" si="487"/>
        <v/>
      </c>
    </row>
    <row r="5547" spans="1:12" x14ac:dyDescent="0.25">
      <c r="A5547" t="s">
        <v>4526</v>
      </c>
      <c r="G5547" t="str">
        <f t="shared" si="488"/>
        <v>09/15/19</v>
      </c>
      <c r="H5547" t="str">
        <f t="shared" si="483"/>
        <v>Miami Marlins</v>
      </c>
      <c r="I5547" s="60">
        <f t="shared" si="484"/>
        <v>1</v>
      </c>
      <c r="J5547" t="str">
        <f t="shared" si="485"/>
        <v>San Francisco Giants</v>
      </c>
      <c r="K5547" s="60">
        <f t="shared" si="486"/>
        <v>2</v>
      </c>
      <c r="L5547">
        <f t="shared" si="487"/>
        <v>-1</v>
      </c>
    </row>
    <row r="5548" spans="1:12" x14ac:dyDescent="0.25">
      <c r="G5548" t="str">
        <f t="shared" si="488"/>
        <v>09/15/19</v>
      </c>
      <c r="H5548" t="str">
        <f t="shared" si="483"/>
        <v/>
      </c>
      <c r="I5548" s="60" t="str">
        <f t="shared" si="484"/>
        <v/>
      </c>
      <c r="J5548" t="str">
        <f t="shared" si="485"/>
        <v/>
      </c>
      <c r="K5548" s="60" t="str">
        <f t="shared" si="486"/>
        <v/>
      </c>
      <c r="L5548" t="str">
        <f t="shared" si="487"/>
        <v/>
      </c>
    </row>
    <row r="5549" spans="1:12" x14ac:dyDescent="0.25">
      <c r="A5549" t="s">
        <v>4527</v>
      </c>
      <c r="G5549" t="str">
        <f t="shared" si="488"/>
        <v>09/15/19</v>
      </c>
      <c r="H5549" t="str">
        <f t="shared" si="483"/>
        <v>Milwaukee Brewers</v>
      </c>
      <c r="I5549" s="60">
        <f t="shared" si="484"/>
        <v>7</v>
      </c>
      <c r="J5549" t="str">
        <f t="shared" si="485"/>
        <v>St. Louis Cardinals</v>
      </c>
      <c r="K5549" s="60">
        <f t="shared" si="486"/>
        <v>6</v>
      </c>
      <c r="L5549">
        <f t="shared" si="487"/>
        <v>1</v>
      </c>
    </row>
    <row r="5550" spans="1:12" x14ac:dyDescent="0.25">
      <c r="G5550" t="str">
        <f t="shared" si="488"/>
        <v>09/15/19</v>
      </c>
      <c r="H5550" t="str">
        <f t="shared" si="483"/>
        <v/>
      </c>
      <c r="I5550" s="60" t="str">
        <f t="shared" si="484"/>
        <v/>
      </c>
      <c r="J5550" t="str">
        <f t="shared" si="485"/>
        <v/>
      </c>
      <c r="K5550" s="60" t="str">
        <f t="shared" si="486"/>
        <v/>
      </c>
      <c r="L5550" t="str">
        <f t="shared" si="487"/>
        <v/>
      </c>
    </row>
    <row r="5551" spans="1:12" x14ac:dyDescent="0.25">
      <c r="A5551" t="s">
        <v>4528</v>
      </c>
      <c r="G5551" t="str">
        <f t="shared" si="488"/>
        <v>09/15/19</v>
      </c>
      <c r="H5551" t="str">
        <f t="shared" si="483"/>
        <v>Oakland Athletics</v>
      </c>
      <c r="I5551" s="60">
        <f t="shared" si="484"/>
        <v>6</v>
      </c>
      <c r="J5551" t="str">
        <f t="shared" si="485"/>
        <v>Texas Rangers</v>
      </c>
      <c r="K5551" s="60">
        <f t="shared" si="486"/>
        <v>1</v>
      </c>
      <c r="L5551">
        <f t="shared" si="487"/>
        <v>5</v>
      </c>
    </row>
    <row r="5552" spans="1:12" x14ac:dyDescent="0.25">
      <c r="G5552" t="str">
        <f t="shared" si="488"/>
        <v>09/15/19</v>
      </c>
      <c r="H5552" t="str">
        <f t="shared" si="483"/>
        <v/>
      </c>
      <c r="I5552" s="60" t="str">
        <f t="shared" si="484"/>
        <v/>
      </c>
      <c r="J5552" t="str">
        <f t="shared" si="485"/>
        <v/>
      </c>
      <c r="K5552" s="60" t="str">
        <f t="shared" si="486"/>
        <v/>
      </c>
      <c r="L5552" t="str">
        <f t="shared" si="487"/>
        <v/>
      </c>
    </row>
    <row r="5553" spans="1:12" x14ac:dyDescent="0.25">
      <c r="A5553" t="s">
        <v>4529</v>
      </c>
      <c r="G5553" t="str">
        <f t="shared" si="488"/>
        <v>09/15/19</v>
      </c>
      <c r="H5553" t="str">
        <f t="shared" si="483"/>
        <v>New York Yankees</v>
      </c>
      <c r="I5553" s="60">
        <f t="shared" si="484"/>
        <v>4</v>
      </c>
      <c r="J5553" t="str">
        <f t="shared" si="485"/>
        <v>Toronto Blue Jays</v>
      </c>
      <c r="K5553" s="60">
        <f t="shared" si="486"/>
        <v>6</v>
      </c>
      <c r="L5553">
        <f t="shared" si="487"/>
        <v>-2</v>
      </c>
    </row>
    <row r="5554" spans="1:12" x14ac:dyDescent="0.25">
      <c r="G5554" t="str">
        <f t="shared" si="488"/>
        <v>09/15/19</v>
      </c>
      <c r="H5554" t="str">
        <f t="shared" si="483"/>
        <v/>
      </c>
      <c r="I5554" s="60" t="str">
        <f t="shared" si="484"/>
        <v/>
      </c>
      <c r="J5554" t="str">
        <f t="shared" si="485"/>
        <v/>
      </c>
      <c r="K5554" s="60" t="str">
        <f t="shared" si="486"/>
        <v/>
      </c>
      <c r="L5554" t="str">
        <f t="shared" si="487"/>
        <v/>
      </c>
    </row>
    <row r="5555" spans="1:12" x14ac:dyDescent="0.25">
      <c r="A5555" t="s">
        <v>4530</v>
      </c>
      <c r="G5555" t="str">
        <f t="shared" si="488"/>
        <v>09/15/19</v>
      </c>
      <c r="H5555" t="str">
        <f t="shared" si="483"/>
        <v>Atlanta Braves</v>
      </c>
      <c r="I5555" s="60">
        <f t="shared" si="484"/>
        <v>0</v>
      </c>
      <c r="J5555" t="str">
        <f t="shared" si="485"/>
        <v>Washington Nationals</v>
      </c>
      <c r="K5555" s="60">
        <f t="shared" si="486"/>
        <v>7</v>
      </c>
      <c r="L5555">
        <f t="shared" si="487"/>
        <v>-7</v>
      </c>
    </row>
    <row r="5556" spans="1:12" x14ac:dyDescent="0.25">
      <c r="G5556" t="str">
        <f t="shared" si="488"/>
        <v>09/15/19</v>
      </c>
      <c r="H5556" t="str">
        <f t="shared" si="483"/>
        <v/>
      </c>
      <c r="I5556" s="60" t="str">
        <f t="shared" si="484"/>
        <v/>
      </c>
      <c r="J5556" t="str">
        <f t="shared" si="485"/>
        <v/>
      </c>
      <c r="K5556" s="60" t="str">
        <f t="shared" si="486"/>
        <v/>
      </c>
      <c r="L5556" t="str">
        <f t="shared" si="487"/>
        <v/>
      </c>
    </row>
    <row r="5557" spans="1:12" x14ac:dyDescent="0.25">
      <c r="A5557" t="s">
        <v>4531</v>
      </c>
      <c r="G5557" t="str">
        <f t="shared" si="488"/>
        <v>09/15/19</v>
      </c>
      <c r="H5557" t="str">
        <f t="shared" si="483"/>
        <v/>
      </c>
      <c r="I5557" s="60" t="str">
        <f t="shared" si="484"/>
        <v/>
      </c>
      <c r="J5557" t="str">
        <f t="shared" si="485"/>
        <v/>
      </c>
      <c r="K5557" s="60" t="str">
        <f t="shared" si="486"/>
        <v/>
      </c>
      <c r="L5557" t="str">
        <f t="shared" si="487"/>
        <v/>
      </c>
    </row>
    <row r="5558" spans="1:12" x14ac:dyDescent="0.25">
      <c r="G5558" t="str">
        <f t="shared" si="488"/>
        <v>09/15/19</v>
      </c>
      <c r="H5558" t="str">
        <f t="shared" si="483"/>
        <v/>
      </c>
      <c r="I5558" s="60" t="str">
        <f t="shared" si="484"/>
        <v/>
      </c>
      <c r="J5558" t="str">
        <f t="shared" si="485"/>
        <v/>
      </c>
      <c r="K5558" s="60" t="str">
        <f t="shared" si="486"/>
        <v/>
      </c>
      <c r="L5558" t="str">
        <f t="shared" si="487"/>
        <v/>
      </c>
    </row>
    <row r="5559" spans="1:12" x14ac:dyDescent="0.25">
      <c r="A5559" t="s">
        <v>4572</v>
      </c>
      <c r="G5559" t="str">
        <f t="shared" si="488"/>
        <v>09/16/19</v>
      </c>
      <c r="H5559" t="str">
        <f t="shared" si="483"/>
        <v/>
      </c>
      <c r="I5559" s="60" t="str">
        <f t="shared" si="484"/>
        <v/>
      </c>
      <c r="J5559" t="str">
        <f t="shared" si="485"/>
        <v/>
      </c>
      <c r="K5559" s="60" t="str">
        <f t="shared" si="486"/>
        <v/>
      </c>
      <c r="L5559" t="str">
        <f t="shared" si="487"/>
        <v/>
      </c>
    </row>
    <row r="5560" spans="1:12" x14ac:dyDescent="0.25">
      <c r="G5560" t="str">
        <f t="shared" si="488"/>
        <v>09/16/19</v>
      </c>
      <c r="H5560" t="str">
        <f t="shared" si="483"/>
        <v/>
      </c>
      <c r="I5560" s="60" t="str">
        <f t="shared" si="484"/>
        <v/>
      </c>
      <c r="J5560" t="str">
        <f t="shared" si="485"/>
        <v/>
      </c>
      <c r="K5560" s="60" t="str">
        <f t="shared" si="486"/>
        <v/>
      </c>
      <c r="L5560" t="str">
        <f t="shared" si="487"/>
        <v/>
      </c>
    </row>
    <row r="5561" spans="1:12" x14ac:dyDescent="0.25">
      <c r="A5561" t="s">
        <v>4573</v>
      </c>
      <c r="G5561" t="str">
        <f t="shared" si="488"/>
        <v>09/16/19</v>
      </c>
      <c r="H5561" t="str">
        <f t="shared" si="483"/>
        <v>Miami Marlins</v>
      </c>
      <c r="I5561" s="60">
        <f t="shared" si="484"/>
        <v>5</v>
      </c>
      <c r="J5561" t="str">
        <f t="shared" si="485"/>
        <v>Arizona D'Backs</v>
      </c>
      <c r="K5561" s="60">
        <f t="shared" si="486"/>
        <v>7</v>
      </c>
      <c r="L5561">
        <f t="shared" si="487"/>
        <v>-2</v>
      </c>
    </row>
    <row r="5562" spans="1:12" x14ac:dyDescent="0.25">
      <c r="G5562" t="str">
        <f t="shared" si="488"/>
        <v>09/16/19</v>
      </c>
      <c r="H5562" t="str">
        <f t="shared" si="483"/>
        <v/>
      </c>
      <c r="I5562" s="60" t="str">
        <f t="shared" si="484"/>
        <v/>
      </c>
      <c r="J5562" t="str">
        <f t="shared" si="485"/>
        <v/>
      </c>
      <c r="K5562" s="60" t="str">
        <f t="shared" si="486"/>
        <v/>
      </c>
      <c r="L5562" t="str">
        <f t="shared" si="487"/>
        <v/>
      </c>
    </row>
    <row r="5563" spans="1:12" x14ac:dyDescent="0.25">
      <c r="A5563" t="s">
        <v>4574</v>
      </c>
      <c r="G5563" t="str">
        <f t="shared" si="488"/>
        <v>09/16/19</v>
      </c>
      <c r="H5563" t="str">
        <f t="shared" si="483"/>
        <v>Cincinnati Reds</v>
      </c>
      <c r="I5563" s="60">
        <f t="shared" si="484"/>
        <v>2</v>
      </c>
      <c r="J5563" t="str">
        <f t="shared" si="485"/>
        <v>Chicago Cubs</v>
      </c>
      <c r="K5563" s="60">
        <f t="shared" si="486"/>
        <v>8</v>
      </c>
      <c r="L5563">
        <f t="shared" si="487"/>
        <v>-6</v>
      </c>
    </row>
    <row r="5564" spans="1:12" x14ac:dyDescent="0.25">
      <c r="G5564" t="str">
        <f t="shared" si="488"/>
        <v>09/16/19</v>
      </c>
      <c r="H5564" t="str">
        <f t="shared" si="483"/>
        <v/>
      </c>
      <c r="I5564" s="60" t="str">
        <f t="shared" si="484"/>
        <v/>
      </c>
      <c r="J5564" t="str">
        <f t="shared" si="485"/>
        <v/>
      </c>
      <c r="K5564" s="60" t="str">
        <f t="shared" si="486"/>
        <v/>
      </c>
      <c r="L5564" t="str">
        <f t="shared" si="487"/>
        <v/>
      </c>
    </row>
    <row r="5565" spans="1:12" x14ac:dyDescent="0.25">
      <c r="A5565" t="s">
        <v>4575</v>
      </c>
      <c r="G5565" t="str">
        <f t="shared" si="488"/>
        <v>09/16/19</v>
      </c>
      <c r="H5565" t="str">
        <f t="shared" si="483"/>
        <v>New York Mets</v>
      </c>
      <c r="I5565" s="60">
        <f t="shared" si="484"/>
        <v>4</v>
      </c>
      <c r="J5565" t="str">
        <f t="shared" si="485"/>
        <v>Colorado Rockies</v>
      </c>
      <c r="K5565" s="60">
        <f t="shared" si="486"/>
        <v>9</v>
      </c>
      <c r="L5565">
        <f t="shared" si="487"/>
        <v>-5</v>
      </c>
    </row>
    <row r="5566" spans="1:12" x14ac:dyDescent="0.25">
      <c r="G5566" t="str">
        <f t="shared" si="488"/>
        <v>09/16/19</v>
      </c>
      <c r="H5566" t="str">
        <f t="shared" si="483"/>
        <v/>
      </c>
      <c r="I5566" s="60" t="str">
        <f t="shared" si="484"/>
        <v/>
      </c>
      <c r="J5566" t="str">
        <f t="shared" si="485"/>
        <v/>
      </c>
      <c r="K5566" s="60" t="str">
        <f t="shared" si="486"/>
        <v/>
      </c>
      <c r="L5566" t="str">
        <f t="shared" si="487"/>
        <v/>
      </c>
    </row>
    <row r="5567" spans="1:12" x14ac:dyDescent="0.25">
      <c r="A5567" t="s">
        <v>4576</v>
      </c>
      <c r="G5567" t="str">
        <f t="shared" si="488"/>
        <v>09/16/19</v>
      </c>
      <c r="H5567" t="str">
        <f t="shared" si="483"/>
        <v>Baltimore Orioles</v>
      </c>
      <c r="I5567" s="60">
        <f t="shared" si="484"/>
        <v>2</v>
      </c>
      <c r="J5567" t="str">
        <f t="shared" si="485"/>
        <v>Detroit Tigers</v>
      </c>
      <c r="K5567" s="60">
        <f t="shared" si="486"/>
        <v>5</v>
      </c>
      <c r="L5567">
        <f t="shared" si="487"/>
        <v>-3</v>
      </c>
    </row>
    <row r="5568" spans="1:12" x14ac:dyDescent="0.25">
      <c r="G5568" t="str">
        <f t="shared" si="488"/>
        <v>09/16/19</v>
      </c>
      <c r="H5568" t="str">
        <f t="shared" si="483"/>
        <v/>
      </c>
      <c r="I5568" s="60" t="str">
        <f t="shared" si="484"/>
        <v/>
      </c>
      <c r="J5568" t="str">
        <f t="shared" si="485"/>
        <v/>
      </c>
      <c r="K5568" s="60" t="str">
        <f t="shared" si="486"/>
        <v/>
      </c>
      <c r="L5568" t="str">
        <f t="shared" si="487"/>
        <v/>
      </c>
    </row>
    <row r="5569" spans="1:12" x14ac:dyDescent="0.25">
      <c r="A5569" t="s">
        <v>4577</v>
      </c>
      <c r="G5569" t="str">
        <f t="shared" si="488"/>
        <v>09/16/19</v>
      </c>
      <c r="H5569" t="str">
        <f t="shared" si="483"/>
        <v>San Diego Padres</v>
      </c>
      <c r="I5569" s="60">
        <f t="shared" si="484"/>
        <v>1</v>
      </c>
      <c r="J5569" t="str">
        <f t="shared" si="485"/>
        <v>Milwaukee Brewers</v>
      </c>
      <c r="K5569" s="60">
        <f t="shared" si="486"/>
        <v>5</v>
      </c>
      <c r="L5569">
        <f t="shared" si="487"/>
        <v>-4</v>
      </c>
    </row>
    <row r="5570" spans="1:12" x14ac:dyDescent="0.25">
      <c r="G5570" t="str">
        <f t="shared" si="488"/>
        <v>09/16/19</v>
      </c>
      <c r="H5570" t="str">
        <f t="shared" si="483"/>
        <v/>
      </c>
      <c r="I5570" s="60" t="str">
        <f t="shared" si="484"/>
        <v/>
      </c>
      <c r="J5570" t="str">
        <f t="shared" si="485"/>
        <v/>
      </c>
      <c r="K5570" s="60" t="str">
        <f t="shared" si="486"/>
        <v/>
      </c>
      <c r="L5570" t="str">
        <f t="shared" si="487"/>
        <v/>
      </c>
    </row>
    <row r="5571" spans="1:12" x14ac:dyDescent="0.25">
      <c r="A5571" t="s">
        <v>4578</v>
      </c>
      <c r="G5571" t="str">
        <f t="shared" si="488"/>
        <v>09/16/19</v>
      </c>
      <c r="H5571" t="str">
        <f t="shared" si="483"/>
        <v>Chicago White Sox</v>
      </c>
      <c r="I5571" s="60">
        <f t="shared" si="484"/>
        <v>3</v>
      </c>
      <c r="J5571" t="str">
        <f t="shared" si="485"/>
        <v>Minnesota Twins</v>
      </c>
      <c r="K5571" s="60">
        <f t="shared" si="486"/>
        <v>5</v>
      </c>
      <c r="L5571">
        <f t="shared" si="487"/>
        <v>-2</v>
      </c>
    </row>
    <row r="5572" spans="1:12" x14ac:dyDescent="0.25">
      <c r="G5572" t="str">
        <f t="shared" si="488"/>
        <v>09/16/19</v>
      </c>
      <c r="H5572" t="str">
        <f t="shared" si="483"/>
        <v/>
      </c>
      <c r="I5572" s="60" t="str">
        <f t="shared" si="484"/>
        <v/>
      </c>
      <c r="J5572" t="str">
        <f t="shared" si="485"/>
        <v/>
      </c>
      <c r="K5572" s="60" t="str">
        <f t="shared" si="486"/>
        <v/>
      </c>
      <c r="L5572" t="str">
        <f t="shared" si="487"/>
        <v/>
      </c>
    </row>
    <row r="5573" spans="1:12" x14ac:dyDescent="0.25">
      <c r="A5573" t="s">
        <v>4579</v>
      </c>
      <c r="G5573" t="str">
        <f t="shared" si="488"/>
        <v>09/16/19</v>
      </c>
      <c r="H5573" t="str">
        <f t="shared" si="483"/>
        <v>Kansas City Royals</v>
      </c>
      <c r="I5573" s="60">
        <f t="shared" si="484"/>
        <v>6</v>
      </c>
      <c r="J5573" t="str">
        <f t="shared" si="485"/>
        <v>Oakland Athletics</v>
      </c>
      <c r="K5573" s="60">
        <f t="shared" si="486"/>
        <v>5</v>
      </c>
      <c r="L5573">
        <f t="shared" si="487"/>
        <v>1</v>
      </c>
    </row>
    <row r="5574" spans="1:12" x14ac:dyDescent="0.25">
      <c r="G5574" t="str">
        <f t="shared" si="488"/>
        <v>09/16/19</v>
      </c>
      <c r="H5574" t="str">
        <f t="shared" si="483"/>
        <v/>
      </c>
      <c r="I5574" s="60" t="str">
        <f t="shared" si="484"/>
        <v/>
      </c>
      <c r="J5574" t="str">
        <f t="shared" si="485"/>
        <v/>
      </c>
      <c r="K5574" s="60" t="str">
        <f t="shared" si="486"/>
        <v/>
      </c>
      <c r="L5574" t="str">
        <f t="shared" si="487"/>
        <v/>
      </c>
    </row>
    <row r="5575" spans="1:12" x14ac:dyDescent="0.25">
      <c r="A5575" t="s">
        <v>4580</v>
      </c>
      <c r="G5575" t="str">
        <f t="shared" si="488"/>
        <v>09/16/19</v>
      </c>
      <c r="H5575" t="str">
        <f t="shared" si="483"/>
        <v>Washington Nationals</v>
      </c>
      <c r="I5575" s="60">
        <f t="shared" si="484"/>
        <v>2</v>
      </c>
      <c r="J5575" t="str">
        <f t="shared" si="485"/>
        <v>St. Louis Cardinals</v>
      </c>
      <c r="K5575" s="60">
        <f t="shared" si="486"/>
        <v>4</v>
      </c>
      <c r="L5575">
        <f t="shared" si="487"/>
        <v>-2</v>
      </c>
    </row>
    <row r="5576" spans="1:12" x14ac:dyDescent="0.25">
      <c r="G5576" t="str">
        <f t="shared" si="488"/>
        <v>09/16/19</v>
      </c>
      <c r="H5576" t="str">
        <f t="shared" si="483"/>
        <v/>
      </c>
      <c r="I5576" s="60" t="str">
        <f t="shared" si="484"/>
        <v/>
      </c>
      <c r="J5576" t="str">
        <f t="shared" si="485"/>
        <v/>
      </c>
      <c r="K5576" s="60" t="str">
        <f t="shared" si="486"/>
        <v/>
      </c>
      <c r="L5576" t="str">
        <f t="shared" si="487"/>
        <v/>
      </c>
    </row>
    <row r="5577" spans="1:12" x14ac:dyDescent="0.25">
      <c r="A5577" t="s">
        <v>4581</v>
      </c>
      <c r="G5577" t="str">
        <f t="shared" si="488"/>
        <v>09/16/19</v>
      </c>
      <c r="H5577" t="str">
        <f t="shared" si="483"/>
        <v/>
      </c>
      <c r="I5577" s="60" t="str">
        <f t="shared" si="484"/>
        <v/>
      </c>
      <c r="J5577" t="str">
        <f t="shared" si="485"/>
        <v/>
      </c>
      <c r="K5577" s="60" t="str">
        <f t="shared" si="486"/>
        <v/>
      </c>
      <c r="L5577" t="str">
        <f t="shared" si="487"/>
        <v/>
      </c>
    </row>
    <row r="5578" spans="1:12" x14ac:dyDescent="0.25">
      <c r="G5578" t="str">
        <f t="shared" si="488"/>
        <v>09/16/19</v>
      </c>
      <c r="H5578" t="str">
        <f t="shared" si="483"/>
        <v/>
      </c>
      <c r="I5578" s="60" t="str">
        <f t="shared" si="484"/>
        <v/>
      </c>
      <c r="J5578" t="str">
        <f t="shared" si="485"/>
        <v/>
      </c>
      <c r="K5578" s="60" t="str">
        <f t="shared" si="486"/>
        <v/>
      </c>
      <c r="L5578" t="str">
        <f t="shared" si="487"/>
        <v/>
      </c>
    </row>
    <row r="5579" spans="1:12" x14ac:dyDescent="0.25">
      <c r="A5579" t="s">
        <v>3313</v>
      </c>
      <c r="G5579" t="str">
        <f t="shared" si="488"/>
        <v>09/17/19</v>
      </c>
      <c r="H5579" t="str">
        <f t="shared" si="483"/>
        <v/>
      </c>
      <c r="I5579" s="60" t="str">
        <f t="shared" si="484"/>
        <v/>
      </c>
      <c r="J5579" t="str">
        <f t="shared" si="485"/>
        <v/>
      </c>
      <c r="K5579" s="60" t="str">
        <f t="shared" si="486"/>
        <v/>
      </c>
      <c r="L5579" t="str">
        <f t="shared" si="487"/>
        <v/>
      </c>
    </row>
    <row r="5580" spans="1:12" x14ac:dyDescent="0.25">
      <c r="G5580" t="str">
        <f t="shared" si="488"/>
        <v>09/17/19</v>
      </c>
      <c r="H5580" t="str">
        <f t="shared" si="483"/>
        <v/>
      </c>
      <c r="I5580" s="60" t="str">
        <f t="shared" si="484"/>
        <v/>
      </c>
      <c r="J5580" t="str">
        <f t="shared" si="485"/>
        <v/>
      </c>
      <c r="K5580" s="60" t="str">
        <f t="shared" si="486"/>
        <v/>
      </c>
      <c r="L5580" t="str">
        <f t="shared" si="487"/>
        <v/>
      </c>
    </row>
    <row r="5581" spans="1:12" x14ac:dyDescent="0.25">
      <c r="A5581" t="s">
        <v>4582</v>
      </c>
      <c r="G5581" t="str">
        <f t="shared" si="488"/>
        <v>09/17/19</v>
      </c>
      <c r="H5581" t="str">
        <f t="shared" si="483"/>
        <v>Miami Marlins</v>
      </c>
      <c r="I5581" s="60">
        <f t="shared" si="484"/>
        <v>12</v>
      </c>
      <c r="J5581" t="str">
        <f t="shared" si="485"/>
        <v>Arizona D'Backs</v>
      </c>
      <c r="K5581" s="60">
        <f t="shared" si="486"/>
        <v>6</v>
      </c>
      <c r="L5581">
        <f t="shared" si="487"/>
        <v>6</v>
      </c>
    </row>
    <row r="5582" spans="1:12" x14ac:dyDescent="0.25">
      <c r="G5582" t="str">
        <f t="shared" si="488"/>
        <v>09/17/19</v>
      </c>
      <c r="H5582" t="str">
        <f t="shared" si="483"/>
        <v/>
      </c>
      <c r="I5582" s="60" t="str">
        <f t="shared" si="484"/>
        <v/>
      </c>
      <c r="J5582" t="str">
        <f t="shared" si="485"/>
        <v/>
      </c>
      <c r="K5582" s="60" t="str">
        <f t="shared" si="486"/>
        <v/>
      </c>
      <c r="L5582" t="str">
        <f t="shared" si="487"/>
        <v/>
      </c>
    </row>
    <row r="5583" spans="1:12" x14ac:dyDescent="0.25">
      <c r="A5583" t="s">
        <v>4583</v>
      </c>
      <c r="G5583" t="str">
        <f t="shared" si="488"/>
        <v>09/17/19</v>
      </c>
      <c r="H5583" t="str">
        <f t="shared" si="483"/>
        <v>Philadelphia Phillies</v>
      </c>
      <c r="I5583" s="60">
        <f t="shared" si="484"/>
        <v>5</v>
      </c>
      <c r="J5583" t="str">
        <f t="shared" si="485"/>
        <v>Atlanta Braves</v>
      </c>
      <c r="K5583" s="60">
        <f t="shared" si="486"/>
        <v>4</v>
      </c>
      <c r="L5583">
        <f t="shared" si="487"/>
        <v>1</v>
      </c>
    </row>
    <row r="5584" spans="1:12" x14ac:dyDescent="0.25">
      <c r="G5584" t="str">
        <f t="shared" si="488"/>
        <v>09/17/19</v>
      </c>
      <c r="H5584" t="str">
        <f t="shared" ref="H5584:H5647" si="489">IFERROR(LEFT(MID(A5584,1,SEARCH("@",A5584)-2),SEARCH("(",A5584)-2),"")</f>
        <v/>
      </c>
      <c r="I5584" s="60" t="str">
        <f t="shared" ref="I5584:I5647" si="490">IFERROR(VALUE(MID(A5584,SEARCH("(",A5584)+1,SEARCH(")",A5584)-SEARCH("(",A5584)-1)),"")</f>
        <v/>
      </c>
      <c r="J5584" t="str">
        <f t="shared" ref="J5584:J5647" si="491">IFERROR(MID(A5584,SEARCH("@",A5584)+2,SEARCH("(",A5584,SEARCH("@",A5584))-SEARCH("@",A5584)-3),"")</f>
        <v/>
      </c>
      <c r="K5584" s="60" t="str">
        <f t="shared" ref="K5584:K5647" si="492">IFERROR(VALUE(MID(A5584,SEARCH(J5584,A5584)+LEN(J5584)+2,(SEARCH(")",A5584,SEARCH("@",A5584))-SEARCH("(",A5584,SEARCH("@",A5584))-1))),"")</f>
        <v/>
      </c>
      <c r="L5584" t="str">
        <f t="shared" ref="L5584:L5647" si="493">IFERROR(I5584-K5584,"")</f>
        <v/>
      </c>
    </row>
    <row r="5585" spans="1:12" x14ac:dyDescent="0.25">
      <c r="A5585" t="s">
        <v>4584</v>
      </c>
      <c r="G5585" t="str">
        <f t="shared" si="488"/>
        <v>09/17/19</v>
      </c>
      <c r="H5585" t="str">
        <f t="shared" si="489"/>
        <v>Toronto Blue Jays</v>
      </c>
      <c r="I5585" s="60">
        <f t="shared" si="490"/>
        <v>8</v>
      </c>
      <c r="J5585" t="str">
        <f t="shared" si="491"/>
        <v>Baltimore Orioles</v>
      </c>
      <c r="K5585" s="60">
        <f t="shared" si="492"/>
        <v>5</v>
      </c>
      <c r="L5585">
        <f t="shared" si="493"/>
        <v>3</v>
      </c>
    </row>
    <row r="5586" spans="1:12" x14ac:dyDescent="0.25">
      <c r="G5586" t="str">
        <f t="shared" si="488"/>
        <v>09/17/19</v>
      </c>
      <c r="H5586" t="str">
        <f t="shared" si="489"/>
        <v/>
      </c>
      <c r="I5586" s="60" t="str">
        <f t="shared" si="490"/>
        <v/>
      </c>
      <c r="J5586" t="str">
        <f t="shared" si="491"/>
        <v/>
      </c>
      <c r="K5586" s="60" t="str">
        <f t="shared" si="492"/>
        <v/>
      </c>
      <c r="L5586" t="str">
        <f t="shared" si="493"/>
        <v/>
      </c>
    </row>
    <row r="5587" spans="1:12" x14ac:dyDescent="0.25">
      <c r="A5587" t="s">
        <v>4585</v>
      </c>
      <c r="G5587" t="str">
        <f t="shared" si="488"/>
        <v>09/17/19</v>
      </c>
      <c r="H5587" t="str">
        <f t="shared" si="489"/>
        <v>San Francisco Giants</v>
      </c>
      <c r="I5587" s="60">
        <f t="shared" si="490"/>
        <v>7</v>
      </c>
      <c r="J5587" t="str">
        <f t="shared" si="491"/>
        <v>Boston Red Sox</v>
      </c>
      <c r="K5587" s="60">
        <f t="shared" si="492"/>
        <v>6</v>
      </c>
      <c r="L5587">
        <f t="shared" si="493"/>
        <v>1</v>
      </c>
    </row>
    <row r="5588" spans="1:12" x14ac:dyDescent="0.25">
      <c r="G5588" t="str">
        <f t="shared" si="488"/>
        <v>09/17/19</v>
      </c>
      <c r="H5588" t="str">
        <f t="shared" si="489"/>
        <v/>
      </c>
      <c r="I5588" s="60" t="str">
        <f t="shared" si="490"/>
        <v/>
      </c>
      <c r="J5588" t="str">
        <f t="shared" si="491"/>
        <v/>
      </c>
      <c r="K5588" s="60" t="str">
        <f t="shared" si="492"/>
        <v/>
      </c>
      <c r="L5588" t="str">
        <f t="shared" si="493"/>
        <v/>
      </c>
    </row>
    <row r="5589" spans="1:12" x14ac:dyDescent="0.25">
      <c r="A5589" t="s">
        <v>4586</v>
      </c>
      <c r="G5589" t="str">
        <f t="shared" si="488"/>
        <v>09/17/19</v>
      </c>
      <c r="H5589" t="str">
        <f t="shared" si="489"/>
        <v>Cincinnati Reds</v>
      </c>
      <c r="I5589" s="60">
        <f t="shared" si="490"/>
        <v>4</v>
      </c>
      <c r="J5589" t="str">
        <f t="shared" si="491"/>
        <v>Chicago Cubs</v>
      </c>
      <c r="K5589" s="60">
        <f t="shared" si="492"/>
        <v>2</v>
      </c>
      <c r="L5589">
        <f t="shared" si="493"/>
        <v>2</v>
      </c>
    </row>
    <row r="5590" spans="1:12" x14ac:dyDescent="0.25">
      <c r="G5590" t="str">
        <f t="shared" si="488"/>
        <v>09/17/19</v>
      </c>
      <c r="H5590" t="str">
        <f t="shared" si="489"/>
        <v/>
      </c>
      <c r="I5590" s="60" t="str">
        <f t="shared" si="490"/>
        <v/>
      </c>
      <c r="J5590" t="str">
        <f t="shared" si="491"/>
        <v/>
      </c>
      <c r="K5590" s="60" t="str">
        <f t="shared" si="492"/>
        <v/>
      </c>
      <c r="L5590" t="str">
        <f t="shared" si="493"/>
        <v/>
      </c>
    </row>
    <row r="5591" spans="1:12" x14ac:dyDescent="0.25">
      <c r="A5591" t="s">
        <v>3253</v>
      </c>
      <c r="G5591" t="str">
        <f t="shared" si="488"/>
        <v>09/17/19</v>
      </c>
      <c r="H5591" t="str">
        <f t="shared" si="489"/>
        <v>Detroit Tigers</v>
      </c>
      <c r="I5591" s="60">
        <f t="shared" si="490"/>
        <v>2</v>
      </c>
      <c r="J5591" t="str">
        <f t="shared" si="491"/>
        <v>Cleveland Indians</v>
      </c>
      <c r="K5591" s="60">
        <f t="shared" si="492"/>
        <v>7</v>
      </c>
      <c r="L5591">
        <f t="shared" si="493"/>
        <v>-5</v>
      </c>
    </row>
    <row r="5592" spans="1:12" x14ac:dyDescent="0.25">
      <c r="G5592" t="str">
        <f t="shared" si="488"/>
        <v>09/17/19</v>
      </c>
      <c r="H5592" t="str">
        <f t="shared" si="489"/>
        <v/>
      </c>
      <c r="I5592" s="60" t="str">
        <f t="shared" si="490"/>
        <v/>
      </c>
      <c r="J5592" t="str">
        <f t="shared" si="491"/>
        <v/>
      </c>
      <c r="K5592" s="60" t="str">
        <f t="shared" si="492"/>
        <v/>
      </c>
      <c r="L5592" t="str">
        <f t="shared" si="493"/>
        <v/>
      </c>
    </row>
    <row r="5593" spans="1:12" x14ac:dyDescent="0.25">
      <c r="A5593" t="s">
        <v>4587</v>
      </c>
      <c r="G5593" t="str">
        <f t="shared" si="488"/>
        <v>09/17/19</v>
      </c>
      <c r="H5593" t="str">
        <f t="shared" si="489"/>
        <v>New York Mets</v>
      </c>
      <c r="I5593" s="60">
        <f t="shared" si="490"/>
        <v>6</v>
      </c>
      <c r="J5593" t="str">
        <f t="shared" si="491"/>
        <v>Colorado Rockies</v>
      </c>
      <c r="K5593" s="60">
        <f t="shared" si="492"/>
        <v>1</v>
      </c>
      <c r="L5593">
        <f t="shared" si="493"/>
        <v>5</v>
      </c>
    </row>
    <row r="5594" spans="1:12" x14ac:dyDescent="0.25">
      <c r="G5594" t="str">
        <f t="shared" si="488"/>
        <v>09/17/19</v>
      </c>
      <c r="H5594" t="str">
        <f t="shared" si="489"/>
        <v/>
      </c>
      <c r="I5594" s="60" t="str">
        <f t="shared" si="490"/>
        <v/>
      </c>
      <c r="J5594" t="str">
        <f t="shared" si="491"/>
        <v/>
      </c>
      <c r="K5594" s="60" t="str">
        <f t="shared" si="492"/>
        <v/>
      </c>
      <c r="L5594" t="str">
        <f t="shared" si="493"/>
        <v/>
      </c>
    </row>
    <row r="5595" spans="1:12" x14ac:dyDescent="0.25">
      <c r="A5595" t="s">
        <v>4588</v>
      </c>
      <c r="G5595" t="str">
        <f t="shared" si="488"/>
        <v>09/17/19</v>
      </c>
      <c r="H5595" t="str">
        <f t="shared" si="489"/>
        <v>Texas Rangers</v>
      </c>
      <c r="I5595" s="60">
        <f t="shared" si="490"/>
        <v>1</v>
      </c>
      <c r="J5595" t="str">
        <f t="shared" si="491"/>
        <v>Houston Astros</v>
      </c>
      <c r="K5595" s="60">
        <f t="shared" si="492"/>
        <v>4</v>
      </c>
      <c r="L5595">
        <f t="shared" si="493"/>
        <v>-3</v>
      </c>
    </row>
    <row r="5596" spans="1:12" x14ac:dyDescent="0.25">
      <c r="G5596" t="str">
        <f t="shared" si="488"/>
        <v>09/17/19</v>
      </c>
      <c r="H5596" t="str">
        <f t="shared" si="489"/>
        <v/>
      </c>
      <c r="I5596" s="60" t="str">
        <f t="shared" si="490"/>
        <v/>
      </c>
      <c r="J5596" t="str">
        <f t="shared" si="491"/>
        <v/>
      </c>
      <c r="K5596" s="60" t="str">
        <f t="shared" si="492"/>
        <v/>
      </c>
      <c r="L5596" t="str">
        <f t="shared" si="493"/>
        <v/>
      </c>
    </row>
    <row r="5597" spans="1:12" x14ac:dyDescent="0.25">
      <c r="A5597" t="s">
        <v>4589</v>
      </c>
      <c r="G5597" t="str">
        <f t="shared" si="488"/>
        <v>09/17/19</v>
      </c>
      <c r="H5597" t="str">
        <f t="shared" si="489"/>
        <v>Tampa Bay Rays</v>
      </c>
      <c r="I5597" s="60">
        <f t="shared" si="490"/>
        <v>5</v>
      </c>
      <c r="J5597" t="str">
        <f t="shared" si="491"/>
        <v>Los Angeles Dodgers</v>
      </c>
      <c r="K5597" s="60">
        <f t="shared" si="492"/>
        <v>7</v>
      </c>
      <c r="L5597">
        <f t="shared" si="493"/>
        <v>-2</v>
      </c>
    </row>
    <row r="5598" spans="1:12" x14ac:dyDescent="0.25">
      <c r="G5598" t="str">
        <f t="shared" si="488"/>
        <v>09/17/19</v>
      </c>
      <c r="H5598" t="str">
        <f t="shared" si="489"/>
        <v/>
      </c>
      <c r="I5598" s="60" t="str">
        <f t="shared" si="490"/>
        <v/>
      </c>
      <c r="J5598" t="str">
        <f t="shared" si="491"/>
        <v/>
      </c>
      <c r="K5598" s="60" t="str">
        <f t="shared" si="492"/>
        <v/>
      </c>
      <c r="L5598" t="str">
        <f t="shared" si="493"/>
        <v/>
      </c>
    </row>
    <row r="5599" spans="1:12" x14ac:dyDescent="0.25">
      <c r="A5599" t="s">
        <v>4590</v>
      </c>
      <c r="G5599" t="str">
        <f t="shared" si="488"/>
        <v>09/17/19</v>
      </c>
      <c r="H5599" t="str">
        <f t="shared" si="489"/>
        <v>San Diego Padres</v>
      </c>
      <c r="I5599" s="60">
        <f t="shared" si="490"/>
        <v>1</v>
      </c>
      <c r="J5599" t="str">
        <f t="shared" si="491"/>
        <v>Milwaukee Brewers</v>
      </c>
      <c r="K5599" s="60">
        <f t="shared" si="492"/>
        <v>3</v>
      </c>
      <c r="L5599">
        <f t="shared" si="493"/>
        <v>-2</v>
      </c>
    </row>
    <row r="5600" spans="1:12" x14ac:dyDescent="0.25">
      <c r="G5600" t="str">
        <f t="shared" si="488"/>
        <v>09/17/19</v>
      </c>
      <c r="H5600" t="str">
        <f t="shared" si="489"/>
        <v/>
      </c>
      <c r="I5600" s="60" t="str">
        <f t="shared" si="490"/>
        <v/>
      </c>
      <c r="J5600" t="str">
        <f t="shared" si="491"/>
        <v/>
      </c>
      <c r="K5600" s="60" t="str">
        <f t="shared" si="492"/>
        <v/>
      </c>
      <c r="L5600" t="str">
        <f t="shared" si="493"/>
        <v/>
      </c>
    </row>
    <row r="5601" spans="1:12" x14ac:dyDescent="0.25">
      <c r="A5601" t="s">
        <v>4591</v>
      </c>
      <c r="G5601" t="str">
        <f t="shared" si="488"/>
        <v>09/17/19</v>
      </c>
      <c r="H5601" t="str">
        <f t="shared" si="489"/>
        <v>Chicago White Sox</v>
      </c>
      <c r="I5601" s="60">
        <f t="shared" si="490"/>
        <v>8</v>
      </c>
      <c r="J5601" t="str">
        <f t="shared" si="491"/>
        <v>Minnesota Twins</v>
      </c>
      <c r="K5601" s="60">
        <f t="shared" si="492"/>
        <v>9</v>
      </c>
      <c r="L5601">
        <f t="shared" si="493"/>
        <v>-1</v>
      </c>
    </row>
    <row r="5602" spans="1:12" x14ac:dyDescent="0.25">
      <c r="G5602" t="str">
        <f t="shared" ref="G5602:G5665" si="494">IF(ISNUMBER(MATCH(IFERROR(LEFT(A5602,SEARCH(",",A5602)-1),""),$G$220:$M$220,0)),TEXT(MID(A5602,SEARCH(",",A5602)+2,LEN(A5602)),"mm/dd/yy"),G5601)</f>
        <v>09/17/19</v>
      </c>
      <c r="H5602" t="str">
        <f t="shared" si="489"/>
        <v/>
      </c>
      <c r="I5602" s="60" t="str">
        <f t="shared" si="490"/>
        <v/>
      </c>
      <c r="J5602" t="str">
        <f t="shared" si="491"/>
        <v/>
      </c>
      <c r="K5602" s="60" t="str">
        <f t="shared" si="492"/>
        <v/>
      </c>
      <c r="L5602" t="str">
        <f t="shared" si="493"/>
        <v/>
      </c>
    </row>
    <row r="5603" spans="1:12" x14ac:dyDescent="0.25">
      <c r="A5603" t="s">
        <v>4592</v>
      </c>
      <c r="G5603" t="str">
        <f t="shared" si="494"/>
        <v>09/17/19</v>
      </c>
      <c r="H5603" t="str">
        <f t="shared" si="489"/>
        <v>Los Angeles Angels</v>
      </c>
      <c r="I5603" s="60">
        <f t="shared" si="490"/>
        <v>0</v>
      </c>
      <c r="J5603" t="str">
        <f t="shared" si="491"/>
        <v>New York Yankees</v>
      </c>
      <c r="K5603" s="60">
        <f t="shared" si="492"/>
        <v>8</v>
      </c>
      <c r="L5603">
        <f t="shared" si="493"/>
        <v>-8</v>
      </c>
    </row>
    <row r="5604" spans="1:12" x14ac:dyDescent="0.25">
      <c r="G5604" t="str">
        <f t="shared" si="494"/>
        <v>09/17/19</v>
      </c>
      <c r="H5604" t="str">
        <f t="shared" si="489"/>
        <v/>
      </c>
      <c r="I5604" s="60" t="str">
        <f t="shared" si="490"/>
        <v/>
      </c>
      <c r="J5604" t="str">
        <f t="shared" si="491"/>
        <v/>
      </c>
      <c r="K5604" s="60" t="str">
        <f t="shared" si="492"/>
        <v/>
      </c>
      <c r="L5604" t="str">
        <f t="shared" si="493"/>
        <v/>
      </c>
    </row>
    <row r="5605" spans="1:12" x14ac:dyDescent="0.25">
      <c r="A5605" t="s">
        <v>4593</v>
      </c>
      <c r="G5605" t="str">
        <f t="shared" si="494"/>
        <v>09/17/19</v>
      </c>
      <c r="H5605" t="str">
        <f t="shared" si="489"/>
        <v>Kansas City Royals</v>
      </c>
      <c r="I5605" s="60">
        <f t="shared" si="490"/>
        <v>1</v>
      </c>
      <c r="J5605" t="str">
        <f t="shared" si="491"/>
        <v>Oakland Athletics</v>
      </c>
      <c r="K5605" s="60">
        <f t="shared" si="492"/>
        <v>2</v>
      </c>
      <c r="L5605">
        <f t="shared" si="493"/>
        <v>-1</v>
      </c>
    </row>
    <row r="5606" spans="1:12" x14ac:dyDescent="0.25">
      <c r="G5606" t="str">
        <f t="shared" si="494"/>
        <v>09/17/19</v>
      </c>
      <c r="H5606" t="str">
        <f t="shared" si="489"/>
        <v/>
      </c>
      <c r="I5606" s="60" t="str">
        <f t="shared" si="490"/>
        <v/>
      </c>
      <c r="J5606" t="str">
        <f t="shared" si="491"/>
        <v/>
      </c>
      <c r="K5606" s="60" t="str">
        <f t="shared" si="492"/>
        <v/>
      </c>
      <c r="L5606" t="str">
        <f t="shared" si="493"/>
        <v/>
      </c>
    </row>
    <row r="5607" spans="1:12" x14ac:dyDescent="0.25">
      <c r="A5607" t="s">
        <v>4594</v>
      </c>
      <c r="G5607" t="str">
        <f t="shared" si="494"/>
        <v>09/17/19</v>
      </c>
      <c r="H5607" t="str">
        <f t="shared" si="489"/>
        <v>Seattle Mariners</v>
      </c>
      <c r="I5607" s="60">
        <f t="shared" si="490"/>
        <v>6</v>
      </c>
      <c r="J5607" t="str">
        <f t="shared" si="491"/>
        <v>Pittsburgh Pirates</v>
      </c>
      <c r="K5607" s="60">
        <f t="shared" si="492"/>
        <v>0</v>
      </c>
      <c r="L5607">
        <f t="shared" si="493"/>
        <v>6</v>
      </c>
    </row>
    <row r="5608" spans="1:12" x14ac:dyDescent="0.25">
      <c r="G5608" t="str">
        <f t="shared" si="494"/>
        <v>09/17/19</v>
      </c>
      <c r="H5608" t="str">
        <f t="shared" si="489"/>
        <v/>
      </c>
      <c r="I5608" s="60" t="str">
        <f t="shared" si="490"/>
        <v/>
      </c>
      <c r="J5608" t="str">
        <f t="shared" si="491"/>
        <v/>
      </c>
      <c r="K5608" s="60" t="str">
        <f t="shared" si="492"/>
        <v/>
      </c>
      <c r="L5608" t="str">
        <f t="shared" si="493"/>
        <v/>
      </c>
    </row>
    <row r="5609" spans="1:12" x14ac:dyDescent="0.25">
      <c r="A5609" t="s">
        <v>4595</v>
      </c>
      <c r="G5609" t="str">
        <f t="shared" si="494"/>
        <v>09/17/19</v>
      </c>
      <c r="H5609" t="str">
        <f t="shared" si="489"/>
        <v>Washington Nationals</v>
      </c>
      <c r="I5609" s="60">
        <f t="shared" si="490"/>
        <v>6</v>
      </c>
      <c r="J5609" t="str">
        <f t="shared" si="491"/>
        <v>St. Louis Cardinals</v>
      </c>
      <c r="K5609" s="60">
        <f t="shared" si="492"/>
        <v>2</v>
      </c>
      <c r="L5609">
        <f t="shared" si="493"/>
        <v>4</v>
      </c>
    </row>
    <row r="5610" spans="1:12" x14ac:dyDescent="0.25">
      <c r="G5610" t="str">
        <f t="shared" si="494"/>
        <v>09/17/19</v>
      </c>
      <c r="H5610" t="str">
        <f t="shared" si="489"/>
        <v/>
      </c>
      <c r="I5610" s="60" t="str">
        <f t="shared" si="490"/>
        <v/>
      </c>
      <c r="J5610" t="str">
        <f t="shared" si="491"/>
        <v/>
      </c>
      <c r="K5610" s="60" t="str">
        <f t="shared" si="492"/>
        <v/>
      </c>
      <c r="L5610" t="str">
        <f t="shared" si="493"/>
        <v/>
      </c>
    </row>
    <row r="5611" spans="1:12" x14ac:dyDescent="0.25">
      <c r="A5611" t="s">
        <v>4596</v>
      </c>
      <c r="G5611" t="str">
        <f t="shared" si="494"/>
        <v>09/17/19</v>
      </c>
      <c r="H5611" t="str">
        <f t="shared" si="489"/>
        <v/>
      </c>
      <c r="I5611" s="60" t="str">
        <f t="shared" si="490"/>
        <v/>
      </c>
      <c r="J5611" t="str">
        <f t="shared" si="491"/>
        <v/>
      </c>
      <c r="K5611" s="60" t="str">
        <f t="shared" si="492"/>
        <v/>
      </c>
      <c r="L5611" t="str">
        <f t="shared" si="493"/>
        <v/>
      </c>
    </row>
    <row r="5612" spans="1:12" x14ac:dyDescent="0.25">
      <c r="G5612" t="str">
        <f t="shared" si="494"/>
        <v>09/17/19</v>
      </c>
      <c r="H5612" t="str">
        <f t="shared" si="489"/>
        <v/>
      </c>
      <c r="I5612" s="60" t="str">
        <f t="shared" si="490"/>
        <v/>
      </c>
      <c r="J5612" t="str">
        <f t="shared" si="491"/>
        <v/>
      </c>
      <c r="K5612" s="60" t="str">
        <f t="shared" si="492"/>
        <v/>
      </c>
      <c r="L5612" t="str">
        <f t="shared" si="493"/>
        <v/>
      </c>
    </row>
    <row r="5613" spans="1:12" x14ac:dyDescent="0.25">
      <c r="A5613" t="s">
        <v>3314</v>
      </c>
      <c r="G5613" t="str">
        <f t="shared" si="494"/>
        <v>09/18/19</v>
      </c>
      <c r="H5613" t="str">
        <f t="shared" si="489"/>
        <v/>
      </c>
      <c r="I5613" s="60" t="str">
        <f t="shared" si="490"/>
        <v/>
      </c>
      <c r="J5613" t="str">
        <f t="shared" si="491"/>
        <v/>
      </c>
      <c r="K5613" s="60" t="str">
        <f t="shared" si="492"/>
        <v/>
      </c>
      <c r="L5613" t="str">
        <f t="shared" si="493"/>
        <v/>
      </c>
    </row>
    <row r="5614" spans="1:12" x14ac:dyDescent="0.25">
      <c r="G5614" t="str">
        <f t="shared" si="494"/>
        <v>09/18/19</v>
      </c>
      <c r="H5614" t="str">
        <f t="shared" si="489"/>
        <v/>
      </c>
      <c r="I5614" s="60" t="str">
        <f t="shared" si="490"/>
        <v/>
      </c>
      <c r="J5614" t="str">
        <f t="shared" si="491"/>
        <v/>
      </c>
      <c r="K5614" s="60" t="str">
        <f t="shared" si="492"/>
        <v/>
      </c>
      <c r="L5614" t="str">
        <f t="shared" si="493"/>
        <v/>
      </c>
    </row>
    <row r="5615" spans="1:12" x14ac:dyDescent="0.25">
      <c r="A5615" t="s">
        <v>4597</v>
      </c>
      <c r="G5615" t="str">
        <f t="shared" si="494"/>
        <v>09/18/19</v>
      </c>
      <c r="H5615" t="str">
        <f t="shared" si="489"/>
        <v>Miami Marlins</v>
      </c>
      <c r="I5615" s="60">
        <f t="shared" si="490"/>
        <v>4</v>
      </c>
      <c r="J5615" t="str">
        <f t="shared" si="491"/>
        <v>Arizona D'Backs</v>
      </c>
      <c r="K5615" s="60">
        <f t="shared" si="492"/>
        <v>5</v>
      </c>
      <c r="L5615">
        <f t="shared" si="493"/>
        <v>-1</v>
      </c>
    </row>
    <row r="5616" spans="1:12" x14ac:dyDescent="0.25">
      <c r="G5616" t="str">
        <f t="shared" si="494"/>
        <v>09/18/19</v>
      </c>
      <c r="H5616" t="str">
        <f t="shared" si="489"/>
        <v/>
      </c>
      <c r="I5616" s="60" t="str">
        <f t="shared" si="490"/>
        <v/>
      </c>
      <c r="J5616" t="str">
        <f t="shared" si="491"/>
        <v/>
      </c>
      <c r="K5616" s="60" t="str">
        <f t="shared" si="492"/>
        <v/>
      </c>
      <c r="L5616" t="str">
        <f t="shared" si="493"/>
        <v/>
      </c>
    </row>
    <row r="5617" spans="1:12" x14ac:dyDescent="0.25">
      <c r="A5617" t="s">
        <v>4598</v>
      </c>
      <c r="G5617" t="str">
        <f t="shared" si="494"/>
        <v>09/18/19</v>
      </c>
      <c r="H5617" t="str">
        <f t="shared" si="489"/>
        <v>Philadelphia Phillies</v>
      </c>
      <c r="I5617" s="60">
        <f t="shared" si="490"/>
        <v>4</v>
      </c>
      <c r="J5617" t="str">
        <f t="shared" si="491"/>
        <v>Atlanta Braves</v>
      </c>
      <c r="K5617" s="60">
        <f t="shared" si="492"/>
        <v>1</v>
      </c>
      <c r="L5617">
        <f t="shared" si="493"/>
        <v>3</v>
      </c>
    </row>
    <row r="5618" spans="1:12" x14ac:dyDescent="0.25">
      <c r="G5618" t="str">
        <f t="shared" si="494"/>
        <v>09/18/19</v>
      </c>
      <c r="H5618" t="str">
        <f t="shared" si="489"/>
        <v/>
      </c>
      <c r="I5618" s="60" t="str">
        <f t="shared" si="490"/>
        <v/>
      </c>
      <c r="J5618" t="str">
        <f t="shared" si="491"/>
        <v/>
      </c>
      <c r="K5618" s="60" t="str">
        <f t="shared" si="492"/>
        <v/>
      </c>
      <c r="L5618" t="str">
        <f t="shared" si="493"/>
        <v/>
      </c>
    </row>
    <row r="5619" spans="1:12" x14ac:dyDescent="0.25">
      <c r="A5619" t="s">
        <v>4599</v>
      </c>
      <c r="G5619" t="str">
        <f t="shared" si="494"/>
        <v>09/18/19</v>
      </c>
      <c r="H5619" t="str">
        <f t="shared" si="489"/>
        <v>Toronto Blue Jays</v>
      </c>
      <c r="I5619" s="60">
        <f t="shared" si="490"/>
        <v>11</v>
      </c>
      <c r="J5619" t="str">
        <f t="shared" si="491"/>
        <v>Baltimore Orioles</v>
      </c>
      <c r="K5619" s="60">
        <f t="shared" si="492"/>
        <v>10</v>
      </c>
      <c r="L5619">
        <f t="shared" si="493"/>
        <v>1</v>
      </c>
    </row>
    <row r="5620" spans="1:12" x14ac:dyDescent="0.25">
      <c r="G5620" t="str">
        <f t="shared" si="494"/>
        <v>09/18/19</v>
      </c>
      <c r="H5620" t="str">
        <f t="shared" si="489"/>
        <v/>
      </c>
      <c r="I5620" s="60" t="str">
        <f t="shared" si="490"/>
        <v/>
      </c>
      <c r="J5620" t="str">
        <f t="shared" si="491"/>
        <v/>
      </c>
      <c r="K5620" s="60" t="str">
        <f t="shared" si="492"/>
        <v/>
      </c>
      <c r="L5620" t="str">
        <f t="shared" si="493"/>
        <v/>
      </c>
    </row>
    <row r="5621" spans="1:12" x14ac:dyDescent="0.25">
      <c r="A5621" t="s">
        <v>4600</v>
      </c>
      <c r="G5621" t="str">
        <f t="shared" si="494"/>
        <v>09/18/19</v>
      </c>
      <c r="H5621" t="str">
        <f t="shared" si="489"/>
        <v>San Francisco Giants</v>
      </c>
      <c r="I5621" s="60">
        <f t="shared" si="490"/>
        <v>11</v>
      </c>
      <c r="J5621" t="str">
        <f t="shared" si="491"/>
        <v>Boston Red Sox</v>
      </c>
      <c r="K5621" s="60">
        <f t="shared" si="492"/>
        <v>3</v>
      </c>
      <c r="L5621">
        <f t="shared" si="493"/>
        <v>8</v>
      </c>
    </row>
    <row r="5622" spans="1:12" x14ac:dyDescent="0.25">
      <c r="G5622" t="str">
        <f t="shared" si="494"/>
        <v>09/18/19</v>
      </c>
      <c r="H5622" t="str">
        <f t="shared" si="489"/>
        <v/>
      </c>
      <c r="I5622" s="60" t="str">
        <f t="shared" si="490"/>
        <v/>
      </c>
      <c r="J5622" t="str">
        <f t="shared" si="491"/>
        <v/>
      </c>
      <c r="K5622" s="60" t="str">
        <f t="shared" si="492"/>
        <v/>
      </c>
      <c r="L5622" t="str">
        <f t="shared" si="493"/>
        <v/>
      </c>
    </row>
    <row r="5623" spans="1:12" x14ac:dyDescent="0.25">
      <c r="A5623" t="s">
        <v>4601</v>
      </c>
      <c r="G5623" t="str">
        <f t="shared" si="494"/>
        <v>09/18/19</v>
      </c>
      <c r="H5623" t="str">
        <f t="shared" si="489"/>
        <v>Cincinnati Reds</v>
      </c>
      <c r="I5623" s="60">
        <f t="shared" si="490"/>
        <v>3</v>
      </c>
      <c r="J5623" t="str">
        <f t="shared" si="491"/>
        <v>Chicago Cubs</v>
      </c>
      <c r="K5623" s="60">
        <f t="shared" si="492"/>
        <v>2</v>
      </c>
      <c r="L5623">
        <f t="shared" si="493"/>
        <v>1</v>
      </c>
    </row>
    <row r="5624" spans="1:12" x14ac:dyDescent="0.25">
      <c r="G5624" t="str">
        <f t="shared" si="494"/>
        <v>09/18/19</v>
      </c>
      <c r="H5624" t="str">
        <f t="shared" si="489"/>
        <v/>
      </c>
      <c r="I5624" s="60" t="str">
        <f t="shared" si="490"/>
        <v/>
      </c>
      <c r="J5624" t="str">
        <f t="shared" si="491"/>
        <v/>
      </c>
      <c r="K5624" s="60" t="str">
        <f t="shared" si="492"/>
        <v/>
      </c>
      <c r="L5624" t="str">
        <f t="shared" si="493"/>
        <v/>
      </c>
    </row>
    <row r="5625" spans="1:12" x14ac:dyDescent="0.25">
      <c r="A5625" t="s">
        <v>4602</v>
      </c>
      <c r="G5625" t="str">
        <f t="shared" si="494"/>
        <v>09/18/19</v>
      </c>
      <c r="H5625" t="str">
        <f t="shared" si="489"/>
        <v>Detroit Tigers</v>
      </c>
      <c r="I5625" s="60">
        <f t="shared" si="490"/>
        <v>1</v>
      </c>
      <c r="J5625" t="str">
        <f t="shared" si="491"/>
        <v>Cleveland Indians</v>
      </c>
      <c r="K5625" s="60">
        <f t="shared" si="492"/>
        <v>2</v>
      </c>
      <c r="L5625">
        <f t="shared" si="493"/>
        <v>-1</v>
      </c>
    </row>
    <row r="5626" spans="1:12" x14ac:dyDescent="0.25">
      <c r="G5626" t="str">
        <f t="shared" si="494"/>
        <v>09/18/19</v>
      </c>
      <c r="H5626" t="str">
        <f t="shared" si="489"/>
        <v/>
      </c>
      <c r="I5626" s="60" t="str">
        <f t="shared" si="490"/>
        <v/>
      </c>
      <c r="J5626" t="str">
        <f t="shared" si="491"/>
        <v/>
      </c>
      <c r="K5626" s="60" t="str">
        <f t="shared" si="492"/>
        <v/>
      </c>
      <c r="L5626" t="str">
        <f t="shared" si="493"/>
        <v/>
      </c>
    </row>
    <row r="5627" spans="1:12" x14ac:dyDescent="0.25">
      <c r="A5627" t="s">
        <v>4603</v>
      </c>
      <c r="G5627" t="str">
        <f t="shared" si="494"/>
        <v>09/18/19</v>
      </c>
      <c r="H5627" t="str">
        <f t="shared" si="489"/>
        <v>New York Mets</v>
      </c>
      <c r="I5627" s="60">
        <f t="shared" si="490"/>
        <v>7</v>
      </c>
      <c r="J5627" t="str">
        <f t="shared" si="491"/>
        <v>Colorado Rockies</v>
      </c>
      <c r="K5627" s="60">
        <f t="shared" si="492"/>
        <v>4</v>
      </c>
      <c r="L5627">
        <f t="shared" si="493"/>
        <v>3</v>
      </c>
    </row>
    <row r="5628" spans="1:12" x14ac:dyDescent="0.25">
      <c r="G5628" t="str">
        <f t="shared" si="494"/>
        <v>09/18/19</v>
      </c>
      <c r="H5628" t="str">
        <f t="shared" si="489"/>
        <v/>
      </c>
      <c r="I5628" s="60" t="str">
        <f t="shared" si="490"/>
        <v/>
      </c>
      <c r="J5628" t="str">
        <f t="shared" si="491"/>
        <v/>
      </c>
      <c r="K5628" s="60" t="str">
        <f t="shared" si="492"/>
        <v/>
      </c>
      <c r="L5628" t="str">
        <f t="shared" si="493"/>
        <v/>
      </c>
    </row>
    <row r="5629" spans="1:12" x14ac:dyDescent="0.25">
      <c r="A5629" t="s">
        <v>4604</v>
      </c>
      <c r="G5629" t="str">
        <f t="shared" si="494"/>
        <v>09/18/19</v>
      </c>
      <c r="H5629" t="str">
        <f t="shared" si="489"/>
        <v>Texas Rangers</v>
      </c>
      <c r="I5629" s="60">
        <f t="shared" si="490"/>
        <v>2</v>
      </c>
      <c r="J5629" t="str">
        <f t="shared" si="491"/>
        <v>Houston Astros</v>
      </c>
      <c r="K5629" s="60">
        <f t="shared" si="492"/>
        <v>3</v>
      </c>
      <c r="L5629">
        <f t="shared" si="493"/>
        <v>-1</v>
      </c>
    </row>
    <row r="5630" spans="1:12" x14ac:dyDescent="0.25">
      <c r="G5630" t="str">
        <f t="shared" si="494"/>
        <v>09/18/19</v>
      </c>
      <c r="H5630" t="str">
        <f t="shared" si="489"/>
        <v/>
      </c>
      <c r="I5630" s="60" t="str">
        <f t="shared" si="490"/>
        <v/>
      </c>
      <c r="J5630" t="str">
        <f t="shared" si="491"/>
        <v/>
      </c>
      <c r="K5630" s="60" t="str">
        <f t="shared" si="492"/>
        <v/>
      </c>
      <c r="L5630" t="str">
        <f t="shared" si="493"/>
        <v/>
      </c>
    </row>
    <row r="5631" spans="1:12" x14ac:dyDescent="0.25">
      <c r="A5631" t="s">
        <v>4605</v>
      </c>
      <c r="G5631" t="str">
        <f t="shared" si="494"/>
        <v>09/18/19</v>
      </c>
      <c r="H5631" t="str">
        <f t="shared" si="489"/>
        <v>Tampa Bay Rays</v>
      </c>
      <c r="I5631" s="60">
        <f t="shared" si="490"/>
        <v>8</v>
      </c>
      <c r="J5631" t="str">
        <f t="shared" si="491"/>
        <v>Los Angeles Dodgers</v>
      </c>
      <c r="K5631" s="60">
        <f t="shared" si="492"/>
        <v>7</v>
      </c>
      <c r="L5631">
        <f t="shared" si="493"/>
        <v>1</v>
      </c>
    </row>
    <row r="5632" spans="1:12" x14ac:dyDescent="0.25">
      <c r="G5632" t="str">
        <f t="shared" si="494"/>
        <v>09/18/19</v>
      </c>
      <c r="H5632" t="str">
        <f t="shared" si="489"/>
        <v/>
      </c>
      <c r="I5632" s="60" t="str">
        <f t="shared" si="490"/>
        <v/>
      </c>
      <c r="J5632" t="str">
        <f t="shared" si="491"/>
        <v/>
      </c>
      <c r="K5632" s="60" t="str">
        <f t="shared" si="492"/>
        <v/>
      </c>
      <c r="L5632" t="str">
        <f t="shared" si="493"/>
        <v/>
      </c>
    </row>
    <row r="5633" spans="1:12" x14ac:dyDescent="0.25">
      <c r="A5633" t="s">
        <v>4606</v>
      </c>
      <c r="G5633" t="str">
        <f t="shared" si="494"/>
        <v>09/18/19</v>
      </c>
      <c r="H5633" t="str">
        <f t="shared" si="489"/>
        <v>San Diego Padres</v>
      </c>
      <c r="I5633" s="60">
        <f t="shared" si="490"/>
        <v>2</v>
      </c>
      <c r="J5633" t="str">
        <f t="shared" si="491"/>
        <v>Milwaukee Brewers</v>
      </c>
      <c r="K5633" s="60">
        <f t="shared" si="492"/>
        <v>1</v>
      </c>
      <c r="L5633">
        <f t="shared" si="493"/>
        <v>1</v>
      </c>
    </row>
    <row r="5634" spans="1:12" x14ac:dyDescent="0.25">
      <c r="G5634" t="str">
        <f t="shared" si="494"/>
        <v>09/18/19</v>
      </c>
      <c r="H5634" t="str">
        <f t="shared" si="489"/>
        <v/>
      </c>
      <c r="I5634" s="60" t="str">
        <f t="shared" si="490"/>
        <v/>
      </c>
      <c r="J5634" t="str">
        <f t="shared" si="491"/>
        <v/>
      </c>
      <c r="K5634" s="60" t="str">
        <f t="shared" si="492"/>
        <v/>
      </c>
      <c r="L5634" t="str">
        <f t="shared" si="493"/>
        <v/>
      </c>
    </row>
    <row r="5635" spans="1:12" x14ac:dyDescent="0.25">
      <c r="A5635" t="s">
        <v>4607</v>
      </c>
      <c r="G5635" t="str">
        <f t="shared" si="494"/>
        <v>09/18/19</v>
      </c>
      <c r="H5635" t="str">
        <f t="shared" si="489"/>
        <v>Chicago White Sox</v>
      </c>
      <c r="I5635" s="60">
        <f t="shared" si="490"/>
        <v>3</v>
      </c>
      <c r="J5635" t="str">
        <f t="shared" si="491"/>
        <v>Minnesota Twins</v>
      </c>
      <c r="K5635" s="60">
        <f t="shared" si="492"/>
        <v>1</v>
      </c>
      <c r="L5635">
        <f t="shared" si="493"/>
        <v>2</v>
      </c>
    </row>
    <row r="5636" spans="1:12" x14ac:dyDescent="0.25">
      <c r="G5636" t="str">
        <f t="shared" si="494"/>
        <v>09/18/19</v>
      </c>
      <c r="H5636" t="str">
        <f t="shared" si="489"/>
        <v/>
      </c>
      <c r="I5636" s="60" t="str">
        <f t="shared" si="490"/>
        <v/>
      </c>
      <c r="J5636" t="str">
        <f t="shared" si="491"/>
        <v/>
      </c>
      <c r="K5636" s="60" t="str">
        <f t="shared" si="492"/>
        <v/>
      </c>
      <c r="L5636" t="str">
        <f t="shared" si="493"/>
        <v/>
      </c>
    </row>
    <row r="5637" spans="1:12" x14ac:dyDescent="0.25">
      <c r="A5637" t="s">
        <v>4608</v>
      </c>
      <c r="G5637" t="str">
        <f t="shared" si="494"/>
        <v>09/18/19</v>
      </c>
      <c r="H5637" t="str">
        <f t="shared" si="489"/>
        <v>Los Angeles Angels</v>
      </c>
      <c r="I5637" s="60">
        <f t="shared" si="490"/>
        <v>3</v>
      </c>
      <c r="J5637" t="str">
        <f t="shared" si="491"/>
        <v>New York Yankees</v>
      </c>
      <c r="K5637" s="60">
        <f t="shared" si="492"/>
        <v>2</v>
      </c>
      <c r="L5637">
        <f t="shared" si="493"/>
        <v>1</v>
      </c>
    </row>
    <row r="5638" spans="1:12" x14ac:dyDescent="0.25">
      <c r="G5638" t="str">
        <f t="shared" si="494"/>
        <v>09/18/19</v>
      </c>
      <c r="H5638" t="str">
        <f t="shared" si="489"/>
        <v/>
      </c>
      <c r="I5638" s="60" t="str">
        <f t="shared" si="490"/>
        <v/>
      </c>
      <c r="J5638" t="str">
        <f t="shared" si="491"/>
        <v/>
      </c>
      <c r="K5638" s="60" t="str">
        <f t="shared" si="492"/>
        <v/>
      </c>
      <c r="L5638" t="str">
        <f t="shared" si="493"/>
        <v/>
      </c>
    </row>
    <row r="5639" spans="1:12" x14ac:dyDescent="0.25">
      <c r="A5639" t="s">
        <v>4609</v>
      </c>
      <c r="G5639" t="str">
        <f t="shared" si="494"/>
        <v>09/18/19</v>
      </c>
      <c r="H5639" t="str">
        <f t="shared" si="489"/>
        <v>Kansas City Royals</v>
      </c>
      <c r="I5639" s="60">
        <f t="shared" si="490"/>
        <v>0</v>
      </c>
      <c r="J5639" t="str">
        <f t="shared" si="491"/>
        <v>Oakland Athletics</v>
      </c>
      <c r="K5639" s="60">
        <f t="shared" si="492"/>
        <v>1</v>
      </c>
      <c r="L5639">
        <f t="shared" si="493"/>
        <v>-1</v>
      </c>
    </row>
    <row r="5640" spans="1:12" x14ac:dyDescent="0.25">
      <c r="G5640" t="str">
        <f t="shared" si="494"/>
        <v>09/18/19</v>
      </c>
      <c r="H5640" t="str">
        <f t="shared" si="489"/>
        <v/>
      </c>
      <c r="I5640" s="60" t="str">
        <f t="shared" si="490"/>
        <v/>
      </c>
      <c r="J5640" t="str">
        <f t="shared" si="491"/>
        <v/>
      </c>
      <c r="K5640" s="60" t="str">
        <f t="shared" si="492"/>
        <v/>
      </c>
      <c r="L5640" t="str">
        <f t="shared" si="493"/>
        <v/>
      </c>
    </row>
    <row r="5641" spans="1:12" x14ac:dyDescent="0.25">
      <c r="A5641" t="s">
        <v>4610</v>
      </c>
      <c r="G5641" t="str">
        <f t="shared" si="494"/>
        <v>09/18/19</v>
      </c>
      <c r="H5641" t="str">
        <f t="shared" si="489"/>
        <v>Seattle Mariners</v>
      </c>
      <c r="I5641" s="60">
        <f t="shared" si="490"/>
        <v>4</v>
      </c>
      <c r="J5641" t="str">
        <f t="shared" si="491"/>
        <v>Pittsburgh Pirates</v>
      </c>
      <c r="K5641" s="60">
        <f t="shared" si="492"/>
        <v>1</v>
      </c>
      <c r="L5641">
        <f t="shared" si="493"/>
        <v>3</v>
      </c>
    </row>
    <row r="5642" spans="1:12" x14ac:dyDescent="0.25">
      <c r="G5642" t="str">
        <f t="shared" si="494"/>
        <v>09/18/19</v>
      </c>
      <c r="H5642" t="str">
        <f t="shared" si="489"/>
        <v/>
      </c>
      <c r="I5642" s="60" t="str">
        <f t="shared" si="490"/>
        <v/>
      </c>
      <c r="J5642" t="str">
        <f t="shared" si="491"/>
        <v/>
      </c>
      <c r="K5642" s="60" t="str">
        <f t="shared" si="492"/>
        <v/>
      </c>
      <c r="L5642" t="str">
        <f t="shared" si="493"/>
        <v/>
      </c>
    </row>
    <row r="5643" spans="1:12" x14ac:dyDescent="0.25">
      <c r="A5643" t="s">
        <v>4611</v>
      </c>
      <c r="G5643" t="str">
        <f t="shared" si="494"/>
        <v>09/18/19</v>
      </c>
      <c r="H5643" t="str">
        <f t="shared" si="489"/>
        <v>Washington Nationals</v>
      </c>
      <c r="I5643" s="60">
        <f t="shared" si="490"/>
        <v>1</v>
      </c>
      <c r="J5643" t="str">
        <f t="shared" si="491"/>
        <v>St. Louis Cardinals</v>
      </c>
      <c r="K5643" s="60">
        <f t="shared" si="492"/>
        <v>5</v>
      </c>
      <c r="L5643">
        <f t="shared" si="493"/>
        <v>-4</v>
      </c>
    </row>
    <row r="5644" spans="1:12" x14ac:dyDescent="0.25">
      <c r="G5644" t="str">
        <f t="shared" si="494"/>
        <v>09/18/19</v>
      </c>
      <c r="H5644" t="str">
        <f t="shared" si="489"/>
        <v/>
      </c>
      <c r="I5644" s="60" t="str">
        <f t="shared" si="490"/>
        <v/>
      </c>
      <c r="J5644" t="str">
        <f t="shared" si="491"/>
        <v/>
      </c>
      <c r="K5644" s="60" t="str">
        <f t="shared" si="492"/>
        <v/>
      </c>
      <c r="L5644" t="str">
        <f t="shared" si="493"/>
        <v/>
      </c>
    </row>
    <row r="5645" spans="1:12" x14ac:dyDescent="0.25">
      <c r="A5645" t="s">
        <v>4612</v>
      </c>
      <c r="G5645" t="str">
        <f t="shared" si="494"/>
        <v>09/18/19</v>
      </c>
      <c r="H5645" t="str">
        <f t="shared" si="489"/>
        <v/>
      </c>
      <c r="I5645" s="60" t="str">
        <f t="shared" si="490"/>
        <v/>
      </c>
      <c r="J5645" t="str">
        <f t="shared" si="491"/>
        <v/>
      </c>
      <c r="K5645" s="60" t="str">
        <f t="shared" si="492"/>
        <v/>
      </c>
      <c r="L5645" t="str">
        <f t="shared" si="493"/>
        <v/>
      </c>
    </row>
    <row r="5646" spans="1:12" x14ac:dyDescent="0.25">
      <c r="G5646" t="str">
        <f t="shared" si="494"/>
        <v>09/18/19</v>
      </c>
      <c r="H5646" t="str">
        <f t="shared" si="489"/>
        <v/>
      </c>
      <c r="I5646" s="60" t="str">
        <f t="shared" si="490"/>
        <v/>
      </c>
      <c r="J5646" t="str">
        <f t="shared" si="491"/>
        <v/>
      </c>
      <c r="K5646" s="60" t="str">
        <f t="shared" si="492"/>
        <v/>
      </c>
      <c r="L5646" t="str">
        <f t="shared" si="493"/>
        <v/>
      </c>
    </row>
    <row r="5647" spans="1:12" x14ac:dyDescent="0.25">
      <c r="A5647" t="s">
        <v>3315</v>
      </c>
      <c r="G5647" t="str">
        <f t="shared" si="494"/>
        <v>09/19/19</v>
      </c>
      <c r="H5647" t="str">
        <f t="shared" si="489"/>
        <v/>
      </c>
      <c r="I5647" s="60" t="str">
        <f t="shared" si="490"/>
        <v/>
      </c>
      <c r="J5647" t="str">
        <f t="shared" si="491"/>
        <v/>
      </c>
      <c r="K5647" s="60" t="str">
        <f t="shared" si="492"/>
        <v/>
      </c>
      <c r="L5647" t="str">
        <f t="shared" si="493"/>
        <v/>
      </c>
    </row>
    <row r="5648" spans="1:12" x14ac:dyDescent="0.25">
      <c r="G5648" t="str">
        <f t="shared" si="494"/>
        <v>09/19/19</v>
      </c>
      <c r="H5648" t="str">
        <f t="shared" ref="H5648:H5711" si="495">IFERROR(LEFT(MID(A5648,1,SEARCH("@",A5648)-2),SEARCH("(",A5648)-2),"")</f>
        <v/>
      </c>
      <c r="I5648" s="60" t="str">
        <f t="shared" ref="I5648:I5711" si="496">IFERROR(VALUE(MID(A5648,SEARCH("(",A5648)+1,SEARCH(")",A5648)-SEARCH("(",A5648)-1)),"")</f>
        <v/>
      </c>
      <c r="J5648" t="str">
        <f t="shared" ref="J5648:J5711" si="497">IFERROR(MID(A5648,SEARCH("@",A5648)+2,SEARCH("(",A5648,SEARCH("@",A5648))-SEARCH("@",A5648)-3),"")</f>
        <v/>
      </c>
      <c r="K5648" s="60" t="str">
        <f t="shared" ref="K5648:K5711" si="498">IFERROR(VALUE(MID(A5648,SEARCH(J5648,A5648)+LEN(J5648)+2,(SEARCH(")",A5648,SEARCH("@",A5648))-SEARCH("(",A5648,SEARCH("@",A5648))-1))),"")</f>
        <v/>
      </c>
      <c r="L5648" t="str">
        <f t="shared" ref="L5648:L5711" si="499">IFERROR(I5648-K5648,"")</f>
        <v/>
      </c>
    </row>
    <row r="5649" spans="1:12" x14ac:dyDescent="0.25">
      <c r="A5649" t="s">
        <v>4613</v>
      </c>
      <c r="G5649" t="str">
        <f t="shared" si="494"/>
        <v>09/19/19</v>
      </c>
      <c r="H5649" t="str">
        <f t="shared" si="495"/>
        <v>Philadelphia Phillies</v>
      </c>
      <c r="I5649" s="60">
        <f t="shared" si="496"/>
        <v>4</v>
      </c>
      <c r="J5649" t="str">
        <f t="shared" si="497"/>
        <v>Atlanta Braves</v>
      </c>
      <c r="K5649" s="60">
        <f t="shared" si="498"/>
        <v>5</v>
      </c>
      <c r="L5649">
        <f t="shared" si="499"/>
        <v>-1</v>
      </c>
    </row>
    <row r="5650" spans="1:12" x14ac:dyDescent="0.25">
      <c r="G5650" t="str">
        <f t="shared" si="494"/>
        <v>09/19/19</v>
      </c>
      <c r="H5650" t="str">
        <f t="shared" si="495"/>
        <v/>
      </c>
      <c r="I5650" s="60" t="str">
        <f t="shared" si="496"/>
        <v/>
      </c>
      <c r="J5650" t="str">
        <f t="shared" si="497"/>
        <v/>
      </c>
      <c r="K5650" s="60" t="str">
        <f t="shared" si="498"/>
        <v/>
      </c>
      <c r="L5650" t="str">
        <f t="shared" si="499"/>
        <v/>
      </c>
    </row>
    <row r="5651" spans="1:12" x14ac:dyDescent="0.25">
      <c r="A5651" t="s">
        <v>4614</v>
      </c>
      <c r="G5651" t="str">
        <f t="shared" si="494"/>
        <v>09/19/19</v>
      </c>
      <c r="H5651" t="str">
        <f t="shared" si="495"/>
        <v>Toronto Blue Jays</v>
      </c>
      <c r="I5651" s="60">
        <f t="shared" si="496"/>
        <v>8</v>
      </c>
      <c r="J5651" t="str">
        <f t="shared" si="497"/>
        <v>Baltimore Orioles</v>
      </c>
      <c r="K5651" s="60">
        <f t="shared" si="498"/>
        <v>4</v>
      </c>
      <c r="L5651">
        <f t="shared" si="499"/>
        <v>4</v>
      </c>
    </row>
    <row r="5652" spans="1:12" x14ac:dyDescent="0.25">
      <c r="G5652" t="str">
        <f t="shared" si="494"/>
        <v>09/19/19</v>
      </c>
      <c r="H5652" t="str">
        <f t="shared" si="495"/>
        <v/>
      </c>
      <c r="I5652" s="60" t="str">
        <f t="shared" si="496"/>
        <v/>
      </c>
      <c r="J5652" t="str">
        <f t="shared" si="497"/>
        <v/>
      </c>
      <c r="K5652" s="60" t="str">
        <f t="shared" si="498"/>
        <v/>
      </c>
      <c r="L5652" t="str">
        <f t="shared" si="499"/>
        <v/>
      </c>
    </row>
    <row r="5653" spans="1:12" x14ac:dyDescent="0.25">
      <c r="A5653" t="s">
        <v>4615</v>
      </c>
      <c r="G5653" t="str">
        <f t="shared" si="494"/>
        <v>09/19/19</v>
      </c>
      <c r="H5653" t="str">
        <f t="shared" si="495"/>
        <v>San Francisco Giants</v>
      </c>
      <c r="I5653" s="60">
        <f t="shared" si="496"/>
        <v>4</v>
      </c>
      <c r="J5653" t="str">
        <f t="shared" si="497"/>
        <v>Boston Red Sox</v>
      </c>
      <c r="K5653" s="60">
        <f t="shared" si="498"/>
        <v>5</v>
      </c>
      <c r="L5653">
        <f t="shared" si="499"/>
        <v>-1</v>
      </c>
    </row>
    <row r="5654" spans="1:12" x14ac:dyDescent="0.25">
      <c r="G5654" t="str">
        <f t="shared" si="494"/>
        <v>09/19/19</v>
      </c>
      <c r="H5654" t="str">
        <f t="shared" si="495"/>
        <v/>
      </c>
      <c r="I5654" s="60" t="str">
        <f t="shared" si="496"/>
        <v/>
      </c>
      <c r="J5654" t="str">
        <f t="shared" si="497"/>
        <v/>
      </c>
      <c r="K5654" s="60" t="str">
        <f t="shared" si="498"/>
        <v/>
      </c>
      <c r="L5654" t="str">
        <f t="shared" si="499"/>
        <v/>
      </c>
    </row>
    <row r="5655" spans="1:12" x14ac:dyDescent="0.25">
      <c r="A5655" t="s">
        <v>4616</v>
      </c>
      <c r="G5655" t="str">
        <f t="shared" si="494"/>
        <v>09/19/19</v>
      </c>
      <c r="H5655" t="str">
        <f t="shared" si="495"/>
        <v>St. Louis Cardinals</v>
      </c>
      <c r="I5655" s="60">
        <f t="shared" si="496"/>
        <v>5</v>
      </c>
      <c r="J5655" t="str">
        <f t="shared" si="497"/>
        <v>Chicago Cubs</v>
      </c>
      <c r="K5655" s="60">
        <f t="shared" si="498"/>
        <v>4</v>
      </c>
      <c r="L5655">
        <f t="shared" si="499"/>
        <v>1</v>
      </c>
    </row>
    <row r="5656" spans="1:12" x14ac:dyDescent="0.25">
      <c r="G5656" t="str">
        <f t="shared" si="494"/>
        <v>09/19/19</v>
      </c>
      <c r="H5656" t="str">
        <f t="shared" si="495"/>
        <v/>
      </c>
      <c r="I5656" s="60" t="str">
        <f t="shared" si="496"/>
        <v/>
      </c>
      <c r="J5656" t="str">
        <f t="shared" si="497"/>
        <v/>
      </c>
      <c r="K5656" s="60" t="str">
        <f t="shared" si="498"/>
        <v/>
      </c>
      <c r="L5656" t="str">
        <f t="shared" si="499"/>
        <v/>
      </c>
    </row>
    <row r="5657" spans="1:12" x14ac:dyDescent="0.25">
      <c r="A5657" t="s">
        <v>4617</v>
      </c>
      <c r="G5657" t="str">
        <f t="shared" si="494"/>
        <v>09/19/19</v>
      </c>
      <c r="H5657" t="str">
        <f t="shared" si="495"/>
        <v>Detroit Tigers</v>
      </c>
      <c r="I5657" s="60">
        <f t="shared" si="496"/>
        <v>0</v>
      </c>
      <c r="J5657" t="str">
        <f t="shared" si="497"/>
        <v>Cleveland Indians</v>
      </c>
      <c r="K5657" s="60">
        <f t="shared" si="498"/>
        <v>7</v>
      </c>
      <c r="L5657">
        <f t="shared" si="499"/>
        <v>-7</v>
      </c>
    </row>
    <row r="5658" spans="1:12" x14ac:dyDescent="0.25">
      <c r="G5658" t="str">
        <f t="shared" si="494"/>
        <v>09/19/19</v>
      </c>
      <c r="H5658" t="str">
        <f t="shared" si="495"/>
        <v/>
      </c>
      <c r="I5658" s="60" t="str">
        <f t="shared" si="496"/>
        <v/>
      </c>
      <c r="J5658" t="str">
        <f t="shared" si="497"/>
        <v/>
      </c>
      <c r="K5658" s="60" t="str">
        <f t="shared" si="498"/>
        <v/>
      </c>
      <c r="L5658" t="str">
        <f t="shared" si="499"/>
        <v/>
      </c>
    </row>
    <row r="5659" spans="1:12" x14ac:dyDescent="0.25">
      <c r="A5659" t="s">
        <v>4577</v>
      </c>
      <c r="G5659" t="str">
        <f t="shared" si="494"/>
        <v>09/19/19</v>
      </c>
      <c r="H5659" t="str">
        <f t="shared" si="495"/>
        <v>San Diego Padres</v>
      </c>
      <c r="I5659" s="60">
        <f t="shared" si="496"/>
        <v>1</v>
      </c>
      <c r="J5659" t="str">
        <f t="shared" si="497"/>
        <v>Milwaukee Brewers</v>
      </c>
      <c r="K5659" s="60">
        <f t="shared" si="498"/>
        <v>5</v>
      </c>
      <c r="L5659">
        <f t="shared" si="499"/>
        <v>-4</v>
      </c>
    </row>
    <row r="5660" spans="1:12" x14ac:dyDescent="0.25">
      <c r="G5660" t="str">
        <f t="shared" si="494"/>
        <v>09/19/19</v>
      </c>
      <c r="H5660" t="str">
        <f t="shared" si="495"/>
        <v/>
      </c>
      <c r="I5660" s="60" t="str">
        <f t="shared" si="496"/>
        <v/>
      </c>
      <c r="J5660" t="str">
        <f t="shared" si="497"/>
        <v/>
      </c>
      <c r="K5660" s="60" t="str">
        <f t="shared" si="498"/>
        <v/>
      </c>
      <c r="L5660" t="str">
        <f t="shared" si="499"/>
        <v/>
      </c>
    </row>
    <row r="5661" spans="1:12" x14ac:dyDescent="0.25">
      <c r="A5661" t="s">
        <v>4618</v>
      </c>
      <c r="G5661" t="str">
        <f t="shared" si="494"/>
        <v>09/19/19</v>
      </c>
      <c r="H5661" t="str">
        <f t="shared" si="495"/>
        <v>Kansas City Royals</v>
      </c>
      <c r="I5661" s="60">
        <f t="shared" si="496"/>
        <v>5</v>
      </c>
      <c r="J5661" t="str">
        <f t="shared" si="497"/>
        <v>Minnesota Twins</v>
      </c>
      <c r="K5661" s="60">
        <f t="shared" si="498"/>
        <v>8</v>
      </c>
      <c r="L5661">
        <f t="shared" si="499"/>
        <v>-3</v>
      </c>
    </row>
    <row r="5662" spans="1:12" x14ac:dyDescent="0.25">
      <c r="G5662" t="str">
        <f t="shared" si="494"/>
        <v>09/19/19</v>
      </c>
      <c r="H5662" t="str">
        <f t="shared" si="495"/>
        <v/>
      </c>
      <c r="I5662" s="60" t="str">
        <f t="shared" si="496"/>
        <v/>
      </c>
      <c r="J5662" t="str">
        <f t="shared" si="497"/>
        <v/>
      </c>
      <c r="K5662" s="60" t="str">
        <f t="shared" si="498"/>
        <v/>
      </c>
      <c r="L5662" t="str">
        <f t="shared" si="499"/>
        <v/>
      </c>
    </row>
    <row r="5663" spans="1:12" x14ac:dyDescent="0.25">
      <c r="A5663" t="s">
        <v>4619</v>
      </c>
      <c r="G5663" t="str">
        <f t="shared" si="494"/>
        <v>09/19/19</v>
      </c>
      <c r="H5663" t="str">
        <f t="shared" si="495"/>
        <v>Los Angeles Angels</v>
      </c>
      <c r="I5663" s="60">
        <f t="shared" si="496"/>
        <v>1</v>
      </c>
      <c r="J5663" t="str">
        <f t="shared" si="497"/>
        <v>New York Yankees</v>
      </c>
      <c r="K5663" s="60">
        <f t="shared" si="498"/>
        <v>9</v>
      </c>
      <c r="L5663">
        <f t="shared" si="499"/>
        <v>-8</v>
      </c>
    </row>
    <row r="5664" spans="1:12" x14ac:dyDescent="0.25">
      <c r="G5664" t="str">
        <f t="shared" si="494"/>
        <v>09/19/19</v>
      </c>
      <c r="H5664" t="str">
        <f t="shared" si="495"/>
        <v/>
      </c>
      <c r="I5664" s="60" t="str">
        <f t="shared" si="496"/>
        <v/>
      </c>
      <c r="J5664" t="str">
        <f t="shared" si="497"/>
        <v/>
      </c>
      <c r="K5664" s="60" t="str">
        <f t="shared" si="498"/>
        <v/>
      </c>
      <c r="L5664" t="str">
        <f t="shared" si="499"/>
        <v/>
      </c>
    </row>
    <row r="5665" spans="1:12" x14ac:dyDescent="0.25">
      <c r="A5665" t="s">
        <v>4620</v>
      </c>
      <c r="G5665" t="str">
        <f t="shared" si="494"/>
        <v>09/19/19</v>
      </c>
      <c r="H5665" t="str">
        <f t="shared" si="495"/>
        <v>Seattle Mariners</v>
      </c>
      <c r="I5665" s="60">
        <f t="shared" si="496"/>
        <v>6</v>
      </c>
      <c r="J5665" t="str">
        <f t="shared" si="497"/>
        <v>Pittsburgh Pirates</v>
      </c>
      <c r="K5665" s="60">
        <f t="shared" si="498"/>
        <v>5</v>
      </c>
      <c r="L5665">
        <f t="shared" si="499"/>
        <v>1</v>
      </c>
    </row>
    <row r="5666" spans="1:12" x14ac:dyDescent="0.25">
      <c r="G5666" t="str">
        <f t="shared" ref="G5666:G5729" si="500">IF(ISNUMBER(MATCH(IFERROR(LEFT(A5666,SEARCH(",",A5666)-1),""),$G$220:$M$220,0)),TEXT(MID(A5666,SEARCH(",",A5666)+2,LEN(A5666)),"mm/dd/yy"),G5665)</f>
        <v>09/19/19</v>
      </c>
      <c r="H5666" t="str">
        <f t="shared" si="495"/>
        <v/>
      </c>
      <c r="I5666" s="60" t="str">
        <f t="shared" si="496"/>
        <v/>
      </c>
      <c r="J5666" t="str">
        <f t="shared" si="497"/>
        <v/>
      </c>
      <c r="K5666" s="60" t="str">
        <f t="shared" si="498"/>
        <v/>
      </c>
      <c r="L5666" t="str">
        <f t="shared" si="499"/>
        <v/>
      </c>
    </row>
    <row r="5667" spans="1:12" x14ac:dyDescent="0.25">
      <c r="A5667" t="s">
        <v>4621</v>
      </c>
      <c r="G5667" t="str">
        <f t="shared" si="500"/>
        <v>09/19/19</v>
      </c>
      <c r="H5667" t="str">
        <f t="shared" si="495"/>
        <v/>
      </c>
      <c r="I5667" s="60" t="str">
        <f t="shared" si="496"/>
        <v/>
      </c>
      <c r="J5667" t="str">
        <f t="shared" si="497"/>
        <v/>
      </c>
      <c r="K5667" s="60" t="str">
        <f t="shared" si="498"/>
        <v/>
      </c>
      <c r="L5667" t="str">
        <f t="shared" si="499"/>
        <v/>
      </c>
    </row>
    <row r="5668" spans="1:12" x14ac:dyDescent="0.25">
      <c r="G5668" t="str">
        <f t="shared" si="500"/>
        <v>09/19/19</v>
      </c>
      <c r="H5668" t="str">
        <f t="shared" si="495"/>
        <v/>
      </c>
      <c r="I5668" s="60" t="str">
        <f t="shared" si="496"/>
        <v/>
      </c>
      <c r="J5668" t="str">
        <f t="shared" si="497"/>
        <v/>
      </c>
      <c r="K5668" s="60" t="str">
        <f t="shared" si="498"/>
        <v/>
      </c>
      <c r="L5668" t="str">
        <f t="shared" si="499"/>
        <v/>
      </c>
    </row>
    <row r="5669" spans="1:12" x14ac:dyDescent="0.25">
      <c r="A5669" t="s">
        <v>3316</v>
      </c>
      <c r="G5669" t="str">
        <f t="shared" si="500"/>
        <v>09/20/19</v>
      </c>
      <c r="H5669" t="str">
        <f t="shared" si="495"/>
        <v/>
      </c>
      <c r="I5669" s="60" t="str">
        <f t="shared" si="496"/>
        <v/>
      </c>
      <c r="J5669" t="str">
        <f t="shared" si="497"/>
        <v/>
      </c>
      <c r="K5669" s="60" t="str">
        <f t="shared" si="498"/>
        <v/>
      </c>
      <c r="L5669" t="str">
        <f t="shared" si="499"/>
        <v/>
      </c>
    </row>
    <row r="5670" spans="1:12" x14ac:dyDescent="0.25">
      <c r="G5670" t="str">
        <f t="shared" si="500"/>
        <v>09/20/19</v>
      </c>
      <c r="H5670" t="str">
        <f t="shared" si="495"/>
        <v/>
      </c>
      <c r="I5670" s="60" t="str">
        <f t="shared" si="496"/>
        <v/>
      </c>
      <c r="J5670" t="str">
        <f t="shared" si="497"/>
        <v/>
      </c>
      <c r="K5670" s="60" t="str">
        <f t="shared" si="498"/>
        <v/>
      </c>
      <c r="L5670" t="str">
        <f t="shared" si="499"/>
        <v/>
      </c>
    </row>
    <row r="5671" spans="1:12" x14ac:dyDescent="0.25">
      <c r="A5671" t="s">
        <v>4622</v>
      </c>
      <c r="G5671" t="str">
        <f t="shared" si="500"/>
        <v>09/20/19</v>
      </c>
      <c r="H5671" t="str">
        <f t="shared" si="495"/>
        <v>San Francisco Giants</v>
      </c>
      <c r="I5671" s="60">
        <f t="shared" si="496"/>
        <v>0</v>
      </c>
      <c r="J5671" t="str">
        <f t="shared" si="497"/>
        <v>Atlanta Braves</v>
      </c>
      <c r="K5671" s="60">
        <f t="shared" si="498"/>
        <v>6</v>
      </c>
      <c r="L5671">
        <f t="shared" si="499"/>
        <v>-6</v>
      </c>
    </row>
    <row r="5672" spans="1:12" x14ac:dyDescent="0.25">
      <c r="G5672" t="str">
        <f t="shared" si="500"/>
        <v>09/20/19</v>
      </c>
      <c r="H5672" t="str">
        <f t="shared" si="495"/>
        <v/>
      </c>
      <c r="I5672" s="60" t="str">
        <f t="shared" si="496"/>
        <v/>
      </c>
      <c r="J5672" t="str">
        <f t="shared" si="497"/>
        <v/>
      </c>
      <c r="K5672" s="60" t="str">
        <f t="shared" si="498"/>
        <v/>
      </c>
      <c r="L5672" t="str">
        <f t="shared" si="499"/>
        <v/>
      </c>
    </row>
    <row r="5673" spans="1:12" x14ac:dyDescent="0.25">
      <c r="A5673" t="s">
        <v>4623</v>
      </c>
      <c r="G5673" t="str">
        <f t="shared" si="500"/>
        <v>09/20/19</v>
      </c>
      <c r="H5673" t="str">
        <f t="shared" si="495"/>
        <v>Seattle Mariners</v>
      </c>
      <c r="I5673" s="60">
        <f t="shared" si="496"/>
        <v>3</v>
      </c>
      <c r="J5673" t="str">
        <f t="shared" si="497"/>
        <v>Baltimore Orioles</v>
      </c>
      <c r="K5673" s="60">
        <f t="shared" si="498"/>
        <v>5</v>
      </c>
      <c r="L5673">
        <f t="shared" si="499"/>
        <v>-2</v>
      </c>
    </row>
    <row r="5674" spans="1:12" x14ac:dyDescent="0.25">
      <c r="G5674" t="str">
        <f t="shared" si="500"/>
        <v>09/20/19</v>
      </c>
      <c r="H5674" t="str">
        <f t="shared" si="495"/>
        <v/>
      </c>
      <c r="I5674" s="60" t="str">
        <f t="shared" si="496"/>
        <v/>
      </c>
      <c r="J5674" t="str">
        <f t="shared" si="497"/>
        <v/>
      </c>
      <c r="K5674" s="60" t="str">
        <f t="shared" si="498"/>
        <v/>
      </c>
      <c r="L5674" t="str">
        <f t="shared" si="499"/>
        <v/>
      </c>
    </row>
    <row r="5675" spans="1:12" x14ac:dyDescent="0.25">
      <c r="A5675" t="s">
        <v>4624</v>
      </c>
      <c r="G5675" t="str">
        <f t="shared" si="500"/>
        <v>09/20/19</v>
      </c>
      <c r="H5675" t="str">
        <f t="shared" si="495"/>
        <v>St. Louis Cardinals</v>
      </c>
      <c r="I5675" s="60">
        <f t="shared" si="496"/>
        <v>2</v>
      </c>
      <c r="J5675" t="str">
        <f t="shared" si="497"/>
        <v>Chicago Cubs</v>
      </c>
      <c r="K5675" s="60">
        <f t="shared" si="498"/>
        <v>1</v>
      </c>
      <c r="L5675">
        <f t="shared" si="499"/>
        <v>1</v>
      </c>
    </row>
    <row r="5676" spans="1:12" x14ac:dyDescent="0.25">
      <c r="G5676" t="str">
        <f t="shared" si="500"/>
        <v>09/20/19</v>
      </c>
      <c r="H5676" t="str">
        <f t="shared" si="495"/>
        <v/>
      </c>
      <c r="I5676" s="60" t="str">
        <f t="shared" si="496"/>
        <v/>
      </c>
      <c r="J5676" t="str">
        <f t="shared" si="497"/>
        <v/>
      </c>
      <c r="K5676" s="60" t="str">
        <f t="shared" si="498"/>
        <v/>
      </c>
      <c r="L5676" t="str">
        <f t="shared" si="499"/>
        <v/>
      </c>
    </row>
    <row r="5677" spans="1:12" x14ac:dyDescent="0.25">
      <c r="A5677" t="s">
        <v>4625</v>
      </c>
      <c r="G5677" t="str">
        <f t="shared" si="500"/>
        <v>09/20/19</v>
      </c>
      <c r="H5677" t="str">
        <f t="shared" si="495"/>
        <v>New York Mets</v>
      </c>
      <c r="I5677" s="60">
        <f t="shared" si="496"/>
        <v>8</v>
      </c>
      <c r="J5677" t="str">
        <f t="shared" si="497"/>
        <v>Cincinnati Reds</v>
      </c>
      <c r="K5677" s="60">
        <f t="shared" si="498"/>
        <v>1</v>
      </c>
      <c r="L5677">
        <f t="shared" si="499"/>
        <v>7</v>
      </c>
    </row>
    <row r="5678" spans="1:12" x14ac:dyDescent="0.25">
      <c r="G5678" t="str">
        <f t="shared" si="500"/>
        <v>09/20/19</v>
      </c>
      <c r="H5678" t="str">
        <f t="shared" si="495"/>
        <v/>
      </c>
      <c r="I5678" s="60" t="str">
        <f t="shared" si="496"/>
        <v/>
      </c>
      <c r="J5678" t="str">
        <f t="shared" si="497"/>
        <v/>
      </c>
      <c r="K5678" s="60" t="str">
        <f t="shared" si="498"/>
        <v/>
      </c>
      <c r="L5678" t="str">
        <f t="shared" si="499"/>
        <v/>
      </c>
    </row>
    <row r="5679" spans="1:12" x14ac:dyDescent="0.25">
      <c r="A5679" t="s">
        <v>4626</v>
      </c>
      <c r="G5679" t="str">
        <f t="shared" si="500"/>
        <v>09/20/19</v>
      </c>
      <c r="H5679" t="str">
        <f t="shared" si="495"/>
        <v>Philadelphia Phillies</v>
      </c>
      <c r="I5679" s="60">
        <f t="shared" si="496"/>
        <v>2</v>
      </c>
      <c r="J5679" t="str">
        <f t="shared" si="497"/>
        <v>Cleveland Indians</v>
      </c>
      <c r="K5679" s="60">
        <f t="shared" si="498"/>
        <v>5</v>
      </c>
      <c r="L5679">
        <f t="shared" si="499"/>
        <v>-3</v>
      </c>
    </row>
    <row r="5680" spans="1:12" x14ac:dyDescent="0.25">
      <c r="G5680" t="str">
        <f t="shared" si="500"/>
        <v>09/20/19</v>
      </c>
      <c r="H5680" t="str">
        <f t="shared" si="495"/>
        <v/>
      </c>
      <c r="I5680" s="60" t="str">
        <f t="shared" si="496"/>
        <v/>
      </c>
      <c r="J5680" t="str">
        <f t="shared" si="497"/>
        <v/>
      </c>
      <c r="K5680" s="60" t="str">
        <f t="shared" si="498"/>
        <v/>
      </c>
      <c r="L5680" t="str">
        <f t="shared" si="499"/>
        <v/>
      </c>
    </row>
    <row r="5681" spans="1:12" x14ac:dyDescent="0.25">
      <c r="A5681" t="s">
        <v>4627</v>
      </c>
      <c r="G5681" t="str">
        <f t="shared" si="500"/>
        <v>09/20/19</v>
      </c>
      <c r="H5681" t="str">
        <f t="shared" si="495"/>
        <v>Chicago White Sox</v>
      </c>
      <c r="I5681" s="60">
        <f t="shared" si="496"/>
        <v>10</v>
      </c>
      <c r="J5681" t="str">
        <f t="shared" si="497"/>
        <v>Detroit Tigers</v>
      </c>
      <c r="K5681" s="60">
        <f t="shared" si="498"/>
        <v>1</v>
      </c>
      <c r="L5681">
        <f t="shared" si="499"/>
        <v>9</v>
      </c>
    </row>
    <row r="5682" spans="1:12" x14ac:dyDescent="0.25">
      <c r="G5682" t="str">
        <f t="shared" si="500"/>
        <v>09/20/19</v>
      </c>
      <c r="H5682" t="str">
        <f t="shared" si="495"/>
        <v/>
      </c>
      <c r="I5682" s="60" t="str">
        <f t="shared" si="496"/>
        <v/>
      </c>
      <c r="J5682" t="str">
        <f t="shared" si="497"/>
        <v/>
      </c>
      <c r="K5682" s="60" t="str">
        <f t="shared" si="498"/>
        <v/>
      </c>
      <c r="L5682" t="str">
        <f t="shared" si="499"/>
        <v/>
      </c>
    </row>
    <row r="5683" spans="1:12" x14ac:dyDescent="0.25">
      <c r="A5683" t="s">
        <v>4628</v>
      </c>
      <c r="G5683" t="str">
        <f t="shared" si="500"/>
        <v>09/20/19</v>
      </c>
      <c r="H5683" t="str">
        <f t="shared" si="495"/>
        <v>Los Angeles Angels</v>
      </c>
      <c r="I5683" s="60">
        <f t="shared" si="496"/>
        <v>4</v>
      </c>
      <c r="J5683" t="str">
        <f t="shared" si="497"/>
        <v>Houston Astros</v>
      </c>
      <c r="K5683" s="60">
        <f t="shared" si="498"/>
        <v>6</v>
      </c>
      <c r="L5683">
        <f t="shared" si="499"/>
        <v>-2</v>
      </c>
    </row>
    <row r="5684" spans="1:12" x14ac:dyDescent="0.25">
      <c r="G5684" t="str">
        <f t="shared" si="500"/>
        <v>09/20/19</v>
      </c>
      <c r="H5684" t="str">
        <f t="shared" si="495"/>
        <v/>
      </c>
      <c r="I5684" s="60" t="str">
        <f t="shared" si="496"/>
        <v/>
      </c>
      <c r="J5684" t="str">
        <f t="shared" si="497"/>
        <v/>
      </c>
      <c r="K5684" s="60" t="str">
        <f t="shared" si="498"/>
        <v/>
      </c>
      <c r="L5684" t="str">
        <f t="shared" si="499"/>
        <v/>
      </c>
    </row>
    <row r="5685" spans="1:12" x14ac:dyDescent="0.25">
      <c r="A5685" t="s">
        <v>4629</v>
      </c>
      <c r="G5685" t="str">
        <f t="shared" si="500"/>
        <v>09/20/19</v>
      </c>
      <c r="H5685" t="str">
        <f t="shared" si="495"/>
        <v>Colorado Rockies</v>
      </c>
      <c r="I5685" s="60">
        <f t="shared" si="496"/>
        <v>5</v>
      </c>
      <c r="J5685" t="str">
        <f t="shared" si="497"/>
        <v>Los Angeles Dodgers</v>
      </c>
      <c r="K5685" s="60">
        <f t="shared" si="498"/>
        <v>12</v>
      </c>
      <c r="L5685">
        <f t="shared" si="499"/>
        <v>-7</v>
      </c>
    </row>
    <row r="5686" spans="1:12" x14ac:dyDescent="0.25">
      <c r="G5686" t="str">
        <f t="shared" si="500"/>
        <v>09/20/19</v>
      </c>
      <c r="H5686" t="str">
        <f t="shared" si="495"/>
        <v/>
      </c>
      <c r="I5686" s="60" t="str">
        <f t="shared" si="496"/>
        <v/>
      </c>
      <c r="J5686" t="str">
        <f t="shared" si="497"/>
        <v/>
      </c>
      <c r="K5686" s="60" t="str">
        <f t="shared" si="498"/>
        <v/>
      </c>
      <c r="L5686" t="str">
        <f t="shared" si="499"/>
        <v/>
      </c>
    </row>
    <row r="5687" spans="1:12" x14ac:dyDescent="0.25">
      <c r="A5687" t="s">
        <v>4630</v>
      </c>
      <c r="G5687" t="str">
        <f t="shared" si="500"/>
        <v>09/20/19</v>
      </c>
      <c r="H5687" t="str">
        <f t="shared" si="495"/>
        <v>Washington Nationals</v>
      </c>
      <c r="I5687" s="60">
        <f t="shared" si="496"/>
        <v>6</v>
      </c>
      <c r="J5687" t="str">
        <f t="shared" si="497"/>
        <v>Miami Marlins</v>
      </c>
      <c r="K5687" s="60">
        <f t="shared" si="498"/>
        <v>4</v>
      </c>
      <c r="L5687">
        <f t="shared" si="499"/>
        <v>2</v>
      </c>
    </row>
    <row r="5688" spans="1:12" x14ac:dyDescent="0.25">
      <c r="G5688" t="str">
        <f t="shared" si="500"/>
        <v>09/20/19</v>
      </c>
      <c r="H5688" t="str">
        <f t="shared" si="495"/>
        <v/>
      </c>
      <c r="I5688" s="60" t="str">
        <f t="shared" si="496"/>
        <v/>
      </c>
      <c r="J5688" t="str">
        <f t="shared" si="497"/>
        <v/>
      </c>
      <c r="K5688" s="60" t="str">
        <f t="shared" si="498"/>
        <v/>
      </c>
      <c r="L5688" t="str">
        <f t="shared" si="499"/>
        <v/>
      </c>
    </row>
    <row r="5689" spans="1:12" x14ac:dyDescent="0.25">
      <c r="A5689" t="s">
        <v>4631</v>
      </c>
      <c r="G5689" t="str">
        <f t="shared" si="500"/>
        <v>09/20/19</v>
      </c>
      <c r="H5689" t="str">
        <f t="shared" si="495"/>
        <v>Pittsburgh Pirates</v>
      </c>
      <c r="I5689" s="60">
        <f t="shared" si="496"/>
        <v>1</v>
      </c>
      <c r="J5689" t="str">
        <f t="shared" si="497"/>
        <v>Milwaukee Brewers</v>
      </c>
      <c r="K5689" s="60">
        <f t="shared" si="498"/>
        <v>10</v>
      </c>
      <c r="L5689">
        <f t="shared" si="499"/>
        <v>-9</v>
      </c>
    </row>
    <row r="5690" spans="1:12" x14ac:dyDescent="0.25">
      <c r="G5690" t="str">
        <f t="shared" si="500"/>
        <v>09/20/19</v>
      </c>
      <c r="H5690" t="str">
        <f t="shared" si="495"/>
        <v/>
      </c>
      <c r="I5690" s="60" t="str">
        <f t="shared" si="496"/>
        <v/>
      </c>
      <c r="J5690" t="str">
        <f t="shared" si="497"/>
        <v/>
      </c>
      <c r="K5690" s="60" t="str">
        <f t="shared" si="498"/>
        <v/>
      </c>
      <c r="L5690" t="str">
        <f t="shared" si="499"/>
        <v/>
      </c>
    </row>
    <row r="5691" spans="1:12" x14ac:dyDescent="0.25">
      <c r="A5691" t="s">
        <v>4632</v>
      </c>
      <c r="G5691" t="str">
        <f t="shared" si="500"/>
        <v>09/20/19</v>
      </c>
      <c r="H5691" t="str">
        <f t="shared" si="495"/>
        <v>Kansas City Royals</v>
      </c>
      <c r="I5691" s="60">
        <f t="shared" si="496"/>
        <v>3</v>
      </c>
      <c r="J5691" t="str">
        <f t="shared" si="497"/>
        <v>Minnesota Twins</v>
      </c>
      <c r="K5691" s="60">
        <f t="shared" si="498"/>
        <v>4</v>
      </c>
      <c r="L5691">
        <f t="shared" si="499"/>
        <v>-1</v>
      </c>
    </row>
    <row r="5692" spans="1:12" x14ac:dyDescent="0.25">
      <c r="G5692" t="str">
        <f t="shared" si="500"/>
        <v>09/20/19</v>
      </c>
      <c r="H5692" t="str">
        <f t="shared" si="495"/>
        <v/>
      </c>
      <c r="I5692" s="60" t="str">
        <f t="shared" si="496"/>
        <v/>
      </c>
      <c r="J5692" t="str">
        <f t="shared" si="497"/>
        <v/>
      </c>
      <c r="K5692" s="60" t="str">
        <f t="shared" si="498"/>
        <v/>
      </c>
      <c r="L5692" t="str">
        <f t="shared" si="499"/>
        <v/>
      </c>
    </row>
    <row r="5693" spans="1:12" x14ac:dyDescent="0.25">
      <c r="A5693" t="s">
        <v>4633</v>
      </c>
      <c r="G5693" t="str">
        <f t="shared" si="500"/>
        <v>09/20/19</v>
      </c>
      <c r="H5693" t="str">
        <f t="shared" si="495"/>
        <v>Toronto Blue Jays</v>
      </c>
      <c r="I5693" s="60">
        <f t="shared" si="496"/>
        <v>4</v>
      </c>
      <c r="J5693" t="str">
        <f t="shared" si="497"/>
        <v>New York Yankees</v>
      </c>
      <c r="K5693" s="60">
        <f t="shared" si="498"/>
        <v>3</v>
      </c>
      <c r="L5693">
        <f t="shared" si="499"/>
        <v>1</v>
      </c>
    </row>
    <row r="5694" spans="1:12" x14ac:dyDescent="0.25">
      <c r="G5694" t="str">
        <f t="shared" si="500"/>
        <v>09/20/19</v>
      </c>
      <c r="H5694" t="str">
        <f t="shared" si="495"/>
        <v/>
      </c>
      <c r="I5694" s="60" t="str">
        <f t="shared" si="496"/>
        <v/>
      </c>
      <c r="J5694" t="str">
        <f t="shared" si="497"/>
        <v/>
      </c>
      <c r="K5694" s="60" t="str">
        <f t="shared" si="498"/>
        <v/>
      </c>
      <c r="L5694" t="str">
        <f t="shared" si="499"/>
        <v/>
      </c>
    </row>
    <row r="5695" spans="1:12" x14ac:dyDescent="0.25">
      <c r="A5695" t="s">
        <v>4634</v>
      </c>
      <c r="G5695" t="str">
        <f t="shared" si="500"/>
        <v>09/20/19</v>
      </c>
      <c r="H5695" t="str">
        <f t="shared" si="495"/>
        <v>Texas Rangers</v>
      </c>
      <c r="I5695" s="60">
        <f t="shared" si="496"/>
        <v>0</v>
      </c>
      <c r="J5695" t="str">
        <f t="shared" si="497"/>
        <v>Oakland Athletics</v>
      </c>
      <c r="K5695" s="60">
        <f t="shared" si="498"/>
        <v>8</v>
      </c>
      <c r="L5695">
        <f t="shared" si="499"/>
        <v>-8</v>
      </c>
    </row>
    <row r="5696" spans="1:12" x14ac:dyDescent="0.25">
      <c r="G5696" t="str">
        <f t="shared" si="500"/>
        <v>09/20/19</v>
      </c>
      <c r="H5696" t="str">
        <f t="shared" si="495"/>
        <v/>
      </c>
      <c r="I5696" s="60" t="str">
        <f t="shared" si="496"/>
        <v/>
      </c>
      <c r="J5696" t="str">
        <f t="shared" si="497"/>
        <v/>
      </c>
      <c r="K5696" s="60" t="str">
        <f t="shared" si="498"/>
        <v/>
      </c>
      <c r="L5696" t="str">
        <f t="shared" si="499"/>
        <v/>
      </c>
    </row>
    <row r="5697" spans="1:12" x14ac:dyDescent="0.25">
      <c r="A5697" t="s">
        <v>4635</v>
      </c>
      <c r="G5697" t="str">
        <f t="shared" si="500"/>
        <v>09/20/19</v>
      </c>
      <c r="H5697" t="str">
        <f t="shared" si="495"/>
        <v>Arizona D'Backs</v>
      </c>
      <c r="I5697" s="60">
        <f t="shared" si="496"/>
        <v>9</v>
      </c>
      <c r="J5697" t="str">
        <f t="shared" si="497"/>
        <v>San Diego Padres</v>
      </c>
      <c r="K5697" s="60">
        <f t="shared" si="498"/>
        <v>0</v>
      </c>
      <c r="L5697">
        <f t="shared" si="499"/>
        <v>9</v>
      </c>
    </row>
    <row r="5698" spans="1:12" x14ac:dyDescent="0.25">
      <c r="G5698" t="str">
        <f t="shared" si="500"/>
        <v>09/20/19</v>
      </c>
      <c r="H5698" t="str">
        <f t="shared" si="495"/>
        <v/>
      </c>
      <c r="I5698" s="60" t="str">
        <f t="shared" si="496"/>
        <v/>
      </c>
      <c r="J5698" t="str">
        <f t="shared" si="497"/>
        <v/>
      </c>
      <c r="K5698" s="60" t="str">
        <f t="shared" si="498"/>
        <v/>
      </c>
      <c r="L5698" t="str">
        <f t="shared" si="499"/>
        <v/>
      </c>
    </row>
    <row r="5699" spans="1:12" x14ac:dyDescent="0.25">
      <c r="A5699" t="s">
        <v>4636</v>
      </c>
      <c r="G5699" t="str">
        <f t="shared" si="500"/>
        <v>09/20/19</v>
      </c>
      <c r="H5699" t="str">
        <f t="shared" si="495"/>
        <v>Boston Red Sox</v>
      </c>
      <c r="I5699" s="60">
        <f t="shared" si="496"/>
        <v>4</v>
      </c>
      <c r="J5699" t="str">
        <f t="shared" si="497"/>
        <v>Tampa Bay Rays</v>
      </c>
      <c r="K5699" s="60">
        <f t="shared" si="498"/>
        <v>5</v>
      </c>
      <c r="L5699">
        <f t="shared" si="499"/>
        <v>-1</v>
      </c>
    </row>
    <row r="5700" spans="1:12" x14ac:dyDescent="0.25">
      <c r="G5700" t="str">
        <f t="shared" si="500"/>
        <v>09/20/19</v>
      </c>
      <c r="H5700" t="str">
        <f t="shared" si="495"/>
        <v/>
      </c>
      <c r="I5700" s="60" t="str">
        <f t="shared" si="496"/>
        <v/>
      </c>
      <c r="J5700" t="str">
        <f t="shared" si="497"/>
        <v/>
      </c>
      <c r="K5700" s="60" t="str">
        <f t="shared" si="498"/>
        <v/>
      </c>
      <c r="L5700" t="str">
        <f t="shared" si="499"/>
        <v/>
      </c>
    </row>
    <row r="5701" spans="1:12" x14ac:dyDescent="0.25">
      <c r="A5701" t="s">
        <v>4637</v>
      </c>
      <c r="G5701" t="str">
        <f t="shared" si="500"/>
        <v>09/20/19</v>
      </c>
      <c r="H5701" t="str">
        <f t="shared" si="495"/>
        <v/>
      </c>
      <c r="I5701" s="60" t="str">
        <f t="shared" si="496"/>
        <v/>
      </c>
      <c r="J5701" t="str">
        <f t="shared" si="497"/>
        <v/>
      </c>
      <c r="K5701" s="60" t="str">
        <f t="shared" si="498"/>
        <v/>
      </c>
      <c r="L5701" t="str">
        <f t="shared" si="499"/>
        <v/>
      </c>
    </row>
    <row r="5702" spans="1:12" x14ac:dyDescent="0.25">
      <c r="G5702" t="str">
        <f t="shared" si="500"/>
        <v>09/20/19</v>
      </c>
      <c r="H5702" t="str">
        <f t="shared" si="495"/>
        <v/>
      </c>
      <c r="I5702" s="60" t="str">
        <f t="shared" si="496"/>
        <v/>
      </c>
      <c r="J5702" t="str">
        <f t="shared" si="497"/>
        <v/>
      </c>
      <c r="K5702" s="60" t="str">
        <f t="shared" si="498"/>
        <v/>
      </c>
      <c r="L5702" t="str">
        <f t="shared" si="499"/>
        <v/>
      </c>
    </row>
    <row r="5703" spans="1:12" x14ac:dyDescent="0.25">
      <c r="A5703" t="s">
        <v>3317</v>
      </c>
      <c r="G5703" t="str">
        <f t="shared" si="500"/>
        <v>09/21/19</v>
      </c>
      <c r="H5703" t="str">
        <f t="shared" si="495"/>
        <v/>
      </c>
      <c r="I5703" s="60" t="str">
        <f t="shared" si="496"/>
        <v/>
      </c>
      <c r="J5703" t="str">
        <f t="shared" si="497"/>
        <v/>
      </c>
      <c r="K5703" s="60" t="str">
        <f t="shared" si="498"/>
        <v/>
      </c>
      <c r="L5703" t="str">
        <f t="shared" si="499"/>
        <v/>
      </c>
    </row>
    <row r="5704" spans="1:12" x14ac:dyDescent="0.25">
      <c r="G5704" t="str">
        <f t="shared" si="500"/>
        <v>09/21/19</v>
      </c>
      <c r="H5704" t="str">
        <f t="shared" si="495"/>
        <v/>
      </c>
      <c r="I5704" s="60" t="str">
        <f t="shared" si="496"/>
        <v/>
      </c>
      <c r="J5704" t="str">
        <f t="shared" si="497"/>
        <v/>
      </c>
      <c r="K5704" s="60" t="str">
        <f t="shared" si="498"/>
        <v/>
      </c>
      <c r="L5704" t="str">
        <f t="shared" si="499"/>
        <v/>
      </c>
    </row>
    <row r="5705" spans="1:12" x14ac:dyDescent="0.25">
      <c r="A5705" t="s">
        <v>4638</v>
      </c>
      <c r="G5705" t="str">
        <f t="shared" si="500"/>
        <v>09/21/19</v>
      </c>
      <c r="H5705" t="str">
        <f t="shared" si="495"/>
        <v>San Francisco Giants</v>
      </c>
      <c r="I5705" s="60">
        <f t="shared" si="496"/>
        <v>1</v>
      </c>
      <c r="J5705" t="str">
        <f t="shared" si="497"/>
        <v>Atlanta Braves</v>
      </c>
      <c r="K5705" s="60">
        <f t="shared" si="498"/>
        <v>8</v>
      </c>
      <c r="L5705">
        <f t="shared" si="499"/>
        <v>-7</v>
      </c>
    </row>
    <row r="5706" spans="1:12" x14ac:dyDescent="0.25">
      <c r="G5706" t="str">
        <f t="shared" si="500"/>
        <v>09/21/19</v>
      </c>
      <c r="H5706" t="str">
        <f t="shared" si="495"/>
        <v/>
      </c>
      <c r="I5706" s="60" t="str">
        <f t="shared" si="496"/>
        <v/>
      </c>
      <c r="J5706" t="str">
        <f t="shared" si="497"/>
        <v/>
      </c>
      <c r="K5706" s="60" t="str">
        <f t="shared" si="498"/>
        <v/>
      </c>
      <c r="L5706" t="str">
        <f t="shared" si="499"/>
        <v/>
      </c>
    </row>
    <row r="5707" spans="1:12" x14ac:dyDescent="0.25">
      <c r="A5707" t="s">
        <v>4639</v>
      </c>
      <c r="G5707" t="str">
        <f t="shared" si="500"/>
        <v>09/21/19</v>
      </c>
      <c r="H5707" t="str">
        <f t="shared" si="495"/>
        <v>Seattle Mariners</v>
      </c>
      <c r="I5707" s="60">
        <f t="shared" si="496"/>
        <v>7</v>
      </c>
      <c r="J5707" t="str">
        <f t="shared" si="497"/>
        <v>Baltimore Orioles</v>
      </c>
      <c r="K5707" s="60">
        <f t="shared" si="498"/>
        <v>6</v>
      </c>
      <c r="L5707">
        <f t="shared" si="499"/>
        <v>1</v>
      </c>
    </row>
    <row r="5708" spans="1:12" x14ac:dyDescent="0.25">
      <c r="G5708" t="str">
        <f t="shared" si="500"/>
        <v>09/21/19</v>
      </c>
      <c r="H5708" t="str">
        <f t="shared" si="495"/>
        <v/>
      </c>
      <c r="I5708" s="60" t="str">
        <f t="shared" si="496"/>
        <v/>
      </c>
      <c r="J5708" t="str">
        <f t="shared" si="497"/>
        <v/>
      </c>
      <c r="K5708" s="60" t="str">
        <f t="shared" si="498"/>
        <v/>
      </c>
      <c r="L5708" t="str">
        <f t="shared" si="499"/>
        <v/>
      </c>
    </row>
    <row r="5709" spans="1:12" x14ac:dyDescent="0.25">
      <c r="A5709" t="s">
        <v>4640</v>
      </c>
      <c r="G5709" t="str">
        <f t="shared" si="500"/>
        <v>09/21/19</v>
      </c>
      <c r="H5709" t="str">
        <f t="shared" si="495"/>
        <v>St. Louis Cardinals</v>
      </c>
      <c r="I5709" s="60">
        <f t="shared" si="496"/>
        <v>9</v>
      </c>
      <c r="J5709" t="str">
        <f t="shared" si="497"/>
        <v>Chicago Cubs</v>
      </c>
      <c r="K5709" s="60">
        <f t="shared" si="498"/>
        <v>8</v>
      </c>
      <c r="L5709">
        <f t="shared" si="499"/>
        <v>1</v>
      </c>
    </row>
    <row r="5710" spans="1:12" x14ac:dyDescent="0.25">
      <c r="G5710" t="str">
        <f t="shared" si="500"/>
        <v>09/21/19</v>
      </c>
      <c r="H5710" t="str">
        <f t="shared" si="495"/>
        <v/>
      </c>
      <c r="I5710" s="60" t="str">
        <f t="shared" si="496"/>
        <v/>
      </c>
      <c r="J5710" t="str">
        <f t="shared" si="497"/>
        <v/>
      </c>
      <c r="K5710" s="60" t="str">
        <f t="shared" si="498"/>
        <v/>
      </c>
      <c r="L5710" t="str">
        <f t="shared" si="499"/>
        <v/>
      </c>
    </row>
    <row r="5711" spans="1:12" x14ac:dyDescent="0.25">
      <c r="A5711" t="s">
        <v>4641</v>
      </c>
      <c r="G5711" t="str">
        <f t="shared" si="500"/>
        <v>09/21/19</v>
      </c>
      <c r="H5711" t="str">
        <f t="shared" si="495"/>
        <v>New York Mets</v>
      </c>
      <c r="I5711" s="60">
        <f t="shared" si="496"/>
        <v>2</v>
      </c>
      <c r="J5711" t="str">
        <f t="shared" si="497"/>
        <v>Cincinnati Reds</v>
      </c>
      <c r="K5711" s="60">
        <f t="shared" si="498"/>
        <v>3</v>
      </c>
      <c r="L5711">
        <f t="shared" si="499"/>
        <v>-1</v>
      </c>
    </row>
    <row r="5712" spans="1:12" x14ac:dyDescent="0.25">
      <c r="G5712" t="str">
        <f t="shared" si="500"/>
        <v>09/21/19</v>
      </c>
      <c r="H5712" t="str">
        <f t="shared" ref="H5712:H5775" si="501">IFERROR(LEFT(MID(A5712,1,SEARCH("@",A5712)-2),SEARCH("(",A5712)-2),"")</f>
        <v/>
      </c>
      <c r="I5712" s="60" t="str">
        <f t="shared" ref="I5712:I5775" si="502">IFERROR(VALUE(MID(A5712,SEARCH("(",A5712)+1,SEARCH(")",A5712)-SEARCH("(",A5712)-1)),"")</f>
        <v/>
      </c>
      <c r="J5712" t="str">
        <f t="shared" ref="J5712:J5775" si="503">IFERROR(MID(A5712,SEARCH("@",A5712)+2,SEARCH("(",A5712,SEARCH("@",A5712))-SEARCH("@",A5712)-3),"")</f>
        <v/>
      </c>
      <c r="K5712" s="60" t="str">
        <f t="shared" ref="K5712:K5775" si="504">IFERROR(VALUE(MID(A5712,SEARCH(J5712,A5712)+LEN(J5712)+2,(SEARCH(")",A5712,SEARCH("@",A5712))-SEARCH("(",A5712,SEARCH("@",A5712))-1))),"")</f>
        <v/>
      </c>
      <c r="L5712" t="str">
        <f t="shared" ref="L5712:L5775" si="505">IFERROR(I5712-K5712,"")</f>
        <v/>
      </c>
    </row>
    <row r="5713" spans="1:12" x14ac:dyDescent="0.25">
      <c r="A5713" t="s">
        <v>4642</v>
      </c>
      <c r="G5713" t="str">
        <f t="shared" si="500"/>
        <v>09/21/19</v>
      </c>
      <c r="H5713" t="str">
        <f t="shared" si="501"/>
        <v>Philadelphia Phillies</v>
      </c>
      <c r="I5713" s="60">
        <f t="shared" si="502"/>
        <v>9</v>
      </c>
      <c r="J5713" t="str">
        <f t="shared" si="503"/>
        <v>Cleveland Indians</v>
      </c>
      <c r="K5713" s="60">
        <f t="shared" si="504"/>
        <v>4</v>
      </c>
      <c r="L5713">
        <f t="shared" si="505"/>
        <v>5</v>
      </c>
    </row>
    <row r="5714" spans="1:12" x14ac:dyDescent="0.25">
      <c r="G5714" t="str">
        <f t="shared" si="500"/>
        <v>09/21/19</v>
      </c>
      <c r="H5714" t="str">
        <f t="shared" si="501"/>
        <v/>
      </c>
      <c r="I5714" s="60" t="str">
        <f t="shared" si="502"/>
        <v/>
      </c>
      <c r="J5714" t="str">
        <f t="shared" si="503"/>
        <v/>
      </c>
      <c r="K5714" s="60" t="str">
        <f t="shared" si="504"/>
        <v/>
      </c>
      <c r="L5714" t="str">
        <f t="shared" si="505"/>
        <v/>
      </c>
    </row>
    <row r="5715" spans="1:12" x14ac:dyDescent="0.25">
      <c r="A5715" t="s">
        <v>3790</v>
      </c>
      <c r="G5715" t="str">
        <f t="shared" si="500"/>
        <v>09/21/19</v>
      </c>
      <c r="H5715" t="str">
        <f t="shared" si="501"/>
        <v>Chicago White Sox</v>
      </c>
      <c r="I5715" s="60">
        <f t="shared" si="502"/>
        <v>5</v>
      </c>
      <c r="J5715" t="str">
        <f t="shared" si="503"/>
        <v>Detroit Tigers</v>
      </c>
      <c r="K5715" s="60">
        <f t="shared" si="504"/>
        <v>3</v>
      </c>
      <c r="L5715">
        <f t="shared" si="505"/>
        <v>2</v>
      </c>
    </row>
    <row r="5716" spans="1:12" x14ac:dyDescent="0.25">
      <c r="G5716" t="str">
        <f t="shared" si="500"/>
        <v>09/21/19</v>
      </c>
      <c r="H5716" t="str">
        <f t="shared" si="501"/>
        <v/>
      </c>
      <c r="I5716" s="60" t="str">
        <f t="shared" si="502"/>
        <v/>
      </c>
      <c r="J5716" t="str">
        <f t="shared" si="503"/>
        <v/>
      </c>
      <c r="K5716" s="60" t="str">
        <f t="shared" si="504"/>
        <v/>
      </c>
      <c r="L5716" t="str">
        <f t="shared" si="505"/>
        <v/>
      </c>
    </row>
    <row r="5717" spans="1:12" x14ac:dyDescent="0.25">
      <c r="A5717" t="s">
        <v>4643</v>
      </c>
      <c r="G5717" t="str">
        <f t="shared" si="500"/>
        <v>09/21/19</v>
      </c>
      <c r="H5717" t="str">
        <f t="shared" si="501"/>
        <v>Los Angeles Angels</v>
      </c>
      <c r="I5717" s="60">
        <f t="shared" si="502"/>
        <v>8</v>
      </c>
      <c r="J5717" t="str">
        <f t="shared" si="503"/>
        <v>Houston Astros</v>
      </c>
      <c r="K5717" s="60">
        <f t="shared" si="504"/>
        <v>4</v>
      </c>
      <c r="L5717">
        <f t="shared" si="505"/>
        <v>4</v>
      </c>
    </row>
    <row r="5718" spans="1:12" x14ac:dyDescent="0.25">
      <c r="G5718" t="str">
        <f t="shared" si="500"/>
        <v>09/21/19</v>
      </c>
      <c r="H5718" t="str">
        <f t="shared" si="501"/>
        <v/>
      </c>
      <c r="I5718" s="60" t="str">
        <f t="shared" si="502"/>
        <v/>
      </c>
      <c r="J5718" t="str">
        <f t="shared" si="503"/>
        <v/>
      </c>
      <c r="K5718" s="60" t="str">
        <f t="shared" si="504"/>
        <v/>
      </c>
      <c r="L5718" t="str">
        <f t="shared" si="505"/>
        <v/>
      </c>
    </row>
    <row r="5719" spans="1:12" x14ac:dyDescent="0.25">
      <c r="A5719" t="s">
        <v>4644</v>
      </c>
      <c r="G5719" t="str">
        <f t="shared" si="500"/>
        <v>09/21/19</v>
      </c>
      <c r="H5719" t="str">
        <f t="shared" si="501"/>
        <v>Colorado Rockies</v>
      </c>
      <c r="I5719" s="60">
        <f t="shared" si="502"/>
        <v>4</v>
      </c>
      <c r="J5719" t="str">
        <f t="shared" si="503"/>
        <v>Los Angeles Dodgers</v>
      </c>
      <c r="K5719" s="60">
        <f t="shared" si="504"/>
        <v>2</v>
      </c>
      <c r="L5719">
        <f t="shared" si="505"/>
        <v>2</v>
      </c>
    </row>
    <row r="5720" spans="1:12" x14ac:dyDescent="0.25">
      <c r="G5720" t="str">
        <f t="shared" si="500"/>
        <v>09/21/19</v>
      </c>
      <c r="H5720" t="str">
        <f t="shared" si="501"/>
        <v/>
      </c>
      <c r="I5720" s="60" t="str">
        <f t="shared" si="502"/>
        <v/>
      </c>
      <c r="J5720" t="str">
        <f t="shared" si="503"/>
        <v/>
      </c>
      <c r="K5720" s="60" t="str">
        <f t="shared" si="504"/>
        <v/>
      </c>
      <c r="L5720" t="str">
        <f t="shared" si="505"/>
        <v/>
      </c>
    </row>
    <row r="5721" spans="1:12" x14ac:dyDescent="0.25">
      <c r="A5721" t="s">
        <v>4645</v>
      </c>
      <c r="G5721" t="str">
        <f t="shared" si="500"/>
        <v>09/21/19</v>
      </c>
      <c r="H5721" t="str">
        <f t="shared" si="501"/>
        <v>Washington Nationals</v>
      </c>
      <c r="I5721" s="60">
        <f t="shared" si="502"/>
        <v>10</v>
      </c>
      <c r="J5721" t="str">
        <f t="shared" si="503"/>
        <v>Miami Marlins</v>
      </c>
      <c r="K5721" s="60">
        <f t="shared" si="504"/>
        <v>4</v>
      </c>
      <c r="L5721">
        <f t="shared" si="505"/>
        <v>6</v>
      </c>
    </row>
    <row r="5722" spans="1:12" x14ac:dyDescent="0.25">
      <c r="G5722" t="str">
        <f t="shared" si="500"/>
        <v>09/21/19</v>
      </c>
      <c r="H5722" t="str">
        <f t="shared" si="501"/>
        <v/>
      </c>
      <c r="I5722" s="60" t="str">
        <f t="shared" si="502"/>
        <v/>
      </c>
      <c r="J5722" t="str">
        <f t="shared" si="503"/>
        <v/>
      </c>
      <c r="K5722" s="60" t="str">
        <f t="shared" si="504"/>
        <v/>
      </c>
      <c r="L5722" t="str">
        <f t="shared" si="505"/>
        <v/>
      </c>
    </row>
    <row r="5723" spans="1:12" x14ac:dyDescent="0.25">
      <c r="A5723" t="s">
        <v>4631</v>
      </c>
      <c r="G5723" t="str">
        <f t="shared" si="500"/>
        <v>09/21/19</v>
      </c>
      <c r="H5723" t="str">
        <f t="shared" si="501"/>
        <v>Pittsburgh Pirates</v>
      </c>
      <c r="I5723" s="60">
        <f t="shared" si="502"/>
        <v>1</v>
      </c>
      <c r="J5723" t="str">
        <f t="shared" si="503"/>
        <v>Milwaukee Brewers</v>
      </c>
      <c r="K5723" s="60">
        <f t="shared" si="504"/>
        <v>10</v>
      </c>
      <c r="L5723">
        <f t="shared" si="505"/>
        <v>-9</v>
      </c>
    </row>
    <row r="5724" spans="1:12" x14ac:dyDescent="0.25">
      <c r="G5724" t="str">
        <f t="shared" si="500"/>
        <v>09/21/19</v>
      </c>
      <c r="H5724" t="str">
        <f t="shared" si="501"/>
        <v/>
      </c>
      <c r="I5724" s="60" t="str">
        <f t="shared" si="502"/>
        <v/>
      </c>
      <c r="J5724" t="str">
        <f t="shared" si="503"/>
        <v/>
      </c>
      <c r="K5724" s="60" t="str">
        <f t="shared" si="504"/>
        <v/>
      </c>
      <c r="L5724" t="str">
        <f t="shared" si="505"/>
        <v/>
      </c>
    </row>
    <row r="5725" spans="1:12" x14ac:dyDescent="0.25">
      <c r="A5725" t="s">
        <v>4646</v>
      </c>
      <c r="G5725" t="str">
        <f t="shared" si="500"/>
        <v>09/21/19</v>
      </c>
      <c r="H5725" t="str">
        <f t="shared" si="501"/>
        <v>Kansas City Royals</v>
      </c>
      <c r="I5725" s="60">
        <f t="shared" si="502"/>
        <v>12</v>
      </c>
      <c r="J5725" t="str">
        <f t="shared" si="503"/>
        <v>Minnesota Twins</v>
      </c>
      <c r="K5725" s="60">
        <f t="shared" si="504"/>
        <v>5</v>
      </c>
      <c r="L5725">
        <f t="shared" si="505"/>
        <v>7</v>
      </c>
    </row>
    <row r="5726" spans="1:12" x14ac:dyDescent="0.25">
      <c r="G5726" t="str">
        <f t="shared" si="500"/>
        <v>09/21/19</v>
      </c>
      <c r="H5726" t="str">
        <f t="shared" si="501"/>
        <v/>
      </c>
      <c r="I5726" s="60" t="str">
        <f t="shared" si="502"/>
        <v/>
      </c>
      <c r="J5726" t="str">
        <f t="shared" si="503"/>
        <v/>
      </c>
      <c r="K5726" s="60" t="str">
        <f t="shared" si="504"/>
        <v/>
      </c>
      <c r="L5726" t="str">
        <f t="shared" si="505"/>
        <v/>
      </c>
    </row>
    <row r="5727" spans="1:12" x14ac:dyDescent="0.25">
      <c r="A5727" t="s">
        <v>4647</v>
      </c>
      <c r="G5727" t="str">
        <f t="shared" si="500"/>
        <v>09/21/19</v>
      </c>
      <c r="H5727" t="str">
        <f t="shared" si="501"/>
        <v>Toronto Blue Jays</v>
      </c>
      <c r="I5727" s="60">
        <f t="shared" si="502"/>
        <v>2</v>
      </c>
      <c r="J5727" t="str">
        <f t="shared" si="503"/>
        <v>New York Yankees</v>
      </c>
      <c r="K5727" s="60">
        <f t="shared" si="504"/>
        <v>7</v>
      </c>
      <c r="L5727">
        <f t="shared" si="505"/>
        <v>-5</v>
      </c>
    </row>
    <row r="5728" spans="1:12" x14ac:dyDescent="0.25">
      <c r="G5728" t="str">
        <f t="shared" si="500"/>
        <v>09/21/19</v>
      </c>
      <c r="H5728" t="str">
        <f t="shared" si="501"/>
        <v/>
      </c>
      <c r="I5728" s="60" t="str">
        <f t="shared" si="502"/>
        <v/>
      </c>
      <c r="J5728" t="str">
        <f t="shared" si="503"/>
        <v/>
      </c>
      <c r="K5728" s="60" t="str">
        <f t="shared" si="504"/>
        <v/>
      </c>
      <c r="L5728" t="str">
        <f t="shared" si="505"/>
        <v/>
      </c>
    </row>
    <row r="5729" spans="1:12" x14ac:dyDescent="0.25">
      <c r="A5729" t="s">
        <v>4648</v>
      </c>
      <c r="G5729" t="str">
        <f t="shared" si="500"/>
        <v>09/21/19</v>
      </c>
      <c r="H5729" t="str">
        <f t="shared" si="501"/>
        <v>Texas Rangers</v>
      </c>
      <c r="I5729" s="60">
        <f t="shared" si="502"/>
        <v>3</v>
      </c>
      <c r="J5729" t="str">
        <f t="shared" si="503"/>
        <v>Oakland Athletics</v>
      </c>
      <c r="K5729" s="60">
        <f t="shared" si="504"/>
        <v>12</v>
      </c>
      <c r="L5729">
        <f t="shared" si="505"/>
        <v>-9</v>
      </c>
    </row>
    <row r="5730" spans="1:12" x14ac:dyDescent="0.25">
      <c r="G5730" t="str">
        <f t="shared" ref="G5730:G5793" si="506">IF(ISNUMBER(MATCH(IFERROR(LEFT(A5730,SEARCH(",",A5730)-1),""),$G$220:$M$220,0)),TEXT(MID(A5730,SEARCH(",",A5730)+2,LEN(A5730)),"mm/dd/yy"),G5729)</f>
        <v>09/21/19</v>
      </c>
      <c r="H5730" t="str">
        <f t="shared" si="501"/>
        <v/>
      </c>
      <c r="I5730" s="60" t="str">
        <f t="shared" si="502"/>
        <v/>
      </c>
      <c r="J5730" t="str">
        <f t="shared" si="503"/>
        <v/>
      </c>
      <c r="K5730" s="60" t="str">
        <f t="shared" si="504"/>
        <v/>
      </c>
      <c r="L5730" t="str">
        <f t="shared" si="505"/>
        <v/>
      </c>
    </row>
    <row r="5731" spans="1:12" x14ac:dyDescent="0.25">
      <c r="A5731" t="s">
        <v>4649</v>
      </c>
      <c r="G5731" t="str">
        <f t="shared" si="506"/>
        <v>09/21/19</v>
      </c>
      <c r="H5731" t="str">
        <f t="shared" si="501"/>
        <v>Arizona D'Backs</v>
      </c>
      <c r="I5731" s="60">
        <f t="shared" si="502"/>
        <v>4</v>
      </c>
      <c r="J5731" t="str">
        <f t="shared" si="503"/>
        <v>San Diego Padres</v>
      </c>
      <c r="K5731" s="60">
        <f t="shared" si="504"/>
        <v>2</v>
      </c>
      <c r="L5731">
        <f t="shared" si="505"/>
        <v>2</v>
      </c>
    </row>
    <row r="5732" spans="1:12" x14ac:dyDescent="0.25">
      <c r="G5732" t="str">
        <f t="shared" si="506"/>
        <v>09/21/19</v>
      </c>
      <c r="H5732" t="str">
        <f t="shared" si="501"/>
        <v/>
      </c>
      <c r="I5732" s="60" t="str">
        <f t="shared" si="502"/>
        <v/>
      </c>
      <c r="J5732" t="str">
        <f t="shared" si="503"/>
        <v/>
      </c>
      <c r="K5732" s="60" t="str">
        <f t="shared" si="504"/>
        <v/>
      </c>
      <c r="L5732" t="str">
        <f t="shared" si="505"/>
        <v/>
      </c>
    </row>
    <row r="5733" spans="1:12" x14ac:dyDescent="0.25">
      <c r="A5733" t="s">
        <v>4636</v>
      </c>
      <c r="G5733" t="str">
        <f t="shared" si="506"/>
        <v>09/21/19</v>
      </c>
      <c r="H5733" t="str">
        <f t="shared" si="501"/>
        <v>Boston Red Sox</v>
      </c>
      <c r="I5733" s="60">
        <f t="shared" si="502"/>
        <v>4</v>
      </c>
      <c r="J5733" t="str">
        <f t="shared" si="503"/>
        <v>Tampa Bay Rays</v>
      </c>
      <c r="K5733" s="60">
        <f t="shared" si="504"/>
        <v>5</v>
      </c>
      <c r="L5733">
        <f t="shared" si="505"/>
        <v>-1</v>
      </c>
    </row>
    <row r="5734" spans="1:12" x14ac:dyDescent="0.25">
      <c r="G5734" t="str">
        <f t="shared" si="506"/>
        <v>09/21/19</v>
      </c>
      <c r="H5734" t="str">
        <f t="shared" si="501"/>
        <v/>
      </c>
      <c r="I5734" s="60" t="str">
        <f t="shared" si="502"/>
        <v/>
      </c>
      <c r="J5734" t="str">
        <f t="shared" si="503"/>
        <v/>
      </c>
      <c r="K5734" s="60" t="str">
        <f t="shared" si="504"/>
        <v/>
      </c>
      <c r="L5734" t="str">
        <f t="shared" si="505"/>
        <v/>
      </c>
    </row>
    <row r="5735" spans="1:12" x14ac:dyDescent="0.25">
      <c r="A5735" t="s">
        <v>4650</v>
      </c>
      <c r="G5735" t="str">
        <f t="shared" si="506"/>
        <v>09/21/19</v>
      </c>
      <c r="H5735" t="str">
        <f t="shared" si="501"/>
        <v/>
      </c>
      <c r="I5735" s="60" t="str">
        <f t="shared" si="502"/>
        <v/>
      </c>
      <c r="J5735" t="str">
        <f t="shared" si="503"/>
        <v/>
      </c>
      <c r="K5735" s="60" t="str">
        <f t="shared" si="504"/>
        <v/>
      </c>
      <c r="L5735" t="str">
        <f t="shared" si="505"/>
        <v/>
      </c>
    </row>
    <row r="5736" spans="1:12" x14ac:dyDescent="0.25">
      <c r="G5736" t="str">
        <f t="shared" si="506"/>
        <v>09/21/19</v>
      </c>
      <c r="H5736" t="str">
        <f t="shared" si="501"/>
        <v/>
      </c>
      <c r="I5736" s="60" t="str">
        <f t="shared" si="502"/>
        <v/>
      </c>
      <c r="J5736" t="str">
        <f t="shared" si="503"/>
        <v/>
      </c>
      <c r="K5736" s="60" t="str">
        <f t="shared" si="504"/>
        <v/>
      </c>
      <c r="L5736" t="str">
        <f t="shared" si="505"/>
        <v/>
      </c>
    </row>
    <row r="5737" spans="1:12" x14ac:dyDescent="0.25">
      <c r="A5737" t="s">
        <v>3318</v>
      </c>
      <c r="G5737" t="str">
        <f t="shared" si="506"/>
        <v>09/22/19</v>
      </c>
      <c r="H5737" t="str">
        <f t="shared" si="501"/>
        <v/>
      </c>
      <c r="I5737" s="60" t="str">
        <f t="shared" si="502"/>
        <v/>
      </c>
      <c r="J5737" t="str">
        <f t="shared" si="503"/>
        <v/>
      </c>
      <c r="K5737" s="60" t="str">
        <f t="shared" si="504"/>
        <v/>
      </c>
      <c r="L5737" t="str">
        <f t="shared" si="505"/>
        <v/>
      </c>
    </row>
    <row r="5738" spans="1:12" x14ac:dyDescent="0.25">
      <c r="G5738" t="str">
        <f t="shared" si="506"/>
        <v>09/22/19</v>
      </c>
      <c r="H5738" t="str">
        <f t="shared" si="501"/>
        <v/>
      </c>
      <c r="I5738" s="60" t="str">
        <f t="shared" si="502"/>
        <v/>
      </c>
      <c r="J5738" t="str">
        <f t="shared" si="503"/>
        <v/>
      </c>
      <c r="K5738" s="60" t="str">
        <f t="shared" si="504"/>
        <v/>
      </c>
      <c r="L5738" t="str">
        <f t="shared" si="505"/>
        <v/>
      </c>
    </row>
    <row r="5739" spans="1:12" x14ac:dyDescent="0.25">
      <c r="A5739" t="s">
        <v>4651</v>
      </c>
      <c r="G5739" t="str">
        <f t="shared" si="506"/>
        <v>09/22/19</v>
      </c>
      <c r="H5739" t="str">
        <f t="shared" si="501"/>
        <v>San Francisco Giants</v>
      </c>
      <c r="I5739" s="60">
        <f t="shared" si="502"/>
        <v>4</v>
      </c>
      <c r="J5739" t="str">
        <f t="shared" si="503"/>
        <v>Atlanta Braves</v>
      </c>
      <c r="K5739" s="60">
        <f t="shared" si="504"/>
        <v>1</v>
      </c>
      <c r="L5739">
        <f t="shared" si="505"/>
        <v>3</v>
      </c>
    </row>
    <row r="5740" spans="1:12" x14ac:dyDescent="0.25">
      <c r="G5740" t="str">
        <f t="shared" si="506"/>
        <v>09/22/19</v>
      </c>
      <c r="H5740" t="str">
        <f t="shared" si="501"/>
        <v/>
      </c>
      <c r="I5740" s="60" t="str">
        <f t="shared" si="502"/>
        <v/>
      </c>
      <c r="J5740" t="str">
        <f t="shared" si="503"/>
        <v/>
      </c>
      <c r="K5740" s="60" t="str">
        <f t="shared" si="504"/>
        <v/>
      </c>
      <c r="L5740" t="str">
        <f t="shared" si="505"/>
        <v/>
      </c>
    </row>
    <row r="5741" spans="1:12" x14ac:dyDescent="0.25">
      <c r="A5741" t="s">
        <v>4652</v>
      </c>
      <c r="G5741" t="str">
        <f t="shared" si="506"/>
        <v>09/22/19</v>
      </c>
      <c r="H5741" t="str">
        <f t="shared" si="501"/>
        <v>Seattle Mariners</v>
      </c>
      <c r="I5741" s="60">
        <f t="shared" si="502"/>
        <v>1</v>
      </c>
      <c r="J5741" t="str">
        <f t="shared" si="503"/>
        <v>Baltimore Orioles</v>
      </c>
      <c r="K5741" s="60">
        <f t="shared" si="504"/>
        <v>2</v>
      </c>
      <c r="L5741">
        <f t="shared" si="505"/>
        <v>-1</v>
      </c>
    </row>
    <row r="5742" spans="1:12" x14ac:dyDescent="0.25">
      <c r="G5742" t="str">
        <f t="shared" si="506"/>
        <v>09/22/19</v>
      </c>
      <c r="H5742" t="str">
        <f t="shared" si="501"/>
        <v/>
      </c>
      <c r="I5742" s="60" t="str">
        <f t="shared" si="502"/>
        <v/>
      </c>
      <c r="J5742" t="str">
        <f t="shared" si="503"/>
        <v/>
      </c>
      <c r="K5742" s="60" t="str">
        <f t="shared" si="504"/>
        <v/>
      </c>
      <c r="L5742" t="str">
        <f t="shared" si="505"/>
        <v/>
      </c>
    </row>
    <row r="5743" spans="1:12" x14ac:dyDescent="0.25">
      <c r="A5743" t="s">
        <v>4653</v>
      </c>
      <c r="G5743" t="str">
        <f t="shared" si="506"/>
        <v>09/22/19</v>
      </c>
      <c r="H5743" t="str">
        <f t="shared" si="501"/>
        <v>St. Louis Cardinals</v>
      </c>
      <c r="I5743" s="60">
        <f t="shared" si="502"/>
        <v>3</v>
      </c>
      <c r="J5743" t="str">
        <f t="shared" si="503"/>
        <v>Chicago Cubs</v>
      </c>
      <c r="K5743" s="60">
        <f t="shared" si="504"/>
        <v>2</v>
      </c>
      <c r="L5743">
        <f t="shared" si="505"/>
        <v>1</v>
      </c>
    </row>
    <row r="5744" spans="1:12" x14ac:dyDescent="0.25">
      <c r="G5744" t="str">
        <f t="shared" si="506"/>
        <v>09/22/19</v>
      </c>
      <c r="H5744" t="str">
        <f t="shared" si="501"/>
        <v/>
      </c>
      <c r="I5744" s="60" t="str">
        <f t="shared" si="502"/>
        <v/>
      </c>
      <c r="J5744" t="str">
        <f t="shared" si="503"/>
        <v/>
      </c>
      <c r="K5744" s="60" t="str">
        <f t="shared" si="504"/>
        <v/>
      </c>
      <c r="L5744" t="str">
        <f t="shared" si="505"/>
        <v/>
      </c>
    </row>
    <row r="5745" spans="1:12" x14ac:dyDescent="0.25">
      <c r="A5745" t="s">
        <v>4654</v>
      </c>
      <c r="G5745" t="str">
        <f t="shared" si="506"/>
        <v>09/22/19</v>
      </c>
      <c r="H5745" t="str">
        <f t="shared" si="501"/>
        <v>New York Mets</v>
      </c>
      <c r="I5745" s="60">
        <f t="shared" si="502"/>
        <v>6</v>
      </c>
      <c r="J5745" t="str">
        <f t="shared" si="503"/>
        <v>Cincinnati Reds</v>
      </c>
      <c r="K5745" s="60">
        <f t="shared" si="504"/>
        <v>3</v>
      </c>
      <c r="L5745">
        <f t="shared" si="505"/>
        <v>3</v>
      </c>
    </row>
    <row r="5746" spans="1:12" x14ac:dyDescent="0.25">
      <c r="G5746" t="str">
        <f t="shared" si="506"/>
        <v>09/22/19</v>
      </c>
      <c r="H5746" t="str">
        <f t="shared" si="501"/>
        <v/>
      </c>
      <c r="I5746" s="60" t="str">
        <f t="shared" si="502"/>
        <v/>
      </c>
      <c r="J5746" t="str">
        <f t="shared" si="503"/>
        <v/>
      </c>
      <c r="K5746" s="60" t="str">
        <f t="shared" si="504"/>
        <v/>
      </c>
      <c r="L5746" t="str">
        <f t="shared" si="505"/>
        <v/>
      </c>
    </row>
    <row r="5747" spans="1:12" x14ac:dyDescent="0.25">
      <c r="A5747" t="s">
        <v>4655</v>
      </c>
      <c r="G5747" t="str">
        <f t="shared" si="506"/>
        <v>09/22/19</v>
      </c>
      <c r="H5747" t="str">
        <f t="shared" si="501"/>
        <v>Philadelphia Phillies</v>
      </c>
      <c r="I5747" s="60">
        <f t="shared" si="502"/>
        <v>1</v>
      </c>
      <c r="J5747" t="str">
        <f t="shared" si="503"/>
        <v>Cleveland Indians</v>
      </c>
      <c r="K5747" s="60">
        <f t="shared" si="504"/>
        <v>10</v>
      </c>
      <c r="L5747">
        <f t="shared" si="505"/>
        <v>-9</v>
      </c>
    </row>
    <row r="5748" spans="1:12" x14ac:dyDescent="0.25">
      <c r="G5748" t="str">
        <f t="shared" si="506"/>
        <v>09/22/19</v>
      </c>
      <c r="H5748" t="str">
        <f t="shared" si="501"/>
        <v/>
      </c>
      <c r="I5748" s="60" t="str">
        <f t="shared" si="502"/>
        <v/>
      </c>
      <c r="J5748" t="str">
        <f t="shared" si="503"/>
        <v/>
      </c>
      <c r="K5748" s="60" t="str">
        <f t="shared" si="504"/>
        <v/>
      </c>
      <c r="L5748" t="str">
        <f t="shared" si="505"/>
        <v/>
      </c>
    </row>
    <row r="5749" spans="1:12" x14ac:dyDescent="0.25">
      <c r="A5749" t="s">
        <v>4656</v>
      </c>
      <c r="G5749" t="str">
        <f t="shared" si="506"/>
        <v>09/22/19</v>
      </c>
      <c r="H5749" t="str">
        <f t="shared" si="501"/>
        <v>Chicago White Sox</v>
      </c>
      <c r="I5749" s="60">
        <f t="shared" si="502"/>
        <v>3</v>
      </c>
      <c r="J5749" t="str">
        <f t="shared" si="503"/>
        <v>Detroit Tigers</v>
      </c>
      <c r="K5749" s="60">
        <f t="shared" si="504"/>
        <v>6</v>
      </c>
      <c r="L5749">
        <f t="shared" si="505"/>
        <v>-3</v>
      </c>
    </row>
    <row r="5750" spans="1:12" x14ac:dyDescent="0.25">
      <c r="G5750" t="str">
        <f t="shared" si="506"/>
        <v>09/22/19</v>
      </c>
      <c r="H5750" t="str">
        <f t="shared" si="501"/>
        <v/>
      </c>
      <c r="I5750" s="60" t="str">
        <f t="shared" si="502"/>
        <v/>
      </c>
      <c r="J5750" t="str">
        <f t="shared" si="503"/>
        <v/>
      </c>
      <c r="K5750" s="60" t="str">
        <f t="shared" si="504"/>
        <v/>
      </c>
      <c r="L5750" t="str">
        <f t="shared" si="505"/>
        <v/>
      </c>
    </row>
    <row r="5751" spans="1:12" x14ac:dyDescent="0.25">
      <c r="A5751" t="s">
        <v>4657</v>
      </c>
      <c r="G5751" t="str">
        <f t="shared" si="506"/>
        <v>09/22/19</v>
      </c>
      <c r="H5751" t="str">
        <f t="shared" si="501"/>
        <v>Los Angeles Angels</v>
      </c>
      <c r="I5751" s="60">
        <f t="shared" si="502"/>
        <v>5</v>
      </c>
      <c r="J5751" t="str">
        <f t="shared" si="503"/>
        <v>Houston Astros</v>
      </c>
      <c r="K5751" s="60">
        <f t="shared" si="504"/>
        <v>13</v>
      </c>
      <c r="L5751">
        <f t="shared" si="505"/>
        <v>-8</v>
      </c>
    </row>
    <row r="5752" spans="1:12" x14ac:dyDescent="0.25">
      <c r="G5752" t="str">
        <f t="shared" si="506"/>
        <v>09/22/19</v>
      </c>
      <c r="H5752" t="str">
        <f t="shared" si="501"/>
        <v/>
      </c>
      <c r="I5752" s="60" t="str">
        <f t="shared" si="502"/>
        <v/>
      </c>
      <c r="J5752" t="str">
        <f t="shared" si="503"/>
        <v/>
      </c>
      <c r="K5752" s="60" t="str">
        <f t="shared" si="504"/>
        <v/>
      </c>
      <c r="L5752" t="str">
        <f t="shared" si="505"/>
        <v/>
      </c>
    </row>
    <row r="5753" spans="1:12" x14ac:dyDescent="0.25">
      <c r="A5753" t="s">
        <v>4658</v>
      </c>
      <c r="G5753" t="str">
        <f t="shared" si="506"/>
        <v>09/22/19</v>
      </c>
      <c r="H5753" t="str">
        <f t="shared" si="501"/>
        <v>Colorado Rockies</v>
      </c>
      <c r="I5753" s="60">
        <f t="shared" si="502"/>
        <v>4</v>
      </c>
      <c r="J5753" t="str">
        <f t="shared" si="503"/>
        <v>Los Angeles Dodgers</v>
      </c>
      <c r="K5753" s="60">
        <f t="shared" si="504"/>
        <v>7</v>
      </c>
      <c r="L5753">
        <f t="shared" si="505"/>
        <v>-3</v>
      </c>
    </row>
    <row r="5754" spans="1:12" x14ac:dyDescent="0.25">
      <c r="G5754" t="str">
        <f t="shared" si="506"/>
        <v>09/22/19</v>
      </c>
      <c r="H5754" t="str">
        <f t="shared" si="501"/>
        <v/>
      </c>
      <c r="I5754" s="60" t="str">
        <f t="shared" si="502"/>
        <v/>
      </c>
      <c r="J5754" t="str">
        <f t="shared" si="503"/>
        <v/>
      </c>
      <c r="K5754" s="60" t="str">
        <f t="shared" si="504"/>
        <v/>
      </c>
      <c r="L5754" t="str">
        <f t="shared" si="505"/>
        <v/>
      </c>
    </row>
    <row r="5755" spans="1:12" x14ac:dyDescent="0.25">
      <c r="A5755" t="s">
        <v>4659</v>
      </c>
      <c r="G5755" t="str">
        <f t="shared" si="506"/>
        <v>09/22/19</v>
      </c>
      <c r="H5755" t="str">
        <f t="shared" si="501"/>
        <v>Washington Nationals</v>
      </c>
      <c r="I5755" s="60">
        <f t="shared" si="502"/>
        <v>3</v>
      </c>
      <c r="J5755" t="str">
        <f t="shared" si="503"/>
        <v>Miami Marlins</v>
      </c>
      <c r="K5755" s="60">
        <f t="shared" si="504"/>
        <v>5</v>
      </c>
      <c r="L5755">
        <f t="shared" si="505"/>
        <v>-2</v>
      </c>
    </row>
    <row r="5756" spans="1:12" x14ac:dyDescent="0.25">
      <c r="G5756" t="str">
        <f t="shared" si="506"/>
        <v>09/22/19</v>
      </c>
      <c r="H5756" t="str">
        <f t="shared" si="501"/>
        <v/>
      </c>
      <c r="I5756" s="60" t="str">
        <f t="shared" si="502"/>
        <v/>
      </c>
      <c r="J5756" t="str">
        <f t="shared" si="503"/>
        <v/>
      </c>
      <c r="K5756" s="60" t="str">
        <f t="shared" si="504"/>
        <v/>
      </c>
      <c r="L5756" t="str">
        <f t="shared" si="505"/>
        <v/>
      </c>
    </row>
    <row r="5757" spans="1:12" x14ac:dyDescent="0.25">
      <c r="A5757" t="s">
        <v>4660</v>
      </c>
      <c r="G5757" t="str">
        <f t="shared" si="506"/>
        <v>09/22/19</v>
      </c>
      <c r="H5757" t="str">
        <f t="shared" si="501"/>
        <v>Pittsburgh Pirates</v>
      </c>
      <c r="I5757" s="60">
        <f t="shared" si="502"/>
        <v>3</v>
      </c>
      <c r="J5757" t="str">
        <f t="shared" si="503"/>
        <v>Milwaukee Brewers</v>
      </c>
      <c r="K5757" s="60">
        <f t="shared" si="504"/>
        <v>4</v>
      </c>
      <c r="L5757">
        <f t="shared" si="505"/>
        <v>-1</v>
      </c>
    </row>
    <row r="5758" spans="1:12" x14ac:dyDescent="0.25">
      <c r="G5758" t="str">
        <f t="shared" si="506"/>
        <v>09/22/19</v>
      </c>
      <c r="H5758" t="str">
        <f t="shared" si="501"/>
        <v/>
      </c>
      <c r="I5758" s="60" t="str">
        <f t="shared" si="502"/>
        <v/>
      </c>
      <c r="J5758" t="str">
        <f t="shared" si="503"/>
        <v/>
      </c>
      <c r="K5758" s="60" t="str">
        <f t="shared" si="504"/>
        <v/>
      </c>
      <c r="L5758" t="str">
        <f t="shared" si="505"/>
        <v/>
      </c>
    </row>
    <row r="5759" spans="1:12" x14ac:dyDescent="0.25">
      <c r="A5759" t="s">
        <v>4661</v>
      </c>
      <c r="G5759" t="str">
        <f t="shared" si="506"/>
        <v>09/22/19</v>
      </c>
      <c r="H5759" t="str">
        <f t="shared" si="501"/>
        <v>Kansas City Royals</v>
      </c>
      <c r="I5759" s="60">
        <f t="shared" si="502"/>
        <v>8</v>
      </c>
      <c r="J5759" t="str">
        <f t="shared" si="503"/>
        <v>Minnesota Twins</v>
      </c>
      <c r="K5759" s="60">
        <f t="shared" si="504"/>
        <v>12</v>
      </c>
      <c r="L5759">
        <f t="shared" si="505"/>
        <v>-4</v>
      </c>
    </row>
    <row r="5760" spans="1:12" x14ac:dyDescent="0.25">
      <c r="G5760" t="str">
        <f t="shared" si="506"/>
        <v>09/22/19</v>
      </c>
      <c r="H5760" t="str">
        <f t="shared" si="501"/>
        <v/>
      </c>
      <c r="I5760" s="60" t="str">
        <f t="shared" si="502"/>
        <v/>
      </c>
      <c r="J5760" t="str">
        <f t="shared" si="503"/>
        <v/>
      </c>
      <c r="K5760" s="60" t="str">
        <f t="shared" si="504"/>
        <v/>
      </c>
      <c r="L5760" t="str">
        <f t="shared" si="505"/>
        <v/>
      </c>
    </row>
    <row r="5761" spans="1:12" x14ac:dyDescent="0.25">
      <c r="A5761" t="s">
        <v>4662</v>
      </c>
      <c r="G5761" t="str">
        <f t="shared" si="506"/>
        <v>09/22/19</v>
      </c>
      <c r="H5761" t="str">
        <f t="shared" si="501"/>
        <v>Toronto Blue Jays</v>
      </c>
      <c r="I5761" s="60">
        <f t="shared" si="502"/>
        <v>3</v>
      </c>
      <c r="J5761" t="str">
        <f t="shared" si="503"/>
        <v>New York Yankees</v>
      </c>
      <c r="K5761" s="60">
        <f t="shared" si="504"/>
        <v>8</v>
      </c>
      <c r="L5761">
        <f t="shared" si="505"/>
        <v>-5</v>
      </c>
    </row>
    <row r="5762" spans="1:12" x14ac:dyDescent="0.25">
      <c r="G5762" t="str">
        <f t="shared" si="506"/>
        <v>09/22/19</v>
      </c>
      <c r="H5762" t="str">
        <f t="shared" si="501"/>
        <v/>
      </c>
      <c r="I5762" s="60" t="str">
        <f t="shared" si="502"/>
        <v/>
      </c>
      <c r="J5762" t="str">
        <f t="shared" si="503"/>
        <v/>
      </c>
      <c r="K5762" s="60" t="str">
        <f t="shared" si="504"/>
        <v/>
      </c>
      <c r="L5762" t="str">
        <f t="shared" si="505"/>
        <v/>
      </c>
    </row>
    <row r="5763" spans="1:12" x14ac:dyDescent="0.25">
      <c r="A5763" t="s">
        <v>4663</v>
      </c>
      <c r="G5763" t="str">
        <f t="shared" si="506"/>
        <v>09/22/19</v>
      </c>
      <c r="H5763" t="str">
        <f t="shared" si="501"/>
        <v>Texas Rangers</v>
      </c>
      <c r="I5763" s="60">
        <f t="shared" si="502"/>
        <v>8</v>
      </c>
      <c r="J5763" t="str">
        <f t="shared" si="503"/>
        <v>Oakland Athletics</v>
      </c>
      <c r="K5763" s="60">
        <f t="shared" si="504"/>
        <v>3</v>
      </c>
      <c r="L5763">
        <f t="shared" si="505"/>
        <v>5</v>
      </c>
    </row>
    <row r="5764" spans="1:12" x14ac:dyDescent="0.25">
      <c r="G5764" t="str">
        <f t="shared" si="506"/>
        <v>09/22/19</v>
      </c>
      <c r="H5764" t="str">
        <f t="shared" si="501"/>
        <v/>
      </c>
      <c r="I5764" s="60" t="str">
        <f t="shared" si="502"/>
        <v/>
      </c>
      <c r="J5764" t="str">
        <f t="shared" si="503"/>
        <v/>
      </c>
      <c r="K5764" s="60" t="str">
        <f t="shared" si="504"/>
        <v/>
      </c>
      <c r="L5764" t="str">
        <f t="shared" si="505"/>
        <v/>
      </c>
    </row>
    <row r="5765" spans="1:12" x14ac:dyDescent="0.25">
      <c r="A5765" t="s">
        <v>4664</v>
      </c>
      <c r="G5765" t="str">
        <f t="shared" si="506"/>
        <v>09/22/19</v>
      </c>
      <c r="H5765" t="str">
        <f t="shared" si="501"/>
        <v>Arizona D'Backs</v>
      </c>
      <c r="I5765" s="60">
        <f t="shared" si="502"/>
        <v>4</v>
      </c>
      <c r="J5765" t="str">
        <f t="shared" si="503"/>
        <v>San Diego Padres</v>
      </c>
      <c r="K5765" s="60">
        <f t="shared" si="504"/>
        <v>6</v>
      </c>
      <c r="L5765">
        <f t="shared" si="505"/>
        <v>-2</v>
      </c>
    </row>
    <row r="5766" spans="1:12" x14ac:dyDescent="0.25">
      <c r="G5766" t="str">
        <f t="shared" si="506"/>
        <v>09/22/19</v>
      </c>
      <c r="H5766" t="str">
        <f t="shared" si="501"/>
        <v/>
      </c>
      <c r="I5766" s="60" t="str">
        <f t="shared" si="502"/>
        <v/>
      </c>
      <c r="J5766" t="str">
        <f t="shared" si="503"/>
        <v/>
      </c>
      <c r="K5766" s="60" t="str">
        <f t="shared" si="504"/>
        <v/>
      </c>
      <c r="L5766" t="str">
        <f t="shared" si="505"/>
        <v/>
      </c>
    </row>
    <row r="5767" spans="1:12" x14ac:dyDescent="0.25">
      <c r="A5767" t="s">
        <v>4665</v>
      </c>
      <c r="G5767" t="str">
        <f t="shared" si="506"/>
        <v>09/22/19</v>
      </c>
      <c r="H5767" t="str">
        <f t="shared" si="501"/>
        <v>Boston Red Sox</v>
      </c>
      <c r="I5767" s="60">
        <f t="shared" si="502"/>
        <v>7</v>
      </c>
      <c r="J5767" t="str">
        <f t="shared" si="503"/>
        <v>Tampa Bay Rays</v>
      </c>
      <c r="K5767" s="60">
        <f t="shared" si="504"/>
        <v>4</v>
      </c>
      <c r="L5767">
        <f t="shared" si="505"/>
        <v>3</v>
      </c>
    </row>
    <row r="5768" spans="1:12" x14ac:dyDescent="0.25">
      <c r="G5768" t="str">
        <f t="shared" si="506"/>
        <v>09/22/19</v>
      </c>
      <c r="H5768" t="str">
        <f t="shared" si="501"/>
        <v/>
      </c>
      <c r="I5768" s="60" t="str">
        <f t="shared" si="502"/>
        <v/>
      </c>
      <c r="J5768" t="str">
        <f t="shared" si="503"/>
        <v/>
      </c>
      <c r="K5768" s="60" t="str">
        <f t="shared" si="504"/>
        <v/>
      </c>
      <c r="L5768" t="str">
        <f t="shared" si="505"/>
        <v/>
      </c>
    </row>
    <row r="5769" spans="1:12" x14ac:dyDescent="0.25">
      <c r="A5769" t="s">
        <v>4666</v>
      </c>
      <c r="G5769" t="str">
        <f t="shared" si="506"/>
        <v>09/22/19</v>
      </c>
      <c r="H5769" t="str">
        <f t="shared" si="501"/>
        <v/>
      </c>
      <c r="I5769" s="60" t="str">
        <f t="shared" si="502"/>
        <v/>
      </c>
      <c r="J5769" t="str">
        <f t="shared" si="503"/>
        <v/>
      </c>
      <c r="K5769" s="60" t="str">
        <f t="shared" si="504"/>
        <v/>
      </c>
      <c r="L5769" t="str">
        <f t="shared" si="505"/>
        <v/>
      </c>
    </row>
    <row r="5770" spans="1:12" x14ac:dyDescent="0.25">
      <c r="G5770" t="str">
        <f t="shared" si="506"/>
        <v>09/22/19</v>
      </c>
      <c r="H5770" t="str">
        <f t="shared" si="501"/>
        <v/>
      </c>
      <c r="I5770" s="60" t="str">
        <f t="shared" si="502"/>
        <v/>
      </c>
      <c r="J5770" t="str">
        <f t="shared" si="503"/>
        <v/>
      </c>
      <c r="K5770" s="60" t="str">
        <f t="shared" si="504"/>
        <v/>
      </c>
      <c r="L5770" t="str">
        <f t="shared" si="505"/>
        <v/>
      </c>
    </row>
    <row r="5771" spans="1:12" x14ac:dyDescent="0.25">
      <c r="A5771" t="s">
        <v>3319</v>
      </c>
      <c r="G5771" t="str">
        <f t="shared" si="506"/>
        <v>09/23/19</v>
      </c>
      <c r="H5771" t="str">
        <f t="shared" si="501"/>
        <v/>
      </c>
      <c r="I5771" s="60" t="str">
        <f t="shared" si="502"/>
        <v/>
      </c>
      <c r="J5771" t="str">
        <f t="shared" si="503"/>
        <v/>
      </c>
      <c r="K5771" s="60" t="str">
        <f t="shared" si="504"/>
        <v/>
      </c>
      <c r="L5771" t="str">
        <f t="shared" si="505"/>
        <v/>
      </c>
    </row>
    <row r="5772" spans="1:12" x14ac:dyDescent="0.25">
      <c r="G5772" t="str">
        <f t="shared" si="506"/>
        <v>09/23/19</v>
      </c>
      <c r="H5772" t="str">
        <f t="shared" si="501"/>
        <v/>
      </c>
      <c r="I5772" s="60" t="str">
        <f t="shared" si="502"/>
        <v/>
      </c>
      <c r="J5772" t="str">
        <f t="shared" si="503"/>
        <v/>
      </c>
      <c r="K5772" s="60" t="str">
        <f t="shared" si="504"/>
        <v/>
      </c>
      <c r="L5772" t="str">
        <f t="shared" si="505"/>
        <v/>
      </c>
    </row>
    <row r="5773" spans="1:12" x14ac:dyDescent="0.25">
      <c r="A5773" t="s">
        <v>4667</v>
      </c>
      <c r="G5773" t="str">
        <f t="shared" si="506"/>
        <v>09/23/19</v>
      </c>
      <c r="H5773" t="str">
        <f t="shared" si="501"/>
        <v>St. Louis Cardinals</v>
      </c>
      <c r="I5773" s="60">
        <f t="shared" si="502"/>
        <v>9</v>
      </c>
      <c r="J5773" t="str">
        <f t="shared" si="503"/>
        <v>Arizona D'Backs</v>
      </c>
      <c r="K5773" s="60">
        <f t="shared" si="504"/>
        <v>7</v>
      </c>
      <c r="L5773">
        <f t="shared" si="505"/>
        <v>2</v>
      </c>
    </row>
    <row r="5774" spans="1:12" x14ac:dyDescent="0.25">
      <c r="G5774" t="str">
        <f t="shared" si="506"/>
        <v>09/23/19</v>
      </c>
      <c r="H5774" t="str">
        <f t="shared" si="501"/>
        <v/>
      </c>
      <c r="I5774" s="60" t="str">
        <f t="shared" si="502"/>
        <v/>
      </c>
      <c r="J5774" t="str">
        <f t="shared" si="503"/>
        <v/>
      </c>
      <c r="K5774" s="60" t="str">
        <f t="shared" si="504"/>
        <v/>
      </c>
      <c r="L5774" t="str">
        <f t="shared" si="505"/>
        <v/>
      </c>
    </row>
    <row r="5775" spans="1:12" x14ac:dyDescent="0.25">
      <c r="A5775" t="s">
        <v>4668</v>
      </c>
      <c r="G5775" t="str">
        <f t="shared" si="506"/>
        <v>09/23/19</v>
      </c>
      <c r="H5775" t="str">
        <f t="shared" si="501"/>
        <v>Miami Marlins</v>
      </c>
      <c r="I5775" s="60">
        <f t="shared" si="502"/>
        <v>8</v>
      </c>
      <c r="J5775" t="str">
        <f t="shared" si="503"/>
        <v>New York Mets</v>
      </c>
      <c r="K5775" s="60">
        <f t="shared" si="504"/>
        <v>4</v>
      </c>
      <c r="L5775">
        <f t="shared" si="505"/>
        <v>4</v>
      </c>
    </row>
    <row r="5776" spans="1:12" x14ac:dyDescent="0.25">
      <c r="G5776" t="str">
        <f t="shared" si="506"/>
        <v>09/23/19</v>
      </c>
      <c r="H5776" t="str">
        <f t="shared" ref="H5776:H5835" si="507">IFERROR(LEFT(MID(A5776,1,SEARCH("@",A5776)-2),SEARCH("(",A5776)-2),"")</f>
        <v/>
      </c>
      <c r="I5776" s="60" t="str">
        <f t="shared" ref="I5776:I5835" si="508">IFERROR(VALUE(MID(A5776,SEARCH("(",A5776)+1,SEARCH(")",A5776)-SEARCH("(",A5776)-1)),"")</f>
        <v/>
      </c>
      <c r="J5776" t="str">
        <f t="shared" ref="J5776:J5835" si="509">IFERROR(MID(A5776,SEARCH("@",A5776)+2,SEARCH("(",A5776,SEARCH("@",A5776))-SEARCH("@",A5776)-3),"")</f>
        <v/>
      </c>
      <c r="K5776" s="60" t="str">
        <f t="shared" ref="K5776:K5835" si="510">IFERROR(VALUE(MID(A5776,SEARCH(J5776,A5776)+LEN(J5776)+2,(SEARCH(")",A5776,SEARCH("@",A5776))-SEARCH("(",A5776,SEARCH("@",A5776))-1))),"")</f>
        <v/>
      </c>
      <c r="L5776" t="str">
        <f t="shared" ref="L5776:L5835" si="511">IFERROR(I5776-K5776,"")</f>
        <v/>
      </c>
    </row>
    <row r="5777" spans="1:12" x14ac:dyDescent="0.25">
      <c r="A5777" t="s">
        <v>4669</v>
      </c>
      <c r="G5777" t="str">
        <f t="shared" si="506"/>
        <v>09/23/19</v>
      </c>
      <c r="H5777" t="str">
        <f t="shared" si="507"/>
        <v>Boston Red Sox</v>
      </c>
      <c r="I5777" s="60">
        <f t="shared" si="508"/>
        <v>4</v>
      </c>
      <c r="J5777" t="str">
        <f t="shared" si="509"/>
        <v>Tampa Bay Rays</v>
      </c>
      <c r="K5777" s="60">
        <f t="shared" si="510"/>
        <v>7</v>
      </c>
      <c r="L5777">
        <f t="shared" si="511"/>
        <v>-3</v>
      </c>
    </row>
    <row r="5778" spans="1:12" x14ac:dyDescent="0.25">
      <c r="G5778" t="str">
        <f t="shared" si="506"/>
        <v>09/23/19</v>
      </c>
      <c r="H5778" t="str">
        <f t="shared" si="507"/>
        <v/>
      </c>
      <c r="I5778" s="60" t="str">
        <f t="shared" si="508"/>
        <v/>
      </c>
      <c r="J5778" t="str">
        <f t="shared" si="509"/>
        <v/>
      </c>
      <c r="K5778" s="60" t="str">
        <f t="shared" si="510"/>
        <v/>
      </c>
      <c r="L5778" t="str">
        <f t="shared" si="511"/>
        <v/>
      </c>
    </row>
    <row r="5779" spans="1:12" x14ac:dyDescent="0.25">
      <c r="A5779" t="s">
        <v>4670</v>
      </c>
      <c r="G5779" t="str">
        <f t="shared" si="506"/>
        <v>09/23/19</v>
      </c>
      <c r="H5779" t="str">
        <f t="shared" si="507"/>
        <v>Baltimore Orioles</v>
      </c>
      <c r="I5779" s="60">
        <f t="shared" si="508"/>
        <v>10</v>
      </c>
      <c r="J5779" t="str">
        <f t="shared" si="509"/>
        <v>Toronto Blue Jays</v>
      </c>
      <c r="K5779" s="60">
        <f t="shared" si="510"/>
        <v>11</v>
      </c>
      <c r="L5779">
        <f t="shared" si="511"/>
        <v>-1</v>
      </c>
    </row>
    <row r="5780" spans="1:12" x14ac:dyDescent="0.25">
      <c r="G5780" t="str">
        <f t="shared" si="506"/>
        <v>09/23/19</v>
      </c>
      <c r="H5780" t="str">
        <f t="shared" si="507"/>
        <v/>
      </c>
      <c r="I5780" s="60" t="str">
        <f t="shared" si="508"/>
        <v/>
      </c>
      <c r="J5780" t="str">
        <f t="shared" si="509"/>
        <v/>
      </c>
      <c r="K5780" s="60" t="str">
        <f t="shared" si="510"/>
        <v/>
      </c>
      <c r="L5780" t="str">
        <f t="shared" si="511"/>
        <v/>
      </c>
    </row>
    <row r="5781" spans="1:12" x14ac:dyDescent="0.25">
      <c r="A5781" t="s">
        <v>4671</v>
      </c>
      <c r="G5781" t="str">
        <f t="shared" si="506"/>
        <v>09/23/19</v>
      </c>
      <c r="H5781" t="str">
        <f t="shared" si="507"/>
        <v>Philadelphia Phillies</v>
      </c>
      <c r="I5781" s="60">
        <f t="shared" si="508"/>
        <v>2</v>
      </c>
      <c r="J5781" t="str">
        <f t="shared" si="509"/>
        <v>Washington Nationals</v>
      </c>
      <c r="K5781" s="60">
        <f t="shared" si="510"/>
        <v>7</v>
      </c>
      <c r="L5781">
        <f t="shared" si="511"/>
        <v>-5</v>
      </c>
    </row>
    <row r="5782" spans="1:12" x14ac:dyDescent="0.25">
      <c r="G5782" t="str">
        <f t="shared" si="506"/>
        <v>09/23/19</v>
      </c>
      <c r="H5782" t="str">
        <f t="shared" si="507"/>
        <v/>
      </c>
      <c r="I5782" s="60" t="str">
        <f t="shared" si="508"/>
        <v/>
      </c>
      <c r="J5782" t="str">
        <f t="shared" si="509"/>
        <v/>
      </c>
      <c r="K5782" s="60" t="str">
        <f t="shared" si="510"/>
        <v/>
      </c>
      <c r="L5782" t="str">
        <f t="shared" si="511"/>
        <v/>
      </c>
    </row>
    <row r="5783" spans="1:12" x14ac:dyDescent="0.25">
      <c r="A5783" t="s">
        <v>4672</v>
      </c>
      <c r="G5783" t="str">
        <f t="shared" si="506"/>
        <v>09/23/19</v>
      </c>
      <c r="H5783" t="str">
        <f t="shared" si="507"/>
        <v/>
      </c>
      <c r="I5783" s="60" t="str">
        <f t="shared" si="508"/>
        <v/>
      </c>
      <c r="J5783" t="str">
        <f t="shared" si="509"/>
        <v/>
      </c>
      <c r="K5783" s="60" t="str">
        <f t="shared" si="510"/>
        <v/>
      </c>
      <c r="L5783" t="str">
        <f t="shared" si="511"/>
        <v/>
      </c>
    </row>
    <row r="5784" spans="1:12" x14ac:dyDescent="0.25">
      <c r="G5784" t="str">
        <f t="shared" si="506"/>
        <v>09/23/19</v>
      </c>
      <c r="H5784" t="str">
        <f t="shared" si="507"/>
        <v/>
      </c>
      <c r="I5784" s="60" t="str">
        <f t="shared" si="508"/>
        <v/>
      </c>
      <c r="J5784" t="str">
        <f t="shared" si="509"/>
        <v/>
      </c>
      <c r="K5784" s="60" t="str">
        <f t="shared" si="510"/>
        <v/>
      </c>
      <c r="L5784" t="str">
        <f t="shared" si="511"/>
        <v/>
      </c>
    </row>
    <row r="5785" spans="1:12" x14ac:dyDescent="0.25">
      <c r="A5785" t="s">
        <v>3320</v>
      </c>
      <c r="G5785" t="str">
        <f t="shared" si="506"/>
        <v>09/24/19</v>
      </c>
      <c r="H5785" t="str">
        <f t="shared" si="507"/>
        <v/>
      </c>
      <c r="I5785" s="60" t="str">
        <f t="shared" si="508"/>
        <v/>
      </c>
      <c r="J5785" t="str">
        <f t="shared" si="509"/>
        <v/>
      </c>
      <c r="K5785" s="60" t="str">
        <f t="shared" si="510"/>
        <v/>
      </c>
      <c r="L5785" t="str">
        <f t="shared" si="511"/>
        <v/>
      </c>
    </row>
    <row r="5786" spans="1:12" x14ac:dyDescent="0.25">
      <c r="G5786" t="str">
        <f t="shared" si="506"/>
        <v>09/24/19</v>
      </c>
      <c r="H5786" t="str">
        <f t="shared" si="507"/>
        <v/>
      </c>
      <c r="I5786" s="60" t="str">
        <f t="shared" si="508"/>
        <v/>
      </c>
      <c r="J5786" t="str">
        <f t="shared" si="509"/>
        <v/>
      </c>
      <c r="K5786" s="60" t="str">
        <f t="shared" si="510"/>
        <v/>
      </c>
      <c r="L5786" t="str">
        <f t="shared" si="511"/>
        <v/>
      </c>
    </row>
    <row r="5787" spans="1:12" x14ac:dyDescent="0.25">
      <c r="A5787" t="s">
        <v>4673</v>
      </c>
      <c r="G5787" t="str">
        <f t="shared" si="506"/>
        <v>09/24/19</v>
      </c>
      <c r="H5787" t="str">
        <f t="shared" si="507"/>
        <v>Oakland Athletics</v>
      </c>
      <c r="I5787" s="60">
        <f t="shared" si="508"/>
        <v>2</v>
      </c>
      <c r="J5787" t="str">
        <f t="shared" si="509"/>
        <v>Los Angeles Angels</v>
      </c>
      <c r="K5787" s="60">
        <f t="shared" si="510"/>
        <v>3</v>
      </c>
      <c r="L5787">
        <f t="shared" si="511"/>
        <v>-1</v>
      </c>
    </row>
    <row r="5788" spans="1:12" x14ac:dyDescent="0.25">
      <c r="G5788" t="str">
        <f t="shared" si="506"/>
        <v>09/24/19</v>
      </c>
      <c r="H5788" t="str">
        <f t="shared" si="507"/>
        <v/>
      </c>
      <c r="I5788" s="60" t="str">
        <f t="shared" si="508"/>
        <v/>
      </c>
      <c r="J5788" t="str">
        <f t="shared" si="509"/>
        <v/>
      </c>
      <c r="K5788" s="60" t="str">
        <f t="shared" si="510"/>
        <v/>
      </c>
      <c r="L5788" t="str">
        <f t="shared" si="511"/>
        <v/>
      </c>
    </row>
    <row r="5789" spans="1:12" x14ac:dyDescent="0.25">
      <c r="A5789" t="s">
        <v>4674</v>
      </c>
      <c r="G5789" t="str">
        <f t="shared" si="506"/>
        <v>09/24/19</v>
      </c>
      <c r="H5789" t="str">
        <f t="shared" si="507"/>
        <v>St. Louis Cardinals</v>
      </c>
      <c r="I5789" s="60">
        <f t="shared" si="508"/>
        <v>2</v>
      </c>
      <c r="J5789" t="str">
        <f t="shared" si="509"/>
        <v>Arizona D'Backs</v>
      </c>
      <c r="K5789" s="60">
        <f t="shared" si="510"/>
        <v>3</v>
      </c>
      <c r="L5789">
        <f t="shared" si="511"/>
        <v>-1</v>
      </c>
    </row>
    <row r="5790" spans="1:12" x14ac:dyDescent="0.25">
      <c r="G5790" t="str">
        <f t="shared" si="506"/>
        <v>09/24/19</v>
      </c>
      <c r="H5790" t="str">
        <f t="shared" si="507"/>
        <v/>
      </c>
      <c r="I5790" s="60" t="str">
        <f t="shared" si="508"/>
        <v/>
      </c>
      <c r="J5790" t="str">
        <f t="shared" si="509"/>
        <v/>
      </c>
      <c r="K5790" s="60" t="str">
        <f t="shared" si="510"/>
        <v/>
      </c>
      <c r="L5790" t="str">
        <f t="shared" si="511"/>
        <v/>
      </c>
    </row>
    <row r="5791" spans="1:12" x14ac:dyDescent="0.25">
      <c r="A5791" t="s">
        <v>4675</v>
      </c>
      <c r="G5791" t="str">
        <f t="shared" si="506"/>
        <v>09/24/19</v>
      </c>
      <c r="H5791" t="str">
        <f t="shared" si="507"/>
        <v>Cleveland Indians</v>
      </c>
      <c r="I5791" s="60">
        <f t="shared" si="508"/>
        <v>11</v>
      </c>
      <c r="J5791" t="str">
        <f t="shared" si="509"/>
        <v>Chicago White Sox</v>
      </c>
      <c r="K5791" s="60">
        <f t="shared" si="510"/>
        <v>0</v>
      </c>
      <c r="L5791">
        <f t="shared" si="511"/>
        <v>11</v>
      </c>
    </row>
    <row r="5792" spans="1:12" x14ac:dyDescent="0.25">
      <c r="G5792" t="str">
        <f t="shared" si="506"/>
        <v>09/24/19</v>
      </c>
      <c r="H5792" t="str">
        <f t="shared" si="507"/>
        <v/>
      </c>
      <c r="I5792" s="60" t="str">
        <f t="shared" si="508"/>
        <v/>
      </c>
      <c r="J5792" t="str">
        <f t="shared" si="509"/>
        <v/>
      </c>
      <c r="K5792" s="60" t="str">
        <f t="shared" si="510"/>
        <v/>
      </c>
      <c r="L5792" t="str">
        <f t="shared" si="511"/>
        <v/>
      </c>
    </row>
    <row r="5793" spans="1:12" x14ac:dyDescent="0.25">
      <c r="A5793" t="s">
        <v>4676</v>
      </c>
      <c r="G5793" t="str">
        <f t="shared" si="506"/>
        <v>09/24/19</v>
      </c>
      <c r="H5793" t="str">
        <f t="shared" si="507"/>
        <v>Milwaukee Brewers</v>
      </c>
      <c r="I5793" s="60">
        <f t="shared" si="508"/>
        <v>4</v>
      </c>
      <c r="J5793" t="str">
        <f t="shared" si="509"/>
        <v>Cincinnati Reds</v>
      </c>
      <c r="K5793" s="60">
        <f t="shared" si="510"/>
        <v>2</v>
      </c>
      <c r="L5793">
        <f t="shared" si="511"/>
        <v>2</v>
      </c>
    </row>
    <row r="5794" spans="1:12" x14ac:dyDescent="0.25">
      <c r="G5794" t="str">
        <f t="shared" ref="G5794:G5835" si="512">IF(ISNUMBER(MATCH(IFERROR(LEFT(A5794,SEARCH(",",A5794)-1),""),$G$220:$M$220,0)),TEXT(MID(A5794,SEARCH(",",A5794)+2,LEN(A5794)),"mm/dd/yy"),G5793)</f>
        <v>09/24/19</v>
      </c>
      <c r="H5794" t="str">
        <f t="shared" si="507"/>
        <v/>
      </c>
      <c r="I5794" s="60" t="str">
        <f t="shared" si="508"/>
        <v/>
      </c>
      <c r="J5794" t="str">
        <f t="shared" si="509"/>
        <v/>
      </c>
      <c r="K5794" s="60" t="str">
        <f t="shared" si="510"/>
        <v/>
      </c>
      <c r="L5794" t="str">
        <f t="shared" si="511"/>
        <v/>
      </c>
    </row>
    <row r="5795" spans="1:12" x14ac:dyDescent="0.25">
      <c r="A5795" t="s">
        <v>4677</v>
      </c>
      <c r="G5795" t="str">
        <f t="shared" si="512"/>
        <v>09/24/19</v>
      </c>
      <c r="H5795" t="str">
        <f t="shared" si="507"/>
        <v>Minnesota Twins</v>
      </c>
      <c r="I5795" s="60">
        <f t="shared" si="508"/>
        <v>4</v>
      </c>
      <c r="J5795" t="str">
        <f t="shared" si="509"/>
        <v>Detroit Tigers</v>
      </c>
      <c r="K5795" s="60">
        <f t="shared" si="510"/>
        <v>2</v>
      </c>
      <c r="L5795">
        <f t="shared" si="511"/>
        <v>2</v>
      </c>
    </row>
    <row r="5796" spans="1:12" x14ac:dyDescent="0.25">
      <c r="G5796" t="str">
        <f t="shared" si="512"/>
        <v>09/24/19</v>
      </c>
      <c r="H5796" t="str">
        <f t="shared" si="507"/>
        <v/>
      </c>
      <c r="I5796" s="60" t="str">
        <f t="shared" si="508"/>
        <v/>
      </c>
      <c r="J5796" t="str">
        <f t="shared" si="509"/>
        <v/>
      </c>
      <c r="K5796" s="60" t="str">
        <f t="shared" si="510"/>
        <v/>
      </c>
      <c r="L5796" t="str">
        <f t="shared" si="511"/>
        <v/>
      </c>
    </row>
    <row r="5797" spans="1:12" x14ac:dyDescent="0.25">
      <c r="A5797" t="s">
        <v>4678</v>
      </c>
      <c r="G5797" t="str">
        <f t="shared" si="512"/>
        <v>09/24/19</v>
      </c>
      <c r="H5797" t="str">
        <f t="shared" si="507"/>
        <v>Atlanta Braves</v>
      </c>
      <c r="I5797" s="60">
        <f t="shared" si="508"/>
        <v>6</v>
      </c>
      <c r="J5797" t="str">
        <f t="shared" si="509"/>
        <v>Kansas City Royals</v>
      </c>
      <c r="K5797" s="60">
        <f t="shared" si="510"/>
        <v>9</v>
      </c>
      <c r="L5797">
        <f t="shared" si="511"/>
        <v>-3</v>
      </c>
    </row>
    <row r="5798" spans="1:12" x14ac:dyDescent="0.25">
      <c r="G5798" t="str">
        <f t="shared" si="512"/>
        <v>09/24/19</v>
      </c>
      <c r="H5798" t="str">
        <f t="shared" si="507"/>
        <v/>
      </c>
      <c r="I5798" s="60" t="str">
        <f t="shared" si="508"/>
        <v/>
      </c>
      <c r="J5798" t="str">
        <f t="shared" si="509"/>
        <v/>
      </c>
      <c r="K5798" s="60" t="str">
        <f t="shared" si="510"/>
        <v/>
      </c>
      <c r="L5798" t="str">
        <f t="shared" si="511"/>
        <v/>
      </c>
    </row>
    <row r="5799" spans="1:12" x14ac:dyDescent="0.25">
      <c r="A5799" t="s">
        <v>3770</v>
      </c>
      <c r="G5799" t="str">
        <f t="shared" si="512"/>
        <v>09/24/19</v>
      </c>
      <c r="H5799" t="str">
        <f t="shared" si="507"/>
        <v>Miami Marlins</v>
      </c>
      <c r="I5799" s="60">
        <f t="shared" si="508"/>
        <v>4</v>
      </c>
      <c r="J5799" t="str">
        <f t="shared" si="509"/>
        <v>New York Mets</v>
      </c>
      <c r="K5799" s="60">
        <f t="shared" si="510"/>
        <v>5</v>
      </c>
      <c r="L5799">
        <f t="shared" si="511"/>
        <v>-1</v>
      </c>
    </row>
    <row r="5800" spans="1:12" x14ac:dyDescent="0.25">
      <c r="G5800" t="str">
        <f t="shared" si="512"/>
        <v>09/24/19</v>
      </c>
      <c r="H5800" t="str">
        <f t="shared" si="507"/>
        <v/>
      </c>
      <c r="I5800" s="60" t="str">
        <f t="shared" si="508"/>
        <v/>
      </c>
      <c r="J5800" t="str">
        <f t="shared" si="509"/>
        <v/>
      </c>
      <c r="K5800" s="60" t="str">
        <f t="shared" si="510"/>
        <v/>
      </c>
      <c r="L5800" t="str">
        <f t="shared" si="511"/>
        <v/>
      </c>
    </row>
    <row r="5801" spans="1:12" x14ac:dyDescent="0.25">
      <c r="A5801" t="s">
        <v>4679</v>
      </c>
      <c r="G5801" t="str">
        <f t="shared" si="512"/>
        <v>09/24/19</v>
      </c>
      <c r="H5801" t="str">
        <f t="shared" si="507"/>
        <v>Chicago Cubs</v>
      </c>
      <c r="I5801" s="60">
        <f t="shared" si="508"/>
        <v>2</v>
      </c>
      <c r="J5801" t="str">
        <f t="shared" si="509"/>
        <v>Pittsburgh Pirates</v>
      </c>
      <c r="K5801" s="60">
        <f t="shared" si="510"/>
        <v>9</v>
      </c>
      <c r="L5801">
        <f t="shared" si="511"/>
        <v>-7</v>
      </c>
    </row>
    <row r="5802" spans="1:12" x14ac:dyDescent="0.25">
      <c r="G5802" t="str">
        <f t="shared" si="512"/>
        <v>09/24/19</v>
      </c>
      <c r="H5802" t="str">
        <f t="shared" si="507"/>
        <v/>
      </c>
      <c r="I5802" s="60" t="str">
        <f t="shared" si="508"/>
        <v/>
      </c>
      <c r="J5802" t="str">
        <f t="shared" si="509"/>
        <v/>
      </c>
      <c r="K5802" s="60" t="str">
        <f t="shared" si="510"/>
        <v/>
      </c>
      <c r="L5802" t="str">
        <f t="shared" si="511"/>
        <v/>
      </c>
    </row>
    <row r="5803" spans="1:12" x14ac:dyDescent="0.25">
      <c r="A5803" t="s">
        <v>4680</v>
      </c>
      <c r="G5803" t="str">
        <f t="shared" si="512"/>
        <v>09/24/19</v>
      </c>
      <c r="H5803" t="str">
        <f t="shared" si="507"/>
        <v>Los Angeles Dodgers</v>
      </c>
      <c r="I5803" s="60">
        <f t="shared" si="508"/>
        <v>6</v>
      </c>
      <c r="J5803" t="str">
        <f t="shared" si="509"/>
        <v>San Diego Padres</v>
      </c>
      <c r="K5803" s="60">
        <f t="shared" si="510"/>
        <v>3</v>
      </c>
      <c r="L5803">
        <f t="shared" si="511"/>
        <v>3</v>
      </c>
    </row>
    <row r="5804" spans="1:12" x14ac:dyDescent="0.25">
      <c r="G5804" t="str">
        <f t="shared" si="512"/>
        <v>09/24/19</v>
      </c>
      <c r="H5804" t="str">
        <f t="shared" si="507"/>
        <v/>
      </c>
      <c r="I5804" s="60" t="str">
        <f t="shared" si="508"/>
        <v/>
      </c>
      <c r="J5804" t="str">
        <f t="shared" si="509"/>
        <v/>
      </c>
      <c r="K5804" s="60" t="str">
        <f t="shared" si="510"/>
        <v/>
      </c>
      <c r="L5804" t="str">
        <f t="shared" si="511"/>
        <v/>
      </c>
    </row>
    <row r="5805" spans="1:12" x14ac:dyDescent="0.25">
      <c r="A5805" t="s">
        <v>4681</v>
      </c>
      <c r="G5805" t="str">
        <f t="shared" si="512"/>
        <v>09/24/19</v>
      </c>
      <c r="H5805" t="str">
        <f t="shared" si="507"/>
        <v>Houston Astros</v>
      </c>
      <c r="I5805" s="60">
        <f t="shared" si="508"/>
        <v>3</v>
      </c>
      <c r="J5805" t="str">
        <f t="shared" si="509"/>
        <v>Seattle Mariners</v>
      </c>
      <c r="K5805" s="60">
        <f t="shared" si="510"/>
        <v>0</v>
      </c>
      <c r="L5805">
        <f t="shared" si="511"/>
        <v>3</v>
      </c>
    </row>
    <row r="5806" spans="1:12" x14ac:dyDescent="0.25">
      <c r="G5806" t="str">
        <f t="shared" si="512"/>
        <v>09/24/19</v>
      </c>
      <c r="H5806" t="str">
        <f t="shared" si="507"/>
        <v/>
      </c>
      <c r="I5806" s="60" t="str">
        <f t="shared" si="508"/>
        <v/>
      </c>
      <c r="J5806" t="str">
        <f t="shared" si="509"/>
        <v/>
      </c>
      <c r="K5806" s="60" t="str">
        <f t="shared" si="510"/>
        <v/>
      </c>
      <c r="L5806" t="str">
        <f t="shared" si="511"/>
        <v/>
      </c>
    </row>
    <row r="5807" spans="1:12" x14ac:dyDescent="0.25">
      <c r="A5807" t="s">
        <v>4682</v>
      </c>
      <c r="G5807" t="str">
        <f t="shared" si="512"/>
        <v>09/24/19</v>
      </c>
      <c r="H5807" t="str">
        <f t="shared" si="507"/>
        <v>Colorado Rockies</v>
      </c>
      <c r="I5807" s="60">
        <f t="shared" si="508"/>
        <v>8</v>
      </c>
      <c r="J5807" t="str">
        <f t="shared" si="509"/>
        <v>San Francisco Giants</v>
      </c>
      <c r="K5807" s="60">
        <f t="shared" si="510"/>
        <v>5</v>
      </c>
      <c r="L5807">
        <f t="shared" si="511"/>
        <v>3</v>
      </c>
    </row>
    <row r="5808" spans="1:12" x14ac:dyDescent="0.25">
      <c r="G5808" t="str">
        <f t="shared" si="512"/>
        <v>09/24/19</v>
      </c>
      <c r="H5808" t="str">
        <f t="shared" si="507"/>
        <v/>
      </c>
      <c r="I5808" s="60" t="str">
        <f t="shared" si="508"/>
        <v/>
      </c>
      <c r="J5808" t="str">
        <f t="shared" si="509"/>
        <v/>
      </c>
      <c r="K5808" s="60" t="str">
        <f t="shared" si="510"/>
        <v/>
      </c>
      <c r="L5808" t="str">
        <f t="shared" si="511"/>
        <v/>
      </c>
    </row>
    <row r="5809" spans="1:12" x14ac:dyDescent="0.25">
      <c r="A5809" t="s">
        <v>3160</v>
      </c>
      <c r="G5809" t="str">
        <f t="shared" si="512"/>
        <v>09/24/19</v>
      </c>
      <c r="H5809" t="str">
        <f t="shared" si="507"/>
        <v>New York Yankees</v>
      </c>
      <c r="I5809" s="60">
        <f t="shared" si="508"/>
        <v>1</v>
      </c>
      <c r="J5809" t="str">
        <f t="shared" si="509"/>
        <v>Tampa Bay Rays</v>
      </c>
      <c r="K5809" s="60">
        <f t="shared" si="510"/>
        <v>2</v>
      </c>
      <c r="L5809">
        <f t="shared" si="511"/>
        <v>-1</v>
      </c>
    </row>
    <row r="5810" spans="1:12" x14ac:dyDescent="0.25">
      <c r="G5810" t="str">
        <f t="shared" si="512"/>
        <v>09/24/19</v>
      </c>
      <c r="H5810" t="str">
        <f t="shared" si="507"/>
        <v/>
      </c>
      <c r="I5810" s="60" t="str">
        <f t="shared" si="508"/>
        <v/>
      </c>
      <c r="J5810" t="str">
        <f t="shared" si="509"/>
        <v/>
      </c>
      <c r="K5810" s="60" t="str">
        <f t="shared" si="510"/>
        <v/>
      </c>
      <c r="L5810" t="str">
        <f t="shared" si="511"/>
        <v/>
      </c>
    </row>
    <row r="5811" spans="1:12" x14ac:dyDescent="0.25">
      <c r="A5811" t="s">
        <v>4683</v>
      </c>
      <c r="G5811" t="str">
        <f t="shared" si="512"/>
        <v>09/24/19</v>
      </c>
      <c r="H5811" t="str">
        <f t="shared" si="507"/>
        <v>Boston Red Sox</v>
      </c>
      <c r="I5811" s="60">
        <f t="shared" si="508"/>
        <v>12</v>
      </c>
      <c r="J5811" t="str">
        <f t="shared" si="509"/>
        <v>Texas Rangers</v>
      </c>
      <c r="K5811" s="60">
        <f t="shared" si="510"/>
        <v>10</v>
      </c>
      <c r="L5811">
        <f t="shared" si="511"/>
        <v>2</v>
      </c>
    </row>
    <row r="5812" spans="1:12" x14ac:dyDescent="0.25">
      <c r="G5812" t="str">
        <f t="shared" si="512"/>
        <v>09/24/19</v>
      </c>
      <c r="H5812" t="str">
        <f t="shared" si="507"/>
        <v/>
      </c>
      <c r="I5812" s="60" t="str">
        <f t="shared" si="508"/>
        <v/>
      </c>
      <c r="J5812" t="str">
        <f t="shared" si="509"/>
        <v/>
      </c>
      <c r="K5812" s="60" t="str">
        <f t="shared" si="510"/>
        <v/>
      </c>
      <c r="L5812" t="str">
        <f t="shared" si="511"/>
        <v/>
      </c>
    </row>
    <row r="5813" spans="1:12" x14ac:dyDescent="0.25">
      <c r="A5813" t="s">
        <v>4684</v>
      </c>
      <c r="G5813" t="str">
        <f t="shared" si="512"/>
        <v>09/24/19</v>
      </c>
      <c r="H5813" t="str">
        <f t="shared" si="507"/>
        <v>Baltimore Orioles</v>
      </c>
      <c r="I5813" s="60">
        <f t="shared" si="508"/>
        <v>11</v>
      </c>
      <c r="J5813" t="str">
        <f t="shared" si="509"/>
        <v>Toronto Blue Jays</v>
      </c>
      <c r="K5813" s="60">
        <f t="shared" si="510"/>
        <v>4</v>
      </c>
      <c r="L5813">
        <f t="shared" si="511"/>
        <v>7</v>
      </c>
    </row>
    <row r="5814" spans="1:12" x14ac:dyDescent="0.25">
      <c r="G5814" t="str">
        <f t="shared" si="512"/>
        <v>09/24/19</v>
      </c>
      <c r="H5814" t="str">
        <f t="shared" si="507"/>
        <v/>
      </c>
      <c r="I5814" s="60" t="str">
        <f t="shared" si="508"/>
        <v/>
      </c>
      <c r="J5814" t="str">
        <f t="shared" si="509"/>
        <v/>
      </c>
      <c r="K5814" s="60" t="str">
        <f t="shared" si="510"/>
        <v/>
      </c>
      <c r="L5814" t="str">
        <f t="shared" si="511"/>
        <v/>
      </c>
    </row>
    <row r="5815" spans="1:12" x14ac:dyDescent="0.25">
      <c r="A5815" t="s">
        <v>4685</v>
      </c>
      <c r="G5815" t="str">
        <f t="shared" si="512"/>
        <v>09/24/19</v>
      </c>
      <c r="H5815" t="str">
        <f t="shared" si="507"/>
        <v>Philadelphia Phillies</v>
      </c>
      <c r="I5815" s="60">
        <f t="shared" si="508"/>
        <v>1</v>
      </c>
      <c r="J5815" t="str">
        <f t="shared" si="509"/>
        <v>Washington Nationals</v>
      </c>
      <c r="K5815" s="60">
        <f t="shared" si="510"/>
        <v>4</v>
      </c>
      <c r="L5815">
        <f t="shared" si="511"/>
        <v>-3</v>
      </c>
    </row>
    <row r="5816" spans="1:12" x14ac:dyDescent="0.25">
      <c r="G5816" t="str">
        <f t="shared" si="512"/>
        <v>09/24/19</v>
      </c>
      <c r="H5816" t="str">
        <f t="shared" si="507"/>
        <v/>
      </c>
      <c r="I5816" s="60" t="str">
        <f t="shared" si="508"/>
        <v/>
      </c>
      <c r="J5816" t="str">
        <f t="shared" si="509"/>
        <v/>
      </c>
      <c r="K5816" s="60" t="str">
        <f t="shared" si="510"/>
        <v/>
      </c>
      <c r="L5816" t="str">
        <f t="shared" si="511"/>
        <v/>
      </c>
    </row>
    <row r="5817" spans="1:12" x14ac:dyDescent="0.25">
      <c r="A5817" t="s">
        <v>4686</v>
      </c>
      <c r="G5817" t="str">
        <f t="shared" si="512"/>
        <v>09/24/19</v>
      </c>
      <c r="H5817" t="str">
        <f t="shared" si="507"/>
        <v>Philadelphia Phillies</v>
      </c>
      <c r="I5817" s="60">
        <f t="shared" si="508"/>
        <v>5</v>
      </c>
      <c r="J5817" t="str">
        <f t="shared" si="509"/>
        <v>Washington Nationals</v>
      </c>
      <c r="K5817" s="60">
        <f t="shared" si="510"/>
        <v>6</v>
      </c>
      <c r="L5817">
        <f t="shared" si="511"/>
        <v>-1</v>
      </c>
    </row>
    <row r="5818" spans="1:12" x14ac:dyDescent="0.25">
      <c r="G5818" t="str">
        <f t="shared" si="512"/>
        <v>09/24/19</v>
      </c>
      <c r="H5818" t="str">
        <f t="shared" si="507"/>
        <v/>
      </c>
      <c r="I5818" s="60" t="str">
        <f t="shared" si="508"/>
        <v/>
      </c>
      <c r="J5818" t="str">
        <f t="shared" si="509"/>
        <v/>
      </c>
      <c r="K5818" s="60" t="str">
        <f t="shared" si="510"/>
        <v/>
      </c>
      <c r="L5818" t="str">
        <f t="shared" si="511"/>
        <v/>
      </c>
    </row>
    <row r="5819" spans="1:12" x14ac:dyDescent="0.25">
      <c r="A5819" t="s">
        <v>4687</v>
      </c>
      <c r="G5819" t="str">
        <f t="shared" si="512"/>
        <v>09/24/19</v>
      </c>
      <c r="H5819" t="str">
        <f t="shared" si="507"/>
        <v/>
      </c>
      <c r="I5819" s="60" t="str">
        <f t="shared" si="508"/>
        <v/>
      </c>
      <c r="J5819" t="str">
        <f t="shared" si="509"/>
        <v/>
      </c>
      <c r="K5819" s="60" t="str">
        <f t="shared" si="510"/>
        <v/>
      </c>
      <c r="L5819" t="str">
        <f t="shared" si="511"/>
        <v/>
      </c>
    </row>
    <row r="5820" spans="1:12" x14ac:dyDescent="0.25">
      <c r="G5820" t="str">
        <f t="shared" si="512"/>
        <v>09/24/19</v>
      </c>
      <c r="H5820" t="str">
        <f t="shared" si="507"/>
        <v/>
      </c>
      <c r="I5820" s="60" t="str">
        <f t="shared" si="508"/>
        <v/>
      </c>
      <c r="J5820" t="str">
        <f t="shared" si="509"/>
        <v/>
      </c>
      <c r="K5820" s="60" t="str">
        <f t="shared" si="510"/>
        <v/>
      </c>
      <c r="L5820" t="str">
        <f t="shared" si="511"/>
        <v/>
      </c>
    </row>
    <row r="5821" spans="1:12" x14ac:dyDescent="0.25">
      <c r="A5821" t="s">
        <v>3321</v>
      </c>
      <c r="G5821" t="str">
        <f t="shared" si="512"/>
        <v>09/25/19</v>
      </c>
      <c r="H5821" t="str">
        <f t="shared" si="507"/>
        <v/>
      </c>
      <c r="I5821" s="60" t="str">
        <f t="shared" si="508"/>
        <v/>
      </c>
      <c r="J5821" t="str">
        <f t="shared" si="509"/>
        <v/>
      </c>
      <c r="K5821" s="60" t="str">
        <f t="shared" si="510"/>
        <v/>
      </c>
      <c r="L5821" t="str">
        <f t="shared" si="511"/>
        <v/>
      </c>
    </row>
    <row r="5822" spans="1:12" x14ac:dyDescent="0.25">
      <c r="G5822" t="str">
        <f t="shared" si="512"/>
        <v>09/25/19</v>
      </c>
      <c r="H5822" t="str">
        <f t="shared" si="507"/>
        <v/>
      </c>
      <c r="I5822" s="60" t="str">
        <f t="shared" si="508"/>
        <v/>
      </c>
      <c r="J5822" t="str">
        <f t="shared" si="509"/>
        <v/>
      </c>
      <c r="K5822" s="60" t="str">
        <f t="shared" si="510"/>
        <v/>
      </c>
      <c r="L5822" t="str">
        <f t="shared" si="511"/>
        <v/>
      </c>
    </row>
    <row r="5823" spans="1:12" x14ac:dyDescent="0.25">
      <c r="A5823" t="s">
        <v>4688</v>
      </c>
      <c r="G5823" t="str">
        <f t="shared" si="512"/>
        <v>09/25/19</v>
      </c>
      <c r="H5823" t="str">
        <f t="shared" si="507"/>
        <v>Oakland Athletics</v>
      </c>
      <c r="I5823" s="60">
        <f t="shared" si="508"/>
        <v>3</v>
      </c>
      <c r="J5823" t="str">
        <f t="shared" si="509"/>
        <v>Los Angeles Angels</v>
      </c>
      <c r="K5823" s="60">
        <f t="shared" si="510"/>
        <v>2</v>
      </c>
      <c r="L5823">
        <f t="shared" si="511"/>
        <v>1</v>
      </c>
    </row>
    <row r="5824" spans="1:12" x14ac:dyDescent="0.25">
      <c r="G5824" t="str">
        <f t="shared" si="512"/>
        <v>09/25/19</v>
      </c>
      <c r="H5824" t="str">
        <f t="shared" si="507"/>
        <v/>
      </c>
      <c r="I5824" s="60" t="str">
        <f t="shared" si="508"/>
        <v/>
      </c>
      <c r="J5824" t="str">
        <f t="shared" si="509"/>
        <v/>
      </c>
      <c r="K5824" s="60" t="str">
        <f t="shared" si="510"/>
        <v/>
      </c>
      <c r="L5824" t="str">
        <f t="shared" si="511"/>
        <v/>
      </c>
    </row>
    <row r="5825" spans="1:23" x14ac:dyDescent="0.25">
      <c r="A5825" t="s">
        <v>4689</v>
      </c>
      <c r="G5825" t="str">
        <f t="shared" si="512"/>
        <v>09/25/19</v>
      </c>
      <c r="H5825" t="str">
        <f t="shared" si="507"/>
        <v>St. Louis Cardinals</v>
      </c>
      <c r="I5825" s="60">
        <f t="shared" si="508"/>
        <v>7</v>
      </c>
      <c r="J5825" t="str">
        <f t="shared" si="509"/>
        <v>Arizona D'Backs</v>
      </c>
      <c r="K5825" s="60">
        <f t="shared" si="510"/>
        <v>9</v>
      </c>
      <c r="L5825">
        <f t="shared" si="511"/>
        <v>-2</v>
      </c>
    </row>
    <row r="5826" spans="1:23" x14ac:dyDescent="0.25">
      <c r="G5826" t="str">
        <f t="shared" si="512"/>
        <v>09/25/19</v>
      </c>
      <c r="H5826" t="str">
        <f t="shared" si="507"/>
        <v/>
      </c>
      <c r="I5826" s="60" t="str">
        <f t="shared" si="508"/>
        <v/>
      </c>
      <c r="J5826" t="str">
        <f t="shared" si="509"/>
        <v/>
      </c>
      <c r="K5826" s="60" t="str">
        <f t="shared" si="510"/>
        <v/>
      </c>
      <c r="L5826" t="str">
        <f t="shared" si="511"/>
        <v/>
      </c>
    </row>
    <row r="5827" spans="1:23" x14ac:dyDescent="0.25">
      <c r="A5827" t="s">
        <v>4690</v>
      </c>
      <c r="G5827" t="str">
        <f t="shared" si="512"/>
        <v>09/25/19</v>
      </c>
      <c r="H5827" t="str">
        <f t="shared" si="507"/>
        <v>Cleveland Indians</v>
      </c>
      <c r="I5827" s="60">
        <f t="shared" si="508"/>
        <v>3</v>
      </c>
      <c r="J5827" t="str">
        <f t="shared" si="509"/>
        <v>Chicago White Sox</v>
      </c>
      <c r="K5827" s="60">
        <f t="shared" si="510"/>
        <v>8</v>
      </c>
      <c r="L5827">
        <f t="shared" si="511"/>
        <v>-5</v>
      </c>
    </row>
    <row r="5828" spans="1:23" x14ac:dyDescent="0.25">
      <c r="G5828" t="str">
        <f t="shared" si="512"/>
        <v>09/25/19</v>
      </c>
      <c r="H5828" t="str">
        <f t="shared" si="507"/>
        <v/>
      </c>
      <c r="I5828" s="60" t="str">
        <f t="shared" si="508"/>
        <v/>
      </c>
      <c r="J5828" t="str">
        <f t="shared" si="509"/>
        <v/>
      </c>
      <c r="K5828" s="60" t="str">
        <f t="shared" si="510"/>
        <v/>
      </c>
      <c r="L5828" t="str">
        <f t="shared" si="511"/>
        <v/>
      </c>
    </row>
    <row r="5829" spans="1:23" x14ac:dyDescent="0.25">
      <c r="A5829" t="s">
        <v>4691</v>
      </c>
      <c r="G5829" t="str">
        <f t="shared" si="512"/>
        <v>09/25/19</v>
      </c>
      <c r="H5829" t="str">
        <f t="shared" si="507"/>
        <v>Milwaukee Brewers</v>
      </c>
      <c r="I5829" s="60">
        <f t="shared" si="508"/>
        <v>9</v>
      </c>
      <c r="J5829" t="str">
        <f t="shared" si="509"/>
        <v>Cincinnati Reds</v>
      </c>
      <c r="K5829" s="60">
        <f t="shared" si="510"/>
        <v>2</v>
      </c>
      <c r="L5829">
        <f t="shared" si="511"/>
        <v>7</v>
      </c>
    </row>
    <row r="5830" spans="1:23" x14ac:dyDescent="0.25">
      <c r="G5830" t="str">
        <f t="shared" si="512"/>
        <v>09/25/19</v>
      </c>
      <c r="H5830" t="str">
        <f t="shared" si="507"/>
        <v/>
      </c>
      <c r="I5830" s="60" t="str">
        <f t="shared" si="508"/>
        <v/>
      </c>
      <c r="J5830" t="str">
        <f t="shared" si="509"/>
        <v/>
      </c>
      <c r="K5830" s="60" t="str">
        <f t="shared" si="510"/>
        <v/>
      </c>
      <c r="L5830" t="str">
        <f t="shared" si="511"/>
        <v/>
      </c>
    </row>
    <row r="5831" spans="1:23" x14ac:dyDescent="0.25">
      <c r="A5831" t="s">
        <v>4692</v>
      </c>
      <c r="G5831" t="str">
        <f t="shared" si="512"/>
        <v>09/25/19</v>
      </c>
      <c r="H5831" t="str">
        <f t="shared" si="507"/>
        <v>Minnesota Twins</v>
      </c>
      <c r="I5831" s="60">
        <f t="shared" si="508"/>
        <v>5</v>
      </c>
      <c r="J5831" t="str">
        <f t="shared" si="509"/>
        <v>Detroit Tigers</v>
      </c>
      <c r="K5831" s="60">
        <f t="shared" si="510"/>
        <v>1</v>
      </c>
      <c r="L5831">
        <f t="shared" si="511"/>
        <v>4</v>
      </c>
    </row>
    <row r="5832" spans="1:23" x14ac:dyDescent="0.25">
      <c r="G5832" t="str">
        <f t="shared" si="512"/>
        <v>09/25/19</v>
      </c>
      <c r="H5832" t="str">
        <f t="shared" si="507"/>
        <v/>
      </c>
      <c r="I5832" s="60" t="str">
        <f t="shared" si="508"/>
        <v/>
      </c>
      <c r="J5832" t="str">
        <f t="shared" si="509"/>
        <v/>
      </c>
      <c r="K5832" s="60" t="str">
        <f t="shared" si="510"/>
        <v/>
      </c>
      <c r="L5832" t="str">
        <f t="shared" si="511"/>
        <v/>
      </c>
    </row>
    <row r="5833" spans="1:23" x14ac:dyDescent="0.25">
      <c r="A5833" t="s">
        <v>4693</v>
      </c>
      <c r="G5833" t="str">
        <f t="shared" si="512"/>
        <v>09/25/19</v>
      </c>
      <c r="H5833" t="str">
        <f t="shared" si="507"/>
        <v>Atlanta Braves</v>
      </c>
      <c r="I5833" s="60">
        <f t="shared" si="508"/>
        <v>10</v>
      </c>
      <c r="J5833" t="str">
        <f t="shared" si="509"/>
        <v>Kansas City Royals</v>
      </c>
      <c r="K5833" s="60">
        <f t="shared" si="510"/>
        <v>2</v>
      </c>
      <c r="L5833">
        <f t="shared" si="511"/>
        <v>8</v>
      </c>
    </row>
    <row r="5834" spans="1:23" x14ac:dyDescent="0.25">
      <c r="G5834" t="str">
        <f t="shared" si="512"/>
        <v>09/25/19</v>
      </c>
      <c r="H5834" t="str">
        <f t="shared" si="507"/>
        <v/>
      </c>
      <c r="I5834" s="60" t="str">
        <f t="shared" si="508"/>
        <v/>
      </c>
      <c r="J5834" t="str">
        <f t="shared" si="509"/>
        <v/>
      </c>
      <c r="K5834" s="60" t="str">
        <f t="shared" si="510"/>
        <v/>
      </c>
      <c r="L5834" t="str">
        <f t="shared" si="511"/>
        <v/>
      </c>
    </row>
    <row r="5835" spans="1:23" x14ac:dyDescent="0.25">
      <c r="A5835" t="s">
        <v>4694</v>
      </c>
      <c r="G5835" t="str">
        <f t="shared" si="512"/>
        <v>09/25/19</v>
      </c>
      <c r="H5835" t="str">
        <f t="shared" si="507"/>
        <v>Miami Marlins</v>
      </c>
      <c r="I5835" s="60">
        <f t="shared" si="508"/>
        <v>3</v>
      </c>
      <c r="J5835" t="str">
        <f t="shared" si="509"/>
        <v>New York Mets</v>
      </c>
      <c r="K5835" s="60">
        <f t="shared" si="510"/>
        <v>10</v>
      </c>
      <c r="L5835">
        <f t="shared" si="511"/>
        <v>-7</v>
      </c>
    </row>
    <row r="5837" spans="1:23" x14ac:dyDescent="0.25">
      <c r="A5837" t="s">
        <v>4695</v>
      </c>
      <c r="G5837" t="s">
        <v>3336</v>
      </c>
      <c r="H5837" t="s">
        <v>3336</v>
      </c>
      <c r="I5837" t="s">
        <v>3336</v>
      </c>
      <c r="J5837" t="s">
        <v>3336</v>
      </c>
      <c r="K5837" t="s">
        <v>3336</v>
      </c>
      <c r="L5837" t="s">
        <v>3336</v>
      </c>
      <c r="M5837" t="s">
        <v>3336</v>
      </c>
      <c r="N5837" t="s">
        <v>3336</v>
      </c>
      <c r="O5837" t="s">
        <v>3336</v>
      </c>
      <c r="P5837" t="s">
        <v>3336</v>
      </c>
      <c r="Q5837" t="s">
        <v>3336</v>
      </c>
      <c r="R5837" t="s">
        <v>3336</v>
      </c>
      <c r="S5837" t="s">
        <v>3336</v>
      </c>
      <c r="T5837" t="s">
        <v>3336</v>
      </c>
      <c r="U5837" t="s">
        <v>3336</v>
      </c>
      <c r="V5837" t="s">
        <v>3336</v>
      </c>
      <c r="W5837" t="s">
        <v>3336</v>
      </c>
    </row>
    <row r="5839" spans="1:23" x14ac:dyDescent="0.25">
      <c r="A5839" t="s">
        <v>4195</v>
      </c>
    </row>
    <row r="5841" spans="1:1" x14ac:dyDescent="0.25">
      <c r="A5841" t="s">
        <v>4681</v>
      </c>
    </row>
    <row r="5843" spans="1:1" x14ac:dyDescent="0.25">
      <c r="A5843" t="s">
        <v>4696</v>
      </c>
    </row>
    <row r="5845" spans="1:1" x14ac:dyDescent="0.25">
      <c r="A5845" t="s">
        <v>4697</v>
      </c>
    </row>
    <row r="5847" spans="1:1" x14ac:dyDescent="0.25">
      <c r="A5847" t="s">
        <v>4698</v>
      </c>
    </row>
    <row r="5849" spans="1:1" x14ac:dyDescent="0.25">
      <c r="A5849" t="s">
        <v>4699</v>
      </c>
    </row>
    <row r="5851" spans="1:1" x14ac:dyDescent="0.25">
      <c r="A5851" t="s">
        <v>4700</v>
      </c>
    </row>
    <row r="5853" spans="1:1" x14ac:dyDescent="0.25">
      <c r="A5853" t="s">
        <v>4701</v>
      </c>
    </row>
    <row r="5855" spans="1:1" x14ac:dyDescent="0.25">
      <c r="A5855" t="s">
        <v>3322</v>
      </c>
    </row>
    <row r="5857" spans="1:1" x14ac:dyDescent="0.25">
      <c r="A5857" t="s">
        <v>4702</v>
      </c>
    </row>
    <row r="5859" spans="1:1" x14ac:dyDescent="0.25">
      <c r="A5859" t="s">
        <v>4703</v>
      </c>
    </row>
    <row r="5861" spans="1:1" x14ac:dyDescent="0.25">
      <c r="A5861" t="s">
        <v>4704</v>
      </c>
    </row>
    <row r="5863" spans="1:1" x14ac:dyDescent="0.25">
      <c r="A5863" t="s">
        <v>4705</v>
      </c>
    </row>
    <row r="5865" spans="1:1" x14ac:dyDescent="0.25">
      <c r="A5865" t="s">
        <v>4706</v>
      </c>
    </row>
    <row r="5867" spans="1:1" x14ac:dyDescent="0.25">
      <c r="A5867" t="s">
        <v>4707</v>
      </c>
    </row>
    <row r="5869" spans="1:1" x14ac:dyDescent="0.25">
      <c r="A5869" t="s">
        <v>4708</v>
      </c>
    </row>
    <row r="5871" spans="1:1" x14ac:dyDescent="0.25">
      <c r="A5871" t="s">
        <v>4709</v>
      </c>
    </row>
    <row r="5873" spans="1:1" x14ac:dyDescent="0.25">
      <c r="A5873" t="s">
        <v>4710</v>
      </c>
    </row>
    <row r="5875" spans="1:1" x14ac:dyDescent="0.25">
      <c r="A5875" t="s">
        <v>4711</v>
      </c>
    </row>
    <row r="5877" spans="1:1" x14ac:dyDescent="0.25">
      <c r="A5877" t="s">
        <v>4712</v>
      </c>
    </row>
    <row r="5879" spans="1:1" x14ac:dyDescent="0.25">
      <c r="A5879" t="s">
        <v>4713</v>
      </c>
    </row>
    <row r="5881" spans="1:1" x14ac:dyDescent="0.25">
      <c r="A5881" t="s">
        <v>3323</v>
      </c>
    </row>
    <row r="5883" spans="1:1" x14ac:dyDescent="0.25">
      <c r="A5883" t="s">
        <v>4714</v>
      </c>
    </row>
    <row r="5885" spans="1:1" x14ac:dyDescent="0.25">
      <c r="A5885" t="s">
        <v>4715</v>
      </c>
    </row>
    <row r="5887" spans="1:1" x14ac:dyDescent="0.25">
      <c r="A5887" t="s">
        <v>4716</v>
      </c>
    </row>
    <row r="5889" spans="1:1" x14ac:dyDescent="0.25">
      <c r="A5889" t="s">
        <v>4717</v>
      </c>
    </row>
    <row r="5891" spans="1:1" x14ac:dyDescent="0.25">
      <c r="A5891" t="s">
        <v>4718</v>
      </c>
    </row>
    <row r="5893" spans="1:1" x14ac:dyDescent="0.25">
      <c r="A5893" t="s">
        <v>4719</v>
      </c>
    </row>
    <row r="5895" spans="1:1" x14ac:dyDescent="0.25">
      <c r="A5895" t="s">
        <v>4720</v>
      </c>
    </row>
    <row r="5897" spans="1:1" x14ac:dyDescent="0.25">
      <c r="A5897" t="s">
        <v>1782</v>
      </c>
    </row>
    <row r="5899" spans="1:1" x14ac:dyDescent="0.25">
      <c r="A5899" t="s">
        <v>2348</v>
      </c>
    </row>
    <row r="5901" spans="1:1" x14ac:dyDescent="0.25">
      <c r="A5901" t="s">
        <v>4721</v>
      </c>
    </row>
    <row r="5903" spans="1:1" x14ac:dyDescent="0.25">
      <c r="A5903" t="s">
        <v>4722</v>
      </c>
    </row>
    <row r="5905" spans="1:1" x14ac:dyDescent="0.25">
      <c r="A5905" t="s">
        <v>4723</v>
      </c>
    </row>
    <row r="5907" spans="1:1" x14ac:dyDescent="0.25">
      <c r="A5907" t="s">
        <v>4724</v>
      </c>
    </row>
    <row r="5909" spans="1:1" x14ac:dyDescent="0.25">
      <c r="A5909" t="s">
        <v>4725</v>
      </c>
    </row>
    <row r="5911" spans="1:1" x14ac:dyDescent="0.25">
      <c r="A5911" t="s">
        <v>4726</v>
      </c>
    </row>
    <row r="5913" spans="1:1" x14ac:dyDescent="0.25">
      <c r="A5913" t="s">
        <v>3324</v>
      </c>
    </row>
    <row r="5915" spans="1:1" x14ac:dyDescent="0.25">
      <c r="A5915" t="s">
        <v>4727</v>
      </c>
    </row>
    <row r="5917" spans="1:1" x14ac:dyDescent="0.25">
      <c r="A5917" t="s">
        <v>4728</v>
      </c>
    </row>
    <row r="5919" spans="1:1" x14ac:dyDescent="0.25">
      <c r="A5919" t="s">
        <v>4729</v>
      </c>
    </row>
    <row r="5921" spans="1:1" x14ac:dyDescent="0.25">
      <c r="A5921" t="s">
        <v>4730</v>
      </c>
    </row>
    <row r="5923" spans="1:1" x14ac:dyDescent="0.25">
      <c r="A5923" t="s">
        <v>4731</v>
      </c>
    </row>
    <row r="5925" spans="1:1" x14ac:dyDescent="0.25">
      <c r="A5925" t="s">
        <v>4732</v>
      </c>
    </row>
    <row r="5927" spans="1:1" x14ac:dyDescent="0.25">
      <c r="A5927" t="s">
        <v>4733</v>
      </c>
    </row>
    <row r="5929" spans="1:1" x14ac:dyDescent="0.25">
      <c r="A5929" t="s">
        <v>4734</v>
      </c>
    </row>
    <row r="5931" spans="1:1" x14ac:dyDescent="0.25">
      <c r="A5931" t="s">
        <v>4735</v>
      </c>
    </row>
    <row r="5933" spans="1:1" x14ac:dyDescent="0.25">
      <c r="A5933" t="s">
        <v>4736</v>
      </c>
    </row>
    <row r="5935" spans="1:1" x14ac:dyDescent="0.25">
      <c r="A5935" t="s">
        <v>4737</v>
      </c>
    </row>
    <row r="5937" spans="1:1" x14ac:dyDescent="0.25">
      <c r="A5937" t="s">
        <v>4738</v>
      </c>
    </row>
    <row r="5939" spans="1:1" x14ac:dyDescent="0.25">
      <c r="A5939" t="s">
        <v>4739</v>
      </c>
    </row>
    <row r="5941" spans="1:1" x14ac:dyDescent="0.25">
      <c r="A5941" t="s">
        <v>4740</v>
      </c>
    </row>
    <row r="5943" spans="1:1" x14ac:dyDescent="0.25">
      <c r="A5943" t="s">
        <v>4741</v>
      </c>
    </row>
    <row r="5945" spans="1:1" x14ac:dyDescent="0.25">
      <c r="A5945" t="s">
        <v>4742</v>
      </c>
    </row>
    <row r="5947" spans="1:1" x14ac:dyDescent="0.25">
      <c r="A5947" t="s">
        <v>4743</v>
      </c>
    </row>
    <row r="5949" spans="1:1" x14ac:dyDescent="0.25">
      <c r="A5949" t="s">
        <v>3325</v>
      </c>
    </row>
    <row r="5951" spans="1:1" x14ac:dyDescent="0.25">
      <c r="A5951" t="s">
        <v>4744</v>
      </c>
    </row>
    <row r="5953" spans="1:1" x14ac:dyDescent="0.25">
      <c r="A5953" t="s">
        <v>4745</v>
      </c>
    </row>
    <row r="5955" spans="1:1" x14ac:dyDescent="0.25">
      <c r="A5955" t="s">
        <v>4746</v>
      </c>
    </row>
    <row r="5957" spans="1:1" x14ac:dyDescent="0.25">
      <c r="A5957" t="s">
        <v>4747</v>
      </c>
    </row>
    <row r="5959" spans="1:1" x14ac:dyDescent="0.25">
      <c r="A5959" t="s">
        <v>4748</v>
      </c>
    </row>
    <row r="5961" spans="1:1" x14ac:dyDescent="0.25">
      <c r="A5961" t="s">
        <v>4749</v>
      </c>
    </row>
    <row r="5963" spans="1:1" x14ac:dyDescent="0.25">
      <c r="A5963" t="s">
        <v>4750</v>
      </c>
    </row>
    <row r="5965" spans="1:1" x14ac:dyDescent="0.25">
      <c r="A5965" t="s">
        <v>4751</v>
      </c>
    </row>
    <row r="5967" spans="1:1" x14ac:dyDescent="0.25">
      <c r="A5967" t="s">
        <v>4752</v>
      </c>
    </row>
    <row r="5969" spans="1:1" x14ac:dyDescent="0.25">
      <c r="A5969" t="s">
        <v>4753</v>
      </c>
    </row>
    <row r="5971" spans="1:1" x14ac:dyDescent="0.25">
      <c r="A5971" t="s">
        <v>4754</v>
      </c>
    </row>
    <row r="5973" spans="1:1" x14ac:dyDescent="0.25">
      <c r="A5973" t="s">
        <v>4755</v>
      </c>
    </row>
    <row r="5975" spans="1:1" x14ac:dyDescent="0.25">
      <c r="A5975" t="s">
        <v>4756</v>
      </c>
    </row>
    <row r="5977" spans="1:1" x14ac:dyDescent="0.25">
      <c r="A5977" t="s">
        <v>4757</v>
      </c>
    </row>
    <row r="5979" spans="1:1" x14ac:dyDescent="0.25">
      <c r="A5979" t="s">
        <v>4725</v>
      </c>
    </row>
    <row r="5981" spans="1:1" x14ac:dyDescent="0.25">
      <c r="A5981" t="s">
        <v>4758</v>
      </c>
    </row>
    <row r="5983" spans="1:1" x14ac:dyDescent="0.25">
      <c r="A5983" t="s">
        <v>3264</v>
      </c>
    </row>
    <row r="5985" spans="1:1" x14ac:dyDescent="0.25">
      <c r="A5985" t="s">
        <v>4759</v>
      </c>
    </row>
    <row r="5987" spans="1:1" x14ac:dyDescent="0.25">
      <c r="A5987" t="s">
        <v>4760</v>
      </c>
    </row>
    <row r="5989" spans="1:1" x14ac:dyDescent="0.25">
      <c r="A5989" t="s">
        <v>4761</v>
      </c>
    </row>
    <row r="5991" spans="1:1" x14ac:dyDescent="0.25">
      <c r="A5991" t="s">
        <v>4762</v>
      </c>
    </row>
    <row r="5993" spans="1:1" x14ac:dyDescent="0.25">
      <c r="A5993" t="s">
        <v>4763</v>
      </c>
    </row>
    <row r="5995" spans="1:1" x14ac:dyDescent="0.25">
      <c r="A5995" t="s">
        <v>4764</v>
      </c>
    </row>
    <row r="5997" spans="1:1" x14ac:dyDescent="0.25">
      <c r="A5997" t="s">
        <v>4765</v>
      </c>
    </row>
    <row r="5999" spans="1:1" x14ac:dyDescent="0.25">
      <c r="A5999" t="s">
        <v>4766</v>
      </c>
    </row>
    <row r="6001" spans="1:1" x14ac:dyDescent="0.25">
      <c r="A6001" t="s">
        <v>4765</v>
      </c>
    </row>
    <row r="6003" spans="1:1" x14ac:dyDescent="0.25">
      <c r="A6003" t="s">
        <v>4767</v>
      </c>
    </row>
    <row r="6005" spans="1:1" x14ac:dyDescent="0.25">
      <c r="A6005" t="s">
        <v>4768</v>
      </c>
    </row>
    <row r="6007" spans="1:1" x14ac:dyDescent="0.25">
      <c r="A6007" t="s">
        <v>4767</v>
      </c>
    </row>
    <row r="6009" spans="1:1" x14ac:dyDescent="0.25">
      <c r="A6009" t="s">
        <v>4769</v>
      </c>
    </row>
    <row r="6011" spans="1:1" x14ac:dyDescent="0.25">
      <c r="A6011" t="s">
        <v>4770</v>
      </c>
    </row>
    <row r="6013" spans="1:1" x14ac:dyDescent="0.25">
      <c r="A6013" t="s">
        <v>4771</v>
      </c>
    </row>
    <row r="6015" spans="1:1" x14ac:dyDescent="0.25">
      <c r="A6015" t="s">
        <v>4772</v>
      </c>
    </row>
    <row r="6017" spans="1:1" x14ac:dyDescent="0.25">
      <c r="A6017" t="s">
        <v>4770</v>
      </c>
    </row>
    <row r="6019" spans="1:1" x14ac:dyDescent="0.25">
      <c r="A6019" t="s">
        <v>4773</v>
      </c>
    </row>
    <row r="6021" spans="1:1" x14ac:dyDescent="0.25">
      <c r="A6021" t="s">
        <v>4772</v>
      </c>
    </row>
    <row r="6023" spans="1:1" x14ac:dyDescent="0.25">
      <c r="A6023" t="s">
        <v>4774</v>
      </c>
    </row>
    <row r="6025" spans="1:1" x14ac:dyDescent="0.25">
      <c r="A6025" t="s">
        <v>4765</v>
      </c>
    </row>
    <row r="6027" spans="1:1" x14ac:dyDescent="0.25">
      <c r="A6027" t="s">
        <v>4775</v>
      </c>
    </row>
    <row r="6029" spans="1:1" x14ac:dyDescent="0.25">
      <c r="A6029" t="s">
        <v>4767</v>
      </c>
    </row>
    <row r="6031" spans="1:1" x14ac:dyDescent="0.25">
      <c r="A6031" t="s">
        <v>70</v>
      </c>
    </row>
    <row r="6033" spans="1:1" x14ac:dyDescent="0.25">
      <c r="A6033" t="s">
        <v>69</v>
      </c>
    </row>
    <row r="6035" spans="1:1" x14ac:dyDescent="0.25">
      <c r="A6035" t="s">
        <v>71</v>
      </c>
    </row>
    <row r="6037" spans="1:1" x14ac:dyDescent="0.25">
      <c r="A6037" t="s">
        <v>72</v>
      </c>
    </row>
    <row r="6039" spans="1:1" x14ac:dyDescent="0.25">
      <c r="A6039" t="s">
        <v>73</v>
      </c>
    </row>
    <row r="6041" spans="1:1" x14ac:dyDescent="0.25">
      <c r="A6041" t="s">
        <v>74</v>
      </c>
    </row>
    <row r="6043" spans="1:1" x14ac:dyDescent="0.25">
      <c r="A6043" t="s">
        <v>75</v>
      </c>
    </row>
    <row r="6045" spans="1:1" x14ac:dyDescent="0.25">
      <c r="A6045" t="s">
        <v>35</v>
      </c>
    </row>
    <row r="6047" spans="1:1" x14ac:dyDescent="0.25">
      <c r="A6047" t="s">
        <v>76</v>
      </c>
    </row>
    <row r="6049" spans="1:1" x14ac:dyDescent="0.25">
      <c r="A6049" t="s">
        <v>74</v>
      </c>
    </row>
    <row r="6050" spans="1:1" x14ac:dyDescent="0.25">
      <c r="A6050" t="s">
        <v>77</v>
      </c>
    </row>
    <row r="6051" spans="1:1" x14ac:dyDescent="0.25">
      <c r="A6051" t="s">
        <v>78</v>
      </c>
    </row>
    <row r="6052" spans="1:1" x14ac:dyDescent="0.25">
      <c r="A6052" t="s">
        <v>34</v>
      </c>
    </row>
    <row r="6053" spans="1:1" x14ac:dyDescent="0.25">
      <c r="A6053" t="s">
        <v>79</v>
      </c>
    </row>
    <row r="6054" spans="1:1" x14ac:dyDescent="0.25">
      <c r="A6054" t="s">
        <v>80</v>
      </c>
    </row>
    <row r="6055" spans="1:1" x14ac:dyDescent="0.25">
      <c r="A6055" t="s">
        <v>81</v>
      </c>
    </row>
    <row r="6056" spans="1:1" x14ac:dyDescent="0.25">
      <c r="A6056" t="s">
        <v>82</v>
      </c>
    </row>
    <row r="6057" spans="1:1" x14ac:dyDescent="0.25">
      <c r="A6057" t="s">
        <v>83</v>
      </c>
    </row>
    <row r="6058" spans="1:1" x14ac:dyDescent="0.25">
      <c r="A6058" t="s">
        <v>84</v>
      </c>
    </row>
    <row r="6059" spans="1:1" x14ac:dyDescent="0.25">
      <c r="A6059" t="s">
        <v>85</v>
      </c>
    </row>
    <row r="6060" spans="1:1" x14ac:dyDescent="0.25">
      <c r="A6060" t="s">
        <v>86</v>
      </c>
    </row>
    <row r="6061" spans="1:1" x14ac:dyDescent="0.25">
      <c r="A6061" t="s">
        <v>87</v>
      </c>
    </row>
    <row r="6062" spans="1:1" x14ac:dyDescent="0.25">
      <c r="A6062" t="s">
        <v>75</v>
      </c>
    </row>
    <row r="6063" spans="1:1" x14ac:dyDescent="0.25">
      <c r="A6063" t="s">
        <v>88</v>
      </c>
    </row>
    <row r="6064" spans="1:1" x14ac:dyDescent="0.25">
      <c r="A6064" t="s">
        <v>89</v>
      </c>
    </row>
    <row r="6065" spans="1:1" x14ac:dyDescent="0.25">
      <c r="A6065" t="s">
        <v>90</v>
      </c>
    </row>
    <row r="6066" spans="1:1" x14ac:dyDescent="0.25">
      <c r="A6066" t="s">
        <v>91</v>
      </c>
    </row>
    <row r="6067" spans="1:1" x14ac:dyDescent="0.25">
      <c r="A6067" t="s">
        <v>92</v>
      </c>
    </row>
    <row r="6068" spans="1:1" x14ac:dyDescent="0.25">
      <c r="A6068" t="s">
        <v>93</v>
      </c>
    </row>
    <row r="6069" spans="1:1" x14ac:dyDescent="0.25">
      <c r="A6069" t="s">
        <v>94</v>
      </c>
    </row>
    <row r="6070" spans="1:1" x14ac:dyDescent="0.25">
      <c r="A6070" t="s">
        <v>95</v>
      </c>
    </row>
    <row r="6071" spans="1:1" x14ac:dyDescent="0.25">
      <c r="A6071" t="s">
        <v>96</v>
      </c>
    </row>
    <row r="6072" spans="1:1" x14ac:dyDescent="0.25">
      <c r="A6072" t="s">
        <v>97</v>
      </c>
    </row>
    <row r="6073" spans="1:1" x14ac:dyDescent="0.25">
      <c r="A6073" t="s">
        <v>98</v>
      </c>
    </row>
    <row r="6074" spans="1:1" x14ac:dyDescent="0.25">
      <c r="A6074" t="s">
        <v>99</v>
      </c>
    </row>
    <row r="6075" spans="1:1" x14ac:dyDescent="0.25">
      <c r="A6075" t="s">
        <v>100</v>
      </c>
    </row>
    <row r="6076" spans="1:1" x14ac:dyDescent="0.25">
      <c r="A6076" t="s">
        <v>101</v>
      </c>
    </row>
    <row r="6077" spans="1:1" x14ac:dyDescent="0.25">
      <c r="A6077" t="s">
        <v>102</v>
      </c>
    </row>
    <row r="6078" spans="1:1" x14ac:dyDescent="0.25">
      <c r="A6078" t="s">
        <v>35</v>
      </c>
    </row>
    <row r="6079" spans="1:1" x14ac:dyDescent="0.25">
      <c r="A6079" t="s">
        <v>103</v>
      </c>
    </row>
    <row r="6080" spans="1:1" x14ac:dyDescent="0.25">
      <c r="A6080" t="s">
        <v>89</v>
      </c>
    </row>
    <row r="6081" spans="1:1" x14ac:dyDescent="0.25">
      <c r="A6081" t="s">
        <v>92</v>
      </c>
    </row>
    <row r="6082" spans="1:1" x14ac:dyDescent="0.25">
      <c r="A6082" t="s">
        <v>104</v>
      </c>
    </row>
    <row r="6083" spans="1:1" x14ac:dyDescent="0.25">
      <c r="A6083" t="s">
        <v>91</v>
      </c>
    </row>
    <row r="6084" spans="1:1" x14ac:dyDescent="0.25">
      <c r="A6084" t="s">
        <v>105</v>
      </c>
    </row>
    <row r="6085" spans="1:1" x14ac:dyDescent="0.25">
      <c r="A6085" t="s">
        <v>106</v>
      </c>
    </row>
    <row r="6086" spans="1:1" x14ac:dyDescent="0.25">
      <c r="A6086" t="s">
        <v>107</v>
      </c>
    </row>
    <row r="6087" spans="1:1" x14ac:dyDescent="0.25">
      <c r="A6087" t="s">
        <v>108</v>
      </c>
    </row>
    <row r="6088" spans="1:1" x14ac:dyDescent="0.25">
      <c r="A6088" t="s">
        <v>109</v>
      </c>
    </row>
    <row r="6089" spans="1:1" x14ac:dyDescent="0.25">
      <c r="A6089" t="s">
        <v>110</v>
      </c>
    </row>
    <row r="6090" spans="1:1" x14ac:dyDescent="0.25">
      <c r="A6090" t="s">
        <v>111</v>
      </c>
    </row>
    <row r="6091" spans="1:1" x14ac:dyDescent="0.25">
      <c r="A6091" t="s">
        <v>100</v>
      </c>
    </row>
    <row r="6092" spans="1:1" x14ac:dyDescent="0.25">
      <c r="A6092" t="s">
        <v>112</v>
      </c>
    </row>
    <row r="6093" spans="1:1" x14ac:dyDescent="0.25">
      <c r="A6093" t="s">
        <v>102</v>
      </c>
    </row>
    <row r="6094" spans="1:1" x14ac:dyDescent="0.25">
      <c r="A6094" t="s">
        <v>113</v>
      </c>
    </row>
    <row r="6095" spans="1:1" x14ac:dyDescent="0.25">
      <c r="A6095" t="s">
        <v>75</v>
      </c>
    </row>
    <row r="6096" spans="1:1" x14ac:dyDescent="0.25">
      <c r="A6096" t="s">
        <v>35</v>
      </c>
    </row>
    <row r="6097" spans="1:1" x14ac:dyDescent="0.25">
      <c r="A6097" t="s">
        <v>74</v>
      </c>
    </row>
    <row r="6098" spans="1:1" x14ac:dyDescent="0.25">
      <c r="A6098" t="s">
        <v>114</v>
      </c>
    </row>
    <row r="6099" spans="1:1" x14ac:dyDescent="0.25">
      <c r="A6099" t="s">
        <v>115</v>
      </c>
    </row>
    <row r="6100" spans="1:1" x14ac:dyDescent="0.25">
      <c r="A6100" t="s">
        <v>116</v>
      </c>
    </row>
    <row r="6101" spans="1:1" x14ac:dyDescent="0.25">
      <c r="A6101" t="s">
        <v>117</v>
      </c>
    </row>
    <row r="6102" spans="1:1" x14ac:dyDescent="0.25">
      <c r="A6102" t="s">
        <v>118</v>
      </c>
    </row>
    <row r="6103" spans="1:1" x14ac:dyDescent="0.25">
      <c r="A6103" t="s">
        <v>119</v>
      </c>
    </row>
    <row r="6104" spans="1:1" x14ac:dyDescent="0.25">
      <c r="A6104" t="s">
        <v>120</v>
      </c>
    </row>
    <row r="6105" spans="1:1" x14ac:dyDescent="0.25">
      <c r="A6105" t="s">
        <v>121</v>
      </c>
    </row>
    <row r="6106" spans="1:1" x14ac:dyDescent="0.25">
      <c r="A6106" t="s">
        <v>122</v>
      </c>
    </row>
    <row r="6107" spans="1:1" x14ac:dyDescent="0.25">
      <c r="A6107" t="s">
        <v>123</v>
      </c>
    </row>
    <row r="6108" spans="1:1" x14ac:dyDescent="0.25">
      <c r="A6108" t="s">
        <v>124</v>
      </c>
    </row>
    <row r="6109" spans="1:1" x14ac:dyDescent="0.25">
      <c r="A6109" t="s">
        <v>125</v>
      </c>
    </row>
    <row r="6110" spans="1:1" x14ac:dyDescent="0.25">
      <c r="A6110" t="s">
        <v>126</v>
      </c>
    </row>
    <row r="6111" spans="1:1" x14ac:dyDescent="0.25">
      <c r="A6111" t="s">
        <v>127</v>
      </c>
    </row>
    <row r="6112" spans="1:1" x14ac:dyDescent="0.25">
      <c r="A6112" t="s">
        <v>128</v>
      </c>
    </row>
    <row r="6113" spans="1:1" x14ac:dyDescent="0.25">
      <c r="A6113" t="s">
        <v>129</v>
      </c>
    </row>
    <row r="6114" spans="1:1" x14ac:dyDescent="0.25">
      <c r="A6114" t="s">
        <v>130</v>
      </c>
    </row>
    <row r="6115" spans="1:1" x14ac:dyDescent="0.25">
      <c r="A6115" t="s">
        <v>1251</v>
      </c>
    </row>
    <row r="6116" spans="1:1" x14ac:dyDescent="0.25">
      <c r="A6116" t="s">
        <v>68</v>
      </c>
    </row>
    <row r="6117" spans="1:1" x14ac:dyDescent="0.25">
      <c r="A6117" t="s">
        <v>46</v>
      </c>
    </row>
    <row r="6118" spans="1:1" x14ac:dyDescent="0.25">
      <c r="A6118" t="s">
        <v>47</v>
      </c>
    </row>
    <row r="6119" spans="1:1" x14ac:dyDescent="0.25">
      <c r="A6119" t="s">
        <v>48</v>
      </c>
    </row>
    <row r="6120" spans="1:1" x14ac:dyDescent="0.25">
      <c r="A6120" t="s">
        <v>49</v>
      </c>
    </row>
    <row r="6121" spans="1:1" x14ac:dyDescent="0.25">
      <c r="A6121" t="s">
        <v>50</v>
      </c>
    </row>
    <row r="6122" spans="1:1" x14ac:dyDescent="0.25">
      <c r="A6122" t="s">
        <v>4776</v>
      </c>
    </row>
    <row r="6124" spans="1:1" x14ac:dyDescent="0.25">
      <c r="A6124" t="s">
        <v>133</v>
      </c>
    </row>
    <row r="6125" spans="1:1" x14ac:dyDescent="0.25">
      <c r="A6125" t="s">
        <v>134</v>
      </c>
    </row>
    <row r="6126" spans="1:1" x14ac:dyDescent="0.25">
      <c r="A6126" t="s">
        <v>135</v>
      </c>
    </row>
    <row r="6127" spans="1:1" x14ac:dyDescent="0.25">
      <c r="A6127" t="s">
        <v>136</v>
      </c>
    </row>
    <row r="6128" spans="1:1" x14ac:dyDescent="0.25">
      <c r="A6128" t="s">
        <v>137</v>
      </c>
    </row>
    <row r="6129" spans="1:1" x14ac:dyDescent="0.25">
      <c r="A6129" t="s">
        <v>138</v>
      </c>
    </row>
    <row r="6130" spans="1:1" x14ac:dyDescent="0.25">
      <c r="A6130" t="s">
        <v>139</v>
      </c>
    </row>
    <row r="6131" spans="1:1" x14ac:dyDescent="0.25">
      <c r="A6131" t="s">
        <v>140</v>
      </c>
    </row>
    <row r="6132" spans="1:1" x14ac:dyDescent="0.25">
      <c r="A6132" t="s">
        <v>141</v>
      </c>
    </row>
    <row r="6133" spans="1:1" x14ac:dyDescent="0.25">
      <c r="A6133" t="s">
        <v>142</v>
      </c>
    </row>
    <row r="6134" spans="1:1" x14ac:dyDescent="0.25">
      <c r="A6134" t="s">
        <v>143</v>
      </c>
    </row>
    <row r="6135" spans="1:1" x14ac:dyDescent="0.25">
      <c r="A6135" t="s">
        <v>144</v>
      </c>
    </row>
    <row r="6136" spans="1:1" x14ac:dyDescent="0.25">
      <c r="A6136" t="s">
        <v>55</v>
      </c>
    </row>
    <row r="6137" spans="1:1" x14ac:dyDescent="0.25">
      <c r="A6137" t="s">
        <v>145</v>
      </c>
    </row>
    <row r="6138" spans="1:1" x14ac:dyDescent="0.25">
      <c r="A6138" t="s">
        <v>146</v>
      </c>
    </row>
    <row r="6139" spans="1:1" x14ac:dyDescent="0.25">
      <c r="A6139" t="s">
        <v>147</v>
      </c>
    </row>
    <row r="6140" spans="1:1" x14ac:dyDescent="0.25">
      <c r="A6140" t="s">
        <v>57</v>
      </c>
    </row>
    <row r="6141" spans="1:1" x14ac:dyDescent="0.25">
      <c r="A6141" t="s">
        <v>148</v>
      </c>
    </row>
    <row r="6142" spans="1:1" x14ac:dyDescent="0.25">
      <c r="A6142" t="s">
        <v>73</v>
      </c>
    </row>
    <row r="6143" spans="1:1" x14ac:dyDescent="0.25">
      <c r="A6143" t="s">
        <v>72</v>
      </c>
    </row>
    <row r="6144" spans="1:1" x14ac:dyDescent="0.25">
      <c r="A6144" t="s">
        <v>149</v>
      </c>
    </row>
    <row r="6145" spans="1:1" x14ac:dyDescent="0.25">
      <c r="A6145" t="s">
        <v>58</v>
      </c>
    </row>
    <row r="6146" spans="1:1" x14ac:dyDescent="0.25">
      <c r="A6146" t="s">
        <v>150</v>
      </c>
    </row>
    <row r="6147" spans="1:1" x14ac:dyDescent="0.25">
      <c r="A6147" t="s">
        <v>59</v>
      </c>
    </row>
    <row r="6148" spans="1:1" x14ac:dyDescent="0.25">
      <c r="A6148" t="s">
        <v>151</v>
      </c>
    </row>
    <row r="6149" spans="1:1" x14ac:dyDescent="0.25">
      <c r="A6149" t="s">
        <v>152</v>
      </c>
    </row>
    <row r="6150" spans="1:1" x14ac:dyDescent="0.25">
      <c r="A6150" t="s">
        <v>153</v>
      </c>
    </row>
    <row r="6151" spans="1:1" x14ac:dyDescent="0.25">
      <c r="A6151" t="s">
        <v>76</v>
      </c>
    </row>
    <row r="6152" spans="1:1" x14ac:dyDescent="0.25">
      <c r="A6152" t="s">
        <v>154</v>
      </c>
    </row>
    <row r="6153" spans="1:1" x14ac:dyDescent="0.25">
      <c r="A6153" t="s">
        <v>155</v>
      </c>
    </row>
    <row r="6154" spans="1:1" x14ac:dyDescent="0.25">
      <c r="A6154" t="s">
        <v>156</v>
      </c>
    </row>
    <row r="6155" spans="1:1" x14ac:dyDescent="0.25">
      <c r="A6155" t="s">
        <v>157</v>
      </c>
    </row>
    <row r="6156" spans="1:1" x14ac:dyDescent="0.25">
      <c r="A6156" t="s">
        <v>158</v>
      </c>
    </row>
    <row r="6157" spans="1:1" x14ac:dyDescent="0.25">
      <c r="A6157" t="s">
        <v>1464</v>
      </c>
    </row>
    <row r="6158" spans="1:1" x14ac:dyDescent="0.25">
      <c r="A6158" t="s">
        <v>159</v>
      </c>
    </row>
    <row r="6159" spans="1:1" x14ac:dyDescent="0.25">
      <c r="A6159" t="s">
        <v>160</v>
      </c>
    </row>
    <row r="6160" spans="1:1" x14ac:dyDescent="0.25">
      <c r="A6160" t="s">
        <v>161</v>
      </c>
    </row>
    <row r="6161" spans="1:1" x14ac:dyDescent="0.25">
      <c r="A6161" t="s">
        <v>1374</v>
      </c>
    </row>
    <row r="6162" spans="1:1" x14ac:dyDescent="0.25">
      <c r="A6162" t="s">
        <v>1375</v>
      </c>
    </row>
    <row r="6163" spans="1:1" x14ac:dyDescent="0.25">
      <c r="A6163" t="s">
        <v>162</v>
      </c>
    </row>
    <row r="6164" spans="1:1" x14ac:dyDescent="0.25">
      <c r="A6164" t="s">
        <v>163</v>
      </c>
    </row>
    <row r="6165" spans="1:1" x14ac:dyDescent="0.25">
      <c r="A6165" t="s">
        <v>164</v>
      </c>
    </row>
    <row r="6166" spans="1:1" x14ac:dyDescent="0.25">
      <c r="A6166" t="s">
        <v>165</v>
      </c>
    </row>
    <row r="6167" spans="1:1" x14ac:dyDescent="0.25">
      <c r="A6167" t="s">
        <v>166</v>
      </c>
    </row>
    <row r="6169" spans="1:1" x14ac:dyDescent="0.25">
      <c r="A6169" t="s">
        <v>167</v>
      </c>
    </row>
    <row r="6171" spans="1:1" x14ac:dyDescent="0.25">
      <c r="A6171" t="s">
        <v>168</v>
      </c>
    </row>
    <row r="6173" spans="1:1" x14ac:dyDescent="0.25">
      <c r="A6173" t="s">
        <v>4777</v>
      </c>
    </row>
    <row r="6175" spans="1:1" x14ac:dyDescent="0.25">
      <c r="A6175" t="s">
        <v>169</v>
      </c>
    </row>
    <row r="6177" spans="1:1" x14ac:dyDescent="0.25">
      <c r="A6177" t="s">
        <v>170</v>
      </c>
    </row>
    <row r="6179" spans="1:1" x14ac:dyDescent="0.25">
      <c r="A6179" t="s">
        <v>1307</v>
      </c>
    </row>
    <row r="6180" spans="1:1" x14ac:dyDescent="0.25">
      <c r="A6180" t="s">
        <v>1308</v>
      </c>
    </row>
    <row r="6182" spans="1:1" x14ac:dyDescent="0.25">
      <c r="A6182" t="s">
        <v>1309</v>
      </c>
    </row>
    <row r="6184" spans="1:1" x14ac:dyDescent="0.25">
      <c r="A6184" t="s">
        <v>171</v>
      </c>
    </row>
    <row r="6185" spans="1:1" x14ac:dyDescent="0.25">
      <c r="A6185" t="s">
        <v>172</v>
      </c>
    </row>
    <row r="6186" spans="1:1" x14ac:dyDescent="0.25">
      <c r="A6186" t="s">
        <v>173</v>
      </c>
    </row>
    <row r="6187" spans="1:1" x14ac:dyDescent="0.25">
      <c r="A6187" t="s">
        <v>174</v>
      </c>
    </row>
    <row r="6188" spans="1:1" x14ac:dyDescent="0.25">
      <c r="A6188" t="s">
        <v>175</v>
      </c>
    </row>
    <row r="6189" spans="1:1" x14ac:dyDescent="0.25">
      <c r="A6189" t="s">
        <v>176</v>
      </c>
    </row>
    <row r="6190" spans="1:1" x14ac:dyDescent="0.25">
      <c r="A6190" t="s">
        <v>177</v>
      </c>
    </row>
    <row r="6192" spans="1:1" x14ac:dyDescent="0.25">
      <c r="A6192" t="s">
        <v>178</v>
      </c>
    </row>
    <row r="6194" spans="1:1" x14ac:dyDescent="0.25">
      <c r="A6194" t="s">
        <v>179</v>
      </c>
    </row>
    <row r="6196" spans="1:1" x14ac:dyDescent="0.25">
      <c r="A6196" t="s">
        <v>180</v>
      </c>
    </row>
    <row r="6198" spans="1:1" x14ac:dyDescent="0.25">
      <c r="A6198" t="s">
        <v>181</v>
      </c>
    </row>
    <row r="6200" spans="1:1" x14ac:dyDescent="0.25">
      <c r="A6200" t="s">
        <v>182</v>
      </c>
    </row>
    <row r="6202" spans="1:1" x14ac:dyDescent="0.25">
      <c r="A6202" t="s">
        <v>183</v>
      </c>
    </row>
    <row r="6204" spans="1:1" x14ac:dyDescent="0.25">
      <c r="A6204" t="s">
        <v>184</v>
      </c>
    </row>
    <row r="6206" spans="1:1" x14ac:dyDescent="0.25">
      <c r="A6206" t="s">
        <v>185</v>
      </c>
    </row>
    <row r="6208" spans="1:1" x14ac:dyDescent="0.25">
      <c r="A6208" t="s">
        <v>186</v>
      </c>
    </row>
    <row r="6210" spans="1:1" x14ac:dyDescent="0.25">
      <c r="A6210" t="s">
        <v>187</v>
      </c>
    </row>
    <row r="6212" spans="1:1" x14ac:dyDescent="0.25">
      <c r="A6212" t="s">
        <v>188</v>
      </c>
    </row>
    <row r="6214" spans="1:1" x14ac:dyDescent="0.25">
      <c r="A6214" t="s">
        <v>189</v>
      </c>
    </row>
    <row r="6216" spans="1:1" x14ac:dyDescent="0.25">
      <c r="A6216" t="s">
        <v>36</v>
      </c>
    </row>
    <row r="6217" spans="1:1" x14ac:dyDescent="0.25">
      <c r="A6217" t="s">
        <v>37</v>
      </c>
    </row>
    <row r="6218" spans="1:1" x14ac:dyDescent="0.25">
      <c r="A6218" t="s">
        <v>38</v>
      </c>
    </row>
    <row r="6219" spans="1:1" x14ac:dyDescent="0.25">
      <c r="A6219" t="s">
        <v>39</v>
      </c>
    </row>
    <row r="6220" spans="1:1" x14ac:dyDescent="0.25">
      <c r="A6220" t="s">
        <v>40</v>
      </c>
    </row>
    <row r="6221" spans="1:1" x14ac:dyDescent="0.25">
      <c r="A6221" t="s">
        <v>41</v>
      </c>
    </row>
    <row r="6222" spans="1:1" x14ac:dyDescent="0.25">
      <c r="A6222" t="s">
        <v>42</v>
      </c>
    </row>
    <row r="6223" spans="1:1" x14ac:dyDescent="0.25">
      <c r="A6223" t="s">
        <v>43</v>
      </c>
    </row>
    <row r="6224" spans="1:1" x14ac:dyDescent="0.25">
      <c r="A6224" t="s">
        <v>44</v>
      </c>
    </row>
    <row r="6225" spans="1:1" x14ac:dyDescent="0.25">
      <c r="A6225" t="s">
        <v>190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Q33"/>
  <sheetViews>
    <sheetView topLeftCell="A4" workbookViewId="0">
      <selection activeCell="B32" sqref="B32:N33"/>
    </sheetView>
  </sheetViews>
  <sheetFormatPr defaultRowHeight="15" x14ac:dyDescent="0.25"/>
  <cols>
    <col min="3" max="3" width="20.7109375" bestFit="1" customWidth="1"/>
  </cols>
  <sheetData>
    <row r="1" spans="2:32" x14ac:dyDescent="0.25">
      <c r="C1" t="s">
        <v>3366</v>
      </c>
      <c r="D1" t="s">
        <v>3367</v>
      </c>
      <c r="E1" t="s">
        <v>3369</v>
      </c>
      <c r="F1" t="s">
        <v>3368</v>
      </c>
      <c r="G1" t="s">
        <v>3370</v>
      </c>
      <c r="H1" t="s">
        <v>3454</v>
      </c>
      <c r="I1" t="s">
        <v>3455</v>
      </c>
      <c r="K1" t="s">
        <v>3453</v>
      </c>
      <c r="R1" t="s">
        <v>3373</v>
      </c>
      <c r="S1" t="s">
        <v>862</v>
      </c>
      <c r="T1" t="s">
        <v>3375</v>
      </c>
      <c r="U1" t="s">
        <v>3456</v>
      </c>
      <c r="Z1" t="s">
        <v>3374</v>
      </c>
      <c r="AA1" t="s">
        <v>3327</v>
      </c>
      <c r="AB1" t="s">
        <v>862</v>
      </c>
      <c r="AC1" t="s">
        <v>3375</v>
      </c>
      <c r="AD1" t="s">
        <v>3328</v>
      </c>
      <c r="AE1" t="s">
        <v>3376</v>
      </c>
      <c r="AF1" t="s">
        <v>3375</v>
      </c>
    </row>
    <row r="2" spans="2:32" x14ac:dyDescent="0.25">
      <c r="B2" t="s">
        <v>4</v>
      </c>
      <c r="C2" t="s">
        <v>3339</v>
      </c>
      <c r="D2">
        <f>AVERAGEIF(ScoreImport!$H$399:$H$5835,$C2,ScoreImport!$I$399:$I$5835)</f>
        <v>5.1111111111111107</v>
      </c>
      <c r="E2">
        <f t="array" ref="E2">_xlfn.STDEV.P(IF(ScoreImport!$H$399:$H$5835=$C2,ScoreImport!$I$399:$I$5835))</f>
        <v>3.7646831880216483</v>
      </c>
      <c r="F2">
        <f>AVERAGEIF(ScoreImport!$J$399:$J$5835,$C2,ScoreImport!$K$399:$K$5835)</f>
        <v>4.9487179487179489</v>
      </c>
      <c r="G2">
        <f t="array" ref="G2">_xlfn.STDEV.P(IF(ScoreImport!$J$399:$J$5835=$C2,ScoreImport!$K$399:$K$5835))</f>
        <v>3.4526000455154415</v>
      </c>
      <c r="H2">
        <f>COUNTIFS(ScoreImport!$H$399:$H$5835,$C2,ScoreImport!$L$399:$L$5835,"&gt;"&amp;0)</f>
        <v>41</v>
      </c>
      <c r="I2">
        <f>COUNTIFS(ScoreImport!$H$399:$H$5835,$C2,ScoreImport!$L$399:$L$5835,"&lt;"&amp;0)</f>
        <v>40</v>
      </c>
      <c r="J2" s="32">
        <f>H2/(SUM(H2+I2))</f>
        <v>0.50617283950617287</v>
      </c>
      <c r="K2">
        <f>COUNTIFS(ScoreImport!$J$399:$J$5835,$C2,ScoreImport!$L$399:$L$5835,"&lt;"&amp;0)</f>
        <v>41</v>
      </c>
      <c r="L2">
        <f>COUNTIFS(ScoreImport!$J$399:$J$5835,$C2,ScoreImport!$L$399:$L$5835,"&gt;"&amp;0)</f>
        <v>37</v>
      </c>
      <c r="M2" s="32">
        <f>K2/(SUM(K2+L2))</f>
        <v>0.52564102564102566</v>
      </c>
      <c r="N2" s="32"/>
      <c r="O2" t="s">
        <v>3328</v>
      </c>
      <c r="P2" t="str">
        <f>IFERROR(INDEX(Overview!$A$3:$B$32,MATCH(R2,Overview!$B$3:$B$32,0),1),"")</f>
        <v>MIL</v>
      </c>
      <c r="Q2" t="str">
        <f>IFERROR(INDEX($B$2:$C$31,MATCH($P2,$B$2:$B$31,0),2),"")</f>
        <v>Milwaukee Brewers</v>
      </c>
      <c r="R2" t="str">
        <f>IF(Bet!C3=0,"",Bet!C3)</f>
        <v>Brewers</v>
      </c>
      <c r="S2">
        <f>IF(ISNUMBER(CODE(P2)),IFERROR(IF(ISEVEN(ROW()),AE2,AB1),IF(ISEVEN(ROW()),INDEX($B$2:$G$31,MATCH(P2,$B$2:$B$31,0),5),INDEX($B$2:$G$31,MATCH(P2,$B$2:$B$31,0),3))),"")</f>
        <v>7</v>
      </c>
      <c r="T2">
        <f>IF(ISNUMBER(CODE(P2)),IF(IF(ISEVEN(ROW()),AF2,AC1)&gt;1000,IF(ISEVEN(ROW()),INDEX($B$2:$G$31,MATCH(P2,$B$2:$B$31,0),6),INDEX($B$2:$G$31,MATCH(P2,$B$2:$B$31,0),4)),IF(ISEVEN(ROW()),AF2,AC1)),"")</f>
        <v>5.7735026918962573</v>
      </c>
      <c r="U2">
        <f t="shared" ref="U2:U31" si="0">IFERROR(IF(ISEVEN(ROW()),INDEX($B$2:$M$31,MATCH(P2,$B$2:$B$31,0),12),INDEX($B$2:$M$31,MATCH(P2,$B$2:$B$31,0),9)),"")</f>
        <v>0.60493827160493829</v>
      </c>
      <c r="Z2">
        <f>IF(ISEVEN(ROW()),COUNTIFS(ScoreImport!$H$399:$H$5835,AA2,ScoreImport!$J$399:$J$5835,AD2)+COUNTIFS(ScoreImport!$H$399:$H$5835,AD2,ScoreImport!$J$399:$J$5835,AA2),"")</f>
        <v>6</v>
      </c>
      <c r="AA2" t="str">
        <f>IF(ISEVEN(ROW()),Q3,"")</f>
        <v>Washington Nationals</v>
      </c>
      <c r="AB2" s="60">
        <f>IF(ISEVEN(ROW()),(SUMIFS(ScoreImport!$I$399:$I$5835,ScoreImport!$H$399:$H$5835,AA2,ScoreImport!$J$399:$J$5835,AD2)+SUMIFS(ScoreImport!$K$399:$K$5835,ScoreImport!$J$399:$J$5835,AA2,ScoreImport!$H$399:$H$5835,AD2))/(COUNTIFS(ScoreImport!$H$399:$H$5835,AA2,ScoreImport!$J$399:$J$5835,AD2)+COUNTIFS(ScoreImport!$H$399:$H$5835,AD2,ScoreImport!$J$399:$J$5835,AA2)),"")</f>
        <v>6.333333333333333</v>
      </c>
      <c r="AC2" s="60">
        <f t="array" ref="AC2">IFERROR(SQRT(_xlfn.VAR.P(IF(ScoreImport!$H$399:$H$5835=$AA2,IF(ScoreImport!$J$399:$J$5835=$AD2,ScoreImport!$I$399:$I$5835)))+_xlfn.VAR.P(IF(ScoreImport!$H$399:$H$5835=$AD2,IF(ScoreImport!$J$399:$J$5835=$AA2,ScoreImport!$K$399:$K$5835)))),"")</f>
        <v>6.342099196813483</v>
      </c>
      <c r="AD2" t="str">
        <f>IF(ISEVEN(ROW()),Q2,"")</f>
        <v>Milwaukee Brewers</v>
      </c>
      <c r="AE2">
        <f>IF(ISEVEN(ROW()),(SUMIFS(ScoreImport!$I$399:$I$5835,ScoreImport!$H$399:$H$5835,AD2,ScoreImport!$J$399:$J$5835,AA2)+SUMIFS(ScoreImport!$K$399:$K$5835,ScoreImport!$J$399:$J$5835,AD2,ScoreImport!$H$399:$H$5835,AA2))/(COUNTIFS(ScoreImport!$H$399:$H$5835,AA2,ScoreImport!$J$399:$J$5835,AD2)+COUNTIFS(ScoreImport!$H$399:$H$5835,AD2,ScoreImport!$J$399:$J$5835,AA2)),"")</f>
        <v>7</v>
      </c>
      <c r="AF2">
        <f t="array" ref="AF2">IFERROR(SQRT(_xlfn.VAR.P(IF(ScoreImport!$H$399:$H$5835=$AA2,IF(ScoreImport!$J$399:$J$5835=$AD2,ScoreImport!$K$399:$K$5835)))+_xlfn.VAR.P(IF(ScoreImport!$H$399:$H$5835=$AD2,IF(ScoreImport!$J$399:$J$5835=$AA2,ScoreImport!$I$399:$I$5835)))),"")</f>
        <v>5.7735026918962573</v>
      </c>
    </row>
    <row r="3" spans="2:32" x14ac:dyDescent="0.25">
      <c r="B3" t="s">
        <v>10</v>
      </c>
      <c r="C3" t="s">
        <v>3345</v>
      </c>
      <c r="D3">
        <f>AVERAGEIF(ScoreImport!$H$399:$H$5835,$C3,ScoreImport!$I$399:$I$5835)</f>
        <v>5.3076923076923075</v>
      </c>
      <c r="E3">
        <f t="array" ref="E3">_xlfn.STDEV.P(IF(ScoreImport!$H$399:$H$5835=$C3,ScoreImport!$I$399:$I$5835))</f>
        <v>3.2197614671471309</v>
      </c>
      <c r="F3">
        <f>AVERAGEIF(ScoreImport!$J$399:$J$5835,$C3,ScoreImport!$K$399:$K$5835)</f>
        <v>5.3456790123456788</v>
      </c>
      <c r="G3">
        <f t="array" ref="G3">_xlfn.STDEV.P(IF(ScoreImport!$J$399:$J$5835=$C3,ScoreImport!$K$399:$K$5835))</f>
        <v>3.1511725970617825</v>
      </c>
      <c r="H3">
        <f>COUNTIFS(ScoreImport!$H$399:$H$5835,$C3,ScoreImport!$L$399:$L$5835,"&gt;"&amp;0)</f>
        <v>47</v>
      </c>
      <c r="I3">
        <f>COUNTIFS(ScoreImport!$H$399:$H$5835,$C3,ScoreImport!$L$399:$L$5835,"&lt;"&amp;0)</f>
        <v>31</v>
      </c>
      <c r="J3" s="32">
        <f t="shared" ref="J3:J31" si="1">H3/(SUM(H3+I3))</f>
        <v>0.60256410256410253</v>
      </c>
      <c r="K3">
        <f>COUNTIFS(ScoreImport!$J$399:$J$5835,$C3,ScoreImport!$L$399:$L$5835,"&lt;"&amp;0)</f>
        <v>50</v>
      </c>
      <c r="L3">
        <f>COUNTIFS(ScoreImport!$J$399:$J$5835,$C3,ScoreImport!$L$399:$L$5835,"&gt;"&amp;0)</f>
        <v>31</v>
      </c>
      <c r="M3" s="32">
        <f t="shared" ref="M3:M31" si="2">K3/(SUM(K3+L3))</f>
        <v>0.61728395061728392</v>
      </c>
      <c r="N3" s="32"/>
      <c r="O3" t="s">
        <v>3327</v>
      </c>
      <c r="P3" t="str">
        <f>IFERROR(INDEX(Overview!$A$3:$B$32,MATCH(R3,Overview!$B$3:$B$32,0),1),"")</f>
        <v>WSN</v>
      </c>
      <c r="Q3" t="str">
        <f t="shared" ref="Q3:Q33" si="3">IFERROR(INDEX($B$2:$C$31,MATCH($P3,$B$2:$B$31,0),2),"")</f>
        <v>Washington Nationals</v>
      </c>
      <c r="R3" t="str">
        <f>IF(Bet!C4=0,"",Bet!C4)</f>
        <v>Nationals</v>
      </c>
      <c r="S3">
        <f t="shared" ref="S3:S31" si="4">IF(ISNUMBER(CODE(P3)),IFERROR(IF(ISEVEN(ROW()),AE3,AB2),IF(ISEVEN(ROW()),INDEX($B$2:$G$31,MATCH(P3,$B$2:$B$31,0),5),INDEX($B$2:$G$31,MATCH(P3,$B$2:$B$31,0),3))),"")</f>
        <v>6.333333333333333</v>
      </c>
      <c r="T3">
        <f t="shared" ref="T3:T31" si="5">IF(ISNUMBER(CODE(P3)),IF(IF(ISEVEN(ROW()),AF3,AC2)&gt;1000,IF(ISEVEN(ROW()),INDEX($B$2:$G$31,MATCH(P3,$B$2:$B$31,0),6),INDEX($B$2:$G$31,MATCH(P3,$B$2:$B$31,0),4)),IF(ISEVEN(ROW()),AF3,AC2)),"")</f>
        <v>6.342099196813483</v>
      </c>
      <c r="U3">
        <f t="shared" si="0"/>
        <v>0.53086419753086422</v>
      </c>
      <c r="Z3" t="str">
        <f>IF(ISEVEN(ROW()),COUNTIFS(ScoreImport!$H$399:$H$5835,AA3,ScoreImport!$J$399:$J$5835,AD3)+COUNTIFS(ScoreImport!$H$399:$H$5835,AD3,ScoreImport!$J$399:$J$5835,AA3),"")</f>
        <v/>
      </c>
      <c r="AA3" t="str">
        <f t="shared" ref="AA3:AA31" si="6">IF(ISEVEN(ROW()),Q4,"")</f>
        <v/>
      </c>
      <c r="AB3" s="60" t="str">
        <f>IF(ISEVEN(ROW()),(SUMIFS(ScoreImport!$I$399:$I$5835,ScoreImport!$H$399:$H$5835,AA3,ScoreImport!$J$399:$J$5835,AD3)+SUMIFS(ScoreImport!$K$399:$K$5835,ScoreImport!$J$399:$J$5835,AA3,ScoreImport!$H$399:$H$5835,AD3))/(COUNTIFS(ScoreImport!$H$399:$H$5835,AA3,ScoreImport!$J$399:$J$5835,AD3)+COUNTIFS(ScoreImport!$H$399:$H$5835,AD3,ScoreImport!$J$399:$J$5835,AA3)),"")</f>
        <v/>
      </c>
      <c r="AC3" s="60" t="str">
        <f t="array" ref="AC3">IFERROR(SQRT(_xlfn.VAR.P(IF(ScoreImport!$H$399:$H$5835=$AA3,IF(ScoreImport!$J$399:$J$5835=$AD3,ScoreImport!$I$399:$I$5835)))+_xlfn.VAR.P(IF(ScoreImport!$H$399:$H$5835=$AD3,IF(ScoreImport!$J$399:$J$5835=$AA3,ScoreImport!$K$399:$K$5835)))),"")</f>
        <v/>
      </c>
      <c r="AD3" t="str">
        <f t="shared" ref="AD3:AD31" si="7">IF(ISEVEN(ROW()),Q3,"")</f>
        <v/>
      </c>
      <c r="AE3" t="str">
        <f>IF(ISEVEN(ROW()),(SUMIFS(ScoreImport!$I$399:$I$5835,ScoreImport!$H$399:$H$5835,AD3,ScoreImport!$J$399:$J$5835,AA3)+SUMIFS(ScoreImport!$K$399:$K$5835,ScoreImport!$J$399:$J$5835,AD3,ScoreImport!$H$399:$H$5835,AA3))/(COUNTIFS(ScoreImport!$H$399:$H$5835,AA3,ScoreImport!$J$399:$J$5835,AD3)+COUNTIFS(ScoreImport!$H$399:$H$5835,AD3,ScoreImport!$J$399:$J$5835,AA3)),"")</f>
        <v/>
      </c>
      <c r="AF3" t="str">
        <f t="array" ref="AF3">IFERROR(SQRT(_xlfn.VAR.P(IF(ScoreImport!$H$399:$H$5835=$AA3,IF(ScoreImport!$J$399:$J$5835=$AD3,ScoreImport!$K$399:$K$5835)))+_xlfn.VAR.P(IF(ScoreImport!$H$399:$H$5835=$AD3,IF(ScoreImport!$J$399:$J$5835=$AA3,ScoreImport!$I$399:$I$5835)))),"")</f>
        <v/>
      </c>
    </row>
    <row r="4" spans="2:32" x14ac:dyDescent="0.25">
      <c r="B4" t="s">
        <v>8</v>
      </c>
      <c r="C4" t="s">
        <v>3343</v>
      </c>
      <c r="D4">
        <f>AVERAGEIF(ScoreImport!$H$399:$H$5835,$C4,ScoreImport!$I$399:$I$5835)</f>
        <v>4.5584415584415581</v>
      </c>
      <c r="E4">
        <f t="array" ref="E4">_xlfn.STDEV.P(IF(ScoreImport!$H$399:$H$5835=$C4,ScoreImport!$I$399:$I$5835))</f>
        <v>3.18475877898952</v>
      </c>
      <c r="F4">
        <f>AVERAGEIF(ScoreImport!$J$399:$J$5835,$C4,ScoreImport!$K$399:$K$5835)</f>
        <v>4.4320987654320989</v>
      </c>
      <c r="G4">
        <f t="array" ref="G4">_xlfn.STDEV.P(IF(ScoreImport!$J$399:$J$5835=$C4,ScoreImport!$K$399:$K$5835))</f>
        <v>2.8800646066353335</v>
      </c>
      <c r="H4">
        <f>COUNTIFS(ScoreImport!$H$399:$H$5835,$C4,ScoreImport!$L$399:$L$5835,"&gt;"&amp;0)</f>
        <v>27</v>
      </c>
      <c r="I4">
        <f>COUNTIFS(ScoreImport!$H$399:$H$5835,$C4,ScoreImport!$L$399:$L$5835,"&lt;"&amp;0)</f>
        <v>50</v>
      </c>
      <c r="J4" s="32">
        <f t="shared" si="1"/>
        <v>0.35064935064935066</v>
      </c>
      <c r="K4">
        <f>COUNTIFS(ScoreImport!$J$399:$J$5835,$C4,ScoreImport!$L$399:$L$5835,"&lt;"&amp;0)</f>
        <v>25</v>
      </c>
      <c r="L4">
        <f>COUNTIFS(ScoreImport!$J$399:$J$5835,$C4,ScoreImport!$L$399:$L$5835,"&gt;"&amp;0)</f>
        <v>56</v>
      </c>
      <c r="M4" s="32">
        <f t="shared" si="2"/>
        <v>0.30864197530864196</v>
      </c>
      <c r="N4" s="32"/>
      <c r="O4" t="s">
        <v>3328</v>
      </c>
      <c r="P4" t="str">
        <f>IFERROR(INDEX(Overview!$A$3:$B$32,MATCH(R4,Overview!$B$3:$B$32,0),1),"")</f>
        <v/>
      </c>
      <c r="Q4" t="str">
        <f t="shared" si="3"/>
        <v/>
      </c>
      <c r="R4" t="str">
        <f>IF(Bet!C5=0,"",Bet!C5)</f>
        <v/>
      </c>
      <c r="S4" t="str">
        <f t="shared" si="4"/>
        <v/>
      </c>
      <c r="T4" t="str">
        <f t="shared" si="5"/>
        <v/>
      </c>
      <c r="U4" t="str">
        <f t="shared" si="0"/>
        <v/>
      </c>
      <c r="Z4">
        <f>IF(ISEVEN(ROW()),COUNTIFS(ScoreImport!$H$399:$H$5835,AA4,ScoreImport!$J$399:$J$5835,AD4)+COUNTIFS(ScoreImport!$H$399:$H$5835,AD4,ScoreImport!$J$399:$J$5835,AA4),"")</f>
        <v>6148</v>
      </c>
      <c r="AA4" t="str">
        <f t="shared" si="6"/>
        <v/>
      </c>
      <c r="AB4" s="60">
        <f>IF(ISEVEN(ROW()),(SUMIFS(ScoreImport!$I$399:$I$5835,ScoreImport!$H$399:$H$5835,AA4,ScoreImport!$J$399:$J$5835,AD4)+SUMIFS(ScoreImport!$K$399:$K$5835,ScoreImport!$J$399:$J$5835,AA4,ScoreImport!$H$399:$H$5835,AD4))/(COUNTIFS(ScoreImport!$H$399:$H$5835,AA4,ScoreImport!$J$399:$J$5835,AD4)+COUNTIFS(ScoreImport!$H$399:$H$5835,AD4,ScoreImport!$J$399:$J$5835,AA4)),"")</f>
        <v>0</v>
      </c>
      <c r="AC4" s="60" t="str">
        <f t="array" ref="AC4">IFERROR(SQRT(_xlfn.VAR.P(IF(ScoreImport!$H$399:$H$5835=$AA4,IF(ScoreImport!$J$399:$J$5835=$AD4,ScoreImport!$I$399:$I$5835)))+_xlfn.VAR.P(IF(ScoreImport!$H$399:$H$5835=$AD4,IF(ScoreImport!$J$399:$J$5835=$AA4,ScoreImport!$K$399:$K$5835)))),"")</f>
        <v/>
      </c>
      <c r="AD4" t="str">
        <f t="shared" si="7"/>
        <v/>
      </c>
      <c r="AE4">
        <f>IF(ISEVEN(ROW()),(SUMIFS(ScoreImport!$I$399:$I$5835,ScoreImport!$H$399:$H$5835,AD4,ScoreImport!$J$399:$J$5835,AA4)+SUMIFS(ScoreImport!$K$399:$K$5835,ScoreImport!$J$399:$J$5835,AD4,ScoreImport!$H$399:$H$5835,AA4))/(COUNTIFS(ScoreImport!$H$399:$H$5835,AA4,ScoreImport!$J$399:$J$5835,AD4)+COUNTIFS(ScoreImport!$H$399:$H$5835,AD4,ScoreImport!$J$399:$J$5835,AA4)),"")</f>
        <v>0</v>
      </c>
      <c r="AF4" t="str">
        <f t="array" ref="AF4">IFERROR(SQRT(_xlfn.VAR.P(IF(ScoreImport!$H$399:$H$5835=$AA4,IF(ScoreImport!$J$399:$J$5835=$AD4,ScoreImport!$K$399:$K$5835)))+_xlfn.VAR.P(IF(ScoreImport!$H$399:$H$5835=$AD4,IF(ScoreImport!$J$399:$J$5835=$AA4,ScoreImport!$I$399:$I$5835)))),"")</f>
        <v/>
      </c>
    </row>
    <row r="5" spans="2:32" x14ac:dyDescent="0.25">
      <c r="B5" t="s">
        <v>9</v>
      </c>
      <c r="C5" t="s">
        <v>3347</v>
      </c>
      <c r="D5">
        <f>AVERAGEIF(ScoreImport!$H$399:$H$5835,$C5,ScoreImport!$I$399:$I$5835)</f>
        <v>5.4936708860759493</v>
      </c>
      <c r="E5">
        <f t="array" ref="E5">_xlfn.STDEV.P(IF(ScoreImport!$H$399:$H$5835=$C5,ScoreImport!$I$399:$I$5835))</f>
        <v>3.5252198700492929</v>
      </c>
      <c r="F5">
        <f>AVERAGEIF(ScoreImport!$J$399:$J$5835,$C5,ScoreImport!$K$399:$K$5835)</f>
        <v>5.666666666666667</v>
      </c>
      <c r="G5">
        <f t="array" ref="G5">_xlfn.STDEV.P(IF(ScoreImport!$J$399:$J$5835=$C5,ScoreImport!$K$399:$K$5835))</f>
        <v>3.6573307720342134</v>
      </c>
      <c r="H5">
        <f>COUNTIFS(ScoreImport!$H$399:$H$5835,$C5,ScoreImport!$L$399:$L$5835,"&gt;"&amp;0)</f>
        <v>45</v>
      </c>
      <c r="I5">
        <f>COUNTIFS(ScoreImport!$H$399:$H$5835,$C5,ScoreImport!$L$399:$L$5835,"&lt;"&amp;0)</f>
        <v>34</v>
      </c>
      <c r="J5" s="32">
        <f t="shared" si="1"/>
        <v>0.569620253164557</v>
      </c>
      <c r="K5">
        <f>COUNTIFS(ScoreImport!$J$399:$J$5835,$C5,ScoreImport!$L$399:$L$5835,"&lt;"&amp;0)</f>
        <v>37</v>
      </c>
      <c r="L5">
        <f>COUNTIFS(ScoreImport!$J$399:$J$5835,$C5,ScoreImport!$L$399:$L$5835,"&gt;"&amp;0)</f>
        <v>41</v>
      </c>
      <c r="M5" s="32">
        <f t="shared" si="2"/>
        <v>0.47435897435897434</v>
      </c>
      <c r="N5" s="32"/>
      <c r="O5" t="s">
        <v>3327</v>
      </c>
      <c r="P5" t="str">
        <f>IFERROR(INDEX(Overview!$A$3:$B$32,MATCH(R5,Overview!$B$3:$B$32,0),1),"")</f>
        <v/>
      </c>
      <c r="Q5" t="str">
        <f t="shared" si="3"/>
        <v/>
      </c>
      <c r="R5" t="str">
        <f>IF(Bet!C6=0,"",Bet!C6)</f>
        <v/>
      </c>
      <c r="S5" t="str">
        <f t="shared" si="4"/>
        <v/>
      </c>
      <c r="T5" t="str">
        <f t="shared" si="5"/>
        <v/>
      </c>
      <c r="U5" t="str">
        <f t="shared" si="0"/>
        <v/>
      </c>
      <c r="Z5" t="str">
        <f>IF(ISEVEN(ROW()),COUNTIFS(ScoreImport!$H$399:$H$5835,AA5,ScoreImport!$J$399:$J$5835,AD5)+COUNTIFS(ScoreImport!$H$399:$H$5835,AD5,ScoreImport!$J$399:$J$5835,AA5),"")</f>
        <v/>
      </c>
      <c r="AA5" t="str">
        <f t="shared" si="6"/>
        <v/>
      </c>
      <c r="AB5" s="60" t="str">
        <f>IF(ISEVEN(ROW()),(SUMIFS(ScoreImport!$I$399:$I$5835,ScoreImport!$H$399:$H$5835,AA5,ScoreImport!$J$399:$J$5835,AD5)+SUMIFS(ScoreImport!$K$399:$K$5835,ScoreImport!$J$399:$J$5835,AA5,ScoreImport!$H$399:$H$5835,AD5))/(COUNTIFS(ScoreImport!$H$399:$H$5835,AA5,ScoreImport!$J$399:$J$5835,AD5)+COUNTIFS(ScoreImport!$H$399:$H$5835,AD5,ScoreImport!$J$399:$J$5835,AA5)),"")</f>
        <v/>
      </c>
      <c r="AC5" s="60" t="str">
        <f t="array" ref="AC5">IFERROR(SQRT(_xlfn.VAR.P(IF(ScoreImport!$H$399:$H$5835=$AA5,IF(ScoreImport!$J$399:$J$5835=$AD5,ScoreImport!$I$399:$I$5835)))+_xlfn.VAR.P(IF(ScoreImport!$H$399:$H$5835=$AD5,IF(ScoreImport!$J$399:$J$5835=$AA5,ScoreImport!$K$399:$K$5835)))),"")</f>
        <v/>
      </c>
      <c r="AD5" t="str">
        <f t="shared" si="7"/>
        <v/>
      </c>
      <c r="AE5" t="str">
        <f>IF(ISEVEN(ROW()),(SUMIFS(ScoreImport!$I$399:$I$5835,ScoreImport!$H$399:$H$5835,AD5,ScoreImport!$J$399:$J$5835,AA5)+SUMIFS(ScoreImport!$K$399:$K$5835,ScoreImport!$J$399:$J$5835,AD5,ScoreImport!$H$399:$H$5835,AA5))/(COUNTIFS(ScoreImport!$H$399:$H$5835,AA5,ScoreImport!$J$399:$J$5835,AD5)+COUNTIFS(ScoreImport!$H$399:$H$5835,AD5,ScoreImport!$J$399:$J$5835,AA5)),"")</f>
        <v/>
      </c>
      <c r="AF5" t="str">
        <f t="array" ref="AF5">IFERROR(SQRT(_xlfn.VAR.P(IF(ScoreImport!$H$399:$H$5835=$AA5,IF(ScoreImport!$J$399:$J$5835=$AD5,ScoreImport!$K$399:$K$5835)))+_xlfn.VAR.P(IF(ScoreImport!$H$399:$H$5835=$AD5,IF(ScoreImport!$J$399:$J$5835=$AA5,ScoreImport!$I$399:$I$5835)))),"")</f>
        <v/>
      </c>
    </row>
    <row r="6" spans="2:32" x14ac:dyDescent="0.25">
      <c r="B6" t="s">
        <v>31</v>
      </c>
      <c r="C6" t="s">
        <v>3349</v>
      </c>
      <c r="D6">
        <f>AVERAGEIF(ScoreImport!$H$399:$H$5835,$C6,ScoreImport!$I$399:$I$5835)</f>
        <v>4.8552631578947372</v>
      </c>
      <c r="E6">
        <f t="array" ref="E6">_xlfn.STDEV.P(IF(ScoreImport!$H$399:$H$5835=$C6,ScoreImport!$I$399:$I$5835))</f>
        <v>3.4894726919106311</v>
      </c>
      <c r="F6">
        <f>AVERAGEIF(ScoreImport!$J$399:$J$5835,$C6,ScoreImport!$K$399:$K$5835)</f>
        <v>5.2098765432098766</v>
      </c>
      <c r="G6">
        <f t="array" ref="G6">_xlfn.STDEV.P(IF(ScoreImport!$J$399:$J$5835=$C6,ScoreImport!$K$399:$K$5835))</f>
        <v>3.5231721445406357</v>
      </c>
      <c r="H6">
        <f>COUNTIFS(ScoreImport!$H$399:$H$5835,$C6,ScoreImport!$L$399:$L$5835,"&gt;"&amp;0)</f>
        <v>31</v>
      </c>
      <c r="I6">
        <f>COUNTIFS(ScoreImport!$H$399:$H$5835,$C6,ScoreImport!$L$399:$L$5835,"&lt;"&amp;0)</f>
        <v>45</v>
      </c>
      <c r="J6" s="32">
        <f t="shared" si="1"/>
        <v>0.40789473684210525</v>
      </c>
      <c r="K6">
        <f>COUNTIFS(ScoreImport!$J$399:$J$5835,$C6,ScoreImport!$L$399:$L$5835,"&lt;"&amp;0)</f>
        <v>51</v>
      </c>
      <c r="L6">
        <f>COUNTIFS(ScoreImport!$J$399:$J$5835,$C6,ScoreImport!$L$399:$L$5835,"&gt;"&amp;0)</f>
        <v>30</v>
      </c>
      <c r="M6" s="32">
        <f t="shared" si="2"/>
        <v>0.62962962962962965</v>
      </c>
      <c r="N6" s="32"/>
      <c r="O6" t="s">
        <v>3328</v>
      </c>
      <c r="P6" t="str">
        <f>IFERROR(INDEX(Overview!$A$3:$B$32,MATCH(R6,Overview!$B$3:$B$32,0),1),"")</f>
        <v/>
      </c>
      <c r="Q6" t="str">
        <f t="shared" si="3"/>
        <v/>
      </c>
      <c r="R6" t="str">
        <f>IF(Bet!C7=0,"",Bet!C7)</f>
        <v/>
      </c>
      <c r="S6" t="str">
        <f t="shared" si="4"/>
        <v/>
      </c>
      <c r="T6" t="str">
        <f t="shared" si="5"/>
        <v/>
      </c>
      <c r="U6" t="str">
        <f t="shared" si="0"/>
        <v/>
      </c>
      <c r="Z6">
        <f>IF(ISEVEN(ROW()),COUNTIFS(ScoreImport!$H$399:$H$5835,AA6,ScoreImport!$J$399:$J$5835,AD6)+COUNTIFS(ScoreImport!$H$399:$H$5835,AD6,ScoreImport!$J$399:$J$5835,AA6),"")</f>
        <v>6148</v>
      </c>
      <c r="AA6" t="str">
        <f t="shared" si="6"/>
        <v/>
      </c>
      <c r="AB6" s="60">
        <f>IF(ISEVEN(ROW()),(SUMIFS(ScoreImport!$I$399:$I$5835,ScoreImport!$H$399:$H$5835,AA6,ScoreImport!$J$399:$J$5835,AD6)+SUMIFS(ScoreImport!$K$399:$K$5835,ScoreImport!$J$399:$J$5835,AA6,ScoreImport!$H$399:$H$5835,AD6))/(COUNTIFS(ScoreImport!$H$399:$H$5835,AA6,ScoreImport!$J$399:$J$5835,AD6)+COUNTIFS(ScoreImport!$H$399:$H$5835,AD6,ScoreImport!$J$399:$J$5835,AA6)),"")</f>
        <v>0</v>
      </c>
      <c r="AC6" s="60" t="str">
        <f t="array" ref="AC6">IFERROR(SQRT(_xlfn.VAR.P(IF(ScoreImport!$H$399:$H$5835=$AA6,IF(ScoreImport!$J$399:$J$5835=$AD6,ScoreImport!$I$399:$I$5835)))+_xlfn.VAR.P(IF(ScoreImport!$H$399:$H$5835=$AD6,IF(ScoreImport!$J$399:$J$5835=$AA6,ScoreImport!$K$399:$K$5835)))),"")</f>
        <v/>
      </c>
      <c r="AD6" t="str">
        <f t="shared" si="7"/>
        <v/>
      </c>
      <c r="AE6">
        <f>IF(ISEVEN(ROW()),(SUMIFS(ScoreImport!$I$399:$I$5835,ScoreImport!$H$399:$H$5835,AD6,ScoreImport!$J$399:$J$5835,AA6)+SUMIFS(ScoreImport!$K$399:$K$5835,ScoreImport!$J$399:$J$5835,AD6,ScoreImport!$H$399:$H$5835,AA6))/(COUNTIFS(ScoreImport!$H$399:$H$5835,AA6,ScoreImport!$J$399:$J$5835,AD6)+COUNTIFS(ScoreImport!$H$399:$H$5835,AD6,ScoreImport!$J$399:$J$5835,AA6)),"")</f>
        <v>0</v>
      </c>
      <c r="AF6" t="str">
        <f t="array" ref="AF6">IFERROR(SQRT(_xlfn.VAR.P(IF(ScoreImport!$H$399:$H$5835=$AA6,IF(ScoreImport!$J$399:$J$5835=$AD6,ScoreImport!$K$399:$K$5835)))+_xlfn.VAR.P(IF(ScoreImport!$H$399:$H$5835=$AD6,IF(ScoreImport!$J$399:$J$5835=$AA6,ScoreImport!$I$399:$I$5835)))),"")</f>
        <v/>
      </c>
    </row>
    <row r="7" spans="2:32" x14ac:dyDescent="0.25">
      <c r="B7" t="s">
        <v>32</v>
      </c>
      <c r="C7" t="s">
        <v>3338</v>
      </c>
      <c r="D7">
        <f>AVERAGEIF(ScoreImport!$H$399:$H$5835,$C7,ScoreImport!$I$399:$I$5835)</f>
        <v>4.6049382716049383</v>
      </c>
      <c r="E7">
        <f t="array" ref="E7">_xlfn.STDEV.P(IF(ScoreImport!$H$399:$H$5835=$C7,ScoreImport!$I$399:$I$5835))</f>
        <v>2.7562678843883432</v>
      </c>
      <c r="F7">
        <f>AVERAGEIF(ScoreImport!$J$399:$J$5835,$C7,ScoreImport!$K$399:$K$5835)</f>
        <v>4.1052631578947372</v>
      </c>
      <c r="G7">
        <f t="array" ref="G7">_xlfn.STDEV.P(IF(ScoreImport!$J$399:$J$5835=$C7,ScoreImport!$K$399:$K$5835))</f>
        <v>2.9583910428350864</v>
      </c>
      <c r="H7">
        <f>COUNTIFS(ScoreImport!$H$399:$H$5835,$C7,ScoreImport!$L$399:$L$5835,"&gt;"&amp;0)</f>
        <v>33</v>
      </c>
      <c r="I7">
        <f>COUNTIFS(ScoreImport!$H$399:$H$5835,$C7,ScoreImport!$L$399:$L$5835,"&lt;"&amp;0)</f>
        <v>48</v>
      </c>
      <c r="J7" s="32">
        <f t="shared" si="1"/>
        <v>0.40740740740740738</v>
      </c>
      <c r="K7">
        <f>COUNTIFS(ScoreImport!$J$399:$J$5835,$C7,ScoreImport!$L$399:$L$5835,"&lt;"&amp;0)</f>
        <v>36</v>
      </c>
      <c r="L7">
        <f>COUNTIFS(ScoreImport!$J$399:$J$5835,$C7,ScoreImport!$L$399:$L$5835,"&gt;"&amp;0)</f>
        <v>40</v>
      </c>
      <c r="M7" s="32">
        <f t="shared" si="2"/>
        <v>0.47368421052631576</v>
      </c>
      <c r="N7" s="32"/>
      <c r="O7" t="s">
        <v>3327</v>
      </c>
      <c r="P7" t="str">
        <f>IFERROR(INDEX(Overview!$A$3:$B$32,MATCH(R7,Overview!$B$3:$B$32,0),1),"")</f>
        <v/>
      </c>
      <c r="Q7" t="str">
        <f t="shared" si="3"/>
        <v/>
      </c>
      <c r="R7" t="str">
        <f>IF(Bet!C8=0,"",Bet!C8)</f>
        <v/>
      </c>
      <c r="S7" t="str">
        <f t="shared" si="4"/>
        <v/>
      </c>
      <c r="T7" t="str">
        <f t="shared" si="5"/>
        <v/>
      </c>
      <c r="U7" t="str">
        <f t="shared" si="0"/>
        <v/>
      </c>
      <c r="Z7" t="str">
        <f>IF(ISEVEN(ROW()),COUNTIFS(ScoreImport!$H$399:$H$5835,AA7,ScoreImport!$J$399:$J$5835,AD7)+COUNTIFS(ScoreImport!$H$399:$H$5835,AD7,ScoreImport!$J$399:$J$5835,AA7),"")</f>
        <v/>
      </c>
      <c r="AA7" t="str">
        <f t="shared" si="6"/>
        <v/>
      </c>
      <c r="AB7" s="60" t="str">
        <f>IF(ISEVEN(ROW()),(SUMIFS(ScoreImport!$I$399:$I$5835,ScoreImport!$H$399:$H$5835,AA7,ScoreImport!$J$399:$J$5835,AD7)+SUMIFS(ScoreImport!$K$399:$K$5835,ScoreImport!$J$399:$J$5835,AA7,ScoreImport!$H$399:$H$5835,AD7))/(COUNTIFS(ScoreImport!$H$399:$H$5835,AA7,ScoreImport!$J$399:$J$5835,AD7)+COUNTIFS(ScoreImport!$H$399:$H$5835,AD7,ScoreImport!$J$399:$J$5835,AA7)),"")</f>
        <v/>
      </c>
      <c r="AC7" s="60" t="str">
        <f t="array" ref="AC7">IFERROR(SQRT(_xlfn.VAR.P(IF(ScoreImport!$H$399:$H$5835=$AA7,IF(ScoreImport!$J$399:$J$5835=$AD7,ScoreImport!$I$399:$I$5835)))+_xlfn.VAR.P(IF(ScoreImport!$H$399:$H$5835=$AD7,IF(ScoreImport!$J$399:$J$5835=$AA7,ScoreImport!$K$399:$K$5835)))),"")</f>
        <v/>
      </c>
      <c r="AD7" t="str">
        <f t="shared" si="7"/>
        <v/>
      </c>
      <c r="AE7" t="str">
        <f>IF(ISEVEN(ROW()),(SUMIFS(ScoreImport!$I$399:$I$5835,ScoreImport!$H$399:$H$5835,AD7,ScoreImport!$J$399:$J$5835,AA7)+SUMIFS(ScoreImport!$K$399:$K$5835,ScoreImport!$J$399:$J$5835,AD7,ScoreImport!$H$399:$H$5835,AA7))/(COUNTIFS(ScoreImport!$H$399:$H$5835,AA7,ScoreImport!$J$399:$J$5835,AD7)+COUNTIFS(ScoreImport!$H$399:$H$5835,AD7,ScoreImport!$J$399:$J$5835,AA7)),"")</f>
        <v/>
      </c>
      <c r="AF7" t="str">
        <f t="array" ref="AF7">IFERROR(SQRT(_xlfn.VAR.P(IF(ScoreImport!$H$399:$H$5835=$AA7,IF(ScoreImport!$J$399:$J$5835=$AD7,ScoreImport!$K$399:$K$5835)))+_xlfn.VAR.P(IF(ScoreImport!$H$399:$H$5835=$AD7,IF(ScoreImport!$J$399:$J$5835=$AA7,ScoreImport!$I$399:$I$5835)))),"")</f>
        <v/>
      </c>
    </row>
    <row r="8" spans="2:32" x14ac:dyDescent="0.25">
      <c r="B8" t="s">
        <v>12</v>
      </c>
      <c r="C8" t="s">
        <v>3326</v>
      </c>
      <c r="D8">
        <f>AVERAGEIF(ScoreImport!$H$399:$H$5835,$C8,ScoreImport!$I$399:$I$5835)</f>
        <v>4.333333333333333</v>
      </c>
      <c r="E8">
        <f t="array" ref="E8">_xlfn.STDEV.P(IF(ScoreImport!$H$399:$H$5835=$C8,ScoreImport!$I$399:$I$5835))</f>
        <v>3.2842540684795973</v>
      </c>
      <c r="F8">
        <f>AVERAGEIF(ScoreImport!$J$399:$J$5835,$C8,ScoreImport!$K$399:$K$5835)</f>
        <v>4.3499999999999996</v>
      </c>
      <c r="G8">
        <f t="array" ref="G8">_xlfn.STDEV.P(IF(ScoreImport!$J$399:$J$5835=$C8,ScoreImport!$K$399:$K$5835))</f>
        <v>3.1784430150625633</v>
      </c>
      <c r="H8">
        <f>COUNTIFS(ScoreImport!$H$399:$H$5835,$C8,ScoreImport!$L$399:$L$5835,"&gt;"&amp;0)</f>
        <v>32</v>
      </c>
      <c r="I8">
        <f>COUNTIFS(ScoreImport!$H$399:$H$5835,$C8,ScoreImport!$L$399:$L$5835,"&lt;"&amp;0)</f>
        <v>46</v>
      </c>
      <c r="J8" s="32">
        <f t="shared" si="1"/>
        <v>0.41025641025641024</v>
      </c>
      <c r="K8">
        <f>COUNTIFS(ScoreImport!$J$399:$J$5835,$C8,ScoreImport!$L$399:$L$5835,"&lt;"&amp;0)</f>
        <v>41</v>
      </c>
      <c r="L8">
        <f>COUNTIFS(ScoreImport!$J$399:$J$5835,$C8,ScoreImport!$L$399:$L$5835,"&gt;"&amp;0)</f>
        <v>39</v>
      </c>
      <c r="M8" s="32">
        <f t="shared" si="2"/>
        <v>0.51249999999999996</v>
      </c>
      <c r="N8" s="32"/>
      <c r="O8" t="s">
        <v>3328</v>
      </c>
      <c r="P8" t="str">
        <f>IFERROR(INDEX(Overview!$A$3:$B$32,MATCH(R8,Overview!$B$3:$B$32,0),1),"")</f>
        <v/>
      </c>
      <c r="Q8" t="str">
        <f t="shared" si="3"/>
        <v/>
      </c>
      <c r="R8" t="str">
        <f>IF(Bet!C9=0,"",Bet!C9)</f>
        <v/>
      </c>
      <c r="S8" t="str">
        <f t="shared" si="4"/>
        <v/>
      </c>
      <c r="T8" t="str">
        <f t="shared" si="5"/>
        <v/>
      </c>
      <c r="U8" t="str">
        <f t="shared" si="0"/>
        <v/>
      </c>
      <c r="Z8">
        <f>IF(ISEVEN(ROW()),COUNTIFS(ScoreImport!$H$399:$H$5835,AA8,ScoreImport!$J$399:$J$5835,AD8)+COUNTIFS(ScoreImport!$H$399:$H$5835,AD8,ScoreImport!$J$399:$J$5835,AA8),"")</f>
        <v>6148</v>
      </c>
      <c r="AA8" t="str">
        <f t="shared" si="6"/>
        <v/>
      </c>
      <c r="AB8" s="60">
        <f>IF(ISEVEN(ROW()),(SUMIFS(ScoreImport!$I$399:$I$5835,ScoreImport!$H$399:$H$5835,AA8,ScoreImport!$J$399:$J$5835,AD8)+SUMIFS(ScoreImport!$K$399:$K$5835,ScoreImport!$J$399:$J$5835,AA8,ScoreImport!$H$399:$H$5835,AD8))/(COUNTIFS(ScoreImport!$H$399:$H$5835,AA8,ScoreImport!$J$399:$J$5835,AD8)+COUNTIFS(ScoreImport!$H$399:$H$5835,AD8,ScoreImport!$J$399:$J$5835,AA8)),"")</f>
        <v>0</v>
      </c>
      <c r="AC8" s="60" t="str">
        <f t="array" ref="AC8">IFERROR(SQRT(_xlfn.VAR.P(IF(ScoreImport!$H$399:$H$5835=$AA8,IF(ScoreImport!$J$399:$J$5835=$AD8,ScoreImport!$I$399:$I$5835)))+_xlfn.VAR.P(IF(ScoreImport!$H$399:$H$5835=$AD8,IF(ScoreImport!$J$399:$J$5835=$AA8,ScoreImport!$K$399:$K$5835)))),"")</f>
        <v/>
      </c>
      <c r="AD8" t="str">
        <f t="shared" si="7"/>
        <v/>
      </c>
      <c r="AE8">
        <f>IF(ISEVEN(ROW()),(SUMIFS(ScoreImport!$I$399:$I$5835,ScoreImport!$H$399:$H$5835,AD8,ScoreImport!$J$399:$J$5835,AA8)+SUMIFS(ScoreImport!$K$399:$K$5835,ScoreImport!$J$399:$J$5835,AD8,ScoreImport!$H$399:$H$5835,AA8))/(COUNTIFS(ScoreImport!$H$399:$H$5835,AA8,ScoreImport!$J$399:$J$5835,AD8)+COUNTIFS(ScoreImport!$H$399:$H$5835,AD8,ScoreImport!$J$399:$J$5835,AA8)),"")</f>
        <v>0</v>
      </c>
      <c r="AF8" t="str">
        <f t="array" ref="AF8">IFERROR(SQRT(_xlfn.VAR.P(IF(ScoreImport!$H$399:$H$5835=$AA8,IF(ScoreImport!$J$399:$J$5835=$AD8,ScoreImport!$K$399:$K$5835)))+_xlfn.VAR.P(IF(ScoreImport!$H$399:$H$5835=$AD8,IF(ScoreImport!$J$399:$J$5835=$AA8,ScoreImport!$I$399:$I$5835)))),"")</f>
        <v/>
      </c>
    </row>
    <row r="9" spans="2:32" x14ac:dyDescent="0.25">
      <c r="B9" t="s">
        <v>3</v>
      </c>
      <c r="C9" t="s">
        <v>3342</v>
      </c>
      <c r="D9">
        <f>AVERAGEIF(ScoreImport!$H$399:$H$5835,$C9,ScoreImport!$I$399:$I$5835)</f>
        <v>4.883116883116883</v>
      </c>
      <c r="E9">
        <f t="array" ref="E9">_xlfn.STDEV.P(IF(ScoreImport!$H$399:$H$5835=$C9,ScoreImport!$I$399:$I$5835))</f>
        <v>3.7031893098058615</v>
      </c>
      <c r="F9">
        <f>AVERAGEIF(ScoreImport!$J$399:$J$5835,$C9,ScoreImport!$K$399:$K$5835)</f>
        <v>4.716049382716049</v>
      </c>
      <c r="G9">
        <f t="array" ref="G9">_xlfn.STDEV.P(IF(ScoreImport!$J$399:$J$5835=$C9,ScoreImport!$K$399:$K$5835))</f>
        <v>2.9574537258884073</v>
      </c>
      <c r="H9">
        <f>COUNTIFS(ScoreImport!$H$399:$H$5835,$C9,ScoreImport!$L$399:$L$5835,"&gt;"&amp;0)</f>
        <v>44</v>
      </c>
      <c r="I9">
        <f>COUNTIFS(ScoreImport!$H$399:$H$5835,$C9,ScoreImport!$L$399:$L$5835,"&lt;"&amp;0)</f>
        <v>33</v>
      </c>
      <c r="J9" s="32">
        <f t="shared" si="1"/>
        <v>0.5714285714285714</v>
      </c>
      <c r="K9">
        <f>COUNTIFS(ScoreImport!$J$399:$J$5835,$C9,ScoreImport!$L$399:$L$5835,"&lt;"&amp;0)</f>
        <v>49</v>
      </c>
      <c r="L9">
        <f>COUNTIFS(ScoreImport!$J$399:$J$5835,$C9,ScoreImport!$L$399:$L$5835,"&gt;"&amp;0)</f>
        <v>32</v>
      </c>
      <c r="M9" s="32">
        <f t="shared" si="2"/>
        <v>0.60493827160493829</v>
      </c>
      <c r="N9" s="32"/>
      <c r="O9" t="s">
        <v>3327</v>
      </c>
      <c r="P9" t="str">
        <f>IFERROR(INDEX(Overview!$A$3:$B$32,MATCH(R9,Overview!$B$3:$B$32,0),1),"")</f>
        <v/>
      </c>
      <c r="Q9" t="str">
        <f t="shared" si="3"/>
        <v/>
      </c>
      <c r="R9" t="str">
        <f>IF(Bet!C10=0,"",Bet!C10)</f>
        <v/>
      </c>
      <c r="S9" t="str">
        <f t="shared" si="4"/>
        <v/>
      </c>
      <c r="T9" t="str">
        <f t="shared" si="5"/>
        <v/>
      </c>
      <c r="U9" t="str">
        <f t="shared" si="0"/>
        <v/>
      </c>
      <c r="Z9" t="str">
        <f>IF(ISEVEN(ROW()),COUNTIFS(ScoreImport!$H$399:$H$5835,AA9,ScoreImport!$J$399:$J$5835,AD9)+COUNTIFS(ScoreImport!$H$399:$H$5835,AD9,ScoreImport!$J$399:$J$5835,AA9),"")</f>
        <v/>
      </c>
      <c r="AA9" t="str">
        <f t="shared" si="6"/>
        <v/>
      </c>
      <c r="AB9" s="60" t="str">
        <f>IF(ISEVEN(ROW()),(SUMIFS(ScoreImport!$I$399:$I$5835,ScoreImport!$H$399:$H$5835,AA9,ScoreImport!$J$399:$J$5835,AD9)+SUMIFS(ScoreImport!$K$399:$K$5835,ScoreImport!$J$399:$J$5835,AA9,ScoreImport!$H$399:$H$5835,AD9))/(COUNTIFS(ScoreImport!$H$399:$H$5835,AA9,ScoreImport!$J$399:$J$5835,AD9)+COUNTIFS(ScoreImport!$H$399:$H$5835,AD9,ScoreImport!$J$399:$J$5835,AA9)),"")</f>
        <v/>
      </c>
      <c r="AC9" s="60" t="str">
        <f t="array" ref="AC9">IFERROR(SQRT(_xlfn.VAR.P(IF(ScoreImport!$H$399:$H$5835=$AA9,IF(ScoreImport!$J$399:$J$5835=$AD9,ScoreImport!$I$399:$I$5835)))+_xlfn.VAR.P(IF(ScoreImport!$H$399:$H$5835=$AD9,IF(ScoreImport!$J$399:$J$5835=$AA9,ScoreImport!$K$399:$K$5835)))),"")</f>
        <v/>
      </c>
      <c r="AD9" t="str">
        <f t="shared" si="7"/>
        <v/>
      </c>
      <c r="AE9" t="str">
        <f>IF(ISEVEN(ROW()),(SUMIFS(ScoreImport!$I$399:$I$5835,ScoreImport!$H$399:$H$5835,AD9,ScoreImport!$J$399:$J$5835,AA9)+SUMIFS(ScoreImport!$K$399:$K$5835,ScoreImport!$J$399:$J$5835,AD9,ScoreImport!$H$399:$H$5835,AA9))/(COUNTIFS(ScoreImport!$H$399:$H$5835,AA9,ScoreImport!$J$399:$J$5835,AD9)+COUNTIFS(ScoreImport!$H$399:$H$5835,AD9,ScoreImport!$J$399:$J$5835,AA9)),"")</f>
        <v/>
      </c>
      <c r="AF9" t="str">
        <f t="array" ref="AF9">IFERROR(SQRT(_xlfn.VAR.P(IF(ScoreImport!$H$399:$H$5835=$AA9,IF(ScoreImport!$J$399:$J$5835=$AD9,ScoreImport!$K$399:$K$5835)))+_xlfn.VAR.P(IF(ScoreImport!$H$399:$H$5835=$AD9,IF(ScoreImport!$J$399:$J$5835=$AA9,ScoreImport!$I$399:$I$5835)))),"")</f>
        <v/>
      </c>
    </row>
    <row r="10" spans="2:32" x14ac:dyDescent="0.25">
      <c r="B10" t="s">
        <v>11</v>
      </c>
      <c r="C10" t="s">
        <v>3340</v>
      </c>
      <c r="D10">
        <f>AVERAGEIF(ScoreImport!$H$399:$H$5835,$C10,ScoreImport!$I$399:$I$5835)</f>
        <v>4.1898734177215191</v>
      </c>
      <c r="E10">
        <f t="array" ref="E10">_xlfn.STDEV.P(IF(ScoreImport!$H$399:$H$5835=$C10,ScoreImport!$I$399:$I$5835))</f>
        <v>2.9125479269901984</v>
      </c>
      <c r="F10">
        <f>AVERAGEIF(ScoreImport!$J$399:$J$5835,$C10,ScoreImport!$K$399:$K$5835)</f>
        <v>6.1794871794871797</v>
      </c>
      <c r="G10">
        <f t="array" ref="G10">_xlfn.STDEV.P(IF(ScoreImport!$J$399:$J$5835=$C10,ScoreImport!$K$399:$K$5835))</f>
        <v>3.4109311073468493</v>
      </c>
      <c r="H10">
        <f>COUNTIFS(ScoreImport!$H$399:$H$5835,$C10,ScoreImport!$L$399:$L$5835,"&gt;"&amp;0)</f>
        <v>28</v>
      </c>
      <c r="I10">
        <f>COUNTIFS(ScoreImport!$H$399:$H$5835,$C10,ScoreImport!$L$399:$L$5835,"&lt;"&amp;0)</f>
        <v>51</v>
      </c>
      <c r="J10" s="32">
        <f t="shared" si="1"/>
        <v>0.35443037974683544</v>
      </c>
      <c r="K10">
        <f>COUNTIFS(ScoreImport!$J$399:$J$5835,$C10,ScoreImport!$L$399:$L$5835,"&lt;"&amp;0)</f>
        <v>40</v>
      </c>
      <c r="L10">
        <f>COUNTIFS(ScoreImport!$J$399:$J$5835,$C10,ScoreImport!$L$399:$L$5835,"&gt;"&amp;0)</f>
        <v>38</v>
      </c>
      <c r="M10" s="32">
        <f t="shared" si="2"/>
        <v>0.51282051282051277</v>
      </c>
      <c r="N10" s="32"/>
      <c r="O10" t="s">
        <v>3328</v>
      </c>
      <c r="P10" t="str">
        <f>IFERROR(INDEX(Overview!$A$3:$B$32,MATCH(R10,Overview!$B$3:$B$32,0),1),"")</f>
        <v/>
      </c>
      <c r="Q10" t="str">
        <f t="shared" si="3"/>
        <v/>
      </c>
      <c r="R10" t="str">
        <f>IF(Bet!C11=0,"",Bet!C11)</f>
        <v/>
      </c>
      <c r="S10" t="str">
        <f t="shared" si="4"/>
        <v/>
      </c>
      <c r="T10" t="str">
        <f t="shared" si="5"/>
        <v/>
      </c>
      <c r="U10" t="str">
        <f t="shared" si="0"/>
        <v/>
      </c>
      <c r="Z10">
        <f>IF(ISEVEN(ROW()),COUNTIFS(ScoreImport!$H$399:$H$5835,AA10,ScoreImport!$J$399:$J$5835,AD10)+COUNTIFS(ScoreImport!$H$399:$H$5835,AD10,ScoreImport!$J$399:$J$5835,AA10),"")</f>
        <v>6148</v>
      </c>
      <c r="AA10" t="str">
        <f t="shared" si="6"/>
        <v/>
      </c>
      <c r="AB10" s="60">
        <f>IF(ISEVEN(ROW()),(SUMIFS(ScoreImport!$I$399:$I$5835,ScoreImport!$H$399:$H$5835,AA10,ScoreImport!$J$399:$J$5835,AD10)+SUMIFS(ScoreImport!$K$399:$K$5835,ScoreImport!$J$399:$J$5835,AA10,ScoreImport!$H$399:$H$5835,AD10))/(COUNTIFS(ScoreImport!$H$399:$H$5835,AA10,ScoreImport!$J$399:$J$5835,AD10)+COUNTIFS(ScoreImport!$H$399:$H$5835,AD10,ScoreImport!$J$399:$J$5835,AA10)),"")</f>
        <v>0</v>
      </c>
      <c r="AC10" s="60" t="str">
        <f t="array" ref="AC10">IFERROR(SQRT(_xlfn.VAR.P(IF(ScoreImport!$H$399:$H$5835=$AA10,IF(ScoreImport!$J$399:$J$5835=$AD10,ScoreImport!$I$399:$I$5835)))+_xlfn.VAR.P(IF(ScoreImport!$H$399:$H$5835=$AD10,IF(ScoreImport!$J$399:$J$5835=$AA10,ScoreImport!$K$399:$K$5835)))),"")</f>
        <v/>
      </c>
      <c r="AD10" t="str">
        <f t="shared" si="7"/>
        <v/>
      </c>
      <c r="AE10">
        <f>IF(ISEVEN(ROW()),(SUMIFS(ScoreImport!$I$399:$I$5835,ScoreImport!$H$399:$H$5835,AD10,ScoreImport!$J$399:$J$5835,AA10)+SUMIFS(ScoreImport!$K$399:$K$5835,ScoreImport!$J$399:$J$5835,AD10,ScoreImport!$H$399:$H$5835,AA10))/(COUNTIFS(ScoreImport!$H$399:$H$5835,AA10,ScoreImport!$J$399:$J$5835,AD10)+COUNTIFS(ScoreImport!$H$399:$H$5835,AD10,ScoreImport!$J$399:$J$5835,AA10)),"")</f>
        <v>0</v>
      </c>
      <c r="AF10" t="str">
        <f t="array" ref="AF10">IFERROR(SQRT(_xlfn.VAR.P(IF(ScoreImport!$H$399:$H$5835=$AA10,IF(ScoreImport!$J$399:$J$5835=$AD10,ScoreImport!$K$399:$K$5835)))+_xlfn.VAR.P(IF(ScoreImport!$H$399:$H$5835=$AD10,IF(ScoreImport!$J$399:$J$5835=$AA10,ScoreImport!$I$399:$I$5835)))),"")</f>
        <v/>
      </c>
    </row>
    <row r="11" spans="2:32" x14ac:dyDescent="0.25">
      <c r="B11" t="s">
        <v>2</v>
      </c>
      <c r="C11" t="s">
        <v>3350</v>
      </c>
      <c r="D11">
        <f>AVERAGEIF(ScoreImport!$H$399:$H$5835,$C11,ScoreImport!$I$399:$I$5835)</f>
        <v>3.7532467532467533</v>
      </c>
      <c r="E11">
        <f t="array" ref="E11">_xlfn.STDEV.P(IF(ScoreImport!$H$399:$H$5835=$C11,ScoreImport!$I$399:$I$5835))</f>
        <v>2.6342195875091226</v>
      </c>
      <c r="F11">
        <f>AVERAGEIF(ScoreImport!$J$399:$J$5835,$C11,ScoreImport!$K$399:$K$5835)</f>
        <v>3.5125000000000002</v>
      </c>
      <c r="G11">
        <f t="array" ref="G11">_xlfn.STDEV.P(IF(ScoreImport!$J$399:$J$5835=$C11,ScoreImport!$K$399:$K$5835))</f>
        <v>2.7838541179451197</v>
      </c>
      <c r="H11">
        <f>COUNTIFS(ScoreImport!$H$399:$H$5835,$C11,ScoreImport!$L$399:$L$5835,"&gt;"&amp;0)</f>
        <v>24</v>
      </c>
      <c r="I11">
        <f>COUNTIFS(ScoreImport!$H$399:$H$5835,$C11,ScoreImport!$L$399:$L$5835,"&lt;"&amp;0)</f>
        <v>53</v>
      </c>
      <c r="J11" s="32">
        <f t="shared" si="1"/>
        <v>0.31168831168831168</v>
      </c>
      <c r="K11">
        <f>COUNTIFS(ScoreImport!$J$399:$J$5835,$C11,ScoreImport!$L$399:$L$5835,"&lt;"&amp;0)</f>
        <v>22</v>
      </c>
      <c r="L11">
        <f>COUNTIFS(ScoreImport!$J$399:$J$5835,$C11,ScoreImport!$L$399:$L$5835,"&gt;"&amp;0)</f>
        <v>58</v>
      </c>
      <c r="M11" s="32">
        <f t="shared" si="2"/>
        <v>0.27500000000000002</v>
      </c>
      <c r="N11" s="32"/>
      <c r="O11" t="s">
        <v>3327</v>
      </c>
      <c r="P11" t="str">
        <f>IFERROR(INDEX(Overview!$A$3:$B$32,MATCH(R11,Overview!$B$3:$B$32,0),1),"")</f>
        <v/>
      </c>
      <c r="Q11" t="str">
        <f t="shared" si="3"/>
        <v/>
      </c>
      <c r="R11" t="str">
        <f>IF(Bet!C12=0,"",Bet!C12)</f>
        <v/>
      </c>
      <c r="S11" t="str">
        <f t="shared" si="4"/>
        <v/>
      </c>
      <c r="T11" t="str">
        <f t="shared" si="5"/>
        <v/>
      </c>
      <c r="U11" t="str">
        <f t="shared" si="0"/>
        <v/>
      </c>
      <c r="Z11" t="str">
        <f>IF(ISEVEN(ROW()),COUNTIFS(ScoreImport!$H$399:$H$5835,AA11,ScoreImport!$J$399:$J$5835,AD11)+COUNTIFS(ScoreImport!$H$399:$H$5835,AD11,ScoreImport!$J$399:$J$5835,AA11),"")</f>
        <v/>
      </c>
      <c r="AA11" t="str">
        <f t="shared" si="6"/>
        <v/>
      </c>
      <c r="AB11" s="60" t="str">
        <f>IF(ISEVEN(ROW()),(SUMIFS(ScoreImport!$I$399:$I$5835,ScoreImport!$H$399:$H$5835,AA11,ScoreImport!$J$399:$J$5835,AD11)+SUMIFS(ScoreImport!$K$399:$K$5835,ScoreImport!$J$399:$J$5835,AA11,ScoreImport!$H$399:$H$5835,AD11))/(COUNTIFS(ScoreImport!$H$399:$H$5835,AA11,ScoreImport!$J$399:$J$5835,AD11)+COUNTIFS(ScoreImport!$H$399:$H$5835,AD11,ScoreImport!$J$399:$J$5835,AA11)),"")</f>
        <v/>
      </c>
      <c r="AC11" s="60" t="str">
        <f t="array" ref="AC11">IFERROR(SQRT(_xlfn.VAR.P(IF(ScoreImport!$H$399:$H$5835=$AA11,IF(ScoreImport!$J$399:$J$5835=$AD11,ScoreImport!$I$399:$I$5835)))+_xlfn.VAR.P(IF(ScoreImport!$H$399:$H$5835=$AD11,IF(ScoreImport!$J$399:$J$5835=$AA11,ScoreImport!$K$399:$K$5835)))),"")</f>
        <v/>
      </c>
      <c r="AD11" t="str">
        <f t="shared" si="7"/>
        <v/>
      </c>
      <c r="AE11" t="str">
        <f>IF(ISEVEN(ROW()),(SUMIFS(ScoreImport!$I$399:$I$5835,ScoreImport!$H$399:$H$5835,AD11,ScoreImport!$J$399:$J$5835,AA11)+SUMIFS(ScoreImport!$K$399:$K$5835,ScoreImport!$J$399:$J$5835,AD11,ScoreImport!$H$399:$H$5835,AA11))/(COUNTIFS(ScoreImport!$H$399:$H$5835,AA11,ScoreImport!$J$399:$J$5835,AD11)+COUNTIFS(ScoreImport!$H$399:$H$5835,AD11,ScoreImport!$J$399:$J$5835,AA11)),"")</f>
        <v/>
      </c>
      <c r="AF11" t="str">
        <f t="array" ref="AF11">IFERROR(SQRT(_xlfn.VAR.P(IF(ScoreImport!$H$399:$H$5835=$AA11,IF(ScoreImport!$J$399:$J$5835=$AD11,ScoreImport!$K$399:$K$5835)))+_xlfn.VAR.P(IF(ScoreImport!$H$399:$H$5835=$AD11,IF(ScoreImport!$J$399:$J$5835=$AA11,ScoreImport!$I$399:$I$5835)))),"")</f>
        <v/>
      </c>
    </row>
    <row r="12" spans="2:32" x14ac:dyDescent="0.25">
      <c r="B12" t="s">
        <v>16</v>
      </c>
      <c r="C12" t="s">
        <v>3348</v>
      </c>
      <c r="D12">
        <f>AVERAGEIF(ScoreImport!$H$399:$H$5835,$C12,ScoreImport!$I$399:$I$5835)</f>
        <v>5.3552631578947372</v>
      </c>
      <c r="E12">
        <f t="array" ref="E12">_xlfn.STDEV.P(IF(ScoreImport!$H$399:$H$5835=$C12,ScoreImport!$I$399:$I$5835))</f>
        <v>3.9125437524657087</v>
      </c>
      <c r="F12">
        <f>AVERAGEIF(ScoreImport!$J$399:$J$5835,$C12,ScoreImport!$K$399:$K$5835)</f>
        <v>6.0370370370370372</v>
      </c>
      <c r="G12">
        <f t="array" ref="G12">_xlfn.STDEV.P(IF(ScoreImport!$J$399:$J$5835=$C12,ScoreImport!$K$399:$K$5835))</f>
        <v>4.1169461426934086</v>
      </c>
      <c r="H12">
        <f>COUNTIFS(ScoreImport!$H$399:$H$5835,$C12,ScoreImport!$L$399:$L$5835,"&gt;"&amp;0)</f>
        <v>43</v>
      </c>
      <c r="I12">
        <f>COUNTIFS(ScoreImport!$H$399:$H$5835,$C12,ScoreImport!$L$399:$L$5835,"&lt;"&amp;0)</f>
        <v>33</v>
      </c>
      <c r="J12" s="32">
        <f t="shared" si="1"/>
        <v>0.56578947368421051</v>
      </c>
      <c r="K12">
        <f>COUNTIFS(ScoreImport!$J$399:$J$5835,$C12,ScoreImport!$L$399:$L$5835,"&lt;"&amp;0)</f>
        <v>60</v>
      </c>
      <c r="L12">
        <f>COUNTIFS(ScoreImport!$J$399:$J$5835,$C12,ScoreImport!$L$399:$L$5835,"&gt;"&amp;0)</f>
        <v>21</v>
      </c>
      <c r="M12" s="32">
        <f t="shared" si="2"/>
        <v>0.7407407407407407</v>
      </c>
      <c r="N12" s="32"/>
      <c r="O12" t="s">
        <v>3328</v>
      </c>
      <c r="P12" t="str">
        <f>IFERROR(INDEX(Overview!$A$3:$B$32,MATCH(R12,Overview!$B$3:$B$32,0),1),"")</f>
        <v/>
      </c>
      <c r="Q12" t="str">
        <f t="shared" si="3"/>
        <v/>
      </c>
      <c r="R12" t="str">
        <f>IF(Bet!C13=0,"",Bet!C13)</f>
        <v/>
      </c>
      <c r="S12" t="str">
        <f t="shared" si="4"/>
        <v/>
      </c>
      <c r="T12" t="str">
        <f t="shared" si="5"/>
        <v/>
      </c>
      <c r="U12" t="str">
        <f t="shared" si="0"/>
        <v/>
      </c>
      <c r="Z12">
        <f>IF(ISEVEN(ROW()),COUNTIFS(ScoreImport!$H$399:$H$5835,AA12,ScoreImport!$J$399:$J$5835,AD12)+COUNTIFS(ScoreImport!$H$399:$H$5835,AD12,ScoreImport!$J$399:$J$5835,AA12),"")</f>
        <v>6148</v>
      </c>
      <c r="AA12" t="str">
        <f t="shared" si="6"/>
        <v/>
      </c>
      <c r="AB12" s="60">
        <f>IF(ISEVEN(ROW()),(SUMIFS(ScoreImport!$I$399:$I$5835,ScoreImport!$H$399:$H$5835,AA12,ScoreImport!$J$399:$J$5835,AD12)+SUMIFS(ScoreImport!$K$399:$K$5835,ScoreImport!$J$399:$J$5835,AA12,ScoreImport!$H$399:$H$5835,AD12))/(COUNTIFS(ScoreImport!$H$399:$H$5835,AA12,ScoreImport!$J$399:$J$5835,AD12)+COUNTIFS(ScoreImport!$H$399:$H$5835,AD12,ScoreImport!$J$399:$J$5835,AA12)),"")</f>
        <v>0</v>
      </c>
      <c r="AC12" s="60" t="str">
        <f t="array" ref="AC12">IFERROR(SQRT(_xlfn.VAR.P(IF(ScoreImport!$H$399:$H$5835=$AA12,IF(ScoreImport!$J$399:$J$5835=$AD12,ScoreImport!$I$399:$I$5835)))+_xlfn.VAR.P(IF(ScoreImport!$H$399:$H$5835=$AD12,IF(ScoreImport!$J$399:$J$5835=$AA12,ScoreImport!$K$399:$K$5835)))),"")</f>
        <v/>
      </c>
      <c r="AD12" t="str">
        <f t="shared" si="7"/>
        <v/>
      </c>
      <c r="AE12">
        <f>IF(ISEVEN(ROW()),(SUMIFS(ScoreImport!$I$399:$I$5835,ScoreImport!$H$399:$H$5835,AD12,ScoreImport!$J$399:$J$5835,AA12)+SUMIFS(ScoreImport!$K$399:$K$5835,ScoreImport!$J$399:$J$5835,AD12,ScoreImport!$H$399:$H$5835,AA12))/(COUNTIFS(ScoreImport!$H$399:$H$5835,AA12,ScoreImport!$J$399:$J$5835,AD12)+COUNTIFS(ScoreImport!$H$399:$H$5835,AD12,ScoreImport!$J$399:$J$5835,AA12)),"")</f>
        <v>0</v>
      </c>
      <c r="AF12" t="str">
        <f t="array" ref="AF12">IFERROR(SQRT(_xlfn.VAR.P(IF(ScoreImport!$H$399:$H$5835=$AA12,IF(ScoreImport!$J$399:$J$5835=$AD12,ScoreImport!$K$399:$K$5835)))+_xlfn.VAR.P(IF(ScoreImport!$H$399:$H$5835=$AD12,IF(ScoreImport!$J$399:$J$5835=$AA12,ScoreImport!$I$399:$I$5835)))),"")</f>
        <v/>
      </c>
    </row>
    <row r="13" spans="2:32" x14ac:dyDescent="0.25">
      <c r="B13" t="s">
        <v>30</v>
      </c>
      <c r="C13" t="s">
        <v>3358</v>
      </c>
      <c r="D13">
        <f>AVERAGEIF(ScoreImport!$H$399:$H$5835,$C13,ScoreImport!$I$399:$I$5835)</f>
        <v>4.283950617283951</v>
      </c>
      <c r="E13">
        <f t="array" ref="E13">_xlfn.STDEV.P(IF(ScoreImport!$H$399:$H$5835=$C13,ScoreImport!$I$399:$I$5835))</f>
        <v>3.1514627914599291</v>
      </c>
      <c r="F13">
        <f>AVERAGEIF(ScoreImport!$J$399:$J$5835,$C13,ScoreImport!$K$399:$K$5835)</f>
        <v>4.2820512820512819</v>
      </c>
      <c r="G13">
        <f t="array" ref="G13">_xlfn.STDEV.P(IF(ScoreImport!$J$399:$J$5835=$C13,ScoreImport!$K$399:$K$5835))</f>
        <v>2.7960477413179348</v>
      </c>
      <c r="H13">
        <f>COUNTIFS(ScoreImport!$H$399:$H$5835,$C13,ScoreImport!$L$399:$L$5835,"&gt;"&amp;0)</f>
        <v>28</v>
      </c>
      <c r="I13">
        <f>COUNTIFS(ScoreImport!$H$399:$H$5835,$C13,ScoreImport!$L$399:$L$5835,"&lt;"&amp;0)</f>
        <v>53</v>
      </c>
      <c r="J13" s="32">
        <f t="shared" si="1"/>
        <v>0.34567901234567899</v>
      </c>
      <c r="K13">
        <f>COUNTIFS(ScoreImport!$J$399:$J$5835,$C13,ScoreImport!$L$399:$L$5835,"&lt;"&amp;0)</f>
        <v>30</v>
      </c>
      <c r="L13">
        <f>COUNTIFS(ScoreImport!$J$399:$J$5835,$C13,ScoreImport!$L$399:$L$5835,"&gt;"&amp;0)</f>
        <v>48</v>
      </c>
      <c r="M13" s="32">
        <f t="shared" si="2"/>
        <v>0.38461538461538464</v>
      </c>
      <c r="N13" s="32"/>
      <c r="O13" t="s">
        <v>3327</v>
      </c>
      <c r="P13" t="str">
        <f>IFERROR(INDEX(Overview!$A$3:$B$32,MATCH(R13,Overview!$B$3:$B$32,0),1),"")</f>
        <v/>
      </c>
      <c r="Q13" t="str">
        <f t="shared" si="3"/>
        <v/>
      </c>
      <c r="R13" t="str">
        <f>IF(Bet!C14=0,"",Bet!C14)</f>
        <v/>
      </c>
      <c r="S13" t="str">
        <f t="shared" si="4"/>
        <v/>
      </c>
      <c r="T13" t="str">
        <f t="shared" si="5"/>
        <v/>
      </c>
      <c r="U13" t="str">
        <f t="shared" si="0"/>
        <v/>
      </c>
      <c r="Z13" t="str">
        <f>IF(ISEVEN(ROW()),COUNTIFS(ScoreImport!$H$399:$H$5835,AA13,ScoreImport!$J$399:$J$5835,AD13)+COUNTIFS(ScoreImport!$H$399:$H$5835,AD13,ScoreImport!$J$399:$J$5835,AA13),"")</f>
        <v/>
      </c>
      <c r="AA13" t="str">
        <f t="shared" si="6"/>
        <v/>
      </c>
      <c r="AB13" s="60" t="str">
        <f>IF(ISEVEN(ROW()),(SUMIFS(ScoreImport!$I$399:$I$5835,ScoreImport!$H$399:$H$5835,AA13,ScoreImport!$J$399:$J$5835,AD13)+SUMIFS(ScoreImport!$K$399:$K$5835,ScoreImport!$J$399:$J$5835,AA13,ScoreImport!$H$399:$H$5835,AD13))/(COUNTIFS(ScoreImport!$H$399:$H$5835,AA13,ScoreImport!$J$399:$J$5835,AD13)+COUNTIFS(ScoreImport!$H$399:$H$5835,AD13,ScoreImport!$J$399:$J$5835,AA13)),"")</f>
        <v/>
      </c>
      <c r="AC13" s="60" t="str">
        <f t="array" ref="AC13">IFERROR(SQRT(_xlfn.VAR.P(IF(ScoreImport!$H$399:$H$5835=$AA13,IF(ScoreImport!$J$399:$J$5835=$AD13,ScoreImport!$I$399:$I$5835)))+_xlfn.VAR.P(IF(ScoreImport!$H$399:$H$5835=$AD13,IF(ScoreImport!$J$399:$J$5835=$AA13,ScoreImport!$K$399:$K$5835)))),"")</f>
        <v/>
      </c>
      <c r="AD13" t="str">
        <f t="shared" si="7"/>
        <v/>
      </c>
      <c r="AE13" t="str">
        <f>IF(ISEVEN(ROW()),(SUMIFS(ScoreImport!$I$399:$I$5835,ScoreImport!$H$399:$H$5835,AD13,ScoreImport!$J$399:$J$5835,AA13)+SUMIFS(ScoreImport!$K$399:$K$5835,ScoreImport!$J$399:$J$5835,AD13,ScoreImport!$H$399:$H$5835,AA13))/(COUNTIFS(ScoreImport!$H$399:$H$5835,AA13,ScoreImport!$J$399:$J$5835,AD13)+COUNTIFS(ScoreImport!$H$399:$H$5835,AD13,ScoreImport!$J$399:$J$5835,AA13)),"")</f>
        <v/>
      </c>
      <c r="AF13" t="str">
        <f t="array" ref="AF13">IFERROR(SQRT(_xlfn.VAR.P(IF(ScoreImport!$H$399:$H$5835=$AA13,IF(ScoreImport!$J$399:$J$5835=$AD13,ScoreImport!$K$399:$K$5835)))+_xlfn.VAR.P(IF(ScoreImport!$H$399:$H$5835=$AD13,IF(ScoreImport!$J$399:$J$5835=$AA13,ScoreImport!$I$399:$I$5835)))),"")</f>
        <v/>
      </c>
    </row>
    <row r="14" spans="2:32" x14ac:dyDescent="0.25">
      <c r="B14" t="s">
        <v>7</v>
      </c>
      <c r="C14" t="s">
        <v>3344</v>
      </c>
      <c r="D14">
        <f>AVERAGEIF(ScoreImport!$H$399:$H$5835,$C14,ScoreImport!$I$399:$I$5835)</f>
        <v>4.666666666666667</v>
      </c>
      <c r="E14">
        <f t="array" ref="E14">_xlfn.STDEV.P(IF(ScoreImport!$H$399:$H$5835=$C14,ScoreImport!$I$399:$I$5835))</f>
        <v>3.1817380140614118</v>
      </c>
      <c r="F14">
        <f>AVERAGEIF(ScoreImport!$J$399:$J$5835,$C14,ScoreImport!$K$399:$K$5835)</f>
        <v>4.9220779220779223</v>
      </c>
      <c r="G14">
        <f t="array" ref="G14">_xlfn.STDEV.P(IF(ScoreImport!$J$399:$J$5835=$C14,ScoreImport!$K$399:$K$5835))</f>
        <v>2.953167939187515</v>
      </c>
      <c r="H14">
        <f>COUNTIFS(ScoreImport!$H$399:$H$5835,$C14,ScoreImport!$L$399:$L$5835,"&gt;"&amp;0)</f>
        <v>34</v>
      </c>
      <c r="I14">
        <f>COUNTIFS(ScoreImport!$H$399:$H$5835,$C14,ScoreImport!$L$399:$L$5835,"&lt;"&amp;0)</f>
        <v>47</v>
      </c>
      <c r="J14" s="32">
        <f t="shared" si="1"/>
        <v>0.41975308641975306</v>
      </c>
      <c r="K14">
        <f>COUNTIFS(ScoreImport!$J$399:$J$5835,$C14,ScoreImport!$L$399:$L$5835,"&lt;"&amp;0)</f>
        <v>37</v>
      </c>
      <c r="L14">
        <f>COUNTIFS(ScoreImport!$J$399:$J$5835,$C14,ScoreImport!$L$399:$L$5835,"&gt;"&amp;0)</f>
        <v>40</v>
      </c>
      <c r="M14" s="32">
        <f t="shared" si="2"/>
        <v>0.48051948051948051</v>
      </c>
      <c r="N14" s="32"/>
      <c r="O14" t="s">
        <v>3328</v>
      </c>
      <c r="P14" t="str">
        <f>IFERROR(INDEX(Overview!$A$3:$B$32,MATCH(R14,Overview!$B$3:$B$32,0),1),"")</f>
        <v/>
      </c>
      <c r="Q14" t="str">
        <f t="shared" si="3"/>
        <v/>
      </c>
      <c r="R14" t="str">
        <f>IF(Bet!C15=0,"",Bet!C15)</f>
        <v/>
      </c>
      <c r="S14" t="str">
        <f t="shared" si="4"/>
        <v/>
      </c>
      <c r="T14" t="str">
        <f t="shared" si="5"/>
        <v/>
      </c>
      <c r="U14" t="str">
        <f t="shared" si="0"/>
        <v/>
      </c>
      <c r="Z14">
        <f>IF(ISEVEN(ROW()),COUNTIFS(ScoreImport!$H$399:$H$5835,AA14,ScoreImport!$J$399:$J$5835,AD14)+COUNTIFS(ScoreImport!$H$399:$H$5835,AD14,ScoreImport!$J$399:$J$5835,AA14),"")</f>
        <v>6148</v>
      </c>
      <c r="AA14" t="str">
        <f t="shared" si="6"/>
        <v/>
      </c>
      <c r="AB14" s="60">
        <f>IF(ISEVEN(ROW()),(SUMIFS(ScoreImport!$I$399:$I$5835,ScoreImport!$H$399:$H$5835,AA14,ScoreImport!$J$399:$J$5835,AD14)+SUMIFS(ScoreImport!$K$399:$K$5835,ScoreImport!$J$399:$J$5835,AA14,ScoreImport!$H$399:$H$5835,AD14))/(COUNTIFS(ScoreImport!$H$399:$H$5835,AA14,ScoreImport!$J$399:$J$5835,AD14)+COUNTIFS(ScoreImport!$H$399:$H$5835,AD14,ScoreImport!$J$399:$J$5835,AA14)),"")</f>
        <v>0</v>
      </c>
      <c r="AC14" s="60" t="str">
        <f t="array" ref="AC14">IFERROR(SQRT(_xlfn.VAR.P(IF(ScoreImport!$H$399:$H$5835=$AA14,IF(ScoreImport!$J$399:$J$5835=$AD14,ScoreImport!$I$399:$I$5835)))+_xlfn.VAR.P(IF(ScoreImport!$H$399:$H$5835=$AD14,IF(ScoreImport!$J$399:$J$5835=$AA14,ScoreImport!$K$399:$K$5835)))),"")</f>
        <v/>
      </c>
      <c r="AD14" t="str">
        <f t="shared" si="7"/>
        <v/>
      </c>
      <c r="AE14">
        <f>IF(ISEVEN(ROW()),(SUMIFS(ScoreImport!$I$399:$I$5835,ScoreImport!$H$399:$H$5835,AD14,ScoreImport!$J$399:$J$5835,AA14)+SUMIFS(ScoreImport!$K$399:$K$5835,ScoreImport!$J$399:$J$5835,AD14,ScoreImport!$H$399:$H$5835,AA14))/(COUNTIFS(ScoreImport!$H$399:$H$5835,AA14,ScoreImport!$J$399:$J$5835,AD14)+COUNTIFS(ScoreImport!$H$399:$H$5835,AD14,ScoreImport!$J$399:$J$5835,AA14)),"")</f>
        <v>0</v>
      </c>
      <c r="AF14" t="str">
        <f t="array" ref="AF14">IFERROR(SQRT(_xlfn.VAR.P(IF(ScoreImport!$H$399:$H$5835=$AA14,IF(ScoreImport!$J$399:$J$5835=$AD14,ScoreImport!$K$399:$K$5835)))+_xlfn.VAR.P(IF(ScoreImport!$H$399:$H$5835=$AD14,IF(ScoreImport!$J$399:$J$5835=$AA14,ScoreImport!$I$399:$I$5835)))),"")</f>
        <v/>
      </c>
    </row>
    <row r="15" spans="2:32" x14ac:dyDescent="0.25">
      <c r="B15" t="s">
        <v>29</v>
      </c>
      <c r="C15" t="s">
        <v>3362</v>
      </c>
      <c r="D15">
        <f>AVERAGEIF(ScoreImport!$H$399:$H$5835,$C15,ScoreImport!$I$399:$I$5835)</f>
        <v>5.5</v>
      </c>
      <c r="E15">
        <f t="array" ref="E15">_xlfn.STDEV.P(IF(ScoreImport!$H$399:$H$5835=$C15,ScoreImport!$I$399:$I$5835))</f>
        <v>3.5559438749937073</v>
      </c>
      <c r="F15">
        <f>AVERAGEIF(ScoreImport!$J$399:$J$5835,$C15,ScoreImport!$K$399:$K$5835)</f>
        <v>5.4444444444444446</v>
      </c>
      <c r="G15">
        <f t="array" ref="G15">_xlfn.STDEV.P(IF(ScoreImport!$J$399:$J$5835=$C15,ScoreImport!$K$399:$K$5835))</f>
        <v>3.6072629068328723</v>
      </c>
      <c r="H15">
        <f>COUNTIFS(ScoreImport!$H$399:$H$5835,$C15,ScoreImport!$L$399:$L$5835,"&gt;"&amp;0)</f>
        <v>42</v>
      </c>
      <c r="I15">
        <f>COUNTIFS(ScoreImport!$H$399:$H$5835,$C15,ScoreImport!$L$399:$L$5835,"&lt;"&amp;0)</f>
        <v>34</v>
      </c>
      <c r="J15" s="32">
        <f t="shared" si="1"/>
        <v>0.55263157894736847</v>
      </c>
      <c r="K15">
        <f>COUNTIFS(ScoreImport!$J$399:$J$5835,$C15,ScoreImport!$L$399:$L$5835,"&lt;"&amp;0)</f>
        <v>59</v>
      </c>
      <c r="L15">
        <f>COUNTIFS(ScoreImport!$J$399:$J$5835,$C15,ScoreImport!$L$399:$L$5835,"&gt;"&amp;0)</f>
        <v>22</v>
      </c>
      <c r="M15" s="32">
        <f t="shared" si="2"/>
        <v>0.72839506172839508</v>
      </c>
      <c r="N15" s="32"/>
      <c r="O15" t="s">
        <v>3327</v>
      </c>
      <c r="P15" t="str">
        <f>IFERROR(INDEX(Overview!$A$3:$B$32,MATCH(R15,Overview!$B$3:$B$32,0),1),"")</f>
        <v/>
      </c>
      <c r="Q15" t="str">
        <f t="shared" si="3"/>
        <v/>
      </c>
      <c r="R15" t="str">
        <f>IF(Bet!C16=0,"",Bet!C16)</f>
        <v/>
      </c>
      <c r="S15" t="str">
        <f t="shared" si="4"/>
        <v/>
      </c>
      <c r="T15" t="str">
        <f t="shared" si="5"/>
        <v/>
      </c>
      <c r="U15" t="str">
        <f t="shared" si="0"/>
        <v/>
      </c>
      <c r="Z15" t="str">
        <f>IF(ISEVEN(ROW()),COUNTIFS(ScoreImport!$H$399:$H$5835,AA15,ScoreImport!$J$399:$J$5835,AD15)+COUNTIFS(ScoreImport!$H$399:$H$5835,AD15,ScoreImport!$J$399:$J$5835,AA15),"")</f>
        <v/>
      </c>
      <c r="AA15" t="str">
        <f t="shared" si="6"/>
        <v/>
      </c>
      <c r="AB15" s="60" t="str">
        <f>IF(ISEVEN(ROW()),(SUMIFS(ScoreImport!$I$399:$I$5835,ScoreImport!$H$399:$H$5835,AA15,ScoreImport!$J$399:$J$5835,AD15)+SUMIFS(ScoreImport!$K$399:$K$5835,ScoreImport!$J$399:$J$5835,AA15,ScoreImport!$H$399:$H$5835,AD15))/(COUNTIFS(ScoreImport!$H$399:$H$5835,AA15,ScoreImport!$J$399:$J$5835,AD15)+COUNTIFS(ScoreImport!$H$399:$H$5835,AD15,ScoreImport!$J$399:$J$5835,AA15)),"")</f>
        <v/>
      </c>
      <c r="AC15" s="60" t="str">
        <f t="array" ref="AC15">IFERROR(SQRT(_xlfn.VAR.P(IF(ScoreImport!$H$399:$H$5835=$AA15,IF(ScoreImport!$J$399:$J$5835=$AD15,ScoreImport!$I$399:$I$5835)))+_xlfn.VAR.P(IF(ScoreImport!$H$399:$H$5835=$AD15,IF(ScoreImport!$J$399:$J$5835=$AA15,ScoreImport!$K$399:$K$5835)))),"")</f>
        <v/>
      </c>
      <c r="AD15" t="str">
        <f t="shared" si="7"/>
        <v/>
      </c>
      <c r="AE15" t="str">
        <f>IF(ISEVEN(ROW()),(SUMIFS(ScoreImport!$I$399:$I$5835,ScoreImport!$H$399:$H$5835,AD15,ScoreImport!$J$399:$J$5835,AA15)+SUMIFS(ScoreImport!$K$399:$K$5835,ScoreImport!$J$399:$J$5835,AD15,ScoreImport!$H$399:$H$5835,AA15))/(COUNTIFS(ScoreImport!$H$399:$H$5835,AA15,ScoreImport!$J$399:$J$5835,AD15)+COUNTIFS(ScoreImport!$H$399:$H$5835,AD15,ScoreImport!$J$399:$J$5835,AA15)),"")</f>
        <v/>
      </c>
      <c r="AF15" t="str">
        <f t="array" ref="AF15">IFERROR(SQRT(_xlfn.VAR.P(IF(ScoreImport!$H$399:$H$5835=$AA15,IF(ScoreImport!$J$399:$J$5835=$AD15,ScoreImport!$K$399:$K$5835)))+_xlfn.VAR.P(IF(ScoreImport!$H$399:$H$5835=$AD15,IF(ScoreImport!$J$399:$J$5835=$AA15,ScoreImport!$I$399:$I$5835)))),"")</f>
        <v/>
      </c>
    </row>
    <row r="16" spans="2:32" x14ac:dyDescent="0.25">
      <c r="B16" t="s">
        <v>5</v>
      </c>
      <c r="C16" t="s">
        <v>3360</v>
      </c>
      <c r="D16">
        <f>AVERAGEIF(ScoreImport!$H$399:$H$5835,$C16,ScoreImport!$I$399:$I$5835)</f>
        <v>3.5584415584415585</v>
      </c>
      <c r="E16">
        <f t="array" ref="E16">_xlfn.STDEV.P(IF(ScoreImport!$H$399:$H$5835=$C16,ScoreImport!$I$399:$I$5835))</f>
        <v>3.2050832454432361</v>
      </c>
      <c r="F16">
        <f>AVERAGEIF(ScoreImport!$J$399:$J$5835,$C16,ScoreImport!$K$399:$K$5835)</f>
        <v>4.0246913580246915</v>
      </c>
      <c r="G16">
        <f t="array" ref="G16">_xlfn.STDEV.P(IF(ScoreImport!$J$399:$J$5835=$C16,ScoreImport!$K$399:$K$5835))</f>
        <v>3.5170670603798935</v>
      </c>
      <c r="H16">
        <f>COUNTIFS(ScoreImport!$H$399:$H$5835,$C16,ScoreImport!$L$399:$L$5835,"&gt;"&amp;0)</f>
        <v>25</v>
      </c>
      <c r="I16">
        <f>COUNTIFS(ScoreImport!$H$399:$H$5835,$C16,ScoreImport!$L$399:$L$5835,"&lt;"&amp;0)</f>
        <v>52</v>
      </c>
      <c r="J16" s="32">
        <f t="shared" si="1"/>
        <v>0.32467532467532467</v>
      </c>
      <c r="K16">
        <f>COUNTIFS(ScoreImport!$J$399:$J$5835,$C16,ScoreImport!$L$399:$L$5835,"&lt;"&amp;0)</f>
        <v>30</v>
      </c>
      <c r="L16">
        <f>COUNTIFS(ScoreImport!$J$399:$J$5835,$C16,ScoreImport!$L$399:$L$5835,"&gt;"&amp;0)</f>
        <v>51</v>
      </c>
      <c r="M16" s="32">
        <f t="shared" si="2"/>
        <v>0.37037037037037035</v>
      </c>
      <c r="N16" s="32"/>
      <c r="O16" t="s">
        <v>3328</v>
      </c>
      <c r="P16" t="str">
        <f>IFERROR(INDEX(Overview!$A$3:$B$32,MATCH(R16,Overview!$B$3:$B$32,0),1),"")</f>
        <v/>
      </c>
      <c r="Q16" t="str">
        <f t="shared" si="3"/>
        <v/>
      </c>
      <c r="R16" t="str">
        <f>IF(Bet!C17=0,"",Bet!C17)</f>
        <v/>
      </c>
      <c r="S16" t="str">
        <f t="shared" si="4"/>
        <v/>
      </c>
      <c r="T16" t="str">
        <f t="shared" si="5"/>
        <v/>
      </c>
      <c r="U16" t="str">
        <f t="shared" si="0"/>
        <v/>
      </c>
      <c r="Z16">
        <f>IF(ISEVEN(ROW()),COUNTIFS(ScoreImport!$H$399:$H$5835,AA16,ScoreImport!$J$399:$J$5835,AD16)+COUNTIFS(ScoreImport!$H$399:$H$5835,AD16,ScoreImport!$J$399:$J$5835,AA16),"")</f>
        <v>6148</v>
      </c>
      <c r="AA16" t="str">
        <f t="shared" si="6"/>
        <v/>
      </c>
      <c r="AB16" s="60">
        <f>IF(ISEVEN(ROW()),(SUMIFS(ScoreImport!$I$399:$I$5835,ScoreImport!$H$399:$H$5835,AA16,ScoreImport!$J$399:$J$5835,AD16)+SUMIFS(ScoreImport!$K$399:$K$5835,ScoreImport!$J$399:$J$5835,AA16,ScoreImport!$H$399:$H$5835,AD16))/(COUNTIFS(ScoreImport!$H$399:$H$5835,AA16,ScoreImport!$J$399:$J$5835,AD16)+COUNTIFS(ScoreImport!$H$399:$H$5835,AD16,ScoreImport!$J$399:$J$5835,AA16)),"")</f>
        <v>0</v>
      </c>
      <c r="AC16" s="60" t="str">
        <f t="array" ref="AC16">IFERROR(SQRT(_xlfn.VAR.P(IF(ScoreImport!$H$399:$H$5835=$AA16,IF(ScoreImport!$J$399:$J$5835=$AD16,ScoreImport!$I$399:$I$5835)))+_xlfn.VAR.P(IF(ScoreImport!$H$399:$H$5835=$AD16,IF(ScoreImport!$J$399:$J$5835=$AA16,ScoreImport!$K$399:$K$5835)))),"")</f>
        <v/>
      </c>
      <c r="AD16" t="str">
        <f t="shared" si="7"/>
        <v/>
      </c>
      <c r="AE16">
        <f>IF(ISEVEN(ROW()),(SUMIFS(ScoreImport!$I$399:$I$5835,ScoreImport!$H$399:$H$5835,AD16,ScoreImport!$J$399:$J$5835,AA16)+SUMIFS(ScoreImport!$K$399:$K$5835,ScoreImport!$J$399:$J$5835,AD16,ScoreImport!$H$399:$H$5835,AA16))/(COUNTIFS(ScoreImport!$H$399:$H$5835,AA16,ScoreImport!$J$399:$J$5835,AD16)+COUNTIFS(ScoreImport!$H$399:$H$5835,AD16,ScoreImport!$J$399:$J$5835,AA16)),"")</f>
        <v>0</v>
      </c>
      <c r="AF16" t="str">
        <f t="array" ref="AF16">IFERROR(SQRT(_xlfn.VAR.P(IF(ScoreImport!$H$399:$H$5835=$AA16,IF(ScoreImport!$J$399:$J$5835=$AD16,ScoreImport!$K$399:$K$5835)))+_xlfn.VAR.P(IF(ScoreImport!$H$399:$H$5835=$AD16,IF(ScoreImport!$J$399:$J$5835=$AA16,ScoreImport!$I$399:$I$5835)))),"")</f>
        <v/>
      </c>
    </row>
    <row r="17" spans="2:43" x14ac:dyDescent="0.25">
      <c r="B17" t="s">
        <v>6</v>
      </c>
      <c r="C17" t="s">
        <v>3352</v>
      </c>
      <c r="D17">
        <f>AVERAGEIF(ScoreImport!$H$399:$H$5835,$C17,ScoreImport!$I$399:$I$5835)</f>
        <v>4.7272727272727275</v>
      </c>
      <c r="E17">
        <f t="array" ref="E17">_xlfn.STDEV.P(IF(ScoreImport!$H$399:$H$5835=$C17,ScoreImport!$I$399:$I$5835))</f>
        <v>3.1648900337325836</v>
      </c>
      <c r="F17">
        <f>AVERAGEIF(ScoreImport!$J$399:$J$5835,$C17,ScoreImport!$K$399:$K$5835)</f>
        <v>4.7901234567901234</v>
      </c>
      <c r="G17">
        <f t="array" ref="G17">_xlfn.STDEV.P(IF(ScoreImport!$J$399:$J$5835=$C17,ScoreImport!$K$399:$K$5835))</f>
        <v>2.6975803029625012</v>
      </c>
      <c r="H17">
        <f>COUNTIFS(ScoreImport!$H$399:$H$5835,$C17,ScoreImport!$L$399:$L$5835,"&gt;"&amp;0)</f>
        <v>39</v>
      </c>
      <c r="I17">
        <f>COUNTIFS(ScoreImport!$H$399:$H$5835,$C17,ScoreImport!$L$399:$L$5835,"&lt;"&amp;0)</f>
        <v>38</v>
      </c>
      <c r="J17" s="32">
        <f t="shared" si="1"/>
        <v>0.50649350649350644</v>
      </c>
      <c r="K17">
        <f>COUNTIFS(ScoreImport!$J$399:$J$5835,$C17,ScoreImport!$L$399:$L$5835,"&lt;"&amp;0)</f>
        <v>49</v>
      </c>
      <c r="L17">
        <f>COUNTIFS(ScoreImport!$J$399:$J$5835,$C17,ScoreImport!$L$399:$L$5835,"&gt;"&amp;0)</f>
        <v>32</v>
      </c>
      <c r="M17" s="32">
        <f t="shared" si="2"/>
        <v>0.60493827160493829</v>
      </c>
      <c r="N17" s="32"/>
      <c r="O17" t="s">
        <v>3327</v>
      </c>
      <c r="P17" t="str">
        <f>IFERROR(INDEX(Overview!$A$3:$B$32,MATCH(R17,Overview!$B$3:$B$32,0),1),"")</f>
        <v/>
      </c>
      <c r="Q17" t="str">
        <f t="shared" si="3"/>
        <v/>
      </c>
      <c r="R17" t="str">
        <f>IF(Bet!C18=0,"",Bet!C18)</f>
        <v/>
      </c>
      <c r="S17" t="str">
        <f t="shared" si="4"/>
        <v/>
      </c>
      <c r="T17" t="str">
        <f t="shared" si="5"/>
        <v/>
      </c>
      <c r="U17" t="str">
        <f t="shared" si="0"/>
        <v/>
      </c>
      <c r="Z17" t="str">
        <f>IF(ISEVEN(ROW()),COUNTIFS(ScoreImport!$H$399:$H$5835,AA17,ScoreImport!$J$399:$J$5835,AD17)+COUNTIFS(ScoreImport!$H$399:$H$5835,AD17,ScoreImport!$J$399:$J$5835,AA17),"")</f>
        <v/>
      </c>
      <c r="AA17" t="str">
        <f t="shared" si="6"/>
        <v/>
      </c>
      <c r="AB17" s="60" t="str">
        <f>IF(ISEVEN(ROW()),(SUMIFS(ScoreImport!$I$399:$I$5835,ScoreImport!$H$399:$H$5835,AA17,ScoreImport!$J$399:$J$5835,AD17)+SUMIFS(ScoreImport!$K$399:$K$5835,ScoreImport!$J$399:$J$5835,AA17,ScoreImport!$H$399:$H$5835,AD17))/(COUNTIFS(ScoreImport!$H$399:$H$5835,AA17,ScoreImport!$J$399:$J$5835,AD17)+COUNTIFS(ScoreImport!$H$399:$H$5835,AD17,ScoreImport!$J$399:$J$5835,AA17)),"")</f>
        <v/>
      </c>
      <c r="AC17" s="60" t="str">
        <f t="array" ref="AC17">IFERROR(SQRT(_xlfn.VAR.P(IF(ScoreImport!$H$399:$H$5835=$AA17,IF(ScoreImport!$J$399:$J$5835=$AD17,ScoreImport!$I$399:$I$5835)))+_xlfn.VAR.P(IF(ScoreImport!$H$399:$H$5835=$AD17,IF(ScoreImport!$J$399:$J$5835=$AA17,ScoreImport!$K$399:$K$5835)))),"")</f>
        <v/>
      </c>
      <c r="AD17" t="str">
        <f t="shared" si="7"/>
        <v/>
      </c>
      <c r="AE17" t="str">
        <f>IF(ISEVEN(ROW()),(SUMIFS(ScoreImport!$I$399:$I$5835,ScoreImport!$H$399:$H$5835,AD17,ScoreImport!$J$399:$J$5835,AA17)+SUMIFS(ScoreImport!$K$399:$K$5835,ScoreImport!$J$399:$J$5835,AD17,ScoreImport!$H$399:$H$5835,AA17))/(COUNTIFS(ScoreImport!$H$399:$H$5835,AA17,ScoreImport!$J$399:$J$5835,AD17)+COUNTIFS(ScoreImport!$H$399:$H$5835,AD17,ScoreImport!$J$399:$J$5835,AA17)),"")</f>
        <v/>
      </c>
      <c r="AF17" t="str">
        <f t="array" ref="AF17">IFERROR(SQRT(_xlfn.VAR.P(IF(ScoreImport!$H$399:$H$5835=$AA17,IF(ScoreImport!$J$399:$J$5835=$AD17,ScoreImport!$K$399:$K$5835)))+_xlfn.VAR.P(IF(ScoreImport!$H$399:$H$5835=$AD17,IF(ScoreImport!$J$399:$J$5835=$AA17,ScoreImport!$I$399:$I$5835)))),"")</f>
        <v/>
      </c>
    </row>
    <row r="18" spans="2:43" x14ac:dyDescent="0.25">
      <c r="B18" t="s">
        <v>13</v>
      </c>
      <c r="C18" t="s">
        <v>3353</v>
      </c>
      <c r="D18">
        <f>AVERAGEIF(ScoreImport!$H$399:$H$5835,$C18,ScoreImport!$I$399:$I$5835)</f>
        <v>6.1428571428571432</v>
      </c>
      <c r="E18">
        <f t="array" ref="E18">_xlfn.STDEV.P(IF(ScoreImport!$H$399:$H$5835=$C18,ScoreImport!$I$399:$I$5835))</f>
        <v>3.7855305027676169</v>
      </c>
      <c r="F18">
        <f>AVERAGEIF(ScoreImport!$J$399:$J$5835,$C18,ScoreImport!$K$399:$K$5835)</f>
        <v>5.4567901234567904</v>
      </c>
      <c r="G18">
        <f t="array" ref="G18">_xlfn.STDEV.P(IF(ScoreImport!$J$399:$J$5835=$C18,ScoreImport!$K$399:$K$5835))</f>
        <v>3.1624704467112745</v>
      </c>
      <c r="H18">
        <f>COUNTIFS(ScoreImport!$H$399:$H$5835,$C18,ScoreImport!$L$399:$L$5835,"&gt;"&amp;0)</f>
        <v>52</v>
      </c>
      <c r="I18">
        <f>COUNTIFS(ScoreImport!$H$399:$H$5835,$C18,ScoreImport!$L$399:$L$5835,"&lt;"&amp;0)</f>
        <v>25</v>
      </c>
      <c r="J18" s="32">
        <f t="shared" si="1"/>
        <v>0.67532467532467533</v>
      </c>
      <c r="K18">
        <f>COUNTIFS(ScoreImport!$J$399:$J$5835,$C18,ScoreImport!$L$399:$L$5835,"&lt;"&amp;0)</f>
        <v>46</v>
      </c>
      <c r="L18">
        <f>COUNTIFS(ScoreImport!$J$399:$J$5835,$C18,ScoreImport!$L$399:$L$5835,"&gt;"&amp;0)</f>
        <v>35</v>
      </c>
      <c r="M18" s="32">
        <f t="shared" si="2"/>
        <v>0.5679012345679012</v>
      </c>
      <c r="N18" s="32"/>
      <c r="O18" t="s">
        <v>3328</v>
      </c>
      <c r="P18" t="str">
        <f>IFERROR(INDEX(Overview!$A$3:$B$32,MATCH(R18,Overview!$B$3:$B$32,0),1),"")</f>
        <v/>
      </c>
      <c r="Q18" t="str">
        <f t="shared" si="3"/>
        <v/>
      </c>
      <c r="R18" t="str">
        <f>IF(Bet!C19=0,"",Bet!C19)</f>
        <v/>
      </c>
      <c r="S18" t="str">
        <f t="shared" si="4"/>
        <v/>
      </c>
      <c r="T18" t="str">
        <f t="shared" si="5"/>
        <v/>
      </c>
      <c r="U18" t="str">
        <f t="shared" si="0"/>
        <v/>
      </c>
      <c r="Z18">
        <f>IF(ISEVEN(ROW()),COUNTIFS(ScoreImport!$H$399:$H$5835,AA18,ScoreImport!$J$399:$J$5835,AD18)+COUNTIFS(ScoreImport!$H$399:$H$5835,AD18,ScoreImport!$J$399:$J$5835,AA18),"")</f>
        <v>6148</v>
      </c>
      <c r="AA18" t="str">
        <f t="shared" si="6"/>
        <v/>
      </c>
      <c r="AB18" s="60">
        <f>IF(ISEVEN(ROW()),(SUMIFS(ScoreImport!$I$399:$I$5835,ScoreImport!$H$399:$H$5835,AA18,ScoreImport!$J$399:$J$5835,AD18)+SUMIFS(ScoreImport!$K$399:$K$5835,ScoreImport!$J$399:$J$5835,AA18,ScoreImport!$H$399:$H$5835,AD18))/(COUNTIFS(ScoreImport!$H$399:$H$5835,AA18,ScoreImport!$J$399:$J$5835,AD18)+COUNTIFS(ScoreImport!$H$399:$H$5835,AD18,ScoreImport!$J$399:$J$5835,AA18)),"")</f>
        <v>0</v>
      </c>
      <c r="AC18" s="60" t="str">
        <f t="array" ref="AC18">IFERROR(SQRT(_xlfn.VAR.P(IF(ScoreImport!$H$399:$H$5835=$AA18,IF(ScoreImport!$J$399:$J$5835=$AD18,ScoreImport!$I$399:$I$5835)))+_xlfn.VAR.P(IF(ScoreImport!$H$399:$H$5835=$AD18,IF(ScoreImport!$J$399:$J$5835=$AA18,ScoreImport!$K$399:$K$5835)))),"")</f>
        <v/>
      </c>
      <c r="AD18" t="str">
        <f t="shared" si="7"/>
        <v/>
      </c>
      <c r="AE18">
        <f>IF(ISEVEN(ROW()),(SUMIFS(ScoreImport!$I$399:$I$5835,ScoreImport!$H$399:$H$5835,AD18,ScoreImport!$J$399:$J$5835,AA18)+SUMIFS(ScoreImport!$K$399:$K$5835,ScoreImport!$J$399:$J$5835,AD18,ScoreImport!$H$399:$H$5835,AA18))/(COUNTIFS(ScoreImport!$H$399:$H$5835,AA18,ScoreImport!$J$399:$J$5835,AD18)+COUNTIFS(ScoreImport!$H$399:$H$5835,AD18,ScoreImport!$J$399:$J$5835,AA18)),"")</f>
        <v>0</v>
      </c>
      <c r="AF18" t="str">
        <f t="array" ref="AF18">IFERROR(SQRT(_xlfn.VAR.P(IF(ScoreImport!$H$399:$H$5835=$AA18,IF(ScoreImport!$J$399:$J$5835=$AD18,ScoreImport!$K$399:$K$5835)))+_xlfn.VAR.P(IF(ScoreImport!$H$399:$H$5835=$AD18,IF(ScoreImport!$J$399:$J$5835=$AA18,ScoreImport!$I$399:$I$5835)))),"")</f>
        <v/>
      </c>
    </row>
    <row r="19" spans="2:43" x14ac:dyDescent="0.25">
      <c r="B19" t="s">
        <v>27</v>
      </c>
      <c r="C19" t="s">
        <v>3351</v>
      </c>
      <c r="D19">
        <f>AVERAGEIF(ScoreImport!$H$399:$H$5835,$C19,ScoreImport!$I$399:$I$5835)</f>
        <v>5.0740740740740744</v>
      </c>
      <c r="E19">
        <f t="array" ref="E19">_xlfn.STDEV.P(IF(ScoreImport!$H$399:$H$5835=$C19,ScoreImport!$I$399:$I$5835))</f>
        <v>3.1614099752404887</v>
      </c>
      <c r="F19">
        <f>AVERAGEIF(ScoreImport!$J$399:$J$5835,$C19,ScoreImport!$K$399:$K$5835)</f>
        <v>4.7272727272727275</v>
      </c>
      <c r="G19">
        <f t="array" ref="G19">_xlfn.STDEV.P(IF(ScoreImport!$J$399:$J$5835=$C19,ScoreImport!$K$399:$K$5835))</f>
        <v>2.6902245531551925</v>
      </c>
      <c r="H19">
        <f>COUNTIFS(ScoreImport!$H$399:$H$5835,$C19,ScoreImport!$L$399:$L$5835,"&gt;"&amp;0)</f>
        <v>38</v>
      </c>
      <c r="I19">
        <f>COUNTIFS(ScoreImport!$H$399:$H$5835,$C19,ScoreImport!$L$399:$L$5835,"&lt;"&amp;0)</f>
        <v>43</v>
      </c>
      <c r="J19" s="32">
        <f t="shared" si="1"/>
        <v>0.46913580246913578</v>
      </c>
      <c r="K19">
        <f>COUNTIFS(ScoreImport!$J$399:$J$5835,$C19,ScoreImport!$L$399:$L$5835,"&lt;"&amp;0)</f>
        <v>45</v>
      </c>
      <c r="L19">
        <f>COUNTIFS(ScoreImport!$J$399:$J$5835,$C19,ScoreImport!$L$399:$L$5835,"&gt;"&amp;0)</f>
        <v>32</v>
      </c>
      <c r="M19" s="32">
        <f t="shared" si="2"/>
        <v>0.58441558441558439</v>
      </c>
      <c r="N19" s="32"/>
      <c r="O19" t="s">
        <v>3327</v>
      </c>
      <c r="P19" t="str">
        <f>IFERROR(INDEX(Overview!$A$3:$B$32,MATCH(R19,Overview!$B$3:$B$32,0),1),"")</f>
        <v/>
      </c>
      <c r="Q19" t="str">
        <f t="shared" si="3"/>
        <v/>
      </c>
      <c r="R19" t="str">
        <f>IF(Bet!C20=0,"",Bet!C20)</f>
        <v/>
      </c>
      <c r="S19" t="str">
        <f t="shared" si="4"/>
        <v/>
      </c>
      <c r="T19" t="str">
        <f t="shared" si="5"/>
        <v/>
      </c>
      <c r="U19" t="str">
        <f t="shared" si="0"/>
        <v/>
      </c>
      <c r="Z19" t="str">
        <f>IF(ISEVEN(ROW()),COUNTIFS(ScoreImport!$H$399:$H$5835,AA19,ScoreImport!$J$399:$J$5835,AD19)+COUNTIFS(ScoreImport!$H$399:$H$5835,AD19,ScoreImport!$J$399:$J$5835,AA19),"")</f>
        <v/>
      </c>
      <c r="AA19" t="str">
        <f t="shared" si="6"/>
        <v/>
      </c>
      <c r="AB19" s="60" t="str">
        <f>IF(ISEVEN(ROW()),(SUMIFS(ScoreImport!$I$399:$I$5835,ScoreImport!$H$399:$H$5835,AA19,ScoreImport!$J$399:$J$5835,AD19)+SUMIFS(ScoreImport!$K$399:$K$5835,ScoreImport!$J$399:$J$5835,AA19,ScoreImport!$H$399:$H$5835,AD19))/(COUNTIFS(ScoreImport!$H$399:$H$5835,AA19,ScoreImport!$J$399:$J$5835,AD19)+COUNTIFS(ScoreImport!$H$399:$H$5835,AD19,ScoreImport!$J$399:$J$5835,AA19)),"")</f>
        <v/>
      </c>
      <c r="AC19" s="60" t="str">
        <f t="array" ref="AC19">IFERROR(SQRT(_xlfn.VAR.P(IF(ScoreImport!$H$399:$H$5835=$AA19,IF(ScoreImport!$J$399:$J$5835=$AD19,ScoreImport!$I$399:$I$5835)))+_xlfn.VAR.P(IF(ScoreImport!$H$399:$H$5835=$AD19,IF(ScoreImport!$J$399:$J$5835=$AA19,ScoreImport!$K$399:$K$5835)))),"")</f>
        <v/>
      </c>
      <c r="AD19" t="str">
        <f t="shared" si="7"/>
        <v/>
      </c>
      <c r="AE19" t="str">
        <f>IF(ISEVEN(ROW()),(SUMIFS(ScoreImport!$I$399:$I$5835,ScoreImport!$H$399:$H$5835,AD19,ScoreImport!$J$399:$J$5835,AA19)+SUMIFS(ScoreImport!$K$399:$K$5835,ScoreImport!$J$399:$J$5835,AD19,ScoreImport!$H$399:$H$5835,AA19))/(COUNTIFS(ScoreImport!$H$399:$H$5835,AA19,ScoreImport!$J$399:$J$5835,AD19)+COUNTIFS(ScoreImport!$H$399:$H$5835,AD19,ScoreImport!$J$399:$J$5835,AA19)),"")</f>
        <v/>
      </c>
      <c r="AF19" t="str">
        <f t="array" ref="AF19">IFERROR(SQRT(_xlfn.VAR.P(IF(ScoreImport!$H$399:$H$5835=$AA19,IF(ScoreImport!$J$399:$J$5835=$AD19,ScoreImport!$K$399:$K$5835)))+_xlfn.VAR.P(IF(ScoreImport!$H$399:$H$5835=$AD19,IF(ScoreImport!$J$399:$J$5835=$AA19,ScoreImport!$I$399:$I$5835)))),"")</f>
        <v/>
      </c>
    </row>
    <row r="20" spans="2:43" x14ac:dyDescent="0.25">
      <c r="B20" t="s">
        <v>28</v>
      </c>
      <c r="C20" t="s">
        <v>3356</v>
      </c>
      <c r="D20">
        <f>AVERAGEIF(ScoreImport!$H$399:$H$5835,$C20,ScoreImport!$I$399:$I$5835)</f>
        <v>6.2857142857142856</v>
      </c>
      <c r="E20">
        <f t="array" ref="E20">_xlfn.STDEV.P(IF(ScoreImport!$H$399:$H$5835=$C20,ScoreImport!$I$399:$I$5835))</f>
        <v>3.6426661523653423</v>
      </c>
      <c r="F20">
        <f>AVERAGEIF(ScoreImport!$J$399:$J$5835,$C20,ScoreImport!$K$399:$K$5835)</f>
        <v>5.4320987654320989</v>
      </c>
      <c r="G20">
        <f t="array" ref="G20">_xlfn.STDEV.P(IF(ScoreImport!$J$399:$J$5835=$C20,ScoreImport!$K$399:$K$5835))</f>
        <v>2.8542291411597263</v>
      </c>
      <c r="H20">
        <f>COUNTIFS(ScoreImport!$H$399:$H$5835,$C20,ScoreImport!$L$399:$L$5835,"&gt;"&amp;0)</f>
        <v>45</v>
      </c>
      <c r="I20">
        <f>COUNTIFS(ScoreImport!$H$399:$H$5835,$C20,ScoreImport!$L$399:$L$5835,"&lt;"&amp;0)</f>
        <v>32</v>
      </c>
      <c r="J20" s="32">
        <f t="shared" si="1"/>
        <v>0.58441558441558439</v>
      </c>
      <c r="K20">
        <f>COUNTIFS(ScoreImport!$J$399:$J$5835,$C20,ScoreImport!$L$399:$L$5835,"&lt;"&amp;0)</f>
        <v>57</v>
      </c>
      <c r="L20">
        <f>COUNTIFS(ScoreImport!$J$399:$J$5835,$C20,ScoreImport!$L$399:$L$5835,"&gt;"&amp;0)</f>
        <v>24</v>
      </c>
      <c r="M20" s="32">
        <f t="shared" si="2"/>
        <v>0.70370370370370372</v>
      </c>
      <c r="N20" s="32"/>
      <c r="O20" t="s">
        <v>3328</v>
      </c>
      <c r="P20" t="str">
        <f>IFERROR(INDEX(Overview!$A$3:$B$32,MATCH(R20,Overview!$B$3:$B$32,0),1),"")</f>
        <v/>
      </c>
      <c r="Q20" t="str">
        <f t="shared" si="3"/>
        <v/>
      </c>
      <c r="R20" t="str">
        <f>IF(Bet!C21=0,"",Bet!C21)</f>
        <v/>
      </c>
      <c r="S20" t="str">
        <f t="shared" si="4"/>
        <v/>
      </c>
      <c r="T20" t="str">
        <f t="shared" si="5"/>
        <v/>
      </c>
      <c r="U20" t="str">
        <f t="shared" si="0"/>
        <v/>
      </c>
      <c r="Z20">
        <f>IF(ISEVEN(ROW()),COUNTIFS(ScoreImport!$H$399:$H$5835,AA20,ScoreImport!$J$399:$J$5835,AD20)+COUNTIFS(ScoreImport!$H$399:$H$5835,AD20,ScoreImport!$J$399:$J$5835,AA20),"")</f>
        <v>6148</v>
      </c>
      <c r="AA20" t="str">
        <f t="shared" si="6"/>
        <v/>
      </c>
      <c r="AB20" s="60">
        <f>IF(ISEVEN(ROW()),(SUMIFS(ScoreImport!$I$399:$I$5835,ScoreImport!$H$399:$H$5835,AA20,ScoreImport!$J$399:$J$5835,AD20)+SUMIFS(ScoreImport!$K$399:$K$5835,ScoreImport!$J$399:$J$5835,AA20,ScoreImport!$H$399:$H$5835,AD20))/(COUNTIFS(ScoreImport!$H$399:$H$5835,AA20,ScoreImport!$J$399:$J$5835,AD20)+COUNTIFS(ScoreImport!$H$399:$H$5835,AD20,ScoreImport!$J$399:$J$5835,AA20)),"")</f>
        <v>0</v>
      </c>
      <c r="AC20" s="60" t="str">
        <f t="array" ref="AC20">IFERROR(SQRT(_xlfn.VAR.P(IF(ScoreImport!$H$399:$H$5835=$AA20,IF(ScoreImport!$J$399:$J$5835=$AD20,ScoreImport!$I$399:$I$5835)))+_xlfn.VAR.P(IF(ScoreImport!$H$399:$H$5835=$AD20,IF(ScoreImport!$J$399:$J$5835=$AA20,ScoreImport!$K$399:$K$5835)))),"")</f>
        <v/>
      </c>
      <c r="AD20" t="str">
        <f t="shared" si="7"/>
        <v/>
      </c>
      <c r="AE20">
        <f>IF(ISEVEN(ROW()),(SUMIFS(ScoreImport!$I$399:$I$5835,ScoreImport!$H$399:$H$5835,AD20,ScoreImport!$J$399:$J$5835,AA20)+SUMIFS(ScoreImport!$K$399:$K$5835,ScoreImport!$J$399:$J$5835,AD20,ScoreImport!$H$399:$H$5835,AA20))/(COUNTIFS(ScoreImport!$H$399:$H$5835,AA20,ScoreImport!$J$399:$J$5835,AD20)+COUNTIFS(ScoreImport!$H$399:$H$5835,AD20,ScoreImport!$J$399:$J$5835,AA20)),"")</f>
        <v>0</v>
      </c>
      <c r="AF20" t="str">
        <f t="array" ref="AF20">IFERROR(SQRT(_xlfn.VAR.P(IF(ScoreImport!$H$399:$H$5835=$AA20,IF(ScoreImport!$J$399:$J$5835=$AD20,ScoreImport!$K$399:$K$5835)))+_xlfn.VAR.P(IF(ScoreImport!$H$399:$H$5835=$AD20,IF(ScoreImport!$J$399:$J$5835=$AA20,ScoreImport!$I$399:$I$5835)))),"")</f>
        <v/>
      </c>
    </row>
    <row r="21" spans="2:43" x14ac:dyDescent="0.25">
      <c r="B21" t="s">
        <v>17</v>
      </c>
      <c r="C21" t="s">
        <v>3363</v>
      </c>
      <c r="D21">
        <f>AVERAGEIF(ScoreImport!$H$399:$H$5835,$C21,ScoreImport!$I$399:$I$5835)</f>
        <v>5.6493506493506498</v>
      </c>
      <c r="E21">
        <f t="array" ref="E21">_xlfn.STDEV.P(IF(ScoreImport!$H$399:$H$5835=$C21,ScoreImport!$I$399:$I$5835))</f>
        <v>4.1333808487340473</v>
      </c>
      <c r="F21">
        <f>AVERAGEIF(ScoreImport!$J$399:$J$5835,$C21,ScoreImport!$K$399:$K$5835)</f>
        <v>4.9493670886075947</v>
      </c>
      <c r="G21">
        <f t="array" ref="G21">_xlfn.STDEV.P(IF(ScoreImport!$J$399:$J$5835=$C21,ScoreImport!$K$399:$K$5835))</f>
        <v>3.1337232038599887</v>
      </c>
      <c r="H21">
        <f>COUNTIFS(ScoreImport!$H$399:$H$5835,$C21,ScoreImport!$L$399:$L$5835,"&gt;"&amp;0)</f>
        <v>43</v>
      </c>
      <c r="I21">
        <f>COUNTIFS(ScoreImport!$H$399:$H$5835,$C21,ScoreImport!$L$399:$L$5835,"&lt;"&amp;0)</f>
        <v>34</v>
      </c>
      <c r="J21" s="32">
        <f t="shared" si="1"/>
        <v>0.55844155844155841</v>
      </c>
      <c r="K21">
        <f>COUNTIFS(ScoreImport!$J$399:$J$5835,$C21,ScoreImport!$L$399:$L$5835,"&lt;"&amp;0)</f>
        <v>52</v>
      </c>
      <c r="L21">
        <f>COUNTIFS(ScoreImport!$J$399:$J$5835,$C21,ScoreImport!$L$399:$L$5835,"&gt;"&amp;0)</f>
        <v>27</v>
      </c>
      <c r="M21" s="32">
        <f t="shared" si="2"/>
        <v>0.65822784810126578</v>
      </c>
      <c r="N21" s="32"/>
      <c r="O21" t="s">
        <v>3327</v>
      </c>
      <c r="P21" t="str">
        <f>IFERROR(INDEX(Overview!$A$3:$B$32,MATCH(R21,Overview!$B$3:$B$32,0),1),"")</f>
        <v/>
      </c>
      <c r="Q21" t="str">
        <f t="shared" si="3"/>
        <v/>
      </c>
      <c r="R21" t="str">
        <f>IF(Bet!C22=0,"",Bet!C22)</f>
        <v/>
      </c>
      <c r="S21" t="str">
        <f t="shared" si="4"/>
        <v/>
      </c>
      <c r="T21" t="str">
        <f t="shared" si="5"/>
        <v/>
      </c>
      <c r="U21" t="str">
        <f t="shared" si="0"/>
        <v/>
      </c>
      <c r="Z21" t="str">
        <f>IF(ISEVEN(ROW()),COUNTIFS(ScoreImport!$H$399:$H$5835,AA21,ScoreImport!$J$399:$J$5835,AD21)+COUNTIFS(ScoreImport!$H$399:$H$5835,AD21,ScoreImport!$J$399:$J$5835,AA21),"")</f>
        <v/>
      </c>
      <c r="AA21" t="str">
        <f t="shared" si="6"/>
        <v/>
      </c>
      <c r="AB21" s="60" t="str">
        <f>IF(ISEVEN(ROW()),(SUMIFS(ScoreImport!$I$399:$I$5835,ScoreImport!$H$399:$H$5835,AA21,ScoreImport!$J$399:$J$5835,AD21)+SUMIFS(ScoreImport!$K$399:$K$5835,ScoreImport!$J$399:$J$5835,AA21,ScoreImport!$H$399:$H$5835,AD21))/(COUNTIFS(ScoreImport!$H$399:$H$5835,AA21,ScoreImport!$J$399:$J$5835,AD21)+COUNTIFS(ScoreImport!$H$399:$H$5835,AD21,ScoreImport!$J$399:$J$5835,AA21)),"")</f>
        <v/>
      </c>
      <c r="AC21" s="60" t="str">
        <f t="array" ref="AC21">IFERROR(SQRT(_xlfn.VAR.P(IF(ScoreImport!$H$399:$H$5835=$AA21,IF(ScoreImport!$J$399:$J$5835=$AD21,ScoreImport!$I$399:$I$5835)))+_xlfn.VAR.P(IF(ScoreImport!$H$399:$H$5835=$AD21,IF(ScoreImport!$J$399:$J$5835=$AA21,ScoreImport!$K$399:$K$5835)))),"")</f>
        <v/>
      </c>
      <c r="AD21" t="str">
        <f t="shared" si="7"/>
        <v/>
      </c>
      <c r="AE21" t="str">
        <f>IF(ISEVEN(ROW()),(SUMIFS(ScoreImport!$I$399:$I$5835,ScoreImport!$H$399:$H$5835,AD21,ScoreImport!$J$399:$J$5835,AA21)+SUMIFS(ScoreImport!$K$399:$K$5835,ScoreImport!$J$399:$J$5835,AD21,ScoreImport!$H$399:$H$5835,AA21))/(COUNTIFS(ScoreImport!$H$399:$H$5835,AA21,ScoreImport!$J$399:$J$5835,AD21)+COUNTIFS(ScoreImport!$H$399:$H$5835,AD21,ScoreImport!$J$399:$J$5835,AA21)),"")</f>
        <v/>
      </c>
      <c r="AF21" t="str">
        <f t="array" ref="AF21">IFERROR(SQRT(_xlfn.VAR.P(IF(ScoreImport!$H$399:$H$5835=$AA21,IF(ScoreImport!$J$399:$J$5835=$AD21,ScoreImport!$K$399:$K$5835)))+_xlfn.VAR.P(IF(ScoreImport!$H$399:$H$5835=$AD21,IF(ScoreImport!$J$399:$J$5835=$AA21,ScoreImport!$I$399:$I$5835)))),"")</f>
        <v/>
      </c>
    </row>
    <row r="22" spans="2:43" x14ac:dyDescent="0.25">
      <c r="B22" t="s">
        <v>15</v>
      </c>
      <c r="C22" t="s">
        <v>3354</v>
      </c>
      <c r="D22">
        <f>AVERAGEIF(ScoreImport!$H$399:$H$5835,$C22,ScoreImport!$I$399:$I$5835)</f>
        <v>4.5443037974683547</v>
      </c>
      <c r="E22">
        <f t="array" ref="E22">_xlfn.STDEV.P(IF(ScoreImport!$H$399:$H$5835=$C22,ScoreImport!$I$399:$I$5835))</f>
        <v>3.0638664592078744</v>
      </c>
      <c r="F22">
        <f>AVERAGEIF(ScoreImport!$J$399:$J$5835,$C22,ScoreImport!$K$399:$K$5835)</f>
        <v>5.0384615384615383</v>
      </c>
      <c r="G22">
        <f t="array" ref="G22">_xlfn.STDEV.P(IF(ScoreImport!$J$399:$J$5835=$C22,ScoreImport!$K$399:$K$5835))</f>
        <v>3.2598659233570175</v>
      </c>
      <c r="H22">
        <f>COUNTIFS(ScoreImport!$H$399:$H$5835,$C22,ScoreImport!$L$399:$L$5835,"&gt;"&amp;0)</f>
        <v>36</v>
      </c>
      <c r="I22">
        <f>COUNTIFS(ScoreImport!$H$399:$H$5835,$C22,ScoreImport!$L$399:$L$5835,"&lt;"&amp;0)</f>
        <v>43</v>
      </c>
      <c r="J22" s="32">
        <f t="shared" si="1"/>
        <v>0.45569620253164556</v>
      </c>
      <c r="K22">
        <f>COUNTIFS(ScoreImport!$J$399:$J$5835,$C22,ScoreImport!$L$399:$L$5835,"&lt;"&amp;0)</f>
        <v>43</v>
      </c>
      <c r="L22">
        <f>COUNTIFS(ScoreImport!$J$399:$J$5835,$C22,ScoreImport!$L$399:$L$5835,"&gt;"&amp;0)</f>
        <v>35</v>
      </c>
      <c r="M22" s="32">
        <f t="shared" si="2"/>
        <v>0.55128205128205132</v>
      </c>
      <c r="N22" s="32"/>
      <c r="O22" t="s">
        <v>3328</v>
      </c>
      <c r="P22" t="str">
        <f>IFERROR(INDEX(Overview!$A$3:$B$32,MATCH(R22,Overview!$B$3:$B$32,0),1),"")</f>
        <v/>
      </c>
      <c r="Q22" t="str">
        <f t="shared" si="3"/>
        <v/>
      </c>
      <c r="R22" t="str">
        <f>IF(Bet!C23=0,"",Bet!C23)</f>
        <v/>
      </c>
      <c r="S22" t="str">
        <f t="shared" si="4"/>
        <v/>
      </c>
      <c r="T22" t="str">
        <f t="shared" si="5"/>
        <v/>
      </c>
      <c r="U22" t="str">
        <f t="shared" si="0"/>
        <v/>
      </c>
      <c r="Z22">
        <f>IF(ISEVEN(ROW()),COUNTIFS(ScoreImport!$H$399:$H$5835,AA22,ScoreImport!$J$399:$J$5835,AD22)+COUNTIFS(ScoreImport!$H$399:$H$5835,AD22,ScoreImport!$J$399:$J$5835,AA22),"")</f>
        <v>6148</v>
      </c>
      <c r="AA22" t="str">
        <f t="shared" si="6"/>
        <v/>
      </c>
      <c r="AB22" s="60">
        <f>IF(ISEVEN(ROW()),(SUMIFS(ScoreImport!$I$399:$I$5835,ScoreImport!$H$399:$H$5835,AA22,ScoreImport!$J$399:$J$5835,AD22)+SUMIFS(ScoreImport!$K$399:$K$5835,ScoreImport!$J$399:$J$5835,AA22,ScoreImport!$H$399:$H$5835,AD22))/(COUNTIFS(ScoreImport!$H$399:$H$5835,AA22,ScoreImport!$J$399:$J$5835,AD22)+COUNTIFS(ScoreImport!$H$399:$H$5835,AD22,ScoreImport!$J$399:$J$5835,AA22)),"")</f>
        <v>0</v>
      </c>
      <c r="AC22" s="60" t="str">
        <f t="array" ref="AC22">IFERROR(SQRT(_xlfn.VAR.P(IF(ScoreImport!$H$399:$H$5835=$AA22,IF(ScoreImport!$J$399:$J$5835=$AD22,ScoreImport!$I$399:$I$5835)))+_xlfn.VAR.P(IF(ScoreImport!$H$399:$H$5835=$AD22,IF(ScoreImport!$J$399:$J$5835=$AA22,ScoreImport!$K$399:$K$5835)))),"")</f>
        <v/>
      </c>
      <c r="AD22" t="str">
        <f t="shared" si="7"/>
        <v/>
      </c>
      <c r="AE22">
        <f>IF(ISEVEN(ROW()),(SUMIFS(ScoreImport!$I$399:$I$5835,ScoreImport!$H$399:$H$5835,AD22,ScoreImport!$J$399:$J$5835,AA22)+SUMIFS(ScoreImport!$K$399:$K$5835,ScoreImport!$J$399:$J$5835,AD22,ScoreImport!$H$399:$H$5835,AA22))/(COUNTIFS(ScoreImport!$H$399:$H$5835,AA22,ScoreImport!$J$399:$J$5835,AD22)+COUNTIFS(ScoreImport!$H$399:$H$5835,AD22,ScoreImport!$J$399:$J$5835,AA22)),"")</f>
        <v>0</v>
      </c>
      <c r="AF22" t="str">
        <f t="array" ref="AF22">IFERROR(SQRT(_xlfn.VAR.P(IF(ScoreImport!$H$399:$H$5835=$AA22,IF(ScoreImport!$J$399:$J$5835=$AD22,ScoreImport!$K$399:$K$5835)))+_xlfn.VAR.P(IF(ScoreImport!$H$399:$H$5835=$AD22,IF(ScoreImport!$J$399:$J$5835=$AA22,ScoreImport!$I$399:$I$5835)))),"")</f>
        <v/>
      </c>
    </row>
    <row r="23" spans="2:43" x14ac:dyDescent="0.25">
      <c r="B23" t="s">
        <v>14</v>
      </c>
      <c r="C23" t="s">
        <v>3337</v>
      </c>
      <c r="D23">
        <f>AVERAGEIF(ScoreImport!$H$399:$H$5835,$C23,ScoreImport!$I$399:$I$5835)</f>
        <v>4.6913580246913584</v>
      </c>
      <c r="E23">
        <f t="array" ref="E23">_xlfn.STDEV.P(IF(ScoreImport!$H$399:$H$5835=$C23,ScoreImport!$I$399:$I$5835))</f>
        <v>3.1255299809699117</v>
      </c>
      <c r="F23">
        <f>AVERAGEIF(ScoreImport!$J$399:$J$5835,$C23,ScoreImport!$K$399:$K$5835)</f>
        <v>4.6842105263157894</v>
      </c>
      <c r="G23">
        <f t="array" ref="G23">_xlfn.STDEV.P(IF(ScoreImport!$J$399:$J$5835=$C23,ScoreImport!$K$399:$K$5835))</f>
        <v>3.5733315072830605</v>
      </c>
      <c r="H23">
        <f>COUNTIFS(ScoreImport!$H$399:$H$5835,$C23,ScoreImport!$L$399:$L$5835,"&gt;"&amp;0)</f>
        <v>34</v>
      </c>
      <c r="I23">
        <f>COUNTIFS(ScoreImport!$H$399:$H$5835,$C23,ScoreImport!$L$399:$L$5835,"&lt;"&amp;0)</f>
        <v>47</v>
      </c>
      <c r="J23" s="32">
        <f t="shared" si="1"/>
        <v>0.41975308641975306</v>
      </c>
      <c r="K23">
        <f>COUNTIFS(ScoreImport!$J$399:$J$5835,$C23,ScoreImport!$L$399:$L$5835,"&lt;"&amp;0)</f>
        <v>32</v>
      </c>
      <c r="L23">
        <f>COUNTIFS(ScoreImport!$J$399:$J$5835,$C23,ScoreImport!$L$399:$L$5835,"&gt;"&amp;0)</f>
        <v>44</v>
      </c>
      <c r="M23" s="32">
        <f t="shared" si="2"/>
        <v>0.42105263157894735</v>
      </c>
      <c r="N23" s="32"/>
      <c r="O23" t="s">
        <v>3327</v>
      </c>
      <c r="P23" t="str">
        <f>IFERROR(INDEX(Overview!$A$3:$B$32,MATCH(R23,Overview!$B$3:$B$32,0),1),"")</f>
        <v/>
      </c>
      <c r="Q23" t="str">
        <f t="shared" si="3"/>
        <v/>
      </c>
      <c r="R23" t="str">
        <f>IF(Bet!C24=0,"",Bet!C24)</f>
        <v/>
      </c>
      <c r="S23" t="str">
        <f t="shared" si="4"/>
        <v/>
      </c>
      <c r="T23" t="str">
        <f t="shared" si="5"/>
        <v/>
      </c>
      <c r="U23" t="str">
        <f t="shared" si="0"/>
        <v/>
      </c>
      <c r="Z23" t="str">
        <f>IF(ISEVEN(ROW()),COUNTIFS(ScoreImport!$H$399:$H$5835,AA23,ScoreImport!$J$399:$J$5835,AD23)+COUNTIFS(ScoreImport!$H$399:$H$5835,AD23,ScoreImport!$J$399:$J$5835,AA23),"")</f>
        <v/>
      </c>
      <c r="AA23" t="str">
        <f t="shared" si="6"/>
        <v/>
      </c>
      <c r="AB23" s="60" t="str">
        <f>IF(ISEVEN(ROW()),(SUMIFS(ScoreImport!$I$399:$I$5835,ScoreImport!$H$399:$H$5835,AA23,ScoreImport!$J$399:$J$5835,AD23)+SUMIFS(ScoreImport!$K$399:$K$5835,ScoreImport!$J$399:$J$5835,AA23,ScoreImport!$H$399:$H$5835,AD23))/(COUNTIFS(ScoreImport!$H$399:$H$5835,AA23,ScoreImport!$J$399:$J$5835,AD23)+COUNTIFS(ScoreImport!$H$399:$H$5835,AD23,ScoreImport!$J$399:$J$5835,AA23)),"")</f>
        <v/>
      </c>
      <c r="AC23" s="60" t="str">
        <f t="array" ref="AC23">IFERROR(SQRT(_xlfn.VAR.P(IF(ScoreImport!$H$399:$H$5835=$AA23,IF(ScoreImport!$J$399:$J$5835=$AD23,ScoreImport!$I$399:$I$5835)))+_xlfn.VAR.P(IF(ScoreImport!$H$399:$H$5835=$AD23,IF(ScoreImport!$J$399:$J$5835=$AA23,ScoreImport!$K$399:$K$5835)))),"")</f>
        <v/>
      </c>
      <c r="AD23" t="str">
        <f t="shared" si="7"/>
        <v/>
      </c>
      <c r="AE23" t="str">
        <f>IF(ISEVEN(ROW()),(SUMIFS(ScoreImport!$I$399:$I$5835,ScoreImport!$H$399:$H$5835,AD23,ScoreImport!$J$399:$J$5835,AA23)+SUMIFS(ScoreImport!$K$399:$K$5835,ScoreImport!$J$399:$J$5835,AD23,ScoreImport!$H$399:$H$5835,AA23))/(COUNTIFS(ScoreImport!$H$399:$H$5835,AA23,ScoreImport!$J$399:$J$5835,AD23)+COUNTIFS(ScoreImport!$H$399:$H$5835,AD23,ScoreImport!$J$399:$J$5835,AA23)),"")</f>
        <v/>
      </c>
      <c r="AF23" t="str">
        <f t="array" ref="AF23">IFERROR(SQRT(_xlfn.VAR.P(IF(ScoreImport!$H$399:$H$5835=$AA23,IF(ScoreImport!$J$399:$J$5835=$AD23,ScoreImport!$K$399:$K$5835)))+_xlfn.VAR.P(IF(ScoreImport!$H$399:$H$5835=$AD23,IF(ScoreImport!$J$399:$J$5835=$AA23,ScoreImport!$I$399:$I$5835)))),"")</f>
        <v/>
      </c>
    </row>
    <row r="24" spans="2:43" x14ac:dyDescent="0.25">
      <c r="B24" t="s">
        <v>26</v>
      </c>
      <c r="C24" t="s">
        <v>3365</v>
      </c>
      <c r="D24">
        <f>AVERAGEIF(ScoreImport!$H$399:$H$5835,$C24,ScoreImport!$I$399:$I$5835)</f>
        <v>4.6410256410256414</v>
      </c>
      <c r="E24">
        <f t="array" ref="E24">_xlfn.STDEV.P(IF(ScoreImport!$H$399:$H$5835=$C24,ScoreImport!$I$399:$I$5835))</f>
        <v>3.6196555969274451</v>
      </c>
      <c r="F24">
        <f>AVERAGEIF(ScoreImport!$J$399:$J$5835,$C24,ScoreImport!$K$399:$K$5835)</f>
        <v>3.8987341772151898</v>
      </c>
      <c r="G24">
        <f t="array" ref="G24">_xlfn.STDEV.P(IF(ScoreImport!$J$399:$J$5835=$C24,ScoreImport!$K$399:$K$5835))</f>
        <v>2.314483493294055</v>
      </c>
      <c r="H24">
        <f>COUNTIFS(ScoreImport!$H$399:$H$5835,$C24,ScoreImport!$L$399:$L$5835,"&gt;"&amp;0)</f>
        <v>34</v>
      </c>
      <c r="I24">
        <f>COUNTIFS(ScoreImport!$H$399:$H$5835,$C24,ScoreImport!$L$399:$L$5835,"&lt;"&amp;0)</f>
        <v>44</v>
      </c>
      <c r="J24" s="32">
        <f t="shared" si="1"/>
        <v>0.4358974358974359</v>
      </c>
      <c r="K24">
        <f>COUNTIFS(ScoreImport!$J$399:$J$5835,$C24,ScoreImport!$L$399:$L$5835,"&lt;"&amp;0)</f>
        <v>36</v>
      </c>
      <c r="L24">
        <f>COUNTIFS(ScoreImport!$J$399:$J$5835,$C24,ScoreImport!$L$399:$L$5835,"&gt;"&amp;0)</f>
        <v>43</v>
      </c>
      <c r="M24" s="32">
        <f t="shared" si="2"/>
        <v>0.45569620253164556</v>
      </c>
      <c r="N24" s="32"/>
      <c r="O24" t="s">
        <v>3328</v>
      </c>
      <c r="P24" t="str">
        <f>IFERROR(INDEX(Overview!$A$3:$B$32,MATCH(R24,Overview!$B$3:$B$32,0),1),"")</f>
        <v/>
      </c>
      <c r="Q24" t="str">
        <f t="shared" si="3"/>
        <v/>
      </c>
      <c r="R24" t="str">
        <f>IF(Bet!C25=0,"",Bet!C25)</f>
        <v/>
      </c>
      <c r="S24" t="str">
        <f t="shared" si="4"/>
        <v/>
      </c>
      <c r="T24" t="str">
        <f t="shared" si="5"/>
        <v/>
      </c>
      <c r="U24" t="str">
        <f t="shared" si="0"/>
        <v/>
      </c>
      <c r="Z24">
        <f>IF(ISEVEN(ROW()),COUNTIFS(ScoreImport!$H$399:$H$5835,AA24,ScoreImport!$J$399:$J$5835,AD24)+COUNTIFS(ScoreImport!$H$399:$H$5835,AD24,ScoreImport!$J$399:$J$5835,AA24),"")</f>
        <v>6148</v>
      </c>
      <c r="AA24" t="str">
        <f t="shared" si="6"/>
        <v/>
      </c>
      <c r="AB24" s="60">
        <f>IF(ISEVEN(ROW()),(SUMIFS(ScoreImport!$I$399:$I$5835,ScoreImport!$H$399:$H$5835,AA24,ScoreImport!$J$399:$J$5835,AD24)+SUMIFS(ScoreImport!$K$399:$K$5835,ScoreImport!$J$399:$J$5835,AA24,ScoreImport!$H$399:$H$5835,AD24))/(COUNTIFS(ScoreImport!$H$399:$H$5835,AA24,ScoreImport!$J$399:$J$5835,AD24)+COUNTIFS(ScoreImport!$H$399:$H$5835,AD24,ScoreImport!$J$399:$J$5835,AA24)),"")</f>
        <v>0</v>
      </c>
      <c r="AC24" s="60" t="str">
        <f t="array" ref="AC24">IFERROR(SQRT(_xlfn.VAR.P(IF(ScoreImport!$H$399:$H$5835=$AA24,IF(ScoreImport!$J$399:$J$5835=$AD24,ScoreImport!$I$399:$I$5835)))+_xlfn.VAR.P(IF(ScoreImport!$H$399:$H$5835=$AD24,IF(ScoreImport!$J$399:$J$5835=$AA24,ScoreImport!$K$399:$K$5835)))),"")</f>
        <v/>
      </c>
      <c r="AD24" t="str">
        <f t="shared" si="7"/>
        <v/>
      </c>
      <c r="AE24">
        <f>IF(ISEVEN(ROW()),(SUMIFS(ScoreImport!$I$399:$I$5835,ScoreImport!$H$399:$H$5835,AD24,ScoreImport!$J$399:$J$5835,AA24)+SUMIFS(ScoreImport!$K$399:$K$5835,ScoreImport!$J$399:$J$5835,AD24,ScoreImport!$H$399:$H$5835,AA24))/(COUNTIFS(ScoreImport!$H$399:$H$5835,AA24,ScoreImport!$J$399:$J$5835,AD24)+COUNTIFS(ScoreImport!$H$399:$H$5835,AD24,ScoreImport!$J$399:$J$5835,AA24)),"")</f>
        <v>0</v>
      </c>
      <c r="AF24" t="str">
        <f t="array" ref="AF24">IFERROR(SQRT(_xlfn.VAR.P(IF(ScoreImport!$H$399:$H$5835=$AA24,IF(ScoreImport!$J$399:$J$5835=$AD24,ScoreImport!$K$399:$K$5835)))+_xlfn.VAR.P(IF(ScoreImport!$H$399:$H$5835=$AD24,IF(ScoreImport!$J$399:$J$5835=$AA24,ScoreImport!$I$399:$I$5835)))),"")</f>
        <v/>
      </c>
    </row>
    <row r="25" spans="2:43" x14ac:dyDescent="0.25">
      <c r="B25" t="s">
        <v>25</v>
      </c>
      <c r="C25" t="s">
        <v>3346</v>
      </c>
      <c r="D25">
        <f>AVERAGEIF(ScoreImport!$H$399:$H$5835,$C25,ScoreImport!$I$399:$I$5835)</f>
        <v>5.0246913580246915</v>
      </c>
      <c r="E25">
        <f t="array" ref="E25">_xlfn.STDEV.P(IF(ScoreImport!$H$399:$H$5835=$C25,ScoreImport!$I$399:$I$5835))</f>
        <v>4.0459560930896501</v>
      </c>
      <c r="F25">
        <f>AVERAGEIF(ScoreImport!$J$399:$J$5835,$C25,ScoreImport!$K$399:$K$5835)</f>
        <v>3.4078947368421053</v>
      </c>
      <c r="G25">
        <f t="array" ref="G25">_xlfn.STDEV.P(IF(ScoreImport!$J$399:$J$5835=$C25,ScoreImport!$K$399:$K$5835))</f>
        <v>2.1955555080479443</v>
      </c>
      <c r="H25">
        <f>COUNTIFS(ScoreImport!$H$399:$H$5835,$C25,ScoreImport!$L$399:$L$5835,"&gt;"&amp;0)</f>
        <v>42</v>
      </c>
      <c r="I25">
        <f>COUNTIFS(ScoreImport!$H$399:$H$5835,$C25,ScoreImport!$L$399:$L$5835,"&lt;"&amp;0)</f>
        <v>39</v>
      </c>
      <c r="J25" s="32">
        <f t="shared" si="1"/>
        <v>0.51851851851851849</v>
      </c>
      <c r="K25">
        <f>COUNTIFS(ScoreImport!$J$399:$J$5835,$C25,ScoreImport!$L$399:$L$5835,"&lt;"&amp;0)</f>
        <v>33</v>
      </c>
      <c r="L25">
        <f>COUNTIFS(ScoreImport!$J$399:$J$5835,$C25,ScoreImport!$L$399:$L$5835,"&gt;"&amp;0)</f>
        <v>43</v>
      </c>
      <c r="M25" s="32">
        <f t="shared" si="2"/>
        <v>0.43421052631578949</v>
      </c>
      <c r="N25" s="32"/>
      <c r="O25" t="s">
        <v>3327</v>
      </c>
      <c r="P25" t="str">
        <f>IFERROR(INDEX(Overview!$A$3:$B$32,MATCH(R25,Overview!$B$3:$B$32,0),1),"")</f>
        <v/>
      </c>
      <c r="Q25" t="str">
        <f t="shared" si="3"/>
        <v/>
      </c>
      <c r="R25" t="str">
        <f>IF(Bet!C26=0,"",Bet!C26)</f>
        <v/>
      </c>
      <c r="S25" t="str">
        <f t="shared" si="4"/>
        <v/>
      </c>
      <c r="T25" t="str">
        <f t="shared" si="5"/>
        <v/>
      </c>
      <c r="U25" t="str">
        <f t="shared" si="0"/>
        <v/>
      </c>
      <c r="Z25" t="str">
        <f>IF(ISEVEN(ROW()),COUNTIFS(ScoreImport!$H$399:$H$5835,AA25,ScoreImport!$J$399:$J$5835,AD25)+COUNTIFS(ScoreImport!$H$399:$H$5835,AD25,ScoreImport!$J$399:$J$5835,AA25),"")</f>
        <v/>
      </c>
      <c r="AA25" t="str">
        <f t="shared" si="6"/>
        <v/>
      </c>
      <c r="AB25" s="60" t="str">
        <f>IF(ISEVEN(ROW()),(SUMIFS(ScoreImport!$I$399:$I$5835,ScoreImport!$H$399:$H$5835,AA25,ScoreImport!$J$399:$J$5835,AD25)+SUMIFS(ScoreImport!$K$399:$K$5835,ScoreImport!$J$399:$J$5835,AA25,ScoreImport!$H$399:$H$5835,AD25))/(COUNTIFS(ScoreImport!$H$399:$H$5835,AA25,ScoreImport!$J$399:$J$5835,AD25)+COUNTIFS(ScoreImport!$H$399:$H$5835,AD25,ScoreImport!$J$399:$J$5835,AA25)),"")</f>
        <v/>
      </c>
      <c r="AC25" s="60" t="str">
        <f t="array" ref="AC25">IFERROR(SQRT(_xlfn.VAR.P(IF(ScoreImport!$H$399:$H$5835=$AA25,IF(ScoreImport!$J$399:$J$5835=$AD25,ScoreImport!$I$399:$I$5835)))+_xlfn.VAR.P(IF(ScoreImport!$H$399:$H$5835=$AD25,IF(ScoreImport!$J$399:$J$5835=$AA25,ScoreImport!$K$399:$K$5835)))),"")</f>
        <v/>
      </c>
      <c r="AD25" t="str">
        <f t="shared" si="7"/>
        <v/>
      </c>
      <c r="AE25" t="str">
        <f>IF(ISEVEN(ROW()),(SUMIFS(ScoreImport!$I$399:$I$5835,ScoreImport!$H$399:$H$5835,AD25,ScoreImport!$J$399:$J$5835,AA25)+SUMIFS(ScoreImport!$K$399:$K$5835,ScoreImport!$J$399:$J$5835,AD25,ScoreImport!$H$399:$H$5835,AA25))/(COUNTIFS(ScoreImport!$H$399:$H$5835,AA25,ScoreImport!$J$399:$J$5835,AD25)+COUNTIFS(ScoreImport!$H$399:$H$5835,AD25,ScoreImport!$J$399:$J$5835,AA25)),"")</f>
        <v/>
      </c>
      <c r="AF25" t="str">
        <f t="array" ref="AF25">IFERROR(SQRT(_xlfn.VAR.P(IF(ScoreImport!$H$399:$H$5835=$AA25,IF(ScoreImport!$J$399:$J$5835=$AD25,ScoreImport!$K$399:$K$5835)))+_xlfn.VAR.P(IF(ScoreImport!$H$399:$H$5835=$AD25,IF(ScoreImport!$J$399:$J$5835=$AA25,ScoreImport!$I$399:$I$5835)))),"")</f>
        <v/>
      </c>
    </row>
    <row r="26" spans="2:43" x14ac:dyDescent="0.25">
      <c r="B26" t="s">
        <v>1</v>
      </c>
      <c r="C26" t="s">
        <v>3361</v>
      </c>
      <c r="D26">
        <f>AVERAGEIF(ScoreImport!$H$399:$H$5835,$C26,ScoreImport!$I$399:$I$5835)</f>
        <v>4.7721518987341769</v>
      </c>
      <c r="E26">
        <f t="array" ref="E26">_xlfn.STDEV.P(IF(ScoreImport!$H$399:$H$5835=$C26,ScoreImport!$I$399:$I$5835))</f>
        <v>3.2799713146654255</v>
      </c>
      <c r="F26">
        <f>AVERAGEIF(ScoreImport!$J$399:$J$5835,$C26,ScoreImport!$K$399:$K$5835)</f>
        <v>4.7236842105263159</v>
      </c>
      <c r="G26">
        <f t="array" ref="G26">_xlfn.STDEV.P(IF(ScoreImport!$J$399:$J$5835=$C26,ScoreImport!$K$399:$K$5835))</f>
        <v>3.2509054779542264</v>
      </c>
      <c r="H26">
        <f>COUNTIFS(ScoreImport!$H$399:$H$5835,$C26,ScoreImport!$L$399:$L$5835,"&gt;"&amp;0)</f>
        <v>31</v>
      </c>
      <c r="I26">
        <f>COUNTIFS(ScoreImport!$H$399:$H$5835,$C26,ScoreImport!$L$399:$L$5835,"&lt;"&amp;0)</f>
        <v>48</v>
      </c>
      <c r="J26" s="32">
        <f t="shared" si="1"/>
        <v>0.39240506329113922</v>
      </c>
      <c r="K26">
        <f>COUNTIFS(ScoreImport!$J$399:$J$5835,$C26,ScoreImport!$L$399:$L$5835,"&lt;"&amp;0)</f>
        <v>33</v>
      </c>
      <c r="L26">
        <f>COUNTIFS(ScoreImport!$J$399:$J$5835,$C26,ScoreImport!$L$399:$L$5835,"&gt;"&amp;0)</f>
        <v>43</v>
      </c>
      <c r="M26" s="32">
        <f t="shared" si="2"/>
        <v>0.43421052631578949</v>
      </c>
      <c r="N26" s="32"/>
      <c r="O26" t="s">
        <v>3328</v>
      </c>
      <c r="P26" t="str">
        <f>IFERROR(INDEX(Overview!$A$3:$B$32,MATCH(R26,Overview!$B$3:$B$32,0),1),"")</f>
        <v/>
      </c>
      <c r="Q26" t="str">
        <f t="shared" si="3"/>
        <v/>
      </c>
      <c r="R26" t="str">
        <f>IF(Bet!C27=0,"",Bet!C27)</f>
        <v/>
      </c>
      <c r="S26" t="str">
        <f t="shared" si="4"/>
        <v/>
      </c>
      <c r="T26" t="str">
        <f t="shared" si="5"/>
        <v/>
      </c>
      <c r="U26" t="str">
        <f t="shared" si="0"/>
        <v/>
      </c>
      <c r="Z26">
        <f>IF(ISEVEN(ROW()),COUNTIFS(ScoreImport!$H$399:$H$5835,AA26,ScoreImport!$J$399:$J$5835,AD26)+COUNTIFS(ScoreImport!$H$399:$H$5835,AD26,ScoreImport!$J$399:$J$5835,AA26),"")</f>
        <v>6148</v>
      </c>
      <c r="AA26" t="str">
        <f t="shared" si="6"/>
        <v/>
      </c>
      <c r="AB26" s="60">
        <f>IF(ISEVEN(ROW()),(SUMIFS(ScoreImport!$I$399:$I$5835,ScoreImport!$H$399:$H$5835,AA26,ScoreImport!$J$399:$J$5835,AD26)+SUMIFS(ScoreImport!$K$399:$K$5835,ScoreImport!$J$399:$J$5835,AA26,ScoreImport!$H$399:$H$5835,AD26))/(COUNTIFS(ScoreImport!$H$399:$H$5835,AA26,ScoreImport!$J$399:$J$5835,AD26)+COUNTIFS(ScoreImport!$H$399:$H$5835,AD26,ScoreImport!$J$399:$J$5835,AA26)),"")</f>
        <v>0</v>
      </c>
      <c r="AC26" s="60" t="str">
        <f t="array" ref="AC26">IFERROR(SQRT(_xlfn.VAR.P(IF(ScoreImport!$H$399:$H$5835=$AA26,IF(ScoreImport!$J$399:$J$5835=$AD26,ScoreImport!$I$399:$I$5835)))+_xlfn.VAR.P(IF(ScoreImport!$H$399:$H$5835=$AD26,IF(ScoreImport!$J$399:$J$5835=$AA26,ScoreImport!$K$399:$K$5835)))),"")</f>
        <v/>
      </c>
      <c r="AD26" t="str">
        <f t="shared" si="7"/>
        <v/>
      </c>
      <c r="AE26">
        <f>IF(ISEVEN(ROW()),(SUMIFS(ScoreImport!$I$399:$I$5835,ScoreImport!$H$399:$H$5835,AD26,ScoreImport!$J$399:$J$5835,AA26)+SUMIFS(ScoreImport!$K$399:$K$5835,ScoreImport!$J$399:$J$5835,AD26,ScoreImport!$H$399:$H$5835,AA26))/(COUNTIFS(ScoreImport!$H$399:$H$5835,AA26,ScoreImport!$J$399:$J$5835,AD26)+COUNTIFS(ScoreImport!$H$399:$H$5835,AD26,ScoreImport!$J$399:$J$5835,AA26)),"")</f>
        <v>0</v>
      </c>
      <c r="AF26" t="str">
        <f t="array" ref="AF26">IFERROR(SQRT(_xlfn.VAR.P(IF(ScoreImport!$H$399:$H$5835=$AA26,IF(ScoreImport!$J$399:$J$5835=$AD26,ScoreImport!$K$399:$K$5835)))+_xlfn.VAR.P(IF(ScoreImport!$H$399:$H$5835=$AD26,IF(ScoreImport!$J$399:$J$5835=$AA26,ScoreImport!$I$399:$I$5835)))),"")</f>
        <v/>
      </c>
    </row>
    <row r="27" spans="2:43" x14ac:dyDescent="0.25">
      <c r="B27" t="s">
        <v>24</v>
      </c>
      <c r="C27" t="s">
        <v>3341</v>
      </c>
      <c r="D27">
        <f>AVERAGEIF(ScoreImport!$H$399:$H$5835,$C27,ScoreImport!$I$399:$I$5835)</f>
        <v>4.6419753086419755</v>
      </c>
      <c r="E27">
        <f t="array" ref="E27">_xlfn.STDEV.P(IF(ScoreImport!$H$399:$H$5835=$C27,ScoreImport!$I$399:$I$5835))</f>
        <v>3.3749573091961489</v>
      </c>
      <c r="F27">
        <f>AVERAGEIF(ScoreImport!$J$399:$J$5835,$C27,ScoreImport!$K$399:$K$5835)</f>
        <v>4.7564102564102564</v>
      </c>
      <c r="G27">
        <f t="array" ref="G27">_xlfn.STDEV.P(IF(ScoreImport!$J$399:$J$5835=$C27,ScoreImport!$K$399:$K$5835))</f>
        <v>3.3289171929988775</v>
      </c>
      <c r="H27">
        <f>COUNTIFS(ScoreImport!$H$399:$H$5835,$C27,ScoreImport!$L$399:$L$5835,"&gt;"&amp;0)</f>
        <v>41</v>
      </c>
      <c r="I27">
        <f>COUNTIFS(ScoreImport!$H$399:$H$5835,$C27,ScoreImport!$L$399:$L$5835,"&lt;"&amp;0)</f>
        <v>40</v>
      </c>
      <c r="J27" s="32">
        <f t="shared" si="1"/>
        <v>0.50617283950617287</v>
      </c>
      <c r="K27">
        <f>COUNTIFS(ScoreImport!$J$399:$J$5835,$C27,ScoreImport!$L$399:$L$5835,"&lt;"&amp;0)</f>
        <v>49</v>
      </c>
      <c r="L27">
        <f>COUNTIFS(ScoreImport!$J$399:$J$5835,$C27,ScoreImport!$L$399:$L$5835,"&gt;"&amp;0)</f>
        <v>29</v>
      </c>
      <c r="M27" s="32">
        <f t="shared" si="2"/>
        <v>0.62820512820512819</v>
      </c>
      <c r="N27" s="32"/>
      <c r="O27" t="s">
        <v>3327</v>
      </c>
      <c r="P27" t="str">
        <f>IFERROR(INDEX(Overview!$A$3:$B$32,MATCH(R27,Overview!$B$3:$B$32,0),1),"")</f>
        <v/>
      </c>
      <c r="Q27" t="str">
        <f t="shared" si="3"/>
        <v/>
      </c>
      <c r="R27" t="str">
        <f>IF(Bet!C28=0,"",Bet!C28)</f>
        <v/>
      </c>
      <c r="S27" t="str">
        <f t="shared" si="4"/>
        <v/>
      </c>
      <c r="T27" t="str">
        <f t="shared" si="5"/>
        <v/>
      </c>
      <c r="U27" t="str">
        <f t="shared" si="0"/>
        <v/>
      </c>
      <c r="Z27" t="str">
        <f>IF(ISEVEN(ROW()),COUNTIFS(ScoreImport!$H$399:$H$5835,AA27,ScoreImport!$J$399:$J$5835,AD27)+COUNTIFS(ScoreImport!$H$399:$H$5835,AD27,ScoreImport!$J$399:$J$5835,AA27),"")</f>
        <v/>
      </c>
      <c r="AA27" t="str">
        <f t="shared" si="6"/>
        <v/>
      </c>
      <c r="AB27" s="60" t="str">
        <f>IF(ISEVEN(ROW()),(SUMIFS(ScoreImport!$I$399:$I$5835,ScoreImport!$H$399:$H$5835,AA27,ScoreImport!$J$399:$J$5835,AD27)+SUMIFS(ScoreImport!$K$399:$K$5835,ScoreImport!$J$399:$J$5835,AA27,ScoreImport!$H$399:$H$5835,AD27))/(COUNTIFS(ScoreImport!$H$399:$H$5835,AA27,ScoreImport!$J$399:$J$5835,AD27)+COUNTIFS(ScoreImport!$H$399:$H$5835,AD27,ScoreImport!$J$399:$J$5835,AA27)),"")</f>
        <v/>
      </c>
      <c r="AC27" s="60" t="str">
        <f t="array" ref="AC27">IFERROR(SQRT(_xlfn.VAR.P(IF(ScoreImport!$H$399:$H$5835=$AA27,IF(ScoreImport!$J$399:$J$5835=$AD27,ScoreImport!$I$399:$I$5835)))+_xlfn.VAR.P(IF(ScoreImport!$H$399:$H$5835=$AD27,IF(ScoreImport!$J$399:$J$5835=$AA27,ScoreImport!$K$399:$K$5835)))),"")</f>
        <v/>
      </c>
      <c r="AD27" t="str">
        <f t="shared" si="7"/>
        <v/>
      </c>
      <c r="AE27" t="str">
        <f>IF(ISEVEN(ROW()),(SUMIFS(ScoreImport!$I$399:$I$5835,ScoreImport!$H$399:$H$5835,AD27,ScoreImport!$J$399:$J$5835,AA27)+SUMIFS(ScoreImport!$K$399:$K$5835,ScoreImport!$J$399:$J$5835,AD27,ScoreImport!$H$399:$H$5835,AA27))/(COUNTIFS(ScoreImport!$H$399:$H$5835,AA27,ScoreImport!$J$399:$J$5835,AD27)+COUNTIFS(ScoreImport!$H$399:$H$5835,AD27,ScoreImport!$J$399:$J$5835,AA27)),"")</f>
        <v/>
      </c>
      <c r="AF27" t="str">
        <f t="array" ref="AF27">IFERROR(SQRT(_xlfn.VAR.P(IF(ScoreImport!$H$399:$H$5835=$AA27,IF(ScoreImport!$J$399:$J$5835=$AD27,ScoreImport!$K$399:$K$5835)))+_xlfn.VAR.P(IF(ScoreImport!$H$399:$H$5835=$AD27,IF(ScoreImport!$J$399:$J$5835=$AA27,ScoreImport!$I$399:$I$5835)))),"")</f>
        <v/>
      </c>
    </row>
    <row r="28" spans="2:43" x14ac:dyDescent="0.25">
      <c r="B28" t="s">
        <v>23</v>
      </c>
      <c r="C28" t="s">
        <v>3364</v>
      </c>
      <c r="D28">
        <f>AVERAGEIF(ScoreImport!$H$399:$H$5835,$C28,ScoreImport!$I$399:$I$5835)</f>
        <v>5.0384615384615383</v>
      </c>
      <c r="E28">
        <f t="array" ref="E28">_xlfn.STDEV.P(IF(ScoreImport!$H$399:$H$5835=$C28,ScoreImport!$I$399:$I$5835))</f>
        <v>3.1923076923076921</v>
      </c>
      <c r="F28">
        <f>AVERAGEIF(ScoreImport!$J$399:$J$5835,$C28,ScoreImport!$K$399:$K$5835)</f>
        <v>4.5250000000000004</v>
      </c>
      <c r="G28">
        <f t="array" ref="G28">_xlfn.STDEV.P(IF(ScoreImport!$J$399:$J$5835=$C28,ScoreImport!$K$399:$K$5835))</f>
        <v>2.6123504741898627</v>
      </c>
      <c r="H28">
        <f>COUNTIFS(ScoreImport!$H$399:$H$5835,$C28,ScoreImport!$L$399:$L$5835,"&gt;"&amp;0)</f>
        <v>47</v>
      </c>
      <c r="I28">
        <f>COUNTIFS(ScoreImport!$H$399:$H$5835,$C28,ScoreImport!$L$399:$L$5835,"&lt;"&amp;0)</f>
        <v>31</v>
      </c>
      <c r="J28" s="32">
        <f t="shared" si="1"/>
        <v>0.60256410256410253</v>
      </c>
      <c r="K28">
        <f>COUNTIFS(ScoreImport!$J$399:$J$5835,$C28,ScoreImport!$L$399:$L$5835,"&lt;"&amp;0)</f>
        <v>47</v>
      </c>
      <c r="L28">
        <f>COUNTIFS(ScoreImport!$J$399:$J$5835,$C28,ScoreImport!$L$399:$L$5835,"&gt;"&amp;0)</f>
        <v>33</v>
      </c>
      <c r="M28" s="32">
        <f t="shared" si="2"/>
        <v>0.58750000000000002</v>
      </c>
      <c r="N28" s="32"/>
      <c r="O28" t="s">
        <v>3328</v>
      </c>
      <c r="P28" t="str">
        <f>IFERROR(INDEX(Overview!$A$3:$B$32,MATCH(R28,Overview!$B$3:$B$32,0),1),"")</f>
        <v/>
      </c>
      <c r="Q28" t="str">
        <f t="shared" si="3"/>
        <v/>
      </c>
      <c r="R28" t="str">
        <f>IF(Bet!C29=0,"",Bet!C29)</f>
        <v/>
      </c>
      <c r="S28" t="str">
        <f t="shared" si="4"/>
        <v/>
      </c>
      <c r="T28" t="str">
        <f t="shared" si="5"/>
        <v/>
      </c>
      <c r="U28" t="str">
        <f t="shared" si="0"/>
        <v/>
      </c>
      <c r="Z28">
        <f>IF(ISEVEN(ROW()),COUNTIFS(ScoreImport!$H$399:$H$5835,AA28,ScoreImport!$J$399:$J$5835,AD28)+COUNTIFS(ScoreImport!$H$399:$H$5835,AD28,ScoreImport!$J$399:$J$5835,AA28),"")</f>
        <v>6148</v>
      </c>
      <c r="AA28" t="str">
        <f t="shared" si="6"/>
        <v/>
      </c>
      <c r="AB28" s="60">
        <f>IF(ISEVEN(ROW()),(SUMIFS(ScoreImport!$I$399:$I$5835,ScoreImport!$H$399:$H$5835,AA28,ScoreImport!$J$399:$J$5835,AD28)+SUMIFS(ScoreImport!$K$399:$K$5835,ScoreImport!$J$399:$J$5835,AA28,ScoreImport!$H$399:$H$5835,AD28))/(COUNTIFS(ScoreImport!$H$399:$H$5835,AA28,ScoreImport!$J$399:$J$5835,AD28)+COUNTIFS(ScoreImport!$H$399:$H$5835,AD28,ScoreImport!$J$399:$J$5835,AA28)),"")</f>
        <v>0</v>
      </c>
      <c r="AC28" s="60" t="str">
        <f t="array" ref="AC28">IFERROR(SQRT(_xlfn.VAR.P(IF(ScoreImport!$H$399:$H$5835=$AA28,IF(ScoreImport!$J$399:$J$5835=$AD28,ScoreImport!$I$399:$I$5835)))+_xlfn.VAR.P(IF(ScoreImport!$H$399:$H$5835=$AD28,IF(ScoreImport!$J$399:$J$5835=$AA28,ScoreImport!$K$399:$K$5835)))),"")</f>
        <v/>
      </c>
      <c r="AD28" t="str">
        <f t="shared" si="7"/>
        <v/>
      </c>
      <c r="AE28">
        <f>IF(ISEVEN(ROW()),(SUMIFS(ScoreImport!$I$399:$I$5835,ScoreImport!$H$399:$H$5835,AD28,ScoreImport!$J$399:$J$5835,AA28)+SUMIFS(ScoreImport!$K$399:$K$5835,ScoreImport!$J$399:$J$5835,AD28,ScoreImport!$H$399:$H$5835,AA28))/(COUNTIFS(ScoreImport!$H$399:$H$5835,AA28,ScoreImport!$J$399:$J$5835,AD28)+COUNTIFS(ScoreImport!$H$399:$H$5835,AD28,ScoreImport!$J$399:$J$5835,AA28)),"")</f>
        <v>0</v>
      </c>
      <c r="AF28" t="str">
        <f t="array" ref="AF28">IFERROR(SQRT(_xlfn.VAR.P(IF(ScoreImport!$H$399:$H$5835=$AA28,IF(ScoreImport!$J$399:$J$5835=$AD28,ScoreImport!$K$399:$K$5835)))+_xlfn.VAR.P(IF(ScoreImport!$H$399:$H$5835=$AD28,IF(ScoreImport!$J$399:$J$5835=$AA28,ScoreImport!$I$399:$I$5835)))),"")</f>
        <v/>
      </c>
    </row>
    <row r="29" spans="2:43" x14ac:dyDescent="0.25">
      <c r="B29" t="s">
        <v>19</v>
      </c>
      <c r="C29" t="s">
        <v>3355</v>
      </c>
      <c r="D29">
        <f>AVERAGEIF(ScoreImport!$H$399:$H$5835,$C29,ScoreImport!$I$399:$I$5835)</f>
        <v>4.3950617283950617</v>
      </c>
      <c r="E29">
        <f t="array" ref="E29">_xlfn.STDEV.P(IF(ScoreImport!$H$399:$H$5835=$C29,ScoreImport!$I$399:$I$5835))</f>
        <v>3.4126815507105221</v>
      </c>
      <c r="F29">
        <f>AVERAGEIF(ScoreImport!$J$399:$J$5835,$C29,ScoreImport!$K$399:$K$5835)</f>
        <v>5.5526315789473681</v>
      </c>
      <c r="G29">
        <f t="array" ref="G29">_xlfn.STDEV.P(IF(ScoreImport!$J$399:$J$5835=$C29,ScoreImport!$K$399:$K$5835))</f>
        <v>2.8580207396862001</v>
      </c>
      <c r="H29">
        <f>COUNTIFS(ScoreImport!$H$399:$H$5835,$C29,ScoreImport!$L$399:$L$5835,"&gt;"&amp;0)</f>
        <v>33</v>
      </c>
      <c r="I29">
        <f>COUNTIFS(ScoreImport!$H$399:$H$5835,$C29,ScoreImport!$L$399:$L$5835,"&lt;"&amp;0)</f>
        <v>48</v>
      </c>
      <c r="J29" s="32">
        <f t="shared" si="1"/>
        <v>0.40740740740740738</v>
      </c>
      <c r="K29">
        <f>COUNTIFS(ScoreImport!$J$399:$J$5835,$C29,ScoreImport!$L$399:$L$5835,"&lt;"&amp;0)</f>
        <v>42</v>
      </c>
      <c r="L29">
        <f>COUNTIFS(ScoreImport!$J$399:$J$5835,$C29,ScoreImport!$L$399:$L$5835,"&gt;"&amp;0)</f>
        <v>34</v>
      </c>
      <c r="M29" s="32">
        <f t="shared" si="2"/>
        <v>0.55263157894736847</v>
      </c>
      <c r="N29" s="32"/>
      <c r="O29" t="s">
        <v>3327</v>
      </c>
      <c r="P29" t="str">
        <f>IFERROR(INDEX(Overview!$A$3:$B$32,MATCH(R29,Overview!$B$3:$B$32,0),1),"")</f>
        <v/>
      </c>
      <c r="Q29" t="str">
        <f t="shared" si="3"/>
        <v/>
      </c>
      <c r="R29" t="str">
        <f>IF(Bet!C30=0,"",Bet!C30)</f>
        <v/>
      </c>
      <c r="S29" t="str">
        <f t="shared" si="4"/>
        <v/>
      </c>
      <c r="T29" t="str">
        <f t="shared" si="5"/>
        <v/>
      </c>
      <c r="U29" t="str">
        <f t="shared" si="0"/>
        <v/>
      </c>
      <c r="Z29" t="str">
        <f>IF(ISEVEN(ROW()),COUNTIFS(ScoreImport!$H$399:$H$5835,AA29,ScoreImport!$J$399:$J$5835,AD29)+COUNTIFS(ScoreImport!$H$399:$H$5835,AD29,ScoreImport!$J$399:$J$5835,AA29),"")</f>
        <v/>
      </c>
      <c r="AA29" t="str">
        <f t="shared" si="6"/>
        <v/>
      </c>
      <c r="AB29" s="60" t="str">
        <f>IF(ISEVEN(ROW()),(SUMIFS(ScoreImport!$I$399:$I$5835,ScoreImport!$H$399:$H$5835,AA29,ScoreImport!$J$399:$J$5835,AD29)+SUMIFS(ScoreImport!$K$399:$K$5835,ScoreImport!$J$399:$J$5835,AA29,ScoreImport!$H$399:$H$5835,AD29))/(COUNTIFS(ScoreImport!$H$399:$H$5835,AA29,ScoreImport!$J$399:$J$5835,AD29)+COUNTIFS(ScoreImport!$H$399:$H$5835,AD29,ScoreImport!$J$399:$J$5835,AA29)),"")</f>
        <v/>
      </c>
      <c r="AC29" s="60" t="str">
        <f t="array" ref="AC29">IFERROR(SQRT(_xlfn.VAR.P(IF(ScoreImport!$H$399:$H$5835=$AA29,IF(ScoreImport!$J$399:$J$5835=$AD29,ScoreImport!$I$399:$I$5835)))+_xlfn.VAR.P(IF(ScoreImport!$H$399:$H$5835=$AD29,IF(ScoreImport!$J$399:$J$5835=$AA29,ScoreImport!$K$399:$K$5835)))),"")</f>
        <v/>
      </c>
      <c r="AD29" t="str">
        <f t="shared" si="7"/>
        <v/>
      </c>
      <c r="AE29" t="str">
        <f>IF(ISEVEN(ROW()),(SUMIFS(ScoreImport!$I$399:$I$5835,ScoreImport!$H$399:$H$5835,AD29,ScoreImport!$J$399:$J$5835,AA29)+SUMIFS(ScoreImport!$K$399:$K$5835,ScoreImport!$J$399:$J$5835,AD29,ScoreImport!$H$399:$H$5835,AA29))/(COUNTIFS(ScoreImport!$H$399:$H$5835,AA29,ScoreImport!$J$399:$J$5835,AD29)+COUNTIFS(ScoreImport!$H$399:$H$5835,AD29,ScoreImport!$J$399:$J$5835,AA29)),"")</f>
        <v/>
      </c>
      <c r="AF29" t="str">
        <f t="array" ref="AF29">IFERROR(SQRT(_xlfn.VAR.P(IF(ScoreImport!$H$399:$H$5835=$AA29,IF(ScoreImport!$J$399:$J$5835=$AD29,ScoreImport!$K$399:$K$5835)))+_xlfn.VAR.P(IF(ScoreImport!$H$399:$H$5835=$AD29,IF(ScoreImport!$J$399:$J$5835=$AA29,ScoreImport!$I$399:$I$5835)))),"")</f>
        <v/>
      </c>
    </row>
    <row r="30" spans="2:43" x14ac:dyDescent="0.25">
      <c r="B30" t="s">
        <v>18</v>
      </c>
      <c r="C30" t="s">
        <v>3357</v>
      </c>
      <c r="D30">
        <f>AVERAGEIF(ScoreImport!$H$399:$H$5835,$C30,ScoreImport!$I$399:$I$5835)</f>
        <v>4.5308641975308639</v>
      </c>
      <c r="E30">
        <f t="array" ref="E30">_xlfn.STDEV.P(IF(ScoreImport!$H$399:$H$5835=$C30,ScoreImport!$I$399:$I$5835))</f>
        <v>3.1193795669639592</v>
      </c>
      <c r="F30">
        <f>AVERAGEIF(ScoreImport!$J$399:$J$5835,$C30,ScoreImport!$K$399:$K$5835)</f>
        <v>4.4415584415584419</v>
      </c>
      <c r="G30">
        <f t="array" ref="G30">_xlfn.STDEV.P(IF(ScoreImport!$J$399:$J$5835=$C30,ScoreImport!$K$399:$K$5835))</f>
        <v>3.3709742955308988</v>
      </c>
      <c r="H30">
        <f>COUNTIFS(ScoreImport!$H$399:$H$5835,$C30,ScoreImport!$L$399:$L$5835,"&gt;"&amp;0)</f>
        <v>32</v>
      </c>
      <c r="I30">
        <f>COUNTIFS(ScoreImport!$H$399:$H$5835,$C30,ScoreImport!$L$399:$L$5835,"&lt;"&amp;0)</f>
        <v>49</v>
      </c>
      <c r="J30" s="32">
        <f t="shared" si="1"/>
        <v>0.39506172839506171</v>
      </c>
      <c r="K30">
        <f>COUNTIFS(ScoreImport!$J$399:$J$5835,$C30,ScoreImport!$L$399:$L$5835,"&lt;"&amp;0)</f>
        <v>32</v>
      </c>
      <c r="L30">
        <f>COUNTIFS(ScoreImport!$J$399:$J$5835,$C30,ScoreImport!$L$399:$L$5835,"&gt;"&amp;0)</f>
        <v>45</v>
      </c>
      <c r="M30" s="32">
        <f t="shared" si="2"/>
        <v>0.41558441558441561</v>
      </c>
      <c r="N30" s="32"/>
      <c r="O30" t="s">
        <v>3328</v>
      </c>
      <c r="P30" t="str">
        <f>IFERROR(INDEX(Overview!$A$3:$B$32,MATCH(R30,Overview!$B$3:$B$32,0),1),"")</f>
        <v/>
      </c>
      <c r="Q30" t="str">
        <f t="shared" si="3"/>
        <v/>
      </c>
      <c r="R30" t="str">
        <f>IF(Bet!C31=0,"",Bet!C31)</f>
        <v/>
      </c>
      <c r="S30" t="str">
        <f t="shared" si="4"/>
        <v/>
      </c>
      <c r="T30" t="str">
        <f t="shared" si="5"/>
        <v/>
      </c>
      <c r="U30" t="str">
        <f t="shared" si="0"/>
        <v/>
      </c>
      <c r="Z30">
        <f>IF(ISEVEN(ROW()),COUNTIFS(ScoreImport!$H$399:$H$5835,AA30,ScoreImport!$J$399:$J$5835,AD30)+COUNTIFS(ScoreImport!$H$399:$H$5835,AD30,ScoreImport!$J$399:$J$5835,AA30),"")</f>
        <v>6148</v>
      </c>
      <c r="AA30" t="str">
        <f t="shared" si="6"/>
        <v/>
      </c>
      <c r="AB30" s="60">
        <f>IF(ISEVEN(ROW()),(SUMIFS(ScoreImport!$I$399:$I$5835,ScoreImport!$H$399:$H$5835,AA30,ScoreImport!$J$399:$J$5835,AD30)+SUMIFS(ScoreImport!$K$399:$K$5835,ScoreImport!$J$399:$J$5835,AA30,ScoreImport!$H$399:$H$5835,AD30))/(COUNTIFS(ScoreImport!$H$399:$H$5835,AA30,ScoreImport!$J$399:$J$5835,AD30)+COUNTIFS(ScoreImport!$H$399:$H$5835,AD30,ScoreImport!$J$399:$J$5835,AA30)),"")</f>
        <v>0</v>
      </c>
      <c r="AC30" s="60" t="str">
        <f t="array" ref="AC30">IFERROR(SQRT(_xlfn.VAR.P(IF(ScoreImport!$H$399:$H$5835=$AA30,IF(ScoreImport!$J$399:$J$5835=$AD30,ScoreImport!$I$399:$I$5835)))+_xlfn.VAR.P(IF(ScoreImport!$H$399:$H$5835=$AD30,IF(ScoreImport!$J$399:$J$5835=$AA30,ScoreImport!$K$399:$K$5835)))),"")</f>
        <v/>
      </c>
      <c r="AD30" t="str">
        <f t="shared" si="7"/>
        <v/>
      </c>
      <c r="AE30">
        <f>IF(ISEVEN(ROW()),(SUMIFS(ScoreImport!$I$399:$I$5835,ScoreImport!$H$399:$H$5835,AD30,ScoreImport!$J$399:$J$5835,AA30)+SUMIFS(ScoreImport!$K$399:$K$5835,ScoreImport!$J$399:$J$5835,AD30,ScoreImport!$H$399:$H$5835,AA30))/(COUNTIFS(ScoreImport!$H$399:$H$5835,AA30,ScoreImport!$J$399:$J$5835,AD30)+COUNTIFS(ScoreImport!$H$399:$H$5835,AD30,ScoreImport!$J$399:$J$5835,AA30)),"")</f>
        <v>0</v>
      </c>
      <c r="AF30" t="str">
        <f t="array" ref="AF30">IFERROR(SQRT(_xlfn.VAR.P(IF(ScoreImport!$H$399:$H$5835=$AA30,IF(ScoreImport!$J$399:$J$5835=$AD30,ScoreImport!$K$399:$K$5835)))+_xlfn.VAR.P(IF(ScoreImport!$H$399:$H$5835=$AD30,IF(ScoreImport!$J$399:$J$5835=$AA30,ScoreImport!$I$399:$I$5835)))),"")</f>
        <v/>
      </c>
    </row>
    <row r="31" spans="2:43" x14ac:dyDescent="0.25">
      <c r="B31" t="s">
        <v>22</v>
      </c>
      <c r="C31" t="s">
        <v>3359</v>
      </c>
      <c r="D31">
        <f>AVERAGEIF(ScoreImport!$H$399:$H$5835,$C31,ScoreImport!$I$399:$I$5835)</f>
        <v>5.1851851851851851</v>
      </c>
      <c r="E31">
        <f t="array" ref="E31">_xlfn.STDEV.P(IF(ScoreImport!$H$399:$H$5835=$C31,ScoreImport!$I$399:$I$5835))</f>
        <v>3.4106264987322481</v>
      </c>
      <c r="F31">
        <f>AVERAGEIF(ScoreImport!$J$399:$J$5835,$C31,ScoreImport!$K$399:$K$5835)</f>
        <v>5.4736842105263159</v>
      </c>
      <c r="G31">
        <f t="array" ref="G31">_xlfn.STDEV.P(IF(ScoreImport!$J$399:$J$5835=$C31,ScoreImport!$K$399:$K$5835))</f>
        <v>3.6902206616753905</v>
      </c>
      <c r="H31">
        <f>COUNTIFS(ScoreImport!$H$399:$H$5835,$C31,ScoreImport!$L$399:$L$5835,"&gt;"&amp;0)</f>
        <v>43</v>
      </c>
      <c r="I31">
        <f>COUNTIFS(ScoreImport!$H$399:$H$5835,$C31,ScoreImport!$L$399:$L$5835,"&lt;"&amp;0)</f>
        <v>38</v>
      </c>
      <c r="J31" s="32">
        <f t="shared" si="1"/>
        <v>0.53086419753086422</v>
      </c>
      <c r="K31">
        <f>COUNTIFS(ScoreImport!$J$399:$J$5835,$C31,ScoreImport!$L$399:$L$5835,"&lt;"&amp;0)</f>
        <v>45</v>
      </c>
      <c r="L31">
        <f>COUNTIFS(ScoreImport!$J$399:$J$5835,$C31,ScoreImport!$L$399:$L$5835,"&gt;"&amp;0)</f>
        <v>31</v>
      </c>
      <c r="M31" s="32">
        <f t="shared" si="2"/>
        <v>0.59210526315789469</v>
      </c>
      <c r="N31" s="32"/>
      <c r="O31" t="s">
        <v>3327</v>
      </c>
      <c r="P31" t="str">
        <f>IFERROR(INDEX(Overview!$A$3:$B$32,MATCH(R31,Overview!$B$3:$B$32,0),1),"")</f>
        <v/>
      </c>
      <c r="Q31" t="str">
        <f t="shared" si="3"/>
        <v/>
      </c>
      <c r="R31" t="str">
        <f>IF(Bet!C32=0,"",Bet!C32)</f>
        <v/>
      </c>
      <c r="S31" t="str">
        <f t="shared" si="4"/>
        <v/>
      </c>
      <c r="T31" t="str">
        <f t="shared" si="5"/>
        <v/>
      </c>
      <c r="U31" t="str">
        <f t="shared" si="0"/>
        <v/>
      </c>
      <c r="Z31" t="str">
        <f>IF(ISEVEN(ROW()),COUNTIFS(ScoreImport!$H$399:$H$5835,AA31,ScoreImport!$J$399:$J$5835,AD31)+COUNTIFS(ScoreImport!$H$399:$H$5835,AD31,ScoreImport!$J$399:$J$5835,AA31),"")</f>
        <v/>
      </c>
      <c r="AA31" t="str">
        <f t="shared" si="6"/>
        <v/>
      </c>
      <c r="AB31" s="60" t="str">
        <f>IF(ISEVEN(ROW()),(SUMIFS(ScoreImport!$I$399:$I$5835,ScoreImport!$H$399:$H$5835,AA31,ScoreImport!$J$399:$J$5835,AD31)+SUMIFS(ScoreImport!$K$399:$K$5835,ScoreImport!$J$399:$J$5835,AA31,ScoreImport!$H$399:$H$5835,AD31))/(COUNTIFS(ScoreImport!$H$399:$H$5835,AA31,ScoreImport!$J$399:$J$5835,AD31)+COUNTIFS(ScoreImport!$H$399:$H$5835,AD31,ScoreImport!$J$399:$J$5835,AA31)),"")</f>
        <v/>
      </c>
      <c r="AC31" s="60" t="str">
        <f t="array" ref="AC31">IFERROR(SQRT(_xlfn.VAR.P(IF(ScoreImport!$H$399:$H$5835=$AA31,IF(ScoreImport!$J$399:$J$5835=$AD31,ScoreImport!$I$399:$I$5835)))+_xlfn.VAR.P(IF(ScoreImport!$H$399:$H$5835=$AD31,IF(ScoreImport!$J$399:$J$5835=$AA31,ScoreImport!$K$399:$K$5835)))),"")</f>
        <v/>
      </c>
      <c r="AD31" t="str">
        <f t="shared" si="7"/>
        <v/>
      </c>
      <c r="AE31" t="str">
        <f>IF(ISEVEN(ROW()),(SUMIFS(ScoreImport!$I$399:$I$5835,ScoreImport!$H$399:$H$5835,AD31,ScoreImport!$J$399:$J$5835,AA31)+SUMIFS(ScoreImport!$K$399:$K$5835,ScoreImport!$J$399:$J$5835,AD31,ScoreImport!$H$399:$H$5835,AA31))/(COUNTIFS(ScoreImport!$H$399:$H$5835,AA31,ScoreImport!$J$399:$J$5835,AD31)+COUNTIFS(ScoreImport!$H$399:$H$5835,AD31,ScoreImport!$J$399:$J$5835,AA31)),"")</f>
        <v/>
      </c>
      <c r="AF31" t="str">
        <f t="array" ref="AF31">IFERROR(SQRT(_xlfn.VAR.P(IF(ScoreImport!$H$399:$H$5835=$AA31,IF(ScoreImport!$J$399:$J$5835=$AD31,ScoreImport!$K$399:$K$5835)))+_xlfn.VAR.P(IF(ScoreImport!$H$399:$H$5835=$AD31,IF(ScoreImport!$J$399:$J$5835=$AA31,ScoreImport!$I$399:$I$5835)))),"")</f>
        <v/>
      </c>
    </row>
    <row r="32" spans="2:43" x14ac:dyDescent="0.25">
      <c r="J32" s="32"/>
      <c r="M32" s="32"/>
      <c r="N32" s="32"/>
      <c r="O32" t="s">
        <v>3327</v>
      </c>
      <c r="P32" t="str">
        <f>IFERROR(INDEX(Overview!$A$3:$B$32,MATCH(R32,Overview!$B$3:$B$32,0),1),"")</f>
        <v/>
      </c>
      <c r="Q32" t="str">
        <f t="shared" si="3"/>
        <v/>
      </c>
      <c r="R32" t="str">
        <f>IF(Bet!C33=0,"",Bet!C33)</f>
        <v/>
      </c>
      <c r="S32" t="str">
        <f t="shared" ref="S32:S33" si="8">IF(ISNUMBER(CODE(P32)),IFERROR(IF(ISEVEN(ROW()),AE32,AB31),IF(ISEVEN(ROW()),INDEX($B$2:$G$31,MATCH(P32,$B$2:$B$31,0),5),INDEX($B$2:$G$31,MATCH(P32,$B$2:$B$31,0),3))),"")</f>
        <v/>
      </c>
      <c r="T32" t="str">
        <f t="shared" ref="T32:T33" si="9">IF(ISNUMBER(CODE(P32)),IF(IF(ISEVEN(ROW()),AF32,AC31)&gt;1000,IF(ISEVEN(ROW()),INDEX($B$2:$G$31,MATCH(P32,$B$2:$B$31,0),6),INDEX($B$2:$G$31,MATCH(P32,$B$2:$B$31,0),4)),IF(ISEVEN(ROW()),AF32,AC31)),"")</f>
        <v/>
      </c>
      <c r="U32" t="str">
        <f t="shared" ref="U32:U33" si="10">IFERROR(IF(ISEVEN(ROW()),INDEX($B$2:$M$31,MATCH(P32,$B$2:$B$31,0),12),INDEX($B$2:$M$31,MATCH(P32,$B$2:$B$31,0),9)),"")</f>
        <v/>
      </c>
      <c r="Z32">
        <f>IF(ISEVEN(ROW()),COUNTIFS(ScoreImport!$H$399:$H$5835,AA32,ScoreImport!$J$399:$J$5835,AD32)+COUNTIFS(ScoreImport!$H$399:$H$5835,AD32,ScoreImport!$J$399:$J$5835,AA32),"")</f>
        <v>6148</v>
      </c>
      <c r="AA32" t="str">
        <f t="shared" ref="AA32:AA33" si="11">IF(ISEVEN(ROW()),Q33,"")</f>
        <v/>
      </c>
      <c r="AB32" s="60">
        <f>IF(ISEVEN(ROW()),(SUMIFS(ScoreImport!$I$399:$I$5835,ScoreImport!$H$399:$H$5835,AA32,ScoreImport!$J$399:$J$5835,AD32)+SUMIFS(ScoreImport!$K$399:$K$5835,ScoreImport!$J$399:$J$5835,AA32,ScoreImport!$H$399:$H$5835,AD32))/(COUNTIFS(ScoreImport!$H$399:$H$5835,AA32,ScoreImport!$J$399:$J$5835,AD32)+COUNTIFS(ScoreImport!$H$399:$H$5835,AD32,ScoreImport!$J$399:$J$5835,AA32)),"")</f>
        <v>0</v>
      </c>
      <c r="AC32" s="60" t="str">
        <f t="array" ref="AC32">IFERROR(SQRT(_xlfn.VAR.P(IF(ScoreImport!$H$399:$H$5835=$AA32,IF(ScoreImport!$J$399:$J$5835=$AD32,ScoreImport!$I$399:$I$5835)))+_xlfn.VAR.P(IF(ScoreImport!$H$399:$H$5835=$AD32,IF(ScoreImport!$J$399:$J$5835=$AA32,ScoreImport!$K$399:$K$5835)))),"")</f>
        <v/>
      </c>
      <c r="AD32" t="str">
        <f t="shared" ref="AD32:AD33" si="12">IF(ISEVEN(ROW()),Q32,"")</f>
        <v/>
      </c>
      <c r="AE32">
        <f>IF(ISEVEN(ROW()),(SUMIFS(ScoreImport!$I$399:$I$5835,ScoreImport!$H$399:$H$5835,AD32,ScoreImport!$J$399:$J$5835,AA32)+SUMIFS(ScoreImport!$K$399:$K$5835,ScoreImport!$J$399:$J$5835,AD32,ScoreImport!$H$399:$H$5835,AA32))/(COUNTIFS(ScoreImport!$H$399:$H$5835,AA32,ScoreImport!$J$399:$J$5835,AD32)+COUNTIFS(ScoreImport!$H$399:$H$5835,AD32,ScoreImport!$J$399:$J$5835,AA32)),"")</f>
        <v>0</v>
      </c>
      <c r="AF32" t="str">
        <f t="array" ref="AF32">IFERROR(SQRT(_xlfn.VAR.P(IF(ScoreImport!$H$399:$H$5835=$AA32,IF(ScoreImport!$J$399:$J$5835=$AD32,ScoreImport!$K$399:$K$5835)))+_xlfn.VAR.P(IF(ScoreImport!$H$399:$H$5835=$AD32,IF(ScoreImport!$J$399:$J$5835=$AA32,ScoreImport!$I$399:$I$5835)))),"")</f>
        <v/>
      </c>
      <c r="AG32" s="86"/>
      <c r="AH32" s="86"/>
      <c r="AI32" s="86"/>
      <c r="AJ32" s="86"/>
      <c r="AK32" s="86"/>
      <c r="AL32" s="86"/>
      <c r="AM32" s="86"/>
      <c r="AN32" s="86"/>
      <c r="AO32" s="86"/>
      <c r="AP32" s="86"/>
      <c r="AQ32" s="86"/>
    </row>
    <row r="33" spans="10:32" x14ac:dyDescent="0.25">
      <c r="J33" s="32"/>
      <c r="M33" s="32"/>
      <c r="N33" s="32"/>
      <c r="O33" t="s">
        <v>3327</v>
      </c>
      <c r="P33" t="str">
        <f>IFERROR(INDEX(Overview!$A$3:$B$32,MATCH(R33,Overview!$B$3:$B$32,0),1),"")</f>
        <v/>
      </c>
      <c r="Q33" t="str">
        <f t="shared" si="3"/>
        <v/>
      </c>
      <c r="R33" t="str">
        <f>IF(Bet!C34=0,"",Bet!C34)</f>
        <v/>
      </c>
      <c r="S33" t="str">
        <f t="shared" si="8"/>
        <v/>
      </c>
      <c r="T33" t="str">
        <f t="shared" si="9"/>
        <v/>
      </c>
      <c r="U33" t="str">
        <f t="shared" si="10"/>
        <v/>
      </c>
      <c r="Z33" t="str">
        <f>IF(ISEVEN(ROW()),COUNTIFS(ScoreImport!$H$399:$H$5835,AA33,ScoreImport!$J$399:$J$5835,AD33)+COUNTIFS(ScoreImport!$H$399:$H$5835,AD33,ScoreImport!$J$399:$J$5835,AA33),"")</f>
        <v/>
      </c>
      <c r="AA33" t="str">
        <f t="shared" si="11"/>
        <v/>
      </c>
      <c r="AB33" s="60" t="str">
        <f>IF(ISEVEN(ROW()),(SUMIFS(ScoreImport!$I$399:$I$5835,ScoreImport!$H$399:$H$5835,AA33,ScoreImport!$J$399:$J$5835,AD33)+SUMIFS(ScoreImport!$K$399:$K$5835,ScoreImport!$J$399:$J$5835,AA33,ScoreImport!$H$399:$H$5835,AD33))/(COUNTIFS(ScoreImport!$H$399:$H$5835,AA33,ScoreImport!$J$399:$J$5835,AD33)+COUNTIFS(ScoreImport!$H$399:$H$5835,AD33,ScoreImport!$J$399:$J$5835,AA33)),"")</f>
        <v/>
      </c>
      <c r="AC33" s="60" t="str">
        <f t="array" ref="AC33">IFERROR(SQRT(_xlfn.VAR.P(IF(ScoreImport!$H$399:$H$5835=$AA33,IF(ScoreImport!$J$399:$J$5835=$AD33,ScoreImport!$I$399:$I$5835)))+_xlfn.VAR.P(IF(ScoreImport!$H$399:$H$5835=$AD33,IF(ScoreImport!$J$399:$J$5835=$AA33,ScoreImport!$K$399:$K$5835)))),"")</f>
        <v/>
      </c>
      <c r="AD33" t="str">
        <f t="shared" si="12"/>
        <v/>
      </c>
      <c r="AE33" t="str">
        <f>IF(ISEVEN(ROW()),(SUMIFS(ScoreImport!$I$399:$I$5835,ScoreImport!$H$399:$H$5835,AD33,ScoreImport!$J$399:$J$5835,AA33)+SUMIFS(ScoreImport!$K$399:$K$5835,ScoreImport!$J$399:$J$5835,AD33,ScoreImport!$H$399:$H$5835,AA33))/(COUNTIFS(ScoreImport!$H$399:$H$5835,AA33,ScoreImport!$J$399:$J$5835,AD33)+COUNTIFS(ScoreImport!$H$399:$H$5835,AD33,ScoreImport!$J$399:$J$5835,AA33)),"")</f>
        <v/>
      </c>
      <c r="AF33" t="str">
        <f t="array" ref="AF33">IFERROR(SQRT(_xlfn.VAR.P(IF(ScoreImport!$H$399:$H$5835=$AA33,IF(ScoreImport!$J$399:$J$5835=$AD33,ScoreImport!$K$399:$K$5835)))+_xlfn.VAR.P(IF(ScoreImport!$H$399:$H$5835=$AD33,IF(ScoreImport!$J$399:$J$5835=$AA33,ScoreImport!$I$399:$I$5835)))),"")</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BZ32"/>
  <sheetViews>
    <sheetView topLeftCell="AC1" workbookViewId="0">
      <pane ySplit="2" topLeftCell="A3" activePane="bottomLeft" state="frozen"/>
      <selection activeCell="AT3" sqref="AT3:BM32"/>
      <selection pane="bottomLeft" activeCell="AT3" sqref="AT3:BM32"/>
    </sheetView>
  </sheetViews>
  <sheetFormatPr defaultRowHeight="15" x14ac:dyDescent="0.25"/>
  <cols>
    <col min="8" max="8" width="5.140625" bestFit="1" customWidth="1"/>
    <col min="9" max="9" width="7.5703125" bestFit="1" customWidth="1"/>
    <col min="10" max="10" width="6.5703125" bestFit="1" customWidth="1"/>
    <col min="11" max="11" width="5.5703125" bestFit="1" customWidth="1"/>
    <col min="12" max="12" width="6.5703125" bestFit="1" customWidth="1"/>
    <col min="13" max="13" width="8.7109375" bestFit="1" customWidth="1"/>
    <col min="14" max="15" width="6.140625" bestFit="1" customWidth="1"/>
    <col min="16" max="16" width="6.42578125" bestFit="1" customWidth="1"/>
    <col min="17" max="19" width="6.140625" bestFit="1" customWidth="1"/>
    <col min="20" max="20" width="6.28515625" bestFit="1" customWidth="1"/>
    <col min="21" max="21" width="6.5703125" bestFit="1" customWidth="1"/>
    <col min="22" max="22" width="7.140625" bestFit="1" customWidth="1"/>
    <col min="23" max="23" width="7.28515625" bestFit="1" customWidth="1"/>
    <col min="24" max="45" width="7.28515625" customWidth="1"/>
    <col min="46" max="51" width="5.5703125" bestFit="1" customWidth="1"/>
    <col min="52" max="52" width="6.5703125" bestFit="1" customWidth="1"/>
    <col min="53" max="53" width="5.5703125" bestFit="1" customWidth="1"/>
    <col min="54" max="54" width="4.5703125" bestFit="1" customWidth="1"/>
    <col min="55" max="55" width="5.5703125" bestFit="1" customWidth="1"/>
    <col min="56" max="57" width="6.5703125" bestFit="1" customWidth="1"/>
    <col min="58" max="58" width="4.5703125" bestFit="1" customWidth="1"/>
    <col min="59" max="59" width="5.85546875" bestFit="1" customWidth="1"/>
    <col min="60" max="60" width="5.5703125" bestFit="1" customWidth="1"/>
    <col min="61" max="62" width="4.5703125" bestFit="1" customWidth="1"/>
    <col min="63" max="63" width="5.5703125" bestFit="1" customWidth="1"/>
    <col min="64" max="64" width="6.140625" bestFit="1" customWidth="1"/>
    <col min="65" max="65" width="6.5703125" bestFit="1" customWidth="1"/>
  </cols>
  <sheetData>
    <row r="1" spans="1:78" x14ac:dyDescent="0.25">
      <c r="H1" s="102" t="s">
        <v>90</v>
      </c>
      <c r="I1" s="102"/>
      <c r="J1" s="102"/>
      <c r="K1" s="102"/>
      <c r="L1" s="102"/>
      <c r="M1" s="102"/>
      <c r="N1" s="102"/>
      <c r="O1" s="102"/>
      <c r="P1" s="102"/>
      <c r="Q1" s="102"/>
      <c r="R1" s="102"/>
      <c r="S1" s="102"/>
      <c r="T1" s="102"/>
      <c r="U1" s="102"/>
      <c r="V1" s="102"/>
      <c r="W1" s="102"/>
      <c r="X1" s="103" t="s">
        <v>93</v>
      </c>
      <c r="Y1" s="103"/>
      <c r="Z1" s="103"/>
      <c r="AA1" s="103"/>
      <c r="AB1" s="103"/>
      <c r="AC1" s="103"/>
      <c r="AD1" s="103"/>
      <c r="AE1" s="103"/>
      <c r="AF1" s="103"/>
      <c r="AG1" s="103"/>
      <c r="AH1" s="103"/>
      <c r="AI1" s="99" t="s">
        <v>107</v>
      </c>
      <c r="AJ1" s="99"/>
      <c r="AK1" s="99"/>
      <c r="AL1" s="99"/>
      <c r="AM1" s="99"/>
      <c r="AN1" s="99"/>
      <c r="AO1" s="99"/>
      <c r="AP1" s="99"/>
      <c r="AQ1" s="99"/>
      <c r="AR1" s="99"/>
      <c r="AS1" s="99"/>
      <c r="AT1" s="97" t="s">
        <v>103</v>
      </c>
      <c r="AU1" s="97"/>
      <c r="AV1" s="97"/>
      <c r="AW1" s="97"/>
      <c r="AX1" s="97"/>
      <c r="AY1" s="97"/>
      <c r="AZ1" s="97"/>
      <c r="BA1" s="97"/>
      <c r="BB1" s="97"/>
      <c r="BC1" s="97"/>
      <c r="BD1" s="97"/>
      <c r="BE1" s="97"/>
      <c r="BF1" s="97"/>
    </row>
    <row r="2" spans="1:78" x14ac:dyDescent="0.25">
      <c r="A2" t="s">
        <v>223</v>
      </c>
      <c r="D2" t="s">
        <v>3367</v>
      </c>
      <c r="E2" t="s">
        <v>3369</v>
      </c>
      <c r="F2" t="s">
        <v>3368</v>
      </c>
      <c r="G2" t="s">
        <v>3370</v>
      </c>
      <c r="H2" s="8" t="s">
        <v>194</v>
      </c>
      <c r="I2" s="8" t="s">
        <v>195</v>
      </c>
      <c r="J2" s="8" t="s">
        <v>196</v>
      </c>
      <c r="K2" s="8" t="s">
        <v>197</v>
      </c>
      <c r="L2" s="8" t="s">
        <v>198</v>
      </c>
      <c r="M2" s="8" t="s">
        <v>199</v>
      </c>
      <c r="N2" s="8" t="s">
        <v>202</v>
      </c>
      <c r="O2" s="8" t="s">
        <v>204</v>
      </c>
      <c r="P2" s="8" t="s">
        <v>208</v>
      </c>
      <c r="Q2" s="8" t="s">
        <v>266</v>
      </c>
      <c r="R2" s="8" t="s">
        <v>210</v>
      </c>
      <c r="S2" s="8" t="s">
        <v>211</v>
      </c>
      <c r="T2" s="8" t="s">
        <v>212</v>
      </c>
      <c r="U2" s="8" t="s">
        <v>213</v>
      </c>
      <c r="V2" s="8" t="s">
        <v>214</v>
      </c>
      <c r="W2" s="8" t="s">
        <v>215</v>
      </c>
      <c r="X2" s="77" t="s">
        <v>1514</v>
      </c>
      <c r="Y2" s="77" t="s">
        <v>1515</v>
      </c>
      <c r="Z2" s="77" t="s">
        <v>1516</v>
      </c>
      <c r="AA2" s="77" t="s">
        <v>1517</v>
      </c>
      <c r="AB2" s="77" t="s">
        <v>1518</v>
      </c>
      <c r="AC2" s="77" t="s">
        <v>1522</v>
      </c>
      <c r="AD2" s="77" t="s">
        <v>1523</v>
      </c>
      <c r="AE2" s="77" t="s">
        <v>1524</v>
      </c>
      <c r="AF2" s="77" t="s">
        <v>1525</v>
      </c>
      <c r="AG2" s="77" t="s">
        <v>1526</v>
      </c>
      <c r="AH2" s="77" t="s">
        <v>1527</v>
      </c>
      <c r="AI2" s="80" t="s">
        <v>1514</v>
      </c>
      <c r="AJ2" s="80" t="s">
        <v>1515</v>
      </c>
      <c r="AK2" s="80" t="s">
        <v>1516</v>
      </c>
      <c r="AL2" s="80" t="s">
        <v>1517</v>
      </c>
      <c r="AM2" s="80" t="s">
        <v>1518</v>
      </c>
      <c r="AN2" s="80" t="s">
        <v>1522</v>
      </c>
      <c r="AO2" s="80" t="s">
        <v>1523</v>
      </c>
      <c r="AP2" s="80" t="s">
        <v>1524</v>
      </c>
      <c r="AQ2" s="80" t="s">
        <v>1525</v>
      </c>
      <c r="AR2" s="80" t="s">
        <v>1526</v>
      </c>
      <c r="AS2" s="80" t="s">
        <v>1527</v>
      </c>
      <c r="AT2" t="s">
        <v>302</v>
      </c>
      <c r="AU2" t="s">
        <v>303</v>
      </c>
      <c r="AV2" t="s">
        <v>304</v>
      </c>
      <c r="AW2" t="s">
        <v>253</v>
      </c>
      <c r="AX2" t="s">
        <v>254</v>
      </c>
      <c r="AY2" t="s">
        <v>257</v>
      </c>
      <c r="AZ2" t="s">
        <v>255</v>
      </c>
      <c r="BA2" t="s">
        <v>256</v>
      </c>
      <c r="BB2" t="s">
        <v>311</v>
      </c>
      <c r="BC2" t="s">
        <v>312</v>
      </c>
      <c r="BD2" t="s">
        <v>313</v>
      </c>
      <c r="BE2" t="s">
        <v>314</v>
      </c>
      <c r="BF2" t="s">
        <v>315</v>
      </c>
      <c r="BG2" t="s">
        <v>316</v>
      </c>
      <c r="BH2" t="s">
        <v>317</v>
      </c>
      <c r="BI2" t="s">
        <v>318</v>
      </c>
      <c r="BJ2" t="s">
        <v>319</v>
      </c>
      <c r="BK2" t="s">
        <v>320</v>
      </c>
      <c r="BL2" t="s">
        <v>321</v>
      </c>
      <c r="BM2" t="s">
        <v>258</v>
      </c>
      <c r="BO2" s="97" t="s">
        <v>323</v>
      </c>
      <c r="BP2" s="97"/>
      <c r="BQ2" s="97"/>
      <c r="BR2" s="97"/>
      <c r="BS2" s="97"/>
      <c r="BT2" s="97"/>
      <c r="BU2" s="97"/>
      <c r="BV2" s="97"/>
      <c r="BW2" s="97"/>
      <c r="BX2" s="97"/>
      <c r="BY2" s="97"/>
      <c r="BZ2" s="97"/>
    </row>
    <row r="3" spans="1:78" x14ac:dyDescent="0.25">
      <c r="A3" t="s">
        <v>4</v>
      </c>
      <c r="B3" t="s">
        <v>224</v>
      </c>
      <c r="D3">
        <f>INDEX(Scores!$B$1:$G$31,MATCH($A3,Scores!$B$1:$B$31,0),MATCH(D$2,Scores!$B$1:$G$1,0))</f>
        <v>5.1111111111111107</v>
      </c>
      <c r="E3">
        <f>INDEX(Scores!$B$1:$G$31,MATCH($A3,Scores!$B$1:$B$31,0),MATCH(E$2,Scores!$B$1:$G$1,0))</f>
        <v>3.7646831880216483</v>
      </c>
      <c r="F3">
        <f>INDEX(Scores!$B$1:$G$31,MATCH($A3,Scores!$B$1:$B$31,0),MATCH(F$2,Scores!$B$1:$G$1,0))</f>
        <v>4.9487179487179489</v>
      </c>
      <c r="G3">
        <f>INDEX(Scores!$B$1:$G$31,MATCH($A3,Scores!$B$1:$B$31,0),MATCH(G$2,Scores!$B$1:$G$1,0))</f>
        <v>3.4526000455154415</v>
      </c>
      <c r="H3" s="9">
        <f>INDEX(TeamAdvBatting!$A:$Z,MATCH($A3,TeamAdvBatting!$A:$A,0),MATCH(H$2,TeamAdvBatting!$A$225:$Z$225,0))</f>
        <v>5.0199999999999996</v>
      </c>
      <c r="I3" s="9">
        <f>INDEX(TeamAdvBatting!$A:$Z,MATCH($A3,TeamAdvBatting!$A:$A,0),MATCH(I$2,TeamAdvBatting!$A$225:$Z$225,0))</f>
        <v>4419</v>
      </c>
      <c r="J3" s="9">
        <f>INDEX(TeamAdvBatting!$A:$Z,MATCH($A3,TeamAdvBatting!$A:$A,0),MATCH(J$2,TeamAdvBatting!$A$225:$Z$225,0))</f>
        <v>831</v>
      </c>
      <c r="K3" s="9">
        <f>INDEX(TeamAdvBatting!$A:$Z,MATCH($A3,TeamAdvBatting!$A:$A,0),MATCH(K$2,TeamAdvBatting!$A$225:$Z$225,0))</f>
        <v>5</v>
      </c>
      <c r="L3" s="9">
        <f>INDEX(TeamAdvBatting!$A:$Z,MATCH($A3,TeamAdvBatting!$A:$A,0),MATCH(L$2,TeamAdvBatting!$A$225:$Z$225,0))</f>
        <v>111</v>
      </c>
      <c r="M3" s="9">
        <f>INDEX(TeamAdvBatting!$A:$Z,MATCH($A3,TeamAdvBatting!$A:$A,0),MATCH(M$2,TeamAdvBatting!$A$225:$Z$225,0))</f>
        <v>0.29299999999999998</v>
      </c>
      <c r="N3" s="9">
        <f>INDEX(TeamAdvBatting!$A:$Z,MATCH($A3,TeamAdvBatting!$A:$A,0),MATCH(N$2,TeamAdvBatting!$A$225:$Z$225,0))</f>
        <v>0.32300000000000001</v>
      </c>
      <c r="O3" s="9">
        <f>INDEX(TeamAdvBatting!$A:$Z,MATCH($A3,TeamAdvBatting!$A:$A,0),MATCH(O$2,TeamAdvBatting!$A$225:$Z$225,0))</f>
        <v>0.434</v>
      </c>
      <c r="P3" s="9">
        <f>INDEX(TeamAdvBatting!$A:$Z,MATCH($A3,TeamAdvBatting!$A:$A,0),MATCH(P$2,TeamAdvBatting!$A$225:$Z$225,0))</f>
        <v>94</v>
      </c>
      <c r="Q3" s="9">
        <f>INDEX(TeamAdvBatting!$A:$Z,MATCH($A3,TeamAdvBatting!$A:$A,0),MATCH(Q$2,TeamAdvBatting!$A$225:$Z$225,0))</f>
        <v>0.50700000000000001</v>
      </c>
      <c r="R3" s="9">
        <f>INDEX(TeamAdvBatting!$A:$Z,MATCH($A3,TeamAdvBatting!$A:$A,0),MATCH(R$2,TeamAdvBatting!$A$225:$Z$225,0))</f>
        <v>-51.7</v>
      </c>
      <c r="S3" s="9">
        <f>INDEX(TeamAdvBatting!$A:$Z,MATCH($A3,TeamAdvBatting!$A:$A,0),MATCH(S$2,TeamAdvBatting!$A$225:$Z$225,0))</f>
        <v>-5.2</v>
      </c>
      <c r="T3" s="9">
        <f>INDEX(TeamAdvBatting!$A:$Z,MATCH($A3,TeamAdvBatting!$A:$A,0),MATCH(T$2,TeamAdvBatting!$A$225:$Z$225,0))</f>
        <v>0.72299999999999998</v>
      </c>
      <c r="U3" s="9">
        <f>INDEX(TeamAdvBatting!$A:$Z,MATCH($A3,TeamAdvBatting!$A:$A,0),MATCH(U$2,TeamAdvBatting!$A$225:$Z$225,0))</f>
        <v>0.29099999999999998</v>
      </c>
      <c r="V3" s="9">
        <f>INDEX(TeamAdvBatting!$A:$Z,MATCH($A3,TeamAdvBatting!$A:$A,0),MATCH(V$2,TeamAdvBatting!$A$225:$Z$225,0))</f>
        <v>0.182</v>
      </c>
      <c r="W3" s="9">
        <f>INDEX(TeamAdvBatting!$A:$Z,MATCH($A3,TeamAdvBatting!$A:$A,0),MATCH(W$2,TeamAdvBatting!$A$225:$Z$225,0))</f>
        <v>125.7</v>
      </c>
      <c r="X3" s="78">
        <f>INDEX(BattingRatios!$A$225:$Q$256,MATCH($A3,BattingRatios!$A$225:$A$256,0),MATCH(X$2,BattingRatios!$A$225:$Q$225,0))</f>
        <v>3.5000000000000003E-2</v>
      </c>
      <c r="Y3" s="78">
        <f>INDEX(BattingRatios!$A$225:$Q$256,MATCH($A3,BattingRatios!$A$225:$A$256,0),MATCH(Y$2,BattingRatios!$A$225:$Q$225,0))</f>
        <v>0.215</v>
      </c>
      <c r="Z3" s="78">
        <f>INDEX(BattingRatios!$A$225:$Q$256,MATCH($A3,BattingRatios!$A$225:$A$256,0),MATCH(Z$2,BattingRatios!$A$225:$Q$225,0))</f>
        <v>8.5999999999999993E-2</v>
      </c>
      <c r="AA3" s="78">
        <f>INDEX(BattingRatios!$A$225:$Q$256,MATCH($A3,BattingRatios!$A$225:$A$256,0),MATCH(AA$2,BattingRatios!$A$225:$Q$225,0))</f>
        <v>8.6999999999999994E-2</v>
      </c>
      <c r="AB3" s="78">
        <f>INDEX(BattingRatios!$A$225:$Q$256,MATCH($A3,BattingRatios!$A$225:$A$256,0),MATCH(AB$2,BattingRatios!$A$225:$Q$225,0))</f>
        <v>0.39</v>
      </c>
      <c r="AC3" s="78">
        <f>INDEX(BattingRatios!$A$225:$Q$256,MATCH($A3,BattingRatios!$A$225:$A$256,0),MATCH(AC$2,BattingRatios!$A$225:$Q$225,0))</f>
        <v>0.78</v>
      </c>
      <c r="AD3" s="78">
        <f>INDEX(BattingRatios!$A$225:$Q$256,MATCH($A3,BattingRatios!$A$225:$A$256,0),MATCH(AD$2,BattingRatios!$A$225:$Q$225,0))</f>
        <v>1.08</v>
      </c>
      <c r="AE3" s="78">
        <f>INDEX(BattingRatios!$A$225:$Q$256,MATCH($A3,BattingRatios!$A$225:$A$256,0),MATCH(AE$2,BattingRatios!$A$225:$Q$225,0))</f>
        <v>0.65</v>
      </c>
      <c r="AF3" s="78">
        <f>INDEX(BattingRatios!$A$225:$Q$256,MATCH($A3,BattingRatios!$A$225:$A$256,0),MATCH(AF$2,BattingRatios!$A$225:$Q$225,0))</f>
        <v>0.24</v>
      </c>
      <c r="AG3" s="78">
        <f>INDEX(BattingRatios!$A$225:$Q$256,MATCH($A3,BattingRatios!$A$225:$A$256,0),MATCH(AG$2,BattingRatios!$A$225:$Q$225,0))</f>
        <v>0.10299999999999999</v>
      </c>
      <c r="AH3" s="78">
        <f>INDEX(BattingRatios!$A$225:$Q$256,MATCH($A3,BattingRatios!$A$225:$A$256,0),MATCH(AH$2,BattingRatios!$A$225:$Q$225,0))</f>
        <v>0.11</v>
      </c>
      <c r="AI3" s="81">
        <f>INDEX(PitchingRatios!$A$225:$S$256,MATCH($A3,PitchingRatios!$A$225:$A$256,0),MATCH(AI$2,PitchingRatios!$A$225:$S$225,0))</f>
        <v>3.5000000000000003E-2</v>
      </c>
      <c r="AJ3" s="81">
        <f>INDEX(PitchingRatios!$A$225:$S$256,MATCH($A3,PitchingRatios!$A$225:$A$256,0),MATCH(AJ$2,PitchingRatios!$A$225:$S$225,0))</f>
        <v>0.22900000000000001</v>
      </c>
      <c r="AK3" s="81">
        <f>INDEX(PitchingRatios!$A$225:$S$256,MATCH($A3,PitchingRatios!$A$225:$A$256,0),MATCH(AK$2,PitchingRatios!$A$225:$S$225,0))</f>
        <v>8.3000000000000004E-2</v>
      </c>
      <c r="AL3" s="81">
        <f>INDEX(PitchingRatios!$A$225:$S$256,MATCH($A3,PitchingRatios!$A$225:$A$256,0),MATCH(AL$2,PitchingRatios!$A$225:$S$225,0))</f>
        <v>8.5999999999999993E-2</v>
      </c>
      <c r="AM3" s="81">
        <f>INDEX(PitchingRatios!$A$225:$S$256,MATCH($A3,PitchingRatios!$A$225:$A$256,0),MATCH(AM$2,PitchingRatios!$A$225:$S$225,0))</f>
        <v>0.38</v>
      </c>
      <c r="AN3" s="81">
        <f>INDEX(PitchingRatios!$A$225:$S$256,MATCH($A3,PitchingRatios!$A$225:$A$256,0),MATCH(AN$2,PitchingRatios!$A$225:$S$225,0))</f>
        <v>0.77</v>
      </c>
      <c r="AO3" s="81">
        <f>INDEX(PitchingRatios!$A$225:$S$256,MATCH($A3,PitchingRatios!$A$225:$A$256,0),MATCH(AO$2,PitchingRatios!$A$225:$S$225,0))</f>
        <v>1.0900000000000001</v>
      </c>
      <c r="AP3" s="81">
        <f>INDEX(PitchingRatios!$A$225:$S$256,MATCH($A3,PitchingRatios!$A$225:$A$256,0),MATCH(AP$2,PitchingRatios!$A$225:$S$225,0))</f>
        <v>0.64</v>
      </c>
      <c r="AQ3" s="81">
        <f>INDEX(PitchingRatios!$A$225:$S$256,MATCH($A3,PitchingRatios!$A$225:$A$256,0),MATCH(AQ$2,PitchingRatios!$A$225:$S$225,0))</f>
        <v>0.26</v>
      </c>
      <c r="AR3" s="81">
        <f>INDEX(PitchingRatios!$A$225:$S$256,MATCH($A3,PitchingRatios!$A$225:$A$256,0),MATCH(AR$2,PitchingRatios!$A$225:$S$225,0))</f>
        <v>0.105</v>
      </c>
      <c r="AS3" s="81">
        <f>INDEX(PitchingRatios!$A$225:$S$256,MATCH($A3,PitchingRatios!$A$225:$A$256,0),MATCH(AS$2,PitchingRatios!$A$225:$S$225,0))</f>
        <v>0.11</v>
      </c>
      <c r="AT3" s="7">
        <f>INDEX(TeamStandardPitching!$A:$AJ,MATCH($A3,TeamStandardPitching!$A:$A,0),MATCH(AT$2,TeamStandardPitching!$A$225:$AJ$225,0))</f>
        <v>27</v>
      </c>
      <c r="AU3" s="7">
        <f>INDEX(TeamStandardPitching!$A:$AJ,MATCH($A3,TeamStandardPitching!$A:$A,0),MATCH(AU$2,TeamStandardPitching!$A$225:$AJ$225,0))</f>
        <v>28.6</v>
      </c>
      <c r="AV3" s="7">
        <f>INDEX(TeamStandardPitching!$A:$AJ,MATCH($A3,TeamStandardPitching!$A:$A,0),MATCH(AV$2,TeamStandardPitching!$A$225:$AJ$225,0))</f>
        <v>4.59</v>
      </c>
      <c r="AW3" s="7">
        <f>INDEX(TeamStandardPitching!$A:$AJ,MATCH($A3,TeamStandardPitching!$A:$A,0),MATCH(AW$2,TeamStandardPitching!$A$225:$AJ$225,0))</f>
        <v>220</v>
      </c>
      <c r="AX3" s="7">
        <f>INDEX(TeamStandardPitching!$A:$AJ,MATCH($A3,TeamStandardPitching!$A:$A,0),MATCH(AX$2,TeamStandardPitching!$A$225:$AJ$225,0))</f>
        <v>516</v>
      </c>
      <c r="AY3" s="7">
        <f>INDEX(TeamStandardPitching!$A:$AJ,MATCH($A3,TeamStandardPitching!$A:$A,0),MATCH(AY$2,TeamStandardPitching!$A$225:$AJ$225,0))</f>
        <v>38</v>
      </c>
      <c r="AZ3" s="7">
        <f>INDEX(TeamStandardPitching!$A:$AJ,MATCH($A3,TeamStandardPitching!$A:$A,0),MATCH(AZ$2,TeamStandardPitching!$A$225:$AJ$225,0))</f>
        <v>1427</v>
      </c>
      <c r="BA3" s="7">
        <f>INDEX(TeamStandardPitching!$A:$AJ,MATCH($A3,TeamStandardPitching!$A:$A,0),MATCH(BA$2,TeamStandardPitching!$A$225:$AJ$225,0))</f>
        <v>62</v>
      </c>
      <c r="BB3" s="7">
        <f>INDEX(TeamStandardPitching!$A:$AJ,MATCH($A3,TeamStandardPitching!$A:$A,0),MATCH(BB$2,TeamStandardPitching!$A$225:$AJ$225,0))</f>
        <v>4</v>
      </c>
      <c r="BC3" s="7">
        <f>INDEX(TeamStandardPitching!$A:$AJ,MATCH($A3,TeamStandardPitching!$A:$A,0),MATCH(BC$2,TeamStandardPitching!$A$225:$AJ$225,0))</f>
        <v>49</v>
      </c>
      <c r="BD3" s="7">
        <f>INDEX(TeamStandardPitching!$A:$AJ,MATCH($A3,TeamStandardPitching!$A:$A,0),MATCH(BD$2,TeamStandardPitching!$A$225:$AJ$225,0))</f>
        <v>6230</v>
      </c>
      <c r="BE3" s="7">
        <f>INDEX(TeamStandardPitching!$A:$AJ,MATCH($A3,TeamStandardPitching!$A:$A,0),MATCH(BE$2,TeamStandardPitching!$A$225:$AJ$225,0))</f>
        <v>105</v>
      </c>
      <c r="BF3" s="7">
        <f>INDEX(TeamStandardPitching!$A:$AJ,MATCH($A3,TeamStandardPitching!$A:$A,0),MATCH(BF$2,TeamStandardPitching!$A$225:$AJ$225,0))</f>
        <v>4.4000000000000004</v>
      </c>
      <c r="BG3" s="7">
        <f>INDEX(TeamStandardPitching!$A:$AJ,MATCH($A3,TeamStandardPitching!$A:$A,0),MATCH(BG$2,TeamStandardPitching!$A$225:$AJ$225,0))</f>
        <v>1.3080000000000001</v>
      </c>
      <c r="BH3" s="7">
        <f>INDEX(TeamStandardPitching!$A:$AJ,MATCH($A3,TeamStandardPitching!$A:$A,0),MATCH(BH$2,TeamStandardPitching!$A$225:$AJ$225,0))</f>
        <v>8.6</v>
      </c>
      <c r="BI3" s="7">
        <f>INDEX(TeamStandardPitching!$A:$AJ,MATCH($A3,TeamStandardPitching!$A:$A,0),MATCH(BI$2,TeamStandardPitching!$A$225:$AJ$225,0))</f>
        <v>1.4</v>
      </c>
      <c r="BJ3" s="7">
        <f>INDEX(TeamStandardPitching!$A:$AJ,MATCH($A3,TeamStandardPitching!$A:$A,0),MATCH(BJ$2,TeamStandardPitching!$A$225:$AJ$225,0))</f>
        <v>3.2</v>
      </c>
      <c r="BK3" s="7">
        <f>INDEX(TeamStandardPitching!$A:$AJ,MATCH($A3,TeamStandardPitching!$A:$A,0),MATCH(BK$2,TeamStandardPitching!$A$225:$AJ$225,0))</f>
        <v>8.8000000000000007</v>
      </c>
      <c r="BL3" s="7">
        <f>INDEX(TeamStandardPitching!$A:$AJ,MATCH($A3,TeamStandardPitching!$A:$A,0),MATCH(BL$2,TeamStandardPitching!$A$225:$AJ$225,0))</f>
        <v>2.77</v>
      </c>
      <c r="BM3" s="7">
        <f>INDEX(TeamStandardPitching!$A:$AJ,MATCH($A3,TeamStandardPitching!$A:$A,0),MATCH(BM$2,TeamStandardPitching!$A$225:$AJ$225,0))</f>
        <v>1092</v>
      </c>
      <c r="BO3" t="s">
        <v>215</v>
      </c>
      <c r="BP3" t="s">
        <v>214</v>
      </c>
      <c r="BQ3" t="s">
        <v>213</v>
      </c>
      <c r="BR3" t="s">
        <v>212</v>
      </c>
      <c r="BS3" t="s">
        <v>211</v>
      </c>
      <c r="BT3" t="s">
        <v>210</v>
      </c>
      <c r="BU3" t="s">
        <v>266</v>
      </c>
      <c r="BV3" t="s">
        <v>208</v>
      </c>
      <c r="BW3" t="s">
        <v>204</v>
      </c>
      <c r="BX3" t="s">
        <v>202</v>
      </c>
      <c r="BY3" t="s">
        <v>199</v>
      </c>
      <c r="BZ3" t="s">
        <v>267</v>
      </c>
    </row>
    <row r="4" spans="1:78" x14ac:dyDescent="0.25">
      <c r="A4" t="s">
        <v>10</v>
      </c>
      <c r="B4" t="s">
        <v>225</v>
      </c>
      <c r="D4">
        <f>INDEX(Scores!$B$1:$G$31,MATCH($A4,Scores!$B$1:$B$31,0),MATCH(D$2,Scores!$B$1:$G$1,0))</f>
        <v>5.3076923076923075</v>
      </c>
      <c r="E4">
        <f>INDEX(Scores!$B$1:$G$31,MATCH($A4,Scores!$B$1:$B$31,0),MATCH(E$2,Scores!$B$1:$G$1,0))</f>
        <v>3.2197614671471309</v>
      </c>
      <c r="F4">
        <f>INDEX(Scores!$B$1:$G$31,MATCH($A4,Scores!$B$1:$B$31,0),MATCH(F$2,Scores!$B$1:$G$1,0))</f>
        <v>5.3456790123456788</v>
      </c>
      <c r="G4">
        <f>INDEX(Scores!$B$1:$G$31,MATCH($A4,Scores!$B$1:$B$31,0),MATCH(G$2,Scores!$B$1:$G$1,0))</f>
        <v>3.1511725970617825</v>
      </c>
      <c r="H4" s="9">
        <f>INDEX(TeamAdvBatting!$A:$Z,MATCH($A4,TeamAdvBatting!$A:$A,0),MATCH(H$2,TeamAdvBatting!$A$225:$Z$225,0))</f>
        <v>5.28</v>
      </c>
      <c r="I4" s="9">
        <f>INDEX(TeamAdvBatting!$A:$Z,MATCH($A4,TeamAdvBatting!$A:$A,0),MATCH(I$2,TeamAdvBatting!$A$225:$Z$225,0))</f>
        <v>4320</v>
      </c>
      <c r="J4" s="9">
        <f>INDEX(TeamAdvBatting!$A:$Z,MATCH($A4,TeamAdvBatting!$A:$A,0),MATCH(J$2,TeamAdvBatting!$A$225:$Z$225,0))</f>
        <v>898</v>
      </c>
      <c r="K4" s="9">
        <f>INDEX(TeamAdvBatting!$A:$Z,MATCH($A4,TeamAdvBatting!$A:$A,0),MATCH(K$2,TeamAdvBatting!$A$225:$Z$225,0))</f>
        <v>5.6</v>
      </c>
      <c r="L4" s="9">
        <f>INDEX(TeamAdvBatting!$A:$Z,MATCH($A4,TeamAdvBatting!$A:$A,0),MATCH(L$2,TeamAdvBatting!$A$225:$Z$225,0))</f>
        <v>114</v>
      </c>
      <c r="M4" s="9">
        <f>INDEX(TeamAdvBatting!$A:$Z,MATCH($A4,TeamAdvBatting!$A:$A,0),MATCH(M$2,TeamAdvBatting!$A$225:$Z$225,0))</f>
        <v>0.30499999999999999</v>
      </c>
      <c r="N4" s="9">
        <f>INDEX(TeamAdvBatting!$A:$Z,MATCH($A4,TeamAdvBatting!$A:$A,0),MATCH(N$2,TeamAdvBatting!$A$225:$Z$225,0))</f>
        <v>0.33600000000000002</v>
      </c>
      <c r="O4" s="9">
        <f>INDEX(TeamAdvBatting!$A:$Z,MATCH($A4,TeamAdvBatting!$A:$A,0),MATCH(O$2,TeamAdvBatting!$A$225:$Z$225,0))</f>
        <v>0.45200000000000001</v>
      </c>
      <c r="P4" s="9">
        <f>INDEX(TeamAdvBatting!$A:$Z,MATCH($A4,TeamAdvBatting!$A:$A,0),MATCH(P$2,TeamAdvBatting!$A$225:$Z$225,0))</f>
        <v>99</v>
      </c>
      <c r="Q4" s="9">
        <f>INDEX(TeamAdvBatting!$A:$Z,MATCH($A4,TeamAdvBatting!$A:$A,0),MATCH(Q$2,TeamAdvBatting!$A$225:$Z$225,0))</f>
        <v>0.55300000000000005</v>
      </c>
      <c r="R4" s="9">
        <f>INDEX(TeamAdvBatting!$A:$Z,MATCH($A4,TeamAdvBatting!$A:$A,0),MATCH(R$2,TeamAdvBatting!$A$225:$Z$225,0))</f>
        <v>-11.7</v>
      </c>
      <c r="S4" s="9">
        <f>INDEX(TeamAdvBatting!$A:$Z,MATCH($A4,TeamAdvBatting!$A:$A,0),MATCH(S$2,TeamAdvBatting!$A$225:$Z$225,0))</f>
        <v>-1.3</v>
      </c>
      <c r="T4" s="9">
        <f>INDEX(TeamAdvBatting!$A:$Z,MATCH($A4,TeamAdvBatting!$A:$A,0),MATCH(T$2,TeamAdvBatting!$A$225:$Z$225,0))</f>
        <v>0.77</v>
      </c>
      <c r="U4" s="9">
        <f>INDEX(TeamAdvBatting!$A:$Z,MATCH($A4,TeamAdvBatting!$A:$A,0),MATCH(U$2,TeamAdvBatting!$A$225:$Z$225,0))</f>
        <v>0.317</v>
      </c>
      <c r="V4" s="9">
        <f>INDEX(TeamAdvBatting!$A:$Z,MATCH($A4,TeamAdvBatting!$A:$A,0),MATCH(V$2,TeamAdvBatting!$A$225:$Z$225,0))</f>
        <v>0.19500000000000001</v>
      </c>
      <c r="W4" s="9">
        <f>INDEX(TeamAdvBatting!$A:$Z,MATCH($A4,TeamAdvBatting!$A:$A,0),MATCH(W$2,TeamAdvBatting!$A$225:$Z$225,0))</f>
        <v>131.1</v>
      </c>
      <c r="X4" s="78">
        <f>INDEX(BattingRatios!$A$225:$Q$256,MATCH($A4,BattingRatios!$A$225:$A$256,0),MATCH(X$2,BattingRatios!$A$225:$Q$225,0))</f>
        <v>0.04</v>
      </c>
      <c r="Y4" s="78">
        <f>INDEX(BattingRatios!$A$225:$Q$256,MATCH($A4,BattingRatios!$A$225:$A$256,0),MATCH(Y$2,BattingRatios!$A$225:$Q$225,0))</f>
        <v>0.23300000000000001</v>
      </c>
      <c r="Z4" s="78">
        <f>INDEX(BattingRatios!$A$225:$Q$256,MATCH($A4,BattingRatios!$A$225:$A$256,0),MATCH(Z$2,BattingRatios!$A$225:$Q$225,0))</f>
        <v>9.8000000000000004E-2</v>
      </c>
      <c r="AA4" s="78">
        <f>INDEX(BattingRatios!$A$225:$Q$256,MATCH($A4,BattingRatios!$A$225:$A$256,0),MATCH(AA$2,BattingRatios!$A$225:$Q$225,0))</f>
        <v>8.7999999999999995E-2</v>
      </c>
      <c r="AB4" s="78">
        <f>INDEX(BattingRatios!$A$225:$Q$256,MATCH($A4,BattingRatios!$A$225:$A$256,0),MATCH(AB$2,BattingRatios!$A$225:$Q$225,0))</f>
        <v>0.39</v>
      </c>
      <c r="AC4" s="78">
        <f>INDEX(BattingRatios!$A$225:$Q$256,MATCH($A4,BattingRatios!$A$225:$A$256,0),MATCH(AC$2,BattingRatios!$A$225:$Q$225,0))</f>
        <v>0.69</v>
      </c>
      <c r="AD4" s="78">
        <f>INDEX(BattingRatios!$A$225:$Q$256,MATCH($A4,BattingRatios!$A$225:$A$256,0),MATCH(AD$2,BattingRatios!$A$225:$Q$225,0))</f>
        <v>0.96</v>
      </c>
      <c r="AE4" s="78">
        <f>INDEX(BattingRatios!$A$225:$Q$256,MATCH($A4,BattingRatios!$A$225:$A$256,0),MATCH(AE$2,BattingRatios!$A$225:$Q$225,0))</f>
        <v>0.62</v>
      </c>
      <c r="AF4" s="78">
        <f>INDEX(BattingRatios!$A$225:$Q$256,MATCH($A4,BattingRatios!$A$225:$A$256,0),MATCH(AF$2,BattingRatios!$A$225:$Q$225,0))</f>
        <v>0.27</v>
      </c>
      <c r="AG4" s="78">
        <f>INDEX(BattingRatios!$A$225:$Q$256,MATCH($A4,BattingRatios!$A$225:$A$256,0),MATCH(AG$2,BattingRatios!$A$225:$Q$225,0))</f>
        <v>0.114</v>
      </c>
      <c r="AH4" s="78">
        <f>INDEX(BattingRatios!$A$225:$Q$256,MATCH($A4,BattingRatios!$A$225:$A$256,0),MATCH(AH$2,BattingRatios!$A$225:$Q$225,0))</f>
        <v>0.1</v>
      </c>
      <c r="AI4" s="81">
        <f>INDEX(PitchingRatios!$A$225:$S$256,MATCH($A4,PitchingRatios!$A$225:$A$256,0),MATCH(AI$2,PitchingRatios!$A$225:$S$225,0))</f>
        <v>3.3000000000000002E-2</v>
      </c>
      <c r="AJ4" s="81">
        <f>INDEX(PitchingRatios!$A$225:$S$256,MATCH($A4,PitchingRatios!$A$225:$A$256,0),MATCH(AJ$2,PitchingRatios!$A$225:$S$225,0))</f>
        <v>0.223</v>
      </c>
      <c r="AK4" s="81">
        <f>INDEX(PitchingRatios!$A$225:$S$256,MATCH($A4,PitchingRatios!$A$225:$A$256,0),MATCH(AK$2,PitchingRatios!$A$225:$S$225,0))</f>
        <v>8.7999999999999995E-2</v>
      </c>
      <c r="AL4" s="81">
        <f>INDEX(PitchingRatios!$A$225:$S$256,MATCH($A4,PitchingRatios!$A$225:$A$256,0),MATCH(AL$2,PitchingRatios!$A$225:$S$225,0))</f>
        <v>7.6999999999999999E-2</v>
      </c>
      <c r="AM4" s="81">
        <f>INDEX(PitchingRatios!$A$225:$S$256,MATCH($A4,PitchingRatios!$A$225:$A$256,0),MATCH(AM$2,PitchingRatios!$A$225:$S$225,0))</f>
        <v>0.34</v>
      </c>
      <c r="AN4" s="81">
        <f>INDEX(PitchingRatios!$A$225:$S$256,MATCH($A4,PitchingRatios!$A$225:$A$256,0),MATCH(AN$2,PitchingRatios!$A$225:$S$225,0))</f>
        <v>0.84</v>
      </c>
      <c r="AO4" s="81">
        <f>INDEX(PitchingRatios!$A$225:$S$256,MATCH($A4,PitchingRatios!$A$225:$A$256,0),MATCH(AO$2,PitchingRatios!$A$225:$S$225,0))</f>
        <v>1.1399999999999999</v>
      </c>
      <c r="AP4" s="81">
        <f>INDEX(PitchingRatios!$A$225:$S$256,MATCH($A4,PitchingRatios!$A$225:$A$256,0),MATCH(AP$2,PitchingRatios!$A$225:$S$225,0))</f>
        <v>0.64</v>
      </c>
      <c r="AQ4" s="81">
        <f>INDEX(PitchingRatios!$A$225:$S$256,MATCH($A4,PitchingRatios!$A$225:$A$256,0),MATCH(AQ$2,PitchingRatios!$A$225:$S$225,0))</f>
        <v>0.25</v>
      </c>
      <c r="AR4" s="81">
        <f>INDEX(PitchingRatios!$A$225:$S$256,MATCH($A4,PitchingRatios!$A$225:$A$256,0),MATCH(AR$2,PitchingRatios!$A$225:$S$225,0))</f>
        <v>0.1</v>
      </c>
      <c r="AS4" s="81">
        <f>INDEX(PitchingRatios!$A$225:$S$256,MATCH($A4,PitchingRatios!$A$225:$A$256,0),MATCH(AS$2,PitchingRatios!$A$225:$S$225,0))</f>
        <v>0.11</v>
      </c>
      <c r="AT4" s="7">
        <f>INDEX(TeamStandardPitching!$A:$AJ,MATCH($A4,TeamStandardPitching!$A:$A,0),MATCH(AT$2,TeamStandardPitching!$A$225:$AJ$225,0))</f>
        <v>31</v>
      </c>
      <c r="AU4" s="7">
        <f>INDEX(TeamStandardPitching!$A:$AJ,MATCH($A4,TeamStandardPitching!$A:$A,0),MATCH(AU$2,TeamStandardPitching!$A$225:$AJ$225,0))</f>
        <v>27.5</v>
      </c>
      <c r="AV4" s="7">
        <f>INDEX(TeamStandardPitching!$A:$AJ,MATCH($A4,TeamStandardPitching!$A:$A,0),MATCH(AV$2,TeamStandardPitching!$A$225:$AJ$225,0))</f>
        <v>4.59</v>
      </c>
      <c r="AW4" s="7">
        <f>INDEX(TeamStandardPitching!$A:$AJ,MATCH($A4,TeamStandardPitching!$A:$A,0),MATCH(AW$2,TeamStandardPitching!$A$225:$AJ$225,0))</f>
        <v>203</v>
      </c>
      <c r="AX4" s="7">
        <f>INDEX(TeamStandardPitching!$A:$AJ,MATCH($A4,TeamStandardPitching!$A:$A,0),MATCH(AX$2,TeamStandardPitching!$A$225:$AJ$225,0))</f>
        <v>548</v>
      </c>
      <c r="AY4" s="7">
        <f>INDEX(TeamStandardPitching!$A:$AJ,MATCH($A4,TeamStandardPitching!$A:$A,0),MATCH(AY$2,TeamStandardPitching!$A$225:$AJ$225,0))</f>
        <v>33</v>
      </c>
      <c r="AZ4" s="7">
        <f>INDEX(TeamStandardPitching!$A:$AJ,MATCH($A4,TeamStandardPitching!$A:$A,0),MATCH(AZ$2,TeamStandardPitching!$A$225:$AJ$225,0))</f>
        <v>1393</v>
      </c>
      <c r="BA4" s="7">
        <f>INDEX(TeamStandardPitching!$A:$AJ,MATCH($A4,TeamStandardPitching!$A:$A,0),MATCH(BA$2,TeamStandardPitching!$A$225:$AJ$225,0))</f>
        <v>69</v>
      </c>
      <c r="BB4" s="7">
        <f>INDEX(TeamStandardPitching!$A:$AJ,MATCH($A4,TeamStandardPitching!$A:$A,0),MATCH(BB$2,TeamStandardPitching!$A$225:$AJ$225,0))</f>
        <v>3</v>
      </c>
      <c r="BC4" s="7">
        <f>INDEX(TeamStandardPitching!$A:$AJ,MATCH($A4,TeamStandardPitching!$A:$A,0),MATCH(BC$2,TeamStandardPitching!$A$225:$AJ$225,0))</f>
        <v>70</v>
      </c>
      <c r="BD4" s="7">
        <f>INDEX(TeamStandardPitching!$A:$AJ,MATCH($A4,TeamStandardPitching!$A:$A,0),MATCH(BD$2,TeamStandardPitching!$A$225:$AJ$225,0))</f>
        <v>6243</v>
      </c>
      <c r="BE4" s="7">
        <f>INDEX(TeamStandardPitching!$A:$AJ,MATCH($A4,TeamStandardPitching!$A:$A,0),MATCH(BE$2,TeamStandardPitching!$A$225:$AJ$225,0))</f>
        <v>109</v>
      </c>
      <c r="BF4" s="7">
        <f>INDEX(TeamStandardPitching!$A:$AJ,MATCH($A4,TeamStandardPitching!$A:$A,0),MATCH(BF$2,TeamStandardPitching!$A$225:$AJ$225,0))</f>
        <v>4.3899999999999997</v>
      </c>
      <c r="BG4" s="7">
        <f>INDEX(TeamStandardPitching!$A:$AJ,MATCH($A4,TeamStandardPitching!$A:$A,0),MATCH(BG$2,TeamStandardPitching!$A$225:$AJ$225,0))</f>
        <v>1.357</v>
      </c>
      <c r="BH4" s="7">
        <f>INDEX(TeamStandardPitching!$A:$AJ,MATCH($A4,TeamStandardPitching!$A:$A,0),MATCH(BH$2,TeamStandardPitching!$A$225:$AJ$225,0))</f>
        <v>8.8000000000000007</v>
      </c>
      <c r="BI4" s="7">
        <f>INDEX(TeamStandardPitching!$A:$AJ,MATCH($A4,TeamStandardPitching!$A:$A,0),MATCH(BI$2,TeamStandardPitching!$A$225:$AJ$225,0))</f>
        <v>1.3</v>
      </c>
      <c r="BJ4" s="7">
        <f>INDEX(TeamStandardPitching!$A:$AJ,MATCH($A4,TeamStandardPitching!$A:$A,0),MATCH(BJ$2,TeamStandardPitching!$A$225:$AJ$225,0))</f>
        <v>3.4</v>
      </c>
      <c r="BK4" s="7">
        <f>INDEX(TeamStandardPitching!$A:$AJ,MATCH($A4,TeamStandardPitching!$A:$A,0),MATCH(BK$2,TeamStandardPitching!$A$225:$AJ$225,0))</f>
        <v>8.6</v>
      </c>
      <c r="BL4" s="7">
        <f>INDEX(TeamStandardPitching!$A:$AJ,MATCH($A4,TeamStandardPitching!$A:$A,0),MATCH(BL$2,TeamStandardPitching!$A$225:$AJ$225,0))</f>
        <v>2.54</v>
      </c>
      <c r="BM4" s="7">
        <f>INDEX(TeamStandardPitching!$A:$AJ,MATCH($A4,TeamStandardPitching!$A:$A,0),MATCH(BM$2,TeamStandardPitching!$A$225:$AJ$225,0))</f>
        <v>1148</v>
      </c>
      <c r="BO4">
        <f t="array" ref="BO4:BZ8">LINEST($K$3:$K$32,$M$3:$W$32,1,1)</f>
        <v>-2.1327942677093277E-3</v>
      </c>
      <c r="BP4">
        <v>-17.33138902295816</v>
      </c>
      <c r="BQ4">
        <v>5.2638794670594997</v>
      </c>
      <c r="BR4">
        <v>5.6189606167256265</v>
      </c>
      <c r="BS4">
        <v>-8.9602755844892648E-2</v>
      </c>
      <c r="BT4">
        <v>8.4601266624131106E-3</v>
      </c>
      <c r="BU4">
        <v>5.4347349355574313</v>
      </c>
      <c r="BV4">
        <v>1.7547415121299933E-3</v>
      </c>
      <c r="BW4">
        <v>8.9094355893060175</v>
      </c>
      <c r="BX4">
        <v>-7.2621980215278148</v>
      </c>
      <c r="BY4">
        <v>1.2520312140292864</v>
      </c>
      <c r="BZ4">
        <v>-1.9641098805067554</v>
      </c>
    </row>
    <row r="5" spans="1:78" x14ac:dyDescent="0.25">
      <c r="A5" t="s">
        <v>8</v>
      </c>
      <c r="B5" t="s">
        <v>260</v>
      </c>
      <c r="D5">
        <f>INDEX(Scores!$B$1:$G$31,MATCH($A5,Scores!$B$1:$B$31,0),MATCH(D$2,Scores!$B$1:$G$1,0))</f>
        <v>4.5584415584415581</v>
      </c>
      <c r="E5">
        <f>INDEX(Scores!$B$1:$G$31,MATCH($A5,Scores!$B$1:$B$31,0),MATCH(E$2,Scores!$B$1:$G$1,0))</f>
        <v>3.18475877898952</v>
      </c>
      <c r="F5">
        <f>INDEX(Scores!$B$1:$G$31,MATCH($A5,Scores!$B$1:$B$31,0),MATCH(F$2,Scores!$B$1:$G$1,0))</f>
        <v>4.4320987654320989</v>
      </c>
      <c r="G5">
        <f>INDEX(Scores!$B$1:$G$31,MATCH($A5,Scores!$B$1:$B$31,0),MATCH(G$2,Scores!$B$1:$G$1,0))</f>
        <v>2.8800646066353335</v>
      </c>
      <c r="H5" s="9">
        <f>INDEX(TeamAdvBatting!$A:$Z,MATCH($A5,TeamAdvBatting!$A:$A,0),MATCH(H$2,TeamAdvBatting!$A$225:$Z$225,0))</f>
        <v>4.5</v>
      </c>
      <c r="I5" s="9">
        <f>INDEX(TeamAdvBatting!$A:$Z,MATCH($A5,TeamAdvBatting!$A:$A,0),MATCH(I$2,TeamAdvBatting!$A$225:$Z$225,0))</f>
        <v>4417</v>
      </c>
      <c r="J5" s="9">
        <f>INDEX(TeamAdvBatting!$A:$Z,MATCH($A5,TeamAdvBatting!$A:$A,0),MATCH(J$2,TeamAdvBatting!$A$225:$Z$225,0))</f>
        <v>737</v>
      </c>
      <c r="K5" s="9">
        <f>INDEX(TeamAdvBatting!$A:$Z,MATCH($A5,TeamAdvBatting!$A:$A,0),MATCH(K$2,TeamAdvBatting!$A$225:$Z$225,0))</f>
        <v>4.5</v>
      </c>
      <c r="L5" s="9">
        <f>INDEX(TeamAdvBatting!$A:$Z,MATCH($A5,TeamAdvBatting!$A:$A,0),MATCH(L$2,TeamAdvBatting!$A$225:$Z$225,0))</f>
        <v>106</v>
      </c>
      <c r="M5" s="9">
        <f>INDEX(TeamAdvBatting!$A:$Z,MATCH($A5,TeamAdvBatting!$A:$A,0),MATCH(M$2,TeamAdvBatting!$A$225:$Z$225,0))</f>
        <v>0.29299999999999998</v>
      </c>
      <c r="N5" s="9">
        <f>INDEX(TeamAdvBatting!$A:$Z,MATCH($A5,TeamAdvBatting!$A:$A,0),MATCH(N$2,TeamAdvBatting!$A$225:$Z$225,0))</f>
        <v>0.31</v>
      </c>
      <c r="O5" s="9">
        <f>INDEX(TeamAdvBatting!$A:$Z,MATCH($A5,TeamAdvBatting!$A:$A,0),MATCH(O$2,TeamAdvBatting!$A$225:$Z$225,0))</f>
        <v>0.41499999999999998</v>
      </c>
      <c r="P5" s="9">
        <f>INDEX(TeamAdvBatting!$A:$Z,MATCH($A5,TeamAdvBatting!$A:$A,0),MATCH(P$2,TeamAdvBatting!$A$225:$Z$225,0))</f>
        <v>91</v>
      </c>
      <c r="Q5" s="9">
        <f>INDEX(TeamAdvBatting!$A:$Z,MATCH($A5,TeamAdvBatting!$A:$A,0),MATCH(Q$2,TeamAdvBatting!$A$225:$Z$225,0))</f>
        <v>0.44700000000000001</v>
      </c>
      <c r="R5" s="9">
        <f>INDEX(TeamAdvBatting!$A:$Z,MATCH($A5,TeamAdvBatting!$A:$A,0),MATCH(R$2,TeamAdvBatting!$A$225:$Z$225,0))</f>
        <v>-77.3</v>
      </c>
      <c r="S5" s="9">
        <f>INDEX(TeamAdvBatting!$A:$Z,MATCH($A5,TeamAdvBatting!$A:$A,0),MATCH(S$2,TeamAdvBatting!$A$225:$Z$225,0))</f>
        <v>-7.4</v>
      </c>
      <c r="T5" s="9">
        <f>INDEX(TeamAdvBatting!$A:$Z,MATCH($A5,TeamAdvBatting!$A:$A,0),MATCH(T$2,TeamAdvBatting!$A$225:$Z$225,0))</f>
        <v>0.67400000000000004</v>
      </c>
      <c r="U5" s="9">
        <f>INDEX(TeamAdvBatting!$A:$Z,MATCH($A5,TeamAdvBatting!$A:$A,0),MATCH(U$2,TeamAdvBatting!$A$225:$Z$225,0))</f>
        <v>0.26</v>
      </c>
      <c r="V5" s="9">
        <f>INDEX(TeamAdvBatting!$A:$Z,MATCH($A5,TeamAdvBatting!$A:$A,0),MATCH(V$2,TeamAdvBatting!$A$225:$Z$225,0))</f>
        <v>0.16800000000000001</v>
      </c>
      <c r="W5" s="9">
        <f>INDEX(TeamAdvBatting!$A:$Z,MATCH($A5,TeamAdvBatting!$A:$A,0),MATCH(W$2,TeamAdvBatting!$A$225:$Z$225,0))</f>
        <v>120.5</v>
      </c>
      <c r="X5" s="78">
        <f>INDEX(BattingRatios!$A$225:$Q$256,MATCH($A5,BattingRatios!$A$225:$A$256,0),MATCH(X$2,BattingRatios!$A$225:$Q$225,0))</f>
        <v>3.4000000000000002E-2</v>
      </c>
      <c r="Y5" s="78">
        <f>INDEX(BattingRatios!$A$225:$Q$256,MATCH($A5,BattingRatios!$A$225:$A$256,0),MATCH(Y$2,BattingRatios!$A$225:$Q$225,0))</f>
        <v>0.23200000000000001</v>
      </c>
      <c r="Z5" s="78">
        <f>INDEX(BattingRatios!$A$225:$Q$256,MATCH($A5,BattingRatios!$A$225:$A$256,0),MATCH(Z$2,BattingRatios!$A$225:$Q$225,0))</f>
        <v>7.4999999999999997E-2</v>
      </c>
      <c r="AA5" s="78">
        <f>INDEX(BattingRatios!$A$225:$Q$256,MATCH($A5,BattingRatios!$A$225:$A$256,0),MATCH(AA$2,BattingRatios!$A$225:$Q$225,0))</f>
        <v>7.9000000000000001E-2</v>
      </c>
      <c r="AB5" s="78">
        <f>INDEX(BattingRatios!$A$225:$Q$256,MATCH($A5,BattingRatios!$A$225:$A$256,0),MATCH(AB$2,BattingRatios!$A$225:$Q$225,0))</f>
        <v>0.36</v>
      </c>
      <c r="AC5" s="78">
        <f>INDEX(BattingRatios!$A$225:$Q$256,MATCH($A5,BattingRatios!$A$225:$A$256,0),MATCH(AC$2,BattingRatios!$A$225:$Q$225,0))</f>
        <v>0.8</v>
      </c>
      <c r="AD5" s="78">
        <f>INDEX(BattingRatios!$A$225:$Q$256,MATCH($A5,BattingRatios!$A$225:$A$256,0),MATCH(AD$2,BattingRatios!$A$225:$Q$225,0))</f>
        <v>1.07</v>
      </c>
      <c r="AE5" s="78">
        <f>INDEX(BattingRatios!$A$225:$Q$256,MATCH($A5,BattingRatios!$A$225:$A$256,0),MATCH(AE$2,BattingRatios!$A$225:$Q$225,0))</f>
        <v>0.64</v>
      </c>
      <c r="AF5" s="78">
        <f>INDEX(BattingRatios!$A$225:$Q$256,MATCH($A5,BattingRatios!$A$225:$A$256,0),MATCH(AF$2,BattingRatios!$A$225:$Q$225,0))</f>
        <v>0.24</v>
      </c>
      <c r="AG5" s="78">
        <f>INDEX(BattingRatios!$A$225:$Q$256,MATCH($A5,BattingRatios!$A$225:$A$256,0),MATCH(AG$2,BattingRatios!$A$225:$Q$225,0))</f>
        <v>0.105</v>
      </c>
      <c r="AH5" s="78">
        <f>INDEX(BattingRatios!$A$225:$Q$256,MATCH($A5,BattingRatios!$A$225:$A$256,0),MATCH(AH$2,BattingRatios!$A$225:$Q$225,0))</f>
        <v>0.12</v>
      </c>
      <c r="AI5" s="81">
        <f>INDEX(PitchingRatios!$A$225:$S$256,MATCH($A5,PitchingRatios!$A$225:$A$256,0),MATCH(AI$2,PitchingRatios!$A$225:$S$225,0))</f>
        <v>4.8000000000000001E-2</v>
      </c>
      <c r="AJ5" s="81">
        <f>INDEX(PitchingRatios!$A$225:$S$256,MATCH($A5,PitchingRatios!$A$225:$A$256,0),MATCH(AJ$2,PitchingRatios!$A$225:$S$225,0))</f>
        <v>0.19500000000000001</v>
      </c>
      <c r="AK5" s="81">
        <f>INDEX(PitchingRatios!$A$225:$S$256,MATCH($A5,PitchingRatios!$A$225:$A$256,0),MATCH(AK$2,PitchingRatios!$A$225:$S$225,0))</f>
        <v>8.7999999999999995E-2</v>
      </c>
      <c r="AL5" s="81">
        <f>INDEX(PitchingRatios!$A$225:$S$256,MATCH($A5,PitchingRatios!$A$225:$A$256,0),MATCH(AL$2,PitchingRatios!$A$225:$S$225,0))</f>
        <v>0.10100000000000001</v>
      </c>
      <c r="AM5" s="81">
        <f>INDEX(PitchingRatios!$A$225:$S$256,MATCH($A5,PitchingRatios!$A$225:$A$256,0),MATCH(AM$2,PitchingRatios!$A$225:$S$225,0))</f>
        <v>0.42</v>
      </c>
      <c r="AN5" s="81">
        <f>INDEX(PitchingRatios!$A$225:$S$256,MATCH($A5,PitchingRatios!$A$225:$A$256,0),MATCH(AN$2,PitchingRatios!$A$225:$S$225,0))</f>
        <v>0.68</v>
      </c>
      <c r="AO5" s="81">
        <f>INDEX(PitchingRatios!$A$225:$S$256,MATCH($A5,PitchingRatios!$A$225:$A$256,0),MATCH(AO$2,PitchingRatios!$A$225:$S$225,0))</f>
        <v>0.93</v>
      </c>
      <c r="AP5" s="81">
        <f>INDEX(PitchingRatios!$A$225:$S$256,MATCH($A5,PitchingRatios!$A$225:$A$256,0),MATCH(AP$2,PitchingRatios!$A$225:$S$225,0))</f>
        <v>0.66</v>
      </c>
      <c r="AQ5" s="81">
        <f>INDEX(PitchingRatios!$A$225:$S$256,MATCH($A5,PitchingRatios!$A$225:$A$256,0),MATCH(AQ$2,PitchingRatios!$A$225:$S$225,0))</f>
        <v>0.26</v>
      </c>
      <c r="AR5" s="81">
        <f>INDEX(PitchingRatios!$A$225:$S$256,MATCH($A5,PitchingRatios!$A$225:$A$256,0),MATCH(AR$2,PitchingRatios!$A$225:$S$225,0))</f>
        <v>0.13</v>
      </c>
      <c r="AS5" s="81">
        <f>INDEX(PitchingRatios!$A$225:$S$256,MATCH($A5,PitchingRatios!$A$225:$A$256,0),MATCH(AS$2,PitchingRatios!$A$225:$S$225,0))</f>
        <v>0.12</v>
      </c>
      <c r="AT5" s="7">
        <f>INDEX(TeamStandardPitching!$A:$AJ,MATCH($A5,TeamStandardPitching!$A:$A,0),MATCH(AT$2,TeamStandardPitching!$A$225:$AJ$225,0))</f>
        <v>38</v>
      </c>
      <c r="AU5" s="7">
        <f>INDEX(TeamStandardPitching!$A:$AJ,MATCH($A5,TeamStandardPitching!$A:$A,0),MATCH(AU$2,TeamStandardPitching!$A$225:$AJ$225,0))</f>
        <v>27.3</v>
      </c>
      <c r="AV5" s="7">
        <f>INDEX(TeamStandardPitching!$A:$AJ,MATCH($A5,TeamStandardPitching!$A:$A,0),MATCH(AV$2,TeamStandardPitching!$A$225:$AJ$225,0))</f>
        <v>6.06</v>
      </c>
      <c r="AW5" s="7">
        <f>INDEX(TeamStandardPitching!$A:$AJ,MATCH($A5,TeamStandardPitching!$A:$A,0),MATCH(AW$2,TeamStandardPitching!$A$225:$AJ$225,0))</f>
        <v>305</v>
      </c>
      <c r="AX5" s="7">
        <f>INDEX(TeamStandardPitching!$A:$AJ,MATCH($A5,TeamStandardPitching!$A:$A,0),MATCH(AX$2,TeamStandardPitching!$A$225:$AJ$225,0))</f>
        <v>561</v>
      </c>
      <c r="AY5" s="7">
        <f>INDEX(TeamStandardPitching!$A:$AJ,MATCH($A5,TeamStandardPitching!$A:$A,0),MATCH(AY$2,TeamStandardPitching!$A$225:$AJ$225,0))</f>
        <v>11</v>
      </c>
      <c r="AZ5" s="7">
        <f>INDEX(TeamStandardPitching!$A:$AJ,MATCH($A5,TeamStandardPitching!$A:$A,0),MATCH(AZ$2,TeamStandardPitching!$A$225:$AJ$225,0))</f>
        <v>1248</v>
      </c>
      <c r="BA5" s="7">
        <f>INDEX(TeamStandardPitching!$A:$AJ,MATCH($A5,TeamStandardPitching!$A:$A,0),MATCH(BA$2,TeamStandardPitching!$A$225:$AJ$225,0))</f>
        <v>80</v>
      </c>
      <c r="BB5" s="7">
        <f>INDEX(TeamStandardPitching!$A:$AJ,MATCH($A5,TeamStandardPitching!$A:$A,0),MATCH(BB$2,TeamStandardPitching!$A$225:$AJ$225,0))</f>
        <v>6</v>
      </c>
      <c r="BC5" s="7">
        <f>INDEX(TeamStandardPitching!$A:$AJ,MATCH($A5,TeamStandardPitching!$A:$A,0),MATCH(BC$2,TeamStandardPitching!$A$225:$AJ$225,0))</f>
        <v>75</v>
      </c>
      <c r="BD5" s="7">
        <f>INDEX(TeamStandardPitching!$A:$AJ,MATCH($A5,TeamStandardPitching!$A:$A,0),MATCH(BD$2,TeamStandardPitching!$A$225:$AJ$225,0))</f>
        <v>6396</v>
      </c>
      <c r="BE5" s="7">
        <f>INDEX(TeamStandardPitching!$A:$AJ,MATCH($A5,TeamStandardPitching!$A:$A,0),MATCH(BE$2,TeamStandardPitching!$A$225:$AJ$225,0))</f>
        <v>84</v>
      </c>
      <c r="BF5" s="7">
        <f>INDEX(TeamStandardPitching!$A:$AJ,MATCH($A5,TeamStandardPitching!$A:$A,0),MATCH(BF$2,TeamStandardPitching!$A$225:$AJ$225,0))</f>
        <v>5.56</v>
      </c>
      <c r="BG5" s="7">
        <f>INDEX(TeamStandardPitching!$A:$AJ,MATCH($A5,TeamStandardPitching!$A:$A,0),MATCH(BG$2,TeamStandardPitching!$A$225:$AJ$225,0))</f>
        <v>1.4590000000000001</v>
      </c>
      <c r="BH5" s="7">
        <f>INDEX(TeamStandardPitching!$A:$AJ,MATCH($A5,TeamStandardPitching!$A:$A,0),MATCH(BH$2,TeamStandardPitching!$A$225:$AJ$225,0))</f>
        <v>9.6</v>
      </c>
      <c r="BI5" s="7">
        <f>INDEX(TeamStandardPitching!$A:$AJ,MATCH($A5,TeamStandardPitching!$A:$A,0),MATCH(BI$2,TeamStandardPitching!$A$225:$AJ$225,0))</f>
        <v>1.9</v>
      </c>
      <c r="BJ5" s="7">
        <f>INDEX(TeamStandardPitching!$A:$AJ,MATCH($A5,TeamStandardPitching!$A:$A,0),MATCH(BJ$2,TeamStandardPitching!$A$225:$AJ$225,0))</f>
        <v>3.5</v>
      </c>
      <c r="BK5" s="7">
        <f>INDEX(TeamStandardPitching!$A:$AJ,MATCH($A5,TeamStandardPitching!$A:$A,0),MATCH(BK$2,TeamStandardPitching!$A$225:$AJ$225,0))</f>
        <v>7.8</v>
      </c>
      <c r="BL5" s="7">
        <f>INDEX(TeamStandardPitching!$A:$AJ,MATCH($A5,TeamStandardPitching!$A:$A,0),MATCH(BL$2,TeamStandardPitching!$A$225:$AJ$225,0))</f>
        <v>2.2200000000000002</v>
      </c>
      <c r="BM5" s="7">
        <f>INDEX(TeamStandardPitching!$A:$AJ,MATCH($A5,TeamStandardPitching!$A:$A,0),MATCH(BM$2,TeamStandardPitching!$A$225:$AJ$225,0))</f>
        <v>1086</v>
      </c>
      <c r="BO5">
        <v>8.5810658286884127E-4</v>
      </c>
      <c r="BP5">
        <v>7.3755284152468299</v>
      </c>
      <c r="BQ5">
        <v>3.4362857776181359</v>
      </c>
      <c r="BR5">
        <v>3.637529137834087</v>
      </c>
      <c r="BS5">
        <v>0.16862009222273863</v>
      </c>
      <c r="BT5">
        <v>1.539009532954771E-2</v>
      </c>
      <c r="BU5">
        <v>1.6189877472107863</v>
      </c>
      <c r="BV5">
        <v>2.8155773892870856E-2</v>
      </c>
      <c r="BW5">
        <v>6.0526557467901183</v>
      </c>
      <c r="BX5">
        <v>6.9976647282263524</v>
      </c>
      <c r="BY5">
        <v>1.4338432359965754</v>
      </c>
      <c r="BZ5">
        <v>2.8329891253717761</v>
      </c>
    </row>
    <row r="6" spans="1:78" x14ac:dyDescent="0.25">
      <c r="A6" t="s">
        <v>9</v>
      </c>
      <c r="B6" t="s">
        <v>261</v>
      </c>
      <c r="D6">
        <f>INDEX(Scores!$B$1:$G$31,MATCH($A6,Scores!$B$1:$B$31,0),MATCH(D$2,Scores!$B$1:$G$1,0))</f>
        <v>5.4936708860759493</v>
      </c>
      <c r="E6">
        <f>INDEX(Scores!$B$1:$G$31,MATCH($A6,Scores!$B$1:$B$31,0),MATCH(E$2,Scores!$B$1:$G$1,0))</f>
        <v>3.5252198700492929</v>
      </c>
      <c r="F6">
        <f>INDEX(Scores!$B$1:$G$31,MATCH($A6,Scores!$B$1:$B$31,0),MATCH(F$2,Scores!$B$1:$G$1,0))</f>
        <v>5.666666666666667</v>
      </c>
      <c r="G6">
        <f>INDEX(Scores!$B$1:$G$31,MATCH($A6,Scores!$B$1:$B$31,0),MATCH(G$2,Scores!$B$1:$G$1,0))</f>
        <v>3.6573307720342134</v>
      </c>
      <c r="H6" s="9">
        <f>INDEX(TeamAdvBatting!$A:$Z,MATCH($A6,TeamAdvBatting!$A:$A,0),MATCH(H$2,TeamAdvBatting!$A$225:$Z$225,0))</f>
        <v>5.56</v>
      </c>
      <c r="I6" s="9">
        <f>INDEX(TeamAdvBatting!$A:$Z,MATCH($A6,TeamAdvBatting!$A:$A,0),MATCH(I$2,TeamAdvBatting!$A$225:$Z$225,0))</f>
        <v>4437</v>
      </c>
      <c r="J6" s="9">
        <f>INDEX(TeamAdvBatting!$A:$Z,MATCH($A6,TeamAdvBatting!$A:$A,0),MATCH(J$2,TeamAdvBatting!$A$225:$Z$225,0))</f>
        <v>941</v>
      </c>
      <c r="K6" s="9">
        <f>INDEX(TeamAdvBatting!$A:$Z,MATCH($A6,TeamAdvBatting!$A:$A,0),MATCH(K$2,TeamAdvBatting!$A$225:$Z$225,0))</f>
        <v>5.7</v>
      </c>
      <c r="L6" s="9">
        <f>INDEX(TeamAdvBatting!$A:$Z,MATCH($A6,TeamAdvBatting!$A:$A,0),MATCH(L$2,TeamAdvBatting!$A$225:$Z$225,0))</f>
        <v>111</v>
      </c>
      <c r="M6" s="9">
        <f>INDEX(TeamAdvBatting!$A:$Z,MATCH($A6,TeamAdvBatting!$A:$A,0),MATCH(M$2,TeamAdvBatting!$A$225:$Z$225,0))</f>
        <v>0.313</v>
      </c>
      <c r="N6" s="9">
        <f>INDEX(TeamAdvBatting!$A:$Z,MATCH($A6,TeamAdvBatting!$A:$A,0),MATCH(N$2,TeamAdvBatting!$A$225:$Z$225,0))</f>
        <v>0.34</v>
      </c>
      <c r="O6" s="9">
        <f>INDEX(TeamAdvBatting!$A:$Z,MATCH($A6,TeamAdvBatting!$A:$A,0),MATCH(O$2,TeamAdvBatting!$A$225:$Z$225,0))</f>
        <v>0.46600000000000003</v>
      </c>
      <c r="P6" s="9">
        <f>INDEX(TeamAdvBatting!$A:$Z,MATCH($A6,TeamAdvBatting!$A:$A,0),MATCH(P$2,TeamAdvBatting!$A$225:$Z$225,0))</f>
        <v>107</v>
      </c>
      <c r="Q6" s="9">
        <f>INDEX(TeamAdvBatting!$A:$Z,MATCH($A6,TeamAdvBatting!$A:$A,0),MATCH(Q$2,TeamAdvBatting!$A$225:$Z$225,0))</f>
        <v>0.55700000000000005</v>
      </c>
      <c r="R6" s="9">
        <f>INDEX(TeamAdvBatting!$A:$Z,MATCH($A6,TeamAdvBatting!$A:$A,0),MATCH(R$2,TeamAdvBatting!$A$225:$Z$225,0))</f>
        <v>58</v>
      </c>
      <c r="S6" s="9">
        <f>INDEX(TeamAdvBatting!$A:$Z,MATCH($A6,TeamAdvBatting!$A:$A,0),MATCH(S$2,TeamAdvBatting!$A$225:$Z$225,0))</f>
        <v>5.2</v>
      </c>
      <c r="T6" s="9">
        <f>INDEX(TeamAdvBatting!$A:$Z,MATCH($A6,TeamAdvBatting!$A:$A,0),MATCH(T$2,TeamAdvBatting!$A$225:$Z$225,0))</f>
        <v>0.77600000000000002</v>
      </c>
      <c r="U6" s="9">
        <f>INDEX(TeamAdvBatting!$A:$Z,MATCH($A6,TeamAdvBatting!$A:$A,0),MATCH(U$2,TeamAdvBatting!$A$225:$Z$225,0))</f>
        <v>0.30499999999999999</v>
      </c>
      <c r="V6" s="9">
        <f>INDEX(TeamAdvBatting!$A:$Z,MATCH($A6,TeamAdvBatting!$A:$A,0),MATCH(V$2,TeamAdvBatting!$A$225:$Z$225,0))</f>
        <v>0.19700000000000001</v>
      </c>
      <c r="W6" s="9">
        <f>INDEX(TeamAdvBatting!$A:$Z,MATCH($A6,TeamAdvBatting!$A:$A,0),MATCH(W$2,TeamAdvBatting!$A$225:$Z$225,0))</f>
        <v>106.5</v>
      </c>
      <c r="X6" s="78">
        <f>INDEX(BattingRatios!$A$225:$Q$256,MATCH($A6,BattingRatios!$A$225:$A$256,0),MATCH(X$2,BattingRatios!$A$225:$Q$225,0))</f>
        <v>3.7999999999999999E-2</v>
      </c>
      <c r="Y6" s="78">
        <f>INDEX(BattingRatios!$A$225:$Q$256,MATCH($A6,BattingRatios!$A$225:$A$256,0),MATCH(Y$2,BattingRatios!$A$225:$Q$225,0))</f>
        <v>0.21299999999999999</v>
      </c>
      <c r="Z6" s="78">
        <f>INDEX(BattingRatios!$A$225:$Q$256,MATCH($A6,BattingRatios!$A$225:$A$256,0),MATCH(Z$2,BattingRatios!$A$225:$Q$225,0))</f>
        <v>9.0999999999999998E-2</v>
      </c>
      <c r="AA6" s="78">
        <f>INDEX(BattingRatios!$A$225:$Q$256,MATCH($A6,BattingRatios!$A$225:$A$256,0),MATCH(AA$2,BattingRatios!$A$225:$Q$225,0))</f>
        <v>9.5000000000000001E-2</v>
      </c>
      <c r="AB6" s="78">
        <f>INDEX(BattingRatios!$A$225:$Q$256,MATCH($A6,BattingRatios!$A$225:$A$256,0),MATCH(AB$2,BattingRatios!$A$225:$Q$225,0))</f>
        <v>0.4</v>
      </c>
      <c r="AC6" s="78">
        <f>INDEX(BattingRatios!$A$225:$Q$256,MATCH($A6,BattingRatios!$A$225:$A$256,0),MATCH(AC$2,BattingRatios!$A$225:$Q$225,0))</f>
        <v>0.76</v>
      </c>
      <c r="AD6" s="78">
        <f>INDEX(BattingRatios!$A$225:$Q$256,MATCH($A6,BattingRatios!$A$225:$A$256,0),MATCH(AD$2,BattingRatios!$A$225:$Q$225,0))</f>
        <v>1.05</v>
      </c>
      <c r="AE6" s="78">
        <f>INDEX(BattingRatios!$A$225:$Q$256,MATCH($A6,BattingRatios!$A$225:$A$256,0),MATCH(AE$2,BattingRatios!$A$225:$Q$225,0))</f>
        <v>0.65</v>
      </c>
      <c r="AF6" s="78">
        <f>INDEX(BattingRatios!$A$225:$Q$256,MATCH($A6,BattingRatios!$A$225:$A$256,0),MATCH(AF$2,BattingRatios!$A$225:$Q$225,0))</f>
        <v>0.25</v>
      </c>
      <c r="AG6" s="78">
        <f>INDEX(BattingRatios!$A$225:$Q$256,MATCH($A6,BattingRatios!$A$225:$A$256,0),MATCH(AG$2,BattingRatios!$A$225:$Q$225,0))</f>
        <v>0.109</v>
      </c>
      <c r="AH6" s="78">
        <f>INDEX(BattingRatios!$A$225:$Q$256,MATCH($A6,BattingRatios!$A$225:$A$256,0),MATCH(AH$2,BattingRatios!$A$225:$Q$225,0))</f>
        <v>0.1</v>
      </c>
      <c r="AI6" s="81">
        <f>INDEX(PitchingRatios!$A$225:$S$256,MATCH($A6,PitchingRatios!$A$225:$A$256,0),MATCH(AI$2,PitchingRatios!$A$225:$S$225,0))</f>
        <v>3.4000000000000002E-2</v>
      </c>
      <c r="AJ6" s="81">
        <f>INDEX(PitchingRatios!$A$225:$S$256,MATCH($A6,PitchingRatios!$A$225:$A$256,0),MATCH(AJ$2,PitchingRatios!$A$225:$S$225,0))</f>
        <v>0.255</v>
      </c>
      <c r="AK6" s="81">
        <f>INDEX(PitchingRatios!$A$225:$S$256,MATCH($A6,PitchingRatios!$A$225:$A$256,0),MATCH(AK$2,PitchingRatios!$A$225:$S$225,0))</f>
        <v>9.5000000000000001E-2</v>
      </c>
      <c r="AL6" s="81">
        <f>INDEX(PitchingRatios!$A$225:$S$256,MATCH($A6,PitchingRatios!$A$225:$A$256,0),MATCH(AL$2,PitchingRatios!$A$225:$S$225,0))</f>
        <v>8.7999999999999995E-2</v>
      </c>
      <c r="AM6" s="81">
        <f>INDEX(PitchingRatios!$A$225:$S$256,MATCH($A6,PitchingRatios!$A$225:$A$256,0),MATCH(AM$2,PitchingRatios!$A$225:$S$225,0))</f>
        <v>0.39</v>
      </c>
      <c r="AN6" s="81">
        <f>INDEX(PitchingRatios!$A$225:$S$256,MATCH($A6,PitchingRatios!$A$225:$A$256,0),MATCH(AN$2,PitchingRatios!$A$225:$S$225,0))</f>
        <v>0.76</v>
      </c>
      <c r="AO6" s="81">
        <f>INDEX(PitchingRatios!$A$225:$S$256,MATCH($A6,PitchingRatios!$A$225:$A$256,0),MATCH(AO$2,PitchingRatios!$A$225:$S$225,0))</f>
        <v>1.04</v>
      </c>
      <c r="AP6" s="81">
        <f>INDEX(PitchingRatios!$A$225:$S$256,MATCH($A6,PitchingRatios!$A$225:$A$256,0),MATCH(AP$2,PitchingRatios!$A$225:$S$225,0))</f>
        <v>0.6</v>
      </c>
      <c r="AQ6" s="81">
        <f>INDEX(PitchingRatios!$A$225:$S$256,MATCH($A6,PitchingRatios!$A$225:$A$256,0),MATCH(AQ$2,PitchingRatios!$A$225:$S$225,0))</f>
        <v>0.25</v>
      </c>
      <c r="AR6" s="81">
        <f>INDEX(PitchingRatios!$A$225:$S$256,MATCH($A6,PitchingRatios!$A$225:$A$256,0),MATCH(AR$2,PitchingRatios!$A$225:$S$225,0))</f>
        <v>0.105</v>
      </c>
      <c r="AS6" s="81">
        <f>INDEX(PitchingRatios!$A$225:$S$256,MATCH($A6,PitchingRatios!$A$225:$A$256,0),MATCH(AS$2,PitchingRatios!$A$225:$S$225,0))</f>
        <v>0.11</v>
      </c>
      <c r="AT6" s="7">
        <f>INDEX(TeamStandardPitching!$A:$AJ,MATCH($A6,TeamStandardPitching!$A:$A,0),MATCH(AT$2,TeamStandardPitching!$A$225:$AJ$225,0))</f>
        <v>27</v>
      </c>
      <c r="AU6" s="7">
        <f>INDEX(TeamStandardPitching!$A:$AJ,MATCH($A6,TeamStandardPitching!$A:$A,0),MATCH(AU$2,TeamStandardPitching!$A$225:$AJ$225,0))</f>
        <v>29</v>
      </c>
      <c r="AV6" s="7">
        <f>INDEX(TeamStandardPitching!$A:$AJ,MATCH($A6,TeamStandardPitching!$A:$A,0),MATCH(AV$2,TeamStandardPitching!$A$225:$AJ$225,0))</f>
        <v>5.1100000000000003</v>
      </c>
      <c r="AW6" s="7">
        <f>INDEX(TeamStandardPitching!$A:$AJ,MATCH($A6,TeamStandardPitching!$A:$A,0),MATCH(AW$2,TeamStandardPitching!$A$225:$AJ$225,0))</f>
        <v>215</v>
      </c>
      <c r="AX6" s="7">
        <f>INDEX(TeamStandardPitching!$A:$AJ,MATCH($A6,TeamStandardPitching!$A:$A,0),MATCH(AX$2,TeamStandardPitching!$A$225:$AJ$225,0))</f>
        <v>605</v>
      </c>
      <c r="AY6" s="7">
        <f>INDEX(TeamStandardPitching!$A:$AJ,MATCH($A6,TeamStandardPitching!$A:$A,0),MATCH(AY$2,TeamStandardPitching!$A$225:$AJ$225,0))</f>
        <v>22</v>
      </c>
      <c r="AZ6" s="7">
        <f>INDEX(TeamStandardPitching!$A:$AJ,MATCH($A6,TeamStandardPitching!$A:$A,0),MATCH(AZ$2,TeamStandardPitching!$A$225:$AJ$225,0))</f>
        <v>1633</v>
      </c>
      <c r="BA6" s="7">
        <f>INDEX(TeamStandardPitching!$A:$AJ,MATCH($A6,TeamStandardPitching!$A:$A,0),MATCH(BA$2,TeamStandardPitching!$A$225:$AJ$225,0))</f>
        <v>76</v>
      </c>
      <c r="BB6" s="7">
        <f>INDEX(TeamStandardPitching!$A:$AJ,MATCH($A6,TeamStandardPitching!$A:$A,0),MATCH(BB$2,TeamStandardPitching!$A$225:$AJ$225,0))</f>
        <v>6</v>
      </c>
      <c r="BC6" s="7">
        <f>INDEX(TeamStandardPitching!$A:$AJ,MATCH($A6,TeamStandardPitching!$A:$A,0),MATCH(BC$2,TeamStandardPitching!$A$225:$AJ$225,0))</f>
        <v>81</v>
      </c>
      <c r="BD6" s="7">
        <f>INDEX(TeamStandardPitching!$A:$AJ,MATCH($A6,TeamStandardPitching!$A:$A,0),MATCH(BD$2,TeamStandardPitching!$A$225:$AJ$225,0))</f>
        <v>6400</v>
      </c>
      <c r="BE6" s="7">
        <f>INDEX(TeamStandardPitching!$A:$AJ,MATCH($A6,TeamStandardPitching!$A:$A,0),MATCH(BE$2,TeamStandardPitching!$A$225:$AJ$225,0))</f>
        <v>103</v>
      </c>
      <c r="BF6" s="7">
        <f>INDEX(TeamStandardPitching!$A:$AJ,MATCH($A6,TeamStandardPitching!$A:$A,0),MATCH(BF$2,TeamStandardPitching!$A$225:$AJ$225,0))</f>
        <v>4.28</v>
      </c>
      <c r="BG6" s="7">
        <f>INDEX(TeamStandardPitching!$A:$AJ,MATCH($A6,TeamStandardPitching!$A:$A,0),MATCH(BG$2,TeamStandardPitching!$A$225:$AJ$225,0))</f>
        <v>1.379</v>
      </c>
      <c r="BH6" s="7">
        <f>INDEX(TeamStandardPitching!$A:$AJ,MATCH($A6,TeamStandardPitching!$A:$A,0),MATCH(BH$2,TeamStandardPitching!$A$225:$AJ$225,0))</f>
        <v>8.6999999999999993</v>
      </c>
      <c r="BI6" s="7">
        <f>INDEX(TeamStandardPitching!$A:$AJ,MATCH($A6,TeamStandardPitching!$A:$A,0),MATCH(BI$2,TeamStandardPitching!$A$225:$AJ$225,0))</f>
        <v>1.3</v>
      </c>
      <c r="BJ6" s="7">
        <f>INDEX(TeamStandardPitching!$A:$AJ,MATCH($A6,TeamStandardPitching!$A:$A,0),MATCH(BJ$2,TeamStandardPitching!$A$225:$AJ$225,0))</f>
        <v>3.7</v>
      </c>
      <c r="BK6" s="7">
        <f>INDEX(TeamStandardPitching!$A:$AJ,MATCH($A6,TeamStandardPitching!$A:$A,0),MATCH(BK$2,TeamStandardPitching!$A$225:$AJ$225,0))</f>
        <v>10</v>
      </c>
      <c r="BL6" s="7">
        <f>INDEX(TeamStandardPitching!$A:$AJ,MATCH($A6,TeamStandardPitching!$A:$A,0),MATCH(BL$2,TeamStandardPitching!$A$225:$AJ$225,0))</f>
        <v>2.7</v>
      </c>
      <c r="BM6" s="7">
        <f>INDEX(TeamStandardPitching!$A:$AJ,MATCH($A6,TeamStandardPitching!$A:$A,0),MATCH(BM$2,TeamStandardPitching!$A$225:$AJ$225,0))</f>
        <v>1159</v>
      </c>
      <c r="BO6">
        <v>0.99697346608495907</v>
      </c>
      <c r="BP6">
        <v>4.2580065240468597E-2</v>
      </c>
      <c r="BQ6" t="e">
        <v>#N/A</v>
      </c>
      <c r="BR6" t="e">
        <v>#N/A</v>
      </c>
      <c r="BS6" t="e">
        <v>#N/A</v>
      </c>
      <c r="BT6" t="e">
        <v>#N/A</v>
      </c>
      <c r="BU6" t="e">
        <v>#N/A</v>
      </c>
      <c r="BV6" t="e">
        <v>#N/A</v>
      </c>
      <c r="BW6" t="e">
        <v>#N/A</v>
      </c>
      <c r="BX6" t="e">
        <v>#N/A</v>
      </c>
      <c r="BY6" t="e">
        <v>#N/A</v>
      </c>
      <c r="BZ6" t="e">
        <v>#N/A</v>
      </c>
    </row>
    <row r="7" spans="1:78" x14ac:dyDescent="0.25">
      <c r="A7" t="s">
        <v>31</v>
      </c>
      <c r="B7" t="s">
        <v>226</v>
      </c>
      <c r="D7">
        <f>INDEX(Scores!$B$1:$G$31,MATCH($A7,Scores!$B$1:$B$31,0),MATCH(D$2,Scores!$B$1:$G$1,0))</f>
        <v>4.8552631578947372</v>
      </c>
      <c r="E7">
        <f>INDEX(Scores!$B$1:$G$31,MATCH($A7,Scores!$B$1:$B$31,0),MATCH(E$2,Scores!$B$1:$G$1,0))</f>
        <v>3.4894726919106311</v>
      </c>
      <c r="F7">
        <f>INDEX(Scores!$B$1:$G$31,MATCH($A7,Scores!$B$1:$B$31,0),MATCH(F$2,Scores!$B$1:$G$1,0))</f>
        <v>5.2098765432098766</v>
      </c>
      <c r="G7">
        <f>INDEX(Scores!$B$1:$G$31,MATCH($A7,Scores!$B$1:$B$31,0),MATCH(G$2,Scores!$B$1:$G$1,0))</f>
        <v>3.5231721445406357</v>
      </c>
      <c r="H7" s="9">
        <f>INDEX(TeamAdvBatting!$A:$Z,MATCH($A7,TeamAdvBatting!$A:$A,0),MATCH(H$2,TeamAdvBatting!$A$225:$Z$225,0))</f>
        <v>5.0199999999999996</v>
      </c>
      <c r="I7" s="9">
        <f>INDEX(TeamAdvBatting!$A:$Z,MATCH($A7,TeamAdvBatting!$A:$A,0),MATCH(I$2,TeamAdvBatting!$A$225:$Z$225,0))</f>
        <v>4303</v>
      </c>
      <c r="J7" s="9">
        <f>INDEX(TeamAdvBatting!$A:$Z,MATCH($A7,TeamAdvBatting!$A:$A,0),MATCH(J$2,TeamAdvBatting!$A$225:$Z$225,0))</f>
        <v>848</v>
      </c>
      <c r="K7" s="9">
        <f>INDEX(TeamAdvBatting!$A:$Z,MATCH($A7,TeamAdvBatting!$A:$A,0),MATCH(K$2,TeamAdvBatting!$A$225:$Z$225,0))</f>
        <v>5.3</v>
      </c>
      <c r="L7" s="9">
        <f>INDEX(TeamAdvBatting!$A:$Z,MATCH($A7,TeamAdvBatting!$A:$A,0),MATCH(L$2,TeamAdvBatting!$A$225:$Z$225,0))</f>
        <v>112</v>
      </c>
      <c r="M7" s="9">
        <f>INDEX(TeamAdvBatting!$A:$Z,MATCH($A7,TeamAdvBatting!$A:$A,0),MATCH(M$2,TeamAdvBatting!$A$225:$Z$225,0))</f>
        <v>0.29699999999999999</v>
      </c>
      <c r="N7" s="9">
        <f>INDEX(TeamAdvBatting!$A:$Z,MATCH($A7,TeamAdvBatting!$A:$A,0),MATCH(N$2,TeamAdvBatting!$A$225:$Z$225,0))</f>
        <v>0.33100000000000002</v>
      </c>
      <c r="O7" s="9">
        <f>INDEX(TeamAdvBatting!$A:$Z,MATCH($A7,TeamAdvBatting!$A:$A,0),MATCH(O$2,TeamAdvBatting!$A$225:$Z$225,0))</f>
        <v>0.45200000000000001</v>
      </c>
      <c r="P7" s="9">
        <f>INDEX(TeamAdvBatting!$A:$Z,MATCH($A7,TeamAdvBatting!$A:$A,0),MATCH(P$2,TeamAdvBatting!$A$225:$Z$225,0))</f>
        <v>100</v>
      </c>
      <c r="Q7" s="9">
        <f>INDEX(TeamAdvBatting!$A:$Z,MATCH($A7,TeamAdvBatting!$A:$A,0),MATCH(Q$2,TeamAdvBatting!$A$225:$Z$225,0))</f>
        <v>0.52800000000000002</v>
      </c>
      <c r="R7" s="9">
        <f>INDEX(TeamAdvBatting!$A:$Z,MATCH($A7,TeamAdvBatting!$A:$A,0),MATCH(R$2,TeamAdvBatting!$A$225:$Z$225,0))</f>
        <v>-3.1</v>
      </c>
      <c r="S7" s="9">
        <f>INDEX(TeamAdvBatting!$A:$Z,MATCH($A7,TeamAdvBatting!$A:$A,0),MATCH(S$2,TeamAdvBatting!$A$225:$Z$225,0))</f>
        <v>-0.6</v>
      </c>
      <c r="T7" s="9">
        <f>INDEX(TeamAdvBatting!$A:$Z,MATCH($A7,TeamAdvBatting!$A:$A,0),MATCH(T$2,TeamAdvBatting!$A$225:$Z$225,0))</f>
        <v>0.75</v>
      </c>
      <c r="U7" s="9">
        <f>INDEX(TeamAdvBatting!$A:$Z,MATCH($A7,TeamAdvBatting!$A:$A,0),MATCH(U$2,TeamAdvBatting!$A$225:$Z$225,0))</f>
        <v>0.31</v>
      </c>
      <c r="V7" s="9">
        <f>INDEX(TeamAdvBatting!$A:$Z,MATCH($A7,TeamAdvBatting!$A:$A,0),MATCH(V$2,TeamAdvBatting!$A$225:$Z$225,0))</f>
        <v>0.2</v>
      </c>
      <c r="W7" s="9">
        <f>INDEX(TeamAdvBatting!$A:$Z,MATCH($A7,TeamAdvBatting!$A:$A,0),MATCH(W$2,TeamAdvBatting!$A$225:$Z$225,0))</f>
        <v>76.5</v>
      </c>
      <c r="X7" s="78">
        <f>INDEX(BattingRatios!$A$225:$Q$256,MATCH($A7,BattingRatios!$A$225:$A$256,0),MATCH(X$2,BattingRatios!$A$225:$Q$225,0))</f>
        <v>4.1000000000000002E-2</v>
      </c>
      <c r="Y7" s="78">
        <f>INDEX(BattingRatios!$A$225:$Q$256,MATCH($A7,BattingRatios!$A$225:$A$256,0),MATCH(Y$2,BattingRatios!$A$225:$Q$225,0))</f>
        <v>0.23599999999999999</v>
      </c>
      <c r="Z7" s="78">
        <f>INDEX(BattingRatios!$A$225:$Q$256,MATCH($A7,BattingRatios!$A$225:$A$256,0),MATCH(Z$2,BattingRatios!$A$225:$Q$225,0))</f>
        <v>9.4E-2</v>
      </c>
      <c r="AA7" s="78">
        <f>INDEX(BattingRatios!$A$225:$Q$256,MATCH($A7,BattingRatios!$A$225:$A$256,0),MATCH(AA$2,BattingRatios!$A$225:$Q$225,0))</f>
        <v>8.8999999999999996E-2</v>
      </c>
      <c r="AB7" s="78">
        <f>INDEX(BattingRatios!$A$225:$Q$256,MATCH($A7,BattingRatios!$A$225:$A$256,0),MATCH(AB$2,BattingRatios!$A$225:$Q$225,0))</f>
        <v>0.4</v>
      </c>
      <c r="AC7" s="78">
        <f>INDEX(BattingRatios!$A$225:$Q$256,MATCH($A7,BattingRatios!$A$225:$A$256,0),MATCH(AC$2,BattingRatios!$A$225:$Q$225,0))</f>
        <v>0.85</v>
      </c>
      <c r="AD7" s="78">
        <f>INDEX(BattingRatios!$A$225:$Q$256,MATCH($A7,BattingRatios!$A$225:$A$256,0),MATCH(AD$2,BattingRatios!$A$225:$Q$225,0))</f>
        <v>1.25</v>
      </c>
      <c r="AE7" s="78">
        <f>INDEX(BattingRatios!$A$225:$Q$256,MATCH($A7,BattingRatios!$A$225:$A$256,0),MATCH(AE$2,BattingRatios!$A$225:$Q$225,0))</f>
        <v>0.61</v>
      </c>
      <c r="AF7" s="78">
        <f>INDEX(BattingRatios!$A$225:$Q$256,MATCH($A7,BattingRatios!$A$225:$A$256,0),MATCH(AF$2,BattingRatios!$A$225:$Q$225,0))</f>
        <v>0.25</v>
      </c>
      <c r="AG7" s="78">
        <f>INDEX(BattingRatios!$A$225:$Q$256,MATCH($A7,BattingRatios!$A$225:$A$256,0),MATCH(AG$2,BattingRatios!$A$225:$Q$225,0))</f>
        <v>0.13200000000000001</v>
      </c>
      <c r="AH7" s="78">
        <f>INDEX(BattingRatios!$A$225:$Q$256,MATCH($A7,BattingRatios!$A$225:$A$256,0),MATCH(AH$2,BattingRatios!$A$225:$Q$225,0))</f>
        <v>0.1</v>
      </c>
      <c r="AI7" s="81">
        <f>INDEX(PitchingRatios!$A$225:$S$256,MATCH($A7,PitchingRatios!$A$225:$A$256,0),MATCH(AI$2,PitchingRatios!$A$225:$S$225,0))</f>
        <v>3.2000000000000001E-2</v>
      </c>
      <c r="AJ7" s="81">
        <f>INDEX(PitchingRatios!$A$225:$S$256,MATCH($A7,PitchingRatios!$A$225:$A$256,0),MATCH(AJ$2,PitchingRatios!$A$225:$S$225,0))</f>
        <v>0.23300000000000001</v>
      </c>
      <c r="AK7" s="81">
        <f>INDEX(PitchingRatios!$A$225:$S$256,MATCH($A7,PitchingRatios!$A$225:$A$256,0),MATCH(AK$2,PitchingRatios!$A$225:$S$225,0))</f>
        <v>8.5999999999999993E-2</v>
      </c>
      <c r="AL7" s="81">
        <f>INDEX(PitchingRatios!$A$225:$S$256,MATCH($A7,PitchingRatios!$A$225:$A$256,0),MATCH(AL$2,PitchingRatios!$A$225:$S$225,0))</f>
        <v>7.8E-2</v>
      </c>
      <c r="AM7" s="81">
        <f>INDEX(PitchingRatios!$A$225:$S$256,MATCH($A7,PitchingRatios!$A$225:$A$256,0),MATCH(AM$2,PitchingRatios!$A$225:$S$225,0))</f>
        <v>0.35</v>
      </c>
      <c r="AN7" s="81">
        <f>INDEX(PitchingRatios!$A$225:$S$256,MATCH($A7,PitchingRatios!$A$225:$A$256,0),MATCH(AN$2,PitchingRatios!$A$225:$S$225,0))</f>
        <v>0.85</v>
      </c>
      <c r="AO7" s="81">
        <f>INDEX(PitchingRatios!$A$225:$S$256,MATCH($A7,PitchingRatios!$A$225:$A$256,0),MATCH(AO$2,PitchingRatios!$A$225:$S$225,0))</f>
        <v>1.23</v>
      </c>
      <c r="AP7" s="81">
        <f>INDEX(PitchingRatios!$A$225:$S$256,MATCH($A7,PitchingRatios!$A$225:$A$256,0),MATCH(AP$2,PitchingRatios!$A$225:$S$225,0))</f>
        <v>0.63</v>
      </c>
      <c r="AQ7" s="81">
        <f>INDEX(PitchingRatios!$A$225:$S$256,MATCH($A7,PitchingRatios!$A$225:$A$256,0),MATCH(AQ$2,PitchingRatios!$A$225:$S$225,0))</f>
        <v>0.26</v>
      </c>
      <c r="AR7" s="81">
        <f>INDEX(PitchingRatios!$A$225:$S$256,MATCH($A7,PitchingRatios!$A$225:$A$256,0),MATCH(AR$2,PitchingRatios!$A$225:$S$225,0))</f>
        <v>9.9000000000000005E-2</v>
      </c>
      <c r="AS7" s="81">
        <f>INDEX(PitchingRatios!$A$225:$S$256,MATCH($A7,PitchingRatios!$A$225:$A$256,0),MATCH(AS$2,PitchingRatios!$A$225:$S$225,0))</f>
        <v>0.11</v>
      </c>
      <c r="AT7" s="7">
        <f>INDEX(TeamStandardPitching!$A:$AJ,MATCH($A7,TeamStandardPitching!$A:$A,0),MATCH(AT$2,TeamStandardPitching!$A$225:$AJ$225,0))</f>
        <v>33</v>
      </c>
      <c r="AU7" s="7">
        <f>INDEX(TeamStandardPitching!$A:$AJ,MATCH($A7,TeamStandardPitching!$A:$A,0),MATCH(AU$2,TeamStandardPitching!$A$225:$AJ$225,0))</f>
        <v>31.1</v>
      </c>
      <c r="AV7" s="7">
        <f>INDEX(TeamStandardPitching!$A:$AJ,MATCH($A7,TeamStandardPitching!$A:$A,0),MATCH(AV$2,TeamStandardPitching!$A$225:$AJ$225,0))</f>
        <v>4.43</v>
      </c>
      <c r="AW7" s="7">
        <f>INDEX(TeamStandardPitching!$A:$AJ,MATCH($A7,TeamStandardPitching!$A:$A,0),MATCH(AW$2,TeamStandardPitching!$A$225:$AJ$225,0))</f>
        <v>195</v>
      </c>
      <c r="AX7" s="7">
        <f>INDEX(TeamStandardPitching!$A:$AJ,MATCH($A7,TeamStandardPitching!$A:$A,0),MATCH(AX$2,TeamStandardPitching!$A$225:$AJ$225,0))</f>
        <v>534</v>
      </c>
      <c r="AY7" s="7">
        <f>INDEX(TeamStandardPitching!$A:$AJ,MATCH($A7,TeamStandardPitching!$A:$A,0),MATCH(AY$2,TeamStandardPitching!$A$225:$AJ$225,0))</f>
        <v>16</v>
      </c>
      <c r="AZ7" s="7">
        <f>INDEX(TeamStandardPitching!$A:$AJ,MATCH($A7,TeamStandardPitching!$A:$A,0),MATCH(AZ$2,TeamStandardPitching!$A$225:$AJ$225,0))</f>
        <v>1444</v>
      </c>
      <c r="BA7" s="7">
        <f>INDEX(TeamStandardPitching!$A:$AJ,MATCH($A7,TeamStandardPitching!$A:$A,0),MATCH(BA$2,TeamStandardPitching!$A$225:$AJ$225,0))</f>
        <v>80</v>
      </c>
      <c r="BB7" s="7">
        <f>INDEX(TeamStandardPitching!$A:$AJ,MATCH($A7,TeamStandardPitching!$A:$A,0),MATCH(BB$2,TeamStandardPitching!$A$225:$AJ$225,0))</f>
        <v>1</v>
      </c>
      <c r="BC7" s="7">
        <f>INDEX(TeamStandardPitching!$A:$AJ,MATCH($A7,TeamStandardPitching!$A:$A,0),MATCH(BC$2,TeamStandardPitching!$A$225:$AJ$225,0))</f>
        <v>60</v>
      </c>
      <c r="BD7" s="7">
        <f>INDEX(TeamStandardPitching!$A:$AJ,MATCH($A7,TeamStandardPitching!$A:$A,0),MATCH(BD$2,TeamStandardPitching!$A$225:$AJ$225,0))</f>
        <v>6190</v>
      </c>
      <c r="BE7" s="7">
        <f>INDEX(TeamStandardPitching!$A:$AJ,MATCH($A7,TeamStandardPitching!$A:$A,0),MATCH(BE$2,TeamStandardPitching!$A$225:$AJ$225,0))</f>
        <v>109</v>
      </c>
      <c r="BF7" s="7">
        <f>INDEX(TeamStandardPitching!$A:$AJ,MATCH($A7,TeamStandardPitching!$A:$A,0),MATCH(BF$2,TeamStandardPitching!$A$225:$AJ$225,0))</f>
        <v>4.25</v>
      </c>
      <c r="BG7" s="7">
        <f>INDEX(TeamStandardPitching!$A:$AJ,MATCH($A7,TeamStandardPitching!$A:$A,0),MATCH(BG$2,TeamStandardPitching!$A$225:$AJ$225,0))</f>
        <v>1.325</v>
      </c>
      <c r="BH7" s="7">
        <f>INDEX(TeamStandardPitching!$A:$AJ,MATCH($A7,TeamStandardPitching!$A:$A,0),MATCH(BH$2,TeamStandardPitching!$A$225:$AJ$225,0))</f>
        <v>8.6</v>
      </c>
      <c r="BI7" s="7">
        <f>INDEX(TeamStandardPitching!$A:$AJ,MATCH($A7,TeamStandardPitching!$A:$A,0),MATCH(BI$2,TeamStandardPitching!$A$225:$AJ$225,0))</f>
        <v>1.2</v>
      </c>
      <c r="BJ7" s="7">
        <f>INDEX(TeamStandardPitching!$A:$AJ,MATCH($A7,TeamStandardPitching!$A:$A,0),MATCH(BJ$2,TeamStandardPitching!$A$225:$AJ$225,0))</f>
        <v>3.3</v>
      </c>
      <c r="BK7" s="7">
        <f>INDEX(TeamStandardPitching!$A:$AJ,MATCH($A7,TeamStandardPitching!$A:$A,0),MATCH(BK$2,TeamStandardPitching!$A$225:$AJ$225,0))</f>
        <v>9</v>
      </c>
      <c r="BL7" s="7">
        <f>INDEX(TeamStandardPitching!$A:$AJ,MATCH($A7,TeamStandardPitching!$A:$A,0),MATCH(BL$2,TeamStandardPitching!$A$225:$AJ$225,0))</f>
        <v>2.7</v>
      </c>
      <c r="BM7" s="7">
        <f>INDEX(TeamStandardPitching!$A:$AJ,MATCH($A7,TeamStandardPitching!$A:$A,0),MATCH(BM$2,TeamStandardPitching!$A$225:$AJ$225,0))</f>
        <v>1147</v>
      </c>
      <c r="BO7">
        <v>539.03612915528538</v>
      </c>
      <c r="BP7">
        <v>18</v>
      </c>
      <c r="BQ7" t="e">
        <v>#N/A</v>
      </c>
      <c r="BR7" t="e">
        <v>#N/A</v>
      </c>
      <c r="BS7" t="e">
        <v>#N/A</v>
      </c>
      <c r="BT7" t="e">
        <v>#N/A</v>
      </c>
      <c r="BU7" t="e">
        <v>#N/A</v>
      </c>
      <c r="BV7" t="e">
        <v>#N/A</v>
      </c>
      <c r="BW7" t="e">
        <v>#N/A</v>
      </c>
      <c r="BX7" t="e">
        <v>#N/A</v>
      </c>
      <c r="BY7" t="e">
        <v>#N/A</v>
      </c>
      <c r="BZ7" t="e">
        <v>#N/A</v>
      </c>
    </row>
    <row r="8" spans="1:78" x14ac:dyDescent="0.25">
      <c r="A8" t="s">
        <v>32</v>
      </c>
      <c r="B8" t="s">
        <v>227</v>
      </c>
      <c r="D8">
        <f>INDEX(Scores!$B$1:$G$31,MATCH($A8,Scores!$B$1:$B$31,0),MATCH(D$2,Scores!$B$1:$G$1,0))</f>
        <v>4.6049382716049383</v>
      </c>
      <c r="E8">
        <f>INDEX(Scores!$B$1:$G$31,MATCH($A8,Scores!$B$1:$B$31,0),MATCH(E$2,Scores!$B$1:$G$1,0))</f>
        <v>2.7562678843883432</v>
      </c>
      <c r="F8">
        <f>INDEX(Scores!$B$1:$G$31,MATCH($A8,Scores!$B$1:$B$31,0),MATCH(F$2,Scores!$B$1:$G$1,0))</f>
        <v>4.1052631578947372</v>
      </c>
      <c r="G8">
        <f>INDEX(Scores!$B$1:$G$31,MATCH($A8,Scores!$B$1:$B$31,0),MATCH(G$2,Scores!$B$1:$G$1,0))</f>
        <v>2.9583910428350864</v>
      </c>
      <c r="H8" s="9">
        <f>INDEX(TeamAdvBatting!$A:$Z,MATCH($A8,TeamAdvBatting!$A:$A,0),MATCH(H$2,TeamAdvBatting!$A$225:$Z$225,0))</f>
        <v>4.4000000000000004</v>
      </c>
      <c r="I8" s="9">
        <f>INDEX(TeamAdvBatting!$A:$Z,MATCH($A8,TeamAdvBatting!$A:$A,0),MATCH(I$2,TeamAdvBatting!$A$225:$Z$225,0))</f>
        <v>4296</v>
      </c>
      <c r="J8" s="9">
        <f>INDEX(TeamAdvBatting!$A:$Z,MATCH($A8,TeamAdvBatting!$A:$A,0),MATCH(J$2,TeamAdvBatting!$A$225:$Z$225,0))</f>
        <v>730</v>
      </c>
      <c r="K8" s="9">
        <f>INDEX(TeamAdvBatting!$A:$Z,MATCH($A8,TeamAdvBatting!$A:$A,0),MATCH(K$2,TeamAdvBatting!$A$225:$Z$225,0))</f>
        <v>4.5999999999999996</v>
      </c>
      <c r="L8" s="9">
        <f>INDEX(TeamAdvBatting!$A:$Z,MATCH($A8,TeamAdvBatting!$A:$A,0),MATCH(L$2,TeamAdvBatting!$A$225:$Z$225,0))</f>
        <v>104</v>
      </c>
      <c r="M8" s="9">
        <f>INDEX(TeamAdvBatting!$A:$Z,MATCH($A8,TeamAdvBatting!$A:$A,0),MATCH(M$2,TeamAdvBatting!$A$225:$Z$225,0))</f>
        <v>0.32900000000000001</v>
      </c>
      <c r="N8" s="9">
        <f>INDEX(TeamAdvBatting!$A:$Z,MATCH($A8,TeamAdvBatting!$A:$A,0),MATCH(N$2,TeamAdvBatting!$A$225:$Z$225,0))</f>
        <v>0.314</v>
      </c>
      <c r="O8" s="9">
        <f>INDEX(TeamAdvBatting!$A:$Z,MATCH($A8,TeamAdvBatting!$A:$A,0),MATCH(O$2,TeamAdvBatting!$A$225:$Z$225,0))</f>
        <v>0.41399999999999998</v>
      </c>
      <c r="P8" s="9">
        <f>INDEX(TeamAdvBatting!$A:$Z,MATCH($A8,TeamAdvBatting!$A:$A,0),MATCH(P$2,TeamAdvBatting!$A$225:$Z$225,0))</f>
        <v>94</v>
      </c>
      <c r="Q8" s="9">
        <f>INDEX(TeamAdvBatting!$A:$Z,MATCH($A8,TeamAdvBatting!$A:$A,0),MATCH(Q$2,TeamAdvBatting!$A$225:$Z$225,0))</f>
        <v>0.45600000000000002</v>
      </c>
      <c r="R8" s="9">
        <f>INDEX(TeamAdvBatting!$A:$Z,MATCH($A8,TeamAdvBatting!$A:$A,0),MATCH(R$2,TeamAdvBatting!$A$225:$Z$225,0))</f>
        <v>-51</v>
      </c>
      <c r="S8" s="9">
        <f>INDEX(TeamAdvBatting!$A:$Z,MATCH($A8,TeamAdvBatting!$A:$A,0),MATCH(S$2,TeamAdvBatting!$A$225:$Z$225,0))</f>
        <v>-5</v>
      </c>
      <c r="T8" s="9">
        <f>INDEX(TeamAdvBatting!$A:$Z,MATCH($A8,TeamAdvBatting!$A:$A,0),MATCH(T$2,TeamAdvBatting!$A$225:$Z$225,0))</f>
        <v>0.66100000000000003</v>
      </c>
      <c r="U8" s="9">
        <f>INDEX(TeamAdvBatting!$A:$Z,MATCH($A8,TeamAdvBatting!$A:$A,0),MATCH(U$2,TeamAdvBatting!$A$225:$Z$225,0))</f>
        <v>0.22800000000000001</v>
      </c>
      <c r="V8" s="9">
        <f>INDEX(TeamAdvBatting!$A:$Z,MATCH($A8,TeamAdvBatting!$A:$A,0),MATCH(V$2,TeamAdvBatting!$A$225:$Z$225,0))</f>
        <v>0.153</v>
      </c>
      <c r="W8" s="9">
        <f>INDEX(TeamAdvBatting!$A:$Z,MATCH($A8,TeamAdvBatting!$A:$A,0),MATCH(W$2,TeamAdvBatting!$A$225:$Z$225,0))</f>
        <v>93.6</v>
      </c>
      <c r="X8" s="78">
        <f>INDEX(BattingRatios!$A$225:$Q$256,MATCH($A8,BattingRatios!$A$225:$A$256,0),MATCH(X$2,BattingRatios!$A$225:$Q$225,0))</f>
        <v>0.03</v>
      </c>
      <c r="Y8" s="78">
        <f>INDEX(BattingRatios!$A$225:$Q$256,MATCH($A8,BattingRatios!$A$225:$A$256,0),MATCH(Y$2,BattingRatios!$A$225:$Q$225,0))</f>
        <v>0.25600000000000001</v>
      </c>
      <c r="Z8" s="78">
        <f>INDEX(BattingRatios!$A$225:$Q$256,MATCH($A8,BattingRatios!$A$225:$A$256,0),MATCH(Z$2,BattingRatios!$A$225:$Q$225,0))</f>
        <v>6.3E-2</v>
      </c>
      <c r="AA8" s="78">
        <f>INDEX(BattingRatios!$A$225:$Q$256,MATCH($A8,BattingRatios!$A$225:$A$256,0),MATCH(AA$2,BattingRatios!$A$225:$Q$225,0))</f>
        <v>7.6999999999999999E-2</v>
      </c>
      <c r="AB8" s="78">
        <f>INDEX(BattingRatios!$A$225:$Q$256,MATCH($A8,BattingRatios!$A$225:$A$256,0),MATCH(AB$2,BattingRatios!$A$225:$Q$225,0))</f>
        <v>0.32</v>
      </c>
      <c r="AC8" s="78">
        <f>INDEX(BattingRatios!$A$225:$Q$256,MATCH($A8,BattingRatios!$A$225:$A$256,0),MATCH(AC$2,BattingRatios!$A$225:$Q$225,0))</f>
        <v>0.87</v>
      </c>
      <c r="AD8" s="78">
        <f>INDEX(BattingRatios!$A$225:$Q$256,MATCH($A8,BattingRatios!$A$225:$A$256,0),MATCH(AD$2,BattingRatios!$A$225:$Q$225,0))</f>
        <v>1.1299999999999999</v>
      </c>
      <c r="AE8" s="78">
        <f>INDEX(BattingRatios!$A$225:$Q$256,MATCH($A8,BattingRatios!$A$225:$A$256,0),MATCH(AE$2,BattingRatios!$A$225:$Q$225,0))</f>
        <v>0.63</v>
      </c>
      <c r="AF8" s="78">
        <f>INDEX(BattingRatios!$A$225:$Q$256,MATCH($A8,BattingRatios!$A$225:$A$256,0),MATCH(AF$2,BattingRatios!$A$225:$Q$225,0))</f>
        <v>0.26</v>
      </c>
      <c r="AG8" s="78">
        <f>INDEX(BattingRatios!$A$225:$Q$256,MATCH($A8,BattingRatios!$A$225:$A$256,0),MATCH(AG$2,BattingRatios!$A$225:$Q$225,0))</f>
        <v>9.5000000000000001E-2</v>
      </c>
      <c r="AH8" s="78">
        <f>INDEX(BattingRatios!$A$225:$Q$256,MATCH($A8,BattingRatios!$A$225:$A$256,0),MATCH(AH$2,BattingRatios!$A$225:$Q$225,0))</f>
        <v>0.11</v>
      </c>
      <c r="AI8" s="81">
        <f>INDEX(PitchingRatios!$A$225:$S$256,MATCH($A8,PitchingRatios!$A$225:$A$256,0),MATCH(AI$2,PitchingRatios!$A$225:$S$225,0))</f>
        <v>3.9E-2</v>
      </c>
      <c r="AJ8" s="81">
        <f>INDEX(PitchingRatios!$A$225:$S$256,MATCH($A8,PitchingRatios!$A$225:$A$256,0),MATCH(AJ$2,PitchingRatios!$A$225:$S$225,0))</f>
        <v>0.21299999999999999</v>
      </c>
      <c r="AK8" s="81">
        <f>INDEX(PitchingRatios!$A$225:$S$256,MATCH($A8,PitchingRatios!$A$225:$A$256,0),MATCH(AK$2,PitchingRatios!$A$225:$S$225,0))</f>
        <v>9.5000000000000001E-2</v>
      </c>
      <c r="AL8" s="81">
        <f>INDEX(PitchingRatios!$A$225:$S$256,MATCH($A8,PitchingRatios!$A$225:$A$256,0),MATCH(AL$2,PitchingRatios!$A$225:$S$225,0))</f>
        <v>8.6999999999999994E-2</v>
      </c>
      <c r="AM8" s="81">
        <f>INDEX(PitchingRatios!$A$225:$S$256,MATCH($A8,PitchingRatios!$A$225:$A$256,0),MATCH(AM$2,PitchingRatios!$A$225:$S$225,0))</f>
        <v>0.37</v>
      </c>
      <c r="AN8" s="81">
        <f>INDEX(PitchingRatios!$A$225:$S$256,MATCH($A8,PitchingRatios!$A$225:$A$256,0),MATCH(AN$2,PitchingRatios!$A$225:$S$225,0))</f>
        <v>0.76</v>
      </c>
      <c r="AO8" s="81">
        <f>INDEX(PitchingRatios!$A$225:$S$256,MATCH($A8,PitchingRatios!$A$225:$A$256,0),MATCH(AO$2,PitchingRatios!$A$225:$S$225,0))</f>
        <v>1.0900000000000001</v>
      </c>
      <c r="AP8" s="81">
        <f>INDEX(PitchingRatios!$A$225:$S$256,MATCH($A8,PitchingRatios!$A$225:$A$256,0),MATCH(AP$2,PitchingRatios!$A$225:$S$225,0))</f>
        <v>0.64</v>
      </c>
      <c r="AQ8" s="81">
        <f>INDEX(PitchingRatios!$A$225:$S$256,MATCH($A8,PitchingRatios!$A$225:$A$256,0),MATCH(AQ$2,PitchingRatios!$A$225:$S$225,0))</f>
        <v>0.26</v>
      </c>
      <c r="AR8" s="81">
        <f>INDEX(PitchingRatios!$A$225:$S$256,MATCH($A8,PitchingRatios!$A$225:$A$256,0),MATCH(AR$2,PitchingRatios!$A$225:$S$225,0))</f>
        <v>0.114</v>
      </c>
      <c r="AS8" s="81">
        <f>INDEX(PitchingRatios!$A$225:$S$256,MATCH($A8,PitchingRatios!$A$225:$A$256,0),MATCH(AS$2,PitchingRatios!$A$225:$S$225,0))</f>
        <v>0.12</v>
      </c>
      <c r="AT8" s="7">
        <f>INDEX(TeamStandardPitching!$A:$AJ,MATCH($A8,TeamStandardPitching!$A:$A,0),MATCH(AT$2,TeamStandardPitching!$A$225:$AJ$225,0))</f>
        <v>27</v>
      </c>
      <c r="AU8" s="7">
        <f>INDEX(TeamStandardPitching!$A:$AJ,MATCH($A8,TeamStandardPitching!$A:$A,0),MATCH(AU$2,TeamStandardPitching!$A$225:$AJ$225,0))</f>
        <v>27.6</v>
      </c>
      <c r="AV8" s="7">
        <f>INDEX(TeamStandardPitching!$A:$AJ,MATCH($A8,TeamStandardPitching!$A:$A,0),MATCH(AV$2,TeamStandardPitching!$A$225:$AJ$225,0))</f>
        <v>5.17</v>
      </c>
      <c r="AW8" s="7">
        <f>INDEX(TeamStandardPitching!$A:$AJ,MATCH($A8,TeamStandardPitching!$A:$A,0),MATCH(AW$2,TeamStandardPitching!$A$225:$AJ$225,0))</f>
        <v>238</v>
      </c>
      <c r="AX8" s="7">
        <f>INDEX(TeamStandardPitching!$A:$AJ,MATCH($A8,TeamStandardPitching!$A:$A,0),MATCH(AX$2,TeamStandardPitching!$A$225:$AJ$225,0))</f>
        <v>582</v>
      </c>
      <c r="AY8" s="7">
        <f>INDEX(TeamStandardPitching!$A:$AJ,MATCH($A8,TeamStandardPitching!$A:$A,0),MATCH(AY$2,TeamStandardPitching!$A$225:$AJ$225,0))</f>
        <v>30</v>
      </c>
      <c r="AZ8" s="7">
        <f>INDEX(TeamStandardPitching!$A:$AJ,MATCH($A8,TeamStandardPitching!$A:$A,0),MATCH(AZ$2,TeamStandardPitching!$A$225:$AJ$225,0))</f>
        <v>1312</v>
      </c>
      <c r="BA8" s="7">
        <f>INDEX(TeamStandardPitching!$A:$AJ,MATCH($A8,TeamStandardPitching!$A:$A,0),MATCH(BA$2,TeamStandardPitching!$A$225:$AJ$225,0))</f>
        <v>51</v>
      </c>
      <c r="BB8" s="7">
        <f>INDEX(TeamStandardPitching!$A:$AJ,MATCH($A8,TeamStandardPitching!$A:$A,0),MATCH(BB$2,TeamStandardPitching!$A$225:$AJ$225,0))</f>
        <v>5</v>
      </c>
      <c r="BC8" s="7">
        <f>INDEX(TeamStandardPitching!$A:$AJ,MATCH($A8,TeamStandardPitching!$A:$A,0),MATCH(BC$2,TeamStandardPitching!$A$225:$AJ$225,0))</f>
        <v>71</v>
      </c>
      <c r="BD8" s="7">
        <f>INDEX(TeamStandardPitching!$A:$AJ,MATCH($A8,TeamStandardPitching!$A:$A,0),MATCH(BD$2,TeamStandardPitching!$A$225:$AJ$225,0))</f>
        <v>6159</v>
      </c>
      <c r="BE8" s="7">
        <f>INDEX(TeamStandardPitching!$A:$AJ,MATCH($A8,TeamStandardPitching!$A:$A,0),MATCH(BE$2,TeamStandardPitching!$A$225:$AJ$225,0))</f>
        <v>94</v>
      </c>
      <c r="BF8" s="7">
        <f>INDEX(TeamStandardPitching!$A:$AJ,MATCH($A8,TeamStandardPitching!$A:$A,0),MATCH(BF$2,TeamStandardPitching!$A$225:$AJ$225,0))</f>
        <v>4.8899999999999997</v>
      </c>
      <c r="BG8" s="7">
        <f>INDEX(TeamStandardPitching!$A:$AJ,MATCH($A8,TeamStandardPitching!$A:$A,0),MATCH(BG$2,TeamStandardPitching!$A$225:$AJ$225,0))</f>
        <v>1.43</v>
      </c>
      <c r="BH8" s="7">
        <f>INDEX(TeamStandardPitching!$A:$AJ,MATCH($A8,TeamStandardPitching!$A:$A,0),MATCH(BH$2,TeamStandardPitching!$A$225:$AJ$225,0))</f>
        <v>9.1999999999999993</v>
      </c>
      <c r="BI8" s="7">
        <f>INDEX(TeamStandardPitching!$A:$AJ,MATCH($A8,TeamStandardPitching!$A:$A,0),MATCH(BI$2,TeamStandardPitching!$A$225:$AJ$225,0))</f>
        <v>1.5</v>
      </c>
      <c r="BJ8" s="7">
        <f>INDEX(TeamStandardPitching!$A:$AJ,MATCH($A8,TeamStandardPitching!$A:$A,0),MATCH(BJ$2,TeamStandardPitching!$A$225:$AJ$225,0))</f>
        <v>3.7</v>
      </c>
      <c r="BK8" s="7">
        <f>INDEX(TeamStandardPitching!$A:$AJ,MATCH($A8,TeamStandardPitching!$A:$A,0),MATCH(BK$2,TeamStandardPitching!$A$225:$AJ$225,0))</f>
        <v>8.4</v>
      </c>
      <c r="BL8" s="7">
        <f>INDEX(TeamStandardPitching!$A:$AJ,MATCH($A8,TeamStandardPitching!$A:$A,0),MATCH(BL$2,TeamStandardPitching!$A$225:$AJ$225,0))</f>
        <v>2.25</v>
      </c>
      <c r="BM8" s="7">
        <f>INDEX(TeamStandardPitching!$A:$AJ,MATCH($A8,TeamStandardPitching!$A:$A,0),MATCH(BM$2,TeamStandardPitching!$A$225:$AJ$225,0))</f>
        <v>1089</v>
      </c>
      <c r="BO8">
        <v>10.750364884794118</v>
      </c>
      <c r="BP8">
        <v>3.263511520588612E-2</v>
      </c>
      <c r="BQ8" t="e">
        <v>#N/A</v>
      </c>
      <c r="BR8" t="e">
        <v>#N/A</v>
      </c>
      <c r="BS8" t="e">
        <v>#N/A</v>
      </c>
      <c r="BT8" t="e">
        <v>#N/A</v>
      </c>
      <c r="BU8" t="e">
        <v>#N/A</v>
      </c>
      <c r="BV8" t="e">
        <v>#N/A</v>
      </c>
      <c r="BW8" t="e">
        <v>#N/A</v>
      </c>
      <c r="BX8" t="e">
        <v>#N/A</v>
      </c>
      <c r="BY8" t="e">
        <v>#N/A</v>
      </c>
      <c r="BZ8" t="e">
        <v>#N/A</v>
      </c>
    </row>
    <row r="9" spans="1:78" x14ac:dyDescent="0.25">
      <c r="A9" t="s">
        <v>12</v>
      </c>
      <c r="B9" t="s">
        <v>228</v>
      </c>
      <c r="D9">
        <f>INDEX(Scores!$B$1:$G$31,MATCH($A9,Scores!$B$1:$B$31,0),MATCH(D$2,Scores!$B$1:$G$1,0))</f>
        <v>4.333333333333333</v>
      </c>
      <c r="E9">
        <f>INDEX(Scores!$B$1:$G$31,MATCH($A9,Scores!$B$1:$B$31,0),MATCH(E$2,Scores!$B$1:$G$1,0))</f>
        <v>3.2842540684795973</v>
      </c>
      <c r="F9">
        <f>INDEX(Scores!$B$1:$G$31,MATCH($A9,Scores!$B$1:$B$31,0),MATCH(F$2,Scores!$B$1:$G$1,0))</f>
        <v>4.3499999999999996</v>
      </c>
      <c r="G9">
        <f>INDEX(Scores!$B$1:$G$31,MATCH($A9,Scores!$B$1:$B$31,0),MATCH(G$2,Scores!$B$1:$G$1,0))</f>
        <v>3.1784430150625633</v>
      </c>
      <c r="H9" s="9">
        <f>INDEX(TeamAdvBatting!$A:$Z,MATCH($A9,TeamAdvBatting!$A:$A,0),MATCH(H$2,TeamAdvBatting!$A$225:$Z$225,0))</f>
        <v>4.33</v>
      </c>
      <c r="I9" s="9">
        <f>INDEX(TeamAdvBatting!$A:$Z,MATCH($A9,TeamAdvBatting!$A:$A,0),MATCH(I$2,TeamAdvBatting!$A$225:$Z$225,0))</f>
        <v>4334</v>
      </c>
      <c r="J9" s="9">
        <f>INDEX(TeamAdvBatting!$A:$Z,MATCH($A9,TeamAdvBatting!$A:$A,0),MATCH(J$2,TeamAdvBatting!$A$225:$Z$225,0))</f>
        <v>747</v>
      </c>
      <c r="K9" s="9">
        <f>INDEX(TeamAdvBatting!$A:$Z,MATCH($A9,TeamAdvBatting!$A:$A,0),MATCH(K$2,TeamAdvBatting!$A$225:$Z$225,0))</f>
        <v>4.5999999999999996</v>
      </c>
      <c r="L9" s="9">
        <f>INDEX(TeamAdvBatting!$A:$Z,MATCH($A9,TeamAdvBatting!$A:$A,0),MATCH(L$2,TeamAdvBatting!$A$225:$Z$225,0))</f>
        <v>113</v>
      </c>
      <c r="M9" s="9">
        <f>INDEX(TeamAdvBatting!$A:$Z,MATCH($A9,TeamAdvBatting!$A:$A,0),MATCH(M$2,TeamAdvBatting!$A$225:$Z$225,0))</f>
        <v>0.28799999999999998</v>
      </c>
      <c r="N9" s="9">
        <f>INDEX(TeamAdvBatting!$A:$Z,MATCH($A9,TeamAdvBatting!$A:$A,0),MATCH(N$2,TeamAdvBatting!$A$225:$Z$225,0))</f>
        <v>0.315</v>
      </c>
      <c r="O9" s="9">
        <f>INDEX(TeamAdvBatting!$A:$Z,MATCH($A9,TeamAdvBatting!$A:$A,0),MATCH(O$2,TeamAdvBatting!$A$225:$Z$225,0))</f>
        <v>0.42199999999999999</v>
      </c>
      <c r="P9" s="9">
        <f>INDEX(TeamAdvBatting!$A:$Z,MATCH($A9,TeamAdvBatting!$A:$A,0),MATCH(P$2,TeamAdvBatting!$A$225:$Z$225,0))</f>
        <v>87</v>
      </c>
      <c r="Q9" s="9">
        <f>INDEX(TeamAdvBatting!$A:$Z,MATCH($A9,TeamAdvBatting!$A:$A,0),MATCH(Q$2,TeamAdvBatting!$A$225:$Z$225,0))</f>
        <v>0.46700000000000003</v>
      </c>
      <c r="R9" s="9">
        <f>INDEX(TeamAdvBatting!$A:$Z,MATCH($A9,TeamAdvBatting!$A:$A,0),MATCH(R$2,TeamAdvBatting!$A$225:$Z$225,0))</f>
        <v>-112.6</v>
      </c>
      <c r="S9" s="9">
        <f>INDEX(TeamAdvBatting!$A:$Z,MATCH($A9,TeamAdvBatting!$A:$A,0),MATCH(S$2,TeamAdvBatting!$A$225:$Z$225,0))</f>
        <v>-10.9</v>
      </c>
      <c r="T9" s="9">
        <f>INDEX(TeamAdvBatting!$A:$Z,MATCH($A9,TeamAdvBatting!$A:$A,0),MATCH(T$2,TeamAdvBatting!$A$225:$Z$225,0))</f>
        <v>0.69299999999999995</v>
      </c>
      <c r="U9" s="9">
        <f>INDEX(TeamAdvBatting!$A:$Z,MATCH($A9,TeamAdvBatting!$A:$A,0),MATCH(U$2,TeamAdvBatting!$A$225:$Z$225,0))</f>
        <v>0.27600000000000002</v>
      </c>
      <c r="V9" s="9">
        <f>INDEX(TeamAdvBatting!$A:$Z,MATCH($A9,TeamAdvBatting!$A:$A,0),MATCH(V$2,TeamAdvBatting!$A$225:$Z$225,0))</f>
        <v>0.17799999999999999</v>
      </c>
      <c r="W9" s="9">
        <f>INDEX(TeamAdvBatting!$A:$Z,MATCH($A9,TeamAdvBatting!$A:$A,0),MATCH(W$2,TeamAdvBatting!$A$225:$Z$225,0))</f>
        <v>118.3</v>
      </c>
      <c r="X9" s="78">
        <f>INDEX(BattingRatios!$A$225:$Q$256,MATCH($A9,BattingRatios!$A$225:$A$256,0),MATCH(X$2,BattingRatios!$A$225:$Q$225,0))</f>
        <v>3.6999999999999998E-2</v>
      </c>
      <c r="Y9" s="78">
        <f>INDEX(BattingRatios!$A$225:$Q$256,MATCH($A9,BattingRatios!$A$225:$A$256,0),MATCH(Y$2,BattingRatios!$A$225:$Q$225,0))</f>
        <v>0.23499999999999999</v>
      </c>
      <c r="Z9" s="78">
        <f>INDEX(BattingRatios!$A$225:$Q$256,MATCH($A9,BattingRatios!$A$225:$A$256,0),MATCH(Z$2,BattingRatios!$A$225:$Q$225,0))</f>
        <v>8.1000000000000003E-2</v>
      </c>
      <c r="AA9" s="78">
        <f>INDEX(BattingRatios!$A$225:$Q$256,MATCH($A9,BattingRatios!$A$225:$A$256,0),MATCH(AA$2,BattingRatios!$A$225:$Q$225,0))</f>
        <v>0.08</v>
      </c>
      <c r="AB9" s="78">
        <f>INDEX(BattingRatios!$A$225:$Q$256,MATCH($A9,BattingRatios!$A$225:$A$256,0),MATCH(AB$2,BattingRatios!$A$225:$Q$225,0))</f>
        <v>0.37</v>
      </c>
      <c r="AC9" s="78">
        <f>INDEX(BattingRatios!$A$225:$Q$256,MATCH($A9,BattingRatios!$A$225:$A$256,0),MATCH(AC$2,BattingRatios!$A$225:$Q$225,0))</f>
        <v>0.72</v>
      </c>
      <c r="AD9" s="78">
        <f>INDEX(BattingRatios!$A$225:$Q$256,MATCH($A9,BattingRatios!$A$225:$A$256,0),MATCH(AD$2,BattingRatios!$A$225:$Q$225,0))</f>
        <v>1.02</v>
      </c>
      <c r="AE9" s="78">
        <f>INDEX(BattingRatios!$A$225:$Q$256,MATCH($A9,BattingRatios!$A$225:$A$256,0),MATCH(AE$2,BattingRatios!$A$225:$Q$225,0))</f>
        <v>0.63</v>
      </c>
      <c r="AF9" s="78">
        <f>INDEX(BattingRatios!$A$225:$Q$256,MATCH($A9,BattingRatios!$A$225:$A$256,0),MATCH(AF$2,BattingRatios!$A$225:$Q$225,0))</f>
        <v>0.25</v>
      </c>
      <c r="AG9" s="78">
        <f>INDEX(BattingRatios!$A$225:$Q$256,MATCH($A9,BattingRatios!$A$225:$A$256,0),MATCH(AG$2,BattingRatios!$A$225:$Q$225,0))</f>
        <v>0.111</v>
      </c>
      <c r="AH9" s="78">
        <f>INDEX(BattingRatios!$A$225:$Q$256,MATCH($A9,BattingRatios!$A$225:$A$256,0),MATCH(AH$2,BattingRatios!$A$225:$Q$225,0))</f>
        <v>0.12</v>
      </c>
      <c r="AI9" s="81">
        <f>INDEX(PitchingRatios!$A$225:$S$256,MATCH($A9,PitchingRatios!$A$225:$A$256,0),MATCH(AI$2,PitchingRatios!$A$225:$S$225,0))</f>
        <v>3.5000000000000003E-2</v>
      </c>
      <c r="AJ9" s="81">
        <f>INDEX(PitchingRatios!$A$225:$S$256,MATCH($A9,PitchingRatios!$A$225:$A$256,0),MATCH(AJ$2,PitchingRatios!$A$225:$S$225,0))</f>
        <v>0.25600000000000001</v>
      </c>
      <c r="AK9" s="81">
        <f>INDEX(PitchingRatios!$A$225:$S$256,MATCH($A9,PitchingRatios!$A$225:$A$256,0),MATCH(AK$2,PitchingRatios!$A$225:$S$225,0))</f>
        <v>8.8999999999999996E-2</v>
      </c>
      <c r="AL9" s="81">
        <f>INDEX(PitchingRatios!$A$225:$S$256,MATCH($A9,PitchingRatios!$A$225:$A$256,0),MATCH(AL$2,PitchingRatios!$A$225:$S$225,0))</f>
        <v>8.1000000000000003E-2</v>
      </c>
      <c r="AM9" s="81">
        <f>INDEX(PitchingRatios!$A$225:$S$256,MATCH($A9,PitchingRatios!$A$225:$A$256,0),MATCH(AM$2,PitchingRatios!$A$225:$S$225,0))</f>
        <v>0.39</v>
      </c>
      <c r="AN9" s="81">
        <f>INDEX(PitchingRatios!$A$225:$S$256,MATCH($A9,PitchingRatios!$A$225:$A$256,0),MATCH(AN$2,PitchingRatios!$A$225:$S$225,0))</f>
        <v>0.81</v>
      </c>
      <c r="AO9" s="81">
        <f>INDEX(PitchingRatios!$A$225:$S$256,MATCH($A9,PitchingRatios!$A$225:$A$256,0),MATCH(AO$2,PitchingRatios!$A$225:$S$225,0))</f>
        <v>1.1299999999999999</v>
      </c>
      <c r="AP9" s="81">
        <f>INDEX(PitchingRatios!$A$225:$S$256,MATCH($A9,PitchingRatios!$A$225:$A$256,0),MATCH(AP$2,PitchingRatios!$A$225:$S$225,0))</f>
        <v>0.6</v>
      </c>
      <c r="AQ9" s="81">
        <f>INDEX(PitchingRatios!$A$225:$S$256,MATCH($A9,PitchingRatios!$A$225:$A$256,0),MATCH(AQ$2,PitchingRatios!$A$225:$S$225,0))</f>
        <v>0.24</v>
      </c>
      <c r="AR9" s="81">
        <f>INDEX(PitchingRatios!$A$225:$S$256,MATCH($A9,PitchingRatios!$A$225:$A$256,0),MATCH(AR$2,PitchingRatios!$A$225:$S$225,0))</f>
        <v>0.113</v>
      </c>
      <c r="AS9" s="81">
        <f>INDEX(PitchingRatios!$A$225:$S$256,MATCH($A9,PitchingRatios!$A$225:$A$256,0),MATCH(AS$2,PitchingRatios!$A$225:$S$225,0))</f>
        <v>0.11</v>
      </c>
      <c r="AT9" s="7">
        <f>INDEX(TeamStandardPitching!$A:$AJ,MATCH($A9,TeamStandardPitching!$A:$A,0),MATCH(AT$2,TeamStandardPitching!$A$225:$AJ$225,0))</f>
        <v>26</v>
      </c>
      <c r="AU9" s="7">
        <f>INDEX(TeamStandardPitching!$A:$AJ,MATCH($A9,TeamStandardPitching!$A:$A,0),MATCH(AU$2,TeamStandardPitching!$A$225:$AJ$225,0))</f>
        <v>28.2</v>
      </c>
      <c r="AV9" s="7">
        <f>INDEX(TeamStandardPitching!$A:$AJ,MATCH($A9,TeamStandardPitching!$A:$A,0),MATCH(AV$2,TeamStandardPitching!$A$225:$AJ$225,0))</f>
        <v>4.3899999999999997</v>
      </c>
      <c r="AW9" s="7">
        <f>INDEX(TeamStandardPitching!$A:$AJ,MATCH($A9,TeamStandardPitching!$A:$A,0),MATCH(AW$2,TeamStandardPitching!$A$225:$AJ$225,0))</f>
        <v>214</v>
      </c>
      <c r="AX9" s="7">
        <f>INDEX(TeamStandardPitching!$A:$AJ,MATCH($A9,TeamStandardPitching!$A:$A,0),MATCH(AX$2,TeamStandardPitching!$A$225:$AJ$225,0))</f>
        <v>536</v>
      </c>
      <c r="AY9" s="7">
        <f>INDEX(TeamStandardPitching!$A:$AJ,MATCH($A9,TeamStandardPitching!$A:$A,0),MATCH(AY$2,TeamStandardPitching!$A$225:$AJ$225,0))</f>
        <v>31</v>
      </c>
      <c r="AZ9" s="7">
        <f>INDEX(TeamStandardPitching!$A:$AJ,MATCH($A9,TeamStandardPitching!$A:$A,0),MATCH(AZ$2,TeamStandardPitching!$A$225:$AJ$225,0))</f>
        <v>1552</v>
      </c>
      <c r="BA9" s="7">
        <f>INDEX(TeamStandardPitching!$A:$AJ,MATCH($A9,TeamStandardPitching!$A:$A,0),MATCH(BA$2,TeamStandardPitching!$A$225:$AJ$225,0))</f>
        <v>58</v>
      </c>
      <c r="BB9" s="7">
        <f>INDEX(TeamStandardPitching!$A:$AJ,MATCH($A9,TeamStandardPitching!$A:$A,0),MATCH(BB$2,TeamStandardPitching!$A$225:$AJ$225,0))</f>
        <v>8</v>
      </c>
      <c r="BC9" s="7">
        <f>INDEX(TeamStandardPitching!$A:$AJ,MATCH($A9,TeamStandardPitching!$A:$A,0),MATCH(BC$2,TeamStandardPitching!$A$225:$AJ$225,0))</f>
        <v>35</v>
      </c>
      <c r="BD9" s="7">
        <f>INDEX(TeamStandardPitching!$A:$AJ,MATCH($A9,TeamStandardPitching!$A:$A,0),MATCH(BD$2,TeamStandardPitching!$A$225:$AJ$225,0))</f>
        <v>6057</v>
      </c>
      <c r="BE9" s="7">
        <f>INDEX(TeamStandardPitching!$A:$AJ,MATCH($A9,TeamStandardPitching!$A:$A,0),MATCH(BE$2,TeamStandardPitching!$A$225:$AJ$225,0))</f>
        <v>109</v>
      </c>
      <c r="BF9" s="7">
        <f>INDEX(TeamStandardPitching!$A:$AJ,MATCH($A9,TeamStandardPitching!$A:$A,0),MATCH(BF$2,TeamStandardPitching!$A$225:$AJ$225,0))</f>
        <v>4.2300000000000004</v>
      </c>
      <c r="BG9" s="7">
        <f>INDEX(TeamStandardPitching!$A:$AJ,MATCH($A9,TeamStandardPitching!$A:$A,0),MATCH(BG$2,TeamStandardPitching!$A$225:$AJ$225,0))</f>
        <v>1.256</v>
      </c>
      <c r="BH9" s="7">
        <f>INDEX(TeamStandardPitching!$A:$AJ,MATCH($A9,TeamStandardPitching!$A:$A,0),MATCH(BH$2,TeamStandardPitching!$A$225:$AJ$225,0))</f>
        <v>7.9</v>
      </c>
      <c r="BI9" s="7">
        <f>INDEX(TeamStandardPitching!$A:$AJ,MATCH($A9,TeamStandardPitching!$A:$A,0),MATCH(BI$2,TeamStandardPitching!$A$225:$AJ$225,0))</f>
        <v>1.3</v>
      </c>
      <c r="BJ9" s="7">
        <f>INDEX(TeamStandardPitching!$A:$AJ,MATCH($A9,TeamStandardPitching!$A:$A,0),MATCH(BJ$2,TeamStandardPitching!$A$225:$AJ$225,0))</f>
        <v>3.4</v>
      </c>
      <c r="BK9" s="7">
        <f>INDEX(TeamStandardPitching!$A:$AJ,MATCH($A9,TeamStandardPitching!$A:$A,0),MATCH(BK$2,TeamStandardPitching!$A$225:$AJ$225,0))</f>
        <v>9.6999999999999993</v>
      </c>
      <c r="BL9" s="7">
        <f>INDEX(TeamStandardPitching!$A:$AJ,MATCH($A9,TeamStandardPitching!$A:$A,0),MATCH(BL$2,TeamStandardPitching!$A$225:$AJ$225,0))</f>
        <v>2.9</v>
      </c>
      <c r="BM9" s="7">
        <f>INDEX(TeamStandardPitching!$A:$AJ,MATCH($A9,TeamStandardPitching!$A:$A,0),MATCH(BM$2,TeamStandardPitching!$A$225:$AJ$225,0))</f>
        <v>1032</v>
      </c>
    </row>
    <row r="10" spans="1:78" x14ac:dyDescent="0.25">
      <c r="A10" t="s">
        <v>3</v>
      </c>
      <c r="B10" t="s">
        <v>229</v>
      </c>
      <c r="D10">
        <f>INDEX(Scores!$B$1:$G$31,MATCH($A10,Scores!$B$1:$B$31,0),MATCH(D$2,Scores!$B$1:$G$1,0))</f>
        <v>4.883116883116883</v>
      </c>
      <c r="E10">
        <f>INDEX(Scores!$B$1:$G$31,MATCH($A10,Scores!$B$1:$B$31,0),MATCH(E$2,Scores!$B$1:$G$1,0))</f>
        <v>3.7031893098058615</v>
      </c>
      <c r="F10">
        <f>INDEX(Scores!$B$1:$G$31,MATCH($A10,Scores!$B$1:$B$31,0),MATCH(F$2,Scores!$B$1:$G$1,0))</f>
        <v>4.716049382716049</v>
      </c>
      <c r="G10">
        <f>INDEX(Scores!$B$1:$G$31,MATCH($A10,Scores!$B$1:$B$31,0),MATCH(G$2,Scores!$B$1:$G$1,0))</f>
        <v>2.9574537258884073</v>
      </c>
      <c r="H10" s="9">
        <f>INDEX(TeamAdvBatting!$A:$Z,MATCH($A10,TeamAdvBatting!$A:$A,0),MATCH(H$2,TeamAdvBatting!$A$225:$Z$225,0))</f>
        <v>4.75</v>
      </c>
      <c r="I10" s="9">
        <f>INDEX(TeamAdvBatting!$A:$Z,MATCH($A10,TeamAdvBatting!$A:$A,0),MATCH(I$2,TeamAdvBatting!$A$225:$Z$225,0))</f>
        <v>4302</v>
      </c>
      <c r="J10" s="9">
        <f>INDEX(TeamAdvBatting!$A:$Z,MATCH($A10,TeamAdvBatting!$A:$A,0),MATCH(J$2,TeamAdvBatting!$A$225:$Z$225,0))</f>
        <v>787</v>
      </c>
      <c r="K10" s="9">
        <f>INDEX(TeamAdvBatting!$A:$Z,MATCH($A10,TeamAdvBatting!$A:$A,0),MATCH(K$2,TeamAdvBatting!$A$225:$Z$225,0))</f>
        <v>4.9000000000000004</v>
      </c>
      <c r="L10" s="9">
        <f>INDEX(TeamAdvBatting!$A:$Z,MATCH($A10,TeamAdvBatting!$A:$A,0),MATCH(L$2,TeamAdvBatting!$A$225:$Z$225,0))</f>
        <v>110</v>
      </c>
      <c r="M10" s="9">
        <f>INDEX(TeamAdvBatting!$A:$Z,MATCH($A10,TeamAdvBatting!$A:$A,0),MATCH(M$2,TeamAdvBatting!$A$225:$Z$225,0))</f>
        <v>0.28899999999999998</v>
      </c>
      <c r="N10" s="9">
        <f>INDEX(TeamAdvBatting!$A:$Z,MATCH($A10,TeamAdvBatting!$A:$A,0),MATCH(N$2,TeamAdvBatting!$A$225:$Z$225,0))</f>
        <v>0.32300000000000001</v>
      </c>
      <c r="O10" s="9">
        <f>INDEX(TeamAdvBatting!$A:$Z,MATCH($A10,TeamAdvBatting!$A:$A,0),MATCH(O$2,TeamAdvBatting!$A$225:$Z$225,0))</f>
        <v>0.432</v>
      </c>
      <c r="P10" s="9">
        <f>INDEX(TeamAdvBatting!$A:$Z,MATCH($A10,TeamAdvBatting!$A:$A,0),MATCH(P$2,TeamAdvBatting!$A$225:$Z$225,0))</f>
        <v>95</v>
      </c>
      <c r="Q10" s="9">
        <f>INDEX(TeamAdvBatting!$A:$Z,MATCH($A10,TeamAdvBatting!$A:$A,0),MATCH(Q$2,TeamAdvBatting!$A$225:$Z$225,0))</f>
        <v>0.48899999999999999</v>
      </c>
      <c r="R10" s="9">
        <f>INDEX(TeamAdvBatting!$A:$Z,MATCH($A10,TeamAdvBatting!$A:$A,0),MATCH(R$2,TeamAdvBatting!$A$225:$Z$225,0))</f>
        <v>-41.1</v>
      </c>
      <c r="S10" s="9">
        <f>INDEX(TeamAdvBatting!$A:$Z,MATCH($A10,TeamAdvBatting!$A:$A,0),MATCH(S$2,TeamAdvBatting!$A$225:$Z$225,0))</f>
        <v>-4.0999999999999996</v>
      </c>
      <c r="T10" s="9">
        <f>INDEX(TeamAdvBatting!$A:$Z,MATCH($A10,TeamAdvBatting!$A:$A,0),MATCH(T$2,TeamAdvBatting!$A$225:$Z$225,0))</f>
        <v>0.72599999999999998</v>
      </c>
      <c r="U10" s="9">
        <f>INDEX(TeamAdvBatting!$A:$Z,MATCH($A10,TeamAdvBatting!$A:$A,0),MATCH(U$2,TeamAdvBatting!$A$225:$Z$225,0))</f>
        <v>0.29899999999999999</v>
      </c>
      <c r="V10" s="9">
        <f>INDEX(TeamAdvBatting!$A:$Z,MATCH($A10,TeamAdvBatting!$A:$A,0),MATCH(V$2,TeamAdvBatting!$A$225:$Z$225,0))</f>
        <v>0.183</v>
      </c>
      <c r="W10" s="9">
        <f>INDEX(TeamAdvBatting!$A:$Z,MATCH($A10,TeamAdvBatting!$A:$A,0),MATCH(W$2,TeamAdvBatting!$A$225:$Z$225,0))</f>
        <v>140.9</v>
      </c>
      <c r="X10" s="78">
        <f>INDEX(BattingRatios!$A$225:$Q$256,MATCH($A10,BattingRatios!$A$225:$A$256,0),MATCH(X$2,BattingRatios!$A$225:$Q$225,0))</f>
        <v>3.5999999999999997E-2</v>
      </c>
      <c r="Y10" s="78">
        <f>INDEX(BattingRatios!$A$225:$Q$256,MATCH($A10,BattingRatios!$A$225:$A$256,0),MATCH(Y$2,BattingRatios!$A$225:$Q$225,0))</f>
        <v>0.218</v>
      </c>
      <c r="Z10" s="78">
        <f>INDEX(BattingRatios!$A$225:$Q$256,MATCH($A10,BattingRatios!$A$225:$A$256,0),MATCH(Z$2,BattingRatios!$A$225:$Q$225,0))</f>
        <v>9.1999999999999998E-2</v>
      </c>
      <c r="AA10" s="78">
        <f>INDEX(BattingRatios!$A$225:$Q$256,MATCH($A10,BattingRatios!$A$225:$A$256,0),MATCH(AA$2,BattingRatios!$A$225:$Q$225,0))</f>
        <v>8.5999999999999993E-2</v>
      </c>
      <c r="AB10" s="78">
        <f>INDEX(BattingRatios!$A$225:$Q$256,MATCH($A10,BattingRatios!$A$225:$A$256,0),MATCH(AB$2,BattingRatios!$A$225:$Q$225,0))</f>
        <v>0.39</v>
      </c>
      <c r="AC10" s="78">
        <f>INDEX(BattingRatios!$A$225:$Q$256,MATCH($A10,BattingRatios!$A$225:$A$256,0),MATCH(AC$2,BattingRatios!$A$225:$Q$225,0))</f>
        <v>0.76</v>
      </c>
      <c r="AD10" s="78">
        <f>INDEX(BattingRatios!$A$225:$Q$256,MATCH($A10,BattingRatios!$A$225:$A$256,0),MATCH(AD$2,BattingRatios!$A$225:$Q$225,0))</f>
        <v>1</v>
      </c>
      <c r="AE10" s="78">
        <f>INDEX(BattingRatios!$A$225:$Q$256,MATCH($A10,BattingRatios!$A$225:$A$256,0),MATCH(AE$2,BattingRatios!$A$225:$Q$225,0))</f>
        <v>0.64</v>
      </c>
      <c r="AF10" s="78">
        <f>INDEX(BattingRatios!$A$225:$Q$256,MATCH($A10,BattingRatios!$A$225:$A$256,0),MATCH(AF$2,BattingRatios!$A$225:$Q$225,0))</f>
        <v>0.24</v>
      </c>
      <c r="AG10" s="78">
        <f>INDEX(BattingRatios!$A$225:$Q$256,MATCH($A10,BattingRatios!$A$225:$A$256,0),MATCH(AG$2,BattingRatios!$A$225:$Q$225,0))</f>
        <v>0.109</v>
      </c>
      <c r="AH10" s="78">
        <f>INDEX(BattingRatios!$A$225:$Q$256,MATCH($A10,BattingRatios!$A$225:$A$256,0),MATCH(AH$2,BattingRatios!$A$225:$Q$225,0))</f>
        <v>0.12</v>
      </c>
      <c r="AI10" s="81">
        <f>INDEX(PitchingRatios!$A$225:$S$256,MATCH($A10,PitchingRatios!$A$225:$A$256,0),MATCH(AI$2,PitchingRatios!$A$225:$S$225,0))</f>
        <v>3.5000000000000003E-2</v>
      </c>
      <c r="AJ10" s="81">
        <f>INDEX(PitchingRatios!$A$225:$S$256,MATCH($A10,PitchingRatios!$A$225:$A$256,0),MATCH(AJ$2,PitchingRatios!$A$225:$S$225,0))</f>
        <v>0.251</v>
      </c>
      <c r="AK10" s="81">
        <f>INDEX(PitchingRatios!$A$225:$S$256,MATCH($A10,PitchingRatios!$A$225:$A$256,0),MATCH(AK$2,PitchingRatios!$A$225:$S$225,0))</f>
        <v>7.4999999999999997E-2</v>
      </c>
      <c r="AL10" s="81">
        <f>INDEX(PitchingRatios!$A$225:$S$256,MATCH($A10,PitchingRatios!$A$225:$A$256,0),MATCH(AL$2,PitchingRatios!$A$225:$S$225,0))</f>
        <v>0.09</v>
      </c>
      <c r="AM10" s="81">
        <f>INDEX(PitchingRatios!$A$225:$S$256,MATCH($A10,PitchingRatios!$A$225:$A$256,0),MATCH(AM$2,PitchingRatios!$A$225:$S$225,0))</f>
        <v>0.41</v>
      </c>
      <c r="AN10" s="81">
        <f>INDEX(PitchingRatios!$A$225:$S$256,MATCH($A10,PitchingRatios!$A$225:$A$256,0),MATCH(AN$2,PitchingRatios!$A$225:$S$225,0))</f>
        <v>0.67</v>
      </c>
      <c r="AO10" s="81">
        <f>INDEX(PitchingRatios!$A$225:$S$256,MATCH($A10,PitchingRatios!$A$225:$A$256,0),MATCH(AO$2,PitchingRatios!$A$225:$S$225,0))</f>
        <v>0.87</v>
      </c>
      <c r="AP10" s="81">
        <f>INDEX(PitchingRatios!$A$225:$S$256,MATCH($A10,PitchingRatios!$A$225:$A$256,0),MATCH(AP$2,PitchingRatios!$A$225:$S$225,0))</f>
        <v>0.63</v>
      </c>
      <c r="AQ10" s="81">
        <f>INDEX(PitchingRatios!$A$225:$S$256,MATCH($A10,PitchingRatios!$A$225:$A$256,0),MATCH(AQ$2,PitchingRatios!$A$225:$S$225,0))</f>
        <v>0.26</v>
      </c>
      <c r="AR10" s="81">
        <f>INDEX(PitchingRatios!$A$225:$S$256,MATCH($A10,PitchingRatios!$A$225:$A$256,0),MATCH(AR$2,PitchingRatios!$A$225:$S$225,0))</f>
        <v>0.10100000000000001</v>
      </c>
      <c r="AS10" s="81">
        <f>INDEX(PitchingRatios!$A$225:$S$256,MATCH($A10,PitchingRatios!$A$225:$A$256,0),MATCH(AS$2,PitchingRatios!$A$225:$S$225,0))</f>
        <v>0.13</v>
      </c>
      <c r="AT10" s="7">
        <f>INDEX(TeamStandardPitching!$A:$AJ,MATCH($A10,TeamStandardPitching!$A:$A,0),MATCH(AT$2,TeamStandardPitching!$A$225:$AJ$225,0))</f>
        <v>30</v>
      </c>
      <c r="AU10" s="7">
        <f>INDEX(TeamStandardPitching!$A:$AJ,MATCH($A10,TeamStandardPitching!$A:$A,0),MATCH(AU$2,TeamStandardPitching!$A$225:$AJ$225,0))</f>
        <v>28.3</v>
      </c>
      <c r="AV10" s="7">
        <f>INDEX(TeamStandardPitching!$A:$AJ,MATCH($A10,TeamStandardPitching!$A:$A,0),MATCH(AV$2,TeamStandardPitching!$A$225:$AJ$225,0))</f>
        <v>4.0599999999999996</v>
      </c>
      <c r="AW10" s="7">
        <f>INDEX(TeamStandardPitching!$A:$AJ,MATCH($A10,TeamStandardPitching!$A:$A,0),MATCH(AW$2,TeamStandardPitching!$A$225:$AJ$225,0))</f>
        <v>207</v>
      </c>
      <c r="AX10" s="7">
        <f>INDEX(TeamStandardPitching!$A:$AJ,MATCH($A10,TeamStandardPitching!$A:$A,0),MATCH(AX$2,TeamStandardPitching!$A$225:$AJ$225,0))</f>
        <v>450</v>
      </c>
      <c r="AY10" s="7">
        <f>INDEX(TeamStandardPitching!$A:$AJ,MATCH($A10,TeamStandardPitching!$A:$A,0),MATCH(AY$2,TeamStandardPitching!$A$225:$AJ$225,0))</f>
        <v>19</v>
      </c>
      <c r="AZ10" s="7">
        <f>INDEX(TeamStandardPitching!$A:$AJ,MATCH($A10,TeamStandardPitching!$A:$A,0),MATCH(AZ$2,TeamStandardPitching!$A$225:$AJ$225,0))</f>
        <v>1508</v>
      </c>
      <c r="BA10" s="7">
        <f>INDEX(TeamStandardPitching!$A:$AJ,MATCH($A10,TeamStandardPitching!$A:$A,0),MATCH(BA$2,TeamStandardPitching!$A$225:$AJ$225,0))</f>
        <v>62</v>
      </c>
      <c r="BB10" s="7">
        <f>INDEX(TeamStandardPitching!$A:$AJ,MATCH($A10,TeamStandardPitching!$A:$A,0),MATCH(BB$2,TeamStandardPitching!$A$225:$AJ$225,0))</f>
        <v>2</v>
      </c>
      <c r="BC10" s="7">
        <f>INDEX(TeamStandardPitching!$A:$AJ,MATCH($A10,TeamStandardPitching!$A:$A,0),MATCH(BC$2,TeamStandardPitching!$A$225:$AJ$225,0))</f>
        <v>42</v>
      </c>
      <c r="BD10" s="7">
        <f>INDEX(TeamStandardPitching!$A:$AJ,MATCH($A10,TeamStandardPitching!$A:$A,0),MATCH(BD$2,TeamStandardPitching!$A$225:$AJ$225,0))</f>
        <v>6008</v>
      </c>
      <c r="BE10" s="7">
        <f>INDEX(TeamStandardPitching!$A:$AJ,MATCH($A10,TeamStandardPitching!$A:$A,0),MATCH(BE$2,TeamStandardPitching!$A$225:$AJ$225,0))</f>
        <v>125</v>
      </c>
      <c r="BF10" s="7">
        <f>INDEX(TeamStandardPitching!$A:$AJ,MATCH($A10,TeamStandardPitching!$A:$A,0),MATCH(BF$2,TeamStandardPitching!$A$225:$AJ$225,0))</f>
        <v>4.0599999999999996</v>
      </c>
      <c r="BG10" s="7">
        <f>INDEX(TeamStandardPitching!$A:$AJ,MATCH($A10,TeamStandardPitching!$A:$A,0),MATCH(BG$2,TeamStandardPitching!$A$225:$AJ$225,0))</f>
        <v>1.2230000000000001</v>
      </c>
      <c r="BH10" s="7">
        <f>INDEX(TeamStandardPitching!$A:$AJ,MATCH($A10,TeamStandardPitching!$A:$A,0),MATCH(BH$2,TeamStandardPitching!$A$225:$AJ$225,0))</f>
        <v>8.1999999999999993</v>
      </c>
      <c r="BI10" s="7">
        <f>INDEX(TeamStandardPitching!$A:$AJ,MATCH($A10,TeamStandardPitching!$A:$A,0),MATCH(BI$2,TeamStandardPitching!$A$225:$AJ$225,0))</f>
        <v>1.3</v>
      </c>
      <c r="BJ10" s="7">
        <f>INDEX(TeamStandardPitching!$A:$AJ,MATCH($A10,TeamStandardPitching!$A:$A,0),MATCH(BJ$2,TeamStandardPitching!$A$225:$AJ$225,0))</f>
        <v>2.8</v>
      </c>
      <c r="BK10" s="7">
        <f>INDEX(TeamStandardPitching!$A:$AJ,MATCH($A10,TeamStandardPitching!$A:$A,0),MATCH(BK$2,TeamStandardPitching!$A$225:$AJ$225,0))</f>
        <v>9.4</v>
      </c>
      <c r="BL10" s="7">
        <f>INDEX(TeamStandardPitching!$A:$AJ,MATCH($A10,TeamStandardPitching!$A:$A,0),MATCH(BL$2,TeamStandardPitching!$A$225:$AJ$225,0))</f>
        <v>3.35</v>
      </c>
      <c r="BM10" s="7">
        <f>INDEX(TeamStandardPitching!$A:$AJ,MATCH($A10,TeamStandardPitching!$A:$A,0),MATCH(BM$2,TeamStandardPitching!$A$225:$AJ$225,0))</f>
        <v>1038</v>
      </c>
      <c r="BO10" t="s">
        <v>258</v>
      </c>
      <c r="BP10" t="s">
        <v>321</v>
      </c>
      <c r="BQ10" t="s">
        <v>320</v>
      </c>
      <c r="BR10" t="s">
        <v>319</v>
      </c>
      <c r="BS10" t="s">
        <v>318</v>
      </c>
      <c r="BT10" t="s">
        <v>317</v>
      </c>
      <c r="BU10" t="s">
        <v>316</v>
      </c>
      <c r="BV10" t="s">
        <v>315</v>
      </c>
      <c r="BW10" t="s">
        <v>314</v>
      </c>
      <c r="BX10" t="s">
        <v>313</v>
      </c>
      <c r="BY10" t="s">
        <v>312</v>
      </c>
      <c r="BZ10" t="s">
        <v>267</v>
      </c>
    </row>
    <row r="11" spans="1:78" x14ac:dyDescent="0.25">
      <c r="A11" t="s">
        <v>11</v>
      </c>
      <c r="B11" t="s">
        <v>230</v>
      </c>
      <c r="D11">
        <f>INDEX(Scores!$B$1:$G$31,MATCH($A11,Scores!$B$1:$B$31,0),MATCH(D$2,Scores!$B$1:$G$1,0))</f>
        <v>4.1898734177215191</v>
      </c>
      <c r="E11">
        <f>INDEX(Scores!$B$1:$G$31,MATCH($A11,Scores!$B$1:$B$31,0),MATCH(E$2,Scores!$B$1:$G$1,0))</f>
        <v>2.9125479269901984</v>
      </c>
      <c r="F11">
        <f>INDEX(Scores!$B$1:$G$31,MATCH($A11,Scores!$B$1:$B$31,0),MATCH(F$2,Scores!$B$1:$G$1,0))</f>
        <v>6.1794871794871797</v>
      </c>
      <c r="G11">
        <f>INDEX(Scores!$B$1:$G$31,MATCH($A11,Scores!$B$1:$B$31,0),MATCH(G$2,Scores!$B$1:$G$1,0))</f>
        <v>3.4109311073468493</v>
      </c>
      <c r="H11" s="9">
        <f>INDEX(TeamAdvBatting!$A:$Z,MATCH($A11,TeamAdvBatting!$A:$A,0),MATCH(H$2,TeamAdvBatting!$A$225:$Z$225,0))</f>
        <v>5.15</v>
      </c>
      <c r="I11" s="9">
        <f>INDEX(TeamAdvBatting!$A:$Z,MATCH($A11,TeamAdvBatting!$A:$A,0),MATCH(I$2,TeamAdvBatting!$A$225:$Z$225,0))</f>
        <v>4394</v>
      </c>
      <c r="J11" s="9">
        <f>INDEX(TeamAdvBatting!$A:$Z,MATCH($A11,TeamAdvBatting!$A:$A,0),MATCH(J$2,TeamAdvBatting!$A$225:$Z$225,0))</f>
        <v>872</v>
      </c>
      <c r="K11" s="9">
        <f>INDEX(TeamAdvBatting!$A:$Z,MATCH($A11,TeamAdvBatting!$A:$A,0),MATCH(K$2,TeamAdvBatting!$A$225:$Z$225,0))</f>
        <v>5.3</v>
      </c>
      <c r="L11" s="9">
        <f>INDEX(TeamAdvBatting!$A:$Z,MATCH($A11,TeamAdvBatting!$A:$A,0),MATCH(L$2,TeamAdvBatting!$A$225:$Z$225,0))</f>
        <v>125</v>
      </c>
      <c r="M11" s="9">
        <f>INDEX(TeamAdvBatting!$A:$Z,MATCH($A11,TeamAdvBatting!$A:$A,0),MATCH(M$2,TeamAdvBatting!$A$225:$Z$225,0))</f>
        <v>0.32100000000000001</v>
      </c>
      <c r="N11" s="9">
        <f>INDEX(TeamAdvBatting!$A:$Z,MATCH($A11,TeamAdvBatting!$A:$A,0),MATCH(N$2,TeamAdvBatting!$A$225:$Z$225,0))</f>
        <v>0.32600000000000001</v>
      </c>
      <c r="O11" s="9">
        <f>INDEX(TeamAdvBatting!$A:$Z,MATCH($A11,TeamAdvBatting!$A:$A,0),MATCH(O$2,TeamAdvBatting!$A$225:$Z$225,0))</f>
        <v>0.45600000000000002</v>
      </c>
      <c r="P11" s="9">
        <f>INDEX(TeamAdvBatting!$A:$Z,MATCH($A11,TeamAdvBatting!$A:$A,0),MATCH(P$2,TeamAdvBatting!$A$225:$Z$225,0))</f>
        <v>87</v>
      </c>
      <c r="Q11" s="9">
        <f>INDEX(TeamAdvBatting!$A:$Z,MATCH($A11,TeamAdvBatting!$A:$A,0),MATCH(Q$2,TeamAdvBatting!$A$225:$Z$225,0))</f>
        <v>0.53100000000000003</v>
      </c>
      <c r="R11" s="9">
        <f>INDEX(TeamAdvBatting!$A:$Z,MATCH($A11,TeamAdvBatting!$A:$A,0),MATCH(R$2,TeamAdvBatting!$A$225:$Z$225,0))</f>
        <v>-121.4</v>
      </c>
      <c r="S11" s="9">
        <f>INDEX(TeamAdvBatting!$A:$Z,MATCH($A11,TeamAdvBatting!$A:$A,0),MATCH(S$2,TeamAdvBatting!$A$225:$Z$225,0))</f>
        <v>-11.8</v>
      </c>
      <c r="T11" s="9">
        <f>INDEX(TeamAdvBatting!$A:$Z,MATCH($A11,TeamAdvBatting!$A:$A,0),MATCH(T$2,TeamAdvBatting!$A$225:$Z$225,0))</f>
        <v>0.74</v>
      </c>
      <c r="U11" s="9">
        <f>INDEX(TeamAdvBatting!$A:$Z,MATCH($A11,TeamAdvBatting!$A:$A,0),MATCH(U$2,TeamAdvBatting!$A$225:$Z$225,0))</f>
        <v>0.28399999999999997</v>
      </c>
      <c r="V11" s="9">
        <f>INDEX(TeamAdvBatting!$A:$Z,MATCH($A11,TeamAdvBatting!$A:$A,0),MATCH(V$2,TeamAdvBatting!$A$225:$Z$225,0))</f>
        <v>0.19</v>
      </c>
      <c r="W11" s="9">
        <f>INDEX(TeamAdvBatting!$A:$Z,MATCH($A11,TeamAdvBatting!$A:$A,0),MATCH(W$2,TeamAdvBatting!$A$225:$Z$225,0))</f>
        <v>107.8</v>
      </c>
      <c r="X11" s="78">
        <f>INDEX(BattingRatios!$A$225:$Q$256,MATCH($A11,BattingRatios!$A$225:$A$256,0),MATCH(X$2,BattingRatios!$A$225:$Q$225,0))</f>
        <v>3.5999999999999997E-2</v>
      </c>
      <c r="Y11" s="78">
        <f>INDEX(BattingRatios!$A$225:$Q$256,MATCH($A11,BattingRatios!$A$225:$A$256,0),MATCH(Y$2,BattingRatios!$A$225:$Q$225,0))</f>
        <v>0.23899999999999999</v>
      </c>
      <c r="Z11" s="78">
        <f>INDEX(BattingRatios!$A$225:$Q$256,MATCH($A11,BattingRatios!$A$225:$A$256,0),MATCH(Z$2,BattingRatios!$A$225:$Q$225,0))</f>
        <v>7.8E-2</v>
      </c>
      <c r="AA11" s="78">
        <f>INDEX(BattingRatios!$A$225:$Q$256,MATCH($A11,BattingRatios!$A$225:$A$256,0),MATCH(AA$2,BattingRatios!$A$225:$Q$225,0))</f>
        <v>9.4E-2</v>
      </c>
      <c r="AB11" s="78">
        <f>INDEX(BattingRatios!$A$225:$Q$256,MATCH($A11,BattingRatios!$A$225:$A$256,0),MATCH(AB$2,BattingRatios!$A$225:$Q$225,0))</f>
        <v>0.39</v>
      </c>
      <c r="AC11" s="78">
        <f>INDEX(BattingRatios!$A$225:$Q$256,MATCH($A11,BattingRatios!$A$225:$A$256,0),MATCH(AC$2,BattingRatios!$A$225:$Q$225,0))</f>
        <v>0.75</v>
      </c>
      <c r="AD11" s="78">
        <f>INDEX(BattingRatios!$A$225:$Q$256,MATCH($A11,BattingRatios!$A$225:$A$256,0),MATCH(AD$2,BattingRatios!$A$225:$Q$225,0))</f>
        <v>1.1000000000000001</v>
      </c>
      <c r="AE11" s="78">
        <f>INDEX(BattingRatios!$A$225:$Q$256,MATCH($A11,BattingRatios!$A$225:$A$256,0),MATCH(AE$2,BattingRatios!$A$225:$Q$225,0))</f>
        <v>0.63</v>
      </c>
      <c r="AF11" s="78">
        <f>INDEX(BattingRatios!$A$225:$Q$256,MATCH($A11,BattingRatios!$A$225:$A$256,0),MATCH(AF$2,BattingRatios!$A$225:$Q$225,0))</f>
        <v>0.26</v>
      </c>
      <c r="AG11" s="78">
        <f>INDEX(BattingRatios!$A$225:$Q$256,MATCH($A11,BattingRatios!$A$225:$A$256,0),MATCH(AG$2,BattingRatios!$A$225:$Q$225,0))</f>
        <v>0.105</v>
      </c>
      <c r="AH11" s="78">
        <f>INDEX(BattingRatios!$A$225:$Q$256,MATCH($A11,BattingRatios!$A$225:$A$256,0),MATCH(AH$2,BattingRatios!$A$225:$Q$225,0))</f>
        <v>0.1</v>
      </c>
      <c r="AI11" s="81">
        <f>INDEX(PitchingRatios!$A$225:$S$256,MATCH($A11,PitchingRatios!$A$225:$A$256,0),MATCH(AI$2,PitchingRatios!$A$225:$S$225,0))</f>
        <v>4.2000000000000003E-2</v>
      </c>
      <c r="AJ11" s="81">
        <f>INDEX(PitchingRatios!$A$225:$S$256,MATCH($A11,PitchingRatios!$A$225:$A$256,0),MATCH(AJ$2,PitchingRatios!$A$225:$S$225,0))</f>
        <v>0.19700000000000001</v>
      </c>
      <c r="AK11" s="81">
        <f>INDEX(PitchingRatios!$A$225:$S$256,MATCH($A11,PitchingRatios!$A$225:$A$256,0),MATCH(AK$2,PitchingRatios!$A$225:$S$225,0))</f>
        <v>9.1999999999999998E-2</v>
      </c>
      <c r="AL11" s="81">
        <f>INDEX(PitchingRatios!$A$225:$S$256,MATCH($A11,PitchingRatios!$A$225:$A$256,0),MATCH(AL$2,PitchingRatios!$A$225:$S$225,0))</f>
        <v>0.1</v>
      </c>
      <c r="AM11" s="81">
        <f>INDEX(PitchingRatios!$A$225:$S$256,MATCH($A11,PitchingRatios!$A$225:$A$256,0),MATCH(AM$2,PitchingRatios!$A$225:$S$225,0))</f>
        <v>0.41</v>
      </c>
      <c r="AN11" s="81">
        <f>INDEX(PitchingRatios!$A$225:$S$256,MATCH($A11,PitchingRatios!$A$225:$A$256,0),MATCH(AN$2,PitchingRatios!$A$225:$S$225,0))</f>
        <v>0.87</v>
      </c>
      <c r="AO11" s="81">
        <f>INDEX(PitchingRatios!$A$225:$S$256,MATCH($A11,PitchingRatios!$A$225:$A$256,0),MATCH(AO$2,PitchingRatios!$A$225:$S$225,0))</f>
        <v>1.33</v>
      </c>
      <c r="AP11" s="81">
        <f>INDEX(PitchingRatios!$A$225:$S$256,MATCH($A11,PitchingRatios!$A$225:$A$256,0),MATCH(AP$2,PitchingRatios!$A$225:$S$225,0))</f>
        <v>0.65</v>
      </c>
      <c r="AQ11" s="81">
        <f>INDEX(PitchingRatios!$A$225:$S$256,MATCH($A11,PitchingRatios!$A$225:$A$256,0),MATCH(AQ$2,PitchingRatios!$A$225:$S$225,0))</f>
        <v>0.26</v>
      </c>
      <c r="AR11" s="81">
        <f>INDEX(PitchingRatios!$A$225:$S$256,MATCH($A11,PitchingRatios!$A$225:$A$256,0),MATCH(AR$2,PitchingRatios!$A$225:$S$225,0))</f>
        <v>0.124</v>
      </c>
      <c r="AS11" s="81">
        <f>INDEX(PitchingRatios!$A$225:$S$256,MATCH($A11,PitchingRatios!$A$225:$A$256,0),MATCH(AS$2,PitchingRatios!$A$225:$S$225,0))</f>
        <v>0.08</v>
      </c>
      <c r="AT11" s="7">
        <f>INDEX(TeamStandardPitching!$A:$AJ,MATCH($A11,TeamStandardPitching!$A:$A,0),MATCH(AT$2,TeamStandardPitching!$A$225:$AJ$225,0))</f>
        <v>31</v>
      </c>
      <c r="AU11" s="7">
        <f>INDEX(TeamStandardPitching!$A:$AJ,MATCH($A11,TeamStandardPitching!$A:$A,0),MATCH(AU$2,TeamStandardPitching!$A$225:$AJ$225,0))</f>
        <v>27.3</v>
      </c>
      <c r="AV11" s="7">
        <f>INDEX(TeamStandardPitching!$A:$AJ,MATCH($A11,TeamStandardPitching!$A:$A,0),MATCH(AV$2,TeamStandardPitching!$A$225:$AJ$225,0))</f>
        <v>5.91</v>
      </c>
      <c r="AW11" s="7">
        <f>INDEX(TeamStandardPitching!$A:$AJ,MATCH($A11,TeamStandardPitching!$A:$A,0),MATCH(AW$2,TeamStandardPitching!$A$225:$AJ$225,0))</f>
        <v>270</v>
      </c>
      <c r="AX11" s="7">
        <f>INDEX(TeamStandardPitching!$A:$AJ,MATCH($A11,TeamStandardPitching!$A:$A,0),MATCH(AX$2,TeamStandardPitching!$A$225:$AJ$225,0))</f>
        <v>589</v>
      </c>
      <c r="AY11" s="7">
        <f>INDEX(TeamStandardPitching!$A:$AJ,MATCH($A11,TeamStandardPitching!$A:$A,0),MATCH(AY$2,TeamStandardPitching!$A$225:$AJ$225,0))</f>
        <v>33</v>
      </c>
      <c r="AZ11" s="7">
        <f>INDEX(TeamStandardPitching!$A:$AJ,MATCH($A11,TeamStandardPitching!$A:$A,0),MATCH(AZ$2,TeamStandardPitching!$A$225:$AJ$225,0))</f>
        <v>1264</v>
      </c>
      <c r="BA11" s="7">
        <f>INDEX(TeamStandardPitching!$A:$AJ,MATCH($A11,TeamStandardPitching!$A:$A,0),MATCH(BA$2,TeamStandardPitching!$A$225:$AJ$225,0))</f>
        <v>57</v>
      </c>
      <c r="BB11" s="7">
        <f>INDEX(TeamStandardPitching!$A:$AJ,MATCH($A11,TeamStandardPitching!$A:$A,0),MATCH(BB$2,TeamStandardPitching!$A$225:$AJ$225,0))</f>
        <v>7</v>
      </c>
      <c r="BC11" s="7">
        <f>INDEX(TeamStandardPitching!$A:$AJ,MATCH($A11,TeamStandardPitching!$A:$A,0),MATCH(BC$2,TeamStandardPitching!$A$225:$AJ$225,0))</f>
        <v>63</v>
      </c>
      <c r="BD11" s="7">
        <f>INDEX(TeamStandardPitching!$A:$AJ,MATCH($A11,TeamStandardPitching!$A:$A,0),MATCH(BD$2,TeamStandardPitching!$A$225:$AJ$225,0))</f>
        <v>6423</v>
      </c>
      <c r="BE11" s="7">
        <f>INDEX(TeamStandardPitching!$A:$AJ,MATCH($A11,TeamStandardPitching!$A:$A,0),MATCH(BE$2,TeamStandardPitching!$A$225:$AJ$225,0))</f>
        <v>94</v>
      </c>
      <c r="BF11" s="7">
        <f>INDEX(TeamStandardPitching!$A:$AJ,MATCH($A11,TeamStandardPitching!$A:$A,0),MATCH(BF$2,TeamStandardPitching!$A$225:$AJ$225,0))</f>
        <v>5.23</v>
      </c>
      <c r="BG11" s="7">
        <f>INDEX(TeamStandardPitching!$A:$AJ,MATCH($A11,TeamStandardPitching!$A:$A,0),MATCH(BG$2,TeamStandardPitching!$A$225:$AJ$225,0))</f>
        <v>1.494</v>
      </c>
      <c r="BH11" s="7">
        <f>INDEX(TeamStandardPitching!$A:$AJ,MATCH($A11,TeamStandardPitching!$A:$A,0),MATCH(BH$2,TeamStandardPitching!$A$225:$AJ$225,0))</f>
        <v>9.8000000000000007</v>
      </c>
      <c r="BI11" s="7">
        <f>INDEX(TeamStandardPitching!$A:$AJ,MATCH($A11,TeamStandardPitching!$A:$A,0),MATCH(BI$2,TeamStandardPitching!$A$225:$AJ$225,0))</f>
        <v>1.7</v>
      </c>
      <c r="BJ11" s="7">
        <f>INDEX(TeamStandardPitching!$A:$AJ,MATCH($A11,TeamStandardPitching!$A:$A,0),MATCH(BJ$2,TeamStandardPitching!$A$225:$AJ$225,0))</f>
        <v>3.7</v>
      </c>
      <c r="BK11" s="7">
        <f>INDEX(TeamStandardPitching!$A:$AJ,MATCH($A11,TeamStandardPitching!$A:$A,0),MATCH(BK$2,TeamStandardPitching!$A$225:$AJ$225,0))</f>
        <v>7.9</v>
      </c>
      <c r="BL11" s="7">
        <f>INDEX(TeamStandardPitching!$A:$AJ,MATCH($A11,TeamStandardPitching!$A:$A,0),MATCH(BL$2,TeamStandardPitching!$A$225:$AJ$225,0))</f>
        <v>2.15</v>
      </c>
      <c r="BM11" s="7">
        <f>INDEX(TeamStandardPitching!$A:$AJ,MATCH($A11,TeamStandardPitching!$A:$A,0),MATCH(BM$2,TeamStandardPitching!$A$225:$AJ$225,0))</f>
        <v>1119</v>
      </c>
      <c r="BO11">
        <f t="array" ref="BO11:BZ15">LINEST($AV$3:$AV$32,$BC$3:$BM$32,1,1)</f>
        <v>-5.5044420890900635E-3</v>
      </c>
      <c r="BP11">
        <v>0.55058717212954622</v>
      </c>
      <c r="BQ11">
        <v>-5.2721115706366159E-2</v>
      </c>
      <c r="BR11">
        <v>-0.98854821320447839</v>
      </c>
      <c r="BS11">
        <v>5.4256092047767594E-2</v>
      </c>
      <c r="BT11">
        <v>-1.1583803290812642</v>
      </c>
      <c r="BU11">
        <v>16.799009595087519</v>
      </c>
      <c r="BV11">
        <v>1.3699455814298385E-2</v>
      </c>
      <c r="BW11">
        <v>-8.8170204729854009E-3</v>
      </c>
      <c r="BX11">
        <v>1.7512992961587202E-3</v>
      </c>
      <c r="BY11">
        <v>1.6290206405835026E-3</v>
      </c>
      <c r="BZ11">
        <v>-9.4751509617551655</v>
      </c>
    </row>
    <row r="12" spans="1:78" x14ac:dyDescent="0.25">
      <c r="A12" t="s">
        <v>2</v>
      </c>
      <c r="B12" t="s">
        <v>231</v>
      </c>
      <c r="D12">
        <f>INDEX(Scores!$B$1:$G$31,MATCH($A12,Scores!$B$1:$B$31,0),MATCH(D$2,Scores!$B$1:$G$1,0))</f>
        <v>3.7532467532467533</v>
      </c>
      <c r="E12">
        <f>INDEX(Scores!$B$1:$G$31,MATCH($A12,Scores!$B$1:$B$31,0),MATCH(E$2,Scores!$B$1:$G$1,0))</f>
        <v>2.6342195875091226</v>
      </c>
      <c r="F12">
        <f>INDEX(Scores!$B$1:$G$31,MATCH($A12,Scores!$B$1:$B$31,0),MATCH(F$2,Scores!$B$1:$G$1,0))</f>
        <v>3.5125000000000002</v>
      </c>
      <c r="G12">
        <f>INDEX(Scores!$B$1:$G$31,MATCH($A12,Scores!$B$1:$B$31,0),MATCH(G$2,Scores!$B$1:$G$1,0))</f>
        <v>2.7838541179451197</v>
      </c>
      <c r="H12" s="9">
        <f>INDEX(TeamAdvBatting!$A:$Z,MATCH($A12,TeamAdvBatting!$A:$A,0),MATCH(H$2,TeamAdvBatting!$A$225:$Z$225,0))</f>
        <v>3.61</v>
      </c>
      <c r="I12" s="9">
        <f>INDEX(TeamAdvBatting!$A:$Z,MATCH($A12,TeamAdvBatting!$A:$A,0),MATCH(I$2,TeamAdvBatting!$A$225:$Z$225,0))</f>
        <v>4395</v>
      </c>
      <c r="J12" s="9">
        <f>INDEX(TeamAdvBatting!$A:$Z,MATCH($A12,TeamAdvBatting!$A:$A,0),MATCH(J$2,TeamAdvBatting!$A$225:$Z$225,0))</f>
        <v>644</v>
      </c>
      <c r="K12" s="9">
        <f>INDEX(TeamAdvBatting!$A:$Z,MATCH($A12,TeamAdvBatting!$A:$A,0),MATCH(K$2,TeamAdvBatting!$A$225:$Z$225,0))</f>
        <v>3.9</v>
      </c>
      <c r="L12" s="9">
        <f>INDEX(TeamAdvBatting!$A:$Z,MATCH($A12,TeamAdvBatting!$A:$A,0),MATCH(L$2,TeamAdvBatting!$A$225:$Z$225,0))</f>
        <v>108</v>
      </c>
      <c r="M12" s="9">
        <f>INDEX(TeamAdvBatting!$A:$Z,MATCH($A12,TeamAdvBatting!$A:$A,0),MATCH(M$2,TeamAdvBatting!$A$225:$Z$225,0))</f>
        <v>0.308</v>
      </c>
      <c r="N12" s="9">
        <f>INDEX(TeamAdvBatting!$A:$Z,MATCH($A12,TeamAdvBatting!$A:$A,0),MATCH(N$2,TeamAdvBatting!$A$225:$Z$225,0))</f>
        <v>0.29399999999999998</v>
      </c>
      <c r="O12" s="9">
        <f>INDEX(TeamAdvBatting!$A:$Z,MATCH($A12,TeamAdvBatting!$A:$A,0),MATCH(O$2,TeamAdvBatting!$A$225:$Z$225,0))</f>
        <v>0.38800000000000001</v>
      </c>
      <c r="P12" s="9">
        <f>INDEX(TeamAdvBatting!$A:$Z,MATCH($A12,TeamAdvBatting!$A:$A,0),MATCH(P$2,TeamAdvBatting!$A$225:$Z$225,0))</f>
        <v>78</v>
      </c>
      <c r="Q12" s="9">
        <f>INDEX(TeamAdvBatting!$A:$Z,MATCH($A12,TeamAdvBatting!$A:$A,0),MATCH(Q$2,TeamAdvBatting!$A$225:$Z$225,0))</f>
        <v>0.39</v>
      </c>
      <c r="R12" s="9">
        <f>INDEX(TeamAdvBatting!$A:$Z,MATCH($A12,TeamAdvBatting!$A:$A,0),MATCH(R$2,TeamAdvBatting!$A$225:$Z$225,0))</f>
        <v>-188.8</v>
      </c>
      <c r="S12" s="9">
        <f>INDEX(TeamAdvBatting!$A:$Z,MATCH($A12,TeamAdvBatting!$A:$A,0),MATCH(S$2,TeamAdvBatting!$A$225:$Z$225,0))</f>
        <v>-18.100000000000001</v>
      </c>
      <c r="T12" s="9">
        <f>INDEX(TeamAdvBatting!$A:$Z,MATCH($A12,TeamAdvBatting!$A:$A,0),MATCH(T$2,TeamAdvBatting!$A$225:$Z$225,0))</f>
        <v>0.61</v>
      </c>
      <c r="U12" s="9">
        <f>INDEX(TeamAdvBatting!$A:$Z,MATCH($A12,TeamAdvBatting!$A:$A,0),MATCH(U$2,TeamAdvBatting!$A$225:$Z$225,0))</f>
        <v>0.22500000000000001</v>
      </c>
      <c r="V12" s="9">
        <f>INDEX(TeamAdvBatting!$A:$Z,MATCH($A12,TeamAdvBatting!$A:$A,0),MATCH(V$2,TeamAdvBatting!$A$225:$Z$225,0))</f>
        <v>0.14799999999999999</v>
      </c>
      <c r="W12" s="9">
        <f>INDEX(TeamAdvBatting!$A:$Z,MATCH($A12,TeamAdvBatting!$A:$A,0),MATCH(W$2,TeamAdvBatting!$A$225:$Z$225,0))</f>
        <v>82.5</v>
      </c>
      <c r="X12" s="78">
        <f>INDEX(BattingRatios!$A$225:$Q$256,MATCH($A12,BattingRatios!$A$225:$A$256,0),MATCH(X$2,BattingRatios!$A$225:$Q$225,0))</f>
        <v>2.5000000000000001E-2</v>
      </c>
      <c r="Y12" s="78">
        <f>INDEX(BattingRatios!$A$225:$Q$256,MATCH($A12,BattingRatios!$A$225:$A$256,0),MATCH(Y$2,BattingRatios!$A$225:$Q$225,0))</f>
        <v>0.26400000000000001</v>
      </c>
      <c r="Z12" s="78">
        <f>INDEX(BattingRatios!$A$225:$Q$256,MATCH($A12,BattingRatios!$A$225:$A$256,0),MATCH(Z$2,BattingRatios!$A$225:$Q$225,0))</f>
        <v>6.5000000000000002E-2</v>
      </c>
      <c r="AA12" s="78">
        <f>INDEX(BattingRatios!$A$225:$Q$256,MATCH($A12,BattingRatios!$A$225:$A$256,0),MATCH(AA$2,BattingRatios!$A$225:$Q$225,0))</f>
        <v>0.08</v>
      </c>
      <c r="AB12" s="78">
        <f>INDEX(BattingRatios!$A$225:$Q$256,MATCH($A12,BattingRatios!$A$225:$A$256,0),MATCH(AB$2,BattingRatios!$A$225:$Q$225,0))</f>
        <v>0.36</v>
      </c>
      <c r="AC12" s="78">
        <f>INDEX(BattingRatios!$A$225:$Q$256,MATCH($A12,BattingRatios!$A$225:$A$256,0),MATCH(AC$2,BattingRatios!$A$225:$Q$225,0))</f>
        <v>0.73</v>
      </c>
      <c r="AD12" s="78">
        <f>INDEX(BattingRatios!$A$225:$Q$256,MATCH($A12,BattingRatios!$A$225:$A$256,0),MATCH(AD$2,BattingRatios!$A$225:$Q$225,0))</f>
        <v>0.95</v>
      </c>
      <c r="AE12" s="78">
        <f>INDEX(BattingRatios!$A$225:$Q$256,MATCH($A12,BattingRatios!$A$225:$A$256,0),MATCH(AE$2,BattingRatios!$A$225:$Q$225,0))</f>
        <v>0.64</v>
      </c>
      <c r="AF12" s="78">
        <f>INDEX(BattingRatios!$A$225:$Q$256,MATCH($A12,BattingRatios!$A$225:$A$256,0),MATCH(AF$2,BattingRatios!$A$225:$Q$225,0))</f>
        <v>0.26</v>
      </c>
      <c r="AG12" s="78">
        <f>INDEX(BattingRatios!$A$225:$Q$256,MATCH($A12,BattingRatios!$A$225:$A$256,0),MATCH(AG$2,BattingRatios!$A$225:$Q$225,0))</f>
        <v>7.3999999999999996E-2</v>
      </c>
      <c r="AH12" s="78">
        <f>INDEX(BattingRatios!$A$225:$Q$256,MATCH($A12,BattingRatios!$A$225:$A$256,0),MATCH(AH$2,BattingRatios!$A$225:$Q$225,0))</f>
        <v>0.12</v>
      </c>
      <c r="AI12" s="81">
        <f>INDEX(PitchingRatios!$A$225:$S$256,MATCH($A12,PitchingRatios!$A$225:$A$256,0),MATCH(AI$2,PitchingRatios!$A$225:$S$225,0))</f>
        <v>3.9E-2</v>
      </c>
      <c r="AJ12" s="81">
        <f>INDEX(PitchingRatios!$A$225:$S$256,MATCH($A12,PitchingRatios!$A$225:$A$256,0),MATCH(AJ$2,PitchingRatios!$A$225:$S$225,0))</f>
        <v>0.216</v>
      </c>
      <c r="AK12" s="81">
        <f>INDEX(PitchingRatios!$A$225:$S$256,MATCH($A12,PitchingRatios!$A$225:$A$256,0),MATCH(AK$2,PitchingRatios!$A$225:$S$225,0))</f>
        <v>8.5000000000000006E-2</v>
      </c>
      <c r="AL12" s="81">
        <f>INDEX(PitchingRatios!$A$225:$S$256,MATCH($A12,PitchingRatios!$A$225:$A$256,0),MATCH(AL$2,PitchingRatios!$A$225:$S$225,0))</f>
        <v>9.6000000000000002E-2</v>
      </c>
      <c r="AM12" s="81">
        <f>INDEX(PitchingRatios!$A$225:$S$256,MATCH($A12,PitchingRatios!$A$225:$A$256,0),MATCH(AM$2,PitchingRatios!$A$225:$S$225,0))</f>
        <v>0.39</v>
      </c>
      <c r="AN12" s="81">
        <f>INDEX(PitchingRatios!$A$225:$S$256,MATCH($A12,PitchingRatios!$A$225:$A$256,0),MATCH(AN$2,PitchingRatios!$A$225:$S$225,0))</f>
        <v>0.75</v>
      </c>
      <c r="AO12" s="81">
        <f>INDEX(PitchingRatios!$A$225:$S$256,MATCH($A12,PitchingRatios!$A$225:$A$256,0),MATCH(AO$2,PitchingRatios!$A$225:$S$225,0))</f>
        <v>0.99</v>
      </c>
      <c r="AP12" s="81">
        <f>INDEX(PitchingRatios!$A$225:$S$256,MATCH($A12,PitchingRatios!$A$225:$A$256,0),MATCH(AP$2,PitchingRatios!$A$225:$S$225,0))</f>
        <v>0.65</v>
      </c>
      <c r="AQ12" s="81">
        <f>INDEX(PitchingRatios!$A$225:$S$256,MATCH($A12,PitchingRatios!$A$225:$A$256,0),MATCH(AQ$2,PitchingRatios!$A$225:$S$225,0))</f>
        <v>0.25</v>
      </c>
      <c r="AR12" s="81">
        <f>INDEX(PitchingRatios!$A$225:$S$256,MATCH($A12,PitchingRatios!$A$225:$A$256,0),MATCH(AR$2,PitchingRatios!$A$225:$S$225,0))</f>
        <v>0.114</v>
      </c>
      <c r="AS12" s="81">
        <f>INDEX(PitchingRatios!$A$225:$S$256,MATCH($A12,PitchingRatios!$A$225:$A$256,0),MATCH(AS$2,PitchingRatios!$A$225:$S$225,0))</f>
        <v>0.11</v>
      </c>
      <c r="AT12" s="7">
        <f>INDEX(TeamStandardPitching!$A:$AJ,MATCH($A12,TeamStandardPitching!$A:$A,0),MATCH(AT$2,TeamStandardPitching!$A$225:$AJ$225,0))</f>
        <v>32</v>
      </c>
      <c r="AU12" s="7">
        <f>INDEX(TeamStandardPitching!$A:$AJ,MATCH($A12,TeamStandardPitching!$A:$A,0),MATCH(AU$2,TeamStandardPitching!$A$225:$AJ$225,0))</f>
        <v>27.8</v>
      </c>
      <c r="AV12" s="7">
        <f>INDEX(TeamStandardPitching!$A:$AJ,MATCH($A12,TeamStandardPitching!$A:$A,0),MATCH(AV$2,TeamStandardPitching!$A$225:$AJ$225,0))</f>
        <v>5.68</v>
      </c>
      <c r="AW12" s="7">
        <f>INDEX(TeamStandardPitching!$A:$AJ,MATCH($A12,TeamStandardPitching!$A:$A,0),MATCH(AW$2,TeamStandardPitching!$A$225:$AJ$225,0))</f>
        <v>250</v>
      </c>
      <c r="AX12" s="7">
        <f>INDEX(TeamStandardPitching!$A:$AJ,MATCH($A12,TeamStandardPitching!$A:$A,0),MATCH(AX$2,TeamStandardPitching!$A$225:$AJ$225,0))</f>
        <v>536</v>
      </c>
      <c r="AY12" s="7">
        <f>INDEX(TeamStandardPitching!$A:$AJ,MATCH($A12,TeamStandardPitching!$A:$A,0),MATCH(AY$2,TeamStandardPitching!$A$225:$AJ$225,0))</f>
        <v>24</v>
      </c>
      <c r="AZ12" s="7">
        <f>INDEX(TeamStandardPitching!$A:$AJ,MATCH($A12,TeamStandardPitching!$A:$A,0),MATCH(AZ$2,TeamStandardPitching!$A$225:$AJ$225,0))</f>
        <v>1368</v>
      </c>
      <c r="BA12" s="7">
        <f>INDEX(TeamStandardPitching!$A:$AJ,MATCH($A12,TeamStandardPitching!$A:$A,0),MATCH(BA$2,TeamStandardPitching!$A$225:$AJ$225,0))</f>
        <v>69</v>
      </c>
      <c r="BB12" s="7">
        <f>INDEX(TeamStandardPitching!$A:$AJ,MATCH($A12,TeamStandardPitching!$A:$A,0),MATCH(BB$2,TeamStandardPitching!$A$225:$AJ$225,0))</f>
        <v>7</v>
      </c>
      <c r="BC12" s="7">
        <f>INDEX(TeamStandardPitching!$A:$AJ,MATCH($A12,TeamStandardPitching!$A:$A,0),MATCH(BC$2,TeamStandardPitching!$A$225:$AJ$225,0))</f>
        <v>66</v>
      </c>
      <c r="BD12" s="7">
        <f>INDEX(TeamStandardPitching!$A:$AJ,MATCH($A12,TeamStandardPitching!$A:$A,0),MATCH(BD$2,TeamStandardPitching!$A$225:$AJ$225,0))</f>
        <v>6341</v>
      </c>
      <c r="BE12" s="7">
        <f>INDEX(TeamStandardPitching!$A:$AJ,MATCH($A12,TeamStandardPitching!$A:$A,0),MATCH(BE$2,TeamStandardPitching!$A$225:$AJ$225,0))</f>
        <v>92</v>
      </c>
      <c r="BF12" s="7">
        <f>INDEX(TeamStandardPitching!$A:$AJ,MATCH($A12,TeamStandardPitching!$A:$A,0),MATCH(BF$2,TeamStandardPitching!$A$225:$AJ$225,0))</f>
        <v>4.84</v>
      </c>
      <c r="BG12" s="7">
        <f>INDEX(TeamStandardPitching!$A:$AJ,MATCH($A12,TeamStandardPitching!$A:$A,0),MATCH(BG$2,TeamStandardPitching!$A$225:$AJ$225,0))</f>
        <v>1.4590000000000001</v>
      </c>
      <c r="BH12" s="7">
        <f>INDEX(TeamStandardPitching!$A:$AJ,MATCH($A12,TeamStandardPitching!$A:$A,0),MATCH(BH$2,TeamStandardPitching!$A$225:$AJ$225,0))</f>
        <v>9.8000000000000007</v>
      </c>
      <c r="BI12" s="7">
        <f>INDEX(TeamStandardPitching!$A:$AJ,MATCH($A12,TeamStandardPitching!$A:$A,0),MATCH(BI$2,TeamStandardPitching!$A$225:$AJ$225,0))</f>
        <v>1.6</v>
      </c>
      <c r="BJ12" s="7">
        <f>INDEX(TeamStandardPitching!$A:$AJ,MATCH($A12,TeamStandardPitching!$A:$A,0),MATCH(BJ$2,TeamStandardPitching!$A$225:$AJ$225,0))</f>
        <v>3.4</v>
      </c>
      <c r="BK12" s="7">
        <f>INDEX(TeamStandardPitching!$A:$AJ,MATCH($A12,TeamStandardPitching!$A:$A,0),MATCH(BK$2,TeamStandardPitching!$A$225:$AJ$225,0))</f>
        <v>8.6</v>
      </c>
      <c r="BL12" s="7">
        <f>INDEX(TeamStandardPitching!$A:$AJ,MATCH($A12,TeamStandardPitching!$A:$A,0),MATCH(BL$2,TeamStandardPitching!$A$225:$AJ$225,0))</f>
        <v>2.5499999999999998</v>
      </c>
      <c r="BM12" s="7">
        <f>INDEX(TeamStandardPitching!$A:$AJ,MATCH($A12,TeamStandardPitching!$A:$A,0),MATCH(BM$2,TeamStandardPitching!$A$225:$AJ$225,0))</f>
        <v>1127</v>
      </c>
      <c r="BO12">
        <v>8.0158931102594676E-4</v>
      </c>
      <c r="BP12">
        <v>0.25516662127431416</v>
      </c>
      <c r="BQ12">
        <v>0.11589037982665441</v>
      </c>
      <c r="BR12">
        <v>0.41586563945437366</v>
      </c>
      <c r="BS12">
        <v>0.50473424131965972</v>
      </c>
      <c r="BT12">
        <v>0.38457536475979026</v>
      </c>
      <c r="BU12">
        <v>3.8033692407481419</v>
      </c>
      <c r="BV12">
        <v>0.35286744919446889</v>
      </c>
      <c r="BW12">
        <v>2.029466328956698E-3</v>
      </c>
      <c r="BX12">
        <v>2.5599422397171645E-4</v>
      </c>
      <c r="BY12">
        <v>1.0467140984123831E-3</v>
      </c>
      <c r="BZ12">
        <v>1.8057620431952881</v>
      </c>
    </row>
    <row r="13" spans="1:78" x14ac:dyDescent="0.25">
      <c r="A13" t="s">
        <v>16</v>
      </c>
      <c r="B13" t="s">
        <v>232</v>
      </c>
      <c r="D13">
        <f>INDEX(Scores!$B$1:$G$31,MATCH($A13,Scores!$B$1:$B$31,0),MATCH(D$2,Scores!$B$1:$G$1,0))</f>
        <v>5.3552631578947372</v>
      </c>
      <c r="E13">
        <f>INDEX(Scores!$B$1:$G$31,MATCH($A13,Scores!$B$1:$B$31,0),MATCH(E$2,Scores!$B$1:$G$1,0))</f>
        <v>3.9125437524657087</v>
      </c>
      <c r="F13">
        <f>INDEX(Scores!$B$1:$G$31,MATCH($A13,Scores!$B$1:$B$31,0),MATCH(F$2,Scores!$B$1:$G$1,0))</f>
        <v>6.0370370370370372</v>
      </c>
      <c r="G13">
        <f>INDEX(Scores!$B$1:$G$31,MATCH($A13,Scores!$B$1:$B$31,0),MATCH(G$2,Scores!$B$1:$G$1,0))</f>
        <v>4.1169461426934086</v>
      </c>
      <c r="H13" s="9">
        <f>INDEX(TeamAdvBatting!$A:$Z,MATCH($A13,TeamAdvBatting!$A:$A,0),MATCH(H$2,TeamAdvBatting!$A$225:$Z$225,0))</f>
        <v>5.68</v>
      </c>
      <c r="I13" s="9">
        <f>INDEX(TeamAdvBatting!$A:$Z,MATCH($A13,TeamAdvBatting!$A:$A,0),MATCH(I$2,TeamAdvBatting!$A$225:$Z$225,0))</f>
        <v>4315</v>
      </c>
      <c r="J13" s="9">
        <f>INDEX(TeamAdvBatting!$A:$Z,MATCH($A13,TeamAdvBatting!$A:$A,0),MATCH(J$2,TeamAdvBatting!$A$225:$Z$225,0))</f>
        <v>1004</v>
      </c>
      <c r="K13" s="9">
        <f>INDEX(TeamAdvBatting!$A:$Z,MATCH($A13,TeamAdvBatting!$A:$A,0),MATCH(K$2,TeamAdvBatting!$A$225:$Z$225,0))</f>
        <v>6.2</v>
      </c>
      <c r="L13" s="9">
        <f>INDEX(TeamAdvBatting!$A:$Z,MATCH($A13,TeamAdvBatting!$A:$A,0),MATCH(L$2,TeamAdvBatting!$A$225:$Z$225,0))</f>
        <v>109</v>
      </c>
      <c r="M13" s="9">
        <f>INDEX(TeamAdvBatting!$A:$Z,MATCH($A13,TeamAdvBatting!$A:$A,0),MATCH(M$2,TeamAdvBatting!$A$225:$Z$225,0))</f>
        <v>0.29599999999999999</v>
      </c>
      <c r="N13" s="9">
        <f>INDEX(TeamAdvBatting!$A:$Z,MATCH($A13,TeamAdvBatting!$A:$A,0),MATCH(N$2,TeamAdvBatting!$A$225:$Z$225,0))</f>
        <v>0.35199999999999998</v>
      </c>
      <c r="O13" s="9">
        <f>INDEX(TeamAdvBatting!$A:$Z,MATCH($A13,TeamAdvBatting!$A:$A,0),MATCH(O$2,TeamAdvBatting!$A$225:$Z$225,0))</f>
        <v>0.495</v>
      </c>
      <c r="P13" s="9">
        <f>INDEX(TeamAdvBatting!$A:$Z,MATCH($A13,TeamAdvBatting!$A:$A,0),MATCH(P$2,TeamAdvBatting!$A$225:$Z$225,0))</f>
        <v>119</v>
      </c>
      <c r="Q13" s="9">
        <f>INDEX(TeamAdvBatting!$A:$Z,MATCH($A13,TeamAdvBatting!$A:$A,0),MATCH(Q$2,TeamAdvBatting!$A$225:$Z$225,0))</f>
        <v>0.59799999999999998</v>
      </c>
      <c r="R13" s="9">
        <f>INDEX(TeamAdvBatting!$A:$Z,MATCH($A13,TeamAdvBatting!$A:$A,0),MATCH(R$2,TeamAdvBatting!$A$225:$Z$225,0))</f>
        <v>163.1</v>
      </c>
      <c r="S13" s="9">
        <f>INDEX(TeamAdvBatting!$A:$Z,MATCH($A13,TeamAdvBatting!$A:$A,0),MATCH(S$2,TeamAdvBatting!$A$225:$Z$225,0))</f>
        <v>15.1</v>
      </c>
      <c r="T13" s="9">
        <f>INDEX(TeamAdvBatting!$A:$Z,MATCH($A13,TeamAdvBatting!$A:$A,0),MATCH(T$2,TeamAdvBatting!$A$225:$Z$225,0))</f>
        <v>0.83799999999999997</v>
      </c>
      <c r="U13" s="9">
        <f>INDEX(TeamAdvBatting!$A:$Z,MATCH($A13,TeamAdvBatting!$A:$A,0),MATCH(U$2,TeamAdvBatting!$A$225:$Z$225,0))</f>
        <v>0.34300000000000003</v>
      </c>
      <c r="V13" s="9">
        <f>INDEX(TeamAdvBatting!$A:$Z,MATCH($A13,TeamAdvBatting!$A:$A,0),MATCH(V$2,TeamAdvBatting!$A$225:$Z$225,0))</f>
        <v>0.221</v>
      </c>
      <c r="W13" s="9">
        <f>INDEX(TeamAdvBatting!$A:$Z,MATCH($A13,TeamAdvBatting!$A:$A,0),MATCH(W$2,TeamAdvBatting!$A$225:$Z$225,0))</f>
        <v>108.7</v>
      </c>
      <c r="X13" s="78">
        <f>INDEX(BattingRatios!$A$225:$Q$256,MATCH($A13,BattingRatios!$A$225:$A$256,0),MATCH(X$2,BattingRatios!$A$225:$Q$225,0))</f>
        <v>4.4999999999999998E-2</v>
      </c>
      <c r="Y13" s="78">
        <f>INDEX(BattingRatios!$A$225:$Q$256,MATCH($A13,BattingRatios!$A$225:$A$256,0),MATCH(Y$2,BattingRatios!$A$225:$Q$225,0))</f>
        <v>0.182</v>
      </c>
      <c r="Z13" s="78">
        <f>INDEX(BattingRatios!$A$225:$Q$256,MATCH($A13,BattingRatios!$A$225:$A$256,0),MATCH(Z$2,BattingRatios!$A$225:$Q$225,0))</f>
        <v>0.10100000000000001</v>
      </c>
      <c r="AA13" s="78">
        <f>INDEX(BattingRatios!$A$225:$Q$256,MATCH($A13,BattingRatios!$A$225:$A$256,0),MATCH(AA$2,BattingRatios!$A$225:$Q$225,0))</f>
        <v>0.1</v>
      </c>
      <c r="AB13" s="78">
        <f>INDEX(BattingRatios!$A$225:$Q$256,MATCH($A13,BattingRatios!$A$225:$A$256,0),MATCH(AB$2,BattingRatios!$A$225:$Q$225,0))</f>
        <v>0.42</v>
      </c>
      <c r="AC13" s="78">
        <f>INDEX(BattingRatios!$A$225:$Q$256,MATCH($A13,BattingRatios!$A$225:$A$256,0),MATCH(AC$2,BattingRatios!$A$225:$Q$225,0))</f>
        <v>0.71</v>
      </c>
      <c r="AD13" s="78">
        <f>INDEX(BattingRatios!$A$225:$Q$256,MATCH($A13,BattingRatios!$A$225:$A$256,0),MATCH(AD$2,BattingRatios!$A$225:$Q$225,0))</f>
        <v>0.99</v>
      </c>
      <c r="AE13" s="78">
        <f>INDEX(BattingRatios!$A$225:$Q$256,MATCH($A13,BattingRatios!$A$225:$A$256,0),MATCH(AE$2,BattingRatios!$A$225:$Q$225,0))</f>
        <v>0.66</v>
      </c>
      <c r="AF13" s="78">
        <f>INDEX(BattingRatios!$A$225:$Q$256,MATCH($A13,BattingRatios!$A$225:$A$256,0),MATCH(AF$2,BattingRatios!$A$225:$Q$225,0))</f>
        <v>0.26</v>
      </c>
      <c r="AG13" s="78">
        <f>INDEX(BattingRatios!$A$225:$Q$256,MATCH($A13,BattingRatios!$A$225:$A$256,0),MATCH(AG$2,BattingRatios!$A$225:$Q$225,0))</f>
        <v>0.126</v>
      </c>
      <c r="AH13" s="78">
        <f>INDEX(BattingRatios!$A$225:$Q$256,MATCH($A13,BattingRatios!$A$225:$A$256,0),MATCH(AH$2,BattingRatios!$A$225:$Q$225,0))</f>
        <v>0.13</v>
      </c>
      <c r="AI13" s="81">
        <f>INDEX(PitchingRatios!$A$225:$S$256,MATCH($A13,PitchingRatios!$A$225:$A$256,0),MATCH(AI$2,PitchingRatios!$A$225:$S$225,0))</f>
        <v>3.7999999999999999E-2</v>
      </c>
      <c r="AJ13" s="81">
        <f>INDEX(PitchingRatios!$A$225:$S$256,MATCH($A13,PitchingRatios!$A$225:$A$256,0),MATCH(AJ$2,PitchingRatios!$A$225:$S$225,0))</f>
        <v>0.27900000000000003</v>
      </c>
      <c r="AK13" s="81">
        <f>INDEX(PitchingRatios!$A$225:$S$256,MATCH($A13,PitchingRatios!$A$225:$A$256,0),MATCH(AK$2,PitchingRatios!$A$225:$S$225,0))</f>
        <v>7.4999999999999997E-2</v>
      </c>
      <c r="AL13" s="81">
        <f>INDEX(PitchingRatios!$A$225:$S$256,MATCH($A13,PitchingRatios!$A$225:$A$256,0),MATCH(AL$2,PitchingRatios!$A$225:$S$225,0))</f>
        <v>8.1000000000000003E-2</v>
      </c>
      <c r="AM13" s="81">
        <f>INDEX(PitchingRatios!$A$225:$S$256,MATCH($A13,PitchingRatios!$A$225:$A$256,0),MATCH(AM$2,PitchingRatios!$A$225:$S$225,0))</f>
        <v>0.4</v>
      </c>
      <c r="AN13" s="81">
        <f>INDEX(PitchingRatios!$A$225:$S$256,MATCH($A13,PitchingRatios!$A$225:$A$256,0),MATCH(AN$2,PitchingRatios!$A$225:$S$225,0))</f>
        <v>0.78</v>
      </c>
      <c r="AO13" s="81">
        <f>INDEX(PitchingRatios!$A$225:$S$256,MATCH($A13,PitchingRatios!$A$225:$A$256,0),MATCH(AO$2,PitchingRatios!$A$225:$S$225,0))</f>
        <v>1.03</v>
      </c>
      <c r="AP13" s="81">
        <f>INDEX(PitchingRatios!$A$225:$S$256,MATCH($A13,PitchingRatios!$A$225:$A$256,0),MATCH(AP$2,PitchingRatios!$A$225:$S$225,0))</f>
        <v>0.6</v>
      </c>
      <c r="AQ13" s="81">
        <f>INDEX(PitchingRatios!$A$225:$S$256,MATCH($A13,PitchingRatios!$A$225:$A$256,0),MATCH(AQ$2,PitchingRatios!$A$225:$S$225,0))</f>
        <v>0.24</v>
      </c>
      <c r="AR13" s="81">
        <f>INDEX(PitchingRatios!$A$225:$S$256,MATCH($A13,PitchingRatios!$A$225:$A$256,0),MATCH(AR$2,PitchingRatios!$A$225:$S$225,0))</f>
        <v>0.122</v>
      </c>
      <c r="AS13" s="81">
        <f>INDEX(PitchingRatios!$A$225:$S$256,MATCH($A13,PitchingRatios!$A$225:$A$256,0),MATCH(AS$2,PitchingRatios!$A$225:$S$225,0))</f>
        <v>0.12</v>
      </c>
      <c r="AT13" s="7">
        <f>INDEX(TeamStandardPitching!$A:$AJ,MATCH($A13,TeamStandardPitching!$A:$A,0),MATCH(AT$2,TeamStandardPitching!$A$225:$AJ$225,0))</f>
        <v>26</v>
      </c>
      <c r="AU13" s="7">
        <f>INDEX(TeamStandardPitching!$A:$AJ,MATCH($A13,TeamStandardPitching!$A:$A,0),MATCH(AU$2,TeamStandardPitching!$A$225:$AJ$225,0))</f>
        <v>29.9</v>
      </c>
      <c r="AV13" s="7">
        <f>INDEX(TeamStandardPitching!$A:$AJ,MATCH($A13,TeamStandardPitching!$A:$A,0),MATCH(AV$2,TeamStandardPitching!$A$225:$AJ$225,0))</f>
        <v>3.95</v>
      </c>
      <c r="AW13" s="7">
        <f>INDEX(TeamStandardPitching!$A:$AJ,MATCH($A13,TeamStandardPitching!$A:$A,0),MATCH(AW$2,TeamStandardPitching!$A$225:$AJ$225,0))</f>
        <v>230</v>
      </c>
      <c r="AX13" s="7">
        <f>INDEX(TeamStandardPitching!$A:$AJ,MATCH($A13,TeamStandardPitching!$A:$A,0),MATCH(AX$2,TeamStandardPitching!$A$225:$AJ$225,0))</f>
        <v>448</v>
      </c>
      <c r="AY13" s="7">
        <f>INDEX(TeamStandardPitching!$A:$AJ,MATCH($A13,TeamStandardPitching!$A:$A,0),MATCH(AY$2,TeamStandardPitching!$A$225:$AJ$225,0))</f>
        <v>0</v>
      </c>
      <c r="AZ13" s="7">
        <f>INDEX(TeamStandardPitching!$A:$AJ,MATCH($A13,TeamStandardPitching!$A:$A,0),MATCH(AZ$2,TeamStandardPitching!$A$225:$AJ$225,0))</f>
        <v>1671</v>
      </c>
      <c r="BA13" s="7">
        <f>INDEX(TeamStandardPitching!$A:$AJ,MATCH($A13,TeamStandardPitching!$A:$A,0),MATCH(BA$2,TeamStandardPitching!$A$225:$AJ$225,0))</f>
        <v>41</v>
      </c>
      <c r="BB13" s="7">
        <f>INDEX(TeamStandardPitching!$A:$AJ,MATCH($A13,TeamStandardPitching!$A:$A,0),MATCH(BB$2,TeamStandardPitching!$A$225:$AJ$225,0))</f>
        <v>8</v>
      </c>
      <c r="BC13" s="7">
        <f>INDEX(TeamStandardPitching!$A:$AJ,MATCH($A13,TeamStandardPitching!$A:$A,0),MATCH(BC$2,TeamStandardPitching!$A$225:$AJ$225,0))</f>
        <v>41</v>
      </c>
      <c r="BD13" s="7">
        <f>INDEX(TeamStandardPitching!$A:$AJ,MATCH($A13,TeamStandardPitching!$A:$A,0),MATCH(BD$2,TeamStandardPitching!$A$225:$AJ$225,0))</f>
        <v>5995</v>
      </c>
      <c r="BE13" s="7">
        <f>INDEX(TeamStandardPitching!$A:$AJ,MATCH($A13,TeamStandardPitching!$A:$A,0),MATCH(BE$2,TeamStandardPitching!$A$225:$AJ$225,0))</f>
        <v>127</v>
      </c>
      <c r="BF13" s="7">
        <f>INDEX(TeamStandardPitching!$A:$AJ,MATCH($A13,TeamStandardPitching!$A:$A,0),MATCH(BF$2,TeamStandardPitching!$A$225:$AJ$225,0))</f>
        <v>3.98</v>
      </c>
      <c r="BG13" s="7">
        <f>INDEX(TeamStandardPitching!$A:$AJ,MATCH($A13,TeamStandardPitching!$A:$A,0),MATCH(BG$2,TeamStandardPitching!$A$225:$AJ$225,0))</f>
        <v>1.1299999999999999</v>
      </c>
      <c r="BH13" s="7">
        <f>INDEX(TeamStandardPitching!$A:$AJ,MATCH($A13,TeamStandardPitching!$A:$A,0),MATCH(BH$2,TeamStandardPitching!$A$225:$AJ$225,0))</f>
        <v>7.4</v>
      </c>
      <c r="BI13" s="7">
        <f>INDEX(TeamStandardPitching!$A:$AJ,MATCH($A13,TeamStandardPitching!$A:$A,0),MATCH(BI$2,TeamStandardPitching!$A$225:$AJ$225,0))</f>
        <v>1.4</v>
      </c>
      <c r="BJ13" s="7">
        <f>INDEX(TeamStandardPitching!$A:$AJ,MATCH($A13,TeamStandardPitching!$A:$A,0),MATCH(BJ$2,TeamStandardPitching!$A$225:$AJ$225,0))</f>
        <v>2.8</v>
      </c>
      <c r="BK13" s="7">
        <f>INDEX(TeamStandardPitching!$A:$AJ,MATCH($A13,TeamStandardPitching!$A:$A,0),MATCH(BK$2,TeamStandardPitching!$A$225:$AJ$225,0))</f>
        <v>10.3</v>
      </c>
      <c r="BL13" s="7">
        <f>INDEX(TeamStandardPitching!$A:$AJ,MATCH($A13,TeamStandardPitching!$A:$A,0),MATCH(BL$2,TeamStandardPitching!$A$225:$AJ$225,0))</f>
        <v>3.73</v>
      </c>
      <c r="BM13" s="7">
        <f>INDEX(TeamStandardPitching!$A:$AJ,MATCH($A13,TeamStandardPitching!$A:$A,0),MATCH(BM$2,TeamStandardPitching!$A$225:$AJ$225,0))</f>
        <v>968</v>
      </c>
      <c r="BO13">
        <v>0.99299214777630118</v>
      </c>
      <c r="BP13">
        <v>6.4000913099037507E-2</v>
      </c>
      <c r="BQ13" t="e">
        <v>#N/A</v>
      </c>
      <c r="BR13" t="e">
        <v>#N/A</v>
      </c>
      <c r="BS13" t="e">
        <v>#N/A</v>
      </c>
      <c r="BT13" t="e">
        <v>#N/A</v>
      </c>
      <c r="BU13" t="e">
        <v>#N/A</v>
      </c>
      <c r="BV13" t="e">
        <v>#N/A</v>
      </c>
      <c r="BW13" t="e">
        <v>#N/A</v>
      </c>
      <c r="BX13" t="e">
        <v>#N/A</v>
      </c>
      <c r="BY13" t="e">
        <v>#N/A</v>
      </c>
      <c r="BZ13" t="e">
        <v>#N/A</v>
      </c>
    </row>
    <row r="14" spans="1:78" x14ac:dyDescent="0.25">
      <c r="A14" t="s">
        <v>30</v>
      </c>
      <c r="B14" t="s">
        <v>233</v>
      </c>
      <c r="D14">
        <f>INDEX(Scores!$B$1:$G$31,MATCH($A14,Scores!$B$1:$B$31,0),MATCH(D$2,Scores!$B$1:$G$1,0))</f>
        <v>4.283950617283951</v>
      </c>
      <c r="E14">
        <f>INDEX(Scores!$B$1:$G$31,MATCH($A14,Scores!$B$1:$B$31,0),MATCH(E$2,Scores!$B$1:$G$1,0))</f>
        <v>3.1514627914599291</v>
      </c>
      <c r="F14">
        <f>INDEX(Scores!$B$1:$G$31,MATCH($A14,Scores!$B$1:$B$31,0),MATCH(F$2,Scores!$B$1:$G$1,0))</f>
        <v>4.2820512820512819</v>
      </c>
      <c r="G14">
        <f>INDEX(Scores!$B$1:$G$31,MATCH($A14,Scores!$B$1:$B$31,0),MATCH(G$2,Scores!$B$1:$G$1,0))</f>
        <v>2.7960477413179348</v>
      </c>
      <c r="H14" s="9">
        <f>INDEX(TeamAdvBatting!$A:$Z,MATCH($A14,TeamAdvBatting!$A:$A,0),MATCH(H$2,TeamAdvBatting!$A$225:$Z$225,0))</f>
        <v>4.2699999999999996</v>
      </c>
      <c r="I14" s="9">
        <f>INDEX(TeamAdvBatting!$A:$Z,MATCH($A14,TeamAdvBatting!$A:$A,0),MATCH(I$2,TeamAdvBatting!$A$225:$Z$225,0))</f>
        <v>4358</v>
      </c>
      <c r="J14" s="9">
        <f>INDEX(TeamAdvBatting!$A:$Z,MATCH($A14,TeamAdvBatting!$A:$A,0),MATCH(J$2,TeamAdvBatting!$A$225:$Z$225,0))</f>
        <v>705</v>
      </c>
      <c r="K14" s="9">
        <f>INDEX(TeamAdvBatting!$A:$Z,MATCH($A14,TeamAdvBatting!$A:$A,0),MATCH(K$2,TeamAdvBatting!$A$225:$Z$225,0))</f>
        <v>4.3</v>
      </c>
      <c r="L14" s="9">
        <f>INDEX(TeamAdvBatting!$A:$Z,MATCH($A14,TeamAdvBatting!$A:$A,0),MATCH(L$2,TeamAdvBatting!$A$225:$Z$225,0))</f>
        <v>107</v>
      </c>
      <c r="M14" s="9">
        <f>INDEX(TeamAdvBatting!$A:$Z,MATCH($A14,TeamAdvBatting!$A:$A,0),MATCH(M$2,TeamAdvBatting!$A$225:$Z$225,0))</f>
        <v>0.30099999999999999</v>
      </c>
      <c r="N14" s="9">
        <f>INDEX(TeamAdvBatting!$A:$Z,MATCH($A14,TeamAdvBatting!$A:$A,0),MATCH(N$2,TeamAdvBatting!$A$225:$Z$225,0))</f>
        <v>0.309</v>
      </c>
      <c r="O14" s="9">
        <f>INDEX(TeamAdvBatting!$A:$Z,MATCH($A14,TeamAdvBatting!$A:$A,0),MATCH(O$2,TeamAdvBatting!$A$225:$Z$225,0))</f>
        <v>0.40100000000000002</v>
      </c>
      <c r="P14" s="9">
        <f>INDEX(TeamAdvBatting!$A:$Z,MATCH($A14,TeamAdvBatting!$A:$A,0),MATCH(P$2,TeamAdvBatting!$A$225:$Z$225,0))</f>
        <v>86</v>
      </c>
      <c r="Q14" s="9">
        <f>INDEX(TeamAdvBatting!$A:$Z,MATCH($A14,TeamAdvBatting!$A:$A,0),MATCH(Q$2,TeamAdvBatting!$A$225:$Z$225,0))</f>
        <v>0.433</v>
      </c>
      <c r="R14" s="9">
        <f>INDEX(TeamAdvBatting!$A:$Z,MATCH($A14,TeamAdvBatting!$A:$A,0),MATCH(R$2,TeamAdvBatting!$A$225:$Z$225,0))</f>
        <v>-116</v>
      </c>
      <c r="S14" s="9">
        <f>INDEX(TeamAdvBatting!$A:$Z,MATCH($A14,TeamAdvBatting!$A:$A,0),MATCH(S$2,TeamAdvBatting!$A$225:$Z$225,0))</f>
        <v>-11.2</v>
      </c>
      <c r="T14" s="9">
        <f>INDEX(TeamAdvBatting!$A:$Z,MATCH($A14,TeamAdvBatting!$A:$A,0),MATCH(T$2,TeamAdvBatting!$A$225:$Z$225,0))</f>
        <v>0.66100000000000003</v>
      </c>
      <c r="U14" s="9">
        <f>INDEX(TeamAdvBatting!$A:$Z,MATCH($A14,TeamAdvBatting!$A:$A,0),MATCH(U$2,TeamAdvBatting!$A$225:$Z$225,0))</f>
        <v>0.251</v>
      </c>
      <c r="V14" s="9">
        <f>INDEX(TeamAdvBatting!$A:$Z,MATCH($A14,TeamAdvBatting!$A:$A,0),MATCH(V$2,TeamAdvBatting!$A$225:$Z$225,0))</f>
        <v>0.154</v>
      </c>
      <c r="W14" s="9">
        <f>INDEX(TeamAdvBatting!$A:$Z,MATCH($A14,TeamAdvBatting!$A:$A,0),MATCH(W$2,TeamAdvBatting!$A$225:$Z$225,0))</f>
        <v>135.9</v>
      </c>
      <c r="X14" s="78">
        <f>INDEX(BattingRatios!$A$225:$Q$256,MATCH($A14,BattingRatios!$A$225:$A$256,0),MATCH(X$2,BattingRatios!$A$225:$Q$225,0))</f>
        <v>2.7E-2</v>
      </c>
      <c r="Y14" s="78">
        <f>INDEX(BattingRatios!$A$225:$Q$256,MATCH($A14,BattingRatios!$A$225:$A$256,0),MATCH(Y$2,BattingRatios!$A$225:$Q$225,0))</f>
        <v>0.23100000000000001</v>
      </c>
      <c r="Z14" s="78">
        <f>INDEX(BattingRatios!$A$225:$Q$256,MATCH($A14,BattingRatios!$A$225:$A$256,0),MATCH(Z$2,BattingRatios!$A$225:$Q$225,0))</f>
        <v>7.4999999999999997E-2</v>
      </c>
      <c r="AA14" s="78">
        <f>INDEX(BattingRatios!$A$225:$Q$256,MATCH($A14,BattingRatios!$A$225:$A$256,0),MATCH(AA$2,BattingRatios!$A$225:$Q$225,0))</f>
        <v>7.9000000000000001E-2</v>
      </c>
      <c r="AB14" s="78">
        <f>INDEX(BattingRatios!$A$225:$Q$256,MATCH($A14,BattingRatios!$A$225:$A$256,0),MATCH(AB$2,BattingRatios!$A$225:$Q$225,0))</f>
        <v>0.36</v>
      </c>
      <c r="AC14" s="78">
        <f>INDEX(BattingRatios!$A$225:$Q$256,MATCH($A14,BattingRatios!$A$225:$A$256,0),MATCH(AC$2,BattingRatios!$A$225:$Q$225,0))</f>
        <v>0.81</v>
      </c>
      <c r="AD14" s="78">
        <f>INDEX(BattingRatios!$A$225:$Q$256,MATCH($A14,BattingRatios!$A$225:$A$256,0),MATCH(AD$2,BattingRatios!$A$225:$Q$225,0))</f>
        <v>1.08</v>
      </c>
      <c r="AE14" s="78">
        <f>INDEX(BattingRatios!$A$225:$Q$256,MATCH($A14,BattingRatios!$A$225:$A$256,0),MATCH(AE$2,BattingRatios!$A$225:$Q$225,0))</f>
        <v>0.65</v>
      </c>
      <c r="AF14" s="78">
        <f>INDEX(BattingRatios!$A$225:$Q$256,MATCH($A14,BattingRatios!$A$225:$A$256,0),MATCH(AF$2,BattingRatios!$A$225:$Q$225,0))</f>
        <v>0.25</v>
      </c>
      <c r="AG14" s="78">
        <f>INDEX(BattingRatios!$A$225:$Q$256,MATCH($A14,BattingRatios!$A$225:$A$256,0),MATCH(AG$2,BattingRatios!$A$225:$Q$225,0))</f>
        <v>0.08</v>
      </c>
      <c r="AH14" s="78">
        <f>INDEX(BattingRatios!$A$225:$Q$256,MATCH($A14,BattingRatios!$A$225:$A$256,0),MATCH(AH$2,BattingRatios!$A$225:$Q$225,0))</f>
        <v>0.11</v>
      </c>
      <c r="AI14" s="81">
        <f>INDEX(PitchingRatios!$A$225:$S$256,MATCH($A14,PitchingRatios!$A$225:$A$256,0),MATCH(AI$2,PitchingRatios!$A$225:$S$225,0))</f>
        <v>3.5000000000000003E-2</v>
      </c>
      <c r="AJ14" s="81">
        <f>INDEX(PitchingRatios!$A$225:$S$256,MATCH($A14,PitchingRatios!$A$225:$A$256,0),MATCH(AJ$2,PitchingRatios!$A$225:$S$225,0))</f>
        <v>0.19500000000000001</v>
      </c>
      <c r="AK14" s="81">
        <f>INDEX(PitchingRatios!$A$225:$S$256,MATCH($A14,PitchingRatios!$A$225:$A$256,0),MATCH(AK$2,PitchingRatios!$A$225:$S$225,0))</f>
        <v>9.1999999999999998E-2</v>
      </c>
      <c r="AL14" s="81">
        <f>INDEX(PitchingRatios!$A$225:$S$256,MATCH($A14,PitchingRatios!$A$225:$A$256,0),MATCH(AL$2,PitchingRatios!$A$225:$S$225,0))</f>
        <v>8.6999999999999994E-2</v>
      </c>
      <c r="AM14" s="81">
        <f>INDEX(PitchingRatios!$A$225:$S$256,MATCH($A14,PitchingRatios!$A$225:$A$256,0),MATCH(AM$2,PitchingRatios!$A$225:$S$225,0))</f>
        <v>0.36</v>
      </c>
      <c r="AN14" s="81">
        <f>INDEX(PitchingRatios!$A$225:$S$256,MATCH($A14,PitchingRatios!$A$225:$A$256,0),MATCH(AN$2,PitchingRatios!$A$225:$S$225,0))</f>
        <v>0.79</v>
      </c>
      <c r="AO14" s="81">
        <f>INDEX(PitchingRatios!$A$225:$S$256,MATCH($A14,PitchingRatios!$A$225:$A$256,0),MATCH(AO$2,PitchingRatios!$A$225:$S$225,0))</f>
        <v>1.07</v>
      </c>
      <c r="AP14" s="81">
        <f>INDEX(PitchingRatios!$A$225:$S$256,MATCH($A14,PitchingRatios!$A$225:$A$256,0),MATCH(AP$2,PitchingRatios!$A$225:$S$225,0))</f>
        <v>0.66</v>
      </c>
      <c r="AQ14" s="81">
        <f>INDEX(PitchingRatios!$A$225:$S$256,MATCH($A14,PitchingRatios!$A$225:$A$256,0),MATCH(AQ$2,PitchingRatios!$A$225:$S$225,0))</f>
        <v>0.26</v>
      </c>
      <c r="AR14" s="81">
        <f>INDEX(PitchingRatios!$A$225:$S$256,MATCH($A14,PitchingRatios!$A$225:$A$256,0),MATCH(AR$2,PitchingRatios!$A$225:$S$225,0))</f>
        <v>0.1</v>
      </c>
      <c r="AS14" s="81">
        <f>INDEX(PitchingRatios!$A$225:$S$256,MATCH($A14,PitchingRatios!$A$225:$A$256,0),MATCH(AS$2,PitchingRatios!$A$225:$S$225,0))</f>
        <v>0.1</v>
      </c>
      <c r="AT14" s="7">
        <f>INDEX(TeamStandardPitching!$A:$AJ,MATCH($A14,TeamStandardPitching!$A:$A,0),MATCH(AT$2,TeamStandardPitching!$A$225:$AJ$225,0))</f>
        <v>30</v>
      </c>
      <c r="AU14" s="7">
        <f>INDEX(TeamStandardPitching!$A:$AJ,MATCH($A14,TeamStandardPitching!$A:$A,0),MATCH(AU$2,TeamStandardPitching!$A$225:$AJ$225,0))</f>
        <v>27.9</v>
      </c>
      <c r="AV14" s="7">
        <f>INDEX(TeamStandardPitching!$A:$AJ,MATCH($A14,TeamStandardPitching!$A:$A,0),MATCH(AV$2,TeamStandardPitching!$A$225:$AJ$225,0))</f>
        <v>5.36</v>
      </c>
      <c r="AW14" s="7">
        <f>INDEX(TeamStandardPitching!$A:$AJ,MATCH($A14,TeamStandardPitching!$A:$A,0),MATCH(AW$2,TeamStandardPitching!$A$225:$AJ$225,0))</f>
        <v>221</v>
      </c>
      <c r="AX14" s="7">
        <f>INDEX(TeamStandardPitching!$A:$AJ,MATCH($A14,TeamStandardPitching!$A:$A,0),MATCH(AX$2,TeamStandardPitching!$A$225:$AJ$225,0))</f>
        <v>582</v>
      </c>
      <c r="AY14" s="7">
        <f>INDEX(TeamStandardPitching!$A:$AJ,MATCH($A14,TeamStandardPitching!$A:$A,0),MATCH(AY$2,TeamStandardPitching!$A$225:$AJ$225,0))</f>
        <v>25</v>
      </c>
      <c r="AZ14" s="7">
        <f>INDEX(TeamStandardPitching!$A:$AJ,MATCH($A14,TeamStandardPitching!$A:$A,0),MATCH(AZ$2,TeamStandardPitching!$A$225:$AJ$225,0))</f>
        <v>1230</v>
      </c>
      <c r="BA14" s="7">
        <f>INDEX(TeamStandardPitching!$A:$AJ,MATCH($A14,TeamStandardPitching!$A:$A,0),MATCH(BA$2,TeamStandardPitching!$A$225:$AJ$225,0))</f>
        <v>81</v>
      </c>
      <c r="BB14" s="7">
        <f>INDEX(TeamStandardPitching!$A:$AJ,MATCH($A14,TeamStandardPitching!$A:$A,0),MATCH(BB$2,TeamStandardPitching!$A$225:$AJ$225,0))</f>
        <v>5</v>
      </c>
      <c r="BC14" s="7">
        <f>INDEX(TeamStandardPitching!$A:$AJ,MATCH($A14,TeamStandardPitching!$A:$A,0),MATCH(BC$2,TeamStandardPitching!$A$225:$AJ$225,0))</f>
        <v>59</v>
      </c>
      <c r="BD14" s="7">
        <f>INDEX(TeamStandardPitching!$A:$AJ,MATCH($A14,TeamStandardPitching!$A:$A,0),MATCH(BD$2,TeamStandardPitching!$A$225:$AJ$225,0))</f>
        <v>6307</v>
      </c>
      <c r="BE14" s="7">
        <f>INDEX(TeamStandardPitching!$A:$AJ,MATCH($A14,TeamStandardPitching!$A:$A,0),MATCH(BE$2,TeamStandardPitching!$A$225:$AJ$225,0))</f>
        <v>91</v>
      </c>
      <c r="BF14" s="7">
        <f>INDEX(TeamStandardPitching!$A:$AJ,MATCH($A14,TeamStandardPitching!$A:$A,0),MATCH(BF$2,TeamStandardPitching!$A$225:$AJ$225,0))</f>
        <v>4.9000000000000004</v>
      </c>
      <c r="BG14" s="7">
        <f>INDEX(TeamStandardPitching!$A:$AJ,MATCH($A14,TeamStandardPitching!$A:$A,0),MATCH(BG$2,TeamStandardPitching!$A$225:$AJ$225,0))</f>
        <v>1.4790000000000001</v>
      </c>
      <c r="BH14" s="7">
        <f>INDEX(TeamStandardPitching!$A:$AJ,MATCH($A14,TeamStandardPitching!$A:$A,0),MATCH(BH$2,TeamStandardPitching!$A$225:$AJ$225,0))</f>
        <v>9.6</v>
      </c>
      <c r="BI14" s="7">
        <f>INDEX(TeamStandardPitching!$A:$AJ,MATCH($A14,TeamStandardPitching!$A:$A,0),MATCH(BI$2,TeamStandardPitching!$A$225:$AJ$225,0))</f>
        <v>1.4</v>
      </c>
      <c r="BJ14" s="7">
        <f>INDEX(TeamStandardPitching!$A:$AJ,MATCH($A14,TeamStandardPitching!$A:$A,0),MATCH(BJ$2,TeamStandardPitching!$A$225:$AJ$225,0))</f>
        <v>3.7</v>
      </c>
      <c r="BK14" s="7">
        <f>INDEX(TeamStandardPitching!$A:$AJ,MATCH($A14,TeamStandardPitching!$A:$A,0),MATCH(BK$2,TeamStandardPitching!$A$225:$AJ$225,0))</f>
        <v>7.8</v>
      </c>
      <c r="BL14" s="7">
        <f>INDEX(TeamStandardPitching!$A:$AJ,MATCH($A14,TeamStandardPitching!$A:$A,0),MATCH(BL$2,TeamStandardPitching!$A$225:$AJ$225,0))</f>
        <v>2.11</v>
      </c>
      <c r="BM14" s="7">
        <f>INDEX(TeamStandardPitching!$A:$AJ,MATCH($A14,TeamStandardPitching!$A:$A,0),MATCH(BM$2,TeamStandardPitching!$A$225:$AJ$225,0))</f>
        <v>1163</v>
      </c>
      <c r="BO14">
        <v>231.86793755735772</v>
      </c>
      <c r="BP14">
        <v>18</v>
      </c>
      <c r="BQ14" t="e">
        <v>#N/A</v>
      </c>
      <c r="BR14" t="e">
        <v>#N/A</v>
      </c>
      <c r="BS14" t="e">
        <v>#N/A</v>
      </c>
      <c r="BT14" t="e">
        <v>#N/A</v>
      </c>
      <c r="BU14" t="e">
        <v>#N/A</v>
      </c>
      <c r="BV14" t="e">
        <v>#N/A</v>
      </c>
      <c r="BW14" t="e">
        <v>#N/A</v>
      </c>
      <c r="BX14" t="e">
        <v>#N/A</v>
      </c>
      <c r="BY14" t="e">
        <v>#N/A</v>
      </c>
      <c r="BZ14" t="e">
        <v>#N/A</v>
      </c>
    </row>
    <row r="15" spans="1:78" x14ac:dyDescent="0.25">
      <c r="A15" t="s">
        <v>7</v>
      </c>
      <c r="B15" t="s">
        <v>234</v>
      </c>
      <c r="D15">
        <f>INDEX(Scores!$B$1:$G$31,MATCH($A15,Scores!$B$1:$B$31,0),MATCH(D$2,Scores!$B$1:$G$1,0))</f>
        <v>4.666666666666667</v>
      </c>
      <c r="E15">
        <f>INDEX(Scores!$B$1:$G$31,MATCH($A15,Scores!$B$1:$B$31,0),MATCH(E$2,Scores!$B$1:$G$1,0))</f>
        <v>3.1817380140614118</v>
      </c>
      <c r="F15">
        <f>INDEX(Scores!$B$1:$G$31,MATCH($A15,Scores!$B$1:$B$31,0),MATCH(F$2,Scores!$B$1:$G$1,0))</f>
        <v>4.9220779220779223</v>
      </c>
      <c r="G15">
        <f>INDEX(Scores!$B$1:$G$31,MATCH($A15,Scores!$B$1:$B$31,0),MATCH(G$2,Scores!$B$1:$G$1,0))</f>
        <v>2.953167939187515</v>
      </c>
      <c r="H15" s="9">
        <f>INDEX(TeamAdvBatting!$A:$Z,MATCH($A15,TeamAdvBatting!$A:$A,0),MATCH(H$2,TeamAdvBatting!$A$225:$Z$225,0))</f>
        <v>4.75</v>
      </c>
      <c r="I15" s="9">
        <f>INDEX(TeamAdvBatting!$A:$Z,MATCH($A15,TeamAdvBatting!$A:$A,0),MATCH(I$2,TeamAdvBatting!$A$225:$Z$225,0))</f>
        <v>4383</v>
      </c>
      <c r="J15" s="9">
        <f>INDEX(TeamAdvBatting!$A:$Z,MATCH($A15,TeamAdvBatting!$A:$A,0),MATCH(J$2,TeamAdvBatting!$A$225:$Z$225,0))</f>
        <v>794</v>
      </c>
      <c r="K15" s="9">
        <f>INDEX(TeamAdvBatting!$A:$Z,MATCH($A15,TeamAdvBatting!$A:$A,0),MATCH(K$2,TeamAdvBatting!$A$225:$Z$225,0))</f>
        <v>4.9000000000000004</v>
      </c>
      <c r="L15" s="9">
        <f>INDEX(TeamAdvBatting!$A:$Z,MATCH($A15,TeamAdvBatting!$A:$A,0),MATCH(L$2,TeamAdvBatting!$A$225:$Z$225,0))</f>
        <v>105</v>
      </c>
      <c r="M15" s="9">
        <f>INDEX(TeamAdvBatting!$A:$Z,MATCH($A15,TeamAdvBatting!$A:$A,0),MATCH(M$2,TeamAdvBatting!$A$225:$Z$225,0))</f>
        <v>0.28100000000000003</v>
      </c>
      <c r="N15" s="9">
        <f>INDEX(TeamAdvBatting!$A:$Z,MATCH($A15,TeamAdvBatting!$A:$A,0),MATCH(N$2,TeamAdvBatting!$A$225:$Z$225,0))</f>
        <v>0.32400000000000001</v>
      </c>
      <c r="O15" s="9">
        <f>INDEX(TeamAdvBatting!$A:$Z,MATCH($A15,TeamAdvBatting!$A:$A,0),MATCH(O$2,TeamAdvBatting!$A$225:$Z$225,0))</f>
        <v>0.42199999999999999</v>
      </c>
      <c r="P15" s="9">
        <f>INDEX(TeamAdvBatting!$A:$Z,MATCH($A15,TeamAdvBatting!$A:$A,0),MATCH(P$2,TeamAdvBatting!$A$225:$Z$225,0))</f>
        <v>98</v>
      </c>
      <c r="Q15" s="9">
        <f>INDEX(TeamAdvBatting!$A:$Z,MATCH($A15,TeamAdvBatting!$A:$A,0),MATCH(Q$2,TeamAdvBatting!$A$225:$Z$225,0))</f>
        <v>0.48499999999999999</v>
      </c>
      <c r="R15" s="9">
        <f>INDEX(TeamAdvBatting!$A:$Z,MATCH($A15,TeamAdvBatting!$A:$A,0),MATCH(R$2,TeamAdvBatting!$A$225:$Z$225,0))</f>
        <v>-11.6</v>
      </c>
      <c r="S15" s="9">
        <f>INDEX(TeamAdvBatting!$A:$Z,MATCH($A15,TeamAdvBatting!$A:$A,0),MATCH(S$2,TeamAdvBatting!$A$225:$Z$225,0))</f>
        <v>-1.4</v>
      </c>
      <c r="T15" s="9">
        <f>INDEX(TeamAdvBatting!$A:$Z,MATCH($A15,TeamAdvBatting!$A:$A,0),MATCH(T$2,TeamAdvBatting!$A$225:$Z$225,0))</f>
        <v>0.70499999999999996</v>
      </c>
      <c r="U15" s="9">
        <f>INDEX(TeamAdvBatting!$A:$Z,MATCH($A15,TeamAdvBatting!$A:$A,0),MATCH(U$2,TeamAdvBatting!$A$225:$Z$225,0))</f>
        <v>0.28899999999999998</v>
      </c>
      <c r="V15" s="9">
        <f>INDEX(TeamAdvBatting!$A:$Z,MATCH($A15,TeamAdvBatting!$A:$A,0),MATCH(V$2,TeamAdvBatting!$A$225:$Z$225,0))</f>
        <v>0.17499999999999999</v>
      </c>
      <c r="W15" s="9">
        <f>INDEX(TeamAdvBatting!$A:$Z,MATCH($A15,TeamAdvBatting!$A:$A,0),MATCH(W$2,TeamAdvBatting!$A$225:$Z$225,0))</f>
        <v>100.4</v>
      </c>
      <c r="X15" s="78">
        <f>INDEX(BattingRatios!$A$225:$Q$256,MATCH($A15,BattingRatios!$A$225:$A$256,0),MATCH(X$2,BattingRatios!$A$225:$Q$225,0))</f>
        <v>3.5000000000000003E-2</v>
      </c>
      <c r="Y15" s="78">
        <f>INDEX(BattingRatios!$A$225:$Q$256,MATCH($A15,BattingRatios!$A$225:$A$256,0),MATCH(Y$2,BattingRatios!$A$225:$Q$225,0))</f>
        <v>0.20399999999999999</v>
      </c>
      <c r="Z15" s="78">
        <f>INDEX(BattingRatios!$A$225:$Q$256,MATCH($A15,BattingRatios!$A$225:$A$256,0),MATCH(Z$2,BattingRatios!$A$225:$Q$225,0))</f>
        <v>9.4E-2</v>
      </c>
      <c r="AA15" s="78">
        <f>INDEX(BattingRatios!$A$225:$Q$256,MATCH($A15,BattingRatios!$A$225:$A$256,0),MATCH(AA$2,BattingRatios!$A$225:$Q$225,0))</f>
        <v>8.1000000000000003E-2</v>
      </c>
      <c r="AB15" s="78">
        <f>INDEX(BattingRatios!$A$225:$Q$256,MATCH($A15,BattingRatios!$A$225:$A$256,0),MATCH(AB$2,BattingRatios!$A$225:$Q$225,0))</f>
        <v>0.37</v>
      </c>
      <c r="AC15" s="78">
        <f>INDEX(BattingRatios!$A$225:$Q$256,MATCH($A15,BattingRatios!$A$225:$A$256,0),MATCH(AC$2,BattingRatios!$A$225:$Q$225,0))</f>
        <v>0.76</v>
      </c>
      <c r="AD15" s="78">
        <f>INDEX(BattingRatios!$A$225:$Q$256,MATCH($A15,BattingRatios!$A$225:$A$256,0),MATCH(AD$2,BattingRatios!$A$225:$Q$225,0))</f>
        <v>1.04</v>
      </c>
      <c r="AE15" s="78">
        <f>INDEX(BattingRatios!$A$225:$Q$256,MATCH($A15,BattingRatios!$A$225:$A$256,0),MATCH(AE$2,BattingRatios!$A$225:$Q$225,0))</f>
        <v>0.65</v>
      </c>
      <c r="AF15" s="78">
        <f>INDEX(BattingRatios!$A$225:$Q$256,MATCH($A15,BattingRatios!$A$225:$A$256,0),MATCH(AF$2,BattingRatios!$A$225:$Q$225,0))</f>
        <v>0.25</v>
      </c>
      <c r="AG15" s="78">
        <f>INDEX(BattingRatios!$A$225:$Q$256,MATCH($A15,BattingRatios!$A$225:$A$256,0),MATCH(AG$2,BattingRatios!$A$225:$Q$225,0))</f>
        <v>0.10299999999999999</v>
      </c>
      <c r="AH15" s="78">
        <f>INDEX(BattingRatios!$A$225:$Q$256,MATCH($A15,BattingRatios!$A$225:$A$256,0),MATCH(AH$2,BattingRatios!$A$225:$Q$225,0))</f>
        <v>0.13</v>
      </c>
      <c r="AI15" s="81">
        <f>INDEX(PitchingRatios!$A$225:$S$256,MATCH($A15,PitchingRatios!$A$225:$A$256,0),MATCH(AI$2,PitchingRatios!$A$225:$S$225,0))</f>
        <v>4.2999999999999997E-2</v>
      </c>
      <c r="AJ15" s="81">
        <f>INDEX(PitchingRatios!$A$225:$S$256,MATCH($A15,PitchingRatios!$A$225:$A$256,0),MATCH(AJ$2,PitchingRatios!$A$225:$S$225,0))</f>
        <v>0.223</v>
      </c>
      <c r="AK15" s="81">
        <f>INDEX(PitchingRatios!$A$225:$S$256,MATCH($A15,PitchingRatios!$A$225:$A$256,0),MATCH(AK$2,PitchingRatios!$A$225:$S$225,0))</f>
        <v>9.1999999999999998E-2</v>
      </c>
      <c r="AL15" s="81">
        <f>INDEX(PitchingRatios!$A$225:$S$256,MATCH($A15,PitchingRatios!$A$225:$A$256,0),MATCH(AL$2,PitchingRatios!$A$225:$S$225,0))</f>
        <v>9.1999999999999998E-2</v>
      </c>
      <c r="AM15" s="81">
        <f>INDEX(PitchingRatios!$A$225:$S$256,MATCH($A15,PitchingRatios!$A$225:$A$256,0),MATCH(AM$2,PitchingRatios!$A$225:$S$225,0))</f>
        <v>0.41</v>
      </c>
      <c r="AN15" s="81">
        <f>INDEX(PitchingRatios!$A$225:$S$256,MATCH($A15,PitchingRatios!$A$225:$A$256,0),MATCH(AN$2,PitchingRatios!$A$225:$S$225,0))</f>
        <v>0.69</v>
      </c>
      <c r="AO15" s="81">
        <f>INDEX(PitchingRatios!$A$225:$S$256,MATCH($A15,PitchingRatios!$A$225:$A$256,0),MATCH(AO$2,PitchingRatios!$A$225:$S$225,0))</f>
        <v>0.93</v>
      </c>
      <c r="AP15" s="81">
        <f>INDEX(PitchingRatios!$A$225:$S$256,MATCH($A15,PitchingRatios!$A$225:$A$256,0),MATCH(AP$2,PitchingRatios!$A$225:$S$225,0))</f>
        <v>0.63</v>
      </c>
      <c r="AQ15" s="81">
        <f>INDEX(PitchingRatios!$A$225:$S$256,MATCH($A15,PitchingRatios!$A$225:$A$256,0),MATCH(AQ$2,PitchingRatios!$A$225:$S$225,0))</f>
        <v>0.26</v>
      </c>
      <c r="AR15" s="81">
        <f>INDEX(PitchingRatios!$A$225:$S$256,MATCH($A15,PitchingRatios!$A$225:$A$256,0),MATCH(AR$2,PitchingRatios!$A$225:$S$225,0))</f>
        <v>0.122</v>
      </c>
      <c r="AS15" s="81">
        <f>INDEX(PitchingRatios!$A$225:$S$256,MATCH($A15,PitchingRatios!$A$225:$A$256,0),MATCH(AS$2,PitchingRatios!$A$225:$S$225,0))</f>
        <v>0.11</v>
      </c>
      <c r="AT15" s="7">
        <f>INDEX(TeamStandardPitching!$A:$AJ,MATCH($A15,TeamStandardPitching!$A:$A,0),MATCH(AT$2,TeamStandardPitching!$A$225:$AJ$225,0))</f>
        <v>31</v>
      </c>
      <c r="AU15" s="7">
        <f>INDEX(TeamStandardPitching!$A:$AJ,MATCH($A15,TeamStandardPitching!$A:$A,0),MATCH(AU$2,TeamStandardPitching!$A$225:$AJ$225,0))</f>
        <v>27</v>
      </c>
      <c r="AV15" s="7">
        <f>INDEX(TeamStandardPitching!$A:$AJ,MATCH($A15,TeamStandardPitching!$A:$A,0),MATCH(AV$2,TeamStandardPitching!$A$225:$AJ$225,0))</f>
        <v>5.36</v>
      </c>
      <c r="AW15" s="7">
        <f>INDEX(TeamStandardPitching!$A:$AJ,MATCH($A15,TeamStandardPitching!$A:$A,0),MATCH(AW$2,TeamStandardPitching!$A$225:$AJ$225,0))</f>
        <v>267</v>
      </c>
      <c r="AX15" s="7">
        <f>INDEX(TeamStandardPitching!$A:$AJ,MATCH($A15,TeamStandardPitching!$A:$A,0),MATCH(AX$2,TeamStandardPitching!$A$225:$AJ$225,0))</f>
        <v>576</v>
      </c>
      <c r="AY15" s="7">
        <f>INDEX(TeamStandardPitching!$A:$AJ,MATCH($A15,TeamStandardPitching!$A:$A,0),MATCH(AY$2,TeamStandardPitching!$A$225:$AJ$225,0))</f>
        <v>11</v>
      </c>
      <c r="AZ15" s="7">
        <f>INDEX(TeamStandardPitching!$A:$AJ,MATCH($A15,TeamStandardPitching!$A:$A,0),MATCH(AZ$2,TeamStandardPitching!$A$225:$AJ$225,0))</f>
        <v>1404</v>
      </c>
      <c r="BA15" s="7">
        <f>INDEX(TeamStandardPitching!$A:$AJ,MATCH($A15,TeamStandardPitching!$A:$A,0),MATCH(BA$2,TeamStandardPitching!$A$225:$AJ$225,0))</f>
        <v>82</v>
      </c>
      <c r="BB15" s="7">
        <f>INDEX(TeamStandardPitching!$A:$AJ,MATCH($A15,TeamStandardPitching!$A:$A,0),MATCH(BB$2,TeamStandardPitching!$A$225:$AJ$225,0))</f>
        <v>9</v>
      </c>
      <c r="BC15" s="7">
        <f>INDEX(TeamStandardPitching!$A:$AJ,MATCH($A15,TeamStandardPitching!$A:$A,0),MATCH(BC$2,TeamStandardPitching!$A$225:$AJ$225,0))</f>
        <v>98</v>
      </c>
      <c r="BD15" s="7">
        <f>INDEX(TeamStandardPitching!$A:$AJ,MATCH($A15,TeamStandardPitching!$A:$A,0),MATCH(BD$2,TeamStandardPitching!$A$225:$AJ$225,0))</f>
        <v>6289</v>
      </c>
      <c r="BE15" s="7">
        <f>INDEX(TeamStandardPitching!$A:$AJ,MATCH($A15,TeamStandardPitching!$A:$A,0),MATCH(BE$2,TeamStandardPitching!$A$225:$AJ$225,0))</f>
        <v>89</v>
      </c>
      <c r="BF15" s="7">
        <f>INDEX(TeamStandardPitching!$A:$AJ,MATCH($A15,TeamStandardPitching!$A:$A,0),MATCH(BF$2,TeamStandardPitching!$A$225:$AJ$225,0))</f>
        <v>5.04</v>
      </c>
      <c r="BG15" s="7">
        <f>INDEX(TeamStandardPitching!$A:$AJ,MATCH($A15,TeamStandardPitching!$A:$A,0),MATCH(BG$2,TeamStandardPitching!$A$225:$AJ$225,0))</f>
        <v>1.381</v>
      </c>
      <c r="BH15" s="7">
        <f>INDEX(TeamStandardPitching!$A:$AJ,MATCH($A15,TeamStandardPitching!$A:$A,0),MATCH(BH$2,TeamStandardPitching!$A$225:$AJ$225,0))</f>
        <v>8.8000000000000007</v>
      </c>
      <c r="BI15" s="7">
        <f>INDEX(TeamStandardPitching!$A:$AJ,MATCH($A15,TeamStandardPitching!$A:$A,0),MATCH(BI$2,TeamStandardPitching!$A$225:$AJ$225,0))</f>
        <v>1.7</v>
      </c>
      <c r="BJ15" s="7">
        <f>INDEX(TeamStandardPitching!$A:$AJ,MATCH($A15,TeamStandardPitching!$A:$A,0),MATCH(BJ$2,TeamStandardPitching!$A$225:$AJ$225,0))</f>
        <v>3.6</v>
      </c>
      <c r="BK15" s="7">
        <f>INDEX(TeamStandardPitching!$A:$AJ,MATCH($A15,TeamStandardPitching!$A:$A,0),MATCH(BK$2,TeamStandardPitching!$A$225:$AJ$225,0))</f>
        <v>8.8000000000000007</v>
      </c>
      <c r="BL15" s="7">
        <f>INDEX(TeamStandardPitching!$A:$AJ,MATCH($A15,TeamStandardPitching!$A:$A,0),MATCH(BL$2,TeamStandardPitching!$A$225:$AJ$225,0))</f>
        <v>2.44</v>
      </c>
      <c r="BM15" s="7">
        <f>INDEX(TeamStandardPitching!$A:$AJ,MATCH($A15,TeamStandardPitching!$A:$A,0),MATCH(BM$2,TeamStandardPitching!$A$225:$AJ$225,0))</f>
        <v>1093</v>
      </c>
      <c r="BO15">
        <v>10.447339896204813</v>
      </c>
      <c r="BP15">
        <v>7.3730103795189933E-2</v>
      </c>
      <c r="BQ15" t="e">
        <v>#N/A</v>
      </c>
      <c r="BR15" t="e">
        <v>#N/A</v>
      </c>
      <c r="BS15" t="e">
        <v>#N/A</v>
      </c>
      <c r="BT15" t="e">
        <v>#N/A</v>
      </c>
      <c r="BU15" t="e">
        <v>#N/A</v>
      </c>
      <c r="BV15" t="e">
        <v>#N/A</v>
      </c>
      <c r="BW15" t="e">
        <v>#N/A</v>
      </c>
      <c r="BX15" t="e">
        <v>#N/A</v>
      </c>
      <c r="BY15" t="e">
        <v>#N/A</v>
      </c>
      <c r="BZ15" t="e">
        <v>#N/A</v>
      </c>
    </row>
    <row r="16" spans="1:78" x14ac:dyDescent="0.25">
      <c r="A16" t="s">
        <v>29</v>
      </c>
      <c r="B16" t="s">
        <v>235</v>
      </c>
      <c r="D16">
        <f>INDEX(Scores!$B$1:$G$31,MATCH($A16,Scores!$B$1:$B$31,0),MATCH(D$2,Scores!$B$1:$G$1,0))</f>
        <v>5.5</v>
      </c>
      <c r="E16">
        <f>INDEX(Scores!$B$1:$G$31,MATCH($A16,Scores!$B$1:$B$31,0),MATCH(E$2,Scores!$B$1:$G$1,0))</f>
        <v>3.5559438749937073</v>
      </c>
      <c r="F16">
        <f>INDEX(Scores!$B$1:$G$31,MATCH($A16,Scores!$B$1:$B$31,0),MATCH(F$2,Scores!$B$1:$G$1,0))</f>
        <v>5.4444444444444446</v>
      </c>
      <c r="G16">
        <f>INDEX(Scores!$B$1:$G$31,MATCH($A16,Scores!$B$1:$B$31,0),MATCH(G$2,Scores!$B$1:$G$1,0))</f>
        <v>3.6072629068328723</v>
      </c>
      <c r="H16" s="9">
        <f>INDEX(TeamAdvBatting!$A:$Z,MATCH($A16,TeamAdvBatting!$A:$A,0),MATCH(H$2,TeamAdvBatting!$A$225:$Z$225,0))</f>
        <v>5.47</v>
      </c>
      <c r="I16" s="9">
        <f>INDEX(TeamAdvBatting!$A:$Z,MATCH($A16,TeamAdvBatting!$A:$A,0),MATCH(I$2,TeamAdvBatting!$A$225:$Z$225,0))</f>
        <v>4289</v>
      </c>
      <c r="J16" s="9">
        <f>INDEX(TeamAdvBatting!$A:$Z,MATCH($A16,TeamAdvBatting!$A:$A,0),MATCH(J$2,TeamAdvBatting!$A$225:$Z$225,0))</f>
        <v>930</v>
      </c>
      <c r="K16" s="9">
        <f>INDEX(TeamAdvBatting!$A:$Z,MATCH($A16,TeamAdvBatting!$A:$A,0),MATCH(K$2,TeamAdvBatting!$A$225:$Z$225,0))</f>
        <v>5.8</v>
      </c>
      <c r="L16" s="9">
        <f>INDEX(TeamAdvBatting!$A:$Z,MATCH($A16,TeamAdvBatting!$A:$A,0),MATCH(L$2,TeamAdvBatting!$A$225:$Z$225,0))</f>
        <v>106</v>
      </c>
      <c r="M16" s="9">
        <f>INDEX(TeamAdvBatting!$A:$Z,MATCH($A16,TeamAdvBatting!$A:$A,0),MATCH(M$2,TeamAdvBatting!$A$225:$Z$225,0))</f>
        <v>0.29099999999999998</v>
      </c>
      <c r="N16" s="9">
        <f>INDEX(TeamAdvBatting!$A:$Z,MATCH($A16,TeamAdvBatting!$A:$A,0),MATCH(N$2,TeamAdvBatting!$A$225:$Z$225,0))</f>
        <v>0.33800000000000002</v>
      </c>
      <c r="O16" s="9">
        <f>INDEX(TeamAdvBatting!$A:$Z,MATCH($A16,TeamAdvBatting!$A:$A,0),MATCH(O$2,TeamAdvBatting!$A$225:$Z$225,0))</f>
        <v>0.47199999999999998</v>
      </c>
      <c r="P16" s="9">
        <f>INDEX(TeamAdvBatting!$A:$Z,MATCH($A16,TeamAdvBatting!$A:$A,0),MATCH(P$2,TeamAdvBatting!$A$225:$Z$225,0))</f>
        <v>112</v>
      </c>
      <c r="Q16" s="9">
        <f>INDEX(TeamAdvBatting!$A:$Z,MATCH($A16,TeamAdvBatting!$A:$A,0),MATCH(Q$2,TeamAdvBatting!$A$225:$Z$225,0))</f>
        <v>0.57199999999999995</v>
      </c>
      <c r="R16" s="9">
        <f>INDEX(TeamAdvBatting!$A:$Z,MATCH($A16,TeamAdvBatting!$A:$A,0),MATCH(R$2,TeamAdvBatting!$A$225:$Z$225,0))</f>
        <v>103.3</v>
      </c>
      <c r="S16" s="9">
        <f>INDEX(TeamAdvBatting!$A:$Z,MATCH($A16,TeamAdvBatting!$A:$A,0),MATCH(S$2,TeamAdvBatting!$A$225:$Z$225,0))</f>
        <v>9.5</v>
      </c>
      <c r="T16" s="9">
        <f>INDEX(TeamAdvBatting!$A:$Z,MATCH($A16,TeamAdvBatting!$A:$A,0),MATCH(T$2,TeamAdvBatting!$A$225:$Z$225,0))</f>
        <v>0.79700000000000004</v>
      </c>
      <c r="U16" s="9">
        <f>INDEX(TeamAdvBatting!$A:$Z,MATCH($A16,TeamAdvBatting!$A:$A,0),MATCH(U$2,TeamAdvBatting!$A$225:$Z$225,0))</f>
        <v>0.33400000000000002</v>
      </c>
      <c r="V16" s="9">
        <f>INDEX(TeamAdvBatting!$A:$Z,MATCH($A16,TeamAdvBatting!$A:$A,0),MATCH(V$2,TeamAdvBatting!$A$225:$Z$225,0))</f>
        <v>0.215</v>
      </c>
      <c r="W16" s="9">
        <f>INDEX(TeamAdvBatting!$A:$Z,MATCH($A16,TeamAdvBatting!$A:$A,0),MATCH(W$2,TeamAdvBatting!$A$225:$Z$225,0))</f>
        <v>94.7</v>
      </c>
      <c r="X16" s="78">
        <f>INDEX(BattingRatios!$A$225:$Q$256,MATCH($A16,BattingRatios!$A$225:$A$256,0),MATCH(X$2,BattingRatios!$A$225:$Q$225,0))</f>
        <v>4.3999999999999997E-2</v>
      </c>
      <c r="Y16" s="78">
        <f>INDEX(BattingRatios!$A$225:$Q$256,MATCH($A16,BattingRatios!$A$225:$A$256,0),MATCH(Y$2,BattingRatios!$A$225:$Q$225,0))</f>
        <v>0.216</v>
      </c>
      <c r="Z16" s="78">
        <f>INDEX(BattingRatios!$A$225:$Q$256,MATCH($A16,BattingRatios!$A$225:$A$256,0),MATCH(Z$2,BattingRatios!$A$225:$Q$225,0))</f>
        <v>9.7000000000000003E-2</v>
      </c>
      <c r="AA16" s="78">
        <f>INDEX(BattingRatios!$A$225:$Q$256,MATCH($A16,BattingRatios!$A$225:$A$256,0),MATCH(AA$2,BattingRatios!$A$225:$Q$225,0))</f>
        <v>9.6000000000000002E-2</v>
      </c>
      <c r="AB16" s="78">
        <f>INDEX(BattingRatios!$A$225:$Q$256,MATCH($A16,BattingRatios!$A$225:$A$256,0),MATCH(AB$2,BattingRatios!$A$225:$Q$225,0))</f>
        <v>0.43</v>
      </c>
      <c r="AC16" s="78">
        <f>INDEX(BattingRatios!$A$225:$Q$256,MATCH($A16,BattingRatios!$A$225:$A$256,0),MATCH(AC$2,BattingRatios!$A$225:$Q$225,0))</f>
        <v>0.69</v>
      </c>
      <c r="AD16" s="78">
        <f>INDEX(BattingRatios!$A$225:$Q$256,MATCH($A16,BattingRatios!$A$225:$A$256,0),MATCH(AD$2,BattingRatios!$A$225:$Q$225,0))</f>
        <v>0.94</v>
      </c>
      <c r="AE16" s="78">
        <f>INDEX(BattingRatios!$A$225:$Q$256,MATCH($A16,BattingRatios!$A$225:$A$256,0),MATCH(AE$2,BattingRatios!$A$225:$Q$225,0))</f>
        <v>0.62</v>
      </c>
      <c r="AF16" s="78">
        <f>INDEX(BattingRatios!$A$225:$Q$256,MATCH($A16,BattingRatios!$A$225:$A$256,0),MATCH(AF$2,BattingRatios!$A$225:$Q$225,0))</f>
        <v>0.25</v>
      </c>
      <c r="AG16" s="78">
        <f>INDEX(BattingRatios!$A$225:$Q$256,MATCH($A16,BattingRatios!$A$225:$A$256,0),MATCH(AG$2,BattingRatios!$A$225:$Q$225,0))</f>
        <v>0.127</v>
      </c>
      <c r="AH16" s="78">
        <f>INDEX(BattingRatios!$A$225:$Q$256,MATCH($A16,BattingRatios!$A$225:$A$256,0),MATCH(AH$2,BattingRatios!$A$225:$Q$225,0))</f>
        <v>0.11</v>
      </c>
      <c r="AI16" s="81">
        <f>INDEX(PitchingRatios!$A$225:$S$256,MATCH($A16,PitchingRatios!$A$225:$A$256,0),MATCH(AI$2,PitchingRatios!$A$225:$S$225,0))</f>
        <v>3.1E-2</v>
      </c>
      <c r="AJ16" s="81">
        <f>INDEX(PitchingRatios!$A$225:$S$256,MATCH($A16,PitchingRatios!$A$225:$A$256,0),MATCH(AJ$2,PitchingRatios!$A$225:$S$225,0))</f>
        <v>0.25700000000000001</v>
      </c>
      <c r="AK16" s="81">
        <f>INDEX(PitchingRatios!$A$225:$S$256,MATCH($A16,PitchingRatios!$A$225:$A$256,0),MATCH(AK$2,PitchingRatios!$A$225:$S$225,0))</f>
        <v>6.6000000000000003E-2</v>
      </c>
      <c r="AL16" s="81">
        <f>INDEX(PitchingRatios!$A$225:$S$256,MATCH($A16,PitchingRatios!$A$225:$A$256,0),MATCH(AL$2,PitchingRatios!$A$225:$S$225,0))</f>
        <v>7.5999999999999998E-2</v>
      </c>
      <c r="AM16" s="81">
        <f>INDEX(PitchingRatios!$A$225:$S$256,MATCH($A16,PitchingRatios!$A$225:$A$256,0),MATCH(AM$2,PitchingRatios!$A$225:$S$225,0))</f>
        <v>0.37</v>
      </c>
      <c r="AN16" s="81">
        <f>INDEX(PitchingRatios!$A$225:$S$256,MATCH($A16,PitchingRatios!$A$225:$A$256,0),MATCH(AN$2,PitchingRatios!$A$225:$S$225,0))</f>
        <v>0.82</v>
      </c>
      <c r="AO16" s="81">
        <f>INDEX(PitchingRatios!$A$225:$S$256,MATCH($A16,PitchingRatios!$A$225:$A$256,0),MATCH(AO$2,PitchingRatios!$A$225:$S$225,0))</f>
        <v>1.1200000000000001</v>
      </c>
      <c r="AP16" s="81">
        <f>INDEX(PitchingRatios!$A$225:$S$256,MATCH($A16,PitchingRatios!$A$225:$A$256,0),MATCH(AP$2,PitchingRatios!$A$225:$S$225,0))</f>
        <v>0.63</v>
      </c>
      <c r="AQ16" s="81">
        <f>INDEX(PitchingRatios!$A$225:$S$256,MATCH($A16,PitchingRatios!$A$225:$A$256,0),MATCH(AQ$2,PitchingRatios!$A$225:$S$225,0))</f>
        <v>0.24</v>
      </c>
      <c r="AR16" s="81">
        <f>INDEX(PitchingRatios!$A$225:$S$256,MATCH($A16,PitchingRatios!$A$225:$A$256,0),MATCH(AR$2,PitchingRatios!$A$225:$S$225,0))</f>
        <v>0.10100000000000001</v>
      </c>
      <c r="AS16" s="81">
        <f>INDEX(PitchingRatios!$A$225:$S$256,MATCH($A16,PitchingRatios!$A$225:$A$256,0),MATCH(AS$2,PitchingRatios!$A$225:$S$225,0))</f>
        <v>0.13</v>
      </c>
      <c r="AT16" s="7">
        <f>INDEX(TeamStandardPitching!$A:$AJ,MATCH($A16,TeamStandardPitching!$A:$A,0),MATCH(AT$2,TeamStandardPitching!$A$225:$AJ$225,0))</f>
        <v>25</v>
      </c>
      <c r="AU16" s="7">
        <f>INDEX(TeamStandardPitching!$A:$AJ,MATCH($A16,TeamStandardPitching!$A:$A,0),MATCH(AU$2,TeamStandardPitching!$A$225:$AJ$225,0))</f>
        <v>28.9</v>
      </c>
      <c r="AV16" s="7">
        <f>INDEX(TeamStandardPitching!$A:$AJ,MATCH($A16,TeamStandardPitching!$A:$A,0),MATCH(AV$2,TeamStandardPitching!$A$225:$AJ$225,0))</f>
        <v>3.78</v>
      </c>
      <c r="AW16" s="7">
        <f>INDEX(TeamStandardPitching!$A:$AJ,MATCH($A16,TeamStandardPitching!$A:$A,0),MATCH(AW$2,TeamStandardPitching!$A$225:$AJ$225,0))</f>
        <v>185</v>
      </c>
      <c r="AX16" s="7">
        <f>INDEX(TeamStandardPitching!$A:$AJ,MATCH($A16,TeamStandardPitching!$A:$A,0),MATCH(AX$2,TeamStandardPitching!$A$225:$AJ$225,0))</f>
        <v>392</v>
      </c>
      <c r="AY16" s="7">
        <f>INDEX(TeamStandardPitching!$A:$AJ,MATCH($A16,TeamStandardPitching!$A:$A,0),MATCH(AY$2,TeamStandardPitching!$A$225:$AJ$225,0))</f>
        <v>24</v>
      </c>
      <c r="AZ16" s="7">
        <f>INDEX(TeamStandardPitching!$A:$AJ,MATCH($A16,TeamStandardPitching!$A:$A,0),MATCH(AZ$2,TeamStandardPitching!$A$225:$AJ$225,0))</f>
        <v>1519</v>
      </c>
      <c r="BA16" s="7">
        <f>INDEX(TeamStandardPitching!$A:$AJ,MATCH($A16,TeamStandardPitching!$A:$A,0),MATCH(BA$2,TeamStandardPitching!$A$225:$AJ$225,0))</f>
        <v>66</v>
      </c>
      <c r="BB16" s="7">
        <f>INDEX(TeamStandardPitching!$A:$AJ,MATCH($A16,TeamStandardPitching!$A:$A,0),MATCH(BB$2,TeamStandardPitching!$A$225:$AJ$225,0))</f>
        <v>7</v>
      </c>
      <c r="BC16" s="7">
        <f>INDEX(TeamStandardPitching!$A:$AJ,MATCH($A16,TeamStandardPitching!$A:$A,0),MATCH(BC$2,TeamStandardPitching!$A$225:$AJ$225,0))</f>
        <v>40</v>
      </c>
      <c r="BD16" s="7">
        <f>INDEX(TeamStandardPitching!$A:$AJ,MATCH($A16,TeamStandardPitching!$A:$A,0),MATCH(BD$2,TeamStandardPitching!$A$225:$AJ$225,0))</f>
        <v>5913</v>
      </c>
      <c r="BE16" s="7">
        <f>INDEX(TeamStandardPitching!$A:$AJ,MATCH($A16,TeamStandardPitching!$A:$A,0),MATCH(BE$2,TeamStandardPitching!$A$225:$AJ$225,0))</f>
        <v>123</v>
      </c>
      <c r="BF16" s="7">
        <f>INDEX(TeamStandardPitching!$A:$AJ,MATCH($A16,TeamStandardPitching!$A:$A,0),MATCH(BF$2,TeamStandardPitching!$A$225:$AJ$225,0))</f>
        <v>3.73</v>
      </c>
      <c r="BG16" s="7">
        <f>INDEX(TeamStandardPitching!$A:$AJ,MATCH($A16,TeamStandardPitching!$A:$A,0),MATCH(BG$2,TeamStandardPitching!$A$225:$AJ$225,0))</f>
        <v>1.1020000000000001</v>
      </c>
      <c r="BH16" s="7">
        <f>INDEX(TeamStandardPitching!$A:$AJ,MATCH($A16,TeamStandardPitching!$A:$A,0),MATCH(BH$2,TeamStandardPitching!$A$225:$AJ$225,0))</f>
        <v>7.5</v>
      </c>
      <c r="BI16" s="7">
        <f>INDEX(TeamStandardPitching!$A:$AJ,MATCH($A16,TeamStandardPitching!$A:$A,0),MATCH(BI$2,TeamStandardPitching!$A$225:$AJ$225,0))</f>
        <v>1.2</v>
      </c>
      <c r="BJ16" s="7">
        <f>INDEX(TeamStandardPitching!$A:$AJ,MATCH($A16,TeamStandardPitching!$A:$A,0),MATCH(BJ$2,TeamStandardPitching!$A$225:$AJ$225,0))</f>
        <v>2.4</v>
      </c>
      <c r="BK16" s="7">
        <f>INDEX(TeamStandardPitching!$A:$AJ,MATCH($A16,TeamStandardPitching!$A:$A,0),MATCH(BK$2,TeamStandardPitching!$A$225:$AJ$225,0))</f>
        <v>9.5</v>
      </c>
      <c r="BL16" s="7">
        <f>INDEX(TeamStandardPitching!$A:$AJ,MATCH($A16,TeamStandardPitching!$A:$A,0),MATCH(BL$2,TeamStandardPitching!$A$225:$AJ$225,0))</f>
        <v>3.88</v>
      </c>
      <c r="BM16" s="7">
        <f>INDEX(TeamStandardPitching!$A:$AJ,MATCH($A16,TeamStandardPitching!$A:$A,0),MATCH(BM$2,TeamStandardPitching!$A$225:$AJ$225,0))</f>
        <v>963</v>
      </c>
    </row>
    <row r="17" spans="1:78" x14ac:dyDescent="0.25">
      <c r="A17" t="s">
        <v>5</v>
      </c>
      <c r="B17" t="s">
        <v>236</v>
      </c>
      <c r="D17">
        <f>INDEX(Scores!$B$1:$G$31,MATCH($A17,Scores!$B$1:$B$31,0),MATCH(D$2,Scores!$B$1:$G$1,0))</f>
        <v>3.5584415584415585</v>
      </c>
      <c r="E17">
        <f>INDEX(Scores!$B$1:$G$31,MATCH($A17,Scores!$B$1:$B$31,0),MATCH(E$2,Scores!$B$1:$G$1,0))</f>
        <v>3.2050832454432361</v>
      </c>
      <c r="F17">
        <f>INDEX(Scores!$B$1:$G$31,MATCH($A17,Scores!$B$1:$B$31,0),MATCH(F$2,Scores!$B$1:$G$1,0))</f>
        <v>4.0246913580246915</v>
      </c>
      <c r="G17">
        <f>INDEX(Scores!$B$1:$G$31,MATCH($A17,Scores!$B$1:$B$31,0),MATCH(G$2,Scores!$B$1:$G$1,0))</f>
        <v>3.5170670603798935</v>
      </c>
      <c r="H17" s="9">
        <f>INDEX(TeamAdvBatting!$A:$Z,MATCH($A17,TeamAdvBatting!$A:$A,0),MATCH(H$2,TeamAdvBatting!$A$225:$Z$225,0))</f>
        <v>3.8</v>
      </c>
      <c r="I17" s="9">
        <f>INDEX(TeamAdvBatting!$A:$Z,MATCH($A17,TeamAdvBatting!$A:$A,0),MATCH(I$2,TeamAdvBatting!$A$225:$Z$225,0))</f>
        <v>4419</v>
      </c>
      <c r="J17" s="9">
        <f>INDEX(TeamAdvBatting!$A:$Z,MATCH($A17,TeamAdvBatting!$A:$A,0),MATCH(J$2,TeamAdvBatting!$A$225:$Z$225,0))</f>
        <v>625</v>
      </c>
      <c r="K17" s="9">
        <f>INDEX(TeamAdvBatting!$A:$Z,MATCH($A17,TeamAdvBatting!$A:$A,0),MATCH(K$2,TeamAdvBatting!$A$225:$Z$225,0))</f>
        <v>3.8</v>
      </c>
      <c r="L17" s="9">
        <f>INDEX(TeamAdvBatting!$A:$Z,MATCH($A17,TeamAdvBatting!$A:$A,0),MATCH(L$2,TeamAdvBatting!$A$225:$Z$225,0))</f>
        <v>105</v>
      </c>
      <c r="M17" s="9">
        <f>INDEX(TeamAdvBatting!$A:$Z,MATCH($A17,TeamAdvBatting!$A:$A,0),MATCH(M$2,TeamAdvBatting!$A$225:$Z$225,0))</f>
        <v>0.3</v>
      </c>
      <c r="N17" s="9">
        <f>INDEX(TeamAdvBatting!$A:$Z,MATCH($A17,TeamAdvBatting!$A:$A,0),MATCH(N$2,TeamAdvBatting!$A$225:$Z$225,0))</f>
        <v>0.29799999999999999</v>
      </c>
      <c r="O17" s="9">
        <f>INDEX(TeamAdvBatting!$A:$Z,MATCH($A17,TeamAdvBatting!$A:$A,0),MATCH(O$2,TeamAdvBatting!$A$225:$Z$225,0))</f>
        <v>0.375</v>
      </c>
      <c r="P17" s="9">
        <f>INDEX(TeamAdvBatting!$A:$Z,MATCH($A17,TeamAdvBatting!$A:$A,0),MATCH(P$2,TeamAdvBatting!$A$225:$Z$225,0))</f>
        <v>79</v>
      </c>
      <c r="Q17" s="9">
        <f>INDEX(TeamAdvBatting!$A:$Z,MATCH($A17,TeamAdvBatting!$A:$A,0),MATCH(Q$2,TeamAdvBatting!$A$225:$Z$225,0))</f>
        <v>0.379</v>
      </c>
      <c r="R17" s="9">
        <f>INDEX(TeamAdvBatting!$A:$Z,MATCH($A17,TeamAdvBatting!$A:$A,0),MATCH(R$2,TeamAdvBatting!$A$225:$Z$225,0))</f>
        <v>-165</v>
      </c>
      <c r="S17" s="9">
        <f>INDEX(TeamAdvBatting!$A:$Z,MATCH($A17,TeamAdvBatting!$A:$A,0),MATCH(S$2,TeamAdvBatting!$A$225:$Z$225,0))</f>
        <v>-15.9</v>
      </c>
      <c r="T17" s="9">
        <f>INDEX(TeamAdvBatting!$A:$Z,MATCH($A17,TeamAdvBatting!$A:$A,0),MATCH(T$2,TeamAdvBatting!$A$225:$Z$225,0))</f>
        <v>0.59399999999999997</v>
      </c>
      <c r="U17" s="9">
        <f>INDEX(TeamAdvBatting!$A:$Z,MATCH($A17,TeamAdvBatting!$A:$A,0),MATCH(U$2,TeamAdvBatting!$A$225:$Z$225,0))</f>
        <v>0.21</v>
      </c>
      <c r="V17" s="9">
        <f>INDEX(TeamAdvBatting!$A:$Z,MATCH($A17,TeamAdvBatting!$A:$A,0),MATCH(V$2,TeamAdvBatting!$A$225:$Z$225,0))</f>
        <v>0.13400000000000001</v>
      </c>
      <c r="W17" s="9">
        <f>INDEX(TeamAdvBatting!$A:$Z,MATCH($A17,TeamAdvBatting!$A:$A,0),MATCH(W$2,TeamAdvBatting!$A$225:$Z$225,0))</f>
        <v>79.900000000000006</v>
      </c>
      <c r="X17" s="78">
        <f>INDEX(BattingRatios!$A$225:$Q$256,MATCH($A17,BattingRatios!$A$225:$A$256,0),MATCH(X$2,BattingRatios!$A$225:$Q$225,0))</f>
        <v>2.4E-2</v>
      </c>
      <c r="Y17" s="78">
        <f>INDEX(BattingRatios!$A$225:$Q$256,MATCH($A17,BattingRatios!$A$225:$A$256,0),MATCH(Y$2,BattingRatios!$A$225:$Q$225,0))</f>
        <v>0.24299999999999999</v>
      </c>
      <c r="Z17" s="78">
        <f>INDEX(BattingRatios!$A$225:$Q$256,MATCH($A17,BattingRatios!$A$225:$A$256,0),MATCH(Z$2,BattingRatios!$A$225:$Q$225,0))</f>
        <v>6.5000000000000002E-2</v>
      </c>
      <c r="AA17" s="78">
        <f>INDEX(BattingRatios!$A$225:$Q$256,MATCH($A17,BattingRatios!$A$225:$A$256,0),MATCH(AA$2,BattingRatios!$A$225:$Q$225,0))</f>
        <v>7.0999999999999994E-2</v>
      </c>
      <c r="AB17" s="78">
        <f>INDEX(BattingRatios!$A$225:$Q$256,MATCH($A17,BattingRatios!$A$225:$A$256,0),MATCH(AB$2,BattingRatios!$A$225:$Q$225,0))</f>
        <v>0.32</v>
      </c>
      <c r="AC17" s="78">
        <f>INDEX(BattingRatios!$A$225:$Q$256,MATCH($A17,BattingRatios!$A$225:$A$256,0),MATCH(AC$2,BattingRatios!$A$225:$Q$225,0))</f>
        <v>0.95</v>
      </c>
      <c r="AD17" s="78">
        <f>INDEX(BattingRatios!$A$225:$Q$256,MATCH($A17,BattingRatios!$A$225:$A$256,0),MATCH(AD$2,BattingRatios!$A$225:$Q$225,0))</f>
        <v>1.28</v>
      </c>
      <c r="AE17" s="78">
        <f>INDEX(BattingRatios!$A$225:$Q$256,MATCH($A17,BattingRatios!$A$225:$A$256,0),MATCH(AE$2,BattingRatios!$A$225:$Q$225,0))</f>
        <v>0.65</v>
      </c>
      <c r="AF17" s="78">
        <f>INDEX(BattingRatios!$A$225:$Q$256,MATCH($A17,BattingRatios!$A$225:$A$256,0),MATCH(AF$2,BattingRatios!$A$225:$Q$225,0))</f>
        <v>0.24</v>
      </c>
      <c r="AG17" s="78">
        <f>INDEX(BattingRatios!$A$225:$Q$256,MATCH($A17,BattingRatios!$A$225:$A$256,0),MATCH(AG$2,BattingRatios!$A$225:$Q$225,0))</f>
        <v>7.8E-2</v>
      </c>
      <c r="AH17" s="78">
        <f>INDEX(BattingRatios!$A$225:$Q$256,MATCH($A17,BattingRatios!$A$225:$A$256,0),MATCH(AH$2,BattingRatios!$A$225:$Q$225,0))</f>
        <v>0.1</v>
      </c>
      <c r="AI17" s="81">
        <f>INDEX(PitchingRatios!$A$225:$S$256,MATCH($A17,PitchingRatios!$A$225:$A$256,0),MATCH(AI$2,PitchingRatios!$A$225:$S$225,0))</f>
        <v>3.7999999999999999E-2</v>
      </c>
      <c r="AJ17" s="81">
        <f>INDEX(PitchingRatios!$A$225:$S$256,MATCH($A17,PitchingRatios!$A$225:$A$256,0),MATCH(AJ$2,PitchingRatios!$A$225:$S$225,0))</f>
        <v>0.221</v>
      </c>
      <c r="AK17" s="81">
        <f>INDEX(PitchingRatios!$A$225:$S$256,MATCH($A17,PitchingRatios!$A$225:$A$256,0),MATCH(AK$2,PitchingRatios!$A$225:$S$225,0))</f>
        <v>9.8000000000000004E-2</v>
      </c>
      <c r="AL17" s="81">
        <f>INDEX(PitchingRatios!$A$225:$S$256,MATCH($A17,PitchingRatios!$A$225:$A$256,0),MATCH(AL$2,PitchingRatios!$A$225:$S$225,0))</f>
        <v>8.6999999999999994E-2</v>
      </c>
      <c r="AM17" s="81">
        <f>INDEX(PitchingRatios!$A$225:$S$256,MATCH($A17,PitchingRatios!$A$225:$A$256,0),MATCH(AM$2,PitchingRatios!$A$225:$S$225,0))</f>
        <v>0.41</v>
      </c>
      <c r="AN17" s="81">
        <f>INDEX(PitchingRatios!$A$225:$S$256,MATCH($A17,PitchingRatios!$A$225:$A$256,0),MATCH(AN$2,PitchingRatios!$A$225:$S$225,0))</f>
        <v>0.63</v>
      </c>
      <c r="AO17" s="81">
        <f>INDEX(PitchingRatios!$A$225:$S$256,MATCH($A17,PitchingRatios!$A$225:$A$256,0),MATCH(AO$2,PitchingRatios!$A$225:$S$225,0))</f>
        <v>0.84</v>
      </c>
      <c r="AP17" s="81">
        <f>INDEX(PitchingRatios!$A$225:$S$256,MATCH($A17,PitchingRatios!$A$225:$A$256,0),MATCH(AP$2,PitchingRatios!$A$225:$S$225,0))</f>
        <v>0.62</v>
      </c>
      <c r="AQ17" s="81">
        <f>INDEX(PitchingRatios!$A$225:$S$256,MATCH($A17,PitchingRatios!$A$225:$A$256,0),MATCH(AQ$2,PitchingRatios!$A$225:$S$225,0))</f>
        <v>0.24</v>
      </c>
      <c r="AR17" s="81">
        <f>INDEX(PitchingRatios!$A$225:$S$256,MATCH($A17,PitchingRatios!$A$225:$A$256,0),MATCH(AR$2,PitchingRatios!$A$225:$S$225,0))</f>
        <v>0.109</v>
      </c>
      <c r="AS17" s="81">
        <f>INDEX(PitchingRatios!$A$225:$S$256,MATCH($A17,PitchingRatios!$A$225:$A$256,0),MATCH(AS$2,PitchingRatios!$A$225:$S$225,0))</f>
        <v>0.14000000000000001</v>
      </c>
      <c r="AT17" s="7">
        <f>INDEX(TeamStandardPitching!$A:$AJ,MATCH($A17,TeamStandardPitching!$A:$A,0),MATCH(AT$2,TeamStandardPitching!$A$225:$AJ$225,0))</f>
        <v>26</v>
      </c>
      <c r="AU17" s="7">
        <f>INDEX(TeamStandardPitching!$A:$AJ,MATCH($A17,TeamStandardPitching!$A:$A,0),MATCH(AU$2,TeamStandardPitching!$A$225:$AJ$225,0))</f>
        <v>26.5</v>
      </c>
      <c r="AV17" s="7">
        <f>INDEX(TeamStandardPitching!$A:$AJ,MATCH($A17,TeamStandardPitching!$A:$A,0),MATCH(AV$2,TeamStandardPitching!$A$225:$AJ$225,0))</f>
        <v>4.99</v>
      </c>
      <c r="AW17" s="7">
        <f>INDEX(TeamStandardPitching!$A:$AJ,MATCH($A17,TeamStandardPitching!$A:$A,0),MATCH(AW$2,TeamStandardPitching!$A$225:$AJ$225,0))</f>
        <v>236</v>
      </c>
      <c r="AX17" s="7">
        <f>INDEX(TeamStandardPitching!$A:$AJ,MATCH($A17,TeamStandardPitching!$A:$A,0),MATCH(AX$2,TeamStandardPitching!$A$225:$AJ$225,0))</f>
        <v>615</v>
      </c>
      <c r="AY17" s="7">
        <f>INDEX(TeamStandardPitching!$A:$AJ,MATCH($A17,TeamStandardPitching!$A:$A,0),MATCH(AY$2,TeamStandardPitching!$A$225:$AJ$225,0))</f>
        <v>52</v>
      </c>
      <c r="AZ17" s="7">
        <f>INDEX(TeamStandardPitching!$A:$AJ,MATCH($A17,TeamStandardPitching!$A:$A,0),MATCH(AZ$2,TeamStandardPitching!$A$225:$AJ$225,0))</f>
        <v>1378</v>
      </c>
      <c r="BA17" s="7">
        <f>INDEX(TeamStandardPitching!$A:$AJ,MATCH($A17,TeamStandardPitching!$A:$A,0),MATCH(BA$2,TeamStandardPitching!$A$225:$AJ$225,0))</f>
        <v>90</v>
      </c>
      <c r="BB17" s="7">
        <f>INDEX(TeamStandardPitching!$A:$AJ,MATCH($A17,TeamStandardPitching!$A:$A,0),MATCH(BB$2,TeamStandardPitching!$A$225:$AJ$225,0))</f>
        <v>6</v>
      </c>
      <c r="BC17" s="7">
        <f>INDEX(TeamStandardPitching!$A:$AJ,MATCH($A17,TeamStandardPitching!$A:$A,0),MATCH(BC$2,TeamStandardPitching!$A$225:$AJ$225,0))</f>
        <v>71</v>
      </c>
      <c r="BD17" s="7">
        <f>INDEX(TeamStandardPitching!$A:$AJ,MATCH($A17,TeamStandardPitching!$A:$A,0),MATCH(BD$2,TeamStandardPitching!$A$225:$AJ$225,0))</f>
        <v>6247</v>
      </c>
      <c r="BE17" s="7">
        <f>INDEX(TeamStandardPitching!$A:$AJ,MATCH($A17,TeamStandardPitching!$A:$A,0),MATCH(BE$2,TeamStandardPitching!$A$225:$AJ$225,0))</f>
        <v>90</v>
      </c>
      <c r="BF17" s="7">
        <f>INDEX(TeamStandardPitching!$A:$AJ,MATCH($A17,TeamStandardPitching!$A:$A,0),MATCH(BF$2,TeamStandardPitching!$A$225:$AJ$225,0))</f>
        <v>4.8899999999999997</v>
      </c>
      <c r="BG17" s="7">
        <f>INDEX(TeamStandardPitching!$A:$AJ,MATCH($A17,TeamStandardPitching!$A:$A,0),MATCH(BG$2,TeamStandardPitching!$A$225:$AJ$225,0))</f>
        <v>1.3540000000000001</v>
      </c>
      <c r="BH17" s="7">
        <f>INDEX(TeamStandardPitching!$A:$AJ,MATCH($A17,TeamStandardPitching!$A:$A,0),MATCH(BH$2,TeamStandardPitching!$A$225:$AJ$225,0))</f>
        <v>8.3000000000000007</v>
      </c>
      <c r="BI17" s="7">
        <f>INDEX(TeamStandardPitching!$A:$AJ,MATCH($A17,TeamStandardPitching!$A:$A,0),MATCH(BI$2,TeamStandardPitching!$A$225:$AJ$225,0))</f>
        <v>1.5</v>
      </c>
      <c r="BJ17" s="7">
        <f>INDEX(TeamStandardPitching!$A:$AJ,MATCH($A17,TeamStandardPitching!$A:$A,0),MATCH(BJ$2,TeamStandardPitching!$A$225:$AJ$225,0))</f>
        <v>3.8</v>
      </c>
      <c r="BK17" s="7">
        <f>INDEX(TeamStandardPitching!$A:$AJ,MATCH($A17,TeamStandardPitching!$A:$A,0),MATCH(BK$2,TeamStandardPitching!$A$225:$AJ$225,0))</f>
        <v>8.6</v>
      </c>
      <c r="BL17" s="7">
        <f>INDEX(TeamStandardPitching!$A:$AJ,MATCH($A17,TeamStandardPitching!$A:$A,0),MATCH(BL$2,TeamStandardPitching!$A$225:$AJ$225,0))</f>
        <v>2.2400000000000002</v>
      </c>
      <c r="BM17" s="7">
        <f>INDEX(TeamStandardPitching!$A:$AJ,MATCH($A17,TeamStandardPitching!$A:$A,0),MATCH(BM$2,TeamStandardPitching!$A$225:$AJ$225,0))</f>
        <v>1106</v>
      </c>
      <c r="BO17" s="97" t="s">
        <v>1542</v>
      </c>
      <c r="BP17" s="97"/>
      <c r="BQ17" s="97"/>
      <c r="BR17" s="97"/>
      <c r="BS17" s="97"/>
      <c r="BT17" s="97"/>
      <c r="BU17" s="97"/>
      <c r="BV17" s="97"/>
      <c r="BW17" s="97"/>
      <c r="BX17" s="97"/>
      <c r="BY17" s="97"/>
      <c r="BZ17" s="97"/>
    </row>
    <row r="18" spans="1:78" x14ac:dyDescent="0.25">
      <c r="A18" t="s">
        <v>6</v>
      </c>
      <c r="B18" t="s">
        <v>237</v>
      </c>
      <c r="D18">
        <f>INDEX(Scores!$B$1:$G$31,MATCH($A18,Scores!$B$1:$B$31,0),MATCH(D$2,Scores!$B$1:$G$1,0))</f>
        <v>4.7272727272727275</v>
      </c>
      <c r="E18">
        <f>INDEX(Scores!$B$1:$G$31,MATCH($A18,Scores!$B$1:$B$31,0),MATCH(E$2,Scores!$B$1:$G$1,0))</f>
        <v>3.1648900337325836</v>
      </c>
      <c r="F18">
        <f>INDEX(Scores!$B$1:$G$31,MATCH($A18,Scores!$B$1:$B$31,0),MATCH(F$2,Scores!$B$1:$G$1,0))</f>
        <v>4.7901234567901234</v>
      </c>
      <c r="G18">
        <f>INDEX(Scores!$B$1:$G$31,MATCH($A18,Scores!$B$1:$B$31,0),MATCH(G$2,Scores!$B$1:$G$1,0))</f>
        <v>2.6975803029625012</v>
      </c>
      <c r="H18" s="9">
        <f>INDEX(TeamAdvBatting!$A:$Z,MATCH($A18,TeamAdvBatting!$A:$A,0),MATCH(H$2,TeamAdvBatting!$A$225:$Z$225,0))</f>
        <v>4.75</v>
      </c>
      <c r="I18" s="9">
        <f>INDEX(TeamAdvBatting!$A:$Z,MATCH($A18,TeamAdvBatting!$A:$A,0),MATCH(I$2,TeamAdvBatting!$A$225:$Z$225,0))</f>
        <v>4379</v>
      </c>
      <c r="J18" s="9">
        <f>INDEX(TeamAdvBatting!$A:$Z,MATCH($A18,TeamAdvBatting!$A:$A,0),MATCH(J$2,TeamAdvBatting!$A$225:$Z$225,0))</f>
        <v>855</v>
      </c>
      <c r="K18" s="9">
        <f>INDEX(TeamAdvBatting!$A:$Z,MATCH($A18,TeamAdvBatting!$A:$A,0),MATCH(K$2,TeamAdvBatting!$A$225:$Z$225,0))</f>
        <v>5.2</v>
      </c>
      <c r="L18" s="9">
        <f>INDEX(TeamAdvBatting!$A:$Z,MATCH($A18,TeamAdvBatting!$A:$A,0),MATCH(L$2,TeamAdvBatting!$A$225:$Z$225,0))</f>
        <v>111</v>
      </c>
      <c r="M18" s="9">
        <f>INDEX(TeamAdvBatting!$A:$Z,MATCH($A18,TeamAdvBatting!$A:$A,0),MATCH(M$2,TeamAdvBatting!$A$225:$Z$225,0))</f>
        <v>0.29599999999999999</v>
      </c>
      <c r="N18" s="9">
        <f>INDEX(TeamAdvBatting!$A:$Z,MATCH($A18,TeamAdvBatting!$A:$A,0),MATCH(N$2,TeamAdvBatting!$A$225:$Z$225,0))</f>
        <v>0.32900000000000001</v>
      </c>
      <c r="O18" s="9">
        <f>INDEX(TeamAdvBatting!$A:$Z,MATCH($A18,TeamAdvBatting!$A:$A,0),MATCH(O$2,TeamAdvBatting!$A$225:$Z$225,0))</f>
        <v>0.438</v>
      </c>
      <c r="P18" s="9">
        <f>INDEX(TeamAdvBatting!$A:$Z,MATCH($A18,TeamAdvBatting!$A:$A,0),MATCH(P$2,TeamAdvBatting!$A$225:$Z$225,0))</f>
        <v>97</v>
      </c>
      <c r="Q18" s="9">
        <f>INDEX(TeamAdvBatting!$A:$Z,MATCH($A18,TeamAdvBatting!$A:$A,0),MATCH(Q$2,TeamAdvBatting!$A$225:$Z$225,0))</f>
        <v>0.52400000000000002</v>
      </c>
      <c r="R18" s="9">
        <f>INDEX(TeamAdvBatting!$A:$Z,MATCH($A18,TeamAdvBatting!$A:$A,0),MATCH(R$2,TeamAdvBatting!$A$225:$Z$225,0))</f>
        <v>-23.4</v>
      </c>
      <c r="S18" s="9">
        <f>INDEX(TeamAdvBatting!$A:$Z,MATCH($A18,TeamAdvBatting!$A:$A,0),MATCH(S$2,TeamAdvBatting!$A$225:$Z$225,0))</f>
        <v>-2.5</v>
      </c>
      <c r="T18" s="9">
        <f>INDEX(TeamAdvBatting!$A:$Z,MATCH($A18,TeamAdvBatting!$A:$A,0),MATCH(T$2,TeamAdvBatting!$A$225:$Z$225,0))</f>
        <v>0.748</v>
      </c>
      <c r="U18" s="9">
        <f>INDEX(TeamAdvBatting!$A:$Z,MATCH($A18,TeamAdvBatting!$A:$A,0),MATCH(U$2,TeamAdvBatting!$A$225:$Z$225,0))</f>
        <v>0.31900000000000001</v>
      </c>
      <c r="V18" s="9">
        <f>INDEX(TeamAdvBatting!$A:$Z,MATCH($A18,TeamAdvBatting!$A:$A,0),MATCH(V$2,TeamAdvBatting!$A$225:$Z$225,0))</f>
        <v>0.192</v>
      </c>
      <c r="W18" s="9">
        <f>INDEX(TeamAdvBatting!$A:$Z,MATCH($A18,TeamAdvBatting!$A:$A,0),MATCH(W$2,TeamAdvBatting!$A$225:$Z$225,0))</f>
        <v>143.9</v>
      </c>
      <c r="X18" s="78">
        <f>INDEX(BattingRatios!$A$225:$Q$256,MATCH($A18,BattingRatios!$A$225:$A$256,0),MATCH(X$2,BattingRatios!$A$225:$Q$225,0))</f>
        <v>0.04</v>
      </c>
      <c r="Y18" s="78">
        <f>INDEX(BattingRatios!$A$225:$Q$256,MATCH($A18,BattingRatios!$A$225:$A$256,0),MATCH(Y$2,BattingRatios!$A$225:$Q$225,0))</f>
        <v>0.248</v>
      </c>
      <c r="Z18" s="78">
        <f>INDEX(BattingRatios!$A$225:$Q$256,MATCH($A18,BattingRatios!$A$225:$A$256,0),MATCH(Z$2,BattingRatios!$A$225:$Q$225,0))</f>
        <v>0.1</v>
      </c>
      <c r="AA18" s="78">
        <f>INDEX(BattingRatios!$A$225:$Q$256,MATCH($A18,BattingRatios!$A$225:$A$256,0),MATCH(AA$2,BattingRatios!$A$225:$Q$225,0))</f>
        <v>8.6999999999999994E-2</v>
      </c>
      <c r="AB18" s="78">
        <f>INDEX(BattingRatios!$A$225:$Q$256,MATCH($A18,BattingRatios!$A$225:$A$256,0),MATCH(AB$2,BattingRatios!$A$225:$Q$225,0))</f>
        <v>0.4</v>
      </c>
      <c r="AC18" s="78">
        <f>INDEX(BattingRatios!$A$225:$Q$256,MATCH($A18,BattingRatios!$A$225:$A$256,0),MATCH(AC$2,BattingRatios!$A$225:$Q$225,0))</f>
        <v>0.78</v>
      </c>
      <c r="AD18" s="78">
        <f>INDEX(BattingRatios!$A$225:$Q$256,MATCH($A18,BattingRatios!$A$225:$A$256,0),MATCH(AD$2,BattingRatios!$A$225:$Q$225,0))</f>
        <v>1.07</v>
      </c>
      <c r="AE18" s="78">
        <f>INDEX(BattingRatios!$A$225:$Q$256,MATCH($A18,BattingRatios!$A$225:$A$256,0),MATCH(AE$2,BattingRatios!$A$225:$Q$225,0))</f>
        <v>0.6</v>
      </c>
      <c r="AF18" s="78">
        <f>INDEX(BattingRatios!$A$225:$Q$256,MATCH($A18,BattingRatios!$A$225:$A$256,0),MATCH(AF$2,BattingRatios!$A$225:$Q$225,0))</f>
        <v>0.24</v>
      </c>
      <c r="AG18" s="78">
        <f>INDEX(BattingRatios!$A$225:$Q$256,MATCH($A18,BattingRatios!$A$225:$A$256,0),MATCH(AG$2,BattingRatios!$A$225:$Q$225,0))</f>
        <v>0.125</v>
      </c>
      <c r="AH18" s="78">
        <f>INDEX(BattingRatios!$A$225:$Q$256,MATCH($A18,BattingRatios!$A$225:$A$256,0),MATCH(AH$2,BattingRatios!$A$225:$Q$225,0))</f>
        <v>0.11</v>
      </c>
      <c r="AI18" s="81">
        <f>INDEX(PitchingRatios!$A$225:$S$256,MATCH($A18,PitchingRatios!$A$225:$A$256,0),MATCH(AI$2,PitchingRatios!$A$225:$S$225,0))</f>
        <v>3.5999999999999997E-2</v>
      </c>
      <c r="AJ18" s="81">
        <f>INDEX(PitchingRatios!$A$225:$S$256,MATCH($A18,PitchingRatios!$A$225:$A$256,0),MATCH(AJ$2,PitchingRatios!$A$225:$S$225,0))</f>
        <v>0.24</v>
      </c>
      <c r="AK18" s="81">
        <f>INDEX(PitchingRatios!$A$225:$S$256,MATCH($A18,PitchingRatios!$A$225:$A$256,0),MATCH(AK$2,PitchingRatios!$A$225:$S$225,0))</f>
        <v>9.0999999999999998E-2</v>
      </c>
      <c r="AL18" s="81">
        <f>INDEX(PitchingRatios!$A$225:$S$256,MATCH($A18,PitchingRatios!$A$225:$A$256,0),MATCH(AL$2,PitchingRatios!$A$225:$S$225,0))</f>
        <v>8.1000000000000003E-2</v>
      </c>
      <c r="AM18" s="81">
        <f>INDEX(PitchingRatios!$A$225:$S$256,MATCH($A18,PitchingRatios!$A$225:$A$256,0),MATCH(AM$2,PitchingRatios!$A$225:$S$225,0))</f>
        <v>0.37</v>
      </c>
      <c r="AN18" s="81">
        <f>INDEX(PitchingRatios!$A$225:$S$256,MATCH($A18,PitchingRatios!$A$225:$A$256,0),MATCH(AN$2,PitchingRatios!$A$225:$S$225,0))</f>
        <v>0.74</v>
      </c>
      <c r="AO18" s="81">
        <f>INDEX(PitchingRatios!$A$225:$S$256,MATCH($A18,PitchingRatios!$A$225:$A$256,0),MATCH(AO$2,PitchingRatios!$A$225:$S$225,0))</f>
        <v>1</v>
      </c>
      <c r="AP18" s="81">
        <f>INDEX(PitchingRatios!$A$225:$S$256,MATCH($A18,PitchingRatios!$A$225:$A$256,0),MATCH(AP$2,PitchingRatios!$A$225:$S$225,0))</f>
        <v>0.62</v>
      </c>
      <c r="AQ18" s="81">
        <f>INDEX(PitchingRatios!$A$225:$S$256,MATCH($A18,PitchingRatios!$A$225:$A$256,0),MATCH(AQ$2,PitchingRatios!$A$225:$S$225,0))</f>
        <v>0.25</v>
      </c>
      <c r="AR18" s="81">
        <f>INDEX(PitchingRatios!$A$225:$S$256,MATCH($A18,PitchingRatios!$A$225:$A$256,0),MATCH(AR$2,PitchingRatios!$A$225:$S$225,0))</f>
        <v>0.111</v>
      </c>
      <c r="AS18" s="81">
        <f>INDEX(PitchingRatios!$A$225:$S$256,MATCH($A18,PitchingRatios!$A$225:$A$256,0),MATCH(AS$2,PitchingRatios!$A$225:$S$225,0))</f>
        <v>0.13</v>
      </c>
      <c r="AT18" s="7">
        <f>INDEX(TeamStandardPitching!$A:$AJ,MATCH($A18,TeamStandardPitching!$A:$A,0),MATCH(AT$2,TeamStandardPitching!$A$225:$AJ$225,0))</f>
        <v>30</v>
      </c>
      <c r="AU18" s="7">
        <f>INDEX(TeamStandardPitching!$A:$AJ,MATCH($A18,TeamStandardPitching!$A:$A,0),MATCH(AU$2,TeamStandardPitching!$A$225:$AJ$225,0))</f>
        <v>28.7</v>
      </c>
      <c r="AV18" s="7">
        <f>INDEX(TeamStandardPitching!$A:$AJ,MATCH($A18,TeamStandardPitching!$A:$A,0),MATCH(AV$2,TeamStandardPitching!$A$225:$AJ$225,0))</f>
        <v>4.7300000000000004</v>
      </c>
      <c r="AW18" s="7">
        <f>INDEX(TeamStandardPitching!$A:$AJ,MATCH($A18,TeamStandardPitching!$A:$A,0),MATCH(AW$2,TeamStandardPitching!$A$225:$AJ$225,0))</f>
        <v>225</v>
      </c>
      <c r="AX18" s="7">
        <f>INDEX(TeamStandardPitching!$A:$AJ,MATCH($A18,TeamStandardPitching!$A:$A,0),MATCH(AX$2,TeamStandardPitching!$A$225:$AJ$225,0))</f>
        <v>570</v>
      </c>
      <c r="AY18" s="7">
        <f>INDEX(TeamStandardPitching!$A:$AJ,MATCH($A18,TeamStandardPitching!$A:$A,0),MATCH(AY$2,TeamStandardPitching!$A$225:$AJ$225,0))</f>
        <v>28</v>
      </c>
      <c r="AZ18" s="7">
        <f>INDEX(TeamStandardPitching!$A:$AJ,MATCH($A18,TeamStandardPitching!$A:$A,0),MATCH(AZ$2,TeamStandardPitching!$A$225:$AJ$225,0))</f>
        <v>1497</v>
      </c>
      <c r="BA18" s="7">
        <f>INDEX(TeamStandardPitching!$A:$AJ,MATCH($A18,TeamStandardPitching!$A:$A,0),MATCH(BA$2,TeamStandardPitching!$A$225:$AJ$225,0))</f>
        <v>60</v>
      </c>
      <c r="BB18" s="7">
        <f>INDEX(TeamStandardPitching!$A:$AJ,MATCH($A18,TeamStandardPitching!$A:$A,0),MATCH(BB$2,TeamStandardPitching!$A$225:$AJ$225,0))</f>
        <v>3</v>
      </c>
      <c r="BC18" s="7">
        <f>INDEX(TeamStandardPitching!$A:$AJ,MATCH($A18,TeamStandardPitching!$A:$A,0),MATCH(BC$2,TeamStandardPitching!$A$225:$AJ$225,0))</f>
        <v>41</v>
      </c>
      <c r="BD18" s="7">
        <f>INDEX(TeamStandardPitching!$A:$AJ,MATCH($A18,TeamStandardPitching!$A:$A,0),MATCH(BD$2,TeamStandardPitching!$A$225:$AJ$225,0))</f>
        <v>6251</v>
      </c>
      <c r="BE18" s="7">
        <f>INDEX(TeamStandardPitching!$A:$AJ,MATCH($A18,TeamStandardPitching!$A:$A,0),MATCH(BE$2,TeamStandardPitching!$A$225:$AJ$225,0))</f>
        <v>102</v>
      </c>
      <c r="BF18" s="7">
        <f>INDEX(TeamStandardPitching!$A:$AJ,MATCH($A18,TeamStandardPitching!$A:$A,0),MATCH(BF$2,TeamStandardPitching!$A$225:$AJ$225,0))</f>
        <v>4.46</v>
      </c>
      <c r="BG18" s="7">
        <f>INDEX(TeamStandardPitching!$A:$AJ,MATCH($A18,TeamStandardPitching!$A:$A,0),MATCH(BG$2,TeamStandardPitching!$A$225:$AJ$225,0))</f>
        <v>1.325</v>
      </c>
      <c r="BH18" s="7">
        <f>INDEX(TeamStandardPitching!$A:$AJ,MATCH($A18,TeamStandardPitching!$A:$A,0),MATCH(BH$2,TeamStandardPitching!$A$225:$AJ$225,0))</f>
        <v>8.4</v>
      </c>
      <c r="BI18" s="7">
        <f>INDEX(TeamStandardPitching!$A:$AJ,MATCH($A18,TeamStandardPitching!$A:$A,0),MATCH(BI$2,TeamStandardPitching!$A$225:$AJ$225,0))</f>
        <v>1.4</v>
      </c>
      <c r="BJ18" s="7">
        <f>INDEX(TeamStandardPitching!$A:$AJ,MATCH($A18,TeamStandardPitching!$A:$A,0),MATCH(BJ$2,TeamStandardPitching!$A$225:$AJ$225,0))</f>
        <v>3.5</v>
      </c>
      <c r="BK18" s="7">
        <f>INDEX(TeamStandardPitching!$A:$AJ,MATCH($A18,TeamStandardPitching!$A:$A,0),MATCH(BK$2,TeamStandardPitching!$A$225:$AJ$225,0))</f>
        <v>9.1999999999999993</v>
      </c>
      <c r="BL18" s="7">
        <f>INDEX(TeamStandardPitching!$A:$AJ,MATCH($A18,TeamStandardPitching!$A:$A,0),MATCH(BL$2,TeamStandardPitching!$A$225:$AJ$225,0))</f>
        <v>2.63</v>
      </c>
      <c r="BM18" s="7">
        <f>INDEX(TeamStandardPitching!$A:$AJ,MATCH($A18,TeamStandardPitching!$A:$A,0),MATCH(BM$2,TeamStandardPitching!$A$225:$AJ$225,0))</f>
        <v>1107</v>
      </c>
      <c r="BO18" t="s">
        <v>1527</v>
      </c>
      <c r="BP18" t="s">
        <v>1526</v>
      </c>
      <c r="BQ18" t="s">
        <v>1525</v>
      </c>
      <c r="BR18" t="s">
        <v>1524</v>
      </c>
      <c r="BS18" t="s">
        <v>1523</v>
      </c>
      <c r="BT18" t="s">
        <v>1522</v>
      </c>
      <c r="BU18" t="s">
        <v>1518</v>
      </c>
      <c r="BV18" t="s">
        <v>1517</v>
      </c>
      <c r="BW18" t="s">
        <v>1516</v>
      </c>
      <c r="BX18" t="s">
        <v>1515</v>
      </c>
      <c r="BY18" t="s">
        <v>1514</v>
      </c>
      <c r="BZ18" t="s">
        <v>267</v>
      </c>
    </row>
    <row r="19" spans="1:78" x14ac:dyDescent="0.25">
      <c r="A19" t="s">
        <v>13</v>
      </c>
      <c r="B19" t="s">
        <v>238</v>
      </c>
      <c r="D19">
        <f>INDEX(Scores!$B$1:$G$31,MATCH($A19,Scores!$B$1:$B$31,0),MATCH(D$2,Scores!$B$1:$G$1,0))</f>
        <v>6.1428571428571432</v>
      </c>
      <c r="E19">
        <f>INDEX(Scores!$B$1:$G$31,MATCH($A19,Scores!$B$1:$B$31,0),MATCH(E$2,Scores!$B$1:$G$1,0))</f>
        <v>3.7855305027676169</v>
      </c>
      <c r="F19">
        <f>INDEX(Scores!$B$1:$G$31,MATCH($A19,Scores!$B$1:$B$31,0),MATCH(F$2,Scores!$B$1:$G$1,0))</f>
        <v>5.4567901234567904</v>
      </c>
      <c r="G19">
        <f>INDEX(Scores!$B$1:$G$31,MATCH($A19,Scores!$B$1:$B$31,0),MATCH(G$2,Scores!$B$1:$G$1,0))</f>
        <v>3.1624704467112745</v>
      </c>
      <c r="H19" s="9">
        <f>INDEX(TeamAdvBatting!$A:$Z,MATCH($A19,TeamAdvBatting!$A:$A,0),MATCH(H$2,TeamAdvBatting!$A$225:$Z$225,0))</f>
        <v>5.8</v>
      </c>
      <c r="I19" s="9">
        <f>INDEX(TeamAdvBatting!$A:$Z,MATCH($A19,TeamAdvBatting!$A:$A,0),MATCH(I$2,TeamAdvBatting!$A$225:$Z$225,0))</f>
        <v>4358</v>
      </c>
      <c r="J19" s="9">
        <f>INDEX(TeamAdvBatting!$A:$Z,MATCH($A19,TeamAdvBatting!$A:$A,0),MATCH(J$2,TeamAdvBatting!$A$225:$Z$225,0))</f>
        <v>967</v>
      </c>
      <c r="K19" s="9">
        <f>INDEX(TeamAdvBatting!$A:$Z,MATCH($A19,TeamAdvBatting!$A:$A,0),MATCH(K$2,TeamAdvBatting!$A$225:$Z$225,0))</f>
        <v>5.9</v>
      </c>
      <c r="L19" s="9">
        <f>INDEX(TeamAdvBatting!$A:$Z,MATCH($A19,TeamAdvBatting!$A:$A,0),MATCH(L$2,TeamAdvBatting!$A$225:$Z$225,0))</f>
        <v>107</v>
      </c>
      <c r="M19" s="9">
        <f>INDEX(TeamAdvBatting!$A:$Z,MATCH($A19,TeamAdvBatting!$A:$A,0),MATCH(M$2,TeamAdvBatting!$A$225:$Z$225,0))</f>
        <v>0.3</v>
      </c>
      <c r="N19" s="9">
        <f>INDEX(TeamAdvBatting!$A:$Z,MATCH($A19,TeamAdvBatting!$A:$A,0),MATCH(N$2,TeamAdvBatting!$A$225:$Z$225,0))</f>
        <v>0.33800000000000002</v>
      </c>
      <c r="O19" s="9">
        <f>INDEX(TeamAdvBatting!$A:$Z,MATCH($A19,TeamAdvBatting!$A:$A,0),MATCH(O$2,TeamAdvBatting!$A$225:$Z$225,0))</f>
        <v>0.49399999999999999</v>
      </c>
      <c r="P19" s="9">
        <f>INDEX(TeamAdvBatting!$A:$Z,MATCH($A19,TeamAdvBatting!$A:$A,0),MATCH(P$2,TeamAdvBatting!$A$225:$Z$225,0))</f>
        <v>117</v>
      </c>
      <c r="Q19" s="9">
        <f>INDEX(TeamAdvBatting!$A:$Z,MATCH($A19,TeamAdvBatting!$A:$A,0),MATCH(Q$2,TeamAdvBatting!$A$225:$Z$225,0))</f>
        <v>0.57699999999999996</v>
      </c>
      <c r="R19" s="9">
        <f>INDEX(TeamAdvBatting!$A:$Z,MATCH($A19,TeamAdvBatting!$A:$A,0),MATCH(R$2,TeamAdvBatting!$A$225:$Z$225,0))</f>
        <v>138.30000000000001</v>
      </c>
      <c r="S19" s="9">
        <f>INDEX(TeamAdvBatting!$A:$Z,MATCH($A19,TeamAdvBatting!$A:$A,0),MATCH(S$2,TeamAdvBatting!$A$225:$Z$225,0))</f>
        <v>12.9</v>
      </c>
      <c r="T19" s="9">
        <f>INDEX(TeamAdvBatting!$A:$Z,MATCH($A19,TeamAdvBatting!$A:$A,0),MATCH(T$2,TeamAdvBatting!$A$225:$Z$225,0))</f>
        <v>0.80500000000000005</v>
      </c>
      <c r="U19" s="9">
        <f>INDEX(TeamAdvBatting!$A:$Z,MATCH($A19,TeamAdvBatting!$A:$A,0),MATCH(U$2,TeamAdvBatting!$A$225:$Z$225,0))</f>
        <v>0.317</v>
      </c>
      <c r="V19" s="9">
        <f>INDEX(TeamAdvBatting!$A:$Z,MATCH($A19,TeamAdvBatting!$A:$A,0),MATCH(V$2,TeamAdvBatting!$A$225:$Z$225,0))</f>
        <v>0.224</v>
      </c>
      <c r="W19" s="9">
        <f>INDEX(TeamAdvBatting!$A:$Z,MATCH($A19,TeamAdvBatting!$A:$A,0),MATCH(W$2,TeamAdvBatting!$A$225:$Z$225,0))</f>
        <v>51.3</v>
      </c>
      <c r="X19" s="78">
        <f>INDEX(BattingRatios!$A$225:$Q$256,MATCH($A19,BattingRatios!$A$225:$A$256,0),MATCH(X$2,BattingRatios!$A$225:$Q$225,0))</f>
        <v>4.8000000000000001E-2</v>
      </c>
      <c r="Y19" s="78">
        <f>INDEX(BattingRatios!$A$225:$Q$256,MATCH($A19,BattingRatios!$A$225:$A$256,0),MATCH(Y$2,BattingRatios!$A$225:$Q$225,0))</f>
        <v>0.20899999999999999</v>
      </c>
      <c r="Z19" s="78">
        <f>INDEX(BattingRatios!$A$225:$Q$256,MATCH($A19,BattingRatios!$A$225:$A$256,0),MATCH(Z$2,BattingRatios!$A$225:$Q$225,0))</f>
        <v>8.2000000000000003E-2</v>
      </c>
      <c r="AA19" s="78">
        <f>INDEX(BattingRatios!$A$225:$Q$256,MATCH($A19,BattingRatios!$A$225:$A$256,0),MATCH(AA$2,BattingRatios!$A$225:$Q$225,0))</f>
        <v>0.10100000000000001</v>
      </c>
      <c r="AB19" s="78">
        <f>INDEX(BattingRatios!$A$225:$Q$256,MATCH($A19,BattingRatios!$A$225:$A$256,0),MATCH(AB$2,BattingRatios!$A$225:$Q$225,0))</f>
        <v>0.42</v>
      </c>
      <c r="AC19" s="78">
        <f>INDEX(BattingRatios!$A$225:$Q$256,MATCH($A19,BattingRatios!$A$225:$A$256,0),MATCH(AC$2,BattingRatios!$A$225:$Q$225,0))</f>
        <v>0.63</v>
      </c>
      <c r="AD19" s="78">
        <f>INDEX(BattingRatios!$A$225:$Q$256,MATCH($A19,BattingRatios!$A$225:$A$256,0),MATCH(AD$2,BattingRatios!$A$225:$Q$225,0))</f>
        <v>0.86</v>
      </c>
      <c r="AE19" s="78">
        <f>INDEX(BattingRatios!$A$225:$Q$256,MATCH($A19,BattingRatios!$A$225:$A$256,0),MATCH(AE$2,BattingRatios!$A$225:$Q$225,0))</f>
        <v>0.65</v>
      </c>
      <c r="AF19" s="78">
        <f>INDEX(BattingRatios!$A$225:$Q$256,MATCH($A19,BattingRatios!$A$225:$A$256,0),MATCH(AF$2,BattingRatios!$A$225:$Q$225,0))</f>
        <v>0.27</v>
      </c>
      <c r="AG19" s="78">
        <f>INDEX(BattingRatios!$A$225:$Q$256,MATCH($A19,BattingRatios!$A$225:$A$256,0),MATCH(AG$2,BattingRatios!$A$225:$Q$225,0))</f>
        <v>0.129</v>
      </c>
      <c r="AH19" s="78">
        <f>INDEX(BattingRatios!$A$225:$Q$256,MATCH($A19,BattingRatios!$A$225:$A$256,0),MATCH(AH$2,BattingRatios!$A$225:$Q$225,0))</f>
        <v>0.12</v>
      </c>
      <c r="AI19" s="81">
        <f>INDEX(PitchingRatios!$A$225:$S$256,MATCH($A19,PitchingRatios!$A$225:$A$256,0),MATCH(AI$2,PitchingRatios!$A$225:$S$225,0))</f>
        <v>3.2000000000000001E-2</v>
      </c>
      <c r="AJ19" s="81">
        <f>INDEX(PitchingRatios!$A$225:$S$256,MATCH($A19,PitchingRatios!$A$225:$A$256,0),MATCH(AJ$2,PitchingRatios!$A$225:$S$225,0))</f>
        <v>0.23400000000000001</v>
      </c>
      <c r="AK19" s="81">
        <f>INDEX(PitchingRatios!$A$225:$S$256,MATCH($A19,PitchingRatios!$A$225:$A$256,0),MATCH(AK$2,PitchingRatios!$A$225:$S$225,0))</f>
        <v>7.1999999999999995E-2</v>
      </c>
      <c r="AL19" s="81">
        <f>INDEX(PitchingRatios!$A$225:$S$256,MATCH($A19,PitchingRatios!$A$225:$A$256,0),MATCH(AL$2,PitchingRatios!$A$225:$S$225,0))</f>
        <v>8.1000000000000003E-2</v>
      </c>
      <c r="AM19" s="81">
        <f>INDEX(PitchingRatios!$A$225:$S$256,MATCH($A19,PitchingRatios!$A$225:$A$256,0),MATCH(AM$2,PitchingRatios!$A$225:$S$225,0))</f>
        <v>0.35</v>
      </c>
      <c r="AN19" s="81">
        <f>INDEX(PitchingRatios!$A$225:$S$256,MATCH($A19,PitchingRatios!$A$225:$A$256,0),MATCH(AN$2,PitchingRatios!$A$225:$S$225,0))</f>
        <v>0.73</v>
      </c>
      <c r="AO19" s="81">
        <f>INDEX(PitchingRatios!$A$225:$S$256,MATCH($A19,PitchingRatios!$A$225:$A$256,0),MATCH(AO$2,PitchingRatios!$A$225:$S$225,0))</f>
        <v>0.98</v>
      </c>
      <c r="AP19" s="81">
        <f>INDEX(PitchingRatios!$A$225:$S$256,MATCH($A19,PitchingRatios!$A$225:$A$256,0),MATCH(AP$2,PitchingRatios!$A$225:$S$225,0))</f>
        <v>0.65</v>
      </c>
      <c r="AQ19" s="81">
        <f>INDEX(PitchingRatios!$A$225:$S$256,MATCH($A19,PitchingRatios!$A$225:$A$256,0),MATCH(AQ$2,PitchingRatios!$A$225:$S$225,0))</f>
        <v>0.26</v>
      </c>
      <c r="AR19" s="81">
        <f>INDEX(PitchingRatios!$A$225:$S$256,MATCH($A19,PitchingRatios!$A$225:$A$256,0),MATCH(AR$2,PitchingRatios!$A$225:$S$225,0))</f>
        <v>9.1999999999999998E-2</v>
      </c>
      <c r="AS19" s="81">
        <f>INDEX(PitchingRatios!$A$225:$S$256,MATCH($A19,PitchingRatios!$A$225:$A$256,0),MATCH(AS$2,PitchingRatios!$A$225:$S$225,0))</f>
        <v>0.12</v>
      </c>
      <c r="AT19" s="7">
        <f>INDEX(TeamStandardPitching!$A:$AJ,MATCH($A19,TeamStandardPitching!$A:$A,0),MATCH(AT$2,TeamStandardPitching!$A$225:$AJ$225,0))</f>
        <v>31</v>
      </c>
      <c r="AU19" s="7">
        <f>INDEX(TeamStandardPitching!$A:$AJ,MATCH($A19,TeamStandardPitching!$A:$A,0),MATCH(AU$2,TeamStandardPitching!$A$225:$AJ$225,0))</f>
        <v>28.2</v>
      </c>
      <c r="AV19" s="7">
        <f>INDEX(TeamStandardPitching!$A:$AJ,MATCH($A19,TeamStandardPitching!$A:$A,0),MATCH(AV$2,TeamStandardPitching!$A$225:$AJ$225,0))</f>
        <v>4.6500000000000004</v>
      </c>
      <c r="AW19" s="7">
        <f>INDEX(TeamStandardPitching!$A:$AJ,MATCH($A19,TeamStandardPitching!$A:$A,0),MATCH(AW$2,TeamStandardPitching!$A$225:$AJ$225,0))</f>
        <v>198</v>
      </c>
      <c r="AX19" s="7">
        <f>INDEX(TeamStandardPitching!$A:$AJ,MATCH($A19,TeamStandardPitching!$A:$A,0),MATCH(AX$2,TeamStandardPitching!$A$225:$AJ$225,0))</f>
        <v>452</v>
      </c>
      <c r="AY19" s="7">
        <f>INDEX(TeamStandardPitching!$A:$AJ,MATCH($A19,TeamStandardPitching!$A:$A,0),MATCH(AY$2,TeamStandardPitching!$A$225:$AJ$225,0))</f>
        <v>10</v>
      </c>
      <c r="AZ19" s="7">
        <f>INDEX(TeamStandardPitching!$A:$AJ,MATCH($A19,TeamStandardPitching!$A:$A,0),MATCH(AZ$2,TeamStandardPitching!$A$225:$AJ$225,0))</f>
        <v>1463</v>
      </c>
      <c r="BA19" s="7">
        <f>INDEX(TeamStandardPitching!$A:$AJ,MATCH($A19,TeamStandardPitching!$A:$A,0),MATCH(BA$2,TeamStandardPitching!$A$225:$AJ$225,0))</f>
        <v>61</v>
      </c>
      <c r="BB19" s="7">
        <f>INDEX(TeamStandardPitching!$A:$AJ,MATCH($A19,TeamStandardPitching!$A:$A,0),MATCH(BB$2,TeamStandardPitching!$A$225:$AJ$225,0))</f>
        <v>5</v>
      </c>
      <c r="BC19" s="7">
        <f>INDEX(TeamStandardPitching!$A:$AJ,MATCH($A19,TeamStandardPitching!$A:$A,0),MATCH(BC$2,TeamStandardPitching!$A$225:$AJ$225,0))</f>
        <v>71</v>
      </c>
      <c r="BD19" s="7">
        <f>INDEX(TeamStandardPitching!$A:$AJ,MATCH($A19,TeamStandardPitching!$A:$A,0),MATCH(BD$2,TeamStandardPitching!$A$225:$AJ$225,0))</f>
        <v>6246</v>
      </c>
      <c r="BE19" s="7">
        <f>INDEX(TeamStandardPitching!$A:$AJ,MATCH($A19,TeamStandardPitching!$A:$A,0),MATCH(BE$2,TeamStandardPitching!$A$225:$AJ$225,0))</f>
        <v>110</v>
      </c>
      <c r="BF19" s="7">
        <f>INDEX(TeamStandardPitching!$A:$AJ,MATCH($A19,TeamStandardPitching!$A:$A,0),MATCH(BF$2,TeamStandardPitching!$A$225:$AJ$225,0))</f>
        <v>4.0199999999999996</v>
      </c>
      <c r="BG19" s="7">
        <f>INDEX(TeamStandardPitching!$A:$AJ,MATCH($A19,TeamStandardPitching!$A:$A,0),MATCH(BG$2,TeamStandardPitching!$A$225:$AJ$225,0))</f>
        <v>1.304</v>
      </c>
      <c r="BH19" s="7">
        <f>INDEX(TeamStandardPitching!$A:$AJ,MATCH($A19,TeamStandardPitching!$A:$A,0),MATCH(BH$2,TeamStandardPitching!$A$225:$AJ$225,0))</f>
        <v>9</v>
      </c>
      <c r="BI19" s="7">
        <f>INDEX(TeamStandardPitching!$A:$AJ,MATCH($A19,TeamStandardPitching!$A:$A,0),MATCH(BI$2,TeamStandardPitching!$A$225:$AJ$225,0))</f>
        <v>1.2</v>
      </c>
      <c r="BJ19" s="7">
        <f>INDEX(TeamStandardPitching!$A:$AJ,MATCH($A19,TeamStandardPitching!$A:$A,0),MATCH(BJ$2,TeamStandardPitching!$A$225:$AJ$225,0))</f>
        <v>2.8</v>
      </c>
      <c r="BK19" s="7">
        <f>INDEX(TeamStandardPitching!$A:$AJ,MATCH($A19,TeamStandardPitching!$A:$A,0),MATCH(BK$2,TeamStandardPitching!$A$225:$AJ$225,0))</f>
        <v>9</v>
      </c>
      <c r="BL19" s="7">
        <f>INDEX(TeamStandardPitching!$A:$AJ,MATCH($A19,TeamStandardPitching!$A:$A,0),MATCH(BL$2,TeamStandardPitching!$A$225:$AJ$225,0))</f>
        <v>3.24</v>
      </c>
      <c r="BM19" s="7">
        <f>INDEX(TeamStandardPitching!$A:$AJ,MATCH($A19,TeamStandardPitching!$A:$A,0),MATCH(BM$2,TeamStandardPitching!$A$225:$AJ$225,0))</f>
        <v>1102</v>
      </c>
      <c r="BO19">
        <f t="array" ref="BO19:BZ23">LINEST($K$3:$K$32,$X$3:$AH$32,1,1)</f>
        <v>-3.187118859503733</v>
      </c>
      <c r="BP19">
        <v>8.5813443920815118</v>
      </c>
      <c r="BQ19">
        <v>2.887704083095378</v>
      </c>
      <c r="BR19">
        <v>-15.729099439146587</v>
      </c>
      <c r="BS19">
        <v>-0.60935209286985725</v>
      </c>
      <c r="BT19">
        <v>-2.4152512802217141E-2</v>
      </c>
      <c r="BU19">
        <v>-18.867116863972186</v>
      </c>
      <c r="BV19">
        <v>97.251109508601928</v>
      </c>
      <c r="BW19">
        <v>12.598627472795998</v>
      </c>
      <c r="BX19">
        <v>-17.533482824859316</v>
      </c>
      <c r="BY19">
        <v>-21.913401181259459</v>
      </c>
      <c r="BZ19">
        <v>16.909645863110409</v>
      </c>
    </row>
    <row r="20" spans="1:78" x14ac:dyDescent="0.25">
      <c r="A20" t="s">
        <v>27</v>
      </c>
      <c r="B20" t="s">
        <v>239</v>
      </c>
      <c r="D20">
        <f>INDEX(Scores!$B$1:$G$31,MATCH($A20,Scores!$B$1:$B$31,0),MATCH(D$2,Scores!$B$1:$G$1,0))</f>
        <v>5.0740740740740744</v>
      </c>
      <c r="E20">
        <f>INDEX(Scores!$B$1:$G$31,MATCH($A20,Scores!$B$1:$B$31,0),MATCH(E$2,Scores!$B$1:$G$1,0))</f>
        <v>3.1614099752404887</v>
      </c>
      <c r="F20">
        <f>INDEX(Scores!$B$1:$G$31,MATCH($A20,Scores!$B$1:$B$31,0),MATCH(F$2,Scores!$B$1:$G$1,0))</f>
        <v>4.7272727272727275</v>
      </c>
      <c r="G20">
        <f>INDEX(Scores!$B$1:$G$31,MATCH($A20,Scores!$B$1:$B$31,0),MATCH(G$2,Scores!$B$1:$G$1,0))</f>
        <v>2.6902245531551925</v>
      </c>
      <c r="H20" s="9">
        <f>INDEX(TeamAdvBatting!$A:$Z,MATCH($A20,TeamAdvBatting!$A:$A,0),MATCH(H$2,TeamAdvBatting!$A$225:$Z$225,0))</f>
        <v>4.88</v>
      </c>
      <c r="I20" s="9">
        <f>INDEX(TeamAdvBatting!$A:$Z,MATCH($A20,TeamAdvBatting!$A:$A,0),MATCH(I$2,TeamAdvBatting!$A$225:$Z$225,0))</f>
        <v>4390</v>
      </c>
      <c r="J20" s="9">
        <f>INDEX(TeamAdvBatting!$A:$Z,MATCH($A20,TeamAdvBatting!$A:$A,0),MATCH(J$2,TeamAdvBatting!$A$225:$Z$225,0))</f>
        <v>840</v>
      </c>
      <c r="K20" s="9">
        <f>INDEX(TeamAdvBatting!$A:$Z,MATCH($A20,TeamAdvBatting!$A:$A,0),MATCH(K$2,TeamAdvBatting!$A$225:$Z$225,0))</f>
        <v>5.0999999999999996</v>
      </c>
      <c r="L20" s="9">
        <f>INDEX(TeamAdvBatting!$A:$Z,MATCH($A20,TeamAdvBatting!$A:$A,0),MATCH(L$2,TeamAdvBatting!$A$225:$Z$225,0))</f>
        <v>103</v>
      </c>
      <c r="M20" s="9">
        <f>INDEX(TeamAdvBatting!$A:$Z,MATCH($A20,TeamAdvBatting!$A:$A,0),MATCH(M$2,TeamAdvBatting!$A$225:$Z$225,0))</f>
        <v>0.29899999999999999</v>
      </c>
      <c r="N20" s="9">
        <f>INDEX(TeamAdvBatting!$A:$Z,MATCH($A20,TeamAdvBatting!$A:$A,0),MATCH(N$2,TeamAdvBatting!$A$225:$Z$225,0))</f>
        <v>0.32800000000000001</v>
      </c>
      <c r="O20" s="9">
        <f>INDEX(TeamAdvBatting!$A:$Z,MATCH($A20,TeamAdvBatting!$A:$A,0),MATCH(O$2,TeamAdvBatting!$A$225:$Z$225,0))</f>
        <v>0.442</v>
      </c>
      <c r="P20" s="9">
        <f>INDEX(TeamAdvBatting!$A:$Z,MATCH($A20,TeamAdvBatting!$A:$A,0),MATCH(P$2,TeamAdvBatting!$A$225:$Z$225,0))</f>
        <v>106</v>
      </c>
      <c r="Q20" s="9">
        <f>INDEX(TeamAdvBatting!$A:$Z,MATCH($A20,TeamAdvBatting!$A:$A,0),MATCH(Q$2,TeamAdvBatting!$A$225:$Z$225,0))</f>
        <v>0.51500000000000001</v>
      </c>
      <c r="R20" s="9">
        <f>INDEX(TeamAdvBatting!$A:$Z,MATCH($A20,TeamAdvBatting!$A:$A,0),MATCH(R$2,TeamAdvBatting!$A$225:$Z$225,0))</f>
        <v>55.7</v>
      </c>
      <c r="S20" s="9">
        <f>INDEX(TeamAdvBatting!$A:$Z,MATCH($A20,TeamAdvBatting!$A:$A,0),MATCH(S$2,TeamAdvBatting!$A$225:$Z$225,0))</f>
        <v>5</v>
      </c>
      <c r="T20" s="9">
        <f>INDEX(TeamAdvBatting!$A:$Z,MATCH($A20,TeamAdvBatting!$A:$A,0),MATCH(T$2,TeamAdvBatting!$A$225:$Z$225,0))</f>
        <v>0.72699999999999998</v>
      </c>
      <c r="U20" s="9">
        <f>INDEX(TeamAdvBatting!$A:$Z,MATCH($A20,TeamAdvBatting!$A:$A,0),MATCH(U$2,TeamAdvBatting!$A$225:$Z$225,0))</f>
        <v>0.28199999999999997</v>
      </c>
      <c r="V20" s="9">
        <f>INDEX(TeamAdvBatting!$A:$Z,MATCH($A20,TeamAdvBatting!$A:$A,0),MATCH(V$2,TeamAdvBatting!$A$225:$Z$225,0))</f>
        <v>0.185</v>
      </c>
      <c r="W20" s="9">
        <f>INDEX(TeamAdvBatting!$A:$Z,MATCH($A20,TeamAdvBatting!$A:$A,0),MATCH(W$2,TeamAdvBatting!$A$225:$Z$225,0))</f>
        <v>91</v>
      </c>
      <c r="X20" s="78">
        <f>INDEX(BattingRatios!$A$225:$Q$256,MATCH($A20,BattingRatios!$A$225:$A$256,0),MATCH(X$2,BattingRatios!$A$225:$Q$225,0))</f>
        <v>3.9E-2</v>
      </c>
      <c r="Y20" s="78">
        <f>INDEX(BattingRatios!$A$225:$Q$256,MATCH($A20,BattingRatios!$A$225:$A$256,0),MATCH(Y$2,BattingRatios!$A$225:$Q$225,0))</f>
        <v>0.22</v>
      </c>
      <c r="Z20" s="78">
        <f>INDEX(BattingRatios!$A$225:$Q$256,MATCH($A20,BattingRatios!$A$225:$A$256,0),MATCH(Z$2,BattingRatios!$A$225:$Q$225,0))</f>
        <v>8.2000000000000003E-2</v>
      </c>
      <c r="AA20" s="78">
        <f>INDEX(BattingRatios!$A$225:$Q$256,MATCH($A20,BattingRatios!$A$225:$A$256,0),MATCH(AA$2,BattingRatios!$A$225:$Q$225,0))</f>
        <v>8.5999999999999993E-2</v>
      </c>
      <c r="AB20" s="78">
        <f>INDEX(BattingRatios!$A$225:$Q$256,MATCH($A20,BattingRatios!$A$225:$A$256,0),MATCH(AB$2,BattingRatios!$A$225:$Q$225,0))</f>
        <v>0.37</v>
      </c>
      <c r="AC20" s="78">
        <f>INDEX(BattingRatios!$A$225:$Q$256,MATCH($A20,BattingRatios!$A$225:$A$256,0),MATCH(AC$2,BattingRatios!$A$225:$Q$225,0))</f>
        <v>0.83</v>
      </c>
      <c r="AD20" s="78">
        <f>INDEX(BattingRatios!$A$225:$Q$256,MATCH($A20,BattingRatios!$A$225:$A$256,0),MATCH(AD$2,BattingRatios!$A$225:$Q$225,0))</f>
        <v>1.1599999999999999</v>
      </c>
      <c r="AE20" s="78">
        <f>INDEX(BattingRatios!$A$225:$Q$256,MATCH($A20,BattingRatios!$A$225:$A$256,0),MATCH(AE$2,BattingRatios!$A$225:$Q$225,0))</f>
        <v>0.64</v>
      </c>
      <c r="AF20" s="78">
        <f>INDEX(BattingRatios!$A$225:$Q$256,MATCH($A20,BattingRatios!$A$225:$A$256,0),MATCH(AF$2,BattingRatios!$A$225:$Q$225,0))</f>
        <v>0.25</v>
      </c>
      <c r="AG20" s="78">
        <f>INDEX(BattingRatios!$A$225:$Q$256,MATCH($A20,BattingRatios!$A$225:$A$256,0),MATCH(AG$2,BattingRatios!$A$225:$Q$225,0))</f>
        <v>0.11600000000000001</v>
      </c>
      <c r="AH20" s="78">
        <f>INDEX(BattingRatios!$A$225:$Q$256,MATCH($A20,BattingRatios!$A$225:$A$256,0),MATCH(AH$2,BattingRatios!$A$225:$Q$225,0))</f>
        <v>0.1</v>
      </c>
      <c r="AI20" s="81">
        <f>INDEX(PitchingRatios!$A$225:$S$256,MATCH($A20,PitchingRatios!$A$225:$A$256,0),MATCH(AI$2,PitchingRatios!$A$225:$S$225,0))</f>
        <v>3.3000000000000002E-2</v>
      </c>
      <c r="AJ20" s="81">
        <f>INDEX(PitchingRatios!$A$225:$S$256,MATCH($A20,PitchingRatios!$A$225:$A$256,0),MATCH(AJ$2,PitchingRatios!$A$225:$S$225,0))</f>
        <v>0.24399999999999999</v>
      </c>
      <c r="AK20" s="81">
        <f>INDEX(PitchingRatios!$A$225:$S$256,MATCH($A20,PitchingRatios!$A$225:$A$256,0),MATCH(AK$2,PitchingRatios!$A$225:$S$225,0))</f>
        <v>0.08</v>
      </c>
      <c r="AL20" s="81">
        <f>INDEX(PitchingRatios!$A$225:$S$256,MATCH($A20,PitchingRatios!$A$225:$A$256,0),MATCH(AL$2,PitchingRatios!$A$225:$S$225,0))</f>
        <v>8.2000000000000003E-2</v>
      </c>
      <c r="AM20" s="81">
        <f>INDEX(PitchingRatios!$A$225:$S$256,MATCH($A20,PitchingRatios!$A$225:$A$256,0),MATCH(AM$2,PitchingRatios!$A$225:$S$225,0))</f>
        <v>0.36</v>
      </c>
      <c r="AN20" s="81">
        <f>INDEX(PitchingRatios!$A$225:$S$256,MATCH($A20,PitchingRatios!$A$225:$A$256,0),MATCH(AN$2,PitchingRatios!$A$225:$S$225,0))</f>
        <v>0.77</v>
      </c>
      <c r="AO20" s="81">
        <f>INDEX(PitchingRatios!$A$225:$S$256,MATCH($A20,PitchingRatios!$A$225:$A$256,0),MATCH(AO$2,PitchingRatios!$A$225:$S$225,0))</f>
        <v>1.06</v>
      </c>
      <c r="AP20" s="81">
        <f>INDEX(PitchingRatios!$A$225:$S$256,MATCH($A20,PitchingRatios!$A$225:$A$256,0),MATCH(AP$2,PitchingRatios!$A$225:$S$225,0))</f>
        <v>0.63</v>
      </c>
      <c r="AQ20" s="81">
        <f>INDEX(PitchingRatios!$A$225:$S$256,MATCH($A20,PitchingRatios!$A$225:$A$256,0),MATCH(AQ$2,PitchingRatios!$A$225:$S$225,0))</f>
        <v>0.25</v>
      </c>
      <c r="AR20" s="81">
        <f>INDEX(PitchingRatios!$A$225:$S$256,MATCH($A20,PitchingRatios!$A$225:$A$256,0),MATCH(AR$2,PitchingRatios!$A$225:$S$225,0))</f>
        <v>0.10100000000000001</v>
      </c>
      <c r="AS20" s="81">
        <f>INDEX(PitchingRatios!$A$225:$S$256,MATCH($A20,PitchingRatios!$A$225:$A$256,0),MATCH(AS$2,PitchingRatios!$A$225:$S$225,0))</f>
        <v>0.13</v>
      </c>
      <c r="AT20" s="7">
        <f>INDEX(TeamStandardPitching!$A:$AJ,MATCH($A20,TeamStandardPitching!$A:$A,0),MATCH(AT$2,TeamStandardPitching!$A$225:$AJ$225,0))</f>
        <v>29</v>
      </c>
      <c r="AU20" s="7">
        <f>INDEX(TeamStandardPitching!$A:$AJ,MATCH($A20,TeamStandardPitching!$A:$A,0),MATCH(AU$2,TeamStandardPitching!$A$225:$AJ$225,0))</f>
        <v>28.6</v>
      </c>
      <c r="AV20" s="7">
        <f>INDEX(TeamStandardPitching!$A:$AJ,MATCH($A20,TeamStandardPitching!$A:$A,0),MATCH(AV$2,TeamStandardPitching!$A$225:$AJ$225,0))</f>
        <v>4.55</v>
      </c>
      <c r="AW20" s="7">
        <f>INDEX(TeamStandardPitching!$A:$AJ,MATCH($A20,TeamStandardPitching!$A:$A,0),MATCH(AW$2,TeamStandardPitching!$A$225:$AJ$225,0))</f>
        <v>204</v>
      </c>
      <c r="AX20" s="7">
        <f>INDEX(TeamStandardPitching!$A:$AJ,MATCH($A20,TeamStandardPitching!$A:$A,0),MATCH(AX$2,TeamStandardPitching!$A$225:$AJ$225,0))</f>
        <v>500</v>
      </c>
      <c r="AY20" s="7">
        <f>INDEX(TeamStandardPitching!$A:$AJ,MATCH($A20,TeamStandardPitching!$A:$A,0),MATCH(AY$2,TeamStandardPitching!$A$225:$AJ$225,0))</f>
        <v>40</v>
      </c>
      <c r="AZ20" s="7">
        <f>INDEX(TeamStandardPitching!$A:$AJ,MATCH($A20,TeamStandardPitching!$A:$A,0),MATCH(AZ$2,TeamStandardPitching!$A$225:$AJ$225,0))</f>
        <v>1520</v>
      </c>
      <c r="BA20" s="7">
        <f>INDEX(TeamStandardPitching!$A:$AJ,MATCH($A20,TeamStandardPitching!$A:$A,0),MATCH(BA$2,TeamStandardPitching!$A$225:$AJ$225,0))</f>
        <v>60</v>
      </c>
      <c r="BB20" s="7">
        <f>INDEX(TeamStandardPitching!$A:$AJ,MATCH($A20,TeamStandardPitching!$A:$A,0),MATCH(BB$2,TeamStandardPitching!$A$225:$AJ$225,0))</f>
        <v>2</v>
      </c>
      <c r="BC20" s="7">
        <f>INDEX(TeamStandardPitching!$A:$AJ,MATCH($A20,TeamStandardPitching!$A:$A,0),MATCH(BC$2,TeamStandardPitching!$A$225:$AJ$225,0))</f>
        <v>47</v>
      </c>
      <c r="BD20" s="7">
        <f>INDEX(TeamStandardPitching!$A:$AJ,MATCH($A20,TeamStandardPitching!$A:$A,0),MATCH(BD$2,TeamStandardPitching!$A$225:$AJ$225,0))</f>
        <v>6232</v>
      </c>
      <c r="BE20" s="7">
        <f>INDEX(TeamStandardPitching!$A:$AJ,MATCH($A20,TeamStandardPitching!$A:$A,0),MATCH(BE$2,TeamStandardPitching!$A$225:$AJ$225,0))</f>
        <v>96</v>
      </c>
      <c r="BF20" s="7">
        <f>INDEX(TeamStandardPitching!$A:$AJ,MATCH($A20,TeamStandardPitching!$A:$A,0),MATCH(BF$2,TeamStandardPitching!$A$225:$AJ$225,0))</f>
        <v>4.0999999999999996</v>
      </c>
      <c r="BG20" s="7">
        <f>INDEX(TeamStandardPitching!$A:$AJ,MATCH($A20,TeamStandardPitching!$A:$A,0),MATCH(BG$2,TeamStandardPitching!$A$225:$AJ$225,0))</f>
        <v>1.304</v>
      </c>
      <c r="BH20" s="7">
        <f>INDEX(TeamStandardPitching!$A:$AJ,MATCH($A20,TeamStandardPitching!$A:$A,0),MATCH(BH$2,TeamStandardPitching!$A$225:$AJ$225,0))</f>
        <v>8.6999999999999993</v>
      </c>
      <c r="BI20" s="7">
        <f>INDEX(TeamStandardPitching!$A:$AJ,MATCH($A20,TeamStandardPitching!$A:$A,0),MATCH(BI$2,TeamStandardPitching!$A$225:$AJ$225,0))</f>
        <v>1.3</v>
      </c>
      <c r="BJ20" s="7">
        <f>INDEX(TeamStandardPitching!$A:$AJ,MATCH($A20,TeamStandardPitching!$A:$A,0),MATCH(BJ$2,TeamStandardPitching!$A$225:$AJ$225,0))</f>
        <v>3.1</v>
      </c>
      <c r="BK20" s="7">
        <f>INDEX(TeamStandardPitching!$A:$AJ,MATCH($A20,TeamStandardPitching!$A:$A,0),MATCH(BK$2,TeamStandardPitching!$A$225:$AJ$225,0))</f>
        <v>9.4</v>
      </c>
      <c r="BL20" s="7">
        <f>INDEX(TeamStandardPitching!$A:$AJ,MATCH($A20,TeamStandardPitching!$A:$A,0),MATCH(BL$2,TeamStandardPitching!$A$225:$AJ$225,0))</f>
        <v>3.04</v>
      </c>
      <c r="BM20" s="7">
        <f>INDEX(TeamStandardPitching!$A:$AJ,MATCH($A20,TeamStandardPitching!$A:$A,0),MATCH(BM$2,TeamStandardPitching!$A$225:$AJ$225,0))</f>
        <v>1112</v>
      </c>
      <c r="BO20">
        <v>3.0017278340341296</v>
      </c>
      <c r="BP20">
        <v>16.041501176699377</v>
      </c>
      <c r="BQ20">
        <v>2.8105116155572514</v>
      </c>
      <c r="BR20">
        <v>6.1234392307813161</v>
      </c>
      <c r="BS20">
        <v>0.75337300328670731</v>
      </c>
      <c r="BT20">
        <v>1.2376073198510855</v>
      </c>
      <c r="BU20">
        <v>2.5180382036962183</v>
      </c>
      <c r="BV20">
        <v>9.2183231726512691</v>
      </c>
      <c r="BW20">
        <v>5.9210680750490852</v>
      </c>
      <c r="BX20">
        <v>4.8410045024660535</v>
      </c>
      <c r="BY20">
        <v>43.431091257653428</v>
      </c>
      <c r="BZ20">
        <v>5.3599285404623789</v>
      </c>
    </row>
    <row r="21" spans="1:78" x14ac:dyDescent="0.25">
      <c r="A21" t="s">
        <v>28</v>
      </c>
      <c r="B21" t="s">
        <v>240</v>
      </c>
      <c r="D21">
        <f>INDEX(Scores!$B$1:$G$31,MATCH($A21,Scores!$B$1:$B$31,0),MATCH(D$2,Scores!$B$1:$G$1,0))</f>
        <v>6.2857142857142856</v>
      </c>
      <c r="E21">
        <f>INDEX(Scores!$B$1:$G$31,MATCH($A21,Scores!$B$1:$B$31,0),MATCH(E$2,Scores!$B$1:$G$1,0))</f>
        <v>3.6426661523653423</v>
      </c>
      <c r="F21">
        <f>INDEX(Scores!$B$1:$G$31,MATCH($A21,Scores!$B$1:$B$31,0),MATCH(F$2,Scores!$B$1:$G$1,0))</f>
        <v>5.4320987654320989</v>
      </c>
      <c r="G21">
        <f>INDEX(Scores!$B$1:$G$31,MATCH($A21,Scores!$B$1:$B$31,0),MATCH(G$2,Scores!$B$1:$G$1,0))</f>
        <v>2.8542291411597263</v>
      </c>
      <c r="H21" s="9">
        <f>INDEX(TeamAdvBatting!$A:$Z,MATCH($A21,TeamAdvBatting!$A:$A,0),MATCH(H$2,TeamAdvBatting!$A$225:$Z$225,0))</f>
        <v>5.82</v>
      </c>
      <c r="I21" s="9">
        <f>INDEX(TeamAdvBatting!$A:$Z,MATCH($A21,TeamAdvBatting!$A:$A,0),MATCH(I$2,TeamAdvBatting!$A$225:$Z$225,0))</f>
        <v>4268</v>
      </c>
      <c r="J21" s="9">
        <f>INDEX(TeamAdvBatting!$A:$Z,MATCH($A21,TeamAdvBatting!$A:$A,0),MATCH(J$2,TeamAdvBatting!$A$225:$Z$225,0))</f>
        <v>944</v>
      </c>
      <c r="K21" s="9">
        <f>INDEX(TeamAdvBatting!$A:$Z,MATCH($A21,TeamAdvBatting!$A:$A,0),MATCH(K$2,TeamAdvBatting!$A$225:$Z$225,0))</f>
        <v>5.9</v>
      </c>
      <c r="L21" s="9">
        <f>INDEX(TeamAdvBatting!$A:$Z,MATCH($A21,TeamAdvBatting!$A:$A,0),MATCH(L$2,TeamAdvBatting!$A$225:$Z$225,0))</f>
        <v>105</v>
      </c>
      <c r="M21" s="9">
        <f>INDEX(TeamAdvBatting!$A:$Z,MATCH($A21,TeamAdvBatting!$A:$A,0),MATCH(M$2,TeamAdvBatting!$A$225:$Z$225,0))</f>
        <v>0.30599999999999999</v>
      </c>
      <c r="N21" s="9">
        <f>INDEX(TeamAdvBatting!$A:$Z,MATCH($A21,TeamAdvBatting!$A:$A,0),MATCH(N$2,TeamAdvBatting!$A$225:$Z$225,0))</f>
        <v>0.33900000000000002</v>
      </c>
      <c r="O21" s="9">
        <f>INDEX(TeamAdvBatting!$A:$Z,MATCH($A21,TeamAdvBatting!$A:$A,0),MATCH(O$2,TeamAdvBatting!$A$225:$Z$225,0))</f>
        <v>0.49</v>
      </c>
      <c r="P21" s="9">
        <f>INDEX(TeamAdvBatting!$A:$Z,MATCH($A21,TeamAdvBatting!$A:$A,0),MATCH(P$2,TeamAdvBatting!$A$225:$Z$225,0))</f>
        <v>118</v>
      </c>
      <c r="Q21" s="9">
        <f>INDEX(TeamAdvBatting!$A:$Z,MATCH($A21,TeamAdvBatting!$A:$A,0),MATCH(Q$2,TeamAdvBatting!$A$225:$Z$225,0))</f>
        <v>0.57499999999999996</v>
      </c>
      <c r="R21" s="9">
        <f>INDEX(TeamAdvBatting!$A:$Z,MATCH($A21,TeamAdvBatting!$A:$A,0),MATCH(R$2,TeamAdvBatting!$A$225:$Z$225,0))</f>
        <v>146.1</v>
      </c>
      <c r="S21" s="9">
        <f>INDEX(TeamAdvBatting!$A:$Z,MATCH($A21,TeamAdvBatting!$A:$A,0),MATCH(S$2,TeamAdvBatting!$A$225:$Z$225,0))</f>
        <v>13.6</v>
      </c>
      <c r="T21" s="9">
        <f>INDEX(TeamAdvBatting!$A:$Z,MATCH($A21,TeamAdvBatting!$A:$A,0),MATCH(T$2,TeamAdvBatting!$A$225:$Z$225,0))</f>
        <v>0.80700000000000005</v>
      </c>
      <c r="U21" s="9">
        <f>INDEX(TeamAdvBatting!$A:$Z,MATCH($A21,TeamAdvBatting!$A:$A,0),MATCH(U$2,TeamAdvBatting!$A$225:$Z$225,0))</f>
        <v>0.33</v>
      </c>
      <c r="V21" s="9">
        <f>INDEX(TeamAdvBatting!$A:$Z,MATCH($A21,TeamAdvBatting!$A:$A,0),MATCH(V$2,TeamAdvBatting!$A$225:$Z$225,0))</f>
        <v>0.222</v>
      </c>
      <c r="W21" s="9">
        <f>INDEX(TeamAdvBatting!$A:$Z,MATCH($A21,TeamAdvBatting!$A:$A,0),MATCH(W$2,TeamAdvBatting!$A$225:$Z$225,0))</f>
        <v>93.2</v>
      </c>
      <c r="X21" s="78">
        <f>INDEX(BattingRatios!$A$225:$Q$256,MATCH($A21,BattingRatios!$A$225:$A$256,0),MATCH(X$2,BattingRatios!$A$225:$Q$225,0))</f>
        <v>4.9000000000000002E-2</v>
      </c>
      <c r="Y21" s="78">
        <f>INDEX(BattingRatios!$A$225:$Q$256,MATCH($A21,BattingRatios!$A$225:$A$256,0),MATCH(Y$2,BattingRatios!$A$225:$Q$225,0))</f>
        <v>0.23</v>
      </c>
      <c r="Z21" s="78">
        <f>INDEX(BattingRatios!$A$225:$Q$256,MATCH($A21,BattingRatios!$A$225:$A$256,0),MATCH(Z$2,BattingRatios!$A$225:$Q$225,0))</f>
        <v>9.0999999999999998E-2</v>
      </c>
      <c r="AA21" s="78">
        <f>INDEX(BattingRatios!$A$225:$Q$256,MATCH($A21,BattingRatios!$A$225:$A$256,0),MATCH(AA$2,BattingRatios!$A$225:$Q$225,0))</f>
        <v>9.8000000000000004E-2</v>
      </c>
      <c r="AB21" s="78">
        <f>INDEX(BattingRatios!$A$225:$Q$256,MATCH($A21,BattingRatios!$A$225:$A$256,0),MATCH(AB$2,BattingRatios!$A$225:$Q$225,0))</f>
        <v>0.41</v>
      </c>
      <c r="AC21" s="78">
        <f>INDEX(BattingRatios!$A$225:$Q$256,MATCH($A21,BattingRatios!$A$225:$A$256,0),MATCH(AC$2,BattingRatios!$A$225:$Q$225,0))</f>
        <v>0.72</v>
      </c>
      <c r="AD21" s="78">
        <f>INDEX(BattingRatios!$A$225:$Q$256,MATCH($A21,BattingRatios!$A$225:$A$256,0),MATCH(AD$2,BattingRatios!$A$225:$Q$225,0))</f>
        <v>1.01</v>
      </c>
      <c r="AE21" s="78">
        <f>INDEX(BattingRatios!$A$225:$Q$256,MATCH($A21,BattingRatios!$A$225:$A$256,0),MATCH(AE$2,BattingRatios!$A$225:$Q$225,0))</f>
        <v>0.62</v>
      </c>
      <c r="AF21" s="78">
        <f>INDEX(BattingRatios!$A$225:$Q$256,MATCH($A21,BattingRatios!$A$225:$A$256,0),MATCH(AF$2,BattingRatios!$A$225:$Q$225,0))</f>
        <v>0.25</v>
      </c>
      <c r="AG21" s="78">
        <f>INDEX(BattingRatios!$A$225:$Q$256,MATCH($A21,BattingRatios!$A$225:$A$256,0),MATCH(AG$2,BattingRatios!$A$225:$Q$225,0))</f>
        <v>0.14399999999999999</v>
      </c>
      <c r="AH21" s="78">
        <f>INDEX(BattingRatios!$A$225:$Q$256,MATCH($A21,BattingRatios!$A$225:$A$256,0),MATCH(AH$2,BattingRatios!$A$225:$Q$225,0))</f>
        <v>0.12</v>
      </c>
      <c r="AI21" s="81">
        <f>INDEX(PitchingRatios!$A$225:$S$256,MATCH($A21,PitchingRatios!$A$225:$A$256,0),MATCH(AI$2,PitchingRatios!$A$225:$S$225,0))</f>
        <v>0.04</v>
      </c>
      <c r="AJ21" s="81">
        <f>INDEX(PitchingRatios!$A$225:$S$256,MATCH($A21,PitchingRatios!$A$225:$A$256,0),MATCH(AJ$2,PitchingRatios!$A$225:$S$225,0))</f>
        <v>0.25</v>
      </c>
      <c r="AK21" s="81">
        <f>INDEX(PitchingRatios!$A$225:$S$256,MATCH($A21,PitchingRatios!$A$225:$A$256,0),MATCH(AK$2,PitchingRatios!$A$225:$S$225,0))</f>
        <v>8.3000000000000004E-2</v>
      </c>
      <c r="AL21" s="81">
        <f>INDEX(PitchingRatios!$A$225:$S$256,MATCH($A21,PitchingRatios!$A$225:$A$256,0),MATCH(AL$2,PitchingRatios!$A$225:$S$225,0))</f>
        <v>8.8999999999999996E-2</v>
      </c>
      <c r="AM21" s="81">
        <f>INDEX(PitchingRatios!$A$225:$S$256,MATCH($A21,PitchingRatios!$A$225:$A$256,0),MATCH(AM$2,PitchingRatios!$A$225:$S$225,0))</f>
        <v>0.4</v>
      </c>
      <c r="AN21" s="81">
        <f>INDEX(PitchingRatios!$A$225:$S$256,MATCH($A21,PitchingRatios!$A$225:$A$256,0),MATCH(AN$2,PitchingRatios!$A$225:$S$225,0))</f>
        <v>0.74</v>
      </c>
      <c r="AO21" s="81">
        <f>INDEX(PitchingRatios!$A$225:$S$256,MATCH($A21,PitchingRatios!$A$225:$A$256,0),MATCH(AO$2,PitchingRatios!$A$225:$S$225,0))</f>
        <v>0.99</v>
      </c>
      <c r="AP21" s="81">
        <f>INDEX(PitchingRatios!$A$225:$S$256,MATCH($A21,PitchingRatios!$A$225:$A$256,0),MATCH(AP$2,PitchingRatios!$A$225:$S$225,0))</f>
        <v>0.62</v>
      </c>
      <c r="AQ21" s="81">
        <f>INDEX(PitchingRatios!$A$225:$S$256,MATCH($A21,PitchingRatios!$A$225:$A$256,0),MATCH(AQ$2,PitchingRatios!$A$225:$S$225,0))</f>
        <v>0.24</v>
      </c>
      <c r="AR21" s="81">
        <f>INDEX(PitchingRatios!$A$225:$S$256,MATCH($A21,PitchingRatios!$A$225:$A$256,0),MATCH(AR$2,PitchingRatios!$A$225:$S$225,0))</f>
        <v>0.124</v>
      </c>
      <c r="AS21" s="81">
        <f>INDEX(PitchingRatios!$A$225:$S$256,MATCH($A21,PitchingRatios!$A$225:$A$256,0),MATCH(AS$2,PitchingRatios!$A$225:$S$225,0))</f>
        <v>0.13</v>
      </c>
      <c r="AT21" s="7">
        <f>INDEX(TeamStandardPitching!$A:$AJ,MATCH($A21,TeamStandardPitching!$A:$A,0),MATCH(AT$2,TeamStandardPitching!$A$225:$AJ$225,0))</f>
        <v>32</v>
      </c>
      <c r="AU21" s="7">
        <f>INDEX(TeamStandardPitching!$A:$AJ,MATCH($A21,TeamStandardPitching!$A:$A,0),MATCH(AU$2,TeamStandardPitching!$A$225:$AJ$225,0))</f>
        <v>30.2</v>
      </c>
      <c r="AV21" s="7">
        <f>INDEX(TeamStandardPitching!$A:$AJ,MATCH($A21,TeamStandardPitching!$A:$A,0),MATCH(AV$2,TeamStandardPitching!$A$225:$AJ$225,0))</f>
        <v>4.5599999999999996</v>
      </c>
      <c r="AW21" s="7">
        <f>INDEX(TeamStandardPitching!$A:$AJ,MATCH($A21,TeamStandardPitching!$A:$A,0),MATCH(AW$2,TeamStandardPitching!$A$225:$AJ$225,0))</f>
        <v>248</v>
      </c>
      <c r="AX21" s="7">
        <f>INDEX(TeamStandardPitching!$A:$AJ,MATCH($A21,TeamStandardPitching!$A:$A,0),MATCH(AX$2,TeamStandardPitching!$A$225:$AJ$225,0))</f>
        <v>507</v>
      </c>
      <c r="AY21" s="7">
        <f>INDEX(TeamStandardPitching!$A:$AJ,MATCH($A21,TeamStandardPitching!$A:$A,0),MATCH(AY$2,TeamStandardPitching!$A$225:$AJ$225,0))</f>
        <v>12</v>
      </c>
      <c r="AZ21" s="7">
        <f>INDEX(TeamStandardPitching!$A:$AJ,MATCH($A21,TeamStandardPitching!$A:$A,0),MATCH(AZ$2,TeamStandardPitching!$A$225:$AJ$225,0))</f>
        <v>1534</v>
      </c>
      <c r="BA21" s="7">
        <f>INDEX(TeamStandardPitching!$A:$AJ,MATCH($A21,TeamStandardPitching!$A:$A,0),MATCH(BA$2,TeamStandardPitching!$A$225:$AJ$225,0))</f>
        <v>44</v>
      </c>
      <c r="BB21" s="7">
        <f>INDEX(TeamStandardPitching!$A:$AJ,MATCH($A21,TeamStandardPitching!$A:$A,0),MATCH(BB$2,TeamStandardPitching!$A$225:$AJ$225,0))</f>
        <v>5</v>
      </c>
      <c r="BC21" s="7">
        <f>INDEX(TeamStandardPitching!$A:$AJ,MATCH($A21,TeamStandardPitching!$A:$A,0),MATCH(BC$2,TeamStandardPitching!$A$225:$AJ$225,0))</f>
        <v>55</v>
      </c>
      <c r="BD21" s="7">
        <f>INDEX(TeamStandardPitching!$A:$AJ,MATCH($A21,TeamStandardPitching!$A:$A,0),MATCH(BD$2,TeamStandardPitching!$A$225:$AJ$225,0))</f>
        <v>6133</v>
      </c>
      <c r="BE21" s="7">
        <f>INDEX(TeamStandardPitching!$A:$AJ,MATCH($A21,TeamStandardPitching!$A:$A,0),MATCH(BE$2,TeamStandardPitching!$A$225:$AJ$225,0))</f>
        <v>104</v>
      </c>
      <c r="BF21" s="7">
        <f>INDEX(TeamStandardPitching!$A:$AJ,MATCH($A21,TeamStandardPitching!$A:$A,0),MATCH(BF$2,TeamStandardPitching!$A$225:$AJ$225,0))</f>
        <v>4.47</v>
      </c>
      <c r="BG21" s="7">
        <f>INDEX(TeamStandardPitching!$A:$AJ,MATCH($A21,TeamStandardPitching!$A:$A,0),MATCH(BG$2,TeamStandardPitching!$A$225:$AJ$225,0))</f>
        <v>1.304</v>
      </c>
      <c r="BH21" s="7">
        <f>INDEX(TeamStandardPitching!$A:$AJ,MATCH($A21,TeamStandardPitching!$A:$A,0),MATCH(BH$2,TeamStandardPitching!$A$225:$AJ$225,0))</f>
        <v>8.6</v>
      </c>
      <c r="BI21" s="7">
        <f>INDEX(TeamStandardPitching!$A:$AJ,MATCH($A21,TeamStandardPitching!$A:$A,0),MATCH(BI$2,TeamStandardPitching!$A$225:$AJ$225,0))</f>
        <v>1.5</v>
      </c>
      <c r="BJ21" s="7">
        <f>INDEX(TeamStandardPitching!$A:$AJ,MATCH($A21,TeamStandardPitching!$A:$A,0),MATCH(BJ$2,TeamStandardPitching!$A$225:$AJ$225,0))</f>
        <v>3.2</v>
      </c>
      <c r="BK21" s="7">
        <f>INDEX(TeamStandardPitching!$A:$AJ,MATCH($A21,TeamStandardPitching!$A:$A,0),MATCH(BK$2,TeamStandardPitching!$A$225:$AJ$225,0))</f>
        <v>9.6</v>
      </c>
      <c r="BL21" s="7">
        <f>INDEX(TeamStandardPitching!$A:$AJ,MATCH($A21,TeamStandardPitching!$A:$A,0),MATCH(BL$2,TeamStandardPitching!$A$225:$AJ$225,0))</f>
        <v>3.03</v>
      </c>
      <c r="BM21" s="7">
        <f>INDEX(TeamStandardPitching!$A:$AJ,MATCH($A21,TeamStandardPitching!$A:$A,0),MATCH(BM$2,TeamStandardPitching!$A$225:$AJ$225,0))</f>
        <v>1065</v>
      </c>
      <c r="BO21">
        <v>0.98447177634902727</v>
      </c>
      <c r="BP21">
        <v>9.6448269274385323E-2</v>
      </c>
      <c r="BQ21" t="e">
        <v>#N/A</v>
      </c>
      <c r="BR21" t="e">
        <v>#N/A</v>
      </c>
      <c r="BS21" t="e">
        <v>#N/A</v>
      </c>
      <c r="BT21" t="e">
        <v>#N/A</v>
      </c>
      <c r="BU21" t="e">
        <v>#N/A</v>
      </c>
      <c r="BV21" t="e">
        <v>#N/A</v>
      </c>
      <c r="BW21" t="e">
        <v>#N/A</v>
      </c>
      <c r="BX21" t="e">
        <v>#N/A</v>
      </c>
      <c r="BY21" t="e">
        <v>#N/A</v>
      </c>
      <c r="BZ21" t="e">
        <v>#N/A</v>
      </c>
    </row>
    <row r="22" spans="1:78" x14ac:dyDescent="0.25">
      <c r="A22" t="s">
        <v>17</v>
      </c>
      <c r="B22" t="s">
        <v>241</v>
      </c>
      <c r="D22">
        <f>INDEX(Scores!$B$1:$G$31,MATCH($A22,Scores!$B$1:$B$31,0),MATCH(D$2,Scores!$B$1:$G$1,0))</f>
        <v>5.6493506493506498</v>
      </c>
      <c r="E22">
        <f>INDEX(Scores!$B$1:$G$31,MATCH($A22,Scores!$B$1:$B$31,0),MATCH(E$2,Scores!$B$1:$G$1,0))</f>
        <v>4.1333808487340473</v>
      </c>
      <c r="F22">
        <f>INDEX(Scores!$B$1:$G$31,MATCH($A22,Scores!$B$1:$B$31,0),MATCH(F$2,Scores!$B$1:$G$1,0))</f>
        <v>4.9493670886075947</v>
      </c>
      <c r="G22">
        <f>INDEX(Scores!$B$1:$G$31,MATCH($A22,Scores!$B$1:$B$31,0),MATCH(G$2,Scores!$B$1:$G$1,0))</f>
        <v>3.1337232038599887</v>
      </c>
      <c r="H22" s="9">
        <f>INDEX(TeamAdvBatting!$A:$Z,MATCH($A22,TeamAdvBatting!$A:$A,0),MATCH(H$2,TeamAdvBatting!$A$225:$Z$225,0))</f>
        <v>5.22</v>
      </c>
      <c r="I22" s="9">
        <f>INDEX(TeamAdvBatting!$A:$Z,MATCH($A22,TeamAdvBatting!$A:$A,0),MATCH(I$2,TeamAdvBatting!$A$225:$Z$225,0))</f>
        <v>4381</v>
      </c>
      <c r="J22" s="9">
        <f>INDEX(TeamAdvBatting!$A:$Z,MATCH($A22,TeamAdvBatting!$A:$A,0),MATCH(J$2,TeamAdvBatting!$A$225:$Z$225,0))</f>
        <v>830</v>
      </c>
      <c r="K22" s="9">
        <f>INDEX(TeamAdvBatting!$A:$Z,MATCH($A22,TeamAdvBatting!$A:$A,0),MATCH(K$2,TeamAdvBatting!$A$225:$Z$225,0))</f>
        <v>5.0999999999999996</v>
      </c>
      <c r="L22" s="9">
        <f>INDEX(TeamAdvBatting!$A:$Z,MATCH($A22,TeamAdvBatting!$A:$A,0),MATCH(L$2,TeamAdvBatting!$A$225:$Z$225,0))</f>
        <v>102</v>
      </c>
      <c r="M22" s="9">
        <f>INDEX(TeamAdvBatting!$A:$Z,MATCH($A22,TeamAdvBatting!$A:$A,0),MATCH(M$2,TeamAdvBatting!$A$225:$Z$225,0))</f>
        <v>0.28199999999999997</v>
      </c>
      <c r="N22" s="9">
        <f>INDEX(TeamAdvBatting!$A:$Z,MATCH($A22,TeamAdvBatting!$A:$A,0),MATCH(N$2,TeamAdvBatting!$A$225:$Z$225,0))</f>
        <v>0.32700000000000001</v>
      </c>
      <c r="O22" s="9">
        <f>INDEX(TeamAdvBatting!$A:$Z,MATCH($A22,TeamAdvBatting!$A:$A,0),MATCH(O$2,TeamAdvBatting!$A$225:$Z$225,0))</f>
        <v>0.44800000000000001</v>
      </c>
      <c r="P22" s="9">
        <f>INDEX(TeamAdvBatting!$A:$Z,MATCH($A22,TeamAdvBatting!$A:$A,0),MATCH(P$2,TeamAdvBatting!$A$225:$Z$225,0))</f>
        <v>108</v>
      </c>
      <c r="Q22" s="9">
        <f>INDEX(TeamAdvBatting!$A:$Z,MATCH($A22,TeamAdvBatting!$A:$A,0),MATCH(Q$2,TeamAdvBatting!$A$225:$Z$225,0))</f>
        <v>0.505</v>
      </c>
      <c r="R22" s="9">
        <f>INDEX(TeamAdvBatting!$A:$Z,MATCH($A22,TeamAdvBatting!$A:$A,0),MATCH(R$2,TeamAdvBatting!$A$225:$Z$225,0))</f>
        <v>70.2</v>
      </c>
      <c r="S22" s="9">
        <f>INDEX(TeamAdvBatting!$A:$Z,MATCH($A22,TeamAdvBatting!$A:$A,0),MATCH(S$2,TeamAdvBatting!$A$225:$Z$225,0))</f>
        <v>6.4</v>
      </c>
      <c r="T22" s="9">
        <f>INDEX(TeamAdvBatting!$A:$Z,MATCH($A22,TeamAdvBatting!$A:$A,0),MATCH(T$2,TeamAdvBatting!$A$225:$Z$225,0))</f>
        <v>0.73899999999999999</v>
      </c>
      <c r="U22" s="9">
        <f>INDEX(TeamAdvBatting!$A:$Z,MATCH($A22,TeamAdvBatting!$A:$A,0),MATCH(U$2,TeamAdvBatting!$A$225:$Z$225,0))</f>
        <v>0.308</v>
      </c>
      <c r="V22" s="9">
        <f>INDEX(TeamAdvBatting!$A:$Z,MATCH($A22,TeamAdvBatting!$A:$A,0),MATCH(V$2,TeamAdvBatting!$A$225:$Z$225,0))</f>
        <v>0.19900000000000001</v>
      </c>
      <c r="W22" s="9">
        <f>INDEX(TeamAdvBatting!$A:$Z,MATCH($A22,TeamAdvBatting!$A:$A,0),MATCH(W$2,TeamAdvBatting!$A$225:$Z$225,0))</f>
        <v>82.3</v>
      </c>
      <c r="X22" s="78">
        <f>INDEX(BattingRatios!$A$225:$Q$256,MATCH($A22,BattingRatios!$A$225:$A$256,0),MATCH(X$2,BattingRatios!$A$225:$Q$225,0))</f>
        <v>4.1000000000000002E-2</v>
      </c>
      <c r="Y22" s="78">
        <f>INDEX(BattingRatios!$A$225:$Q$256,MATCH($A22,BattingRatios!$A$225:$A$256,0),MATCH(Y$2,BattingRatios!$A$225:$Q$225,0))</f>
        <v>0.21299999999999999</v>
      </c>
      <c r="Z22" s="78">
        <f>INDEX(BattingRatios!$A$225:$Q$256,MATCH($A22,BattingRatios!$A$225:$A$256,0),MATCH(Z$2,BattingRatios!$A$225:$Q$225,0))</f>
        <v>9.1999999999999998E-2</v>
      </c>
      <c r="AA22" s="78">
        <f>INDEX(BattingRatios!$A$225:$Q$256,MATCH($A22,BattingRatios!$A$225:$A$256,0),MATCH(AA$2,BattingRatios!$A$225:$Q$225,0))</f>
        <v>9.0999999999999998E-2</v>
      </c>
      <c r="AB22" s="78">
        <f>INDEX(BattingRatios!$A$225:$Q$256,MATCH($A22,BattingRatios!$A$225:$A$256,0),MATCH(AB$2,BattingRatios!$A$225:$Q$225,0))</f>
        <v>0.41</v>
      </c>
      <c r="AC22" s="78">
        <f>INDEX(BattingRatios!$A$225:$Q$256,MATCH($A22,BattingRatios!$A$225:$A$256,0),MATCH(AC$2,BattingRatios!$A$225:$Q$225,0))</f>
        <v>0.71</v>
      </c>
      <c r="AD22" s="78">
        <f>INDEX(BattingRatios!$A$225:$Q$256,MATCH($A22,BattingRatios!$A$225:$A$256,0),MATCH(AD$2,BattingRatios!$A$225:$Q$225,0))</f>
        <v>0.95</v>
      </c>
      <c r="AE22" s="78">
        <f>INDEX(BattingRatios!$A$225:$Q$256,MATCH($A22,BattingRatios!$A$225:$A$256,0),MATCH(AE$2,BattingRatios!$A$225:$Q$225,0))</f>
        <v>0.64</v>
      </c>
      <c r="AF22" s="78">
        <f>INDEX(BattingRatios!$A$225:$Q$256,MATCH($A22,BattingRatios!$A$225:$A$256,0),MATCH(AF$2,BattingRatios!$A$225:$Q$225,0))</f>
        <v>0.25</v>
      </c>
      <c r="AG22" s="78">
        <f>INDEX(BattingRatios!$A$225:$Q$256,MATCH($A22,BattingRatios!$A$225:$A$256,0),MATCH(AG$2,BattingRatios!$A$225:$Q$225,0))</f>
        <v>0.11799999999999999</v>
      </c>
      <c r="AH22" s="78">
        <f>INDEX(BattingRatios!$A$225:$Q$256,MATCH($A22,BattingRatios!$A$225:$A$256,0),MATCH(AH$2,BattingRatios!$A$225:$Q$225,0))</f>
        <v>0.12</v>
      </c>
      <c r="AI22" s="81">
        <f>INDEX(PitchingRatios!$A$225:$S$256,MATCH($A22,PitchingRatios!$A$225:$A$256,0),MATCH(AI$2,PitchingRatios!$A$225:$S$225,0))</f>
        <v>3.3000000000000002E-2</v>
      </c>
      <c r="AJ22" s="81">
        <f>INDEX(PitchingRatios!$A$225:$S$256,MATCH($A22,PitchingRatios!$A$225:$A$256,0),MATCH(AJ$2,PitchingRatios!$A$225:$S$225,0))</f>
        <v>0.21099999999999999</v>
      </c>
      <c r="AK22" s="81">
        <f>INDEX(PitchingRatios!$A$225:$S$256,MATCH($A22,PitchingRatios!$A$225:$A$256,0),MATCH(AK$2,PitchingRatios!$A$225:$S$225,0))</f>
        <v>7.8E-2</v>
      </c>
      <c r="AL22" s="81">
        <f>INDEX(PitchingRatios!$A$225:$S$256,MATCH($A22,PitchingRatios!$A$225:$A$256,0),MATCH(AL$2,PitchingRatios!$A$225:$S$225,0))</f>
        <v>7.6999999999999999E-2</v>
      </c>
      <c r="AM22" s="81">
        <f>INDEX(PitchingRatios!$A$225:$S$256,MATCH($A22,PitchingRatios!$A$225:$A$256,0),MATCH(AM$2,PitchingRatios!$A$225:$S$225,0))</f>
        <v>0.35</v>
      </c>
      <c r="AN22" s="81">
        <f>INDEX(PitchingRatios!$A$225:$S$256,MATCH($A22,PitchingRatios!$A$225:$A$256,0),MATCH(AN$2,PitchingRatios!$A$225:$S$225,0))</f>
        <v>0.71</v>
      </c>
      <c r="AO22" s="81">
        <f>INDEX(PitchingRatios!$A$225:$S$256,MATCH($A22,PitchingRatios!$A$225:$A$256,0),MATCH(AO$2,PitchingRatios!$A$225:$S$225,0))</f>
        <v>0.93</v>
      </c>
      <c r="AP22" s="81">
        <f>INDEX(PitchingRatios!$A$225:$S$256,MATCH($A22,PitchingRatios!$A$225:$A$256,0),MATCH(AP$2,PitchingRatios!$A$225:$S$225,0))</f>
        <v>0.66</v>
      </c>
      <c r="AQ22" s="81">
        <f>INDEX(PitchingRatios!$A$225:$S$256,MATCH($A22,PitchingRatios!$A$225:$A$256,0),MATCH(AQ$2,PitchingRatios!$A$225:$S$225,0))</f>
        <v>0.24</v>
      </c>
      <c r="AR22" s="81">
        <f>INDEX(PitchingRatios!$A$225:$S$256,MATCH($A22,PitchingRatios!$A$225:$A$256,0),MATCH(AR$2,PitchingRatios!$A$225:$S$225,0))</f>
        <v>9.5000000000000001E-2</v>
      </c>
      <c r="AS22" s="81">
        <f>INDEX(PitchingRatios!$A$225:$S$256,MATCH($A22,PitchingRatios!$A$225:$A$256,0),MATCH(AS$2,PitchingRatios!$A$225:$S$225,0))</f>
        <v>0.15</v>
      </c>
      <c r="AT22" s="7">
        <f>INDEX(TeamStandardPitching!$A:$AJ,MATCH($A22,TeamStandardPitching!$A:$A,0),MATCH(AT$2,TeamStandardPitching!$A$225:$AJ$225,0))</f>
        <v>28</v>
      </c>
      <c r="AU22" s="7">
        <f>INDEX(TeamStandardPitching!$A:$AJ,MATCH($A22,TeamStandardPitching!$A:$A,0),MATCH(AU$2,TeamStandardPitching!$A$225:$AJ$225,0))</f>
        <v>30.8</v>
      </c>
      <c r="AV22" s="7">
        <f>INDEX(TeamStandardPitching!$A:$AJ,MATCH($A22,TeamStandardPitching!$A:$A,0),MATCH(AV$2,TeamStandardPitching!$A$225:$AJ$225,0))</f>
        <v>4.2</v>
      </c>
      <c r="AW22" s="7">
        <f>INDEX(TeamStandardPitching!$A:$AJ,MATCH($A22,TeamStandardPitching!$A:$A,0),MATCH(AW$2,TeamStandardPitching!$A$225:$AJ$225,0))</f>
        <v>201</v>
      </c>
      <c r="AX22" s="7">
        <f>INDEX(TeamStandardPitching!$A:$AJ,MATCH($A22,TeamStandardPitching!$A:$A,0),MATCH(AX$2,TeamStandardPitching!$A$225:$AJ$225,0))</f>
        <v>477</v>
      </c>
      <c r="AY22" s="7">
        <f>INDEX(TeamStandardPitching!$A:$AJ,MATCH($A22,TeamStandardPitching!$A:$A,0),MATCH(AY$2,TeamStandardPitching!$A$225:$AJ$225,0))</f>
        <v>19</v>
      </c>
      <c r="AZ22" s="7">
        <f>INDEX(TeamStandardPitching!$A:$AJ,MATCH($A22,TeamStandardPitching!$A:$A,0),MATCH(AZ$2,TeamStandardPitching!$A$225:$AJ$225,0))</f>
        <v>1299</v>
      </c>
      <c r="BA22" s="7">
        <f>INDEX(TeamStandardPitching!$A:$AJ,MATCH($A22,TeamStandardPitching!$A:$A,0),MATCH(BA$2,TeamStandardPitching!$A$225:$AJ$225,0))</f>
        <v>66</v>
      </c>
      <c r="BB22" s="7">
        <f>INDEX(TeamStandardPitching!$A:$AJ,MATCH($A22,TeamStandardPitching!$A:$A,0),MATCH(BB$2,TeamStandardPitching!$A$225:$AJ$225,0))</f>
        <v>4</v>
      </c>
      <c r="BC22" s="7">
        <f>INDEX(TeamStandardPitching!$A:$AJ,MATCH($A22,TeamStandardPitching!$A:$A,0),MATCH(BC$2,TeamStandardPitching!$A$225:$AJ$225,0))</f>
        <v>74</v>
      </c>
      <c r="BD22" s="7">
        <f>INDEX(TeamStandardPitching!$A:$AJ,MATCH($A22,TeamStandardPitching!$A:$A,0),MATCH(BD$2,TeamStandardPitching!$A$225:$AJ$225,0))</f>
        <v>6153</v>
      </c>
      <c r="BE22" s="7">
        <f>INDEX(TeamStandardPitching!$A:$AJ,MATCH($A22,TeamStandardPitching!$A:$A,0),MATCH(BE$2,TeamStandardPitching!$A$225:$AJ$225,0))</f>
        <v>109</v>
      </c>
      <c r="BF22" s="7">
        <f>INDEX(TeamStandardPitching!$A:$AJ,MATCH($A22,TeamStandardPitching!$A:$A,0),MATCH(BF$2,TeamStandardPitching!$A$225:$AJ$225,0))</f>
        <v>4.34</v>
      </c>
      <c r="BG22" s="7">
        <f>INDEX(TeamStandardPitching!$A:$AJ,MATCH($A22,TeamStandardPitching!$A:$A,0),MATCH(BG$2,TeamStandardPitching!$A$225:$AJ$225,0))</f>
        <v>1.242</v>
      </c>
      <c r="BH22" s="7">
        <f>INDEX(TeamStandardPitching!$A:$AJ,MATCH($A22,TeamStandardPitching!$A:$A,0),MATCH(BH$2,TeamStandardPitching!$A$225:$AJ$225,0))</f>
        <v>8.1999999999999993</v>
      </c>
      <c r="BI22" s="7">
        <f>INDEX(TeamStandardPitching!$A:$AJ,MATCH($A22,TeamStandardPitching!$A:$A,0),MATCH(BI$2,TeamStandardPitching!$A$225:$AJ$225,0))</f>
        <v>1.2</v>
      </c>
      <c r="BJ22" s="7">
        <f>INDEX(TeamStandardPitching!$A:$AJ,MATCH($A22,TeamStandardPitching!$A:$A,0),MATCH(BJ$2,TeamStandardPitching!$A$225:$AJ$225,0))</f>
        <v>2.9</v>
      </c>
      <c r="BK22" s="7">
        <f>INDEX(TeamStandardPitching!$A:$AJ,MATCH($A22,TeamStandardPitching!$A:$A,0),MATCH(BK$2,TeamStandardPitching!$A$225:$AJ$225,0))</f>
        <v>8</v>
      </c>
      <c r="BL22" s="7">
        <f>INDEX(TeamStandardPitching!$A:$AJ,MATCH($A22,TeamStandardPitching!$A:$A,0),MATCH(BL$2,TeamStandardPitching!$A$225:$AJ$225,0))</f>
        <v>2.72</v>
      </c>
      <c r="BM22" s="7">
        <f>INDEX(TeamStandardPitching!$A:$AJ,MATCH($A22,TeamStandardPitching!$A:$A,0),MATCH(BM$2,TeamStandardPitching!$A$225:$AJ$225,0))</f>
        <v>1078</v>
      </c>
      <c r="BO22">
        <v>103.7435995290393</v>
      </c>
      <c r="BP22">
        <v>18</v>
      </c>
      <c r="BQ22" t="e">
        <v>#N/A</v>
      </c>
      <c r="BR22" t="e">
        <v>#N/A</v>
      </c>
      <c r="BS22" t="e">
        <v>#N/A</v>
      </c>
      <c r="BT22" t="e">
        <v>#N/A</v>
      </c>
      <c r="BU22" t="e">
        <v>#N/A</v>
      </c>
      <c r="BV22" t="e">
        <v>#N/A</v>
      </c>
      <c r="BW22" t="e">
        <v>#N/A</v>
      </c>
      <c r="BX22" t="e">
        <v>#N/A</v>
      </c>
      <c r="BY22" t="e">
        <v>#N/A</v>
      </c>
      <c r="BZ22" t="e">
        <v>#N/A</v>
      </c>
    </row>
    <row r="23" spans="1:78" x14ac:dyDescent="0.25">
      <c r="A23" t="s">
        <v>15</v>
      </c>
      <c r="B23" t="s">
        <v>242</v>
      </c>
      <c r="D23">
        <f>INDEX(Scores!$B$1:$G$31,MATCH($A23,Scores!$B$1:$B$31,0),MATCH(D$2,Scores!$B$1:$G$1,0))</f>
        <v>4.5443037974683547</v>
      </c>
      <c r="E23">
        <f>INDEX(Scores!$B$1:$G$31,MATCH($A23,Scores!$B$1:$B$31,0),MATCH(E$2,Scores!$B$1:$G$1,0))</f>
        <v>3.0638664592078744</v>
      </c>
      <c r="F23">
        <f>INDEX(Scores!$B$1:$G$31,MATCH($A23,Scores!$B$1:$B$31,0),MATCH(F$2,Scores!$B$1:$G$1,0))</f>
        <v>5.0384615384615383</v>
      </c>
      <c r="G23">
        <f>INDEX(Scores!$B$1:$G$31,MATCH($A23,Scores!$B$1:$B$31,0),MATCH(G$2,Scores!$B$1:$G$1,0))</f>
        <v>3.2598659233570175</v>
      </c>
      <c r="H23" s="9">
        <f>INDEX(TeamAdvBatting!$A:$Z,MATCH($A23,TeamAdvBatting!$A:$A,0),MATCH(H$2,TeamAdvBatting!$A$225:$Z$225,0))</f>
        <v>4.78</v>
      </c>
      <c r="I23" s="9">
        <f>INDEX(TeamAdvBatting!$A:$Z,MATCH($A23,TeamAdvBatting!$A:$A,0),MATCH(I$2,TeamAdvBatting!$A$225:$Z$225,0))</f>
        <v>4385</v>
      </c>
      <c r="J23" s="9">
        <f>INDEX(TeamAdvBatting!$A:$Z,MATCH($A23,TeamAdvBatting!$A:$A,0),MATCH(J$2,TeamAdvBatting!$A$225:$Z$225,0))</f>
        <v>799</v>
      </c>
      <c r="K23" s="9">
        <f>INDEX(TeamAdvBatting!$A:$Z,MATCH($A23,TeamAdvBatting!$A:$A,0),MATCH(K$2,TeamAdvBatting!$A$225:$Z$225,0))</f>
        <v>4.9000000000000004</v>
      </c>
      <c r="L23" s="9">
        <f>INDEX(TeamAdvBatting!$A:$Z,MATCH($A23,TeamAdvBatting!$A:$A,0),MATCH(L$2,TeamAdvBatting!$A$225:$Z$225,0))</f>
        <v>112</v>
      </c>
      <c r="M23" s="9">
        <f>INDEX(TeamAdvBatting!$A:$Z,MATCH($A23,TeamAdvBatting!$A:$A,0),MATCH(M$2,TeamAdvBatting!$A$225:$Z$225,0))</f>
        <v>0.29299999999999998</v>
      </c>
      <c r="N23" s="9">
        <f>INDEX(TeamAdvBatting!$A:$Z,MATCH($A23,TeamAdvBatting!$A:$A,0),MATCH(N$2,TeamAdvBatting!$A$225:$Z$225,0))</f>
        <v>0.31900000000000001</v>
      </c>
      <c r="O23" s="9">
        <f>INDEX(TeamAdvBatting!$A:$Z,MATCH($A23,TeamAdvBatting!$A:$A,0),MATCH(O$2,TeamAdvBatting!$A$225:$Z$225,0))</f>
        <v>0.42699999999999999</v>
      </c>
      <c r="P23" s="9">
        <f>INDEX(TeamAdvBatting!$A:$Z,MATCH($A23,TeamAdvBatting!$A:$A,0),MATCH(P$2,TeamAdvBatting!$A$225:$Z$225,0))</f>
        <v>91</v>
      </c>
      <c r="Q23" s="9">
        <f>INDEX(TeamAdvBatting!$A:$Z,MATCH($A23,TeamAdvBatting!$A:$A,0),MATCH(Q$2,TeamAdvBatting!$A$225:$Z$225,0))</f>
        <v>0.49199999999999999</v>
      </c>
      <c r="R23" s="9">
        <f>INDEX(TeamAdvBatting!$A:$Z,MATCH($A23,TeamAdvBatting!$A:$A,0),MATCH(R$2,TeamAdvBatting!$A$225:$Z$225,0))</f>
        <v>-80.099999999999994</v>
      </c>
      <c r="S23" s="9">
        <f>INDEX(TeamAdvBatting!$A:$Z,MATCH($A23,TeamAdvBatting!$A:$A,0),MATCH(S$2,TeamAdvBatting!$A$225:$Z$225,0))</f>
        <v>-7.8</v>
      </c>
      <c r="T23" s="9">
        <f>INDEX(TeamAdvBatting!$A:$Z,MATCH($A23,TeamAdvBatting!$A:$A,0),MATCH(T$2,TeamAdvBatting!$A$225:$Z$225,0))</f>
        <v>0.71199999999999997</v>
      </c>
      <c r="U23" s="9">
        <f>INDEX(TeamAdvBatting!$A:$Z,MATCH($A23,TeamAdvBatting!$A:$A,0),MATCH(U$2,TeamAdvBatting!$A$225:$Z$225,0))</f>
        <v>0.29299999999999998</v>
      </c>
      <c r="V23" s="9">
        <f>INDEX(TeamAdvBatting!$A:$Z,MATCH($A23,TeamAdvBatting!$A:$A,0),MATCH(V$2,TeamAdvBatting!$A$225:$Z$225,0))</f>
        <v>0.18099999999999999</v>
      </c>
      <c r="W23" s="9">
        <f>INDEX(TeamAdvBatting!$A:$Z,MATCH($A23,TeamAdvBatting!$A:$A,0),MATCH(W$2,TeamAdvBatting!$A$225:$Z$225,0))</f>
        <v>114.5</v>
      </c>
      <c r="X23" s="78">
        <f>INDEX(BattingRatios!$A$225:$Q$256,MATCH($A23,BattingRatios!$A$225:$A$256,0),MATCH(X$2,BattingRatios!$A$225:$Q$225,0))</f>
        <v>3.4000000000000002E-2</v>
      </c>
      <c r="Y23" s="78">
        <f>INDEX(BattingRatios!$A$225:$Q$256,MATCH($A23,BattingRatios!$A$225:$A$256,0),MATCH(Y$2,BattingRatios!$A$225:$Q$225,0))</f>
        <v>0.23200000000000001</v>
      </c>
      <c r="Z23" s="78">
        <f>INDEX(BattingRatios!$A$225:$Q$256,MATCH($A23,BattingRatios!$A$225:$A$256,0),MATCH(Z$2,BattingRatios!$A$225:$Q$225,0))</f>
        <v>0.09</v>
      </c>
      <c r="AA23" s="78">
        <f>INDEX(BattingRatios!$A$225:$Q$256,MATCH($A23,BattingRatios!$A$225:$A$256,0),MATCH(AA$2,BattingRatios!$A$225:$Q$225,0))</f>
        <v>8.7999999999999995E-2</v>
      </c>
      <c r="AB23" s="78">
        <f>INDEX(BattingRatios!$A$225:$Q$256,MATCH($A23,BattingRatios!$A$225:$A$256,0),MATCH(AB$2,BattingRatios!$A$225:$Q$225,0))</f>
        <v>0.4</v>
      </c>
      <c r="AC23" s="78">
        <f>INDEX(BattingRatios!$A$225:$Q$256,MATCH($A23,BattingRatios!$A$225:$A$256,0),MATCH(AC$2,BattingRatios!$A$225:$Q$225,0))</f>
        <v>0.75</v>
      </c>
      <c r="AD23" s="78">
        <f>INDEX(BattingRatios!$A$225:$Q$256,MATCH($A23,BattingRatios!$A$225:$A$256,0),MATCH(AD$2,BattingRatios!$A$225:$Q$225,0))</f>
        <v>0.99</v>
      </c>
      <c r="AE23" s="78">
        <f>INDEX(BattingRatios!$A$225:$Q$256,MATCH($A23,BattingRatios!$A$225:$A$256,0),MATCH(AE$2,BattingRatios!$A$225:$Q$225,0))</f>
        <v>0.63</v>
      </c>
      <c r="AF23" s="78">
        <f>INDEX(BattingRatios!$A$225:$Q$256,MATCH($A23,BattingRatios!$A$225:$A$256,0),MATCH(AF$2,BattingRatios!$A$225:$Q$225,0))</f>
        <v>0.25</v>
      </c>
      <c r="AG23" s="78">
        <f>INDEX(BattingRatios!$A$225:$Q$256,MATCH($A23,BattingRatios!$A$225:$A$256,0),MATCH(AG$2,BattingRatios!$A$225:$Q$225,0))</f>
        <v>0.106</v>
      </c>
      <c r="AH23" s="78">
        <f>INDEX(BattingRatios!$A$225:$Q$256,MATCH($A23,BattingRatios!$A$225:$A$256,0),MATCH(AH$2,BattingRatios!$A$225:$Q$225,0))</f>
        <v>0.14000000000000001</v>
      </c>
      <c r="AI23" s="81">
        <f>INDEX(PitchingRatios!$A$225:$S$256,MATCH($A23,PitchingRatios!$A$225:$A$256,0),MATCH(AI$2,PitchingRatios!$A$225:$S$225,0))</f>
        <v>4.1000000000000002E-2</v>
      </c>
      <c r="AJ23" s="81">
        <f>INDEX(PitchingRatios!$A$225:$S$256,MATCH($A23,PitchingRatios!$A$225:$A$256,0),MATCH(AJ$2,PitchingRatios!$A$225:$S$225,0))</f>
        <v>0.222</v>
      </c>
      <c r="AK23" s="81">
        <f>INDEX(PitchingRatios!$A$225:$S$256,MATCH($A23,PitchingRatios!$A$225:$A$256,0),MATCH(AK$2,PitchingRatios!$A$225:$S$225,0))</f>
        <v>8.6999999999999994E-2</v>
      </c>
      <c r="AL23" s="81">
        <f>INDEX(PitchingRatios!$A$225:$S$256,MATCH($A23,PitchingRatios!$A$225:$A$256,0),MATCH(AL$2,PitchingRatios!$A$225:$S$225,0))</f>
        <v>8.5000000000000006E-2</v>
      </c>
      <c r="AM23" s="81">
        <f>INDEX(PitchingRatios!$A$225:$S$256,MATCH($A23,PitchingRatios!$A$225:$A$256,0),MATCH(AM$2,PitchingRatios!$A$225:$S$225,0))</f>
        <v>0.37</v>
      </c>
      <c r="AN23" s="81">
        <f>INDEX(PitchingRatios!$A$225:$S$256,MATCH($A23,PitchingRatios!$A$225:$A$256,0),MATCH(AN$2,PitchingRatios!$A$225:$S$225,0))</f>
        <v>0.77</v>
      </c>
      <c r="AO23" s="81">
        <f>INDEX(PitchingRatios!$A$225:$S$256,MATCH($A23,PitchingRatios!$A$225:$A$256,0),MATCH(AO$2,PitchingRatios!$A$225:$S$225,0))</f>
        <v>1.08</v>
      </c>
      <c r="AP23" s="81">
        <f>INDEX(PitchingRatios!$A$225:$S$256,MATCH($A23,PitchingRatios!$A$225:$A$256,0),MATCH(AP$2,PitchingRatios!$A$225:$S$225,0))</f>
        <v>0.63</v>
      </c>
      <c r="AQ23" s="81">
        <f>INDEX(PitchingRatios!$A$225:$S$256,MATCH($A23,PitchingRatios!$A$225:$A$256,0),MATCH(AQ$2,PitchingRatios!$A$225:$S$225,0))</f>
        <v>0.26</v>
      </c>
      <c r="AR23" s="81">
        <f>INDEX(PitchingRatios!$A$225:$S$256,MATCH($A23,PitchingRatios!$A$225:$A$256,0),MATCH(AR$2,PitchingRatios!$A$225:$S$225,0))</f>
        <v>0.122</v>
      </c>
      <c r="AS23" s="81">
        <f>INDEX(PitchingRatios!$A$225:$S$256,MATCH($A23,PitchingRatios!$A$225:$A$256,0),MATCH(AS$2,PitchingRatios!$A$225:$S$225,0))</f>
        <v>0.1</v>
      </c>
      <c r="AT23" s="7">
        <f>INDEX(TeamStandardPitching!$A:$AJ,MATCH($A23,TeamStandardPitching!$A:$A,0),MATCH(AT$2,TeamStandardPitching!$A$225:$AJ$225,0))</f>
        <v>34</v>
      </c>
      <c r="AU23" s="7">
        <f>INDEX(TeamStandardPitching!$A:$AJ,MATCH($A23,TeamStandardPitching!$A:$A,0),MATCH(AU$2,TeamStandardPitching!$A$225:$AJ$225,0))</f>
        <v>28.4</v>
      </c>
      <c r="AV23" s="7">
        <f>INDEX(TeamStandardPitching!$A:$AJ,MATCH($A23,TeamStandardPitching!$A:$A,0),MATCH(AV$2,TeamStandardPitching!$A$225:$AJ$225,0))</f>
        <v>4.9000000000000004</v>
      </c>
      <c r="AW23" s="7">
        <f>INDEX(TeamStandardPitching!$A:$AJ,MATCH($A23,TeamStandardPitching!$A:$A,0),MATCH(AW$2,TeamStandardPitching!$A$225:$AJ$225,0))</f>
        <v>258</v>
      </c>
      <c r="AX23" s="7">
        <f>INDEX(TeamStandardPitching!$A:$AJ,MATCH($A23,TeamStandardPitching!$A:$A,0),MATCH(AX$2,TeamStandardPitching!$A$225:$AJ$225,0))</f>
        <v>546</v>
      </c>
      <c r="AY23" s="7">
        <f>INDEX(TeamStandardPitching!$A:$AJ,MATCH($A23,TeamStandardPitching!$A:$A,0),MATCH(AY$2,TeamStandardPitching!$A$225:$AJ$225,0))</f>
        <v>38</v>
      </c>
      <c r="AZ23" s="7">
        <f>INDEX(TeamStandardPitching!$A:$AJ,MATCH($A23,TeamStandardPitching!$A:$A,0),MATCH(AZ$2,TeamStandardPitching!$A$225:$AJ$225,0))</f>
        <v>1392</v>
      </c>
      <c r="BA23" s="7">
        <f>INDEX(TeamStandardPitching!$A:$AJ,MATCH($A23,TeamStandardPitching!$A:$A,0),MATCH(BA$2,TeamStandardPitching!$A$225:$AJ$225,0))</f>
        <v>71</v>
      </c>
      <c r="BB23" s="7">
        <f>INDEX(TeamStandardPitching!$A:$AJ,MATCH($A23,TeamStandardPitching!$A:$A,0),MATCH(BB$2,TeamStandardPitching!$A$225:$AJ$225,0))</f>
        <v>7</v>
      </c>
      <c r="BC23" s="7">
        <f>INDEX(TeamStandardPitching!$A:$AJ,MATCH($A23,TeamStandardPitching!$A:$A,0),MATCH(BC$2,TeamStandardPitching!$A$225:$AJ$225,0))</f>
        <v>45</v>
      </c>
      <c r="BD23" s="7">
        <f>INDEX(TeamStandardPitching!$A:$AJ,MATCH($A23,TeamStandardPitching!$A:$A,0),MATCH(BD$2,TeamStandardPitching!$A$225:$AJ$225,0))</f>
        <v>6274</v>
      </c>
      <c r="BE23" s="7">
        <f>INDEX(TeamStandardPitching!$A:$AJ,MATCH($A23,TeamStandardPitching!$A:$A,0),MATCH(BE$2,TeamStandardPitching!$A$225:$AJ$225,0))</f>
        <v>100</v>
      </c>
      <c r="BF23" s="7">
        <f>INDEX(TeamStandardPitching!$A:$AJ,MATCH($A23,TeamStandardPitching!$A:$A,0),MATCH(BF$2,TeamStandardPitching!$A$225:$AJ$225,0))</f>
        <v>4.88</v>
      </c>
      <c r="BG23" s="7">
        <f>INDEX(TeamStandardPitching!$A:$AJ,MATCH($A23,TeamStandardPitching!$A:$A,0),MATCH(BG$2,TeamStandardPitching!$A$225:$AJ$225,0))</f>
        <v>1.3740000000000001</v>
      </c>
      <c r="BH23" s="7">
        <f>INDEX(TeamStandardPitching!$A:$AJ,MATCH($A23,TeamStandardPitching!$A:$A,0),MATCH(BH$2,TeamStandardPitching!$A$225:$AJ$225,0))</f>
        <v>9</v>
      </c>
      <c r="BI23" s="7">
        <f>INDEX(TeamStandardPitching!$A:$AJ,MATCH($A23,TeamStandardPitching!$A:$A,0),MATCH(BI$2,TeamStandardPitching!$A$225:$AJ$225,0))</f>
        <v>1.6</v>
      </c>
      <c r="BJ23" s="7">
        <f>INDEX(TeamStandardPitching!$A:$AJ,MATCH($A23,TeamStandardPitching!$A:$A,0),MATCH(BJ$2,TeamStandardPitching!$A$225:$AJ$225,0))</f>
        <v>3.4</v>
      </c>
      <c r="BK23" s="7">
        <f>INDEX(TeamStandardPitching!$A:$AJ,MATCH($A23,TeamStandardPitching!$A:$A,0),MATCH(BK$2,TeamStandardPitching!$A$225:$AJ$225,0))</f>
        <v>8.6</v>
      </c>
      <c r="BL23" s="7">
        <f>INDEX(TeamStandardPitching!$A:$AJ,MATCH($A23,TeamStandardPitching!$A:$A,0),MATCH(BL$2,TeamStandardPitching!$A$225:$AJ$225,0))</f>
        <v>2.5499999999999998</v>
      </c>
      <c r="BM23" s="7">
        <f>INDEX(TeamStandardPitching!$A:$AJ,MATCH($A23,TeamStandardPitching!$A:$A,0),MATCH(BM$2,TeamStandardPitching!$A$225:$AJ$225,0))</f>
        <v>1119</v>
      </c>
      <c r="BO23">
        <v>10.615559164371566</v>
      </c>
      <c r="BP23">
        <v>0.16744083562843812</v>
      </c>
      <c r="BQ23" t="e">
        <v>#N/A</v>
      </c>
      <c r="BR23" t="e">
        <v>#N/A</v>
      </c>
      <c r="BS23" t="e">
        <v>#N/A</v>
      </c>
      <c r="BT23" t="e">
        <v>#N/A</v>
      </c>
      <c r="BU23" t="e">
        <v>#N/A</v>
      </c>
      <c r="BV23" t="e">
        <v>#N/A</v>
      </c>
      <c r="BW23" t="e">
        <v>#N/A</v>
      </c>
      <c r="BX23" t="e">
        <v>#N/A</v>
      </c>
      <c r="BY23" t="e">
        <v>#N/A</v>
      </c>
      <c r="BZ23" t="e">
        <v>#N/A</v>
      </c>
    </row>
    <row r="24" spans="1:78" x14ac:dyDescent="0.25">
      <c r="A24" t="s">
        <v>14</v>
      </c>
      <c r="B24" t="s">
        <v>243</v>
      </c>
      <c r="D24">
        <f>INDEX(Scores!$B$1:$G$31,MATCH($A24,Scores!$B$1:$B$31,0),MATCH(D$2,Scores!$B$1:$G$1,0))</f>
        <v>4.6913580246913584</v>
      </c>
      <c r="E24">
        <f>INDEX(Scores!$B$1:$G$31,MATCH($A24,Scores!$B$1:$B$31,0),MATCH(E$2,Scores!$B$1:$G$1,0))</f>
        <v>3.1255299809699117</v>
      </c>
      <c r="F24">
        <f>INDEX(Scores!$B$1:$G$31,MATCH($A24,Scores!$B$1:$B$31,0),MATCH(F$2,Scores!$B$1:$G$1,0))</f>
        <v>4.6842105263157894</v>
      </c>
      <c r="G24">
        <f>INDEX(Scores!$B$1:$G$31,MATCH($A24,Scores!$B$1:$B$31,0),MATCH(G$2,Scores!$B$1:$G$1,0))</f>
        <v>3.5733315072830605</v>
      </c>
      <c r="H24" s="9">
        <f>INDEX(TeamAdvBatting!$A:$Z,MATCH($A24,TeamAdvBatting!$A:$A,0),MATCH(H$2,TeamAdvBatting!$A$225:$Z$225,0))</f>
        <v>4.68</v>
      </c>
      <c r="I24" s="9">
        <f>INDEX(TeamAdvBatting!$A:$Z,MATCH($A24,TeamAdvBatting!$A:$A,0),MATCH(I$2,TeamAdvBatting!$A$225:$Z$225,0))</f>
        <v>4389</v>
      </c>
      <c r="J24" s="9">
        <f>INDEX(TeamAdvBatting!$A:$Z,MATCH($A24,TeamAdvBatting!$A:$A,0),MATCH(J$2,TeamAdvBatting!$A$225:$Z$225,0))</f>
        <v>782</v>
      </c>
      <c r="K24" s="9">
        <f>INDEX(TeamAdvBatting!$A:$Z,MATCH($A24,TeamAdvBatting!$A:$A,0),MATCH(K$2,TeamAdvBatting!$A$225:$Z$225,0))</f>
        <v>4.8</v>
      </c>
      <c r="L24" s="9">
        <f>INDEX(TeamAdvBatting!$A:$Z,MATCH($A24,TeamAdvBatting!$A:$A,0),MATCH(L$2,TeamAdvBatting!$A$225:$Z$225,0))</f>
        <v>106</v>
      </c>
      <c r="M24" s="9">
        <f>INDEX(TeamAdvBatting!$A:$Z,MATCH($A24,TeamAdvBatting!$A:$A,0),MATCH(M$2,TeamAdvBatting!$A$225:$Z$225,0))</f>
        <v>0.309</v>
      </c>
      <c r="N24" s="9">
        <f>INDEX(TeamAdvBatting!$A:$Z,MATCH($A24,TeamAdvBatting!$A:$A,0),MATCH(N$2,TeamAdvBatting!$A$225:$Z$225,0))</f>
        <v>0.32100000000000001</v>
      </c>
      <c r="O24" s="9">
        <f>INDEX(TeamAdvBatting!$A:$Z,MATCH($A24,TeamAdvBatting!$A:$A,0),MATCH(O$2,TeamAdvBatting!$A$225:$Z$225,0))</f>
        <v>0.42</v>
      </c>
      <c r="P24" s="9">
        <f>INDEX(TeamAdvBatting!$A:$Z,MATCH($A24,TeamAdvBatting!$A:$A,0),MATCH(P$2,TeamAdvBatting!$A$225:$Z$225,0))</f>
        <v>95</v>
      </c>
      <c r="Q24" s="9">
        <f>INDEX(TeamAdvBatting!$A:$Z,MATCH($A24,TeamAdvBatting!$A:$A,0),MATCH(Q$2,TeamAdvBatting!$A$225:$Z$225,0))</f>
        <v>0.48199999999999998</v>
      </c>
      <c r="R24" s="9">
        <f>INDEX(TeamAdvBatting!$A:$Z,MATCH($A24,TeamAdvBatting!$A:$A,0),MATCH(R$2,TeamAdvBatting!$A$225:$Z$225,0))</f>
        <v>-41.1</v>
      </c>
      <c r="S24" s="9">
        <f>INDEX(TeamAdvBatting!$A:$Z,MATCH($A24,TeamAdvBatting!$A:$A,0),MATCH(S$2,TeamAdvBatting!$A$225:$Z$225,0))</f>
        <v>-4.0999999999999996</v>
      </c>
      <c r="T24" s="9">
        <f>INDEX(TeamAdvBatting!$A:$Z,MATCH($A24,TeamAdvBatting!$A:$A,0),MATCH(T$2,TeamAdvBatting!$A$225:$Z$225,0))</f>
        <v>0.68</v>
      </c>
      <c r="U24" s="9">
        <f>INDEX(TeamAdvBatting!$A:$Z,MATCH($A24,TeamAdvBatting!$A:$A,0),MATCH(U$2,TeamAdvBatting!$A$225:$Z$225,0))</f>
        <v>0.23699999999999999</v>
      </c>
      <c r="V24" s="9">
        <f>INDEX(TeamAdvBatting!$A:$Z,MATCH($A24,TeamAdvBatting!$A:$A,0),MATCH(V$2,TeamAdvBatting!$A$225:$Z$225,0))</f>
        <v>0.156</v>
      </c>
      <c r="W24" s="9">
        <f>INDEX(TeamAdvBatting!$A:$Z,MATCH($A24,TeamAdvBatting!$A:$A,0),MATCH(W$2,TeamAdvBatting!$A$225:$Z$225,0))</f>
        <v>91.9</v>
      </c>
      <c r="X24" s="78">
        <f>INDEX(BattingRatios!$A$225:$Q$256,MATCH($A24,BattingRatios!$A$225:$A$256,0),MATCH(X$2,BattingRatios!$A$225:$Q$225,0))</f>
        <v>2.5999999999999999E-2</v>
      </c>
      <c r="Y24" s="78">
        <f>INDEX(BattingRatios!$A$225:$Q$256,MATCH($A24,BattingRatios!$A$225:$A$256,0),MATCH(Y$2,BattingRatios!$A$225:$Q$225,0))</f>
        <v>0.19500000000000001</v>
      </c>
      <c r="Z24" s="78">
        <f>INDEX(BattingRatios!$A$225:$Q$256,MATCH($A24,BattingRatios!$A$225:$A$256,0),MATCH(Z$2,BattingRatios!$A$225:$Q$225,0))</f>
        <v>6.8000000000000005E-2</v>
      </c>
      <c r="AA24" s="78">
        <f>INDEX(BattingRatios!$A$225:$Q$256,MATCH($A24,BattingRatios!$A$225:$A$256,0),MATCH(AA$2,BattingRatios!$A$225:$Q$225,0))</f>
        <v>8.3000000000000004E-2</v>
      </c>
      <c r="AB24" s="78">
        <f>INDEX(BattingRatios!$A$225:$Q$256,MATCH($A24,BattingRatios!$A$225:$A$256,0),MATCH(AB$2,BattingRatios!$A$225:$Q$225,0))</f>
        <v>0.35</v>
      </c>
      <c r="AC24" s="78">
        <f>INDEX(BattingRatios!$A$225:$Q$256,MATCH($A24,BattingRatios!$A$225:$A$256,0),MATCH(AC$2,BattingRatios!$A$225:$Q$225,0))</f>
        <v>0.88</v>
      </c>
      <c r="AD24" s="78">
        <f>INDEX(BattingRatios!$A$225:$Q$256,MATCH($A24,BattingRatios!$A$225:$A$256,0),MATCH(AD$2,BattingRatios!$A$225:$Q$225,0))</f>
        <v>1.24</v>
      </c>
      <c r="AE24" s="78">
        <f>INDEX(BattingRatios!$A$225:$Q$256,MATCH($A24,BattingRatios!$A$225:$A$256,0),MATCH(AE$2,BattingRatios!$A$225:$Q$225,0))</f>
        <v>0.69</v>
      </c>
      <c r="AF24" s="78">
        <f>INDEX(BattingRatios!$A$225:$Q$256,MATCH($A24,BattingRatios!$A$225:$A$256,0),MATCH(AF$2,BattingRatios!$A$225:$Q$225,0))</f>
        <v>0.26</v>
      </c>
      <c r="AG24" s="78">
        <f>INDEX(BattingRatios!$A$225:$Q$256,MATCH($A24,BattingRatios!$A$225:$A$256,0),MATCH(AG$2,BattingRatios!$A$225:$Q$225,0))</f>
        <v>7.6999999999999999E-2</v>
      </c>
      <c r="AH24" s="78">
        <f>INDEX(BattingRatios!$A$225:$Q$256,MATCH($A24,BattingRatios!$A$225:$A$256,0),MATCH(AH$2,BattingRatios!$A$225:$Q$225,0))</f>
        <v>0.1</v>
      </c>
      <c r="AI24" s="81">
        <f>INDEX(PitchingRatios!$A$225:$S$256,MATCH($A24,PitchingRatios!$A$225:$A$256,0),MATCH(AI$2,PitchingRatios!$A$225:$S$225,0))</f>
        <v>3.7999999999999999E-2</v>
      </c>
      <c r="AJ24" s="81">
        <f>INDEX(PitchingRatios!$A$225:$S$256,MATCH($A24,PitchingRatios!$A$225:$A$256,0),MATCH(AJ$2,PitchingRatios!$A$225:$S$225,0))</f>
        <v>0.22600000000000001</v>
      </c>
      <c r="AK24" s="81">
        <f>INDEX(PitchingRatios!$A$225:$S$256,MATCH($A24,PitchingRatios!$A$225:$A$256,0),MATCH(AK$2,PitchingRatios!$A$225:$S$225,0))</f>
        <v>9.0999999999999998E-2</v>
      </c>
      <c r="AL24" s="81">
        <f>INDEX(PitchingRatios!$A$225:$S$256,MATCH($A24,PitchingRatios!$A$225:$A$256,0),MATCH(AL$2,PitchingRatios!$A$225:$S$225,0))</f>
        <v>9.8000000000000004E-2</v>
      </c>
      <c r="AM24" s="81">
        <f>INDEX(PitchingRatios!$A$225:$S$256,MATCH($A24,PitchingRatios!$A$225:$A$256,0),MATCH(AM$2,PitchingRatios!$A$225:$S$225,0))</f>
        <v>0.41</v>
      </c>
      <c r="AN24" s="81">
        <f>INDEX(PitchingRatios!$A$225:$S$256,MATCH($A24,PitchingRatios!$A$225:$A$256,0),MATCH(AN$2,PitchingRatios!$A$225:$S$225,0))</f>
        <v>0.74</v>
      </c>
      <c r="AO24" s="81">
        <f>INDEX(PitchingRatios!$A$225:$S$256,MATCH($A24,PitchingRatios!$A$225:$A$256,0),MATCH(AO$2,PitchingRatios!$A$225:$S$225,0))</f>
        <v>1.08</v>
      </c>
      <c r="AP24" s="81">
        <f>INDEX(PitchingRatios!$A$225:$S$256,MATCH($A24,PitchingRatios!$A$225:$A$256,0),MATCH(AP$2,PitchingRatios!$A$225:$S$225,0))</f>
        <v>0.63</v>
      </c>
      <c r="AQ24" s="81">
        <f>INDEX(PitchingRatios!$A$225:$S$256,MATCH($A24,PitchingRatios!$A$225:$A$256,0),MATCH(AQ$2,PitchingRatios!$A$225:$S$225,0))</f>
        <v>0.25</v>
      </c>
      <c r="AR24" s="81">
        <f>INDEX(PitchingRatios!$A$225:$S$256,MATCH($A24,PitchingRatios!$A$225:$A$256,0),MATCH(AR$2,PitchingRatios!$A$225:$S$225,0))</f>
        <v>0.112</v>
      </c>
      <c r="AS24" s="81">
        <f>INDEX(PitchingRatios!$A$225:$S$256,MATCH($A24,PitchingRatios!$A$225:$A$256,0),MATCH(AS$2,PitchingRatios!$A$225:$S$225,0))</f>
        <v>0.11</v>
      </c>
      <c r="AT24" s="7">
        <f>INDEX(TeamStandardPitching!$A:$AJ,MATCH($A24,TeamStandardPitching!$A:$A,0),MATCH(AT$2,TeamStandardPitching!$A$225:$AJ$225,0))</f>
        <v>34</v>
      </c>
      <c r="AU24" s="7">
        <f>INDEX(TeamStandardPitching!$A:$AJ,MATCH($A24,TeamStandardPitching!$A:$A,0),MATCH(AU$2,TeamStandardPitching!$A$225:$AJ$225,0))</f>
        <v>27.2</v>
      </c>
      <c r="AV24" s="7">
        <f>INDEX(TeamStandardPitching!$A:$AJ,MATCH($A24,TeamStandardPitching!$A:$A,0),MATCH(AV$2,TeamStandardPitching!$A$225:$AJ$225,0))</f>
        <v>5.62</v>
      </c>
      <c r="AW24" s="7">
        <f>INDEX(TeamStandardPitching!$A:$AJ,MATCH($A24,TeamStandardPitching!$A:$A,0),MATCH(AW$2,TeamStandardPitching!$A$225:$AJ$225,0))</f>
        <v>241</v>
      </c>
      <c r="AX24" s="7">
        <f>INDEX(TeamStandardPitching!$A:$AJ,MATCH($A24,TeamStandardPitching!$A:$A,0),MATCH(AX$2,TeamStandardPitching!$A$225:$AJ$225,0))</f>
        <v>584</v>
      </c>
      <c r="AY24" s="7">
        <f>INDEX(TeamStandardPitching!$A:$AJ,MATCH($A24,TeamStandardPitching!$A:$A,0),MATCH(AY$2,TeamStandardPitching!$A$225:$AJ$225,0))</f>
        <v>22</v>
      </c>
      <c r="AZ24" s="7">
        <f>INDEX(TeamStandardPitching!$A:$AJ,MATCH($A24,TeamStandardPitching!$A:$A,0),MATCH(AZ$2,TeamStandardPitching!$A$225:$AJ$225,0))</f>
        <v>1443</v>
      </c>
      <c r="BA24" s="7">
        <f>INDEX(TeamStandardPitching!$A:$AJ,MATCH($A24,TeamStandardPitching!$A:$A,0),MATCH(BA$2,TeamStandardPitching!$A$225:$AJ$225,0))</f>
        <v>85</v>
      </c>
      <c r="BB24" s="7">
        <f>INDEX(TeamStandardPitching!$A:$AJ,MATCH($A24,TeamStandardPitching!$A:$A,0),MATCH(BB$2,TeamStandardPitching!$A$225:$AJ$225,0))</f>
        <v>4</v>
      </c>
      <c r="BC24" s="7">
        <f>INDEX(TeamStandardPitching!$A:$AJ,MATCH($A24,TeamStandardPitching!$A:$A,0),MATCH(BC$2,TeamStandardPitching!$A$225:$AJ$225,0))</f>
        <v>50</v>
      </c>
      <c r="BD24" s="7">
        <f>INDEX(TeamStandardPitching!$A:$AJ,MATCH($A24,TeamStandardPitching!$A:$A,0),MATCH(BD$2,TeamStandardPitching!$A$225:$AJ$225,0))</f>
        <v>6391</v>
      </c>
      <c r="BE24" s="7">
        <f>INDEX(TeamStandardPitching!$A:$AJ,MATCH($A24,TeamStandardPitching!$A:$A,0),MATCH(BE$2,TeamStandardPitching!$A$225:$AJ$225,0))</f>
        <v>83</v>
      </c>
      <c r="BF24" s="7">
        <f>INDEX(TeamStandardPitching!$A:$AJ,MATCH($A24,TeamStandardPitching!$A:$A,0),MATCH(BF$2,TeamStandardPitching!$A$225:$AJ$225,0))</f>
        <v>4.78</v>
      </c>
      <c r="BG24" s="7">
        <f>INDEX(TeamStandardPitching!$A:$AJ,MATCH($A24,TeamStandardPitching!$A:$A,0),MATCH(BG$2,TeamStandardPitching!$A$225:$AJ$225,0))</f>
        <v>1.4550000000000001</v>
      </c>
      <c r="BH24" s="7">
        <f>INDEX(TeamStandardPitching!$A:$AJ,MATCH($A24,TeamStandardPitching!$A:$A,0),MATCH(BH$2,TeamStandardPitching!$A$225:$AJ$225,0))</f>
        <v>9.4</v>
      </c>
      <c r="BI24" s="7">
        <f>INDEX(TeamStandardPitching!$A:$AJ,MATCH($A24,TeamStandardPitching!$A:$A,0),MATCH(BI$2,TeamStandardPitching!$A$225:$AJ$225,0))</f>
        <v>1.5</v>
      </c>
      <c r="BJ24" s="7">
        <f>INDEX(TeamStandardPitching!$A:$AJ,MATCH($A24,TeamStandardPitching!$A:$A,0),MATCH(BJ$2,TeamStandardPitching!$A$225:$AJ$225,0))</f>
        <v>3.7</v>
      </c>
      <c r="BK24" s="7">
        <f>INDEX(TeamStandardPitching!$A:$AJ,MATCH($A24,TeamStandardPitching!$A:$A,0),MATCH(BK$2,TeamStandardPitching!$A$225:$AJ$225,0))</f>
        <v>9</v>
      </c>
      <c r="BL24" s="7">
        <f>INDEX(TeamStandardPitching!$A:$AJ,MATCH($A24,TeamStandardPitching!$A:$A,0),MATCH(BL$2,TeamStandardPitching!$A$225:$AJ$225,0))</f>
        <v>2.4700000000000002</v>
      </c>
      <c r="BM24" s="7">
        <f>INDEX(TeamStandardPitching!$A:$AJ,MATCH($A24,TeamStandardPitching!$A:$A,0),MATCH(BM$2,TeamStandardPitching!$A$225:$AJ$225,0))</f>
        <v>1160</v>
      </c>
    </row>
    <row r="25" spans="1:78" x14ac:dyDescent="0.25">
      <c r="A25" t="s">
        <v>26</v>
      </c>
      <c r="B25" t="s">
        <v>244</v>
      </c>
      <c r="D25">
        <f>INDEX(Scores!$B$1:$G$31,MATCH($A25,Scores!$B$1:$B$31,0),MATCH(D$2,Scores!$B$1:$G$1,0))</f>
        <v>4.6410256410256414</v>
      </c>
      <c r="E25">
        <f>INDEX(Scores!$B$1:$G$31,MATCH($A25,Scores!$B$1:$B$31,0),MATCH(E$2,Scores!$B$1:$G$1,0))</f>
        <v>3.6196555969274451</v>
      </c>
      <c r="F25">
        <f>INDEX(Scores!$B$1:$G$31,MATCH($A25,Scores!$B$1:$B$31,0),MATCH(F$2,Scores!$B$1:$G$1,0))</f>
        <v>3.8987341772151898</v>
      </c>
      <c r="G25">
        <f>INDEX(Scores!$B$1:$G$31,MATCH($A25,Scores!$B$1:$B$31,0),MATCH(G$2,Scores!$B$1:$G$1,0))</f>
        <v>2.314483493294055</v>
      </c>
      <c r="H25" s="9">
        <f>INDEX(TeamAdvBatting!$A:$Z,MATCH($A25,TeamAdvBatting!$A:$A,0),MATCH(H$2,TeamAdvBatting!$A$225:$Z$225,0))</f>
        <v>4.21</v>
      </c>
      <c r="I25" s="9">
        <f>INDEX(TeamAdvBatting!$A:$Z,MATCH($A25,TeamAdvBatting!$A:$A,0),MATCH(I$2,TeamAdvBatting!$A$225:$Z$225,0))</f>
        <v>4335</v>
      </c>
      <c r="J25" s="9">
        <f>INDEX(TeamAdvBatting!$A:$Z,MATCH($A25,TeamAdvBatting!$A:$A,0),MATCH(J$2,TeamAdvBatting!$A$225:$Z$225,0))</f>
        <v>697</v>
      </c>
      <c r="K25" s="9">
        <f>INDEX(TeamAdvBatting!$A:$Z,MATCH($A25,TeamAdvBatting!$A:$A,0),MATCH(K$2,TeamAdvBatting!$A$225:$Z$225,0))</f>
        <v>4.3</v>
      </c>
      <c r="L25" s="9">
        <f>INDEX(TeamAdvBatting!$A:$Z,MATCH($A25,TeamAdvBatting!$A:$A,0),MATCH(L$2,TeamAdvBatting!$A$225:$Z$225,0))</f>
        <v>106</v>
      </c>
      <c r="M25" s="9">
        <f>INDEX(TeamAdvBatting!$A:$Z,MATCH($A25,TeamAdvBatting!$A:$A,0),MATCH(M$2,TeamAdvBatting!$A$225:$Z$225,0))</f>
        <v>0.29299999999999998</v>
      </c>
      <c r="N25" s="9">
        <f>INDEX(TeamAdvBatting!$A:$Z,MATCH($A25,TeamAdvBatting!$A:$A,0),MATCH(N$2,TeamAdvBatting!$A$225:$Z$225,0))</f>
        <v>0.308</v>
      </c>
      <c r="O25" s="9">
        <f>INDEX(TeamAdvBatting!$A:$Z,MATCH($A25,TeamAdvBatting!$A:$A,0),MATCH(O$2,TeamAdvBatting!$A$225:$Z$225,0))</f>
        <v>0.41</v>
      </c>
      <c r="P25" s="9">
        <f>INDEX(TeamAdvBatting!$A:$Z,MATCH($A25,TeamAdvBatting!$A:$A,0),MATCH(P$2,TeamAdvBatting!$A$225:$Z$225,0))</f>
        <v>89</v>
      </c>
      <c r="Q25" s="9">
        <f>INDEX(TeamAdvBatting!$A:$Z,MATCH($A25,TeamAdvBatting!$A:$A,0),MATCH(Q$2,TeamAdvBatting!$A$225:$Z$225,0))</f>
        <v>0.436</v>
      </c>
      <c r="R25" s="9">
        <f>INDEX(TeamAdvBatting!$A:$Z,MATCH($A25,TeamAdvBatting!$A:$A,0),MATCH(R$2,TeamAdvBatting!$A$225:$Z$225,0))</f>
        <v>-87</v>
      </c>
      <c r="S25" s="9">
        <f>INDEX(TeamAdvBatting!$A:$Z,MATCH($A25,TeamAdvBatting!$A:$A,0),MATCH(S$2,TeamAdvBatting!$A$225:$Z$225,0))</f>
        <v>-8.4</v>
      </c>
      <c r="T25" s="9">
        <f>INDEX(TeamAdvBatting!$A:$Z,MATCH($A25,TeamAdvBatting!$A:$A,0),MATCH(T$2,TeamAdvBatting!$A$225:$Z$225,0))</f>
        <v>0.66500000000000004</v>
      </c>
      <c r="U25" s="9">
        <f>INDEX(TeamAdvBatting!$A:$Z,MATCH($A25,TeamAdvBatting!$A:$A,0),MATCH(U$2,TeamAdvBatting!$A$225:$Z$225,0))</f>
        <v>0.27200000000000002</v>
      </c>
      <c r="V25" s="9">
        <f>INDEX(TeamAdvBatting!$A:$Z,MATCH($A25,TeamAdvBatting!$A:$A,0),MATCH(V$2,TeamAdvBatting!$A$225:$Z$225,0))</f>
        <v>0.17199999999999999</v>
      </c>
      <c r="W25" s="9">
        <f>INDEX(TeamAdvBatting!$A:$Z,MATCH($A25,TeamAdvBatting!$A:$A,0),MATCH(W$2,TeamAdvBatting!$A$225:$Z$225,0))</f>
        <v>106.1</v>
      </c>
      <c r="X25" s="78">
        <f>INDEX(BattingRatios!$A$225:$Q$256,MATCH($A25,BattingRatios!$A$225:$A$256,0),MATCH(X$2,BattingRatios!$A$225:$Q$225,0))</f>
        <v>3.5999999999999997E-2</v>
      </c>
      <c r="Y25" s="78">
        <f>INDEX(BattingRatios!$A$225:$Q$256,MATCH($A25,BattingRatios!$A$225:$A$256,0),MATCH(Y$2,BattingRatios!$A$225:$Q$225,0))</f>
        <v>0.26300000000000001</v>
      </c>
      <c r="Z25" s="78">
        <f>INDEX(BattingRatios!$A$225:$Q$256,MATCH($A25,BattingRatios!$A$225:$A$256,0),MATCH(Z$2,BattingRatios!$A$225:$Q$225,0))</f>
        <v>8.4000000000000005E-2</v>
      </c>
      <c r="AA25" s="78">
        <f>INDEX(BattingRatios!$A$225:$Q$256,MATCH($A25,BattingRatios!$A$225:$A$256,0),MATCH(AA$2,BattingRatios!$A$225:$Q$225,0))</f>
        <v>7.8E-2</v>
      </c>
      <c r="AB25" s="78">
        <f>INDEX(BattingRatios!$A$225:$Q$256,MATCH($A25,BattingRatios!$A$225:$A$256,0),MATCH(AB$2,BattingRatios!$A$225:$Q$225,0))</f>
        <v>0.37</v>
      </c>
      <c r="AC25" s="78">
        <f>INDEX(BattingRatios!$A$225:$Q$256,MATCH($A25,BattingRatios!$A$225:$A$256,0),MATCH(AC$2,BattingRatios!$A$225:$Q$225,0))</f>
        <v>0.86</v>
      </c>
      <c r="AD25" s="78">
        <f>INDEX(BattingRatios!$A$225:$Q$256,MATCH($A25,BattingRatios!$A$225:$A$256,0),MATCH(AD$2,BattingRatios!$A$225:$Q$225,0))</f>
        <v>1.19</v>
      </c>
      <c r="AE25" s="78">
        <f>INDEX(BattingRatios!$A$225:$Q$256,MATCH($A25,BattingRatios!$A$225:$A$256,0),MATCH(AE$2,BattingRatios!$A$225:$Q$225,0))</f>
        <v>0.6</v>
      </c>
      <c r="AF25" s="78">
        <f>INDEX(BattingRatios!$A$225:$Q$256,MATCH($A25,BattingRatios!$A$225:$A$256,0),MATCH(AF$2,BattingRatios!$A$225:$Q$225,0))</f>
        <v>0.22</v>
      </c>
      <c r="AG25" s="78">
        <f>INDEX(BattingRatios!$A$225:$Q$256,MATCH($A25,BattingRatios!$A$225:$A$256,0),MATCH(AG$2,BattingRatios!$A$225:$Q$225,0))</f>
        <v>0.123</v>
      </c>
      <c r="AH25" s="78">
        <f>INDEX(BattingRatios!$A$225:$Q$256,MATCH($A25,BattingRatios!$A$225:$A$256,0),MATCH(AH$2,BattingRatios!$A$225:$Q$225,0))</f>
        <v>0.13</v>
      </c>
      <c r="AI25" s="81">
        <f>INDEX(PitchingRatios!$A$225:$S$256,MATCH($A25,PitchingRatios!$A$225:$A$256,0),MATCH(AI$2,PitchingRatios!$A$225:$S$225,0))</f>
        <v>3.5000000000000003E-2</v>
      </c>
      <c r="AJ25" s="81">
        <f>INDEX(PitchingRatios!$A$225:$S$256,MATCH($A25,PitchingRatios!$A$225:$A$256,0),MATCH(AJ$2,PitchingRatios!$A$225:$S$225,0))</f>
        <v>0.23899999999999999</v>
      </c>
      <c r="AK25" s="81">
        <f>INDEX(PitchingRatios!$A$225:$S$256,MATCH($A25,PitchingRatios!$A$225:$A$256,0),MATCH(AK$2,PitchingRatios!$A$225:$S$225,0))</f>
        <v>7.4999999999999997E-2</v>
      </c>
      <c r="AL25" s="81">
        <f>INDEX(PitchingRatios!$A$225:$S$256,MATCH($A25,PitchingRatios!$A$225:$A$256,0),MATCH(AL$2,PitchingRatios!$A$225:$S$225,0))</f>
        <v>8.7999999999999995E-2</v>
      </c>
      <c r="AM25" s="81">
        <f>INDEX(PitchingRatios!$A$225:$S$256,MATCH($A25,PitchingRatios!$A$225:$A$256,0),MATCH(AM$2,PitchingRatios!$A$225:$S$225,0))</f>
        <v>0.39</v>
      </c>
      <c r="AN25" s="81">
        <f>INDEX(PitchingRatios!$A$225:$S$256,MATCH($A25,PitchingRatios!$A$225:$A$256,0),MATCH(AN$2,PitchingRatios!$A$225:$S$225,0))</f>
        <v>0.77</v>
      </c>
      <c r="AO25" s="81">
        <f>INDEX(PitchingRatios!$A$225:$S$256,MATCH($A25,PitchingRatios!$A$225:$A$256,0),MATCH(AO$2,PitchingRatios!$A$225:$S$225,0))</f>
        <v>1.01</v>
      </c>
      <c r="AP25" s="81">
        <f>INDEX(PitchingRatios!$A$225:$S$256,MATCH($A25,PitchingRatios!$A$225:$A$256,0),MATCH(AP$2,PitchingRatios!$A$225:$S$225,0))</f>
        <v>0.63</v>
      </c>
      <c r="AQ25" s="81">
        <f>INDEX(PitchingRatios!$A$225:$S$256,MATCH($A25,PitchingRatios!$A$225:$A$256,0),MATCH(AQ$2,PitchingRatios!$A$225:$S$225,0))</f>
        <v>0.25</v>
      </c>
      <c r="AR25" s="81">
        <f>INDEX(PitchingRatios!$A$225:$S$256,MATCH($A25,PitchingRatios!$A$225:$A$256,0),MATCH(AR$2,PitchingRatios!$A$225:$S$225,0))</f>
        <v>0.104</v>
      </c>
      <c r="AS25" s="81">
        <f>INDEX(PitchingRatios!$A$225:$S$256,MATCH($A25,PitchingRatios!$A$225:$A$256,0),MATCH(AS$2,PitchingRatios!$A$225:$S$225,0))</f>
        <v>0.1</v>
      </c>
      <c r="AT25" s="7">
        <f>INDEX(TeamStandardPitching!$A:$AJ,MATCH($A25,TeamStandardPitching!$A:$A,0),MATCH(AT$2,TeamStandardPitching!$A$225:$AJ$225,0))</f>
        <v>34</v>
      </c>
      <c r="AU25" s="7">
        <f>INDEX(TeamStandardPitching!$A:$AJ,MATCH($A25,TeamStandardPitching!$A:$A,0),MATCH(AU$2,TeamStandardPitching!$A$225:$AJ$225,0))</f>
        <v>26.3</v>
      </c>
      <c r="AV25" s="7">
        <f>INDEX(TeamStandardPitching!$A:$AJ,MATCH($A25,TeamStandardPitching!$A:$A,0),MATCH(AV$2,TeamStandardPitching!$A$225:$AJ$225,0))</f>
        <v>4.87</v>
      </c>
      <c r="AW25" s="7">
        <f>INDEX(TeamStandardPitching!$A:$AJ,MATCH($A25,TeamStandardPitching!$A:$A,0),MATCH(AW$2,TeamStandardPitching!$A$225:$AJ$225,0))</f>
        <v>215</v>
      </c>
      <c r="AX25" s="7">
        <f>INDEX(TeamStandardPitching!$A:$AJ,MATCH($A25,TeamStandardPitching!$A:$A,0),MATCH(AX$2,TeamStandardPitching!$A$225:$AJ$225,0))</f>
        <v>463</v>
      </c>
      <c r="AY25" s="7">
        <f>INDEX(TeamStandardPitching!$A:$AJ,MATCH($A25,TeamStandardPitching!$A:$A,0),MATCH(AY$2,TeamStandardPitching!$A$225:$AJ$225,0))</f>
        <v>19</v>
      </c>
      <c r="AZ25" s="7">
        <f>INDEX(TeamStandardPitching!$A:$AJ,MATCH($A25,TeamStandardPitching!$A:$A,0),MATCH(AZ$2,TeamStandardPitching!$A$225:$AJ$225,0))</f>
        <v>1475</v>
      </c>
      <c r="BA25" s="7">
        <f>INDEX(TeamStandardPitching!$A:$AJ,MATCH($A25,TeamStandardPitching!$A:$A,0),MATCH(BA$2,TeamStandardPitching!$A$225:$AJ$225,0))</f>
        <v>68</v>
      </c>
      <c r="BB25" s="7">
        <f>INDEX(TeamStandardPitching!$A:$AJ,MATCH($A25,TeamStandardPitching!$A:$A,0),MATCH(BB$2,TeamStandardPitching!$A$225:$AJ$225,0))</f>
        <v>6</v>
      </c>
      <c r="BC25" s="7">
        <f>INDEX(TeamStandardPitching!$A:$AJ,MATCH($A25,TeamStandardPitching!$A:$A,0),MATCH(BC$2,TeamStandardPitching!$A$225:$AJ$225,0))</f>
        <v>60</v>
      </c>
      <c r="BD25" s="7">
        <f>INDEX(TeamStandardPitching!$A:$AJ,MATCH($A25,TeamStandardPitching!$A:$A,0),MATCH(BD$2,TeamStandardPitching!$A$225:$AJ$225,0))</f>
        <v>6160</v>
      </c>
      <c r="BE25" s="7">
        <f>INDEX(TeamStandardPitching!$A:$AJ,MATCH($A25,TeamStandardPitching!$A:$A,0),MATCH(BE$2,TeamStandardPitching!$A$225:$AJ$225,0))</f>
        <v>92</v>
      </c>
      <c r="BF25" s="7">
        <f>INDEX(TeamStandardPitching!$A:$AJ,MATCH($A25,TeamStandardPitching!$A:$A,0),MATCH(BF$2,TeamStandardPitching!$A$225:$AJ$225,0))</f>
        <v>4.22</v>
      </c>
      <c r="BG25" s="7">
        <f>INDEX(TeamStandardPitching!$A:$AJ,MATCH($A25,TeamStandardPitching!$A:$A,0),MATCH(BG$2,TeamStandardPitching!$A$225:$AJ$225,0))</f>
        <v>1.2969999999999999</v>
      </c>
      <c r="BH25" s="7">
        <f>INDEX(TeamStandardPitching!$A:$AJ,MATCH($A25,TeamStandardPitching!$A:$A,0),MATCH(BH$2,TeamStandardPitching!$A$225:$AJ$225,0))</f>
        <v>8.8000000000000007</v>
      </c>
      <c r="BI25" s="7">
        <f>INDEX(TeamStandardPitching!$A:$AJ,MATCH($A25,TeamStandardPitching!$A:$A,0),MATCH(BI$2,TeamStandardPitching!$A$225:$AJ$225,0))</f>
        <v>1.4</v>
      </c>
      <c r="BJ25" s="7">
        <f>INDEX(TeamStandardPitching!$A:$AJ,MATCH($A25,TeamStandardPitching!$A:$A,0),MATCH(BJ$2,TeamStandardPitching!$A$225:$AJ$225,0))</f>
        <v>2.9</v>
      </c>
      <c r="BK25" s="7">
        <f>INDEX(TeamStandardPitching!$A:$AJ,MATCH($A25,TeamStandardPitching!$A:$A,0),MATCH(BK$2,TeamStandardPitching!$A$225:$AJ$225,0))</f>
        <v>9.3000000000000007</v>
      </c>
      <c r="BL25" s="7">
        <f>INDEX(TeamStandardPitching!$A:$AJ,MATCH($A25,TeamStandardPitching!$A:$A,0),MATCH(BL$2,TeamStandardPitching!$A$225:$AJ$225,0))</f>
        <v>3.19</v>
      </c>
      <c r="BM25" s="7">
        <f>INDEX(TeamStandardPitching!$A:$AJ,MATCH($A25,TeamStandardPitching!$A:$A,0),MATCH(BM$2,TeamStandardPitching!$A$225:$AJ$225,0))</f>
        <v>1075</v>
      </c>
      <c r="BO25" s="97" t="s">
        <v>1543</v>
      </c>
      <c r="BP25" s="97"/>
      <c r="BQ25" s="97"/>
      <c r="BR25" s="97"/>
      <c r="BS25" s="97"/>
      <c r="BT25" s="97"/>
      <c r="BU25" s="97"/>
      <c r="BV25" s="97"/>
      <c r="BW25" s="97"/>
      <c r="BX25" s="97"/>
      <c r="BY25" s="97"/>
      <c r="BZ25" s="97"/>
    </row>
    <row r="26" spans="1:78" x14ac:dyDescent="0.25">
      <c r="A26" t="s">
        <v>1</v>
      </c>
      <c r="B26" t="s">
        <v>245</v>
      </c>
      <c r="D26">
        <f>INDEX(Scores!$B$1:$G$31,MATCH($A26,Scores!$B$1:$B$31,0),MATCH(D$2,Scores!$B$1:$G$1,0))</f>
        <v>4.7721518987341769</v>
      </c>
      <c r="E26">
        <f>INDEX(Scores!$B$1:$G$31,MATCH($A26,Scores!$B$1:$B$31,0),MATCH(E$2,Scores!$B$1:$G$1,0))</f>
        <v>3.2799713146654255</v>
      </c>
      <c r="F26">
        <f>INDEX(Scores!$B$1:$G$31,MATCH($A26,Scores!$B$1:$B$31,0),MATCH(F$2,Scores!$B$1:$G$1,0))</f>
        <v>4.7236842105263159</v>
      </c>
      <c r="G26">
        <f>INDEX(Scores!$B$1:$G$31,MATCH($A26,Scores!$B$1:$B$31,0),MATCH(G$2,Scores!$B$1:$G$1,0))</f>
        <v>3.2509054779542264</v>
      </c>
      <c r="H26" s="9">
        <f>INDEX(TeamAdvBatting!$A:$Z,MATCH($A26,TeamAdvBatting!$A:$A,0),MATCH(H$2,TeamAdvBatting!$A$225:$Z$225,0))</f>
        <v>4.68</v>
      </c>
      <c r="I26" s="9">
        <f>INDEX(TeamAdvBatting!$A:$Z,MATCH($A26,TeamAdvBatting!$A:$A,0),MATCH(I$2,TeamAdvBatting!$A$225:$Z$225,0))</f>
        <v>4376</v>
      </c>
      <c r="J26" s="9">
        <f>INDEX(TeamAdvBatting!$A:$Z,MATCH($A26,TeamAdvBatting!$A:$A,0),MATCH(J$2,TeamAdvBatting!$A$225:$Z$225,0))</f>
        <v>766</v>
      </c>
      <c r="K26" s="9">
        <f>INDEX(TeamAdvBatting!$A:$Z,MATCH($A26,TeamAdvBatting!$A:$A,0),MATCH(K$2,TeamAdvBatting!$A$225:$Z$225,0))</f>
        <v>4.7</v>
      </c>
      <c r="L26" s="9">
        <f>INDEX(TeamAdvBatting!$A:$Z,MATCH($A26,TeamAdvBatting!$A:$A,0),MATCH(L$2,TeamAdvBatting!$A$225:$Z$225,0))</f>
        <v>100</v>
      </c>
      <c r="M26" s="9">
        <f>INDEX(TeamAdvBatting!$A:$Z,MATCH($A26,TeamAdvBatting!$A:$A,0),MATCH(M$2,TeamAdvBatting!$A$225:$Z$225,0))</f>
        <v>0.28699999999999998</v>
      </c>
      <c r="N26" s="9">
        <f>INDEX(TeamAdvBatting!$A:$Z,MATCH($A26,TeamAdvBatting!$A:$A,0),MATCH(N$2,TeamAdvBatting!$A$225:$Z$225,0))</f>
        <v>0.316</v>
      </c>
      <c r="O26" s="9">
        <f>INDEX(TeamAdvBatting!$A:$Z,MATCH($A26,TeamAdvBatting!$A:$A,0),MATCH(O$2,TeamAdvBatting!$A$225:$Z$225,0))</f>
        <v>0.42399999999999999</v>
      </c>
      <c r="P26" s="9">
        <f>INDEX(TeamAdvBatting!$A:$Z,MATCH($A26,TeamAdvBatting!$A:$A,0),MATCH(P$2,TeamAdvBatting!$A$225:$Z$225,0))</f>
        <v>100</v>
      </c>
      <c r="Q26" s="9">
        <f>INDEX(TeamAdvBatting!$A:$Z,MATCH($A26,TeamAdvBatting!$A:$A,0),MATCH(Q$2,TeamAdvBatting!$A$225:$Z$225,0))</f>
        <v>0.46899999999999997</v>
      </c>
      <c r="R26" s="9">
        <f>INDEX(TeamAdvBatting!$A:$Z,MATCH($A26,TeamAdvBatting!$A:$A,0),MATCH(R$2,TeamAdvBatting!$A$225:$Z$225,0))</f>
        <v>11</v>
      </c>
      <c r="S26" s="9">
        <f>INDEX(TeamAdvBatting!$A:$Z,MATCH($A26,TeamAdvBatting!$A:$A,0),MATCH(S$2,TeamAdvBatting!$A$225:$Z$225,0))</f>
        <v>0.9</v>
      </c>
      <c r="T26" s="9">
        <f>INDEX(TeamAdvBatting!$A:$Z,MATCH($A26,TeamAdvBatting!$A:$A,0),MATCH(T$2,TeamAdvBatting!$A$225:$Z$225,0))</f>
        <v>0.71499999999999997</v>
      </c>
      <c r="U26" s="9">
        <f>INDEX(TeamAdvBatting!$A:$Z,MATCH($A26,TeamAdvBatting!$A:$A,0),MATCH(U$2,TeamAdvBatting!$A$225:$Z$225,0))</f>
        <v>0.30599999999999999</v>
      </c>
      <c r="V26" s="9">
        <f>INDEX(TeamAdvBatting!$A:$Z,MATCH($A26,TeamAdvBatting!$A:$A,0),MATCH(V$2,TeamAdvBatting!$A$225:$Z$225,0))</f>
        <v>0.187</v>
      </c>
      <c r="W26" s="9">
        <f>INDEX(TeamAdvBatting!$A:$Z,MATCH($A26,TeamAdvBatting!$A:$A,0),MATCH(W$2,TeamAdvBatting!$A$225:$Z$225,0))</f>
        <v>155.30000000000001</v>
      </c>
      <c r="X26" s="78">
        <f>INDEX(BattingRatios!$A$225:$Q$256,MATCH($A26,BattingRatios!$A$225:$A$256,0),MATCH(X$2,BattingRatios!$A$225:$Q$225,0))</f>
        <v>3.9E-2</v>
      </c>
      <c r="Y26" s="78">
        <f>INDEX(BattingRatios!$A$225:$Q$256,MATCH($A26,BattingRatios!$A$225:$A$256,0),MATCH(Y$2,BattingRatios!$A$225:$Q$225,0))</f>
        <v>0.255</v>
      </c>
      <c r="Z26" s="78">
        <f>INDEX(BattingRatios!$A$225:$Q$256,MATCH($A26,BattingRatios!$A$225:$A$256,0),MATCH(Z$2,BattingRatios!$A$225:$Q$225,0))</f>
        <v>9.5000000000000001E-2</v>
      </c>
      <c r="AA26" s="78">
        <f>INDEX(BattingRatios!$A$225:$Q$256,MATCH($A26,BattingRatios!$A$225:$A$256,0),MATCH(AA$2,BattingRatios!$A$225:$Q$225,0))</f>
        <v>8.4000000000000005E-2</v>
      </c>
      <c r="AB26" s="78">
        <f>INDEX(BattingRatios!$A$225:$Q$256,MATCH($A26,BattingRatios!$A$225:$A$256,0),MATCH(AB$2,BattingRatios!$A$225:$Q$225,0))</f>
        <v>0.4</v>
      </c>
      <c r="AC26" s="78">
        <f>INDEX(BattingRatios!$A$225:$Q$256,MATCH($A26,BattingRatios!$A$225:$A$256,0),MATCH(AC$2,BattingRatios!$A$225:$Q$225,0))</f>
        <v>0.69</v>
      </c>
      <c r="AD26" s="78">
        <f>INDEX(BattingRatios!$A$225:$Q$256,MATCH($A26,BattingRatios!$A$225:$A$256,0),MATCH(AD$2,BattingRatios!$A$225:$Q$225,0))</f>
        <v>0.93</v>
      </c>
      <c r="AE26" s="78">
        <f>INDEX(BattingRatios!$A$225:$Q$256,MATCH($A26,BattingRatios!$A$225:$A$256,0),MATCH(AE$2,BattingRatios!$A$225:$Q$225,0))</f>
        <v>0.6</v>
      </c>
      <c r="AF26" s="78">
        <f>INDEX(BattingRatios!$A$225:$Q$256,MATCH($A26,BattingRatios!$A$225:$A$256,0),MATCH(AF$2,BattingRatios!$A$225:$Q$225,0))</f>
        <v>0.25</v>
      </c>
      <c r="AG26" s="78">
        <f>INDEX(BattingRatios!$A$225:$Q$256,MATCH($A26,BattingRatios!$A$225:$A$256,0),MATCH(AG$2,BattingRatios!$A$225:$Q$225,0))</f>
        <v>0.11799999999999999</v>
      </c>
      <c r="AH26" s="78">
        <f>INDEX(BattingRatios!$A$225:$Q$256,MATCH($A26,BattingRatios!$A$225:$A$256,0),MATCH(AH$2,BattingRatios!$A$225:$Q$225,0))</f>
        <v>0.13</v>
      </c>
      <c r="AI26" s="81">
        <f>INDEX(PitchingRatios!$A$225:$S$256,MATCH($A26,PitchingRatios!$A$225:$A$256,0),MATCH(AI$2,PitchingRatios!$A$225:$S$225,0))</f>
        <v>4.2000000000000003E-2</v>
      </c>
      <c r="AJ26" s="81">
        <f>INDEX(PitchingRatios!$A$225:$S$256,MATCH($A26,PitchingRatios!$A$225:$A$256,0),MATCH(AJ$2,PitchingRatios!$A$225:$S$225,0))</f>
        <v>0.19800000000000001</v>
      </c>
      <c r="AK26" s="81">
        <f>INDEX(PitchingRatios!$A$225:$S$256,MATCH($A26,PitchingRatios!$A$225:$A$256,0),MATCH(AK$2,PitchingRatios!$A$225:$S$225,0))</f>
        <v>8.1000000000000003E-2</v>
      </c>
      <c r="AL26" s="81">
        <f>INDEX(PitchingRatios!$A$225:$S$256,MATCH($A26,PitchingRatios!$A$225:$A$256,0),MATCH(AL$2,PitchingRatios!$A$225:$S$225,0))</f>
        <v>9.9000000000000005E-2</v>
      </c>
      <c r="AM26" s="81">
        <f>INDEX(PitchingRatios!$A$225:$S$256,MATCH($A26,PitchingRatios!$A$225:$A$256,0),MATCH(AM$2,PitchingRatios!$A$225:$S$225,0))</f>
        <v>0.42</v>
      </c>
      <c r="AN26" s="81">
        <f>INDEX(PitchingRatios!$A$225:$S$256,MATCH($A26,PitchingRatios!$A$225:$A$256,0),MATCH(AN$2,PitchingRatios!$A$225:$S$225,0))</f>
        <v>0.78</v>
      </c>
      <c r="AO26" s="81">
        <f>INDEX(PitchingRatios!$A$225:$S$256,MATCH($A26,PitchingRatios!$A$225:$A$256,0),MATCH(AO$2,PitchingRatios!$A$225:$S$225,0))</f>
        <v>1.05</v>
      </c>
      <c r="AP26" s="81">
        <f>INDEX(PitchingRatios!$A$225:$S$256,MATCH($A26,PitchingRatios!$A$225:$A$256,0),MATCH(AP$2,PitchingRatios!$A$225:$S$225,0))</f>
        <v>0.67</v>
      </c>
      <c r="AQ26" s="81">
        <f>INDEX(PitchingRatios!$A$225:$S$256,MATCH($A26,PitchingRatios!$A$225:$A$256,0),MATCH(AQ$2,PitchingRatios!$A$225:$S$225,0))</f>
        <v>0.25</v>
      </c>
      <c r="AR26" s="81">
        <f>INDEX(PitchingRatios!$A$225:$S$256,MATCH($A26,PitchingRatios!$A$225:$A$256,0),MATCH(AR$2,PitchingRatios!$A$225:$S$225,0))</f>
        <v>0.11799999999999999</v>
      </c>
      <c r="AS26" s="81">
        <f>INDEX(PitchingRatios!$A$225:$S$256,MATCH($A26,PitchingRatios!$A$225:$A$256,0),MATCH(AS$2,PitchingRatios!$A$225:$S$225,0))</f>
        <v>0.12</v>
      </c>
      <c r="AT26" s="7">
        <f>INDEX(TeamStandardPitching!$A:$AJ,MATCH($A26,TeamStandardPitching!$A:$A,0),MATCH(AT$2,TeamStandardPitching!$A$225:$AJ$225,0))</f>
        <v>42</v>
      </c>
      <c r="AU26" s="7">
        <f>INDEX(TeamStandardPitching!$A:$AJ,MATCH($A26,TeamStandardPitching!$A:$A,0),MATCH(AU$2,TeamStandardPitching!$A$225:$AJ$225,0))</f>
        <v>28.6</v>
      </c>
      <c r="AV26" s="7">
        <f>INDEX(TeamStandardPitching!$A:$AJ,MATCH($A26,TeamStandardPitching!$A:$A,0),MATCH(AV$2,TeamStandardPitching!$A$225:$AJ$225,0))</f>
        <v>5.51</v>
      </c>
      <c r="AW26" s="7">
        <f>INDEX(TeamStandardPitching!$A:$AJ,MATCH($A26,TeamStandardPitching!$A:$A,0),MATCH(AW$2,TeamStandardPitching!$A$225:$AJ$225,0))</f>
        <v>260</v>
      </c>
      <c r="AX26" s="7">
        <f>INDEX(TeamStandardPitching!$A:$AJ,MATCH($A26,TeamStandardPitching!$A:$A,0),MATCH(AX$2,TeamStandardPitching!$A$225:$AJ$225,0))</f>
        <v>505</v>
      </c>
      <c r="AY26" s="7">
        <f>INDEX(TeamStandardPitching!$A:$AJ,MATCH($A26,TeamStandardPitching!$A:$A,0),MATCH(AY$2,TeamStandardPitching!$A$225:$AJ$225,0))</f>
        <v>25</v>
      </c>
      <c r="AZ26" s="7">
        <f>INDEX(TeamStandardPitching!$A:$AJ,MATCH($A26,TeamStandardPitching!$A:$A,0),MATCH(AZ$2,TeamStandardPitching!$A$225:$AJ$225,0))</f>
        <v>1239</v>
      </c>
      <c r="BA26" s="7">
        <f>INDEX(TeamStandardPitching!$A:$AJ,MATCH($A26,TeamStandardPitching!$A:$A,0),MATCH(BA$2,TeamStandardPitching!$A$225:$AJ$225,0))</f>
        <v>51</v>
      </c>
      <c r="BB26" s="7">
        <f>INDEX(TeamStandardPitching!$A:$AJ,MATCH($A26,TeamStandardPitching!$A:$A,0),MATCH(BB$2,TeamStandardPitching!$A$225:$AJ$225,0))</f>
        <v>4</v>
      </c>
      <c r="BC26" s="7">
        <f>INDEX(TeamStandardPitching!$A:$AJ,MATCH($A26,TeamStandardPitching!$A:$A,0),MATCH(BC$2,TeamStandardPitching!$A$225:$AJ$225,0))</f>
        <v>75</v>
      </c>
      <c r="BD26" s="7">
        <f>INDEX(TeamStandardPitching!$A:$AJ,MATCH($A26,TeamStandardPitching!$A:$A,0),MATCH(BD$2,TeamStandardPitching!$A$225:$AJ$225,0))</f>
        <v>6268</v>
      </c>
      <c r="BE26" s="7">
        <f>INDEX(TeamStandardPitching!$A:$AJ,MATCH($A26,TeamStandardPitching!$A:$A,0),MATCH(BE$2,TeamStandardPitching!$A$225:$AJ$225,0))</f>
        <v>88</v>
      </c>
      <c r="BF26" s="7">
        <f>INDEX(TeamStandardPitching!$A:$AJ,MATCH($A26,TeamStandardPitching!$A:$A,0),MATCH(BF$2,TeamStandardPitching!$A$225:$AJ$225,0))</f>
        <v>5</v>
      </c>
      <c r="BG26" s="7">
        <f>INDEX(TeamStandardPitching!$A:$AJ,MATCH($A26,TeamStandardPitching!$A:$A,0),MATCH(BG$2,TeamStandardPitching!$A$225:$AJ$225,0))</f>
        <v>1.3819999999999999</v>
      </c>
      <c r="BH26" s="7">
        <f>INDEX(TeamStandardPitching!$A:$AJ,MATCH($A26,TeamStandardPitching!$A:$A,0),MATCH(BH$2,TeamStandardPitching!$A$225:$AJ$225,0))</f>
        <v>9.3000000000000007</v>
      </c>
      <c r="BI26" s="7">
        <f>INDEX(TeamStandardPitching!$A:$AJ,MATCH($A26,TeamStandardPitching!$A:$A,0),MATCH(BI$2,TeamStandardPitching!$A$225:$AJ$225,0))</f>
        <v>1.6</v>
      </c>
      <c r="BJ26" s="7">
        <f>INDEX(TeamStandardPitching!$A:$AJ,MATCH($A26,TeamStandardPitching!$A:$A,0),MATCH(BJ$2,TeamStandardPitching!$A$225:$AJ$225,0))</f>
        <v>3.2</v>
      </c>
      <c r="BK26" s="7">
        <f>INDEX(TeamStandardPitching!$A:$AJ,MATCH($A26,TeamStandardPitching!$A:$A,0),MATCH(BK$2,TeamStandardPitching!$A$225:$AJ$225,0))</f>
        <v>7.7</v>
      </c>
      <c r="BL26" s="7">
        <f>INDEX(TeamStandardPitching!$A:$AJ,MATCH($A26,TeamStandardPitching!$A:$A,0),MATCH(BL$2,TeamStandardPitching!$A$225:$AJ$225,0))</f>
        <v>2.4500000000000002</v>
      </c>
      <c r="BM26" s="7">
        <f>INDEX(TeamStandardPitching!$A:$AJ,MATCH($A26,TeamStandardPitching!$A:$A,0),MATCH(BM$2,TeamStandardPitching!$A$225:$AJ$225,0))</f>
        <v>1057</v>
      </c>
      <c r="BO26" t="s">
        <v>1527</v>
      </c>
      <c r="BP26" t="s">
        <v>1526</v>
      </c>
      <c r="BQ26" t="s">
        <v>1525</v>
      </c>
      <c r="BR26" t="s">
        <v>1524</v>
      </c>
      <c r="BS26" t="s">
        <v>1523</v>
      </c>
      <c r="BT26" t="s">
        <v>1522</v>
      </c>
      <c r="BU26" t="s">
        <v>1518</v>
      </c>
      <c r="BV26" t="s">
        <v>1517</v>
      </c>
      <c r="BW26" t="s">
        <v>1516</v>
      </c>
      <c r="BX26" t="s">
        <v>1515</v>
      </c>
      <c r="BY26" t="s">
        <v>1514</v>
      </c>
      <c r="BZ26" t="s">
        <v>267</v>
      </c>
    </row>
    <row r="27" spans="1:78" x14ac:dyDescent="0.25">
      <c r="A27" t="s">
        <v>25</v>
      </c>
      <c r="B27" t="s">
        <v>246</v>
      </c>
      <c r="D27">
        <f>INDEX(Scores!$B$1:$G$31,MATCH($A27,Scores!$B$1:$B$31,0),MATCH(D$2,Scores!$B$1:$G$1,0))</f>
        <v>5.0246913580246915</v>
      </c>
      <c r="E27">
        <f>INDEX(Scores!$B$1:$G$31,MATCH($A27,Scores!$B$1:$B$31,0),MATCH(E$2,Scores!$B$1:$G$1,0))</f>
        <v>4.0459560930896501</v>
      </c>
      <c r="F27">
        <f>INDEX(Scores!$B$1:$G$31,MATCH($A27,Scores!$B$1:$B$31,0),MATCH(F$2,Scores!$B$1:$G$1,0))</f>
        <v>3.4078947368421053</v>
      </c>
      <c r="G27">
        <f>INDEX(Scores!$B$1:$G$31,MATCH($A27,Scores!$B$1:$B$31,0),MATCH(G$2,Scores!$B$1:$G$1,0))</f>
        <v>2.1955555080479443</v>
      </c>
      <c r="H27" s="9">
        <f>INDEX(TeamAdvBatting!$A:$Z,MATCH($A27,TeamAdvBatting!$A:$A,0),MATCH(H$2,TeamAdvBatting!$A$225:$Z$225,0))</f>
        <v>4.1900000000000004</v>
      </c>
      <c r="I27" s="9">
        <f>INDEX(TeamAdvBatting!$A:$Z,MATCH($A27,TeamAdvBatting!$A:$A,0),MATCH(I$2,TeamAdvBatting!$A$225:$Z$225,0))</f>
        <v>4452</v>
      </c>
      <c r="J27" s="9">
        <f>INDEX(TeamAdvBatting!$A:$Z,MATCH($A27,TeamAdvBatting!$A:$A,0),MATCH(J$2,TeamAdvBatting!$A$225:$Z$225,0))</f>
        <v>677</v>
      </c>
      <c r="K27" s="9">
        <f>INDEX(TeamAdvBatting!$A:$Z,MATCH($A27,TeamAdvBatting!$A:$A,0),MATCH(K$2,TeamAdvBatting!$A$225:$Z$225,0))</f>
        <v>4.0999999999999996</v>
      </c>
      <c r="L27" s="9">
        <f>INDEX(TeamAdvBatting!$A:$Z,MATCH($A27,TeamAdvBatting!$A:$A,0),MATCH(L$2,TeamAdvBatting!$A$225:$Z$225,0))</f>
        <v>105</v>
      </c>
      <c r="M27" s="9">
        <f>INDEX(TeamAdvBatting!$A:$Z,MATCH($A27,TeamAdvBatting!$A:$A,0),MATCH(M$2,TeamAdvBatting!$A$225:$Z$225,0))</f>
        <v>0.28999999999999998</v>
      </c>
      <c r="N27" s="9">
        <f>INDEX(TeamAdvBatting!$A:$Z,MATCH($A27,TeamAdvBatting!$A:$A,0),MATCH(N$2,TeamAdvBatting!$A$225:$Z$225,0))</f>
        <v>0.30199999999999999</v>
      </c>
      <c r="O27" s="9">
        <f>INDEX(TeamAdvBatting!$A:$Z,MATCH($A27,TeamAdvBatting!$A:$A,0),MATCH(O$2,TeamAdvBatting!$A$225:$Z$225,0))</f>
        <v>0.39200000000000002</v>
      </c>
      <c r="P27" s="9">
        <f>INDEX(TeamAdvBatting!$A:$Z,MATCH($A27,TeamAdvBatting!$A:$A,0),MATCH(P$2,TeamAdvBatting!$A$225:$Z$225,0))</f>
        <v>84</v>
      </c>
      <c r="Q27" s="9">
        <f>INDEX(TeamAdvBatting!$A:$Z,MATCH($A27,TeamAdvBatting!$A:$A,0),MATCH(Q$2,TeamAdvBatting!$A$225:$Z$225,0))</f>
        <v>0.41099999999999998</v>
      </c>
      <c r="R27" s="9">
        <f>INDEX(TeamAdvBatting!$A:$Z,MATCH($A27,TeamAdvBatting!$A:$A,0),MATCH(R$2,TeamAdvBatting!$A$225:$Z$225,0))</f>
        <v>-123.2</v>
      </c>
      <c r="S27" s="9">
        <f>INDEX(TeamAdvBatting!$A:$Z,MATCH($A27,TeamAdvBatting!$A:$A,0),MATCH(S$2,TeamAdvBatting!$A$225:$Z$225,0))</f>
        <v>-11.9</v>
      </c>
      <c r="T27" s="9">
        <f>INDEX(TeamAdvBatting!$A:$Z,MATCH($A27,TeamAdvBatting!$A:$A,0),MATCH(T$2,TeamAdvBatting!$A$225:$Z$225,0))</f>
        <v>0.629</v>
      </c>
      <c r="U27" s="9">
        <f>INDEX(TeamAdvBatting!$A:$Z,MATCH($A27,TeamAdvBatting!$A:$A,0),MATCH(U$2,TeamAdvBatting!$A$225:$Z$225,0))</f>
        <v>0.24099999999999999</v>
      </c>
      <c r="V27" s="9">
        <f>INDEX(TeamAdvBatting!$A:$Z,MATCH($A27,TeamAdvBatting!$A:$A,0),MATCH(V$2,TeamAdvBatting!$A$225:$Z$225,0))</f>
        <v>0.153</v>
      </c>
      <c r="W27" s="9">
        <f>INDEX(TeamAdvBatting!$A:$Z,MATCH($A27,TeamAdvBatting!$A:$A,0),MATCH(W$2,TeamAdvBatting!$A$225:$Z$225,0))</f>
        <v>73.400000000000006</v>
      </c>
      <c r="X27" s="78">
        <f>INDEX(BattingRatios!$A$225:$Q$256,MATCH($A27,BattingRatios!$A$225:$A$256,0),MATCH(X$2,BattingRatios!$A$225:$Q$225,0))</f>
        <v>2.7E-2</v>
      </c>
      <c r="Y27" s="78">
        <f>INDEX(BattingRatios!$A$225:$Q$256,MATCH($A27,BattingRatios!$A$225:$A$256,0),MATCH(Y$2,BattingRatios!$A$225:$Q$225,0))</f>
        <v>0.23300000000000001</v>
      </c>
      <c r="Z27" s="78">
        <f>INDEX(BattingRatios!$A$225:$Q$256,MATCH($A27,BattingRatios!$A$225:$A$256,0),MATCH(Z$2,BattingRatios!$A$225:$Q$225,0))</f>
        <v>7.6999999999999999E-2</v>
      </c>
      <c r="AA27" s="78">
        <f>INDEX(BattingRatios!$A$225:$Q$256,MATCH($A27,BattingRatios!$A$225:$A$256,0),MATCH(AA$2,BattingRatios!$A$225:$Q$225,0))</f>
        <v>0.08</v>
      </c>
      <c r="AB27" s="78">
        <f>INDEX(BattingRatios!$A$225:$Q$256,MATCH($A27,BattingRatios!$A$225:$A$256,0),MATCH(AB$2,BattingRatios!$A$225:$Q$225,0))</f>
        <v>0.37</v>
      </c>
      <c r="AC27" s="78">
        <f>INDEX(BattingRatios!$A$225:$Q$256,MATCH($A27,BattingRatios!$A$225:$A$256,0),MATCH(AC$2,BattingRatios!$A$225:$Q$225,0))</f>
        <v>0.76</v>
      </c>
      <c r="AD27" s="78">
        <f>INDEX(BattingRatios!$A$225:$Q$256,MATCH($A27,BattingRatios!$A$225:$A$256,0),MATCH(AD$2,BattingRatios!$A$225:$Q$225,0))</f>
        <v>1.03</v>
      </c>
      <c r="AE27" s="78">
        <f>INDEX(BattingRatios!$A$225:$Q$256,MATCH($A27,BattingRatios!$A$225:$A$256,0),MATCH(AE$2,BattingRatios!$A$225:$Q$225,0))</f>
        <v>0.65</v>
      </c>
      <c r="AF27" s="78">
        <f>INDEX(BattingRatios!$A$225:$Q$256,MATCH($A27,BattingRatios!$A$225:$A$256,0),MATCH(AF$2,BattingRatios!$A$225:$Q$225,0))</f>
        <v>0.26</v>
      </c>
      <c r="AG27" s="78">
        <f>INDEX(BattingRatios!$A$225:$Q$256,MATCH($A27,BattingRatios!$A$225:$A$256,0),MATCH(AG$2,BattingRatios!$A$225:$Q$225,0))</f>
        <v>7.9000000000000001E-2</v>
      </c>
      <c r="AH27" s="78">
        <f>INDEX(BattingRatios!$A$225:$Q$256,MATCH($A27,BattingRatios!$A$225:$A$256,0),MATCH(AH$2,BattingRatios!$A$225:$Q$225,0))</f>
        <v>0.1</v>
      </c>
      <c r="AI27" s="81">
        <f>INDEX(PitchingRatios!$A$225:$S$256,MATCH($A27,PitchingRatios!$A$225:$A$256,0),MATCH(AI$2,PitchingRatios!$A$225:$S$225,0))</f>
        <v>3.5999999999999997E-2</v>
      </c>
      <c r="AJ27" s="81">
        <f>INDEX(PitchingRatios!$A$225:$S$256,MATCH($A27,PitchingRatios!$A$225:$A$256,0),MATCH(AJ$2,PitchingRatios!$A$225:$S$225,0))</f>
        <v>0.219</v>
      </c>
      <c r="AK27" s="81">
        <f>INDEX(PitchingRatios!$A$225:$S$256,MATCH($A27,PitchingRatios!$A$225:$A$256,0),MATCH(AK$2,PitchingRatios!$A$225:$S$225,0))</f>
        <v>8.3000000000000004E-2</v>
      </c>
      <c r="AL27" s="81">
        <f>INDEX(PitchingRatios!$A$225:$S$256,MATCH($A27,PitchingRatios!$A$225:$A$256,0),MATCH(AL$2,PitchingRatios!$A$225:$S$225,0))</f>
        <v>8.1000000000000003E-2</v>
      </c>
      <c r="AM27" s="81">
        <f>INDEX(PitchingRatios!$A$225:$S$256,MATCH($A27,PitchingRatios!$A$225:$A$256,0),MATCH(AM$2,PitchingRatios!$A$225:$S$225,0))</f>
        <v>0.36</v>
      </c>
      <c r="AN27" s="81">
        <f>INDEX(PitchingRatios!$A$225:$S$256,MATCH($A27,PitchingRatios!$A$225:$A$256,0),MATCH(AN$2,PitchingRatios!$A$225:$S$225,0))</f>
        <v>0.74</v>
      </c>
      <c r="AO27" s="81">
        <f>INDEX(PitchingRatios!$A$225:$S$256,MATCH($A27,PitchingRatios!$A$225:$A$256,0),MATCH(AO$2,PitchingRatios!$A$225:$S$225,0))</f>
        <v>1.02</v>
      </c>
      <c r="AP27" s="81">
        <f>INDEX(PitchingRatios!$A$225:$S$256,MATCH($A27,PitchingRatios!$A$225:$A$256,0),MATCH(AP$2,PitchingRatios!$A$225:$S$225,0))</f>
        <v>0.65</v>
      </c>
      <c r="AQ27" s="81">
        <f>INDEX(PitchingRatios!$A$225:$S$256,MATCH($A27,PitchingRatios!$A$225:$A$256,0),MATCH(AQ$2,PitchingRatios!$A$225:$S$225,0))</f>
        <v>0.25</v>
      </c>
      <c r="AR27" s="81">
        <f>INDEX(PitchingRatios!$A$225:$S$256,MATCH($A27,PitchingRatios!$A$225:$A$256,0),MATCH(AR$2,PitchingRatios!$A$225:$S$225,0))</f>
        <v>0.105</v>
      </c>
      <c r="AS27" s="81">
        <f>INDEX(PitchingRatios!$A$225:$S$256,MATCH($A27,PitchingRatios!$A$225:$A$256,0),MATCH(AS$2,PitchingRatios!$A$225:$S$225,0))</f>
        <v>0.11</v>
      </c>
      <c r="AT27" s="7">
        <f>INDEX(TeamStandardPitching!$A:$AJ,MATCH($A27,TeamStandardPitching!$A:$A,0),MATCH(AT$2,TeamStandardPitching!$A$225:$AJ$225,0))</f>
        <v>33</v>
      </c>
      <c r="AU27" s="7">
        <f>INDEX(TeamStandardPitching!$A:$AJ,MATCH($A27,TeamStandardPitching!$A:$A,0),MATCH(AU$2,TeamStandardPitching!$A$225:$AJ$225,0))</f>
        <v>28.9</v>
      </c>
      <c r="AV27" s="7">
        <f>INDEX(TeamStandardPitching!$A:$AJ,MATCH($A27,TeamStandardPitching!$A:$A,0),MATCH(AV$2,TeamStandardPitching!$A$225:$AJ$225,0))</f>
        <v>4.7699999999999996</v>
      </c>
      <c r="AW27" s="7">
        <f>INDEX(TeamStandardPitching!$A:$AJ,MATCH($A27,TeamStandardPitching!$A:$A,0),MATCH(AW$2,TeamStandardPitching!$A$225:$AJ$225,0))</f>
        <v>227</v>
      </c>
      <c r="AX27" s="7">
        <f>INDEX(TeamStandardPitching!$A:$AJ,MATCH($A27,TeamStandardPitching!$A:$A,0),MATCH(AX$2,TeamStandardPitching!$A$225:$AJ$225,0))</f>
        <v>519</v>
      </c>
      <c r="AY27" s="7">
        <f>INDEX(TeamStandardPitching!$A:$AJ,MATCH($A27,TeamStandardPitching!$A:$A,0),MATCH(AY$2,TeamStandardPitching!$A$225:$AJ$225,0))</f>
        <v>26</v>
      </c>
      <c r="AZ27" s="7">
        <f>INDEX(TeamStandardPitching!$A:$AJ,MATCH($A27,TeamStandardPitching!$A:$A,0),MATCH(AZ$2,TeamStandardPitching!$A$225:$AJ$225,0))</f>
        <v>1368</v>
      </c>
      <c r="BA27" s="7">
        <f>INDEX(TeamStandardPitching!$A:$AJ,MATCH($A27,TeamStandardPitching!$A:$A,0),MATCH(BA$2,TeamStandardPitching!$A$225:$AJ$225,0))</f>
        <v>65</v>
      </c>
      <c r="BB27" s="7">
        <f>INDEX(TeamStandardPitching!$A:$AJ,MATCH($A27,TeamStandardPitching!$A:$A,0),MATCH(BB$2,TeamStandardPitching!$A$225:$AJ$225,0))</f>
        <v>4</v>
      </c>
      <c r="BC27" s="7">
        <f>INDEX(TeamStandardPitching!$A:$AJ,MATCH($A27,TeamStandardPitching!$A:$A,0),MATCH(BC$2,TeamStandardPitching!$A$225:$AJ$225,0))</f>
        <v>53</v>
      </c>
      <c r="BD27" s="7">
        <f>INDEX(TeamStandardPitching!$A:$AJ,MATCH($A27,TeamStandardPitching!$A:$A,0),MATCH(BD$2,TeamStandardPitching!$A$225:$AJ$225,0))</f>
        <v>6256</v>
      </c>
      <c r="BE27" s="7">
        <f>INDEX(TeamStandardPitching!$A:$AJ,MATCH($A27,TeamStandardPitching!$A:$A,0),MATCH(BE$2,TeamStandardPitching!$A$225:$AJ$225,0))</f>
        <v>96</v>
      </c>
      <c r="BF27" s="7">
        <f>INDEX(TeamStandardPitching!$A:$AJ,MATCH($A27,TeamStandardPitching!$A:$A,0),MATCH(BF$2,TeamStandardPitching!$A$225:$AJ$225,0))</f>
        <v>4.55</v>
      </c>
      <c r="BG27" s="7">
        <f>INDEX(TeamStandardPitching!$A:$AJ,MATCH($A27,TeamStandardPitching!$A:$A,0),MATCH(BG$2,TeamStandardPitching!$A$225:$AJ$225,0))</f>
        <v>1.3029999999999999</v>
      </c>
      <c r="BH27" s="7">
        <f>INDEX(TeamStandardPitching!$A:$AJ,MATCH($A27,TeamStandardPitching!$A:$A,0),MATCH(BH$2,TeamStandardPitching!$A$225:$AJ$225,0))</f>
        <v>8.5</v>
      </c>
      <c r="BI27" s="7">
        <f>INDEX(TeamStandardPitching!$A:$AJ,MATCH($A27,TeamStandardPitching!$A:$A,0),MATCH(BI$2,TeamStandardPitching!$A$225:$AJ$225,0))</f>
        <v>1.4</v>
      </c>
      <c r="BJ27" s="7">
        <f>INDEX(TeamStandardPitching!$A:$AJ,MATCH($A27,TeamStandardPitching!$A:$A,0),MATCH(BJ$2,TeamStandardPitching!$A$225:$AJ$225,0))</f>
        <v>3.2</v>
      </c>
      <c r="BK27" s="7">
        <f>INDEX(TeamStandardPitching!$A:$AJ,MATCH($A27,TeamStandardPitching!$A:$A,0),MATCH(BK$2,TeamStandardPitching!$A$225:$AJ$225,0))</f>
        <v>8.4</v>
      </c>
      <c r="BL27" s="7">
        <f>INDEX(TeamStandardPitching!$A:$AJ,MATCH($A27,TeamStandardPitching!$A:$A,0),MATCH(BL$2,TeamStandardPitching!$A$225:$AJ$225,0))</f>
        <v>2.64</v>
      </c>
      <c r="BM27" s="7">
        <f>INDEX(TeamStandardPitching!$A:$AJ,MATCH($A27,TeamStandardPitching!$A:$A,0),MATCH(BM$2,TeamStandardPitching!$A$225:$AJ$225,0))</f>
        <v>1076</v>
      </c>
      <c r="BO27">
        <f t="array" ref="BO27:BZ31">LINEST($AV$3:$AV$32,$AI$3:$AS$32,1,1)</f>
        <v>-3.0133411224563029</v>
      </c>
      <c r="BP27">
        <v>-43.931767469018823</v>
      </c>
      <c r="BQ27">
        <v>-13.792633170240368</v>
      </c>
      <c r="BR27">
        <v>-8.1028706567576556</v>
      </c>
      <c r="BS27">
        <v>7.3994786254024378E-2</v>
      </c>
      <c r="BT27">
        <v>1.2963717558839452</v>
      </c>
      <c r="BU27">
        <v>-15.043447283710844</v>
      </c>
      <c r="BV27">
        <v>84.358629379058826</v>
      </c>
      <c r="BW27">
        <v>12.277877852000387</v>
      </c>
      <c r="BX27">
        <v>-2.2365597919580225</v>
      </c>
      <c r="BY27">
        <v>147.88007687350219</v>
      </c>
      <c r="BZ27">
        <v>10.056673523576878</v>
      </c>
    </row>
    <row r="28" spans="1:78" x14ac:dyDescent="0.25">
      <c r="A28" t="s">
        <v>24</v>
      </c>
      <c r="B28" t="s">
        <v>247</v>
      </c>
      <c r="D28">
        <f>INDEX(Scores!$B$1:$G$31,MATCH($A28,Scores!$B$1:$B$31,0),MATCH(D$2,Scores!$B$1:$G$1,0))</f>
        <v>4.6419753086419755</v>
      </c>
      <c r="E28">
        <f>INDEX(Scores!$B$1:$G$31,MATCH($A28,Scores!$B$1:$B$31,0),MATCH(E$2,Scores!$B$1:$G$1,0))</f>
        <v>3.3749573091961489</v>
      </c>
      <c r="F28">
        <f>INDEX(Scores!$B$1:$G$31,MATCH($A28,Scores!$B$1:$B$31,0),MATCH(F$2,Scores!$B$1:$G$1,0))</f>
        <v>4.7564102564102564</v>
      </c>
      <c r="G28">
        <f>INDEX(Scores!$B$1:$G$31,MATCH($A28,Scores!$B$1:$B$31,0),MATCH(G$2,Scores!$B$1:$G$1,0))</f>
        <v>3.3289171929988775</v>
      </c>
      <c r="H28" s="9">
        <f>INDEX(TeamAdvBatting!$A:$Z,MATCH($A28,TeamAdvBatting!$A:$A,0),MATCH(H$2,TeamAdvBatting!$A$225:$Z$225,0))</f>
        <v>4.72</v>
      </c>
      <c r="I28" s="9">
        <f>INDEX(TeamAdvBatting!$A:$Z,MATCH($A28,TeamAdvBatting!$A:$A,0),MATCH(I$2,TeamAdvBatting!$A$225:$Z$225,0))</f>
        <v>4330</v>
      </c>
      <c r="J28" s="9">
        <f>INDEX(TeamAdvBatting!$A:$Z,MATCH($A28,TeamAdvBatting!$A:$A,0),MATCH(J$2,TeamAdvBatting!$A$225:$Z$225,0))</f>
        <v>765</v>
      </c>
      <c r="K28" s="9">
        <f>INDEX(TeamAdvBatting!$A:$Z,MATCH($A28,TeamAdvBatting!$A:$A,0),MATCH(K$2,TeamAdvBatting!$A$225:$Z$225,0))</f>
        <v>4.7</v>
      </c>
      <c r="L28" s="9">
        <f>INDEX(TeamAdvBatting!$A:$Z,MATCH($A28,TeamAdvBatting!$A:$A,0),MATCH(L$2,TeamAdvBatting!$A$225:$Z$225,0))</f>
        <v>108</v>
      </c>
      <c r="M28" s="9">
        <f>INDEX(TeamAdvBatting!$A:$Z,MATCH($A28,TeamAdvBatting!$A:$A,0),MATCH(M$2,TeamAdvBatting!$A$225:$Z$225,0))</f>
        <v>0.29199999999999998</v>
      </c>
      <c r="N28" s="9">
        <f>INDEX(TeamAdvBatting!$A:$Z,MATCH($A28,TeamAdvBatting!$A:$A,0),MATCH(N$2,TeamAdvBatting!$A$225:$Z$225,0))</f>
        <v>0.32200000000000001</v>
      </c>
      <c r="O28" s="9">
        <f>INDEX(TeamAdvBatting!$A:$Z,MATCH($A28,TeamAdvBatting!$A:$A,0),MATCH(O$2,TeamAdvBatting!$A$225:$Z$225,0))</f>
        <v>0.41499999999999998</v>
      </c>
      <c r="P28" s="9">
        <f>INDEX(TeamAdvBatting!$A:$Z,MATCH($A28,TeamAdvBatting!$A:$A,0),MATCH(P$2,TeamAdvBatting!$A$225:$Z$225,0))</f>
        <v>92</v>
      </c>
      <c r="Q28" s="9">
        <f>INDEX(TeamAdvBatting!$A:$Z,MATCH($A28,TeamAdvBatting!$A:$A,0),MATCH(Q$2,TeamAdvBatting!$A$225:$Z$225,0))</f>
        <v>0.47799999999999998</v>
      </c>
      <c r="R28" s="9">
        <f>INDEX(TeamAdvBatting!$A:$Z,MATCH($A28,TeamAdvBatting!$A:$A,0),MATCH(R$2,TeamAdvBatting!$A$225:$Z$225,0))</f>
        <v>-60.6</v>
      </c>
      <c r="S28" s="9">
        <f>INDEX(TeamAdvBatting!$A:$Z,MATCH($A28,TeamAdvBatting!$A:$A,0),MATCH(S$2,TeamAdvBatting!$A$225:$Z$225,0))</f>
        <v>-5.8</v>
      </c>
      <c r="T28" s="9">
        <f>INDEX(TeamAdvBatting!$A:$Z,MATCH($A28,TeamAdvBatting!$A:$A,0),MATCH(T$2,TeamAdvBatting!$A$225:$Z$225,0))</f>
        <v>0.70899999999999996</v>
      </c>
      <c r="U28" s="9">
        <f>INDEX(TeamAdvBatting!$A:$Z,MATCH($A28,TeamAdvBatting!$A:$A,0),MATCH(U$2,TeamAdvBatting!$A$225:$Z$225,0))</f>
        <v>0.28799999999999998</v>
      </c>
      <c r="V28" s="9">
        <f>INDEX(TeamAdvBatting!$A:$Z,MATCH($A28,TeamAdvBatting!$A:$A,0),MATCH(V$2,TeamAdvBatting!$A$225:$Z$225,0))</f>
        <v>0.17</v>
      </c>
      <c r="W28" s="9">
        <f>INDEX(TeamAdvBatting!$A:$Z,MATCH($A28,TeamAdvBatting!$A:$A,0),MATCH(W$2,TeamAdvBatting!$A$225:$Z$225,0))</f>
        <v>149.4</v>
      </c>
      <c r="X28" s="78">
        <f>INDEX(BattingRatios!$A$225:$Q$256,MATCH($A28,BattingRatios!$A$225:$A$256,0),MATCH(X$2,BattingRatios!$A$225:$Q$225,0))</f>
        <v>3.4000000000000002E-2</v>
      </c>
      <c r="Y28" s="78">
        <f>INDEX(BattingRatios!$A$225:$Q$256,MATCH($A28,BattingRatios!$A$225:$A$256,0),MATCH(Y$2,BattingRatios!$A$225:$Q$225,0))</f>
        <v>0.23</v>
      </c>
      <c r="Z28" s="78">
        <f>INDEX(BattingRatios!$A$225:$Q$256,MATCH($A28,BattingRatios!$A$225:$A$256,0),MATCH(Z$2,BattingRatios!$A$225:$Q$225,0))</f>
        <v>9.0999999999999998E-2</v>
      </c>
      <c r="AA28" s="78">
        <f>INDEX(BattingRatios!$A$225:$Q$256,MATCH($A28,BattingRatios!$A$225:$A$256,0),MATCH(AA$2,BattingRatios!$A$225:$Q$225,0))</f>
        <v>7.8E-2</v>
      </c>
      <c r="AB28" s="78">
        <f>INDEX(BattingRatios!$A$225:$Q$256,MATCH($A28,BattingRatios!$A$225:$A$256,0),MATCH(AB$2,BattingRatios!$A$225:$Q$225,0))</f>
        <v>0.36</v>
      </c>
      <c r="AC28" s="78">
        <f>INDEX(BattingRatios!$A$225:$Q$256,MATCH($A28,BattingRatios!$A$225:$A$256,0),MATCH(AC$2,BattingRatios!$A$225:$Q$225,0))</f>
        <v>0.71</v>
      </c>
      <c r="AD28" s="78">
        <f>INDEX(BattingRatios!$A$225:$Q$256,MATCH($A28,BattingRatios!$A$225:$A$256,0),MATCH(AD$2,BattingRatios!$A$225:$Q$225,0))</f>
        <v>0.96</v>
      </c>
      <c r="AE28" s="78">
        <f>INDEX(BattingRatios!$A$225:$Q$256,MATCH($A28,BattingRatios!$A$225:$A$256,0),MATCH(AE$2,BattingRatios!$A$225:$Q$225,0))</f>
        <v>0.63</v>
      </c>
      <c r="AF28" s="78">
        <f>INDEX(BattingRatios!$A$225:$Q$256,MATCH($A28,BattingRatios!$A$225:$A$256,0),MATCH(AF$2,BattingRatios!$A$225:$Q$225,0))</f>
        <v>0.25</v>
      </c>
      <c r="AG28" s="78">
        <f>INDEX(BattingRatios!$A$225:$Q$256,MATCH($A28,BattingRatios!$A$225:$A$256,0),MATCH(AG$2,BattingRatios!$A$225:$Q$225,0))</f>
        <v>0.10100000000000001</v>
      </c>
      <c r="AH28" s="78">
        <f>INDEX(BattingRatios!$A$225:$Q$256,MATCH($A28,BattingRatios!$A$225:$A$256,0),MATCH(AH$2,BattingRatios!$A$225:$Q$225,0))</f>
        <v>0.12</v>
      </c>
      <c r="AI28" s="81">
        <f>INDEX(PitchingRatios!$A$225:$S$256,MATCH($A28,PitchingRatios!$A$225:$A$256,0),MATCH(AI$2,PitchingRatios!$A$225:$S$225,0))</f>
        <v>3.2000000000000001E-2</v>
      </c>
      <c r="AJ28" s="81">
        <f>INDEX(PitchingRatios!$A$225:$S$256,MATCH($A28,PitchingRatios!$A$225:$A$256,0),MATCH(AJ$2,PitchingRatios!$A$225:$S$225,0))</f>
        <v>0.23100000000000001</v>
      </c>
      <c r="AK28" s="81">
        <f>INDEX(PitchingRatios!$A$225:$S$256,MATCH($A28,PitchingRatios!$A$225:$A$256,0),MATCH(AK$2,PitchingRatios!$A$225:$S$225,0))</f>
        <v>0.09</v>
      </c>
      <c r="AL28" s="81">
        <f>INDEX(PitchingRatios!$A$225:$S$256,MATCH($A28,PitchingRatios!$A$225:$A$256,0),MATCH(AL$2,PitchingRatios!$A$225:$S$225,0))</f>
        <v>7.4999999999999997E-2</v>
      </c>
      <c r="AM28" s="81">
        <f>INDEX(PitchingRatios!$A$225:$S$256,MATCH($A28,PitchingRatios!$A$225:$A$256,0),MATCH(AM$2,PitchingRatios!$A$225:$S$225,0))</f>
        <v>0.36</v>
      </c>
      <c r="AN28" s="81">
        <f>INDEX(PitchingRatios!$A$225:$S$256,MATCH($A28,PitchingRatios!$A$225:$A$256,0),MATCH(AN$2,PitchingRatios!$A$225:$S$225,0))</f>
        <v>0.83</v>
      </c>
      <c r="AO28" s="81">
        <f>INDEX(PitchingRatios!$A$225:$S$256,MATCH($A28,PitchingRatios!$A$225:$A$256,0),MATCH(AO$2,PitchingRatios!$A$225:$S$225,0))</f>
        <v>1.19</v>
      </c>
      <c r="AP28" s="81">
        <f>INDEX(PitchingRatios!$A$225:$S$256,MATCH($A28,PitchingRatios!$A$225:$A$256,0),MATCH(AP$2,PitchingRatios!$A$225:$S$225,0))</f>
        <v>0.63</v>
      </c>
      <c r="AQ28" s="81">
        <f>INDEX(PitchingRatios!$A$225:$S$256,MATCH($A28,PitchingRatios!$A$225:$A$256,0),MATCH(AQ$2,PitchingRatios!$A$225:$S$225,0))</f>
        <v>0.25</v>
      </c>
      <c r="AR28" s="81">
        <f>INDEX(PitchingRatios!$A$225:$S$256,MATCH($A28,PitchingRatios!$A$225:$A$256,0),MATCH(AR$2,PitchingRatios!$A$225:$S$225,0))</f>
        <v>9.9000000000000005E-2</v>
      </c>
      <c r="AS28" s="81">
        <f>INDEX(PitchingRatios!$A$225:$S$256,MATCH($A28,PitchingRatios!$A$225:$A$256,0),MATCH(AS$2,PitchingRatios!$A$225:$S$225,0))</f>
        <v>0.11</v>
      </c>
      <c r="AT28" s="7">
        <f>INDEX(TeamStandardPitching!$A:$AJ,MATCH($A28,TeamStandardPitching!$A:$A,0),MATCH(AT$2,TeamStandardPitching!$A$225:$AJ$225,0))</f>
        <v>23</v>
      </c>
      <c r="AU28" s="7">
        <f>INDEX(TeamStandardPitching!$A:$AJ,MATCH($A28,TeamStandardPitching!$A:$A,0),MATCH(AU$2,TeamStandardPitching!$A$225:$AJ$225,0))</f>
        <v>27.8</v>
      </c>
      <c r="AV28" s="7">
        <f>INDEX(TeamStandardPitching!$A:$AJ,MATCH($A28,TeamStandardPitching!$A:$A,0),MATCH(AV$2,TeamStandardPitching!$A$225:$AJ$225,0))</f>
        <v>4.09</v>
      </c>
      <c r="AW28" s="7">
        <f>INDEX(TeamStandardPitching!$A:$AJ,MATCH($A28,TeamStandardPitching!$A:$A,0),MATCH(AW$2,TeamStandardPitching!$A$225:$AJ$225,0))</f>
        <v>191</v>
      </c>
      <c r="AX28" s="7">
        <f>INDEX(TeamStandardPitching!$A:$AJ,MATCH($A28,TeamStandardPitching!$A:$A,0),MATCH(AX$2,TeamStandardPitching!$A$225:$AJ$225,0))</f>
        <v>545</v>
      </c>
      <c r="AY28" s="7">
        <f>INDEX(TeamStandardPitching!$A:$AJ,MATCH($A28,TeamStandardPitching!$A:$A,0),MATCH(AY$2,TeamStandardPitching!$A$225:$AJ$225,0))</f>
        <v>41</v>
      </c>
      <c r="AZ28" s="7">
        <f>INDEX(TeamStandardPitching!$A:$AJ,MATCH($A28,TeamStandardPitching!$A:$A,0),MATCH(AZ$2,TeamStandardPitching!$A$225:$AJ$225,0))</f>
        <v>1399</v>
      </c>
      <c r="BA28" s="7">
        <f>INDEX(TeamStandardPitching!$A:$AJ,MATCH($A28,TeamStandardPitching!$A:$A,0),MATCH(BA$2,TeamStandardPitching!$A$225:$AJ$225,0))</f>
        <v>69</v>
      </c>
      <c r="BB28" s="7">
        <f>INDEX(TeamStandardPitching!$A:$AJ,MATCH($A28,TeamStandardPitching!$A:$A,0),MATCH(BB$2,TeamStandardPitching!$A$225:$AJ$225,0))</f>
        <v>4</v>
      </c>
      <c r="BC28" s="7">
        <f>INDEX(TeamStandardPitching!$A:$AJ,MATCH($A28,TeamStandardPitching!$A:$A,0),MATCH(BC$2,TeamStandardPitching!$A$225:$AJ$225,0))</f>
        <v>46</v>
      </c>
      <c r="BD28" s="7">
        <f>INDEX(TeamStandardPitching!$A:$AJ,MATCH($A28,TeamStandardPitching!$A:$A,0),MATCH(BD$2,TeamStandardPitching!$A$225:$AJ$225,0))</f>
        <v>6068</v>
      </c>
      <c r="BE28" s="7">
        <f>INDEX(TeamStandardPitching!$A:$AJ,MATCH($A28,TeamStandardPitching!$A:$A,0),MATCH(BE$2,TeamStandardPitching!$A$225:$AJ$225,0))</f>
        <v>112</v>
      </c>
      <c r="BF28" s="7">
        <f>INDEX(TeamStandardPitching!$A:$AJ,MATCH($A28,TeamStandardPitching!$A:$A,0),MATCH(BF$2,TeamStandardPitching!$A$225:$AJ$225,0))</f>
        <v>4.2699999999999996</v>
      </c>
      <c r="BG28" s="7">
        <f>INDEX(TeamStandardPitching!$A:$AJ,MATCH($A28,TeamStandardPitching!$A:$A,0),MATCH(BG$2,TeamStandardPitching!$A$225:$AJ$225,0))</f>
        <v>1.2669999999999999</v>
      </c>
      <c r="BH28" s="7">
        <f>INDEX(TeamStandardPitching!$A:$AJ,MATCH($A28,TeamStandardPitching!$A:$A,0),MATCH(BH$2,TeamStandardPitching!$A$225:$AJ$225,0))</f>
        <v>8</v>
      </c>
      <c r="BI28" s="7">
        <f>INDEX(TeamStandardPitching!$A:$AJ,MATCH($A28,TeamStandardPitching!$A:$A,0),MATCH(BI$2,TeamStandardPitching!$A$225:$AJ$225,0))</f>
        <v>1.2</v>
      </c>
      <c r="BJ28" s="7">
        <f>INDEX(TeamStandardPitching!$A:$AJ,MATCH($A28,TeamStandardPitching!$A:$A,0),MATCH(BJ$2,TeamStandardPitching!$A$225:$AJ$225,0))</f>
        <v>3.4</v>
      </c>
      <c r="BK28" s="7">
        <f>INDEX(TeamStandardPitching!$A:$AJ,MATCH($A28,TeamStandardPitching!$A:$A,0),MATCH(BK$2,TeamStandardPitching!$A$225:$AJ$225,0))</f>
        <v>8.6999999999999993</v>
      </c>
      <c r="BL28" s="7">
        <f>INDEX(TeamStandardPitching!$A:$AJ,MATCH($A28,TeamStandardPitching!$A:$A,0),MATCH(BL$2,TeamStandardPitching!$A$225:$AJ$225,0))</f>
        <v>2.57</v>
      </c>
      <c r="BM28" s="7">
        <f>INDEX(TeamStandardPitching!$A:$AJ,MATCH($A28,TeamStandardPitching!$A:$A,0),MATCH(BM$2,TeamStandardPitching!$A$225:$AJ$225,0))</f>
        <v>1074</v>
      </c>
      <c r="BO28">
        <v>4.6587384297207572</v>
      </c>
      <c r="BP28">
        <v>27.930767431174093</v>
      </c>
      <c r="BQ28">
        <v>7.3500364315625175</v>
      </c>
      <c r="BR28">
        <v>11.85921029322623</v>
      </c>
      <c r="BS28">
        <v>1.1226537632362015</v>
      </c>
      <c r="BT28">
        <v>2.6655371567274053</v>
      </c>
      <c r="BU28">
        <v>4.0642431347030064</v>
      </c>
      <c r="BV28">
        <v>14.280086205308089</v>
      </c>
      <c r="BW28">
        <v>14.026533351994818</v>
      </c>
      <c r="BX28">
        <v>10.58104112468718</v>
      </c>
      <c r="BY28">
        <v>82.497083521747271</v>
      </c>
      <c r="BZ28">
        <v>10.330365655947006</v>
      </c>
    </row>
    <row r="29" spans="1:78" x14ac:dyDescent="0.25">
      <c r="A29" t="s">
        <v>23</v>
      </c>
      <c r="B29" t="s">
        <v>248</v>
      </c>
      <c r="D29">
        <f>INDEX(Scores!$B$1:$G$31,MATCH($A29,Scores!$B$1:$B$31,0),MATCH(D$2,Scores!$B$1:$G$1,0))</f>
        <v>5.0384615384615383</v>
      </c>
      <c r="E29">
        <f>INDEX(Scores!$B$1:$G$31,MATCH($A29,Scores!$B$1:$B$31,0),MATCH(E$2,Scores!$B$1:$G$1,0))</f>
        <v>3.1923076923076921</v>
      </c>
      <c r="F29">
        <f>INDEX(Scores!$B$1:$G$31,MATCH($A29,Scores!$B$1:$B$31,0),MATCH(F$2,Scores!$B$1:$G$1,0))</f>
        <v>4.5250000000000004</v>
      </c>
      <c r="G29">
        <f>INDEX(Scores!$B$1:$G$31,MATCH($A29,Scores!$B$1:$B$31,0),MATCH(G$2,Scores!$B$1:$G$1,0))</f>
        <v>2.6123504741898627</v>
      </c>
      <c r="H29" s="9">
        <f>INDEX(TeamAdvBatting!$A:$Z,MATCH($A29,TeamAdvBatting!$A:$A,0),MATCH(H$2,TeamAdvBatting!$A$225:$Z$225,0))</f>
        <v>4.75</v>
      </c>
      <c r="I29" s="9">
        <f>INDEX(TeamAdvBatting!$A:$Z,MATCH($A29,TeamAdvBatting!$A:$A,0),MATCH(I$2,TeamAdvBatting!$A$225:$Z$225,0))</f>
        <v>4394</v>
      </c>
      <c r="J29" s="9">
        <f>INDEX(TeamAdvBatting!$A:$Z,MATCH($A29,TeamAdvBatting!$A:$A,0),MATCH(J$2,TeamAdvBatting!$A$225:$Z$225,0))</f>
        <v>810</v>
      </c>
      <c r="K29" s="9">
        <f>INDEX(TeamAdvBatting!$A:$Z,MATCH($A29,TeamAdvBatting!$A:$A,0),MATCH(K$2,TeamAdvBatting!$A$225:$Z$225,0))</f>
        <v>4.9000000000000004</v>
      </c>
      <c r="L29" s="9">
        <f>INDEX(TeamAdvBatting!$A:$Z,MATCH($A29,TeamAdvBatting!$A:$A,0),MATCH(L$2,TeamAdvBatting!$A$225:$Z$225,0))</f>
        <v>104</v>
      </c>
      <c r="M29" s="9">
        <f>INDEX(TeamAdvBatting!$A:$Z,MATCH($A29,TeamAdvBatting!$A:$A,0),MATCH(M$2,TeamAdvBatting!$A$225:$Z$225,0))</f>
        <v>0.30599999999999999</v>
      </c>
      <c r="N29" s="9">
        <f>INDEX(TeamAdvBatting!$A:$Z,MATCH($A29,TeamAdvBatting!$A:$A,0),MATCH(N$2,TeamAdvBatting!$A$225:$Z$225,0))</f>
        <v>0.32500000000000001</v>
      </c>
      <c r="O29" s="9">
        <f>INDEX(TeamAdvBatting!$A:$Z,MATCH($A29,TeamAdvBatting!$A:$A,0),MATCH(O$2,TeamAdvBatting!$A$225:$Z$225,0))</f>
        <v>0.43099999999999999</v>
      </c>
      <c r="P29" s="9">
        <f>INDEX(TeamAdvBatting!$A:$Z,MATCH($A29,TeamAdvBatting!$A:$A,0),MATCH(P$2,TeamAdvBatting!$A$225:$Z$225,0))</f>
        <v>101</v>
      </c>
      <c r="Q29" s="9">
        <f>INDEX(TeamAdvBatting!$A:$Z,MATCH($A29,TeamAdvBatting!$A:$A,0),MATCH(Q$2,TeamAdvBatting!$A$225:$Z$225,0))</f>
        <v>0.49299999999999999</v>
      </c>
      <c r="R29" s="9">
        <f>INDEX(TeamAdvBatting!$A:$Z,MATCH($A29,TeamAdvBatting!$A:$A,0),MATCH(R$2,TeamAdvBatting!$A$225:$Z$225,0))</f>
        <v>14.9</v>
      </c>
      <c r="S29" s="9">
        <f>INDEX(TeamAdvBatting!$A:$Z,MATCH($A29,TeamAdvBatting!$A:$A,0),MATCH(S$2,TeamAdvBatting!$A$225:$Z$225,0))</f>
        <v>1.2</v>
      </c>
      <c r="T29" s="9">
        <f>INDEX(TeamAdvBatting!$A:$Z,MATCH($A29,TeamAdvBatting!$A:$A,0),MATCH(T$2,TeamAdvBatting!$A$225:$Z$225,0))</f>
        <v>0.72099999999999997</v>
      </c>
      <c r="U29" s="9">
        <f>INDEX(TeamAdvBatting!$A:$Z,MATCH($A29,TeamAdvBatting!$A:$A,0),MATCH(U$2,TeamAdvBatting!$A$225:$Z$225,0))</f>
        <v>0.28399999999999997</v>
      </c>
      <c r="V29" s="9">
        <f>INDEX(TeamAdvBatting!$A:$Z,MATCH($A29,TeamAdvBatting!$A:$A,0),MATCH(V$2,TeamAdvBatting!$A$225:$Z$225,0))</f>
        <v>0.17799999999999999</v>
      </c>
      <c r="W29" s="9">
        <f>INDEX(TeamAdvBatting!$A:$Z,MATCH($A29,TeamAdvBatting!$A:$A,0),MATCH(W$2,TeamAdvBatting!$A$225:$Z$225,0))</f>
        <v>131.19999999999999</v>
      </c>
      <c r="X29" s="78">
        <f>INDEX(BattingRatios!$A$225:$Q$256,MATCH($A29,BattingRatios!$A$225:$A$256,0),MATCH(X$2,BattingRatios!$A$225:$Q$225,0))</f>
        <v>3.5000000000000003E-2</v>
      </c>
      <c r="Y29" s="78">
        <f>INDEX(BattingRatios!$A$225:$Q$256,MATCH($A29,BattingRatios!$A$225:$A$256,0),MATCH(Y$2,BattingRatios!$A$225:$Q$225,0))</f>
        <v>0.23799999999999999</v>
      </c>
      <c r="Z29" s="78">
        <f>INDEX(BattingRatios!$A$225:$Q$256,MATCH($A29,BattingRatios!$A$225:$A$256,0),MATCH(Z$2,BattingRatios!$A$225:$Q$225,0))</f>
        <v>8.5999999999999993E-2</v>
      </c>
      <c r="AA29" s="78">
        <f>INDEX(BattingRatios!$A$225:$Q$256,MATCH($A29,BattingRatios!$A$225:$A$256,0),MATCH(AA$2,BattingRatios!$A$225:$Q$225,0))</f>
        <v>8.5000000000000006E-2</v>
      </c>
      <c r="AB29" s="78">
        <f>INDEX(BattingRatios!$A$225:$Q$256,MATCH($A29,BattingRatios!$A$225:$A$256,0),MATCH(AB$2,BattingRatios!$A$225:$Q$225,0))</f>
        <v>0.38</v>
      </c>
      <c r="AC29" s="78">
        <f>INDEX(BattingRatios!$A$225:$Q$256,MATCH($A29,BattingRatios!$A$225:$A$256,0),MATCH(AC$2,BattingRatios!$A$225:$Q$225,0))</f>
        <v>0.81</v>
      </c>
      <c r="AD29" s="78">
        <f>INDEX(BattingRatios!$A$225:$Q$256,MATCH($A29,BattingRatios!$A$225:$A$256,0),MATCH(AD$2,BattingRatios!$A$225:$Q$225,0))</f>
        <v>1.1100000000000001</v>
      </c>
      <c r="AE29" s="78">
        <f>INDEX(BattingRatios!$A$225:$Q$256,MATCH($A29,BattingRatios!$A$225:$A$256,0),MATCH(AE$2,BattingRatios!$A$225:$Q$225,0))</f>
        <v>0.63</v>
      </c>
      <c r="AF29" s="78">
        <f>INDEX(BattingRatios!$A$225:$Q$256,MATCH($A29,BattingRatios!$A$225:$A$256,0),MATCH(AF$2,BattingRatios!$A$225:$Q$225,0))</f>
        <v>0.26</v>
      </c>
      <c r="AG29" s="78">
        <f>INDEX(BattingRatios!$A$225:$Q$256,MATCH($A29,BattingRatios!$A$225:$A$256,0),MATCH(AG$2,BattingRatios!$A$225:$Q$225,0))</f>
        <v>0.106</v>
      </c>
      <c r="AH29" s="78">
        <f>INDEX(BattingRatios!$A$225:$Q$256,MATCH($A29,BattingRatios!$A$225:$A$256,0),MATCH(AH$2,BattingRatios!$A$225:$Q$225,0))</f>
        <v>0.11</v>
      </c>
      <c r="AI29" s="81">
        <f>INDEX(PitchingRatios!$A$225:$S$256,MATCH($A29,PitchingRatios!$A$225:$A$256,0),MATCH(AI$2,PitchingRatios!$A$225:$S$225,0))</f>
        <v>0.03</v>
      </c>
      <c r="AJ29" s="81">
        <f>INDEX(PitchingRatios!$A$225:$S$256,MATCH($A29,PitchingRatios!$A$225:$A$256,0),MATCH(AJ$2,PitchingRatios!$A$225:$S$225,0))</f>
        <v>0.26600000000000001</v>
      </c>
      <c r="AK29" s="81">
        <f>INDEX(PitchingRatios!$A$225:$S$256,MATCH($A29,PitchingRatios!$A$225:$A$256,0),MATCH(AK$2,PitchingRatios!$A$225:$S$225,0))</f>
        <v>7.3999999999999996E-2</v>
      </c>
      <c r="AL29" s="81">
        <f>INDEX(PitchingRatios!$A$225:$S$256,MATCH($A29,PitchingRatios!$A$225:$A$256,0),MATCH(AL$2,PitchingRatios!$A$225:$S$225,0))</f>
        <v>7.6999999999999999E-2</v>
      </c>
      <c r="AM29" s="81">
        <f>INDEX(PitchingRatios!$A$225:$S$256,MATCH($A29,PitchingRatios!$A$225:$A$256,0),MATCH(AM$2,PitchingRatios!$A$225:$S$225,0))</f>
        <v>0.37</v>
      </c>
      <c r="AN29" s="81">
        <f>INDEX(PitchingRatios!$A$225:$S$256,MATCH($A29,PitchingRatios!$A$225:$A$256,0),MATCH(AN$2,PitchingRatios!$A$225:$S$225,0))</f>
        <v>0.79</v>
      </c>
      <c r="AO29" s="81">
        <f>INDEX(PitchingRatios!$A$225:$S$256,MATCH($A29,PitchingRatios!$A$225:$A$256,0),MATCH(AO$2,PitchingRatios!$A$225:$S$225,0))</f>
        <v>1.08</v>
      </c>
      <c r="AP29" s="81">
        <f>INDEX(PitchingRatios!$A$225:$S$256,MATCH($A29,PitchingRatios!$A$225:$A$256,0),MATCH(AP$2,PitchingRatios!$A$225:$S$225,0))</f>
        <v>0.62</v>
      </c>
      <c r="AQ29" s="81">
        <f>INDEX(PitchingRatios!$A$225:$S$256,MATCH($A29,PitchingRatios!$A$225:$A$256,0),MATCH(AQ$2,PitchingRatios!$A$225:$S$225,0))</f>
        <v>0.25</v>
      </c>
      <c r="AR29" s="81">
        <f>INDEX(PitchingRatios!$A$225:$S$256,MATCH($A29,PitchingRatios!$A$225:$A$256,0),MATCH(AR$2,PitchingRatios!$A$225:$S$225,0))</f>
        <v>9.6000000000000002E-2</v>
      </c>
      <c r="AS29" s="81">
        <f>INDEX(PitchingRatios!$A$225:$S$256,MATCH($A29,PitchingRatios!$A$225:$A$256,0),MATCH(AS$2,PitchingRatios!$A$225:$S$225,0))</f>
        <v>0.13</v>
      </c>
      <c r="AT29" s="7">
        <f>INDEX(TeamStandardPitching!$A:$AJ,MATCH($A29,TeamStandardPitching!$A:$A,0),MATCH(AT$2,TeamStandardPitching!$A$225:$AJ$225,0))</f>
        <v>33</v>
      </c>
      <c r="AU29" s="7">
        <f>INDEX(TeamStandardPitching!$A:$AJ,MATCH($A29,TeamStandardPitching!$A:$A,0),MATCH(AU$2,TeamStandardPitching!$A$225:$AJ$225,0))</f>
        <v>27.8</v>
      </c>
      <c r="AV29" s="7">
        <f>INDEX(TeamStandardPitching!$A:$AJ,MATCH($A29,TeamStandardPitching!$A:$A,0),MATCH(AV$2,TeamStandardPitching!$A$225:$AJ$225,0))</f>
        <v>4.05</v>
      </c>
      <c r="AW29" s="7">
        <f>INDEX(TeamStandardPitching!$A:$AJ,MATCH($A29,TeamStandardPitching!$A:$A,0),MATCH(AW$2,TeamStandardPitching!$A$225:$AJ$225,0))</f>
        <v>181</v>
      </c>
      <c r="AX29" s="7">
        <f>INDEX(TeamStandardPitching!$A:$AJ,MATCH($A29,TeamStandardPitching!$A:$A,0),MATCH(AX$2,TeamStandardPitching!$A$225:$AJ$225,0))</f>
        <v>453</v>
      </c>
      <c r="AY29" s="7">
        <f>INDEX(TeamStandardPitching!$A:$AJ,MATCH($A29,TeamStandardPitching!$A:$A,0),MATCH(AY$2,TeamStandardPitching!$A$225:$AJ$225,0))</f>
        <v>27</v>
      </c>
      <c r="AZ29" s="7">
        <f>INDEX(TeamStandardPitching!$A:$AJ,MATCH($A29,TeamStandardPitching!$A:$A,0),MATCH(AZ$2,TeamStandardPitching!$A$225:$AJ$225,0))</f>
        <v>1621</v>
      </c>
      <c r="BA29" s="7">
        <f>INDEX(TeamStandardPitching!$A:$AJ,MATCH($A29,TeamStandardPitching!$A:$A,0),MATCH(BA$2,TeamStandardPitching!$A$225:$AJ$225,0))</f>
        <v>60</v>
      </c>
      <c r="BB29" s="7">
        <f>INDEX(TeamStandardPitching!$A:$AJ,MATCH($A29,TeamStandardPitching!$A:$A,0),MATCH(BB$2,TeamStandardPitching!$A$225:$AJ$225,0))</f>
        <v>7</v>
      </c>
      <c r="BC29" s="7">
        <f>INDEX(TeamStandardPitching!$A:$AJ,MATCH($A29,TeamStandardPitching!$A:$A,0),MATCH(BC$2,TeamStandardPitching!$A$225:$AJ$225,0))</f>
        <v>59</v>
      </c>
      <c r="BD29" s="7">
        <f>INDEX(TeamStandardPitching!$A:$AJ,MATCH($A29,TeamStandardPitching!$A:$A,0),MATCH(BD$2,TeamStandardPitching!$A$225:$AJ$225,0))</f>
        <v>6086</v>
      </c>
      <c r="BE29" s="7">
        <f>INDEX(TeamStandardPitching!$A:$AJ,MATCH($A29,TeamStandardPitching!$A:$A,0),MATCH(BE$2,TeamStandardPitching!$A$225:$AJ$225,0))</f>
        <v>122</v>
      </c>
      <c r="BF29" s="7">
        <f>INDEX(TeamStandardPitching!$A:$AJ,MATCH($A29,TeamStandardPitching!$A:$A,0),MATCH(BF$2,TeamStandardPitching!$A$225:$AJ$225,0))</f>
        <v>3.65</v>
      </c>
      <c r="BG29" s="7">
        <f>INDEX(TeamStandardPitching!$A:$AJ,MATCH($A29,TeamStandardPitching!$A:$A,0),MATCH(BG$2,TeamStandardPitching!$A$225:$AJ$225,0))</f>
        <v>1.171</v>
      </c>
      <c r="BH29" s="7">
        <f>INDEX(TeamStandardPitching!$A:$AJ,MATCH($A29,TeamStandardPitching!$A:$A,0),MATCH(BH$2,TeamStandardPitching!$A$225:$AJ$225,0))</f>
        <v>7.8</v>
      </c>
      <c r="BI29" s="7">
        <f>INDEX(TeamStandardPitching!$A:$AJ,MATCH($A29,TeamStandardPitching!$A:$A,0),MATCH(BI$2,TeamStandardPitching!$A$225:$AJ$225,0))</f>
        <v>1.1000000000000001</v>
      </c>
      <c r="BJ29" s="7">
        <f>INDEX(TeamStandardPitching!$A:$AJ,MATCH($A29,TeamStandardPitching!$A:$A,0),MATCH(BJ$2,TeamStandardPitching!$A$225:$AJ$225,0))</f>
        <v>2.8</v>
      </c>
      <c r="BK29" s="7">
        <f>INDEX(TeamStandardPitching!$A:$AJ,MATCH($A29,TeamStandardPitching!$A:$A,0),MATCH(BK$2,TeamStandardPitching!$A$225:$AJ$225,0))</f>
        <v>9.9</v>
      </c>
      <c r="BL29" s="7">
        <f>INDEX(TeamStandardPitching!$A:$AJ,MATCH($A29,TeamStandardPitching!$A:$A,0),MATCH(BL$2,TeamStandardPitching!$A$225:$AJ$225,0))</f>
        <v>3.58</v>
      </c>
      <c r="BM29" s="7">
        <f>INDEX(TeamStandardPitching!$A:$AJ,MATCH($A29,TeamStandardPitching!$A:$A,0),MATCH(BM$2,TeamStandardPitching!$A$225:$AJ$225,0))</f>
        <v>1007</v>
      </c>
      <c r="BO29">
        <v>0.94973297312090399</v>
      </c>
      <c r="BP29">
        <v>0.17140966336153252</v>
      </c>
      <c r="BQ29" t="e">
        <v>#N/A</v>
      </c>
      <c r="BR29" t="e">
        <v>#N/A</v>
      </c>
      <c r="BS29" t="e">
        <v>#N/A</v>
      </c>
      <c r="BT29" t="e">
        <v>#N/A</v>
      </c>
      <c r="BU29" t="e">
        <v>#N/A</v>
      </c>
      <c r="BV29" t="e">
        <v>#N/A</v>
      </c>
      <c r="BW29" t="e">
        <v>#N/A</v>
      </c>
      <c r="BX29" t="e">
        <v>#N/A</v>
      </c>
      <c r="BY29" t="e">
        <v>#N/A</v>
      </c>
      <c r="BZ29" t="e">
        <v>#N/A</v>
      </c>
    </row>
    <row r="30" spans="1:78" x14ac:dyDescent="0.25">
      <c r="A30" t="s">
        <v>19</v>
      </c>
      <c r="B30" t="s">
        <v>249</v>
      </c>
      <c r="D30">
        <f>INDEX(Scores!$B$1:$G$31,MATCH($A30,Scores!$B$1:$B$31,0),MATCH(D$2,Scores!$B$1:$G$1,0))</f>
        <v>4.3950617283950617</v>
      </c>
      <c r="E30">
        <f>INDEX(Scores!$B$1:$G$31,MATCH($A30,Scores!$B$1:$B$31,0),MATCH(E$2,Scores!$B$1:$G$1,0))</f>
        <v>3.4126815507105221</v>
      </c>
      <c r="F30">
        <f>INDEX(Scores!$B$1:$G$31,MATCH($A30,Scores!$B$1:$B$31,0),MATCH(F$2,Scores!$B$1:$G$1,0))</f>
        <v>5.5526315789473681</v>
      </c>
      <c r="G30">
        <f>INDEX(Scores!$B$1:$G$31,MATCH($A30,Scores!$B$1:$B$31,0),MATCH(G$2,Scores!$B$1:$G$1,0))</f>
        <v>2.8580207396862001</v>
      </c>
      <c r="H30" s="9">
        <f>INDEX(TeamAdvBatting!$A:$Z,MATCH($A30,TeamAdvBatting!$A:$A,0),MATCH(H$2,TeamAdvBatting!$A$225:$Z$225,0))</f>
        <v>5</v>
      </c>
      <c r="I30" s="9">
        <f>INDEX(TeamAdvBatting!$A:$Z,MATCH($A30,TeamAdvBatting!$A:$A,0),MATCH(I$2,TeamAdvBatting!$A$225:$Z$225,0))</f>
        <v>4363</v>
      </c>
      <c r="J30" s="9">
        <f>INDEX(TeamAdvBatting!$A:$Z,MATCH($A30,TeamAdvBatting!$A:$A,0),MATCH(J$2,TeamAdvBatting!$A$225:$Z$225,0))</f>
        <v>799</v>
      </c>
      <c r="K30" s="9">
        <f>INDEX(TeamAdvBatting!$A:$Z,MATCH($A30,TeamAdvBatting!$A:$A,0),MATCH(K$2,TeamAdvBatting!$A$225:$Z$225,0))</f>
        <v>4.9000000000000004</v>
      </c>
      <c r="L30" s="9">
        <f>INDEX(TeamAdvBatting!$A:$Z,MATCH($A30,TeamAdvBatting!$A:$A,0),MATCH(L$2,TeamAdvBatting!$A$225:$Z$225,0))</f>
        <v>116</v>
      </c>
      <c r="M30" s="9">
        <f>INDEX(TeamAdvBatting!$A:$Z,MATCH($A30,TeamAdvBatting!$A:$A,0),MATCH(M$2,TeamAdvBatting!$A$225:$Z$225,0))</f>
        <v>0.30399999999999999</v>
      </c>
      <c r="N30" s="9">
        <f>INDEX(TeamAdvBatting!$A:$Z,MATCH($A30,TeamAdvBatting!$A:$A,0),MATCH(N$2,TeamAdvBatting!$A$225:$Z$225,0))</f>
        <v>0.31900000000000001</v>
      </c>
      <c r="O30" s="9">
        <f>INDEX(TeamAdvBatting!$A:$Z,MATCH($A30,TeamAdvBatting!$A:$A,0),MATCH(O$2,TeamAdvBatting!$A$225:$Z$225,0))</f>
        <v>0.43099999999999999</v>
      </c>
      <c r="P30" s="9">
        <f>INDEX(TeamAdvBatting!$A:$Z,MATCH($A30,TeamAdvBatting!$A:$A,0),MATCH(P$2,TeamAdvBatting!$A$225:$Z$225,0))</f>
        <v>88</v>
      </c>
      <c r="Q30" s="9">
        <f>INDEX(TeamAdvBatting!$A:$Z,MATCH($A30,TeamAdvBatting!$A:$A,0),MATCH(Q$2,TeamAdvBatting!$A$225:$Z$225,0))</f>
        <v>0.49</v>
      </c>
      <c r="R30" s="9">
        <f>INDEX(TeamAdvBatting!$A:$Z,MATCH($A30,TeamAdvBatting!$A:$A,0),MATCH(R$2,TeamAdvBatting!$A$225:$Z$225,0))</f>
        <v>-105.5</v>
      </c>
      <c r="S30" s="9">
        <f>INDEX(TeamAdvBatting!$A:$Z,MATCH($A30,TeamAdvBatting!$A:$A,0),MATCH(S$2,TeamAdvBatting!$A$225:$Z$225,0))</f>
        <v>-10.199999999999999</v>
      </c>
      <c r="T30" s="9">
        <f>INDEX(TeamAdvBatting!$A:$Z,MATCH($A30,TeamAdvBatting!$A:$A,0),MATCH(T$2,TeamAdvBatting!$A$225:$Z$225,0))</f>
        <v>0.72499999999999998</v>
      </c>
      <c r="U30" s="9">
        <f>INDEX(TeamAdvBatting!$A:$Z,MATCH($A30,TeamAdvBatting!$A:$A,0),MATCH(U$2,TeamAdvBatting!$A$225:$Z$225,0))</f>
        <v>0.29599999999999999</v>
      </c>
      <c r="V30" s="9">
        <f>INDEX(TeamAdvBatting!$A:$Z,MATCH($A30,TeamAdvBatting!$A:$A,0),MATCH(V$2,TeamAdvBatting!$A$225:$Z$225,0))</f>
        <v>0.183</v>
      </c>
      <c r="W30" s="9">
        <f>INDEX(TeamAdvBatting!$A:$Z,MATCH($A30,TeamAdvBatting!$A:$A,0),MATCH(W$2,TeamAdvBatting!$A$225:$Z$225,0))</f>
        <v>165</v>
      </c>
      <c r="X30" s="78">
        <f>INDEX(BattingRatios!$A$225:$Q$256,MATCH($A30,BattingRatios!$A$225:$A$256,0),MATCH(X$2,BattingRatios!$A$225:$Q$225,0))</f>
        <v>3.5999999999999997E-2</v>
      </c>
      <c r="Y30" s="78">
        <f>INDEX(BattingRatios!$A$225:$Q$256,MATCH($A30,BattingRatios!$A$225:$A$256,0),MATCH(Y$2,BattingRatios!$A$225:$Q$225,0))</f>
        <v>0.254</v>
      </c>
      <c r="Z30" s="78">
        <f>INDEX(BattingRatios!$A$225:$Q$256,MATCH($A30,BattingRatios!$A$225:$A$256,0),MATCH(Z$2,BattingRatios!$A$225:$Q$225,0))</f>
        <v>8.5999999999999993E-2</v>
      </c>
      <c r="AA30" s="78">
        <f>INDEX(BattingRatios!$A$225:$Q$256,MATCH($A30,BattingRatios!$A$225:$A$256,0),MATCH(AA$2,BattingRatios!$A$225:$Q$225,0))</f>
        <v>8.7999999999999995E-2</v>
      </c>
      <c r="AB30" s="78">
        <f>INDEX(BattingRatios!$A$225:$Q$256,MATCH($A30,BattingRatios!$A$225:$A$256,0),MATCH(AB$2,BattingRatios!$A$225:$Q$225,0))</f>
        <v>0.4</v>
      </c>
      <c r="AC30" s="78">
        <f>INDEX(BattingRatios!$A$225:$Q$256,MATCH($A30,BattingRatios!$A$225:$A$256,0),MATCH(AC$2,BattingRatios!$A$225:$Q$225,0))</f>
        <v>0.77</v>
      </c>
      <c r="AD30" s="78">
        <f>INDEX(BattingRatios!$A$225:$Q$256,MATCH($A30,BattingRatios!$A$225:$A$256,0),MATCH(AD$2,BattingRatios!$A$225:$Q$225,0))</f>
        <v>1.01</v>
      </c>
      <c r="AE30" s="78">
        <f>INDEX(BattingRatios!$A$225:$Q$256,MATCH($A30,BattingRatios!$A$225:$A$256,0),MATCH(AE$2,BattingRatios!$A$225:$Q$225,0))</f>
        <v>0.61</v>
      </c>
      <c r="AF30" s="78">
        <f>INDEX(BattingRatios!$A$225:$Q$256,MATCH($A30,BattingRatios!$A$225:$A$256,0),MATCH(AF$2,BattingRatios!$A$225:$Q$225,0))</f>
        <v>0.26</v>
      </c>
      <c r="AG30" s="78">
        <f>INDEX(BattingRatios!$A$225:$Q$256,MATCH($A30,BattingRatios!$A$225:$A$256,0),MATCH(AG$2,BattingRatios!$A$225:$Q$225,0))</f>
        <v>0.112</v>
      </c>
      <c r="AH30" s="78">
        <f>INDEX(BattingRatios!$A$225:$Q$256,MATCH($A30,BattingRatios!$A$225:$A$256,0),MATCH(AH$2,BattingRatios!$A$225:$Q$225,0))</f>
        <v>0.11</v>
      </c>
      <c r="AI30" s="81">
        <f>INDEX(PitchingRatios!$A$225:$S$256,MATCH($A30,PitchingRatios!$A$225:$A$256,0),MATCH(AI$2,PitchingRatios!$A$225:$S$225,0))</f>
        <v>3.7999999999999999E-2</v>
      </c>
      <c r="AJ30" s="81">
        <f>INDEX(PitchingRatios!$A$225:$S$256,MATCH($A30,PitchingRatios!$A$225:$A$256,0),MATCH(AJ$2,PitchingRatios!$A$225:$S$225,0))</f>
        <v>0.217</v>
      </c>
      <c r="AK30" s="81">
        <f>INDEX(PitchingRatios!$A$225:$S$256,MATCH($A30,PitchingRatios!$A$225:$A$256,0),MATCH(AK$2,PitchingRatios!$A$225:$S$225,0))</f>
        <v>9.1999999999999998E-2</v>
      </c>
      <c r="AL30" s="81">
        <f>INDEX(PitchingRatios!$A$225:$S$256,MATCH($A30,PitchingRatios!$A$225:$A$256,0),MATCH(AL$2,PitchingRatios!$A$225:$S$225,0))</f>
        <v>9.1999999999999998E-2</v>
      </c>
      <c r="AM30" s="81">
        <f>INDEX(PitchingRatios!$A$225:$S$256,MATCH($A30,PitchingRatios!$A$225:$A$256,0),MATCH(AM$2,PitchingRatios!$A$225:$S$225,0))</f>
        <v>0.39</v>
      </c>
      <c r="AN30" s="81">
        <f>INDEX(PitchingRatios!$A$225:$S$256,MATCH($A30,PitchingRatios!$A$225:$A$256,0),MATCH(AN$2,PitchingRatios!$A$225:$S$225,0))</f>
        <v>0.73</v>
      </c>
      <c r="AO30" s="81">
        <f>INDEX(PitchingRatios!$A$225:$S$256,MATCH($A30,PitchingRatios!$A$225:$A$256,0),MATCH(AO$2,PitchingRatios!$A$225:$S$225,0))</f>
        <v>0.96</v>
      </c>
      <c r="AP30" s="81">
        <f>INDEX(PitchingRatios!$A$225:$S$256,MATCH($A30,PitchingRatios!$A$225:$A$256,0),MATCH(AP$2,PitchingRatios!$A$225:$S$225,0))</f>
        <v>0.64</v>
      </c>
      <c r="AQ30" s="81">
        <f>INDEX(PitchingRatios!$A$225:$S$256,MATCH($A30,PitchingRatios!$A$225:$A$256,0),MATCH(AQ$2,PitchingRatios!$A$225:$S$225,0))</f>
        <v>0.25</v>
      </c>
      <c r="AR30" s="81">
        <f>INDEX(PitchingRatios!$A$225:$S$256,MATCH($A30,PitchingRatios!$A$225:$A$256,0),MATCH(AR$2,PitchingRatios!$A$225:$S$225,0))</f>
        <v>0.11</v>
      </c>
      <c r="AS30" s="81">
        <f>INDEX(PitchingRatios!$A$225:$S$256,MATCH($A30,PitchingRatios!$A$225:$A$256,0),MATCH(AS$2,PitchingRatios!$A$225:$S$225,0))</f>
        <v>0.11</v>
      </c>
      <c r="AT30" s="7">
        <f>INDEX(TeamStandardPitching!$A:$AJ,MATCH($A30,TeamStandardPitching!$A:$A,0),MATCH(AT$2,TeamStandardPitching!$A$225:$AJ$225,0))</f>
        <v>36</v>
      </c>
      <c r="AU30" s="7">
        <f>INDEX(TeamStandardPitching!$A:$AJ,MATCH($A30,TeamStandardPitching!$A:$A,0),MATCH(AU$2,TeamStandardPitching!$A$225:$AJ$225,0))</f>
        <v>28.3</v>
      </c>
      <c r="AV30" s="7">
        <f>INDEX(TeamStandardPitching!$A:$AJ,MATCH($A30,TeamStandardPitching!$A:$A,0),MATCH(AV$2,TeamStandardPitching!$A$225:$AJ$225,0))</f>
        <v>5.42</v>
      </c>
      <c r="AW30" s="7">
        <f>INDEX(TeamStandardPitching!$A:$AJ,MATCH($A30,TeamStandardPitching!$A:$A,0),MATCH(AW$2,TeamStandardPitching!$A$225:$AJ$225,0))</f>
        <v>241</v>
      </c>
      <c r="AX30" s="7">
        <f>INDEX(TeamStandardPitching!$A:$AJ,MATCH($A30,TeamStandardPitching!$A:$A,0),MATCH(AX$2,TeamStandardPitching!$A$225:$AJ$225,0))</f>
        <v>583</v>
      </c>
      <c r="AY30" s="7">
        <f>INDEX(TeamStandardPitching!$A:$AJ,MATCH($A30,TeamStandardPitching!$A:$A,0),MATCH(AY$2,TeamStandardPitching!$A$225:$AJ$225,0))</f>
        <v>11</v>
      </c>
      <c r="AZ30" s="7">
        <f>INDEX(TeamStandardPitching!$A:$AJ,MATCH($A30,TeamStandardPitching!$A:$A,0),MATCH(AZ$2,TeamStandardPitching!$A$225:$AJ$225,0))</f>
        <v>1379</v>
      </c>
      <c r="BA30" s="7">
        <f>INDEX(TeamStandardPitching!$A:$AJ,MATCH($A30,TeamStandardPitching!$A:$A,0),MATCH(BA$2,TeamStandardPitching!$A$225:$AJ$225,0))</f>
        <v>70</v>
      </c>
      <c r="BB30" s="7">
        <f>INDEX(TeamStandardPitching!$A:$AJ,MATCH($A30,TeamStandardPitching!$A:$A,0),MATCH(BB$2,TeamStandardPitching!$A$225:$AJ$225,0))</f>
        <v>3</v>
      </c>
      <c r="BC30" s="7">
        <f>INDEX(TeamStandardPitching!$A:$AJ,MATCH($A30,TeamStandardPitching!$A:$A,0),MATCH(BC$2,TeamStandardPitching!$A$225:$AJ$225,0))</f>
        <v>68</v>
      </c>
      <c r="BD30" s="7">
        <f>INDEX(TeamStandardPitching!$A:$AJ,MATCH($A30,TeamStandardPitching!$A:$A,0),MATCH(BD$2,TeamStandardPitching!$A$225:$AJ$225,0))</f>
        <v>6354</v>
      </c>
      <c r="BE30" s="7">
        <f>INDEX(TeamStandardPitching!$A:$AJ,MATCH($A30,TeamStandardPitching!$A:$A,0),MATCH(BE$2,TeamStandardPitching!$A$225:$AJ$225,0))</f>
        <v>102</v>
      </c>
      <c r="BF30" s="7">
        <f>INDEX(TeamStandardPitching!$A:$AJ,MATCH($A30,TeamStandardPitching!$A:$A,0),MATCH(BF$2,TeamStandardPitching!$A$225:$AJ$225,0))</f>
        <v>4.84</v>
      </c>
      <c r="BG30" s="7">
        <f>INDEX(TeamStandardPitching!$A:$AJ,MATCH($A30,TeamStandardPitching!$A:$A,0),MATCH(BG$2,TeamStandardPitching!$A$225:$AJ$225,0))</f>
        <v>1.4590000000000001</v>
      </c>
      <c r="BH30" s="7">
        <f>INDEX(TeamStandardPitching!$A:$AJ,MATCH($A30,TeamStandardPitching!$A:$A,0),MATCH(BH$2,TeamStandardPitching!$A$225:$AJ$225,0))</f>
        <v>9.5</v>
      </c>
      <c r="BI30" s="7">
        <f>INDEX(TeamStandardPitching!$A:$AJ,MATCH($A30,TeamStandardPitching!$A:$A,0),MATCH(BI$2,TeamStandardPitching!$A$225:$AJ$225,0))</f>
        <v>1.5</v>
      </c>
      <c r="BJ30" s="7">
        <f>INDEX(TeamStandardPitching!$A:$AJ,MATCH($A30,TeamStandardPitching!$A:$A,0),MATCH(BJ$2,TeamStandardPitching!$A$225:$AJ$225,0))</f>
        <v>3.6</v>
      </c>
      <c r="BK30" s="7">
        <f>INDEX(TeamStandardPitching!$A:$AJ,MATCH($A30,TeamStandardPitching!$A:$A,0),MATCH(BK$2,TeamStandardPitching!$A$225:$AJ$225,0))</f>
        <v>8.6</v>
      </c>
      <c r="BL30" s="7">
        <f>INDEX(TeamStandardPitching!$A:$AJ,MATCH($A30,TeamStandardPitching!$A:$A,0),MATCH(BL$2,TeamStandardPitching!$A$225:$AJ$225,0))</f>
        <v>2.37</v>
      </c>
      <c r="BM30" s="7">
        <f>INDEX(TeamStandardPitching!$A:$AJ,MATCH($A30,TeamStandardPitching!$A:$A,0),MATCH(BM$2,TeamStandardPitching!$A$225:$AJ$225,0))</f>
        <v>1162</v>
      </c>
      <c r="BO30">
        <v>30.917056328168513</v>
      </c>
      <c r="BP30">
        <v>18</v>
      </c>
      <c r="BQ30" t="e">
        <v>#N/A</v>
      </c>
      <c r="BR30" t="e">
        <v>#N/A</v>
      </c>
      <c r="BS30" t="e">
        <v>#N/A</v>
      </c>
      <c r="BT30" t="e">
        <v>#N/A</v>
      </c>
      <c r="BU30" t="e">
        <v>#N/A</v>
      </c>
      <c r="BV30" t="e">
        <v>#N/A</v>
      </c>
      <c r="BW30" t="e">
        <v>#N/A</v>
      </c>
      <c r="BX30" t="e">
        <v>#N/A</v>
      </c>
      <c r="BY30" t="e">
        <v>#N/A</v>
      </c>
      <c r="BZ30" t="e">
        <v>#N/A</v>
      </c>
    </row>
    <row r="31" spans="1:78" x14ac:dyDescent="0.25">
      <c r="A31" t="s">
        <v>18</v>
      </c>
      <c r="B31" t="s">
        <v>250</v>
      </c>
      <c r="D31">
        <f>INDEX(Scores!$B$1:$G$31,MATCH($A31,Scores!$B$1:$B$31,0),MATCH(D$2,Scores!$B$1:$G$1,0))</f>
        <v>4.5308641975308639</v>
      </c>
      <c r="E31">
        <f>INDEX(Scores!$B$1:$G$31,MATCH($A31,Scores!$B$1:$B$31,0),MATCH(E$2,Scores!$B$1:$G$1,0))</f>
        <v>3.1193795669639592</v>
      </c>
      <c r="F31">
        <f>INDEX(Scores!$B$1:$G$31,MATCH($A31,Scores!$B$1:$B$31,0),MATCH(F$2,Scores!$B$1:$G$1,0))</f>
        <v>4.4415584415584419</v>
      </c>
      <c r="G31">
        <f>INDEX(Scores!$B$1:$G$31,MATCH($A31,Scores!$B$1:$B$31,0),MATCH(G$2,Scores!$B$1:$G$1,0))</f>
        <v>3.3709742955308988</v>
      </c>
      <c r="H31" s="9">
        <f>INDEX(TeamAdvBatting!$A:$Z,MATCH($A31,TeamAdvBatting!$A:$A,0),MATCH(H$2,TeamAdvBatting!$A$225:$Z$225,0))</f>
        <v>4.4800000000000004</v>
      </c>
      <c r="I31" s="9">
        <f>INDEX(TeamAdvBatting!$A:$Z,MATCH($A31,TeamAdvBatting!$A:$A,0),MATCH(I$2,TeamAdvBatting!$A$225:$Z$225,0))</f>
        <v>4363</v>
      </c>
      <c r="J31" s="9">
        <f>INDEX(TeamAdvBatting!$A:$Z,MATCH($A31,TeamAdvBatting!$A:$A,0),MATCH(J$2,TeamAdvBatting!$A$225:$Z$225,0))</f>
        <v>733</v>
      </c>
      <c r="K31" s="9">
        <f>INDEX(TeamAdvBatting!$A:$Z,MATCH($A31,TeamAdvBatting!$A:$A,0),MATCH(K$2,TeamAdvBatting!$A$225:$Z$225,0))</f>
        <v>4.5</v>
      </c>
      <c r="L31" s="9">
        <f>INDEX(TeamAdvBatting!$A:$Z,MATCH($A31,TeamAdvBatting!$A:$A,0),MATCH(L$2,TeamAdvBatting!$A$225:$Z$225,0))</f>
        <v>104</v>
      </c>
      <c r="M31" s="9">
        <f>INDEX(TeamAdvBatting!$A:$Z,MATCH($A31,TeamAdvBatting!$A:$A,0),MATCH(M$2,TeamAdvBatting!$A$225:$Z$225,0))</f>
        <v>0.28000000000000003</v>
      </c>
      <c r="N31" s="9">
        <f>INDEX(TeamAdvBatting!$A:$Z,MATCH($A31,TeamAdvBatting!$A:$A,0),MATCH(N$2,TeamAdvBatting!$A$225:$Z$225,0))</f>
        <v>0.30499999999999999</v>
      </c>
      <c r="O31" s="9">
        <f>INDEX(TeamAdvBatting!$A:$Z,MATCH($A31,TeamAdvBatting!$A:$A,0),MATCH(O$2,TeamAdvBatting!$A$225:$Z$225,0))</f>
        <v>0.42799999999999999</v>
      </c>
      <c r="P31" s="9">
        <f>INDEX(TeamAdvBatting!$A:$Z,MATCH($A31,TeamAdvBatting!$A:$A,0),MATCH(P$2,TeamAdvBatting!$A$225:$Z$225,0))</f>
        <v>94</v>
      </c>
      <c r="Q31" s="9">
        <f>INDEX(TeamAdvBatting!$A:$Z,MATCH($A31,TeamAdvBatting!$A:$A,0),MATCH(Q$2,TeamAdvBatting!$A$225:$Z$225,0))</f>
        <v>0.45</v>
      </c>
      <c r="R31" s="9">
        <f>INDEX(TeamAdvBatting!$A:$Z,MATCH($A31,TeamAdvBatting!$A:$A,0),MATCH(R$2,TeamAdvBatting!$A$225:$Z$225,0))</f>
        <v>-48.6</v>
      </c>
      <c r="S31" s="9">
        <f>INDEX(TeamAdvBatting!$A:$Z,MATCH($A31,TeamAdvBatting!$A:$A,0),MATCH(S$2,TeamAdvBatting!$A$225:$Z$225,0))</f>
        <v>-4.8</v>
      </c>
      <c r="T31" s="9">
        <f>INDEX(TeamAdvBatting!$A:$Z,MATCH($A31,TeamAdvBatting!$A:$A,0),MATCH(T$2,TeamAdvBatting!$A$225:$Z$225,0))</f>
        <v>0.68400000000000005</v>
      </c>
      <c r="U31" s="9">
        <f>INDEX(TeamAdvBatting!$A:$Z,MATCH($A31,TeamAdvBatting!$A:$A,0),MATCH(U$2,TeamAdvBatting!$A$225:$Z$225,0))</f>
        <v>0.28999999999999998</v>
      </c>
      <c r="V31" s="9">
        <f>INDEX(TeamAdvBatting!$A:$Z,MATCH($A31,TeamAdvBatting!$A:$A,0),MATCH(V$2,TeamAdvBatting!$A$225:$Z$225,0))</f>
        <v>0.192</v>
      </c>
      <c r="W31" s="9">
        <f>INDEX(TeamAdvBatting!$A:$Z,MATCH($A31,TeamAdvBatting!$A:$A,0),MATCH(W$2,TeamAdvBatting!$A$225:$Z$225,0))</f>
        <v>84.5</v>
      </c>
      <c r="X31" s="78">
        <f>INDEX(BattingRatios!$A$225:$Q$256,MATCH($A31,BattingRatios!$A$225:$A$256,0),MATCH(X$2,BattingRatios!$A$225:$Q$225,0))</f>
        <v>4.1000000000000002E-2</v>
      </c>
      <c r="Y31" s="78">
        <f>INDEX(BattingRatios!$A$225:$Q$256,MATCH($A31,BattingRatios!$A$225:$A$256,0),MATCH(Y$2,BattingRatios!$A$225:$Q$225,0))</f>
        <v>0.249</v>
      </c>
      <c r="Z31" s="78">
        <f>INDEX(BattingRatios!$A$225:$Q$256,MATCH($A31,BattingRatios!$A$225:$A$256,0),MATCH(Z$2,BattingRatios!$A$225:$Q$225,0))</f>
        <v>8.4000000000000005E-2</v>
      </c>
      <c r="AA31" s="78">
        <f>INDEX(BattingRatios!$A$225:$Q$256,MATCH($A31,BattingRatios!$A$225:$A$256,0),MATCH(AA$2,BattingRatios!$A$225:$Q$225,0))</f>
        <v>8.7999999999999995E-2</v>
      </c>
      <c r="AB31" s="78">
        <f>INDEX(BattingRatios!$A$225:$Q$256,MATCH($A31,BattingRatios!$A$225:$A$256,0),MATCH(AB$2,BattingRatios!$A$225:$Q$225,0))</f>
        <v>0.41</v>
      </c>
      <c r="AC31" s="78">
        <f>INDEX(BattingRatios!$A$225:$Q$256,MATCH($A31,BattingRatios!$A$225:$A$256,0),MATCH(AC$2,BattingRatios!$A$225:$Q$225,0))</f>
        <v>0.67</v>
      </c>
      <c r="AD31" s="78">
        <f>INDEX(BattingRatios!$A$225:$Q$256,MATCH($A31,BattingRatios!$A$225:$A$256,0),MATCH(AD$2,BattingRatios!$A$225:$Q$225,0))</f>
        <v>0.91</v>
      </c>
      <c r="AE31" s="78">
        <f>INDEX(BattingRatios!$A$225:$Q$256,MATCH($A31,BattingRatios!$A$225:$A$256,0),MATCH(AE$2,BattingRatios!$A$225:$Q$225,0))</f>
        <v>0.62</v>
      </c>
      <c r="AF31" s="78">
        <f>INDEX(BattingRatios!$A$225:$Q$256,MATCH($A31,BattingRatios!$A$225:$A$256,0),MATCH(AF$2,BattingRatios!$A$225:$Q$225,0))</f>
        <v>0.24</v>
      </c>
      <c r="AG31" s="78">
        <f>INDEX(BattingRatios!$A$225:$Q$256,MATCH($A31,BattingRatios!$A$225:$A$256,0),MATCH(AG$2,BattingRatios!$A$225:$Q$225,0))</f>
        <v>0.12</v>
      </c>
      <c r="AH31" s="78">
        <f>INDEX(BattingRatios!$A$225:$Q$256,MATCH($A31,BattingRatios!$A$225:$A$256,0),MATCH(AH$2,BattingRatios!$A$225:$Q$225,0))</f>
        <v>0.13</v>
      </c>
      <c r="AI31" s="81">
        <f>INDEX(PitchingRatios!$A$225:$S$256,MATCH($A31,PitchingRatios!$A$225:$A$256,0),MATCH(AI$2,PitchingRatios!$A$225:$S$225,0))</f>
        <v>3.5999999999999997E-2</v>
      </c>
      <c r="AJ31" s="81">
        <f>INDEX(PitchingRatios!$A$225:$S$256,MATCH($A31,PitchingRatios!$A$225:$A$256,0),MATCH(AJ$2,PitchingRatios!$A$225:$S$225,0))</f>
        <v>0.21099999999999999</v>
      </c>
      <c r="AK31" s="81">
        <f>INDEX(PitchingRatios!$A$225:$S$256,MATCH($A31,PitchingRatios!$A$225:$A$256,0),MATCH(AK$2,PitchingRatios!$A$225:$S$225,0))</f>
        <v>9.6000000000000002E-2</v>
      </c>
      <c r="AL31" s="81">
        <f>INDEX(PitchingRatios!$A$225:$S$256,MATCH($A31,PitchingRatios!$A$225:$A$256,0),MATCH(AL$2,PitchingRatios!$A$225:$S$225,0))</f>
        <v>9.4E-2</v>
      </c>
      <c r="AM31" s="81">
        <f>INDEX(PitchingRatios!$A$225:$S$256,MATCH($A31,PitchingRatios!$A$225:$A$256,0),MATCH(AM$2,PitchingRatios!$A$225:$S$225,0))</f>
        <v>0.41</v>
      </c>
      <c r="AN31" s="81">
        <f>INDEX(PitchingRatios!$A$225:$S$256,MATCH($A31,PitchingRatios!$A$225:$A$256,0),MATCH(AN$2,PitchingRatios!$A$225:$S$225,0))</f>
        <v>0.77</v>
      </c>
      <c r="AO31" s="81">
        <f>INDEX(PitchingRatios!$A$225:$S$256,MATCH($A31,PitchingRatios!$A$225:$A$256,0),MATCH(AO$2,PitchingRatios!$A$225:$S$225,0))</f>
        <v>1.01</v>
      </c>
      <c r="AP31" s="81">
        <f>INDEX(PitchingRatios!$A$225:$S$256,MATCH($A31,PitchingRatios!$A$225:$A$256,0),MATCH(AP$2,PitchingRatios!$A$225:$S$225,0))</f>
        <v>0.64</v>
      </c>
      <c r="AQ31" s="81">
        <f>INDEX(PitchingRatios!$A$225:$S$256,MATCH($A31,PitchingRatios!$A$225:$A$256,0),MATCH(AQ$2,PitchingRatios!$A$225:$S$225,0))</f>
        <v>0.25</v>
      </c>
      <c r="AR31" s="81">
        <f>INDEX(PitchingRatios!$A$225:$S$256,MATCH($A31,PitchingRatios!$A$225:$A$256,0),MATCH(AR$2,PitchingRatios!$A$225:$S$225,0))</f>
        <v>0.109</v>
      </c>
      <c r="AS31" s="81">
        <f>INDEX(PitchingRatios!$A$225:$S$256,MATCH($A31,PitchingRatios!$A$225:$A$256,0),MATCH(AS$2,PitchingRatios!$A$225:$S$225,0))</f>
        <v>0.13</v>
      </c>
      <c r="AT31" s="7">
        <f>INDEX(TeamStandardPitching!$A:$AJ,MATCH($A31,TeamStandardPitching!$A:$A,0),MATCH(AT$2,TeamStandardPitching!$A$225:$AJ$225,0))</f>
        <v>39</v>
      </c>
      <c r="AU31" s="7">
        <f>INDEX(TeamStandardPitching!$A:$AJ,MATCH($A31,TeamStandardPitching!$A:$A,0),MATCH(AU$2,TeamStandardPitching!$A$225:$AJ$225,0))</f>
        <v>28</v>
      </c>
      <c r="AV31" s="7">
        <f>INDEX(TeamStandardPitching!$A:$AJ,MATCH($A31,TeamStandardPitching!$A:$A,0),MATCH(AV$2,TeamStandardPitching!$A$225:$AJ$225,0))</f>
        <v>5.1100000000000003</v>
      </c>
      <c r="AW31" s="7">
        <f>INDEX(TeamStandardPitching!$A:$AJ,MATCH($A31,TeamStandardPitching!$A:$A,0),MATCH(AW$2,TeamStandardPitching!$A$225:$AJ$225,0))</f>
        <v>228</v>
      </c>
      <c r="AX31" s="7">
        <f>INDEX(TeamStandardPitching!$A:$AJ,MATCH($A31,TeamStandardPitching!$A:$A,0),MATCH(AX$2,TeamStandardPitching!$A$225:$AJ$225,0))</f>
        <v>604</v>
      </c>
      <c r="AY31" s="7">
        <f>INDEX(TeamStandardPitching!$A:$AJ,MATCH($A31,TeamStandardPitching!$A:$A,0),MATCH(AY$2,TeamStandardPitching!$A$225:$AJ$225,0))</f>
        <v>25</v>
      </c>
      <c r="AZ31" s="7">
        <f>INDEX(TeamStandardPitching!$A:$AJ,MATCH($A31,TeamStandardPitching!$A:$A,0),MATCH(AZ$2,TeamStandardPitching!$A$225:$AJ$225,0))</f>
        <v>1332</v>
      </c>
      <c r="BA31" s="7">
        <f>INDEX(TeamStandardPitching!$A:$AJ,MATCH($A31,TeamStandardPitching!$A:$A,0),MATCH(BA$2,TeamStandardPitching!$A$225:$AJ$225,0))</f>
        <v>69</v>
      </c>
      <c r="BB31" s="7">
        <f>INDEX(TeamStandardPitching!$A:$AJ,MATCH($A31,TeamStandardPitching!$A:$A,0),MATCH(BB$2,TeamStandardPitching!$A$225:$AJ$225,0))</f>
        <v>6</v>
      </c>
      <c r="BC31" s="7">
        <f>INDEX(TeamStandardPitching!$A:$AJ,MATCH($A31,TeamStandardPitching!$A:$A,0),MATCH(BC$2,TeamStandardPitching!$A$225:$AJ$225,0))</f>
        <v>70</v>
      </c>
      <c r="BD31" s="7">
        <f>INDEX(TeamStandardPitching!$A:$AJ,MATCH($A31,TeamStandardPitching!$A:$A,0),MATCH(BD$2,TeamStandardPitching!$A$225:$AJ$225,0))</f>
        <v>6313</v>
      </c>
      <c r="BE31" s="7">
        <f>INDEX(TeamStandardPitching!$A:$AJ,MATCH($A31,TeamStandardPitching!$A:$A,0),MATCH(BE$2,TeamStandardPitching!$A$225:$AJ$225,0))</f>
        <v>95</v>
      </c>
      <c r="BF31" s="7">
        <f>INDEX(TeamStandardPitching!$A:$AJ,MATCH($A31,TeamStandardPitching!$A:$A,0),MATCH(BF$2,TeamStandardPitching!$A$225:$AJ$225,0))</f>
        <v>4.82</v>
      </c>
      <c r="BG31" s="7">
        <f>INDEX(TeamStandardPitching!$A:$AJ,MATCH($A31,TeamStandardPitching!$A:$A,0),MATCH(BG$2,TeamStandardPitching!$A$225:$AJ$225,0))</f>
        <v>1.4259999999999999</v>
      </c>
      <c r="BH31" s="7">
        <f>INDEX(TeamStandardPitching!$A:$AJ,MATCH($A31,TeamStandardPitching!$A:$A,0),MATCH(BH$2,TeamStandardPitching!$A$225:$AJ$225,0))</f>
        <v>9.1</v>
      </c>
      <c r="BI31" s="7">
        <f>INDEX(TeamStandardPitching!$A:$AJ,MATCH($A31,TeamStandardPitching!$A:$A,0),MATCH(BI$2,TeamStandardPitching!$A$225:$AJ$225,0))</f>
        <v>1.4</v>
      </c>
      <c r="BJ31" s="7">
        <f>INDEX(TeamStandardPitching!$A:$AJ,MATCH($A31,TeamStandardPitching!$A:$A,0),MATCH(BJ$2,TeamStandardPitching!$A$225:$AJ$225,0))</f>
        <v>3.8</v>
      </c>
      <c r="BK31" s="7">
        <f>INDEX(TeamStandardPitching!$A:$AJ,MATCH($A31,TeamStandardPitching!$A:$A,0),MATCH(BK$2,TeamStandardPitching!$A$225:$AJ$225,0))</f>
        <v>8.3000000000000007</v>
      </c>
      <c r="BL31" s="7">
        <f>INDEX(TeamStandardPitching!$A:$AJ,MATCH($A31,TeamStandardPitching!$A:$A,0),MATCH(BL$2,TeamStandardPitching!$A$225:$AJ$225,0))</f>
        <v>2.21</v>
      </c>
      <c r="BM31" s="7">
        <f>INDEX(TeamStandardPitching!$A:$AJ,MATCH($A31,TeamStandardPitching!$A:$A,0),MATCH(BM$2,TeamStandardPitching!$A$225:$AJ$225,0))</f>
        <v>1164</v>
      </c>
      <c r="BO31">
        <v>9.9922070915131531</v>
      </c>
      <c r="BP31">
        <v>0.52886290848685025</v>
      </c>
      <c r="BQ31" t="e">
        <v>#N/A</v>
      </c>
      <c r="BR31" t="e">
        <v>#N/A</v>
      </c>
      <c r="BS31" t="e">
        <v>#N/A</v>
      </c>
      <c r="BT31" t="e">
        <v>#N/A</v>
      </c>
      <c r="BU31" t="e">
        <v>#N/A</v>
      </c>
      <c r="BV31" t="e">
        <v>#N/A</v>
      </c>
      <c r="BW31" t="e">
        <v>#N/A</v>
      </c>
      <c r="BX31" t="e">
        <v>#N/A</v>
      </c>
      <c r="BY31" t="e">
        <v>#N/A</v>
      </c>
      <c r="BZ31" t="e">
        <v>#N/A</v>
      </c>
    </row>
    <row r="32" spans="1:78" x14ac:dyDescent="0.25">
      <c r="A32" t="s">
        <v>22</v>
      </c>
      <c r="B32" t="s">
        <v>251</v>
      </c>
      <c r="D32">
        <f>INDEX(Scores!$B$1:$G$31,MATCH($A32,Scores!$B$1:$B$31,0),MATCH(D$2,Scores!$B$1:$G$1,0))</f>
        <v>5.1851851851851851</v>
      </c>
      <c r="E32">
        <f>INDEX(Scores!$B$1:$G$31,MATCH($A32,Scores!$B$1:$B$31,0),MATCH(E$2,Scores!$B$1:$G$1,0))</f>
        <v>3.4106264987322481</v>
      </c>
      <c r="F32">
        <f>INDEX(Scores!$B$1:$G$31,MATCH($A32,Scores!$B$1:$B$31,0),MATCH(F$2,Scores!$B$1:$G$1,0))</f>
        <v>5.4736842105263159</v>
      </c>
      <c r="G32">
        <f>INDEX(Scores!$B$1:$G$31,MATCH($A32,Scores!$B$1:$B$31,0),MATCH(G$2,Scores!$B$1:$G$1,0))</f>
        <v>3.6902206616753905</v>
      </c>
      <c r="H32" s="9">
        <f>INDEX(TeamAdvBatting!$A:$Z,MATCH($A32,TeamAdvBatting!$A:$A,0),MATCH(H$2,TeamAdvBatting!$A$225:$Z$225,0))</f>
        <v>5.39</v>
      </c>
      <c r="I32" s="9">
        <f>INDEX(TeamAdvBatting!$A:$Z,MATCH($A32,TeamAdvBatting!$A:$A,0),MATCH(I$2,TeamAdvBatting!$A$225:$Z$225,0))</f>
        <v>4288</v>
      </c>
      <c r="J32" s="9">
        <f>INDEX(TeamAdvBatting!$A:$Z,MATCH($A32,TeamAdvBatting!$A:$A,0),MATCH(J$2,TeamAdvBatting!$A$225:$Z$225,0))</f>
        <v>907</v>
      </c>
      <c r="K32" s="9">
        <f>INDEX(TeamAdvBatting!$A:$Z,MATCH($A32,TeamAdvBatting!$A:$A,0),MATCH(K$2,TeamAdvBatting!$A$225:$Z$225,0))</f>
        <v>5.7</v>
      </c>
      <c r="L32" s="9">
        <f>INDEX(TeamAdvBatting!$A:$Z,MATCH($A32,TeamAdvBatting!$A:$A,0),MATCH(L$2,TeamAdvBatting!$A$225:$Z$225,0))</f>
        <v>115</v>
      </c>
      <c r="M32" s="9">
        <f>INDEX(TeamAdvBatting!$A:$Z,MATCH($A32,TeamAdvBatting!$A:$A,0),MATCH(M$2,TeamAdvBatting!$A$225:$Z$225,0))</f>
        <v>0.30599999999999999</v>
      </c>
      <c r="N32" s="9">
        <f>INDEX(TeamAdvBatting!$A:$Z,MATCH($A32,TeamAdvBatting!$A:$A,0),MATCH(N$2,TeamAdvBatting!$A$225:$Z$225,0))</f>
        <v>0.34200000000000003</v>
      </c>
      <c r="O32" s="9">
        <f>INDEX(TeamAdvBatting!$A:$Z,MATCH($A32,TeamAdvBatting!$A:$A,0),MATCH(O$2,TeamAdvBatting!$A$225:$Z$225,0))</f>
        <v>0.45400000000000001</v>
      </c>
      <c r="P32" s="9">
        <f>INDEX(TeamAdvBatting!$A:$Z,MATCH($A32,TeamAdvBatting!$A:$A,0),MATCH(P$2,TeamAdvBatting!$A$225:$Z$225,0))</f>
        <v>100</v>
      </c>
      <c r="Q32" s="9">
        <f>INDEX(TeamAdvBatting!$A:$Z,MATCH($A32,TeamAdvBatting!$A:$A,0),MATCH(Q$2,TeamAdvBatting!$A$225:$Z$225,0))</f>
        <v>0.56000000000000005</v>
      </c>
      <c r="R32" s="9">
        <f>INDEX(TeamAdvBatting!$A:$Z,MATCH($A32,TeamAdvBatting!$A:$A,0),MATCH(R$2,TeamAdvBatting!$A$225:$Z$225,0))</f>
        <v>2.4</v>
      </c>
      <c r="S32" s="9">
        <f>INDEX(TeamAdvBatting!$A:$Z,MATCH($A32,TeamAdvBatting!$A:$A,0),MATCH(S$2,TeamAdvBatting!$A$225:$Z$225,0))</f>
        <v>-0.1</v>
      </c>
      <c r="T32" s="9">
        <f>INDEX(TeamAdvBatting!$A:$Z,MATCH($A32,TeamAdvBatting!$A:$A,0),MATCH(T$2,TeamAdvBatting!$A$225:$Z$225,0))</f>
        <v>0.78300000000000003</v>
      </c>
      <c r="U32" s="9">
        <f>INDEX(TeamAdvBatting!$A:$Z,MATCH($A32,TeamAdvBatting!$A:$A,0),MATCH(U$2,TeamAdvBatting!$A$225:$Z$225,0))</f>
        <v>0.311</v>
      </c>
      <c r="V32" s="9">
        <f>INDEX(TeamAdvBatting!$A:$Z,MATCH($A32,TeamAdvBatting!$A:$A,0),MATCH(V$2,TeamAdvBatting!$A$225:$Z$225,0))</f>
        <v>0.19</v>
      </c>
      <c r="W32" s="9">
        <f>INDEX(TeamAdvBatting!$A:$Z,MATCH($A32,TeamAdvBatting!$A:$A,0),MATCH(W$2,TeamAdvBatting!$A$225:$Z$225,0))</f>
        <v>154.4</v>
      </c>
      <c r="X32" s="78">
        <f>INDEX(BattingRatios!$A$225:$Q$256,MATCH($A32,BattingRatios!$A$225:$A$256,0),MATCH(X$2,BattingRatios!$A$225:$Q$225,0))</f>
        <v>3.6999999999999998E-2</v>
      </c>
      <c r="Y32" s="78">
        <f>INDEX(BattingRatios!$A$225:$Q$256,MATCH($A32,BattingRatios!$A$225:$A$256,0),MATCH(Y$2,BattingRatios!$A$225:$Q$225,0))</f>
        <v>0.20899999999999999</v>
      </c>
      <c r="Z32" s="78">
        <f>INDEX(BattingRatios!$A$225:$Q$256,MATCH($A32,BattingRatios!$A$225:$A$256,0),MATCH(Z$2,BattingRatios!$A$225:$Q$225,0))</f>
        <v>9.2999999999999999E-2</v>
      </c>
      <c r="AA32" s="78">
        <f>INDEX(BattingRatios!$A$225:$Q$256,MATCH($A32,BattingRatios!$A$225:$A$256,0),MATCH(AA$2,BattingRatios!$A$225:$Q$225,0))</f>
        <v>8.8999999999999996E-2</v>
      </c>
      <c r="AB32" s="78">
        <f>INDEX(BattingRatios!$A$225:$Q$256,MATCH($A32,BattingRatios!$A$225:$A$256,0),MATCH(AB$2,BattingRatios!$A$225:$Q$225,0))</f>
        <v>0.38</v>
      </c>
      <c r="AC32" s="78">
        <f>INDEX(BattingRatios!$A$225:$Q$256,MATCH($A32,BattingRatios!$A$225:$A$256,0),MATCH(AC$2,BattingRatios!$A$225:$Q$225,0))</f>
        <v>0.71</v>
      </c>
      <c r="AD32" s="78">
        <f>INDEX(BattingRatios!$A$225:$Q$256,MATCH($A32,BattingRatios!$A$225:$A$256,0),MATCH(AD$2,BattingRatios!$A$225:$Q$225,0))</f>
        <v>0.98</v>
      </c>
      <c r="AE32" s="78">
        <f>INDEX(BattingRatios!$A$225:$Q$256,MATCH($A32,BattingRatios!$A$225:$A$256,0),MATCH(AE$2,BattingRatios!$A$225:$Q$225,0))</f>
        <v>0.64</v>
      </c>
      <c r="AF32" s="78">
        <f>INDEX(BattingRatios!$A$225:$Q$256,MATCH($A32,BattingRatios!$A$225:$A$256,0),MATCH(AF$2,BattingRatios!$A$225:$Q$225,0))</f>
        <v>0.25</v>
      </c>
      <c r="AG32" s="78">
        <f>INDEX(BattingRatios!$A$225:$Q$256,MATCH($A32,BattingRatios!$A$225:$A$256,0),MATCH(AG$2,BattingRatios!$A$225:$Q$225,0))</f>
        <v>0.108</v>
      </c>
      <c r="AH32" s="78">
        <f>INDEX(BattingRatios!$A$225:$Q$256,MATCH($A32,BattingRatios!$A$225:$A$256,0),MATCH(AH$2,BattingRatios!$A$225:$Q$225,0))</f>
        <v>0.13</v>
      </c>
      <c r="AI32" s="81">
        <f>INDEX(PitchingRatios!$A$225:$S$256,MATCH($A32,PitchingRatios!$A$225:$A$256,0),MATCH(AI$2,PitchingRatios!$A$225:$S$225,0))</f>
        <v>3.3000000000000002E-2</v>
      </c>
      <c r="AJ32" s="81">
        <f>INDEX(PitchingRatios!$A$225:$S$256,MATCH($A32,PitchingRatios!$A$225:$A$256,0),MATCH(AJ$2,PitchingRatios!$A$225:$S$225,0))</f>
        <v>0.246</v>
      </c>
      <c r="AK32" s="81">
        <f>INDEX(PitchingRatios!$A$225:$S$256,MATCH($A32,PitchingRatios!$A$225:$A$256,0),MATCH(AK$2,PitchingRatios!$A$225:$S$225,0))</f>
        <v>8.4000000000000005E-2</v>
      </c>
      <c r="AL32" s="81">
        <f>INDEX(PitchingRatios!$A$225:$S$256,MATCH($A32,PitchingRatios!$A$225:$A$256,0),MATCH(AL$2,PitchingRatios!$A$225:$S$225,0))</f>
        <v>8.2000000000000003E-2</v>
      </c>
      <c r="AM32" s="81">
        <f>INDEX(PitchingRatios!$A$225:$S$256,MATCH($A32,PitchingRatios!$A$225:$A$256,0),MATCH(AM$2,PitchingRatios!$A$225:$S$225,0))</f>
        <v>0.37</v>
      </c>
      <c r="AN32" s="81">
        <f>INDEX(PitchingRatios!$A$225:$S$256,MATCH($A32,PitchingRatios!$A$225:$A$256,0),MATCH(AN$2,PitchingRatios!$A$225:$S$225,0))</f>
        <v>0.75</v>
      </c>
      <c r="AO32" s="81">
        <f>INDEX(PitchingRatios!$A$225:$S$256,MATCH($A32,PitchingRatios!$A$225:$A$256,0),MATCH(AO$2,PitchingRatios!$A$225:$S$225,0))</f>
        <v>1.03</v>
      </c>
      <c r="AP32" s="81">
        <f>INDEX(PitchingRatios!$A$225:$S$256,MATCH($A32,PitchingRatios!$A$225:$A$256,0),MATCH(AP$2,PitchingRatios!$A$225:$S$225,0))</f>
        <v>0.62</v>
      </c>
      <c r="AQ32" s="81">
        <f>INDEX(PitchingRatios!$A$225:$S$256,MATCH($A32,PitchingRatios!$A$225:$A$256,0),MATCH(AQ$2,PitchingRatios!$A$225:$S$225,0))</f>
        <v>0.25</v>
      </c>
      <c r="AR32" s="81">
        <f>INDEX(PitchingRatios!$A$225:$S$256,MATCH($A32,PitchingRatios!$A$225:$A$256,0),MATCH(AR$2,PitchingRatios!$A$225:$S$225,0))</f>
        <v>0.1</v>
      </c>
      <c r="AS32" s="81">
        <f>INDEX(PitchingRatios!$A$225:$S$256,MATCH($A32,PitchingRatios!$A$225:$A$256,0),MATCH(AS$2,PitchingRatios!$A$225:$S$225,0))</f>
        <v>0.11</v>
      </c>
      <c r="AT32" s="7">
        <f>INDEX(TeamStandardPitching!$A:$AJ,MATCH($A32,TeamStandardPitching!$A:$A,0),MATCH(AT$2,TeamStandardPitching!$A$225:$AJ$225,0))</f>
        <v>31</v>
      </c>
      <c r="AU32" s="7">
        <f>INDEX(TeamStandardPitching!$A:$AJ,MATCH($A32,TeamStandardPitching!$A:$A,0),MATCH(AU$2,TeamStandardPitching!$A$225:$AJ$225,0))</f>
        <v>30.8</v>
      </c>
      <c r="AV32" s="7">
        <f>INDEX(TeamStandardPitching!$A:$AJ,MATCH($A32,TeamStandardPitching!$A:$A,0),MATCH(AV$2,TeamStandardPitching!$A$225:$AJ$225,0))</f>
        <v>4.47</v>
      </c>
      <c r="AW32" s="7">
        <f>INDEX(TeamStandardPitching!$A:$AJ,MATCH($A32,TeamStandardPitching!$A:$A,0),MATCH(AW$2,TeamStandardPitching!$A$225:$AJ$225,0))</f>
        <v>202</v>
      </c>
      <c r="AX32" s="7">
        <f>INDEX(TeamStandardPitching!$A:$AJ,MATCH($A32,TeamStandardPitching!$A:$A,0),MATCH(AX$2,TeamStandardPitching!$A$225:$AJ$225,0))</f>
        <v>517</v>
      </c>
      <c r="AY32" s="7">
        <f>INDEX(TeamStandardPitching!$A:$AJ,MATCH($A32,TeamStandardPitching!$A:$A,0),MATCH(AY$2,TeamStandardPitching!$A$225:$AJ$225,0))</f>
        <v>41</v>
      </c>
      <c r="AZ32" s="7">
        <f>INDEX(TeamStandardPitching!$A:$AJ,MATCH($A32,TeamStandardPitching!$A:$A,0),MATCH(AZ$2,TeamStandardPitching!$A$225:$AJ$225,0))</f>
        <v>1511</v>
      </c>
      <c r="BA32" s="7">
        <f>INDEX(TeamStandardPitching!$A:$AJ,MATCH($A32,TeamStandardPitching!$A:$A,0),MATCH(BA$2,TeamStandardPitching!$A$225:$AJ$225,0))</f>
        <v>61</v>
      </c>
      <c r="BB32" s="7">
        <f>INDEX(TeamStandardPitching!$A:$AJ,MATCH($A32,TeamStandardPitching!$A:$A,0),MATCH(BB$2,TeamStandardPitching!$A$225:$AJ$225,0))</f>
        <v>5</v>
      </c>
      <c r="BC32" s="7">
        <f>INDEX(TeamStandardPitching!$A:$AJ,MATCH($A32,TeamStandardPitching!$A:$A,0),MATCH(BC$2,TeamStandardPitching!$A$225:$AJ$225,0))</f>
        <v>53</v>
      </c>
      <c r="BD32" s="7">
        <f>INDEX(TeamStandardPitching!$A:$AJ,MATCH($A32,TeamStandardPitching!$A:$A,0),MATCH(BD$2,TeamStandardPitching!$A$225:$AJ$225,0))</f>
        <v>6134</v>
      </c>
      <c r="BE32" s="7">
        <f>INDEX(TeamStandardPitching!$A:$AJ,MATCH($A32,TeamStandardPitching!$A:$A,0),MATCH(BE$2,TeamStandardPitching!$A$225:$AJ$225,0))</f>
        <v>108</v>
      </c>
      <c r="BF32" s="7">
        <f>INDEX(TeamStandardPitching!$A:$AJ,MATCH($A32,TeamStandardPitching!$A:$A,0),MATCH(BF$2,TeamStandardPitching!$A$225:$AJ$225,0))</f>
        <v>4.1399999999999997</v>
      </c>
      <c r="BG32" s="7">
        <f>INDEX(TeamStandardPitching!$A:$AJ,MATCH($A32,TeamStandardPitching!$A:$A,0),MATCH(BG$2,TeamStandardPitching!$A$225:$AJ$225,0))</f>
        <v>1.29</v>
      </c>
      <c r="BH32" s="7">
        <f>INDEX(TeamStandardPitching!$A:$AJ,MATCH($A32,TeamStandardPitching!$A:$A,0),MATCH(BH$2,TeamStandardPitching!$A$225:$AJ$225,0))</f>
        <v>8.4</v>
      </c>
      <c r="BI32" s="7">
        <f>INDEX(TeamStandardPitching!$A:$AJ,MATCH($A32,TeamStandardPitching!$A:$A,0),MATCH(BI$2,TeamStandardPitching!$A$225:$AJ$225,0))</f>
        <v>1.3</v>
      </c>
      <c r="BJ32" s="7">
        <f>INDEX(TeamStandardPitching!$A:$AJ,MATCH($A32,TeamStandardPitching!$A:$A,0),MATCH(BJ$2,TeamStandardPitching!$A$225:$AJ$225,0))</f>
        <v>3.2</v>
      </c>
      <c r="BK32" s="7">
        <f>INDEX(TeamStandardPitching!$A:$AJ,MATCH($A32,TeamStandardPitching!$A:$A,0),MATCH(BK$2,TeamStandardPitching!$A$225:$AJ$225,0))</f>
        <v>9.4</v>
      </c>
      <c r="BL32" s="7">
        <f>INDEX(TeamStandardPitching!$A:$AJ,MATCH($A32,TeamStandardPitching!$A:$A,0),MATCH(BL$2,TeamStandardPitching!$A$225:$AJ$225,0))</f>
        <v>2.92</v>
      </c>
      <c r="BM32" s="7">
        <f>INDEX(TeamStandardPitching!$A:$AJ,MATCH($A32,TeamStandardPitching!$A:$A,0),MATCH(BM$2,TeamStandardPitching!$A$225:$AJ$225,0))</f>
        <v>1092</v>
      </c>
    </row>
  </sheetData>
  <mergeCells count="7">
    <mergeCell ref="BO17:BZ17"/>
    <mergeCell ref="BO25:BZ25"/>
    <mergeCell ref="H1:W1"/>
    <mergeCell ref="AT1:BF1"/>
    <mergeCell ref="BO2:BZ2"/>
    <mergeCell ref="X1:AH1"/>
    <mergeCell ref="AI1:AS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W456"/>
  <sheetViews>
    <sheetView topLeftCell="A208" workbookViewId="0">
      <selection activeCell="A225" sqref="A225"/>
    </sheetView>
  </sheetViews>
  <sheetFormatPr defaultRowHeight="15" x14ac:dyDescent="0.25"/>
  <cols>
    <col min="1" max="1" width="27.5703125" bestFit="1" customWidth="1"/>
    <col min="2" max="2" width="5" customWidth="1"/>
    <col min="3" max="3" width="7" customWidth="1"/>
    <col min="4" max="4" width="6" customWidth="1"/>
    <col min="5" max="5" width="5.42578125" customWidth="1"/>
    <col min="6" max="6" width="4" customWidth="1"/>
    <col min="7" max="7" width="6.28515625" customWidth="1"/>
    <col min="8" max="10" width="6" customWidth="1"/>
    <col min="11" max="11" width="6.28515625" customWidth="1"/>
    <col min="12" max="14" width="6" customWidth="1"/>
    <col min="15" max="15" width="6.140625" customWidth="1"/>
    <col min="16" max="16" width="5.5703125" customWidth="1"/>
    <col min="17" max="17" width="7" customWidth="1"/>
    <col min="18" max="18" width="7.140625" customWidth="1"/>
    <col min="19" max="19" width="7.28515625" customWidth="1"/>
    <col min="20" max="22" width="6" customWidth="1"/>
    <col min="23" max="23" width="7.7109375" customWidth="1"/>
  </cols>
  <sheetData>
    <row r="1" spans="1:1" x14ac:dyDescent="0.25">
      <c r="A1" t="s">
        <v>36</v>
      </c>
    </row>
    <row r="2" spans="1:1" x14ac:dyDescent="0.25">
      <c r="A2" t="s">
        <v>37</v>
      </c>
    </row>
    <row r="3" spans="1:1" x14ac:dyDescent="0.25">
      <c r="A3" t="s">
        <v>38</v>
      </c>
    </row>
    <row r="4" spans="1:1" x14ac:dyDescent="0.25">
      <c r="A4" t="s">
        <v>39</v>
      </c>
    </row>
    <row r="5" spans="1:1" x14ac:dyDescent="0.25">
      <c r="A5" t="s">
        <v>40</v>
      </c>
    </row>
    <row r="6" spans="1:1" x14ac:dyDescent="0.25">
      <c r="A6" t="s">
        <v>41</v>
      </c>
    </row>
    <row r="7" spans="1:1" x14ac:dyDescent="0.25">
      <c r="A7" t="s">
        <v>42</v>
      </c>
    </row>
    <row r="8" spans="1:1" x14ac:dyDescent="0.25">
      <c r="A8" t="s">
        <v>43</v>
      </c>
    </row>
    <row r="9" spans="1:1" x14ac:dyDescent="0.25">
      <c r="A9" t="s">
        <v>44</v>
      </c>
    </row>
    <row r="10" spans="1:1" x14ac:dyDescent="0.25">
      <c r="A10" t="s">
        <v>45</v>
      </c>
    </row>
    <row r="11" spans="1:1" x14ac:dyDescent="0.25">
      <c r="A11" t="s">
        <v>46</v>
      </c>
    </row>
    <row r="12" spans="1:1" x14ac:dyDescent="0.25">
      <c r="A12" t="s">
        <v>47</v>
      </c>
    </row>
    <row r="13" spans="1:1" x14ac:dyDescent="0.25">
      <c r="A13" t="s">
        <v>48</v>
      </c>
    </row>
    <row r="14" spans="1:1" x14ac:dyDescent="0.25">
      <c r="A14" t="s">
        <v>49</v>
      </c>
    </row>
    <row r="15" spans="1:1" x14ac:dyDescent="0.25">
      <c r="A15" t="s">
        <v>50</v>
      </c>
    </row>
    <row r="16" spans="1:1" x14ac:dyDescent="0.25">
      <c r="A16" t="s">
        <v>51</v>
      </c>
    </row>
    <row r="17" spans="1:1" x14ac:dyDescent="0.25">
      <c r="A17" t="s">
        <v>52</v>
      </c>
    </row>
    <row r="18" spans="1:1" x14ac:dyDescent="0.25">
      <c r="A18" t="s">
        <v>53</v>
      </c>
    </row>
    <row r="19" spans="1:1" x14ac:dyDescent="0.25">
      <c r="A19" t="s">
        <v>54</v>
      </c>
    </row>
    <row r="20" spans="1:1" x14ac:dyDescent="0.25">
      <c r="A20" t="s">
        <v>55</v>
      </c>
    </row>
    <row r="21" spans="1:1" x14ac:dyDescent="0.25">
      <c r="A21" t="s">
        <v>56</v>
      </c>
    </row>
    <row r="22" spans="1:1" x14ac:dyDescent="0.25">
      <c r="A22" t="s">
        <v>57</v>
      </c>
    </row>
    <row r="23" spans="1:1" x14ac:dyDescent="0.25">
      <c r="A23" t="s">
        <v>58</v>
      </c>
    </row>
    <row r="24" spans="1:1" x14ac:dyDescent="0.25">
      <c r="A24" t="s">
        <v>59</v>
      </c>
    </row>
    <row r="25" spans="1:1" x14ac:dyDescent="0.25">
      <c r="A25" t="s">
        <v>60</v>
      </c>
    </row>
    <row r="26" spans="1:1" x14ac:dyDescent="0.25">
      <c r="A26" t="s">
        <v>61</v>
      </c>
    </row>
    <row r="27" spans="1:1" x14ac:dyDescent="0.25">
      <c r="A27" t="s">
        <v>4778</v>
      </c>
    </row>
    <row r="28" spans="1:1" x14ac:dyDescent="0.25">
      <c r="A28" t="s">
        <v>46</v>
      </c>
    </row>
    <row r="29" spans="1:1" x14ac:dyDescent="0.25">
      <c r="A29" t="s">
        <v>47</v>
      </c>
    </row>
    <row r="30" spans="1:1" x14ac:dyDescent="0.25">
      <c r="A30" t="s">
        <v>48</v>
      </c>
    </row>
    <row r="31" spans="1:1" x14ac:dyDescent="0.25">
      <c r="A31" t="s">
        <v>49</v>
      </c>
    </row>
    <row r="32" spans="1:1" x14ac:dyDescent="0.25">
      <c r="A32" t="s">
        <v>50</v>
      </c>
    </row>
    <row r="33" spans="1:1" x14ac:dyDescent="0.25">
      <c r="A33" t="s">
        <v>62</v>
      </c>
    </row>
    <row r="34" spans="1:1" x14ac:dyDescent="0.25">
      <c r="A34" t="s">
        <v>63</v>
      </c>
    </row>
    <row r="35" spans="1:1" x14ac:dyDescent="0.25">
      <c r="A35" t="s">
        <v>64</v>
      </c>
    </row>
    <row r="36" spans="1:1" x14ac:dyDescent="0.25">
      <c r="A36" t="s">
        <v>191</v>
      </c>
    </row>
    <row r="37" spans="1:1" x14ac:dyDescent="0.25">
      <c r="A37" t="s">
        <v>65</v>
      </c>
    </row>
    <row r="38" spans="1:1" x14ac:dyDescent="0.25">
      <c r="A38" t="s">
        <v>66</v>
      </c>
    </row>
    <row r="39" spans="1:1" x14ac:dyDescent="0.25">
      <c r="A39" t="s">
        <v>67</v>
      </c>
    </row>
    <row r="40" spans="1:1" x14ac:dyDescent="0.25">
      <c r="A40" t="s">
        <v>68</v>
      </c>
    </row>
    <row r="41" spans="1:1" x14ac:dyDescent="0.25">
      <c r="A41" t="s">
        <v>69</v>
      </c>
    </row>
    <row r="42" spans="1:1" x14ac:dyDescent="0.25">
      <c r="A42" t="s">
        <v>70</v>
      </c>
    </row>
    <row r="44" spans="1:1" x14ac:dyDescent="0.25">
      <c r="A44" t="s">
        <v>71</v>
      </c>
    </row>
    <row r="46" spans="1:1" x14ac:dyDescent="0.25">
      <c r="A46" t="s">
        <v>72</v>
      </c>
    </row>
    <row r="48" spans="1:1" x14ac:dyDescent="0.25">
      <c r="A48" t="s">
        <v>73</v>
      </c>
    </row>
    <row r="50" spans="1:1" x14ac:dyDescent="0.25">
      <c r="A50" t="s">
        <v>74</v>
      </c>
    </row>
    <row r="52" spans="1:1" x14ac:dyDescent="0.25">
      <c r="A52" t="s">
        <v>75</v>
      </c>
    </row>
    <row r="54" spans="1:1" x14ac:dyDescent="0.25">
      <c r="A54" t="s">
        <v>35</v>
      </c>
    </row>
    <row r="56" spans="1:1" x14ac:dyDescent="0.25">
      <c r="A56" t="s">
        <v>76</v>
      </c>
    </row>
    <row r="58" spans="1:1" x14ac:dyDescent="0.25">
      <c r="A58" t="s">
        <v>74</v>
      </c>
    </row>
    <row r="61" spans="1:1" x14ac:dyDescent="0.25">
      <c r="A61" t="s">
        <v>77</v>
      </c>
    </row>
    <row r="62" spans="1:1" x14ac:dyDescent="0.25">
      <c r="A62" t="s">
        <v>78</v>
      </c>
    </row>
    <row r="63" spans="1:1" x14ac:dyDescent="0.25">
      <c r="A63" t="s">
        <v>34</v>
      </c>
    </row>
    <row r="64" spans="1:1" x14ac:dyDescent="0.25">
      <c r="A64" t="s">
        <v>79</v>
      </c>
    </row>
    <row r="65" spans="1:1" x14ac:dyDescent="0.25">
      <c r="A65" t="s">
        <v>80</v>
      </c>
    </row>
    <row r="66" spans="1:1" x14ac:dyDescent="0.25">
      <c r="A66" t="s">
        <v>81</v>
      </c>
    </row>
    <row r="67" spans="1:1" x14ac:dyDescent="0.25">
      <c r="A67" t="s">
        <v>82</v>
      </c>
    </row>
    <row r="68" spans="1:1" x14ac:dyDescent="0.25">
      <c r="A68" t="s">
        <v>83</v>
      </c>
    </row>
    <row r="69" spans="1:1" x14ac:dyDescent="0.25">
      <c r="A69" t="s">
        <v>84</v>
      </c>
    </row>
    <row r="70" spans="1:1" x14ac:dyDescent="0.25">
      <c r="A70" t="s">
        <v>85</v>
      </c>
    </row>
    <row r="71" spans="1:1" x14ac:dyDescent="0.25">
      <c r="A71" t="s">
        <v>86</v>
      </c>
    </row>
    <row r="72" spans="1:1" x14ac:dyDescent="0.25">
      <c r="A72" t="s">
        <v>87</v>
      </c>
    </row>
    <row r="74" spans="1:1" x14ac:dyDescent="0.25">
      <c r="A74" t="s">
        <v>75</v>
      </c>
    </row>
    <row r="77" spans="1:1" x14ac:dyDescent="0.25">
      <c r="A77" t="s">
        <v>88</v>
      </c>
    </row>
    <row r="78" spans="1:1" x14ac:dyDescent="0.25">
      <c r="A78" t="s">
        <v>89</v>
      </c>
    </row>
    <row r="79" spans="1:1" x14ac:dyDescent="0.25">
      <c r="A79" t="s">
        <v>90</v>
      </c>
    </row>
    <row r="80" spans="1:1" x14ac:dyDescent="0.25">
      <c r="A80" t="s">
        <v>91</v>
      </c>
    </row>
    <row r="81" spans="1:1" x14ac:dyDescent="0.25">
      <c r="A81" t="s">
        <v>92</v>
      </c>
    </row>
    <row r="82" spans="1:1" x14ac:dyDescent="0.25">
      <c r="A82" t="s">
        <v>93</v>
      </c>
    </row>
    <row r="83" spans="1:1" x14ac:dyDescent="0.25">
      <c r="A83" t="s">
        <v>94</v>
      </c>
    </row>
    <row r="84" spans="1:1" x14ac:dyDescent="0.25">
      <c r="A84" t="s">
        <v>95</v>
      </c>
    </row>
    <row r="85" spans="1:1" x14ac:dyDescent="0.25">
      <c r="A85" t="s">
        <v>96</v>
      </c>
    </row>
    <row r="86" spans="1:1" x14ac:dyDescent="0.25">
      <c r="A86" t="s">
        <v>97</v>
      </c>
    </row>
    <row r="87" spans="1:1" x14ac:dyDescent="0.25">
      <c r="A87" t="s">
        <v>98</v>
      </c>
    </row>
    <row r="88" spans="1:1" x14ac:dyDescent="0.25">
      <c r="A88" t="s">
        <v>99</v>
      </c>
    </row>
    <row r="89" spans="1:1" x14ac:dyDescent="0.25">
      <c r="A89" t="s">
        <v>100</v>
      </c>
    </row>
    <row r="90" spans="1:1" x14ac:dyDescent="0.25">
      <c r="A90" t="s">
        <v>101</v>
      </c>
    </row>
    <row r="91" spans="1:1" x14ac:dyDescent="0.25">
      <c r="A91" t="s">
        <v>102</v>
      </c>
    </row>
    <row r="93" spans="1:1" x14ac:dyDescent="0.25">
      <c r="A93" t="s">
        <v>35</v>
      </c>
    </row>
    <row r="96" spans="1:1" x14ac:dyDescent="0.25">
      <c r="A96" t="s">
        <v>103</v>
      </c>
    </row>
    <row r="97" spans="1:1" x14ac:dyDescent="0.25">
      <c r="A97" t="s">
        <v>89</v>
      </c>
    </row>
    <row r="98" spans="1:1" x14ac:dyDescent="0.25">
      <c r="A98" t="s">
        <v>92</v>
      </c>
    </row>
    <row r="99" spans="1:1" x14ac:dyDescent="0.25">
      <c r="A99" t="s">
        <v>104</v>
      </c>
    </row>
    <row r="100" spans="1:1" x14ac:dyDescent="0.25">
      <c r="A100" t="s">
        <v>91</v>
      </c>
    </row>
    <row r="101" spans="1:1" x14ac:dyDescent="0.25">
      <c r="A101" t="s">
        <v>105</v>
      </c>
    </row>
    <row r="102" spans="1:1" x14ac:dyDescent="0.25">
      <c r="A102" t="s">
        <v>106</v>
      </c>
    </row>
    <row r="103" spans="1:1" x14ac:dyDescent="0.25">
      <c r="A103" t="s">
        <v>107</v>
      </c>
    </row>
    <row r="104" spans="1:1" x14ac:dyDescent="0.25">
      <c r="A104" t="s">
        <v>108</v>
      </c>
    </row>
    <row r="105" spans="1:1" x14ac:dyDescent="0.25">
      <c r="A105" t="s">
        <v>109</v>
      </c>
    </row>
    <row r="106" spans="1:1" x14ac:dyDescent="0.25">
      <c r="A106" t="s">
        <v>110</v>
      </c>
    </row>
    <row r="107" spans="1:1" x14ac:dyDescent="0.25">
      <c r="A107" t="s">
        <v>111</v>
      </c>
    </row>
    <row r="108" spans="1:1" x14ac:dyDescent="0.25">
      <c r="A108" t="s">
        <v>100</v>
      </c>
    </row>
    <row r="109" spans="1:1" x14ac:dyDescent="0.25">
      <c r="A109" t="s">
        <v>112</v>
      </c>
    </row>
    <row r="110" spans="1:1" x14ac:dyDescent="0.25">
      <c r="A110" t="s">
        <v>102</v>
      </c>
    </row>
    <row r="112" spans="1:1" x14ac:dyDescent="0.25">
      <c r="A112" t="s">
        <v>113</v>
      </c>
    </row>
    <row r="115" spans="1:1" x14ac:dyDescent="0.25">
      <c r="A115" t="s">
        <v>75</v>
      </c>
    </row>
    <row r="116" spans="1:1" x14ac:dyDescent="0.25">
      <c r="A116" t="s">
        <v>35</v>
      </c>
    </row>
    <row r="117" spans="1:1" x14ac:dyDescent="0.25">
      <c r="A117" t="s">
        <v>74</v>
      </c>
    </row>
    <row r="118" spans="1:1" x14ac:dyDescent="0.25">
      <c r="A118" t="s">
        <v>114</v>
      </c>
    </row>
    <row r="120" spans="1:1" x14ac:dyDescent="0.25">
      <c r="A120" t="s">
        <v>115</v>
      </c>
    </row>
    <row r="123" spans="1:1" x14ac:dyDescent="0.25">
      <c r="A123" t="s">
        <v>116</v>
      </c>
    </row>
    <row r="124" spans="1:1" x14ac:dyDescent="0.25">
      <c r="A124" t="s">
        <v>117</v>
      </c>
    </row>
    <row r="125" spans="1:1" x14ac:dyDescent="0.25">
      <c r="A125" t="s">
        <v>118</v>
      </c>
    </row>
    <row r="126" spans="1:1" x14ac:dyDescent="0.25">
      <c r="A126" t="s">
        <v>119</v>
      </c>
    </row>
    <row r="127" spans="1:1" x14ac:dyDescent="0.25">
      <c r="A127" t="s">
        <v>120</v>
      </c>
    </row>
    <row r="128" spans="1:1" x14ac:dyDescent="0.25">
      <c r="A128" t="s">
        <v>121</v>
      </c>
    </row>
    <row r="129" spans="1:1" x14ac:dyDescent="0.25">
      <c r="A129" t="s">
        <v>122</v>
      </c>
    </row>
    <row r="130" spans="1:1" x14ac:dyDescent="0.25">
      <c r="A130" t="s">
        <v>123</v>
      </c>
    </row>
    <row r="131" spans="1:1" x14ac:dyDescent="0.25">
      <c r="A131" t="s">
        <v>124</v>
      </c>
    </row>
    <row r="132" spans="1:1" x14ac:dyDescent="0.25">
      <c r="A132" t="s">
        <v>125</v>
      </c>
    </row>
    <row r="133" spans="1:1" x14ac:dyDescent="0.25">
      <c r="A133" t="s">
        <v>126</v>
      </c>
    </row>
    <row r="134" spans="1:1" x14ac:dyDescent="0.25">
      <c r="A134" t="s">
        <v>127</v>
      </c>
    </row>
    <row r="135" spans="1:1" x14ac:dyDescent="0.25">
      <c r="A135" t="s">
        <v>128</v>
      </c>
    </row>
    <row r="136" spans="1:1" x14ac:dyDescent="0.25">
      <c r="A136" t="s">
        <v>129</v>
      </c>
    </row>
    <row r="137" spans="1:1" x14ac:dyDescent="0.25">
      <c r="A137" t="s">
        <v>130</v>
      </c>
    </row>
    <row r="138" spans="1:1" x14ac:dyDescent="0.25">
      <c r="A138" t="s">
        <v>1251</v>
      </c>
    </row>
    <row r="139" spans="1:1" x14ac:dyDescent="0.25">
      <c r="A139" t="s">
        <v>71</v>
      </c>
    </row>
    <row r="140" spans="1:1" x14ac:dyDescent="0.25">
      <c r="A140" t="s">
        <v>72</v>
      </c>
    </row>
    <row r="141" spans="1:1" x14ac:dyDescent="0.25">
      <c r="A141" t="s">
        <v>73</v>
      </c>
    </row>
    <row r="142" spans="1:1" x14ac:dyDescent="0.25">
      <c r="A142" t="s">
        <v>74</v>
      </c>
    </row>
    <row r="144" spans="1:1" x14ac:dyDescent="0.25">
      <c r="A144" t="s">
        <v>77</v>
      </c>
    </row>
    <row r="145" spans="1:1" x14ac:dyDescent="0.25">
      <c r="A145" t="s">
        <v>78</v>
      </c>
    </row>
    <row r="146" spans="1:1" x14ac:dyDescent="0.25">
      <c r="A146" t="s">
        <v>34</v>
      </c>
    </row>
    <row r="147" spans="1:1" x14ac:dyDescent="0.25">
      <c r="A147" t="s">
        <v>79</v>
      </c>
    </row>
    <row r="148" spans="1:1" x14ac:dyDescent="0.25">
      <c r="A148" t="s">
        <v>80</v>
      </c>
    </row>
    <row r="149" spans="1:1" x14ac:dyDescent="0.25">
      <c r="A149" t="s">
        <v>81</v>
      </c>
    </row>
    <row r="150" spans="1:1" x14ac:dyDescent="0.25">
      <c r="A150" t="s">
        <v>82</v>
      </c>
    </row>
    <row r="151" spans="1:1" x14ac:dyDescent="0.25">
      <c r="A151" t="s">
        <v>83</v>
      </c>
    </row>
    <row r="152" spans="1:1" x14ac:dyDescent="0.25">
      <c r="A152" t="s">
        <v>84</v>
      </c>
    </row>
    <row r="153" spans="1:1" x14ac:dyDescent="0.25">
      <c r="A153" t="s">
        <v>85</v>
      </c>
    </row>
    <row r="154" spans="1:1" x14ac:dyDescent="0.25">
      <c r="A154" t="s">
        <v>86</v>
      </c>
    </row>
    <row r="155" spans="1:1" x14ac:dyDescent="0.25">
      <c r="A155" t="s">
        <v>87</v>
      </c>
    </row>
    <row r="156" spans="1:1" x14ac:dyDescent="0.25">
      <c r="A156" t="s">
        <v>75</v>
      </c>
    </row>
    <row r="158" spans="1:1" x14ac:dyDescent="0.25">
      <c r="A158" t="s">
        <v>88</v>
      </c>
    </row>
    <row r="159" spans="1:1" x14ac:dyDescent="0.25">
      <c r="A159" t="s">
        <v>89</v>
      </c>
    </row>
    <row r="160" spans="1:1" x14ac:dyDescent="0.25">
      <c r="A160" t="s">
        <v>90</v>
      </c>
    </row>
    <row r="161" spans="1:1" x14ac:dyDescent="0.25">
      <c r="A161" t="s">
        <v>91</v>
      </c>
    </row>
    <row r="162" spans="1:1" x14ac:dyDescent="0.25">
      <c r="A162" t="s">
        <v>92</v>
      </c>
    </row>
    <row r="163" spans="1:1" x14ac:dyDescent="0.25">
      <c r="A163" t="s">
        <v>93</v>
      </c>
    </row>
    <row r="164" spans="1:1" x14ac:dyDescent="0.25">
      <c r="A164" t="s">
        <v>94</v>
      </c>
    </row>
    <row r="165" spans="1:1" x14ac:dyDescent="0.25">
      <c r="A165" t="s">
        <v>95</v>
      </c>
    </row>
    <row r="166" spans="1:1" x14ac:dyDescent="0.25">
      <c r="A166" t="s">
        <v>96</v>
      </c>
    </row>
    <row r="167" spans="1:1" x14ac:dyDescent="0.25">
      <c r="A167" t="s">
        <v>97</v>
      </c>
    </row>
    <row r="168" spans="1:1" x14ac:dyDescent="0.25">
      <c r="A168" t="s">
        <v>98</v>
      </c>
    </row>
    <row r="169" spans="1:1" x14ac:dyDescent="0.25">
      <c r="A169" t="s">
        <v>99</v>
      </c>
    </row>
    <row r="170" spans="1:1" x14ac:dyDescent="0.25">
      <c r="A170" t="s">
        <v>100</v>
      </c>
    </row>
    <row r="171" spans="1:1" x14ac:dyDescent="0.25">
      <c r="A171" t="s">
        <v>101</v>
      </c>
    </row>
    <row r="172" spans="1:1" x14ac:dyDescent="0.25">
      <c r="A172" t="s">
        <v>102</v>
      </c>
    </row>
    <row r="173" spans="1:1" x14ac:dyDescent="0.25">
      <c r="A173" t="s">
        <v>35</v>
      </c>
    </row>
    <row r="175" spans="1:1" x14ac:dyDescent="0.25">
      <c r="A175" t="s">
        <v>103</v>
      </c>
    </row>
    <row r="176" spans="1:1" x14ac:dyDescent="0.25">
      <c r="A176" t="s">
        <v>89</v>
      </c>
    </row>
    <row r="177" spans="1:1" x14ac:dyDescent="0.25">
      <c r="A177" t="s">
        <v>92</v>
      </c>
    </row>
    <row r="178" spans="1:1" x14ac:dyDescent="0.25">
      <c r="A178" t="s">
        <v>104</v>
      </c>
    </row>
    <row r="179" spans="1:1" x14ac:dyDescent="0.25">
      <c r="A179" t="s">
        <v>91</v>
      </c>
    </row>
    <row r="180" spans="1:1" x14ac:dyDescent="0.25">
      <c r="A180" t="s">
        <v>105</v>
      </c>
    </row>
    <row r="181" spans="1:1" x14ac:dyDescent="0.25">
      <c r="A181" t="s">
        <v>106</v>
      </c>
    </row>
    <row r="182" spans="1:1" x14ac:dyDescent="0.25">
      <c r="A182" t="s">
        <v>107</v>
      </c>
    </row>
    <row r="183" spans="1:1" x14ac:dyDescent="0.25">
      <c r="A183" t="s">
        <v>108</v>
      </c>
    </row>
    <row r="184" spans="1:1" x14ac:dyDescent="0.25">
      <c r="A184" t="s">
        <v>109</v>
      </c>
    </row>
    <row r="185" spans="1:1" x14ac:dyDescent="0.25">
      <c r="A185" t="s">
        <v>110</v>
      </c>
    </row>
    <row r="186" spans="1:1" x14ac:dyDescent="0.25">
      <c r="A186" t="s">
        <v>111</v>
      </c>
    </row>
    <row r="187" spans="1:1" x14ac:dyDescent="0.25">
      <c r="A187" t="s">
        <v>100</v>
      </c>
    </row>
    <row r="188" spans="1:1" x14ac:dyDescent="0.25">
      <c r="A188" t="s">
        <v>112</v>
      </c>
    </row>
    <row r="189" spans="1:1" x14ac:dyDescent="0.25">
      <c r="A189" t="s">
        <v>102</v>
      </c>
    </row>
    <row r="190" spans="1:1" x14ac:dyDescent="0.25">
      <c r="A190" t="s">
        <v>76</v>
      </c>
    </row>
    <row r="191" spans="1:1" x14ac:dyDescent="0.25">
      <c r="A191" t="s">
        <v>113</v>
      </c>
    </row>
    <row r="193" spans="1:1" x14ac:dyDescent="0.25">
      <c r="A193" t="s">
        <v>75</v>
      </c>
    </row>
    <row r="194" spans="1:1" x14ac:dyDescent="0.25">
      <c r="A194" t="s">
        <v>35</v>
      </c>
    </row>
    <row r="195" spans="1:1" x14ac:dyDescent="0.25">
      <c r="A195" t="s">
        <v>74</v>
      </c>
    </row>
    <row r="196" spans="1:1" x14ac:dyDescent="0.25">
      <c r="A196" t="s">
        <v>114</v>
      </c>
    </row>
    <row r="197" spans="1:1" x14ac:dyDescent="0.25">
      <c r="A197" t="s">
        <v>115</v>
      </c>
    </row>
    <row r="199" spans="1:1" x14ac:dyDescent="0.25">
      <c r="A199" t="s">
        <v>116</v>
      </c>
    </row>
    <row r="200" spans="1:1" x14ac:dyDescent="0.25">
      <c r="A200" t="s">
        <v>117</v>
      </c>
    </row>
    <row r="201" spans="1:1" x14ac:dyDescent="0.25">
      <c r="A201" t="s">
        <v>118</v>
      </c>
    </row>
    <row r="202" spans="1:1" x14ac:dyDescent="0.25">
      <c r="A202" t="s">
        <v>119</v>
      </c>
    </row>
    <row r="203" spans="1:1" x14ac:dyDescent="0.25">
      <c r="A203" t="s">
        <v>120</v>
      </c>
    </row>
    <row r="204" spans="1:1" x14ac:dyDescent="0.25">
      <c r="A204" t="s">
        <v>121</v>
      </c>
    </row>
    <row r="205" spans="1:1" x14ac:dyDescent="0.25">
      <c r="A205" t="s">
        <v>122</v>
      </c>
    </row>
    <row r="206" spans="1:1" x14ac:dyDescent="0.25">
      <c r="A206" t="s">
        <v>123</v>
      </c>
    </row>
    <row r="207" spans="1:1" x14ac:dyDescent="0.25">
      <c r="A207" t="s">
        <v>124</v>
      </c>
    </row>
    <row r="208" spans="1:1" x14ac:dyDescent="0.25">
      <c r="A208" t="s">
        <v>125</v>
      </c>
    </row>
    <row r="209" spans="1:1" x14ac:dyDescent="0.25">
      <c r="A209" t="s">
        <v>126</v>
      </c>
    </row>
    <row r="210" spans="1:1" x14ac:dyDescent="0.25">
      <c r="A210" t="s">
        <v>127</v>
      </c>
    </row>
    <row r="211" spans="1:1" x14ac:dyDescent="0.25">
      <c r="A211" t="s">
        <v>128</v>
      </c>
    </row>
    <row r="212" spans="1:1" x14ac:dyDescent="0.25">
      <c r="A212" t="s">
        <v>129</v>
      </c>
    </row>
    <row r="213" spans="1:1" x14ac:dyDescent="0.25">
      <c r="A213" t="s">
        <v>130</v>
      </c>
    </row>
    <row r="214" spans="1:1" x14ac:dyDescent="0.25">
      <c r="A214" t="s">
        <v>1251</v>
      </c>
    </row>
    <row r="216" spans="1:1" x14ac:dyDescent="0.25">
      <c r="A216" t="s">
        <v>1307</v>
      </c>
    </row>
    <row r="218" spans="1:1" x14ac:dyDescent="0.25">
      <c r="A218" t="s">
        <v>4779</v>
      </c>
    </row>
    <row r="220" spans="1:1" x14ac:dyDescent="0.25">
      <c r="A220" t="s">
        <v>4780</v>
      </c>
    </row>
    <row r="222" spans="1:1" x14ac:dyDescent="0.25">
      <c r="A222" t="s">
        <v>192</v>
      </c>
    </row>
    <row r="224" spans="1:1" x14ac:dyDescent="0.25">
      <c r="A224" t="s">
        <v>193</v>
      </c>
    </row>
    <row r="225" spans="1:23" x14ac:dyDescent="0.25">
      <c r="A225" t="s">
        <v>131</v>
      </c>
      <c r="B225" t="s">
        <v>194</v>
      </c>
      <c r="C225" t="s">
        <v>195</v>
      </c>
      <c r="D225" t="s">
        <v>196</v>
      </c>
      <c r="E225" t="s">
        <v>197</v>
      </c>
      <c r="F225" t="s">
        <v>198</v>
      </c>
      <c r="G225" t="s">
        <v>199</v>
      </c>
      <c r="H225" t="s">
        <v>200</v>
      </c>
      <c r="I225" t="s">
        <v>201</v>
      </c>
      <c r="J225" t="s">
        <v>202</v>
      </c>
      <c r="K225" t="s">
        <v>203</v>
      </c>
      <c r="L225" t="s">
        <v>204</v>
      </c>
      <c r="M225" t="s">
        <v>205</v>
      </c>
      <c r="N225" t="s">
        <v>206</v>
      </c>
      <c r="O225" t="s">
        <v>207</v>
      </c>
      <c r="P225" t="s">
        <v>208</v>
      </c>
      <c r="Q225" t="s">
        <v>209</v>
      </c>
      <c r="R225" t="s">
        <v>210</v>
      </c>
      <c r="S225" t="s">
        <v>211</v>
      </c>
      <c r="T225" t="s">
        <v>212</v>
      </c>
      <c r="U225" t="s">
        <v>213</v>
      </c>
      <c r="V225" t="s">
        <v>214</v>
      </c>
      <c r="W225" t="s">
        <v>215</v>
      </c>
    </row>
    <row r="226" spans="1:23" x14ac:dyDescent="0.25">
      <c r="A226" t="s">
        <v>4</v>
      </c>
      <c r="B226">
        <v>5.0199999999999996</v>
      </c>
      <c r="C226">
        <v>4419</v>
      </c>
      <c r="D226">
        <v>831</v>
      </c>
      <c r="E226">
        <v>5</v>
      </c>
      <c r="F226">
        <v>111</v>
      </c>
      <c r="G226">
        <v>0.29299999999999998</v>
      </c>
      <c r="H226">
        <v>0.252</v>
      </c>
      <c r="I226">
        <v>0.25900000000000001</v>
      </c>
      <c r="J226">
        <v>0.32300000000000001</v>
      </c>
      <c r="K226">
        <v>0.33200000000000002</v>
      </c>
      <c r="L226">
        <v>0.434</v>
      </c>
      <c r="M226">
        <v>0.44700000000000001</v>
      </c>
      <c r="N226">
        <v>0.75700000000000001</v>
      </c>
      <c r="O226">
        <v>0.77900000000000003</v>
      </c>
      <c r="P226">
        <v>94</v>
      </c>
      <c r="Q226">
        <v>0.50700000000000001</v>
      </c>
      <c r="R226">
        <v>-51.7</v>
      </c>
      <c r="S226">
        <v>-5.2</v>
      </c>
      <c r="T226">
        <v>0.72299999999999998</v>
      </c>
      <c r="U226">
        <v>0.29099999999999998</v>
      </c>
      <c r="V226">
        <v>0.182</v>
      </c>
      <c r="W226">
        <v>125.7</v>
      </c>
    </row>
    <row r="227" spans="1:23" x14ac:dyDescent="0.25">
      <c r="A227" t="s">
        <v>10</v>
      </c>
      <c r="B227">
        <v>5.28</v>
      </c>
      <c r="C227">
        <v>4320</v>
      </c>
      <c r="D227">
        <v>898</v>
      </c>
      <c r="E227">
        <v>5.6</v>
      </c>
      <c r="F227">
        <v>114</v>
      </c>
      <c r="G227">
        <v>0.30499999999999999</v>
      </c>
      <c r="H227">
        <v>0.25800000000000001</v>
      </c>
      <c r="I227">
        <v>0.26400000000000001</v>
      </c>
      <c r="J227">
        <v>0.33600000000000002</v>
      </c>
      <c r="K227">
        <v>0.33700000000000002</v>
      </c>
      <c r="L227">
        <v>0.45200000000000001</v>
      </c>
      <c r="M227">
        <v>0.45500000000000002</v>
      </c>
      <c r="N227">
        <v>0.78900000000000003</v>
      </c>
      <c r="O227">
        <v>0.79200000000000004</v>
      </c>
      <c r="P227">
        <v>99</v>
      </c>
      <c r="Q227">
        <v>0.55300000000000005</v>
      </c>
      <c r="R227">
        <v>-11.7</v>
      </c>
      <c r="S227">
        <v>-1.3</v>
      </c>
      <c r="T227">
        <v>0.77</v>
      </c>
      <c r="U227">
        <v>0.317</v>
      </c>
      <c r="V227">
        <v>0.19500000000000001</v>
      </c>
      <c r="W227">
        <v>131.1</v>
      </c>
    </row>
    <row r="228" spans="1:23" x14ac:dyDescent="0.25">
      <c r="A228" t="s">
        <v>8</v>
      </c>
      <c r="B228">
        <v>4.5</v>
      </c>
      <c r="C228">
        <v>4417</v>
      </c>
      <c r="D228">
        <v>737</v>
      </c>
      <c r="E228">
        <v>4.5</v>
      </c>
      <c r="F228">
        <v>106</v>
      </c>
      <c r="G228">
        <v>0.29299999999999998</v>
      </c>
      <c r="H228">
        <v>0.246</v>
      </c>
      <c r="I228">
        <v>0.253</v>
      </c>
      <c r="J228">
        <v>0.31</v>
      </c>
      <c r="K228">
        <v>0.32200000000000001</v>
      </c>
      <c r="L228">
        <v>0.41499999999999998</v>
      </c>
      <c r="M228">
        <v>0.438</v>
      </c>
      <c r="N228">
        <v>0.72499999999999998</v>
      </c>
      <c r="O228">
        <v>0.76</v>
      </c>
      <c r="P228">
        <v>91</v>
      </c>
      <c r="Q228">
        <v>0.44700000000000001</v>
      </c>
      <c r="R228">
        <v>-77.3</v>
      </c>
      <c r="S228">
        <v>-7.4</v>
      </c>
      <c r="T228">
        <v>0.67400000000000004</v>
      </c>
      <c r="U228">
        <v>0.26</v>
      </c>
      <c r="V228">
        <v>0.16800000000000001</v>
      </c>
      <c r="W228">
        <v>120.5</v>
      </c>
    </row>
    <row r="229" spans="1:23" x14ac:dyDescent="0.25">
      <c r="A229" t="s">
        <v>9</v>
      </c>
      <c r="B229">
        <v>5.56</v>
      </c>
      <c r="C229">
        <v>4437</v>
      </c>
      <c r="D229">
        <v>941</v>
      </c>
      <c r="E229">
        <v>5.7</v>
      </c>
      <c r="F229">
        <v>111</v>
      </c>
      <c r="G229">
        <v>0.313</v>
      </c>
      <c r="H229">
        <v>0.26900000000000002</v>
      </c>
      <c r="I229">
        <v>0.25900000000000001</v>
      </c>
      <c r="J229">
        <v>0.34</v>
      </c>
      <c r="K229">
        <v>0.33</v>
      </c>
      <c r="L229">
        <v>0.46600000000000003</v>
      </c>
      <c r="M229">
        <v>0.45</v>
      </c>
      <c r="N229">
        <v>0.80600000000000005</v>
      </c>
      <c r="O229">
        <v>0.77900000000000003</v>
      </c>
      <c r="P229">
        <v>107</v>
      </c>
      <c r="Q229">
        <v>0.55700000000000005</v>
      </c>
      <c r="R229">
        <v>58</v>
      </c>
      <c r="S229">
        <v>5.2</v>
      </c>
      <c r="T229">
        <v>0.77600000000000002</v>
      </c>
      <c r="U229">
        <v>0.30499999999999999</v>
      </c>
      <c r="V229">
        <v>0.19700000000000001</v>
      </c>
      <c r="W229">
        <v>106.5</v>
      </c>
    </row>
    <row r="230" spans="1:23" x14ac:dyDescent="0.25">
      <c r="A230" t="s">
        <v>31</v>
      </c>
      <c r="B230">
        <v>5.0199999999999996</v>
      </c>
      <c r="C230">
        <v>4303</v>
      </c>
      <c r="D230">
        <v>848</v>
      </c>
      <c r="E230">
        <v>5.3</v>
      </c>
      <c r="F230">
        <v>112</v>
      </c>
      <c r="G230">
        <v>0.29699999999999999</v>
      </c>
      <c r="H230">
        <v>0.252</v>
      </c>
      <c r="I230">
        <v>0.26</v>
      </c>
      <c r="J230">
        <v>0.33100000000000002</v>
      </c>
      <c r="K230">
        <v>0.33400000000000002</v>
      </c>
      <c r="L230">
        <v>0.45200000000000001</v>
      </c>
      <c r="M230">
        <v>0.44900000000000001</v>
      </c>
      <c r="N230">
        <v>0.78300000000000003</v>
      </c>
      <c r="O230">
        <v>0.78300000000000003</v>
      </c>
      <c r="P230">
        <v>100</v>
      </c>
      <c r="Q230">
        <v>0.52800000000000002</v>
      </c>
      <c r="R230">
        <v>-3.1</v>
      </c>
      <c r="S230">
        <v>-0.6</v>
      </c>
      <c r="T230">
        <v>0.75</v>
      </c>
      <c r="U230">
        <v>0.31</v>
      </c>
      <c r="V230">
        <v>0.2</v>
      </c>
      <c r="W230">
        <v>76.5</v>
      </c>
    </row>
    <row r="231" spans="1:23" x14ac:dyDescent="0.25">
      <c r="A231" t="s">
        <v>32</v>
      </c>
      <c r="B231">
        <v>4.4000000000000004</v>
      </c>
      <c r="C231">
        <v>4296</v>
      </c>
      <c r="D231">
        <v>730</v>
      </c>
      <c r="E231">
        <v>4.5999999999999996</v>
      </c>
      <c r="F231">
        <v>104</v>
      </c>
      <c r="G231">
        <v>0.32900000000000001</v>
      </c>
      <c r="H231">
        <v>0.26100000000000001</v>
      </c>
      <c r="I231">
        <v>0.25</v>
      </c>
      <c r="J231">
        <v>0.314</v>
      </c>
      <c r="K231">
        <v>0.31900000000000001</v>
      </c>
      <c r="L231">
        <v>0.41399999999999998</v>
      </c>
      <c r="M231">
        <v>0.434</v>
      </c>
      <c r="N231">
        <v>0.72799999999999998</v>
      </c>
      <c r="O231">
        <v>0.753</v>
      </c>
      <c r="P231">
        <v>94</v>
      </c>
      <c r="Q231">
        <v>0.45600000000000002</v>
      </c>
      <c r="R231">
        <v>-51</v>
      </c>
      <c r="S231">
        <v>-5</v>
      </c>
      <c r="T231">
        <v>0.66100000000000003</v>
      </c>
      <c r="U231">
        <v>0.22800000000000001</v>
      </c>
      <c r="V231">
        <v>0.153</v>
      </c>
      <c r="W231">
        <v>93.6</v>
      </c>
    </row>
    <row r="232" spans="1:23" x14ac:dyDescent="0.25">
      <c r="A232" t="s">
        <v>12</v>
      </c>
      <c r="B232">
        <v>4.33</v>
      </c>
      <c r="C232">
        <v>4334</v>
      </c>
      <c r="D232">
        <v>747</v>
      </c>
      <c r="E232">
        <v>4.5999999999999996</v>
      </c>
      <c r="F232">
        <v>113</v>
      </c>
      <c r="G232">
        <v>0.28799999999999998</v>
      </c>
      <c r="H232">
        <v>0.24399999999999999</v>
      </c>
      <c r="I232">
        <v>0.26100000000000001</v>
      </c>
      <c r="J232">
        <v>0.315</v>
      </c>
      <c r="K232">
        <v>0.33500000000000002</v>
      </c>
      <c r="L232">
        <v>0.42199999999999999</v>
      </c>
      <c r="M232">
        <v>0.45100000000000001</v>
      </c>
      <c r="N232">
        <v>0.73599999999999999</v>
      </c>
      <c r="O232">
        <v>0.78600000000000003</v>
      </c>
      <c r="P232">
        <v>87</v>
      </c>
      <c r="Q232">
        <v>0.46700000000000003</v>
      </c>
      <c r="R232">
        <v>-112.6</v>
      </c>
      <c r="S232">
        <v>-10.9</v>
      </c>
      <c r="T232">
        <v>0.69299999999999995</v>
      </c>
      <c r="U232">
        <v>0.27600000000000002</v>
      </c>
      <c r="V232">
        <v>0.17799999999999999</v>
      </c>
      <c r="W232">
        <v>118.3</v>
      </c>
    </row>
    <row r="233" spans="1:23" x14ac:dyDescent="0.25">
      <c r="A233" t="s">
        <v>3</v>
      </c>
      <c r="B233">
        <v>4.75</v>
      </c>
      <c r="C233">
        <v>4302</v>
      </c>
      <c r="D233">
        <v>787</v>
      </c>
      <c r="E233">
        <v>4.9000000000000004</v>
      </c>
      <c r="F233">
        <v>110</v>
      </c>
      <c r="G233">
        <v>0.28899999999999998</v>
      </c>
      <c r="H233">
        <v>0.25</v>
      </c>
      <c r="I233">
        <v>0.25800000000000001</v>
      </c>
      <c r="J233">
        <v>0.32300000000000001</v>
      </c>
      <c r="K233">
        <v>0.32800000000000001</v>
      </c>
      <c r="L233">
        <v>0.432</v>
      </c>
      <c r="M233">
        <v>0.44800000000000001</v>
      </c>
      <c r="N233">
        <v>0.75600000000000001</v>
      </c>
      <c r="O233">
        <v>0.77600000000000002</v>
      </c>
      <c r="P233">
        <v>95</v>
      </c>
      <c r="Q233">
        <v>0.48899999999999999</v>
      </c>
      <c r="R233">
        <v>-41.1</v>
      </c>
      <c r="S233">
        <v>-4.0999999999999996</v>
      </c>
      <c r="T233">
        <v>0.72599999999999998</v>
      </c>
      <c r="U233">
        <v>0.29899999999999999</v>
      </c>
      <c r="V233">
        <v>0.183</v>
      </c>
      <c r="W233">
        <v>140.9</v>
      </c>
    </row>
    <row r="234" spans="1:23" x14ac:dyDescent="0.25">
      <c r="A234" t="s">
        <v>11</v>
      </c>
      <c r="B234">
        <v>5.15</v>
      </c>
      <c r="C234">
        <v>4394</v>
      </c>
      <c r="D234">
        <v>872</v>
      </c>
      <c r="E234">
        <v>5.3</v>
      </c>
      <c r="F234">
        <v>125</v>
      </c>
      <c r="G234">
        <v>0.32100000000000001</v>
      </c>
      <c r="H234">
        <v>0.26500000000000001</v>
      </c>
      <c r="I234">
        <v>0.27800000000000002</v>
      </c>
      <c r="J234">
        <v>0.32600000000000001</v>
      </c>
      <c r="K234">
        <v>0.35299999999999998</v>
      </c>
      <c r="L234">
        <v>0.45600000000000002</v>
      </c>
      <c r="M234">
        <v>0.47899999999999998</v>
      </c>
      <c r="N234">
        <v>0.78200000000000003</v>
      </c>
      <c r="O234">
        <v>0.83199999999999996</v>
      </c>
      <c r="P234">
        <v>87</v>
      </c>
      <c r="Q234">
        <v>0.53100000000000003</v>
      </c>
      <c r="R234">
        <v>-121.4</v>
      </c>
      <c r="S234">
        <v>-11.8</v>
      </c>
      <c r="T234">
        <v>0.74</v>
      </c>
      <c r="U234">
        <v>0.28399999999999997</v>
      </c>
      <c r="V234">
        <v>0.19</v>
      </c>
      <c r="W234">
        <v>107.8</v>
      </c>
    </row>
    <row r="235" spans="1:23" x14ac:dyDescent="0.25">
      <c r="A235" t="s">
        <v>2</v>
      </c>
      <c r="B235">
        <v>3.61</v>
      </c>
      <c r="C235">
        <v>4395</v>
      </c>
      <c r="D235">
        <v>644</v>
      </c>
      <c r="E235">
        <v>3.9</v>
      </c>
      <c r="F235">
        <v>108</v>
      </c>
      <c r="G235">
        <v>0.308</v>
      </c>
      <c r="H235">
        <v>0.24</v>
      </c>
      <c r="I235">
        <v>0.25600000000000001</v>
      </c>
      <c r="J235">
        <v>0.29399999999999998</v>
      </c>
      <c r="K235">
        <v>0.32600000000000001</v>
      </c>
      <c r="L235">
        <v>0.38800000000000001</v>
      </c>
      <c r="M235">
        <v>0.44400000000000001</v>
      </c>
      <c r="N235">
        <v>0.68200000000000005</v>
      </c>
      <c r="O235">
        <v>0.77</v>
      </c>
      <c r="P235">
        <v>78</v>
      </c>
      <c r="Q235">
        <v>0.39</v>
      </c>
      <c r="R235">
        <v>-188.8</v>
      </c>
      <c r="S235">
        <v>-18.100000000000001</v>
      </c>
      <c r="T235">
        <v>0.61</v>
      </c>
      <c r="U235">
        <v>0.22500000000000001</v>
      </c>
      <c r="V235">
        <v>0.14799999999999999</v>
      </c>
      <c r="W235">
        <v>82.5</v>
      </c>
    </row>
    <row r="236" spans="1:23" x14ac:dyDescent="0.25">
      <c r="A236" t="s">
        <v>16</v>
      </c>
      <c r="B236">
        <v>5.68</v>
      </c>
      <c r="C236">
        <v>4315</v>
      </c>
      <c r="D236">
        <v>1004</v>
      </c>
      <c r="E236">
        <v>6.2</v>
      </c>
      <c r="F236">
        <v>109</v>
      </c>
      <c r="G236">
        <v>0.29599999999999999</v>
      </c>
      <c r="H236">
        <v>0.27400000000000002</v>
      </c>
      <c r="I236">
        <v>0.25700000000000001</v>
      </c>
      <c r="J236">
        <v>0.35199999999999998</v>
      </c>
      <c r="K236">
        <v>0.32700000000000001</v>
      </c>
      <c r="L236">
        <v>0.495</v>
      </c>
      <c r="M236">
        <v>0.44600000000000001</v>
      </c>
      <c r="N236">
        <v>0.84799999999999998</v>
      </c>
      <c r="O236">
        <v>0.77300000000000002</v>
      </c>
      <c r="P236">
        <v>119</v>
      </c>
      <c r="Q236">
        <v>0.59799999999999998</v>
      </c>
      <c r="R236">
        <v>163.1</v>
      </c>
      <c r="S236">
        <v>15.1</v>
      </c>
      <c r="T236">
        <v>0.83799999999999997</v>
      </c>
      <c r="U236">
        <v>0.34300000000000003</v>
      </c>
      <c r="V236">
        <v>0.221</v>
      </c>
      <c r="W236">
        <v>108.7</v>
      </c>
    </row>
    <row r="237" spans="1:23" x14ac:dyDescent="0.25">
      <c r="A237" t="s">
        <v>30</v>
      </c>
      <c r="B237">
        <v>4.2699999999999996</v>
      </c>
      <c r="C237">
        <v>4358</v>
      </c>
      <c r="D237">
        <v>705</v>
      </c>
      <c r="E237">
        <v>4.3</v>
      </c>
      <c r="F237">
        <v>107</v>
      </c>
      <c r="G237">
        <v>0.30099999999999999</v>
      </c>
      <c r="H237">
        <v>0.247</v>
      </c>
      <c r="I237">
        <v>0.255</v>
      </c>
      <c r="J237">
        <v>0.309</v>
      </c>
      <c r="K237">
        <v>0.32500000000000001</v>
      </c>
      <c r="L237">
        <v>0.40100000000000002</v>
      </c>
      <c r="M237">
        <v>0.442</v>
      </c>
      <c r="N237">
        <v>0.71</v>
      </c>
      <c r="O237">
        <v>0.76700000000000002</v>
      </c>
      <c r="P237">
        <v>86</v>
      </c>
      <c r="Q237">
        <v>0.433</v>
      </c>
      <c r="R237">
        <v>-116</v>
      </c>
      <c r="S237">
        <v>-11.2</v>
      </c>
      <c r="T237">
        <v>0.66100000000000003</v>
      </c>
      <c r="U237">
        <v>0.251</v>
      </c>
      <c r="V237">
        <v>0.154</v>
      </c>
      <c r="W237">
        <v>135.9</v>
      </c>
    </row>
    <row r="238" spans="1:23" x14ac:dyDescent="0.25">
      <c r="A238" t="s">
        <v>7</v>
      </c>
      <c r="B238">
        <v>4.75</v>
      </c>
      <c r="C238">
        <v>4383</v>
      </c>
      <c r="D238">
        <v>794</v>
      </c>
      <c r="E238">
        <v>4.9000000000000004</v>
      </c>
      <c r="F238">
        <v>105</v>
      </c>
      <c r="G238">
        <v>0.28100000000000003</v>
      </c>
      <c r="H238">
        <v>0.247</v>
      </c>
      <c r="I238">
        <v>0.252</v>
      </c>
      <c r="J238">
        <v>0.32400000000000001</v>
      </c>
      <c r="K238">
        <v>0.32100000000000001</v>
      </c>
      <c r="L238">
        <v>0.42199999999999999</v>
      </c>
      <c r="M238">
        <v>0.436</v>
      </c>
      <c r="N238">
        <v>0.746</v>
      </c>
      <c r="O238">
        <v>0.75700000000000001</v>
      </c>
      <c r="P238">
        <v>98</v>
      </c>
      <c r="Q238">
        <v>0.48499999999999999</v>
      </c>
      <c r="R238">
        <v>-11.6</v>
      </c>
      <c r="S238">
        <v>-1.4</v>
      </c>
      <c r="T238">
        <v>0.70499999999999996</v>
      </c>
      <c r="U238">
        <v>0.28899999999999998</v>
      </c>
      <c r="V238">
        <v>0.17499999999999999</v>
      </c>
      <c r="W238">
        <v>100.4</v>
      </c>
    </row>
    <row r="239" spans="1:23" x14ac:dyDescent="0.25">
      <c r="A239" t="s">
        <v>29</v>
      </c>
      <c r="B239">
        <v>5.47</v>
      </c>
      <c r="C239">
        <v>4289</v>
      </c>
      <c r="D239">
        <v>930</v>
      </c>
      <c r="E239">
        <v>5.8</v>
      </c>
      <c r="F239">
        <v>106</v>
      </c>
      <c r="G239">
        <v>0.29099999999999998</v>
      </c>
      <c r="H239">
        <v>0.25700000000000001</v>
      </c>
      <c r="I239">
        <v>0.253</v>
      </c>
      <c r="J239">
        <v>0.33800000000000002</v>
      </c>
      <c r="K239">
        <v>0.32600000000000001</v>
      </c>
      <c r="L239">
        <v>0.47199999999999998</v>
      </c>
      <c r="M239">
        <v>0.437</v>
      </c>
      <c r="N239">
        <v>0.81</v>
      </c>
      <c r="O239">
        <v>0.76300000000000001</v>
      </c>
      <c r="P239">
        <v>112</v>
      </c>
      <c r="Q239">
        <v>0.57199999999999995</v>
      </c>
      <c r="R239">
        <v>103.3</v>
      </c>
      <c r="S239">
        <v>9.5</v>
      </c>
      <c r="T239">
        <v>0.79700000000000004</v>
      </c>
      <c r="U239">
        <v>0.33400000000000002</v>
      </c>
      <c r="V239">
        <v>0.215</v>
      </c>
      <c r="W239">
        <v>94.7</v>
      </c>
    </row>
    <row r="240" spans="1:23" x14ac:dyDescent="0.25">
      <c r="A240" t="s">
        <v>5</v>
      </c>
      <c r="B240">
        <v>3.8</v>
      </c>
      <c r="C240">
        <v>4419</v>
      </c>
      <c r="D240">
        <v>625</v>
      </c>
      <c r="E240">
        <v>3.8</v>
      </c>
      <c r="F240">
        <v>105</v>
      </c>
      <c r="G240">
        <v>0.3</v>
      </c>
      <c r="H240">
        <v>0.24099999999999999</v>
      </c>
      <c r="I240">
        <v>0.251</v>
      </c>
      <c r="J240">
        <v>0.29799999999999999</v>
      </c>
      <c r="K240">
        <v>0.32300000000000001</v>
      </c>
      <c r="L240">
        <v>0.375</v>
      </c>
      <c r="M240">
        <v>0.433</v>
      </c>
      <c r="N240">
        <v>0.67300000000000004</v>
      </c>
      <c r="O240">
        <v>0.75600000000000001</v>
      </c>
      <c r="P240">
        <v>79</v>
      </c>
      <c r="Q240">
        <v>0.379</v>
      </c>
      <c r="R240">
        <v>-165</v>
      </c>
      <c r="S240">
        <v>-15.9</v>
      </c>
      <c r="T240">
        <v>0.59399999999999997</v>
      </c>
      <c r="U240">
        <v>0.21</v>
      </c>
      <c r="V240">
        <v>0.13400000000000001</v>
      </c>
      <c r="W240">
        <v>79.900000000000006</v>
      </c>
    </row>
    <row r="241" spans="1:23" x14ac:dyDescent="0.25">
      <c r="A241" t="s">
        <v>6</v>
      </c>
      <c r="B241">
        <v>4.75</v>
      </c>
      <c r="C241">
        <v>4379</v>
      </c>
      <c r="D241">
        <v>855</v>
      </c>
      <c r="E241">
        <v>5.2</v>
      </c>
      <c r="F241">
        <v>111</v>
      </c>
      <c r="G241">
        <v>0.29599999999999999</v>
      </c>
      <c r="H241">
        <v>0.246</v>
      </c>
      <c r="I241">
        <v>0.25900000000000001</v>
      </c>
      <c r="J241">
        <v>0.32900000000000001</v>
      </c>
      <c r="K241">
        <v>0.33200000000000002</v>
      </c>
      <c r="L241">
        <v>0.438</v>
      </c>
      <c r="M241">
        <v>0.44700000000000001</v>
      </c>
      <c r="N241">
        <v>0.76700000000000002</v>
      </c>
      <c r="O241">
        <v>0.77900000000000003</v>
      </c>
      <c r="P241">
        <v>97</v>
      </c>
      <c r="Q241">
        <v>0.52400000000000002</v>
      </c>
      <c r="R241">
        <v>-23.4</v>
      </c>
      <c r="S241">
        <v>-2.5</v>
      </c>
      <c r="T241">
        <v>0.748</v>
      </c>
      <c r="U241">
        <v>0.31900000000000001</v>
      </c>
      <c r="V241">
        <v>0.192</v>
      </c>
      <c r="W241">
        <v>143.9</v>
      </c>
    </row>
    <row r="242" spans="1:23" x14ac:dyDescent="0.25">
      <c r="A242" t="s">
        <v>13</v>
      </c>
      <c r="B242">
        <v>5.8</v>
      </c>
      <c r="C242">
        <v>4358</v>
      </c>
      <c r="D242">
        <v>967</v>
      </c>
      <c r="E242">
        <v>5.9</v>
      </c>
      <c r="F242">
        <v>107</v>
      </c>
      <c r="G242">
        <v>0.3</v>
      </c>
      <c r="H242">
        <v>0.27</v>
      </c>
      <c r="I242">
        <v>0.254</v>
      </c>
      <c r="J242">
        <v>0.33800000000000002</v>
      </c>
      <c r="K242">
        <v>0.32300000000000001</v>
      </c>
      <c r="L242">
        <v>0.49399999999999999</v>
      </c>
      <c r="M242">
        <v>0.44</v>
      </c>
      <c r="N242">
        <v>0.83199999999999996</v>
      </c>
      <c r="O242">
        <v>0.76300000000000001</v>
      </c>
      <c r="P242">
        <v>117</v>
      </c>
      <c r="Q242">
        <v>0.57699999999999996</v>
      </c>
      <c r="R242">
        <v>138.30000000000001</v>
      </c>
      <c r="S242">
        <v>12.9</v>
      </c>
      <c r="T242">
        <v>0.80500000000000005</v>
      </c>
      <c r="U242">
        <v>0.317</v>
      </c>
      <c r="V242">
        <v>0.224</v>
      </c>
      <c r="W242">
        <v>51.3</v>
      </c>
    </row>
    <row r="243" spans="1:23" x14ac:dyDescent="0.25">
      <c r="A243" t="s">
        <v>27</v>
      </c>
      <c r="B243">
        <v>4.88</v>
      </c>
      <c r="C243">
        <v>4390</v>
      </c>
      <c r="D243">
        <v>840</v>
      </c>
      <c r="E243">
        <v>5.0999999999999996</v>
      </c>
      <c r="F243">
        <v>103</v>
      </c>
      <c r="G243">
        <v>0.29899999999999999</v>
      </c>
      <c r="H243">
        <v>0.25700000000000001</v>
      </c>
      <c r="I243">
        <v>0.249</v>
      </c>
      <c r="J243">
        <v>0.32800000000000001</v>
      </c>
      <c r="K243">
        <v>0.32</v>
      </c>
      <c r="L243">
        <v>0.442</v>
      </c>
      <c r="M243">
        <v>0.42899999999999999</v>
      </c>
      <c r="N243">
        <v>0.77</v>
      </c>
      <c r="O243">
        <v>0.749</v>
      </c>
      <c r="P243">
        <v>106</v>
      </c>
      <c r="Q243">
        <v>0.51500000000000001</v>
      </c>
      <c r="R243">
        <v>55.7</v>
      </c>
      <c r="S243">
        <v>5</v>
      </c>
      <c r="T243">
        <v>0.72699999999999998</v>
      </c>
      <c r="U243">
        <v>0.28199999999999997</v>
      </c>
      <c r="V243">
        <v>0.185</v>
      </c>
      <c r="W243">
        <v>91</v>
      </c>
    </row>
    <row r="244" spans="1:23" x14ac:dyDescent="0.25">
      <c r="A244" t="s">
        <v>28</v>
      </c>
      <c r="B244">
        <v>5.82</v>
      </c>
      <c r="C244">
        <v>4268</v>
      </c>
      <c r="D244">
        <v>944</v>
      </c>
      <c r="E244">
        <v>5.9</v>
      </c>
      <c r="F244">
        <v>105</v>
      </c>
      <c r="G244">
        <v>0.30599999999999999</v>
      </c>
      <c r="H244">
        <v>0.26700000000000002</v>
      </c>
      <c r="I244">
        <v>0.251</v>
      </c>
      <c r="J244">
        <v>0.33900000000000002</v>
      </c>
      <c r="K244">
        <v>0.32100000000000001</v>
      </c>
      <c r="L244">
        <v>0.49</v>
      </c>
      <c r="M244">
        <v>0.436</v>
      </c>
      <c r="N244">
        <v>0.82899999999999996</v>
      </c>
      <c r="O244">
        <v>0.75700000000000001</v>
      </c>
      <c r="P244">
        <v>118</v>
      </c>
      <c r="Q244">
        <v>0.57499999999999996</v>
      </c>
      <c r="R244">
        <v>146.1</v>
      </c>
      <c r="S244">
        <v>13.6</v>
      </c>
      <c r="T244">
        <v>0.80700000000000005</v>
      </c>
      <c r="U244">
        <v>0.33</v>
      </c>
      <c r="V244">
        <v>0.222</v>
      </c>
      <c r="W244">
        <v>93.2</v>
      </c>
    </row>
    <row r="245" spans="1:23" x14ac:dyDescent="0.25">
      <c r="A245" t="s">
        <v>17</v>
      </c>
      <c r="B245">
        <v>5.22</v>
      </c>
      <c r="C245">
        <v>4381</v>
      </c>
      <c r="D245">
        <v>830</v>
      </c>
      <c r="E245">
        <v>5.0999999999999996</v>
      </c>
      <c r="F245">
        <v>102</v>
      </c>
      <c r="G245">
        <v>0.28199999999999997</v>
      </c>
      <c r="H245">
        <v>0.249</v>
      </c>
      <c r="I245">
        <v>0.248</v>
      </c>
      <c r="J245">
        <v>0.32700000000000001</v>
      </c>
      <c r="K245">
        <v>0.317</v>
      </c>
      <c r="L245">
        <v>0.44800000000000001</v>
      </c>
      <c r="M245">
        <v>0.43</v>
      </c>
      <c r="N245">
        <v>0.77600000000000002</v>
      </c>
      <c r="O245">
        <v>0.747</v>
      </c>
      <c r="P245">
        <v>108</v>
      </c>
      <c r="Q245">
        <v>0.505</v>
      </c>
      <c r="R245">
        <v>70.2</v>
      </c>
      <c r="S245">
        <v>6.4</v>
      </c>
      <c r="T245">
        <v>0.73899999999999999</v>
      </c>
      <c r="U245">
        <v>0.308</v>
      </c>
      <c r="V245">
        <v>0.19900000000000001</v>
      </c>
      <c r="W245">
        <v>82.3</v>
      </c>
    </row>
    <row r="246" spans="1:23" x14ac:dyDescent="0.25">
      <c r="A246" t="s">
        <v>15</v>
      </c>
      <c r="B246">
        <v>4.78</v>
      </c>
      <c r="C246">
        <v>4385</v>
      </c>
      <c r="D246">
        <v>799</v>
      </c>
      <c r="E246">
        <v>4.9000000000000004</v>
      </c>
      <c r="F246">
        <v>112</v>
      </c>
      <c r="G246">
        <v>0.29299999999999998</v>
      </c>
      <c r="H246">
        <v>0.246</v>
      </c>
      <c r="I246">
        <v>0.26</v>
      </c>
      <c r="J246">
        <v>0.31900000000000001</v>
      </c>
      <c r="K246">
        <v>0.33400000000000002</v>
      </c>
      <c r="L246">
        <v>0.42699999999999999</v>
      </c>
      <c r="M246">
        <v>0.44900000000000001</v>
      </c>
      <c r="N246">
        <v>0.746</v>
      </c>
      <c r="O246">
        <v>0.78300000000000003</v>
      </c>
      <c r="P246">
        <v>91</v>
      </c>
      <c r="Q246">
        <v>0.49199999999999999</v>
      </c>
      <c r="R246">
        <v>-80.099999999999994</v>
      </c>
      <c r="S246">
        <v>-7.8</v>
      </c>
      <c r="T246">
        <v>0.71199999999999997</v>
      </c>
      <c r="U246">
        <v>0.29299999999999998</v>
      </c>
      <c r="V246">
        <v>0.18099999999999999</v>
      </c>
      <c r="W246">
        <v>114.5</v>
      </c>
    </row>
    <row r="247" spans="1:23" x14ac:dyDescent="0.25">
      <c r="A247" t="s">
        <v>14</v>
      </c>
      <c r="B247">
        <v>4.68</v>
      </c>
      <c r="C247">
        <v>4389</v>
      </c>
      <c r="D247">
        <v>782</v>
      </c>
      <c r="E247">
        <v>4.8</v>
      </c>
      <c r="F247">
        <v>106</v>
      </c>
      <c r="G247">
        <v>0.309</v>
      </c>
      <c r="H247">
        <v>0.26500000000000001</v>
      </c>
      <c r="I247">
        <v>0.253</v>
      </c>
      <c r="J247">
        <v>0.32100000000000001</v>
      </c>
      <c r="K247">
        <v>0.32600000000000001</v>
      </c>
      <c r="L247">
        <v>0.42</v>
      </c>
      <c r="M247">
        <v>0.437</v>
      </c>
      <c r="N247">
        <v>0.74099999999999999</v>
      </c>
      <c r="O247">
        <v>0.76300000000000001</v>
      </c>
      <c r="P247">
        <v>95</v>
      </c>
      <c r="Q247">
        <v>0.48199999999999998</v>
      </c>
      <c r="R247">
        <v>-41.1</v>
      </c>
      <c r="S247">
        <v>-4.0999999999999996</v>
      </c>
      <c r="T247">
        <v>0.68</v>
      </c>
      <c r="U247">
        <v>0.23699999999999999</v>
      </c>
      <c r="V247">
        <v>0.156</v>
      </c>
      <c r="W247">
        <v>91.9</v>
      </c>
    </row>
    <row r="248" spans="1:23" x14ac:dyDescent="0.25">
      <c r="A248" t="s">
        <v>26</v>
      </c>
      <c r="B248">
        <v>4.21</v>
      </c>
      <c r="C248">
        <v>4335</v>
      </c>
      <c r="D248">
        <v>697</v>
      </c>
      <c r="E248">
        <v>4.3</v>
      </c>
      <c r="F248">
        <v>106</v>
      </c>
      <c r="G248">
        <v>0.29299999999999998</v>
      </c>
      <c r="H248">
        <v>0.23799999999999999</v>
      </c>
      <c r="I248">
        <v>0.252</v>
      </c>
      <c r="J248">
        <v>0.308</v>
      </c>
      <c r="K248">
        <v>0.32400000000000001</v>
      </c>
      <c r="L248">
        <v>0.41</v>
      </c>
      <c r="M248">
        <v>0.435</v>
      </c>
      <c r="N248">
        <v>0.71799999999999997</v>
      </c>
      <c r="O248">
        <v>0.75900000000000001</v>
      </c>
      <c r="P248">
        <v>89</v>
      </c>
      <c r="Q248">
        <v>0.436</v>
      </c>
      <c r="R248">
        <v>-87</v>
      </c>
      <c r="S248">
        <v>-8.4</v>
      </c>
      <c r="T248">
        <v>0.66500000000000004</v>
      </c>
      <c r="U248">
        <v>0.27200000000000002</v>
      </c>
      <c r="V248">
        <v>0.17199999999999999</v>
      </c>
      <c r="W248">
        <v>106.1</v>
      </c>
    </row>
    <row r="249" spans="1:23" x14ac:dyDescent="0.25">
      <c r="A249" t="s">
        <v>1</v>
      </c>
      <c r="B249">
        <v>4.68</v>
      </c>
      <c r="C249">
        <v>4376</v>
      </c>
      <c r="D249">
        <v>766</v>
      </c>
      <c r="E249">
        <v>4.7</v>
      </c>
      <c r="F249">
        <v>100</v>
      </c>
      <c r="G249">
        <v>0.28699999999999998</v>
      </c>
      <c r="H249">
        <v>0.23699999999999999</v>
      </c>
      <c r="I249">
        <v>0.246</v>
      </c>
      <c r="J249">
        <v>0.316</v>
      </c>
      <c r="K249">
        <v>0.314</v>
      </c>
      <c r="L249">
        <v>0.42399999999999999</v>
      </c>
      <c r="M249">
        <v>0.42599999999999999</v>
      </c>
      <c r="N249">
        <v>0.74</v>
      </c>
      <c r="O249">
        <v>0.74</v>
      </c>
      <c r="P249">
        <v>100</v>
      </c>
      <c r="Q249">
        <v>0.46899999999999997</v>
      </c>
      <c r="R249">
        <v>11</v>
      </c>
      <c r="S249">
        <v>0.9</v>
      </c>
      <c r="T249">
        <v>0.71499999999999997</v>
      </c>
      <c r="U249">
        <v>0.30599999999999999</v>
      </c>
      <c r="V249">
        <v>0.187</v>
      </c>
      <c r="W249">
        <v>155.30000000000001</v>
      </c>
    </row>
    <row r="250" spans="1:23" x14ac:dyDescent="0.25">
      <c r="A250" t="s">
        <v>25</v>
      </c>
      <c r="B250">
        <v>4.1900000000000004</v>
      </c>
      <c r="C250">
        <v>4452</v>
      </c>
      <c r="D250">
        <v>677</v>
      </c>
      <c r="E250">
        <v>4.0999999999999996</v>
      </c>
      <c r="F250">
        <v>105</v>
      </c>
      <c r="G250">
        <v>0.28999999999999998</v>
      </c>
      <c r="H250">
        <v>0.23899999999999999</v>
      </c>
      <c r="I250">
        <v>0.251</v>
      </c>
      <c r="J250">
        <v>0.30199999999999999</v>
      </c>
      <c r="K250">
        <v>0.32300000000000001</v>
      </c>
      <c r="L250">
        <v>0.39200000000000002</v>
      </c>
      <c r="M250">
        <v>0.433</v>
      </c>
      <c r="N250">
        <v>0.69399999999999995</v>
      </c>
      <c r="O250">
        <v>0.75600000000000001</v>
      </c>
      <c r="P250">
        <v>84</v>
      </c>
      <c r="Q250">
        <v>0.41099999999999998</v>
      </c>
      <c r="R250">
        <v>-123.2</v>
      </c>
      <c r="S250">
        <v>-11.9</v>
      </c>
      <c r="T250">
        <v>0.629</v>
      </c>
      <c r="U250">
        <v>0.24099999999999999</v>
      </c>
      <c r="V250">
        <v>0.153</v>
      </c>
      <c r="W250">
        <v>73.400000000000006</v>
      </c>
    </row>
    <row r="251" spans="1:23" x14ac:dyDescent="0.25">
      <c r="A251" t="s">
        <v>24</v>
      </c>
      <c r="B251">
        <v>4.72</v>
      </c>
      <c r="C251">
        <v>4330</v>
      </c>
      <c r="D251">
        <v>765</v>
      </c>
      <c r="E251">
        <v>4.7</v>
      </c>
      <c r="F251">
        <v>108</v>
      </c>
      <c r="G251">
        <v>0.29199999999999998</v>
      </c>
      <c r="H251">
        <v>0.245</v>
      </c>
      <c r="I251">
        <v>0.25600000000000001</v>
      </c>
      <c r="J251">
        <v>0.32200000000000001</v>
      </c>
      <c r="K251">
        <v>0.32800000000000001</v>
      </c>
      <c r="L251">
        <v>0.41499999999999998</v>
      </c>
      <c r="M251">
        <v>0.441</v>
      </c>
      <c r="N251">
        <v>0.73699999999999999</v>
      </c>
      <c r="O251">
        <v>0.77</v>
      </c>
      <c r="P251">
        <v>92</v>
      </c>
      <c r="Q251">
        <v>0.47799999999999998</v>
      </c>
      <c r="R251">
        <v>-60.6</v>
      </c>
      <c r="S251">
        <v>-5.8</v>
      </c>
      <c r="T251">
        <v>0.70899999999999996</v>
      </c>
      <c r="U251">
        <v>0.28799999999999998</v>
      </c>
      <c r="V251">
        <v>0.17</v>
      </c>
      <c r="W251">
        <v>149.4</v>
      </c>
    </row>
    <row r="252" spans="1:23" x14ac:dyDescent="0.25">
      <c r="A252" t="s">
        <v>23</v>
      </c>
      <c r="B252">
        <v>4.75</v>
      </c>
      <c r="C252">
        <v>4394</v>
      </c>
      <c r="D252">
        <v>810</v>
      </c>
      <c r="E252">
        <v>4.9000000000000004</v>
      </c>
      <c r="F252">
        <v>104</v>
      </c>
      <c r="G252">
        <v>0.30599999999999999</v>
      </c>
      <c r="H252">
        <v>0.254</v>
      </c>
      <c r="I252">
        <v>0.25</v>
      </c>
      <c r="J252">
        <v>0.32500000000000001</v>
      </c>
      <c r="K252">
        <v>0.31900000000000001</v>
      </c>
      <c r="L252">
        <v>0.43099999999999999</v>
      </c>
      <c r="M252">
        <v>0.434</v>
      </c>
      <c r="N252">
        <v>0.75700000000000001</v>
      </c>
      <c r="O252">
        <v>0.753</v>
      </c>
      <c r="P252">
        <v>101</v>
      </c>
      <c r="Q252">
        <v>0.49299999999999999</v>
      </c>
      <c r="R252">
        <v>14.9</v>
      </c>
      <c r="S252">
        <v>1.2</v>
      </c>
      <c r="T252">
        <v>0.72099999999999997</v>
      </c>
      <c r="U252">
        <v>0.28399999999999997</v>
      </c>
      <c r="V252">
        <v>0.17799999999999999</v>
      </c>
      <c r="W252">
        <v>131.19999999999999</v>
      </c>
    </row>
    <row r="253" spans="1:23" x14ac:dyDescent="0.25">
      <c r="A253" t="s">
        <v>19</v>
      </c>
      <c r="B253">
        <v>5</v>
      </c>
      <c r="C253">
        <v>4363</v>
      </c>
      <c r="D253">
        <v>799</v>
      </c>
      <c r="E253">
        <v>4.9000000000000004</v>
      </c>
      <c r="F253">
        <v>116</v>
      </c>
      <c r="G253">
        <v>0.30399999999999999</v>
      </c>
      <c r="H253">
        <v>0.248</v>
      </c>
      <c r="I253">
        <v>0.26600000000000001</v>
      </c>
      <c r="J253">
        <v>0.31900000000000001</v>
      </c>
      <c r="K253">
        <v>0.33700000000000002</v>
      </c>
      <c r="L253">
        <v>0.43099999999999999</v>
      </c>
      <c r="M253">
        <v>0.46100000000000002</v>
      </c>
      <c r="N253">
        <v>0.75</v>
      </c>
      <c r="O253">
        <v>0.79800000000000004</v>
      </c>
      <c r="P253">
        <v>88</v>
      </c>
      <c r="Q253">
        <v>0.49</v>
      </c>
      <c r="R253">
        <v>-105.5</v>
      </c>
      <c r="S253">
        <v>-10.199999999999999</v>
      </c>
      <c r="T253">
        <v>0.72499999999999998</v>
      </c>
      <c r="U253">
        <v>0.29599999999999999</v>
      </c>
      <c r="V253">
        <v>0.183</v>
      </c>
      <c r="W253">
        <v>165</v>
      </c>
    </row>
    <row r="254" spans="1:23" x14ac:dyDescent="0.25">
      <c r="A254" t="s">
        <v>18</v>
      </c>
      <c r="B254">
        <v>4.4800000000000004</v>
      </c>
      <c r="C254">
        <v>4363</v>
      </c>
      <c r="D254">
        <v>733</v>
      </c>
      <c r="E254">
        <v>4.5</v>
      </c>
      <c r="F254">
        <v>104</v>
      </c>
      <c r="G254">
        <v>0.28000000000000003</v>
      </c>
      <c r="H254">
        <v>0.23599999999999999</v>
      </c>
      <c r="I254">
        <v>0.25</v>
      </c>
      <c r="J254">
        <v>0.30499999999999999</v>
      </c>
      <c r="K254">
        <v>0.31900000000000001</v>
      </c>
      <c r="L254">
        <v>0.42799999999999999</v>
      </c>
      <c r="M254">
        <v>0.434</v>
      </c>
      <c r="N254">
        <v>0.73299999999999998</v>
      </c>
      <c r="O254">
        <v>0.753</v>
      </c>
      <c r="P254">
        <v>94</v>
      </c>
      <c r="Q254">
        <v>0.45</v>
      </c>
      <c r="R254">
        <v>-48.6</v>
      </c>
      <c r="S254">
        <v>-4.8</v>
      </c>
      <c r="T254">
        <v>0.68400000000000005</v>
      </c>
      <c r="U254">
        <v>0.28999999999999998</v>
      </c>
      <c r="V254">
        <v>0.192</v>
      </c>
      <c r="W254">
        <v>84.5</v>
      </c>
    </row>
    <row r="255" spans="1:23" x14ac:dyDescent="0.25">
      <c r="A255" t="s">
        <v>22</v>
      </c>
      <c r="B255">
        <v>5.39</v>
      </c>
      <c r="C255">
        <v>4288</v>
      </c>
      <c r="D255">
        <v>907</v>
      </c>
      <c r="E255">
        <v>5.7</v>
      </c>
      <c r="F255">
        <v>115</v>
      </c>
      <c r="G255">
        <v>0.30599999999999999</v>
      </c>
      <c r="H255">
        <v>0.26500000000000001</v>
      </c>
      <c r="I255">
        <v>0.26500000000000001</v>
      </c>
      <c r="J255">
        <v>0.34200000000000003</v>
      </c>
      <c r="K255">
        <v>0.33900000000000002</v>
      </c>
      <c r="L255">
        <v>0.45400000000000001</v>
      </c>
      <c r="M255">
        <v>0.45700000000000002</v>
      </c>
      <c r="N255">
        <v>0.79600000000000004</v>
      </c>
      <c r="O255">
        <v>0.79500000000000004</v>
      </c>
      <c r="P255">
        <v>100</v>
      </c>
      <c r="Q255">
        <v>0.56000000000000005</v>
      </c>
      <c r="R255">
        <v>2.4</v>
      </c>
      <c r="S255">
        <v>-0.1</v>
      </c>
      <c r="T255">
        <v>0.78300000000000003</v>
      </c>
      <c r="U255">
        <v>0.311</v>
      </c>
      <c r="V255">
        <v>0.19</v>
      </c>
      <c r="W255">
        <v>154.4</v>
      </c>
    </row>
    <row r="256" spans="1:23" x14ac:dyDescent="0.25">
      <c r="A256" t="s">
        <v>216</v>
      </c>
      <c r="B256">
        <v>4.83</v>
      </c>
      <c r="C256">
        <v>4361</v>
      </c>
      <c r="D256">
        <v>809</v>
      </c>
      <c r="E256">
        <v>5</v>
      </c>
      <c r="F256">
        <v>108</v>
      </c>
      <c r="G256">
        <v>0.29799999999999999</v>
      </c>
      <c r="H256">
        <v>0.252</v>
      </c>
      <c r="I256">
        <v>0.25600000000000001</v>
      </c>
      <c r="J256">
        <v>0.32300000000000001</v>
      </c>
      <c r="K256">
        <v>0.32700000000000001</v>
      </c>
      <c r="L256">
        <v>0.435</v>
      </c>
      <c r="M256">
        <v>0.443</v>
      </c>
      <c r="N256">
        <v>0.75800000000000001</v>
      </c>
      <c r="O256">
        <v>0.77</v>
      </c>
      <c r="P256">
        <v>97</v>
      </c>
      <c r="Q256">
        <v>0.498</v>
      </c>
      <c r="R256">
        <v>-24</v>
      </c>
      <c r="S256">
        <v>-2</v>
      </c>
      <c r="T256">
        <v>0.71899999999999997</v>
      </c>
      <c r="U256">
        <v>0.28699999999999998</v>
      </c>
      <c r="V256">
        <v>0.183</v>
      </c>
      <c r="W256">
        <v>114</v>
      </c>
    </row>
    <row r="257" spans="1:23" x14ac:dyDescent="0.25">
      <c r="B257">
        <v>4.83</v>
      </c>
      <c r="C257">
        <v>130832</v>
      </c>
      <c r="D257">
        <v>24264</v>
      </c>
      <c r="E257">
        <v>5</v>
      </c>
      <c r="F257">
        <v>108</v>
      </c>
      <c r="G257">
        <v>0.29799999999999999</v>
      </c>
      <c r="H257">
        <v>0.252</v>
      </c>
      <c r="I257">
        <v>0.25600000000000001</v>
      </c>
      <c r="J257">
        <v>0.32300000000000001</v>
      </c>
      <c r="K257">
        <v>0.32700000000000001</v>
      </c>
      <c r="L257">
        <v>0.435</v>
      </c>
      <c r="M257">
        <v>0.443</v>
      </c>
      <c r="N257">
        <v>0.75800000000000001</v>
      </c>
      <c r="O257">
        <v>0.77</v>
      </c>
      <c r="P257">
        <v>97</v>
      </c>
      <c r="Q257">
        <v>0.498</v>
      </c>
      <c r="R257">
        <v>-757.7</v>
      </c>
      <c r="S257">
        <v>-78.400000000000006</v>
      </c>
      <c r="T257">
        <v>0.71899999999999997</v>
      </c>
      <c r="U257">
        <v>0.28699999999999998</v>
      </c>
      <c r="V257">
        <v>0.183</v>
      </c>
      <c r="W257">
        <v>3411.9</v>
      </c>
    </row>
    <row r="258" spans="1:23" x14ac:dyDescent="0.25">
      <c r="A258" t="s">
        <v>131</v>
      </c>
      <c r="B258" t="s">
        <v>194</v>
      </c>
      <c r="C258" t="s">
        <v>195</v>
      </c>
      <c r="D258" t="s">
        <v>196</v>
      </c>
      <c r="E258" t="s">
        <v>197</v>
      </c>
      <c r="F258" t="s">
        <v>198</v>
      </c>
      <c r="G258" t="s">
        <v>199</v>
      </c>
      <c r="H258" t="s">
        <v>200</v>
      </c>
      <c r="I258" t="s">
        <v>201</v>
      </c>
      <c r="J258" t="s">
        <v>202</v>
      </c>
      <c r="K258" t="s">
        <v>203</v>
      </c>
      <c r="L258" t="s">
        <v>204</v>
      </c>
      <c r="M258" t="s">
        <v>205</v>
      </c>
      <c r="N258" t="s">
        <v>206</v>
      </c>
      <c r="O258" t="s">
        <v>207</v>
      </c>
      <c r="P258" t="s">
        <v>208</v>
      </c>
      <c r="Q258" t="s">
        <v>209</v>
      </c>
      <c r="R258" t="s">
        <v>210</v>
      </c>
      <c r="S258" t="s">
        <v>211</v>
      </c>
      <c r="T258" t="s">
        <v>212</v>
      </c>
      <c r="U258" t="s">
        <v>213</v>
      </c>
      <c r="V258" t="s">
        <v>214</v>
      </c>
      <c r="W258" t="s">
        <v>215</v>
      </c>
    </row>
    <row r="260" spans="1:23" x14ac:dyDescent="0.25">
      <c r="A260" t="s">
        <v>217</v>
      </c>
    </row>
    <row r="262" spans="1:23" x14ac:dyDescent="0.25">
      <c r="A262" t="s">
        <v>70</v>
      </c>
    </row>
    <row r="264" spans="1:23" x14ac:dyDescent="0.25">
      <c r="A264" t="s">
        <v>69</v>
      </c>
    </row>
    <row r="266" spans="1:23" x14ac:dyDescent="0.25">
      <c r="A266" t="s">
        <v>71</v>
      </c>
    </row>
    <row r="268" spans="1:23" x14ac:dyDescent="0.25">
      <c r="A268" t="s">
        <v>72</v>
      </c>
    </row>
    <row r="270" spans="1:23" x14ac:dyDescent="0.25">
      <c r="A270" t="s">
        <v>73</v>
      </c>
    </row>
    <row r="272" spans="1:23" x14ac:dyDescent="0.25">
      <c r="A272" t="s">
        <v>74</v>
      </c>
    </row>
    <row r="274" spans="1:1" x14ac:dyDescent="0.25">
      <c r="A274" t="s">
        <v>75</v>
      </c>
    </row>
    <row r="276" spans="1:1" x14ac:dyDescent="0.25">
      <c r="A276" t="s">
        <v>35</v>
      </c>
    </row>
    <row r="278" spans="1:1" x14ac:dyDescent="0.25">
      <c r="A278" t="s">
        <v>76</v>
      </c>
    </row>
    <row r="280" spans="1:1" x14ac:dyDescent="0.25">
      <c r="A280" t="s">
        <v>74</v>
      </c>
    </row>
    <row r="281" spans="1:1" x14ac:dyDescent="0.25">
      <c r="A281" t="s">
        <v>77</v>
      </c>
    </row>
    <row r="282" spans="1:1" x14ac:dyDescent="0.25">
      <c r="A282" t="s">
        <v>78</v>
      </c>
    </row>
    <row r="283" spans="1:1" x14ac:dyDescent="0.25">
      <c r="A283" t="s">
        <v>34</v>
      </c>
    </row>
    <row r="284" spans="1:1" x14ac:dyDescent="0.25">
      <c r="A284" t="s">
        <v>79</v>
      </c>
    </row>
    <row r="285" spans="1:1" x14ac:dyDescent="0.25">
      <c r="A285" t="s">
        <v>80</v>
      </c>
    </row>
    <row r="286" spans="1:1" x14ac:dyDescent="0.25">
      <c r="A286" t="s">
        <v>81</v>
      </c>
    </row>
    <row r="287" spans="1:1" x14ac:dyDescent="0.25">
      <c r="A287" t="s">
        <v>82</v>
      </c>
    </row>
    <row r="288" spans="1:1" x14ac:dyDescent="0.25">
      <c r="A288" t="s">
        <v>83</v>
      </c>
    </row>
    <row r="289" spans="1:1" x14ac:dyDescent="0.25">
      <c r="A289" t="s">
        <v>84</v>
      </c>
    </row>
    <row r="290" spans="1:1" x14ac:dyDescent="0.25">
      <c r="A290" t="s">
        <v>85</v>
      </c>
    </row>
    <row r="291" spans="1:1" x14ac:dyDescent="0.25">
      <c r="A291" t="s">
        <v>86</v>
      </c>
    </row>
    <row r="292" spans="1:1" x14ac:dyDescent="0.25">
      <c r="A292" t="s">
        <v>87</v>
      </c>
    </row>
    <row r="293" spans="1:1" x14ac:dyDescent="0.25">
      <c r="A293" t="s">
        <v>75</v>
      </c>
    </row>
    <row r="294" spans="1:1" x14ac:dyDescent="0.25">
      <c r="A294" t="s">
        <v>88</v>
      </c>
    </row>
    <row r="295" spans="1:1" x14ac:dyDescent="0.25">
      <c r="A295" t="s">
        <v>89</v>
      </c>
    </row>
    <row r="296" spans="1:1" x14ac:dyDescent="0.25">
      <c r="A296" t="s">
        <v>90</v>
      </c>
    </row>
    <row r="297" spans="1:1" x14ac:dyDescent="0.25">
      <c r="A297" t="s">
        <v>91</v>
      </c>
    </row>
    <row r="298" spans="1:1" x14ac:dyDescent="0.25">
      <c r="A298" t="s">
        <v>92</v>
      </c>
    </row>
    <row r="299" spans="1:1" x14ac:dyDescent="0.25">
      <c r="A299" t="s">
        <v>93</v>
      </c>
    </row>
    <row r="300" spans="1:1" x14ac:dyDescent="0.25">
      <c r="A300" t="s">
        <v>94</v>
      </c>
    </row>
    <row r="301" spans="1:1" x14ac:dyDescent="0.25">
      <c r="A301" t="s">
        <v>95</v>
      </c>
    </row>
    <row r="302" spans="1:1" x14ac:dyDescent="0.25">
      <c r="A302" t="s">
        <v>96</v>
      </c>
    </row>
    <row r="303" spans="1:1" x14ac:dyDescent="0.25">
      <c r="A303" t="s">
        <v>97</v>
      </c>
    </row>
    <row r="304" spans="1:1" x14ac:dyDescent="0.25">
      <c r="A304" t="s">
        <v>98</v>
      </c>
    </row>
    <row r="305" spans="1:1" x14ac:dyDescent="0.25">
      <c r="A305" t="s">
        <v>99</v>
      </c>
    </row>
    <row r="306" spans="1:1" x14ac:dyDescent="0.25">
      <c r="A306" t="s">
        <v>100</v>
      </c>
    </row>
    <row r="307" spans="1:1" x14ac:dyDescent="0.25">
      <c r="A307" t="s">
        <v>101</v>
      </c>
    </row>
    <row r="308" spans="1:1" x14ac:dyDescent="0.25">
      <c r="A308" t="s">
        <v>102</v>
      </c>
    </row>
    <row r="309" spans="1:1" x14ac:dyDescent="0.25">
      <c r="A309" t="s">
        <v>35</v>
      </c>
    </row>
    <row r="310" spans="1:1" x14ac:dyDescent="0.25">
      <c r="A310" t="s">
        <v>103</v>
      </c>
    </row>
    <row r="311" spans="1:1" x14ac:dyDescent="0.25">
      <c r="A311" t="s">
        <v>89</v>
      </c>
    </row>
    <row r="312" spans="1:1" x14ac:dyDescent="0.25">
      <c r="A312" t="s">
        <v>92</v>
      </c>
    </row>
    <row r="313" spans="1:1" x14ac:dyDescent="0.25">
      <c r="A313" t="s">
        <v>104</v>
      </c>
    </row>
    <row r="314" spans="1:1" x14ac:dyDescent="0.25">
      <c r="A314" t="s">
        <v>91</v>
      </c>
    </row>
    <row r="315" spans="1:1" x14ac:dyDescent="0.25">
      <c r="A315" t="s">
        <v>105</v>
      </c>
    </row>
    <row r="316" spans="1:1" x14ac:dyDescent="0.25">
      <c r="A316" t="s">
        <v>106</v>
      </c>
    </row>
    <row r="317" spans="1:1" x14ac:dyDescent="0.25">
      <c r="A317" t="s">
        <v>107</v>
      </c>
    </row>
    <row r="318" spans="1:1" x14ac:dyDescent="0.25">
      <c r="A318" t="s">
        <v>108</v>
      </c>
    </row>
    <row r="319" spans="1:1" x14ac:dyDescent="0.25">
      <c r="A319" t="s">
        <v>109</v>
      </c>
    </row>
    <row r="320" spans="1:1" x14ac:dyDescent="0.25">
      <c r="A320" t="s">
        <v>110</v>
      </c>
    </row>
    <row r="321" spans="1:1" x14ac:dyDescent="0.25">
      <c r="A321" t="s">
        <v>111</v>
      </c>
    </row>
    <row r="322" spans="1:1" x14ac:dyDescent="0.25">
      <c r="A322" t="s">
        <v>100</v>
      </c>
    </row>
    <row r="323" spans="1:1" x14ac:dyDescent="0.25">
      <c r="A323" t="s">
        <v>112</v>
      </c>
    </row>
    <row r="324" spans="1:1" x14ac:dyDescent="0.25">
      <c r="A324" t="s">
        <v>102</v>
      </c>
    </row>
    <row r="325" spans="1:1" x14ac:dyDescent="0.25">
      <c r="A325" t="s">
        <v>113</v>
      </c>
    </row>
    <row r="326" spans="1:1" x14ac:dyDescent="0.25">
      <c r="A326" t="s">
        <v>75</v>
      </c>
    </row>
    <row r="327" spans="1:1" x14ac:dyDescent="0.25">
      <c r="A327" t="s">
        <v>35</v>
      </c>
    </row>
    <row r="328" spans="1:1" x14ac:dyDescent="0.25">
      <c r="A328" t="s">
        <v>74</v>
      </c>
    </row>
    <row r="329" spans="1:1" x14ac:dyDescent="0.25">
      <c r="A329" t="s">
        <v>114</v>
      </c>
    </row>
    <row r="330" spans="1:1" x14ac:dyDescent="0.25">
      <c r="A330" t="s">
        <v>115</v>
      </c>
    </row>
    <row r="331" spans="1:1" x14ac:dyDescent="0.25">
      <c r="A331" t="s">
        <v>116</v>
      </c>
    </row>
    <row r="332" spans="1:1" x14ac:dyDescent="0.25">
      <c r="A332" t="s">
        <v>117</v>
      </c>
    </row>
    <row r="333" spans="1:1" x14ac:dyDescent="0.25">
      <c r="A333" t="s">
        <v>118</v>
      </c>
    </row>
    <row r="334" spans="1:1" x14ac:dyDescent="0.25">
      <c r="A334" t="s">
        <v>119</v>
      </c>
    </row>
    <row r="335" spans="1:1" x14ac:dyDescent="0.25">
      <c r="A335" t="s">
        <v>120</v>
      </c>
    </row>
    <row r="336" spans="1:1" x14ac:dyDescent="0.25">
      <c r="A336" t="s">
        <v>121</v>
      </c>
    </row>
    <row r="337" spans="1:1" x14ac:dyDescent="0.25">
      <c r="A337" t="s">
        <v>122</v>
      </c>
    </row>
    <row r="338" spans="1:1" x14ac:dyDescent="0.25">
      <c r="A338" t="s">
        <v>123</v>
      </c>
    </row>
    <row r="339" spans="1:1" x14ac:dyDescent="0.25">
      <c r="A339" t="s">
        <v>124</v>
      </c>
    </row>
    <row r="340" spans="1:1" x14ac:dyDescent="0.25">
      <c r="A340" t="s">
        <v>125</v>
      </c>
    </row>
    <row r="341" spans="1:1" x14ac:dyDescent="0.25">
      <c r="A341" t="s">
        <v>126</v>
      </c>
    </row>
    <row r="342" spans="1:1" x14ac:dyDescent="0.25">
      <c r="A342" t="s">
        <v>127</v>
      </c>
    </row>
    <row r="343" spans="1:1" x14ac:dyDescent="0.25">
      <c r="A343" t="s">
        <v>128</v>
      </c>
    </row>
    <row r="344" spans="1:1" x14ac:dyDescent="0.25">
      <c r="A344" t="s">
        <v>129</v>
      </c>
    </row>
    <row r="345" spans="1:1" x14ac:dyDescent="0.25">
      <c r="A345" t="s">
        <v>130</v>
      </c>
    </row>
    <row r="346" spans="1:1" x14ac:dyDescent="0.25">
      <c r="A346" t="s">
        <v>1251</v>
      </c>
    </row>
    <row r="347" spans="1:1" x14ac:dyDescent="0.25">
      <c r="A347" t="s">
        <v>68</v>
      </c>
    </row>
    <row r="348" spans="1:1" x14ac:dyDescent="0.25">
      <c r="A348" t="s">
        <v>46</v>
      </c>
    </row>
    <row r="349" spans="1:1" x14ac:dyDescent="0.25">
      <c r="A349" t="s">
        <v>47</v>
      </c>
    </row>
    <row r="350" spans="1:1" x14ac:dyDescent="0.25">
      <c r="A350" t="s">
        <v>48</v>
      </c>
    </row>
    <row r="351" spans="1:1" x14ac:dyDescent="0.25">
      <c r="A351" t="s">
        <v>49</v>
      </c>
    </row>
    <row r="352" spans="1:1" x14ac:dyDescent="0.25">
      <c r="A352" t="s">
        <v>50</v>
      </c>
    </row>
    <row r="353" spans="1:1" x14ac:dyDescent="0.25">
      <c r="A353" t="s">
        <v>4781</v>
      </c>
    </row>
    <row r="355" spans="1:1" x14ac:dyDescent="0.25">
      <c r="A355" t="s">
        <v>133</v>
      </c>
    </row>
    <row r="356" spans="1:1" x14ac:dyDescent="0.25">
      <c r="A356" t="s">
        <v>134</v>
      </c>
    </row>
    <row r="357" spans="1:1" x14ac:dyDescent="0.25">
      <c r="A357" t="s">
        <v>135</v>
      </c>
    </row>
    <row r="358" spans="1:1" x14ac:dyDescent="0.25">
      <c r="A358" t="s">
        <v>136</v>
      </c>
    </row>
    <row r="359" spans="1:1" x14ac:dyDescent="0.25">
      <c r="A359" t="s">
        <v>137</v>
      </c>
    </row>
    <row r="360" spans="1:1" x14ac:dyDescent="0.25">
      <c r="A360" t="s">
        <v>138</v>
      </c>
    </row>
    <row r="361" spans="1:1" x14ac:dyDescent="0.25">
      <c r="A361" t="s">
        <v>139</v>
      </c>
    </row>
    <row r="362" spans="1:1" x14ac:dyDescent="0.25">
      <c r="A362" t="s">
        <v>140</v>
      </c>
    </row>
    <row r="363" spans="1:1" x14ac:dyDescent="0.25">
      <c r="A363" t="s">
        <v>141</v>
      </c>
    </row>
    <row r="364" spans="1:1" x14ac:dyDescent="0.25">
      <c r="A364" t="s">
        <v>142</v>
      </c>
    </row>
    <row r="365" spans="1:1" x14ac:dyDescent="0.25">
      <c r="A365" t="s">
        <v>143</v>
      </c>
    </row>
    <row r="366" spans="1:1" x14ac:dyDescent="0.25">
      <c r="A366" t="s">
        <v>144</v>
      </c>
    </row>
    <row r="367" spans="1:1" x14ac:dyDescent="0.25">
      <c r="A367" t="s">
        <v>55</v>
      </c>
    </row>
    <row r="368" spans="1:1" x14ac:dyDescent="0.25">
      <c r="A368" t="s">
        <v>145</v>
      </c>
    </row>
    <row r="369" spans="1:1" x14ac:dyDescent="0.25">
      <c r="A369" t="s">
        <v>146</v>
      </c>
    </row>
    <row r="370" spans="1:1" x14ac:dyDescent="0.25">
      <c r="A370" t="s">
        <v>147</v>
      </c>
    </row>
    <row r="371" spans="1:1" x14ac:dyDescent="0.25">
      <c r="A371" t="s">
        <v>57</v>
      </c>
    </row>
    <row r="372" spans="1:1" x14ac:dyDescent="0.25">
      <c r="A372" t="s">
        <v>148</v>
      </c>
    </row>
    <row r="373" spans="1:1" x14ac:dyDescent="0.25">
      <c r="A373" t="s">
        <v>73</v>
      </c>
    </row>
    <row r="374" spans="1:1" x14ac:dyDescent="0.25">
      <c r="A374" t="s">
        <v>72</v>
      </c>
    </row>
    <row r="375" spans="1:1" x14ac:dyDescent="0.25">
      <c r="A375" t="s">
        <v>149</v>
      </c>
    </row>
    <row r="376" spans="1:1" x14ac:dyDescent="0.25">
      <c r="A376" t="s">
        <v>58</v>
      </c>
    </row>
    <row r="377" spans="1:1" x14ac:dyDescent="0.25">
      <c r="A377" t="s">
        <v>150</v>
      </c>
    </row>
    <row r="378" spans="1:1" x14ac:dyDescent="0.25">
      <c r="A378" t="s">
        <v>59</v>
      </c>
    </row>
    <row r="379" spans="1:1" x14ac:dyDescent="0.25">
      <c r="A379" t="s">
        <v>151</v>
      </c>
    </row>
    <row r="380" spans="1:1" x14ac:dyDescent="0.25">
      <c r="A380" t="s">
        <v>152</v>
      </c>
    </row>
    <row r="381" spans="1:1" x14ac:dyDescent="0.25">
      <c r="A381" t="s">
        <v>153</v>
      </c>
    </row>
    <row r="382" spans="1:1" x14ac:dyDescent="0.25">
      <c r="A382" t="s">
        <v>76</v>
      </c>
    </row>
    <row r="383" spans="1:1" x14ac:dyDescent="0.25">
      <c r="A383" t="s">
        <v>154</v>
      </c>
    </row>
    <row r="384" spans="1:1" x14ac:dyDescent="0.25">
      <c r="A384" t="s">
        <v>155</v>
      </c>
    </row>
    <row r="385" spans="1:1" x14ac:dyDescent="0.25">
      <c r="A385" t="s">
        <v>156</v>
      </c>
    </row>
    <row r="386" spans="1:1" x14ac:dyDescent="0.25">
      <c r="A386" t="s">
        <v>157</v>
      </c>
    </row>
    <row r="387" spans="1:1" x14ac:dyDescent="0.25">
      <c r="A387" t="s">
        <v>158</v>
      </c>
    </row>
    <row r="388" spans="1:1" x14ac:dyDescent="0.25">
      <c r="A388" t="s">
        <v>1464</v>
      </c>
    </row>
    <row r="389" spans="1:1" x14ac:dyDescent="0.25">
      <c r="A389" t="s">
        <v>159</v>
      </c>
    </row>
    <row r="390" spans="1:1" x14ac:dyDescent="0.25">
      <c r="A390" t="s">
        <v>160</v>
      </c>
    </row>
    <row r="391" spans="1:1" x14ac:dyDescent="0.25">
      <c r="A391" t="s">
        <v>161</v>
      </c>
    </row>
    <row r="392" spans="1:1" x14ac:dyDescent="0.25">
      <c r="A392" t="s">
        <v>1374</v>
      </c>
    </row>
    <row r="393" spans="1:1" x14ac:dyDescent="0.25">
      <c r="A393" t="s">
        <v>1375</v>
      </c>
    </row>
    <row r="394" spans="1:1" x14ac:dyDescent="0.25">
      <c r="A394" t="s">
        <v>162</v>
      </c>
    </row>
    <row r="395" spans="1:1" x14ac:dyDescent="0.25">
      <c r="A395" t="s">
        <v>163</v>
      </c>
    </row>
    <row r="396" spans="1:1" x14ac:dyDescent="0.25">
      <c r="A396" t="s">
        <v>164</v>
      </c>
    </row>
    <row r="397" spans="1:1" x14ac:dyDescent="0.25">
      <c r="A397" t="s">
        <v>165</v>
      </c>
    </row>
    <row r="398" spans="1:1" x14ac:dyDescent="0.25">
      <c r="A398" t="s">
        <v>166</v>
      </c>
    </row>
    <row r="400" spans="1:1" x14ac:dyDescent="0.25">
      <c r="A400" t="s">
        <v>167</v>
      </c>
    </row>
    <row r="402" spans="1:1" x14ac:dyDescent="0.25">
      <c r="A402" t="s">
        <v>168</v>
      </c>
    </row>
    <row r="404" spans="1:1" x14ac:dyDescent="0.25">
      <c r="A404" t="s">
        <v>4777</v>
      </c>
    </row>
    <row r="406" spans="1:1" x14ac:dyDescent="0.25">
      <c r="A406" t="s">
        <v>169</v>
      </c>
    </row>
    <row r="408" spans="1:1" x14ac:dyDescent="0.25">
      <c r="A408" t="s">
        <v>170</v>
      </c>
    </row>
    <row r="410" spans="1:1" x14ac:dyDescent="0.25">
      <c r="A410" t="s">
        <v>1307</v>
      </c>
    </row>
    <row r="411" spans="1:1" x14ac:dyDescent="0.25">
      <c r="A411" t="s">
        <v>1308</v>
      </c>
    </row>
    <row r="413" spans="1:1" x14ac:dyDescent="0.25">
      <c r="A413" t="s">
        <v>1309</v>
      </c>
    </row>
    <row r="415" spans="1:1" x14ac:dyDescent="0.25">
      <c r="A415" t="s">
        <v>171</v>
      </c>
    </row>
    <row r="416" spans="1:1" x14ac:dyDescent="0.25">
      <c r="A416" t="s">
        <v>172</v>
      </c>
    </row>
    <row r="417" spans="1:1" x14ac:dyDescent="0.25">
      <c r="A417" t="s">
        <v>173</v>
      </c>
    </row>
    <row r="418" spans="1:1" x14ac:dyDescent="0.25">
      <c r="A418" t="s">
        <v>174</v>
      </c>
    </row>
    <row r="419" spans="1:1" x14ac:dyDescent="0.25">
      <c r="A419" t="s">
        <v>175</v>
      </c>
    </row>
    <row r="420" spans="1:1" x14ac:dyDescent="0.25">
      <c r="A420" t="s">
        <v>176</v>
      </c>
    </row>
    <row r="421" spans="1:1" x14ac:dyDescent="0.25">
      <c r="A421" t="s">
        <v>177</v>
      </c>
    </row>
    <row r="423" spans="1:1" x14ac:dyDescent="0.25">
      <c r="A423" t="s">
        <v>178</v>
      </c>
    </row>
    <row r="425" spans="1:1" x14ac:dyDescent="0.25">
      <c r="A425" t="s">
        <v>179</v>
      </c>
    </row>
    <row r="427" spans="1:1" x14ac:dyDescent="0.25">
      <c r="A427" t="s">
        <v>180</v>
      </c>
    </row>
    <row r="429" spans="1:1" x14ac:dyDescent="0.25">
      <c r="A429" t="s">
        <v>181</v>
      </c>
    </row>
    <row r="431" spans="1:1" x14ac:dyDescent="0.25">
      <c r="A431" t="s">
        <v>182</v>
      </c>
    </row>
    <row r="433" spans="1:1" x14ac:dyDescent="0.25">
      <c r="A433" t="s">
        <v>183</v>
      </c>
    </row>
    <row r="435" spans="1:1" x14ac:dyDescent="0.25">
      <c r="A435" t="s">
        <v>184</v>
      </c>
    </row>
    <row r="437" spans="1:1" x14ac:dyDescent="0.25">
      <c r="A437" t="s">
        <v>185</v>
      </c>
    </row>
    <row r="439" spans="1:1" x14ac:dyDescent="0.25">
      <c r="A439" t="s">
        <v>186</v>
      </c>
    </row>
    <row r="441" spans="1:1" x14ac:dyDescent="0.25">
      <c r="A441" t="s">
        <v>187</v>
      </c>
    </row>
    <row r="443" spans="1:1" x14ac:dyDescent="0.25">
      <c r="A443" t="s">
        <v>188</v>
      </c>
    </row>
    <row r="445" spans="1:1" x14ac:dyDescent="0.25">
      <c r="A445" t="s">
        <v>189</v>
      </c>
    </row>
    <row r="447" spans="1:1" x14ac:dyDescent="0.25">
      <c r="A447" t="s">
        <v>36</v>
      </c>
    </row>
    <row r="448" spans="1:1" x14ac:dyDescent="0.25">
      <c r="A448" t="s">
        <v>37</v>
      </c>
    </row>
    <row r="449" spans="1:1" x14ac:dyDescent="0.25">
      <c r="A449" t="s">
        <v>38</v>
      </c>
    </row>
    <row r="450" spans="1:1" x14ac:dyDescent="0.25">
      <c r="A450" t="s">
        <v>39</v>
      </c>
    </row>
    <row r="451" spans="1:1" x14ac:dyDescent="0.25">
      <c r="A451" t="s">
        <v>40</v>
      </c>
    </row>
    <row r="452" spans="1:1" x14ac:dyDescent="0.25">
      <c r="A452" t="s">
        <v>41</v>
      </c>
    </row>
    <row r="453" spans="1:1" x14ac:dyDescent="0.25">
      <c r="A453" t="s">
        <v>42</v>
      </c>
    </row>
    <row r="454" spans="1:1" x14ac:dyDescent="0.25">
      <c r="A454" t="s">
        <v>43</v>
      </c>
    </row>
    <row r="455" spans="1:1" x14ac:dyDescent="0.25">
      <c r="A455" t="s">
        <v>44</v>
      </c>
    </row>
    <row r="456" spans="1:1" x14ac:dyDescent="0.25">
      <c r="A456" t="s">
        <v>190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AJ456"/>
  <sheetViews>
    <sheetView topLeftCell="A196" workbookViewId="0">
      <selection activeCell="V15" sqref="V15"/>
    </sheetView>
  </sheetViews>
  <sheetFormatPr defaultRowHeight="15" x14ac:dyDescent="0.25"/>
  <cols>
    <col min="1" max="1" width="27.5703125" bestFit="1" customWidth="1"/>
    <col min="2" max="2" width="4" customWidth="1"/>
    <col min="3" max="4" width="5.5703125" customWidth="1"/>
    <col min="5" max="6" width="5" customWidth="1"/>
    <col min="7" max="7" width="6" customWidth="1"/>
    <col min="8" max="11" width="5" customWidth="1"/>
    <col min="12" max="12" width="3.42578125" customWidth="1"/>
    <col min="13" max="13" width="5" customWidth="1"/>
    <col min="14" max="14" width="5.140625" customWidth="1"/>
    <col min="15" max="15" width="5" customWidth="1"/>
    <col min="16" max="16" width="8" customWidth="1"/>
    <col min="17" max="19" width="6" customWidth="1"/>
    <col min="20" max="20" width="5" customWidth="1"/>
    <col min="21" max="21" width="6" customWidth="1"/>
    <col min="22" max="22" width="4" customWidth="1"/>
    <col min="23" max="23" width="6" customWidth="1"/>
    <col min="24" max="24" width="5" customWidth="1"/>
    <col min="25" max="25" width="4" customWidth="1"/>
    <col min="26" max="26" width="5" customWidth="1"/>
    <col min="27" max="27" width="7" customWidth="1"/>
    <col min="28" max="28" width="5.42578125" customWidth="1"/>
    <col min="29" max="29" width="5" customWidth="1"/>
    <col min="30" max="30" width="6" customWidth="1"/>
    <col min="31" max="31" width="4" customWidth="1"/>
    <col min="32" max="32" width="4.42578125" customWidth="1"/>
    <col min="33" max="33" width="4.28515625" customWidth="1"/>
    <col min="34" max="34" width="5" customWidth="1"/>
    <col min="35" max="35" width="6.140625" customWidth="1"/>
    <col min="36" max="36" width="6" customWidth="1"/>
  </cols>
  <sheetData>
    <row r="1" spans="1:1" x14ac:dyDescent="0.25">
      <c r="A1" t="s">
        <v>36</v>
      </c>
    </row>
    <row r="2" spans="1:1" x14ac:dyDescent="0.25">
      <c r="A2" t="s">
        <v>37</v>
      </c>
    </row>
    <row r="3" spans="1:1" x14ac:dyDescent="0.25">
      <c r="A3" t="s">
        <v>38</v>
      </c>
    </row>
    <row r="4" spans="1:1" x14ac:dyDescent="0.25">
      <c r="A4" t="s">
        <v>39</v>
      </c>
    </row>
    <row r="5" spans="1:1" x14ac:dyDescent="0.25">
      <c r="A5" t="s">
        <v>40</v>
      </c>
    </row>
    <row r="6" spans="1:1" x14ac:dyDescent="0.25">
      <c r="A6" t="s">
        <v>41</v>
      </c>
    </row>
    <row r="7" spans="1:1" x14ac:dyDescent="0.25">
      <c r="A7" t="s">
        <v>42</v>
      </c>
    </row>
    <row r="8" spans="1:1" x14ac:dyDescent="0.25">
      <c r="A8" t="s">
        <v>43</v>
      </c>
    </row>
    <row r="9" spans="1:1" x14ac:dyDescent="0.25">
      <c r="A9" t="s">
        <v>44</v>
      </c>
    </row>
    <row r="10" spans="1:1" x14ac:dyDescent="0.25">
      <c r="A10" t="s">
        <v>45</v>
      </c>
    </row>
    <row r="11" spans="1:1" x14ac:dyDescent="0.25">
      <c r="A11" t="s">
        <v>46</v>
      </c>
    </row>
    <row r="12" spans="1:1" x14ac:dyDescent="0.25">
      <c r="A12" t="s">
        <v>47</v>
      </c>
    </row>
    <row r="13" spans="1:1" x14ac:dyDescent="0.25">
      <c r="A13" t="s">
        <v>48</v>
      </c>
    </row>
    <row r="14" spans="1:1" x14ac:dyDescent="0.25">
      <c r="A14" t="s">
        <v>49</v>
      </c>
    </row>
    <row r="15" spans="1:1" x14ac:dyDescent="0.25">
      <c r="A15" t="s">
        <v>50</v>
      </c>
    </row>
    <row r="16" spans="1:1" x14ac:dyDescent="0.25">
      <c r="A16" t="s">
        <v>51</v>
      </c>
    </row>
    <row r="17" spans="1:1" x14ac:dyDescent="0.25">
      <c r="A17" t="s">
        <v>52</v>
      </c>
    </row>
    <row r="18" spans="1:1" x14ac:dyDescent="0.25">
      <c r="A18" t="s">
        <v>53</v>
      </c>
    </row>
    <row r="19" spans="1:1" x14ac:dyDescent="0.25">
      <c r="A19" t="s">
        <v>54</v>
      </c>
    </row>
    <row r="20" spans="1:1" x14ac:dyDescent="0.25">
      <c r="A20" t="s">
        <v>55</v>
      </c>
    </row>
    <row r="21" spans="1:1" x14ac:dyDescent="0.25">
      <c r="A21" t="s">
        <v>56</v>
      </c>
    </row>
    <row r="22" spans="1:1" x14ac:dyDescent="0.25">
      <c r="A22" t="s">
        <v>57</v>
      </c>
    </row>
    <row r="23" spans="1:1" x14ac:dyDescent="0.25">
      <c r="A23" t="s">
        <v>58</v>
      </c>
    </row>
    <row r="24" spans="1:1" x14ac:dyDescent="0.25">
      <c r="A24" t="s">
        <v>59</v>
      </c>
    </row>
    <row r="25" spans="1:1" x14ac:dyDescent="0.25">
      <c r="A25" t="s">
        <v>60</v>
      </c>
    </row>
    <row r="26" spans="1:1" x14ac:dyDescent="0.25">
      <c r="A26" t="s">
        <v>61</v>
      </c>
    </row>
    <row r="27" spans="1:1" x14ac:dyDescent="0.25">
      <c r="A27" t="s">
        <v>4782</v>
      </c>
    </row>
    <row r="28" spans="1:1" x14ac:dyDescent="0.25">
      <c r="A28" t="s">
        <v>46</v>
      </c>
    </row>
    <row r="29" spans="1:1" x14ac:dyDescent="0.25">
      <c r="A29" t="s">
        <v>47</v>
      </c>
    </row>
    <row r="30" spans="1:1" x14ac:dyDescent="0.25">
      <c r="A30" t="s">
        <v>48</v>
      </c>
    </row>
    <row r="31" spans="1:1" x14ac:dyDescent="0.25">
      <c r="A31" t="s">
        <v>49</v>
      </c>
    </row>
    <row r="32" spans="1:1" x14ac:dyDescent="0.25">
      <c r="A32" t="s">
        <v>50</v>
      </c>
    </row>
    <row r="33" spans="1:1" x14ac:dyDescent="0.25">
      <c r="A33" t="s">
        <v>62</v>
      </c>
    </row>
    <row r="34" spans="1:1" x14ac:dyDescent="0.25">
      <c r="A34" t="s">
        <v>63</v>
      </c>
    </row>
    <row r="35" spans="1:1" x14ac:dyDescent="0.25">
      <c r="A35" t="s">
        <v>64</v>
      </c>
    </row>
    <row r="36" spans="1:1" x14ac:dyDescent="0.25">
      <c r="A36" t="s">
        <v>300</v>
      </c>
    </row>
    <row r="37" spans="1:1" x14ac:dyDescent="0.25">
      <c r="A37" t="s">
        <v>65</v>
      </c>
    </row>
    <row r="38" spans="1:1" x14ac:dyDescent="0.25">
      <c r="A38" t="s">
        <v>66</v>
      </c>
    </row>
    <row r="39" spans="1:1" x14ac:dyDescent="0.25">
      <c r="A39" t="s">
        <v>67</v>
      </c>
    </row>
    <row r="40" spans="1:1" x14ac:dyDescent="0.25">
      <c r="A40" t="s">
        <v>68</v>
      </c>
    </row>
    <row r="41" spans="1:1" x14ac:dyDescent="0.25">
      <c r="A41" t="s">
        <v>69</v>
      </c>
    </row>
    <row r="42" spans="1:1" x14ac:dyDescent="0.25">
      <c r="A42" t="s">
        <v>70</v>
      </c>
    </row>
    <row r="44" spans="1:1" x14ac:dyDescent="0.25">
      <c r="A44" t="s">
        <v>71</v>
      </c>
    </row>
    <row r="46" spans="1:1" x14ac:dyDescent="0.25">
      <c r="A46" t="s">
        <v>72</v>
      </c>
    </row>
    <row r="48" spans="1:1" x14ac:dyDescent="0.25">
      <c r="A48" t="s">
        <v>73</v>
      </c>
    </row>
    <row r="50" spans="1:1" x14ac:dyDescent="0.25">
      <c r="A50" t="s">
        <v>74</v>
      </c>
    </row>
    <row r="52" spans="1:1" x14ac:dyDescent="0.25">
      <c r="A52" t="s">
        <v>75</v>
      </c>
    </row>
    <row r="54" spans="1:1" x14ac:dyDescent="0.25">
      <c r="A54" t="s">
        <v>35</v>
      </c>
    </row>
    <row r="56" spans="1:1" x14ac:dyDescent="0.25">
      <c r="A56" t="s">
        <v>76</v>
      </c>
    </row>
    <row r="58" spans="1:1" x14ac:dyDescent="0.25">
      <c r="A58" t="s">
        <v>74</v>
      </c>
    </row>
    <row r="61" spans="1:1" x14ac:dyDescent="0.25">
      <c r="A61" t="s">
        <v>77</v>
      </c>
    </row>
    <row r="62" spans="1:1" x14ac:dyDescent="0.25">
      <c r="A62" t="s">
        <v>78</v>
      </c>
    </row>
    <row r="63" spans="1:1" x14ac:dyDescent="0.25">
      <c r="A63" t="s">
        <v>34</v>
      </c>
    </row>
    <row r="64" spans="1:1" x14ac:dyDescent="0.25">
      <c r="A64" t="s">
        <v>79</v>
      </c>
    </row>
    <row r="65" spans="1:1" x14ac:dyDescent="0.25">
      <c r="A65" t="s">
        <v>80</v>
      </c>
    </row>
    <row r="66" spans="1:1" x14ac:dyDescent="0.25">
      <c r="A66" t="s">
        <v>81</v>
      </c>
    </row>
    <row r="67" spans="1:1" x14ac:dyDescent="0.25">
      <c r="A67" t="s">
        <v>82</v>
      </c>
    </row>
    <row r="68" spans="1:1" x14ac:dyDescent="0.25">
      <c r="A68" t="s">
        <v>83</v>
      </c>
    </row>
    <row r="69" spans="1:1" x14ac:dyDescent="0.25">
      <c r="A69" t="s">
        <v>84</v>
      </c>
    </row>
    <row r="70" spans="1:1" x14ac:dyDescent="0.25">
      <c r="A70" t="s">
        <v>85</v>
      </c>
    </row>
    <row r="71" spans="1:1" x14ac:dyDescent="0.25">
      <c r="A71" t="s">
        <v>86</v>
      </c>
    </row>
    <row r="72" spans="1:1" x14ac:dyDescent="0.25">
      <c r="A72" t="s">
        <v>87</v>
      </c>
    </row>
    <row r="74" spans="1:1" x14ac:dyDescent="0.25">
      <c r="A74" t="s">
        <v>75</v>
      </c>
    </row>
    <row r="77" spans="1:1" x14ac:dyDescent="0.25">
      <c r="A77" t="s">
        <v>88</v>
      </c>
    </row>
    <row r="78" spans="1:1" x14ac:dyDescent="0.25">
      <c r="A78" t="s">
        <v>89</v>
      </c>
    </row>
    <row r="79" spans="1:1" x14ac:dyDescent="0.25">
      <c r="A79" t="s">
        <v>90</v>
      </c>
    </row>
    <row r="80" spans="1:1" x14ac:dyDescent="0.25">
      <c r="A80" t="s">
        <v>91</v>
      </c>
    </row>
    <row r="81" spans="1:1" x14ac:dyDescent="0.25">
      <c r="A81" t="s">
        <v>92</v>
      </c>
    </row>
    <row r="82" spans="1:1" x14ac:dyDescent="0.25">
      <c r="A82" t="s">
        <v>93</v>
      </c>
    </row>
    <row r="83" spans="1:1" x14ac:dyDescent="0.25">
      <c r="A83" t="s">
        <v>94</v>
      </c>
    </row>
    <row r="84" spans="1:1" x14ac:dyDescent="0.25">
      <c r="A84" t="s">
        <v>95</v>
      </c>
    </row>
    <row r="85" spans="1:1" x14ac:dyDescent="0.25">
      <c r="A85" t="s">
        <v>96</v>
      </c>
    </row>
    <row r="86" spans="1:1" x14ac:dyDescent="0.25">
      <c r="A86" t="s">
        <v>97</v>
      </c>
    </row>
    <row r="87" spans="1:1" x14ac:dyDescent="0.25">
      <c r="A87" t="s">
        <v>98</v>
      </c>
    </row>
    <row r="88" spans="1:1" x14ac:dyDescent="0.25">
      <c r="A88" t="s">
        <v>99</v>
      </c>
    </row>
    <row r="89" spans="1:1" x14ac:dyDescent="0.25">
      <c r="A89" t="s">
        <v>100</v>
      </c>
    </row>
    <row r="90" spans="1:1" x14ac:dyDescent="0.25">
      <c r="A90" t="s">
        <v>101</v>
      </c>
    </row>
    <row r="91" spans="1:1" x14ac:dyDescent="0.25">
      <c r="A91" t="s">
        <v>102</v>
      </c>
    </row>
    <row r="93" spans="1:1" x14ac:dyDescent="0.25">
      <c r="A93" t="s">
        <v>35</v>
      </c>
    </row>
    <row r="96" spans="1:1" x14ac:dyDescent="0.25">
      <c r="A96" t="s">
        <v>103</v>
      </c>
    </row>
    <row r="97" spans="1:1" x14ac:dyDescent="0.25">
      <c r="A97" t="s">
        <v>89</v>
      </c>
    </row>
    <row r="98" spans="1:1" x14ac:dyDescent="0.25">
      <c r="A98" t="s">
        <v>92</v>
      </c>
    </row>
    <row r="99" spans="1:1" x14ac:dyDescent="0.25">
      <c r="A99" t="s">
        <v>104</v>
      </c>
    </row>
    <row r="100" spans="1:1" x14ac:dyDescent="0.25">
      <c r="A100" t="s">
        <v>91</v>
      </c>
    </row>
    <row r="101" spans="1:1" x14ac:dyDescent="0.25">
      <c r="A101" t="s">
        <v>105</v>
      </c>
    </row>
    <row r="102" spans="1:1" x14ac:dyDescent="0.25">
      <c r="A102" t="s">
        <v>106</v>
      </c>
    </row>
    <row r="103" spans="1:1" x14ac:dyDescent="0.25">
      <c r="A103" t="s">
        <v>107</v>
      </c>
    </row>
    <row r="104" spans="1:1" x14ac:dyDescent="0.25">
      <c r="A104" t="s">
        <v>108</v>
      </c>
    </row>
    <row r="105" spans="1:1" x14ac:dyDescent="0.25">
      <c r="A105" t="s">
        <v>109</v>
      </c>
    </row>
    <row r="106" spans="1:1" x14ac:dyDescent="0.25">
      <c r="A106" t="s">
        <v>110</v>
      </c>
    </row>
    <row r="107" spans="1:1" x14ac:dyDescent="0.25">
      <c r="A107" t="s">
        <v>111</v>
      </c>
    </row>
    <row r="108" spans="1:1" x14ac:dyDescent="0.25">
      <c r="A108" t="s">
        <v>100</v>
      </c>
    </row>
    <row r="109" spans="1:1" x14ac:dyDescent="0.25">
      <c r="A109" t="s">
        <v>112</v>
      </c>
    </row>
    <row r="110" spans="1:1" x14ac:dyDescent="0.25">
      <c r="A110" t="s">
        <v>102</v>
      </c>
    </row>
    <row r="112" spans="1:1" x14ac:dyDescent="0.25">
      <c r="A112" t="s">
        <v>113</v>
      </c>
    </row>
    <row r="115" spans="1:1" x14ac:dyDescent="0.25">
      <c r="A115" t="s">
        <v>75</v>
      </c>
    </row>
    <row r="116" spans="1:1" x14ac:dyDescent="0.25">
      <c r="A116" t="s">
        <v>35</v>
      </c>
    </row>
    <row r="117" spans="1:1" x14ac:dyDescent="0.25">
      <c r="A117" t="s">
        <v>74</v>
      </c>
    </row>
    <row r="118" spans="1:1" x14ac:dyDescent="0.25">
      <c r="A118" t="s">
        <v>114</v>
      </c>
    </row>
    <row r="120" spans="1:1" x14ac:dyDescent="0.25">
      <c r="A120" t="s">
        <v>115</v>
      </c>
    </row>
    <row r="123" spans="1:1" x14ac:dyDescent="0.25">
      <c r="A123" t="s">
        <v>116</v>
      </c>
    </row>
    <row r="124" spans="1:1" x14ac:dyDescent="0.25">
      <c r="A124" t="s">
        <v>117</v>
      </c>
    </row>
    <row r="125" spans="1:1" x14ac:dyDescent="0.25">
      <c r="A125" t="s">
        <v>118</v>
      </c>
    </row>
    <row r="126" spans="1:1" x14ac:dyDescent="0.25">
      <c r="A126" t="s">
        <v>119</v>
      </c>
    </row>
    <row r="127" spans="1:1" x14ac:dyDescent="0.25">
      <c r="A127" t="s">
        <v>120</v>
      </c>
    </row>
    <row r="128" spans="1:1" x14ac:dyDescent="0.25">
      <c r="A128" t="s">
        <v>121</v>
      </c>
    </row>
    <row r="129" spans="1:1" x14ac:dyDescent="0.25">
      <c r="A129" t="s">
        <v>122</v>
      </c>
    </row>
    <row r="130" spans="1:1" x14ac:dyDescent="0.25">
      <c r="A130" t="s">
        <v>123</v>
      </c>
    </row>
    <row r="131" spans="1:1" x14ac:dyDescent="0.25">
      <c r="A131" t="s">
        <v>124</v>
      </c>
    </row>
    <row r="132" spans="1:1" x14ac:dyDescent="0.25">
      <c r="A132" t="s">
        <v>125</v>
      </c>
    </row>
    <row r="133" spans="1:1" x14ac:dyDescent="0.25">
      <c r="A133" t="s">
        <v>126</v>
      </c>
    </row>
    <row r="134" spans="1:1" x14ac:dyDescent="0.25">
      <c r="A134" t="s">
        <v>127</v>
      </c>
    </row>
    <row r="135" spans="1:1" x14ac:dyDescent="0.25">
      <c r="A135" t="s">
        <v>128</v>
      </c>
    </row>
    <row r="136" spans="1:1" x14ac:dyDescent="0.25">
      <c r="A136" t="s">
        <v>129</v>
      </c>
    </row>
    <row r="137" spans="1:1" x14ac:dyDescent="0.25">
      <c r="A137" t="s">
        <v>130</v>
      </c>
    </row>
    <row r="138" spans="1:1" x14ac:dyDescent="0.25">
      <c r="A138" t="s">
        <v>1251</v>
      </c>
    </row>
    <row r="139" spans="1:1" x14ac:dyDescent="0.25">
      <c r="A139" t="s">
        <v>71</v>
      </c>
    </row>
    <row r="140" spans="1:1" x14ac:dyDescent="0.25">
      <c r="A140" t="s">
        <v>72</v>
      </c>
    </row>
    <row r="141" spans="1:1" x14ac:dyDescent="0.25">
      <c r="A141" t="s">
        <v>73</v>
      </c>
    </row>
    <row r="142" spans="1:1" x14ac:dyDescent="0.25">
      <c r="A142" t="s">
        <v>74</v>
      </c>
    </row>
    <row r="144" spans="1:1" x14ac:dyDescent="0.25">
      <c r="A144" t="s">
        <v>77</v>
      </c>
    </row>
    <row r="145" spans="1:1" x14ac:dyDescent="0.25">
      <c r="A145" t="s">
        <v>78</v>
      </c>
    </row>
    <row r="146" spans="1:1" x14ac:dyDescent="0.25">
      <c r="A146" t="s">
        <v>34</v>
      </c>
    </row>
    <row r="147" spans="1:1" x14ac:dyDescent="0.25">
      <c r="A147" t="s">
        <v>79</v>
      </c>
    </row>
    <row r="148" spans="1:1" x14ac:dyDescent="0.25">
      <c r="A148" t="s">
        <v>80</v>
      </c>
    </row>
    <row r="149" spans="1:1" x14ac:dyDescent="0.25">
      <c r="A149" t="s">
        <v>81</v>
      </c>
    </row>
    <row r="150" spans="1:1" x14ac:dyDescent="0.25">
      <c r="A150" t="s">
        <v>82</v>
      </c>
    </row>
    <row r="151" spans="1:1" x14ac:dyDescent="0.25">
      <c r="A151" t="s">
        <v>83</v>
      </c>
    </row>
    <row r="152" spans="1:1" x14ac:dyDescent="0.25">
      <c r="A152" t="s">
        <v>84</v>
      </c>
    </row>
    <row r="153" spans="1:1" x14ac:dyDescent="0.25">
      <c r="A153" t="s">
        <v>85</v>
      </c>
    </row>
    <row r="154" spans="1:1" x14ac:dyDescent="0.25">
      <c r="A154" t="s">
        <v>86</v>
      </c>
    </row>
    <row r="155" spans="1:1" x14ac:dyDescent="0.25">
      <c r="A155" t="s">
        <v>87</v>
      </c>
    </row>
    <row r="156" spans="1:1" x14ac:dyDescent="0.25">
      <c r="A156" t="s">
        <v>75</v>
      </c>
    </row>
    <row r="158" spans="1:1" x14ac:dyDescent="0.25">
      <c r="A158" t="s">
        <v>88</v>
      </c>
    </row>
    <row r="159" spans="1:1" x14ac:dyDescent="0.25">
      <c r="A159" t="s">
        <v>89</v>
      </c>
    </row>
    <row r="160" spans="1:1" x14ac:dyDescent="0.25">
      <c r="A160" t="s">
        <v>90</v>
      </c>
    </row>
    <row r="161" spans="1:1" x14ac:dyDescent="0.25">
      <c r="A161" t="s">
        <v>91</v>
      </c>
    </row>
    <row r="162" spans="1:1" x14ac:dyDescent="0.25">
      <c r="A162" t="s">
        <v>92</v>
      </c>
    </row>
    <row r="163" spans="1:1" x14ac:dyDescent="0.25">
      <c r="A163" t="s">
        <v>93</v>
      </c>
    </row>
    <row r="164" spans="1:1" x14ac:dyDescent="0.25">
      <c r="A164" t="s">
        <v>94</v>
      </c>
    </row>
    <row r="165" spans="1:1" x14ac:dyDescent="0.25">
      <c r="A165" t="s">
        <v>95</v>
      </c>
    </row>
    <row r="166" spans="1:1" x14ac:dyDescent="0.25">
      <c r="A166" t="s">
        <v>96</v>
      </c>
    </row>
    <row r="167" spans="1:1" x14ac:dyDescent="0.25">
      <c r="A167" t="s">
        <v>97</v>
      </c>
    </row>
    <row r="168" spans="1:1" x14ac:dyDescent="0.25">
      <c r="A168" t="s">
        <v>98</v>
      </c>
    </row>
    <row r="169" spans="1:1" x14ac:dyDescent="0.25">
      <c r="A169" t="s">
        <v>99</v>
      </c>
    </row>
    <row r="170" spans="1:1" x14ac:dyDescent="0.25">
      <c r="A170" t="s">
        <v>100</v>
      </c>
    </row>
    <row r="171" spans="1:1" x14ac:dyDescent="0.25">
      <c r="A171" t="s">
        <v>101</v>
      </c>
    </row>
    <row r="172" spans="1:1" x14ac:dyDescent="0.25">
      <c r="A172" t="s">
        <v>102</v>
      </c>
    </row>
    <row r="173" spans="1:1" x14ac:dyDescent="0.25">
      <c r="A173" t="s">
        <v>35</v>
      </c>
    </row>
    <row r="175" spans="1:1" x14ac:dyDescent="0.25">
      <c r="A175" t="s">
        <v>103</v>
      </c>
    </row>
    <row r="176" spans="1:1" x14ac:dyDescent="0.25">
      <c r="A176" t="s">
        <v>89</v>
      </c>
    </row>
    <row r="177" spans="1:1" x14ac:dyDescent="0.25">
      <c r="A177" t="s">
        <v>92</v>
      </c>
    </row>
    <row r="178" spans="1:1" x14ac:dyDescent="0.25">
      <c r="A178" t="s">
        <v>104</v>
      </c>
    </row>
    <row r="179" spans="1:1" x14ac:dyDescent="0.25">
      <c r="A179" t="s">
        <v>91</v>
      </c>
    </row>
    <row r="180" spans="1:1" x14ac:dyDescent="0.25">
      <c r="A180" t="s">
        <v>105</v>
      </c>
    </row>
    <row r="181" spans="1:1" x14ac:dyDescent="0.25">
      <c r="A181" t="s">
        <v>106</v>
      </c>
    </row>
    <row r="182" spans="1:1" x14ac:dyDescent="0.25">
      <c r="A182" t="s">
        <v>107</v>
      </c>
    </row>
    <row r="183" spans="1:1" x14ac:dyDescent="0.25">
      <c r="A183" t="s">
        <v>108</v>
      </c>
    </row>
    <row r="184" spans="1:1" x14ac:dyDescent="0.25">
      <c r="A184" t="s">
        <v>109</v>
      </c>
    </row>
    <row r="185" spans="1:1" x14ac:dyDescent="0.25">
      <c r="A185" t="s">
        <v>110</v>
      </c>
    </row>
    <row r="186" spans="1:1" x14ac:dyDescent="0.25">
      <c r="A186" t="s">
        <v>111</v>
      </c>
    </row>
    <row r="187" spans="1:1" x14ac:dyDescent="0.25">
      <c r="A187" t="s">
        <v>100</v>
      </c>
    </row>
    <row r="188" spans="1:1" x14ac:dyDescent="0.25">
      <c r="A188" t="s">
        <v>112</v>
      </c>
    </row>
    <row r="189" spans="1:1" x14ac:dyDescent="0.25">
      <c r="A189" t="s">
        <v>102</v>
      </c>
    </row>
    <row r="190" spans="1:1" x14ac:dyDescent="0.25">
      <c r="A190" t="s">
        <v>76</v>
      </c>
    </row>
    <row r="191" spans="1:1" x14ac:dyDescent="0.25">
      <c r="A191" t="s">
        <v>113</v>
      </c>
    </row>
    <row r="193" spans="1:1" x14ac:dyDescent="0.25">
      <c r="A193" t="s">
        <v>75</v>
      </c>
    </row>
    <row r="194" spans="1:1" x14ac:dyDescent="0.25">
      <c r="A194" t="s">
        <v>35</v>
      </c>
    </row>
    <row r="195" spans="1:1" x14ac:dyDescent="0.25">
      <c r="A195" t="s">
        <v>74</v>
      </c>
    </row>
    <row r="196" spans="1:1" x14ac:dyDescent="0.25">
      <c r="A196" t="s">
        <v>114</v>
      </c>
    </row>
    <row r="197" spans="1:1" x14ac:dyDescent="0.25">
      <c r="A197" t="s">
        <v>115</v>
      </c>
    </row>
    <row r="199" spans="1:1" x14ac:dyDescent="0.25">
      <c r="A199" t="s">
        <v>116</v>
      </c>
    </row>
    <row r="200" spans="1:1" x14ac:dyDescent="0.25">
      <c r="A200" t="s">
        <v>117</v>
      </c>
    </row>
    <row r="201" spans="1:1" x14ac:dyDescent="0.25">
      <c r="A201" t="s">
        <v>118</v>
      </c>
    </row>
    <row r="202" spans="1:1" x14ac:dyDescent="0.25">
      <c r="A202" t="s">
        <v>119</v>
      </c>
    </row>
    <row r="203" spans="1:1" x14ac:dyDescent="0.25">
      <c r="A203" t="s">
        <v>120</v>
      </c>
    </row>
    <row r="204" spans="1:1" x14ac:dyDescent="0.25">
      <c r="A204" t="s">
        <v>121</v>
      </c>
    </row>
    <row r="205" spans="1:1" x14ac:dyDescent="0.25">
      <c r="A205" t="s">
        <v>122</v>
      </c>
    </row>
    <row r="206" spans="1:1" x14ac:dyDescent="0.25">
      <c r="A206" t="s">
        <v>123</v>
      </c>
    </row>
    <row r="207" spans="1:1" x14ac:dyDescent="0.25">
      <c r="A207" t="s">
        <v>124</v>
      </c>
    </row>
    <row r="208" spans="1:1" x14ac:dyDescent="0.25">
      <c r="A208" t="s">
        <v>125</v>
      </c>
    </row>
    <row r="209" spans="1:1" x14ac:dyDescent="0.25">
      <c r="A209" t="s">
        <v>126</v>
      </c>
    </row>
    <row r="210" spans="1:1" x14ac:dyDescent="0.25">
      <c r="A210" t="s">
        <v>127</v>
      </c>
    </row>
    <row r="211" spans="1:1" x14ac:dyDescent="0.25">
      <c r="A211" t="s">
        <v>128</v>
      </c>
    </row>
    <row r="212" spans="1:1" x14ac:dyDescent="0.25">
      <c r="A212" t="s">
        <v>129</v>
      </c>
    </row>
    <row r="213" spans="1:1" x14ac:dyDescent="0.25">
      <c r="A213" t="s">
        <v>130</v>
      </c>
    </row>
    <row r="214" spans="1:1" x14ac:dyDescent="0.25">
      <c r="A214" t="s">
        <v>1251</v>
      </c>
    </row>
    <row r="216" spans="1:1" x14ac:dyDescent="0.25">
      <c r="A216" t="s">
        <v>1307</v>
      </c>
    </row>
    <row r="218" spans="1:1" x14ac:dyDescent="0.25">
      <c r="A218" t="s">
        <v>4779</v>
      </c>
    </row>
    <row r="220" spans="1:1" x14ac:dyDescent="0.25">
      <c r="A220" t="s">
        <v>4780</v>
      </c>
    </row>
    <row r="222" spans="1:1" x14ac:dyDescent="0.25">
      <c r="A222" t="s">
        <v>259</v>
      </c>
    </row>
    <row r="224" spans="1:1" x14ac:dyDescent="0.25">
      <c r="A224" t="s">
        <v>301</v>
      </c>
    </row>
    <row r="225" spans="1:36" x14ac:dyDescent="0.25">
      <c r="A225" t="s">
        <v>131</v>
      </c>
      <c r="B225" t="s">
        <v>302</v>
      </c>
      <c r="C225" t="s">
        <v>303</v>
      </c>
      <c r="D225" t="s">
        <v>304</v>
      </c>
      <c r="E225" t="s">
        <v>262</v>
      </c>
      <c r="F225" t="s">
        <v>263</v>
      </c>
      <c r="G225" t="s">
        <v>264</v>
      </c>
      <c r="H225" t="s">
        <v>305</v>
      </c>
      <c r="I225" t="s">
        <v>20</v>
      </c>
      <c r="J225" t="s">
        <v>21</v>
      </c>
      <c r="K225" t="s">
        <v>306</v>
      </c>
      <c r="L225" t="s">
        <v>220</v>
      </c>
      <c r="M225" t="s">
        <v>307</v>
      </c>
      <c r="N225" t="s">
        <v>308</v>
      </c>
      <c r="O225" t="s">
        <v>309</v>
      </c>
      <c r="P225" t="s">
        <v>132</v>
      </c>
      <c r="Q225" t="s">
        <v>252</v>
      </c>
      <c r="R225" t="s">
        <v>0</v>
      </c>
      <c r="S225" t="s">
        <v>310</v>
      </c>
      <c r="T225" t="s">
        <v>253</v>
      </c>
      <c r="U225" t="s">
        <v>254</v>
      </c>
      <c r="V225" t="s">
        <v>257</v>
      </c>
      <c r="W225" t="s">
        <v>255</v>
      </c>
      <c r="X225" t="s">
        <v>256</v>
      </c>
      <c r="Y225" t="s">
        <v>311</v>
      </c>
      <c r="Z225" t="s">
        <v>312</v>
      </c>
      <c r="AA225" t="s">
        <v>313</v>
      </c>
      <c r="AB225" t="s">
        <v>314</v>
      </c>
      <c r="AC225" t="s">
        <v>315</v>
      </c>
      <c r="AD225" t="s">
        <v>316</v>
      </c>
      <c r="AE225" t="s">
        <v>317</v>
      </c>
      <c r="AF225" t="s">
        <v>318</v>
      </c>
      <c r="AG225" t="s">
        <v>319</v>
      </c>
      <c r="AH225" t="s">
        <v>320</v>
      </c>
      <c r="AI225" t="s">
        <v>321</v>
      </c>
      <c r="AJ225" t="s">
        <v>258</v>
      </c>
    </row>
    <row r="226" spans="1:36" x14ac:dyDescent="0.25">
      <c r="A226" t="s">
        <v>4</v>
      </c>
      <c r="B226">
        <v>27</v>
      </c>
      <c r="C226">
        <v>28.6</v>
      </c>
      <c r="D226">
        <v>4.59</v>
      </c>
      <c r="E226">
        <v>85</v>
      </c>
      <c r="F226">
        <v>77</v>
      </c>
      <c r="G226">
        <v>0.52500000000000002</v>
      </c>
      <c r="H226">
        <v>4.25</v>
      </c>
      <c r="I226">
        <v>162</v>
      </c>
      <c r="J226">
        <v>162</v>
      </c>
      <c r="K226">
        <v>162</v>
      </c>
      <c r="L226">
        <v>0</v>
      </c>
      <c r="M226">
        <v>11</v>
      </c>
      <c r="N226">
        <v>0</v>
      </c>
      <c r="O226">
        <v>45</v>
      </c>
      <c r="P226">
        <v>1465</v>
      </c>
      <c r="Q226">
        <v>1400</v>
      </c>
      <c r="R226">
        <v>743</v>
      </c>
      <c r="S226">
        <v>691</v>
      </c>
      <c r="T226">
        <v>220</v>
      </c>
      <c r="U226">
        <v>516</v>
      </c>
      <c r="V226">
        <v>38</v>
      </c>
      <c r="W226">
        <v>1427</v>
      </c>
      <c r="X226">
        <v>62</v>
      </c>
      <c r="Y226">
        <v>4</v>
      </c>
      <c r="Z226">
        <v>49</v>
      </c>
      <c r="AA226">
        <v>6230</v>
      </c>
      <c r="AB226">
        <v>105</v>
      </c>
      <c r="AC226">
        <v>4.4000000000000004</v>
      </c>
      <c r="AD226">
        <v>1.3080000000000001</v>
      </c>
      <c r="AE226">
        <v>8.6</v>
      </c>
      <c r="AF226">
        <v>1.4</v>
      </c>
      <c r="AG226">
        <v>3.2</v>
      </c>
      <c r="AH226">
        <v>8.8000000000000007</v>
      </c>
      <c r="AI226">
        <v>2.77</v>
      </c>
      <c r="AJ226">
        <v>1092</v>
      </c>
    </row>
    <row r="227" spans="1:36" x14ac:dyDescent="0.25">
      <c r="A227" t="s">
        <v>10</v>
      </c>
      <c r="B227">
        <v>31</v>
      </c>
      <c r="C227">
        <v>27.5</v>
      </c>
      <c r="D227">
        <v>4.59</v>
      </c>
      <c r="E227">
        <v>97</v>
      </c>
      <c r="F227">
        <v>65</v>
      </c>
      <c r="G227">
        <v>0.59899999999999998</v>
      </c>
      <c r="H227">
        <v>4.1900000000000004</v>
      </c>
      <c r="I227">
        <v>162</v>
      </c>
      <c r="J227">
        <v>162</v>
      </c>
      <c r="K227">
        <v>161</v>
      </c>
      <c r="L227">
        <v>1</v>
      </c>
      <c r="M227">
        <v>8</v>
      </c>
      <c r="N227">
        <v>0</v>
      </c>
      <c r="O227">
        <v>44</v>
      </c>
      <c r="P227">
        <v>1450.2</v>
      </c>
      <c r="Q227">
        <v>1421</v>
      </c>
      <c r="R227">
        <v>743</v>
      </c>
      <c r="S227">
        <v>675</v>
      </c>
      <c r="T227">
        <v>203</v>
      </c>
      <c r="U227">
        <v>548</v>
      </c>
      <c r="V227">
        <v>33</v>
      </c>
      <c r="W227">
        <v>1393</v>
      </c>
      <c r="X227">
        <v>69</v>
      </c>
      <c r="Y227">
        <v>3</v>
      </c>
      <c r="Z227">
        <v>70</v>
      </c>
      <c r="AA227">
        <v>6243</v>
      </c>
      <c r="AB227">
        <v>109</v>
      </c>
      <c r="AC227">
        <v>4.3899999999999997</v>
      </c>
      <c r="AD227">
        <v>1.357</v>
      </c>
      <c r="AE227">
        <v>8.8000000000000007</v>
      </c>
      <c r="AF227">
        <v>1.3</v>
      </c>
      <c r="AG227">
        <v>3.4</v>
      </c>
      <c r="AH227">
        <v>8.6</v>
      </c>
      <c r="AI227">
        <v>2.54</v>
      </c>
      <c r="AJ227">
        <v>1148</v>
      </c>
    </row>
    <row r="228" spans="1:36" x14ac:dyDescent="0.25">
      <c r="A228" t="s">
        <v>8</v>
      </c>
      <c r="B228">
        <v>38</v>
      </c>
      <c r="C228">
        <v>27.3</v>
      </c>
      <c r="D228">
        <v>6.06</v>
      </c>
      <c r="E228">
        <v>54</v>
      </c>
      <c r="F228">
        <v>108</v>
      </c>
      <c r="G228">
        <v>0.33300000000000002</v>
      </c>
      <c r="H228">
        <v>5.59</v>
      </c>
      <c r="I228">
        <v>162</v>
      </c>
      <c r="J228">
        <v>162</v>
      </c>
      <c r="K228">
        <v>162</v>
      </c>
      <c r="L228">
        <v>0</v>
      </c>
      <c r="M228">
        <v>5</v>
      </c>
      <c r="N228">
        <v>0</v>
      </c>
      <c r="O228">
        <v>27</v>
      </c>
      <c r="P228">
        <v>1443</v>
      </c>
      <c r="Q228">
        <v>1544</v>
      </c>
      <c r="R228">
        <v>981</v>
      </c>
      <c r="S228">
        <v>897</v>
      </c>
      <c r="T228">
        <v>305</v>
      </c>
      <c r="U228">
        <v>561</v>
      </c>
      <c r="V228">
        <v>11</v>
      </c>
      <c r="W228">
        <v>1248</v>
      </c>
      <c r="X228">
        <v>80</v>
      </c>
      <c r="Y228">
        <v>6</v>
      </c>
      <c r="Z228">
        <v>75</v>
      </c>
      <c r="AA228">
        <v>6396</v>
      </c>
      <c r="AB228">
        <v>84</v>
      </c>
      <c r="AC228">
        <v>5.56</v>
      </c>
      <c r="AD228">
        <v>1.4590000000000001</v>
      </c>
      <c r="AE228">
        <v>9.6</v>
      </c>
      <c r="AF228">
        <v>1.9</v>
      </c>
      <c r="AG228">
        <v>3.5</v>
      </c>
      <c r="AH228">
        <v>7.8</v>
      </c>
      <c r="AI228">
        <v>2.2200000000000002</v>
      </c>
      <c r="AJ228">
        <v>1086</v>
      </c>
    </row>
    <row r="229" spans="1:36" x14ac:dyDescent="0.25">
      <c r="A229" t="s">
        <v>9</v>
      </c>
      <c r="B229">
        <v>27</v>
      </c>
      <c r="C229">
        <v>29</v>
      </c>
      <c r="D229">
        <v>5.1100000000000003</v>
      </c>
      <c r="E229">
        <v>84</v>
      </c>
      <c r="F229">
        <v>78</v>
      </c>
      <c r="G229">
        <v>0.51900000000000002</v>
      </c>
      <c r="H229">
        <v>4.7</v>
      </c>
      <c r="I229">
        <v>162</v>
      </c>
      <c r="J229">
        <v>162</v>
      </c>
      <c r="K229">
        <v>161</v>
      </c>
      <c r="L229">
        <v>1</v>
      </c>
      <c r="M229">
        <v>8</v>
      </c>
      <c r="N229">
        <v>1</v>
      </c>
      <c r="O229">
        <v>33</v>
      </c>
      <c r="P229">
        <v>1471</v>
      </c>
      <c r="Q229">
        <v>1423</v>
      </c>
      <c r="R229">
        <v>828</v>
      </c>
      <c r="S229">
        <v>768</v>
      </c>
      <c r="T229">
        <v>215</v>
      </c>
      <c r="U229">
        <v>605</v>
      </c>
      <c r="V229">
        <v>22</v>
      </c>
      <c r="W229">
        <v>1633</v>
      </c>
      <c r="X229">
        <v>76</v>
      </c>
      <c r="Y229">
        <v>6</v>
      </c>
      <c r="Z229">
        <v>81</v>
      </c>
      <c r="AA229">
        <v>6400</v>
      </c>
      <c r="AB229">
        <v>103</v>
      </c>
      <c r="AC229">
        <v>4.28</v>
      </c>
      <c r="AD229">
        <v>1.379</v>
      </c>
      <c r="AE229">
        <v>8.6999999999999993</v>
      </c>
      <c r="AF229">
        <v>1.3</v>
      </c>
      <c r="AG229">
        <v>3.7</v>
      </c>
      <c r="AH229">
        <v>10</v>
      </c>
      <c r="AI229">
        <v>2.7</v>
      </c>
      <c r="AJ229">
        <v>1159</v>
      </c>
    </row>
    <row r="230" spans="1:36" x14ac:dyDescent="0.25">
      <c r="A230" t="s">
        <v>31</v>
      </c>
      <c r="B230">
        <v>33</v>
      </c>
      <c r="C230">
        <v>31.1</v>
      </c>
      <c r="D230">
        <v>4.43</v>
      </c>
      <c r="E230">
        <v>84</v>
      </c>
      <c r="F230">
        <v>78</v>
      </c>
      <c r="G230">
        <v>0.51900000000000002</v>
      </c>
      <c r="H230">
        <v>4.0999999999999996</v>
      </c>
      <c r="I230">
        <v>162</v>
      </c>
      <c r="J230">
        <v>162</v>
      </c>
      <c r="K230">
        <v>161</v>
      </c>
      <c r="L230">
        <v>1</v>
      </c>
      <c r="M230">
        <v>10</v>
      </c>
      <c r="N230">
        <v>1</v>
      </c>
      <c r="O230">
        <v>38</v>
      </c>
      <c r="P230">
        <v>1442</v>
      </c>
      <c r="Q230">
        <v>1377</v>
      </c>
      <c r="R230">
        <v>717</v>
      </c>
      <c r="S230">
        <v>657</v>
      </c>
      <c r="T230">
        <v>195</v>
      </c>
      <c r="U230">
        <v>534</v>
      </c>
      <c r="V230">
        <v>16</v>
      </c>
      <c r="W230">
        <v>1444</v>
      </c>
      <c r="X230">
        <v>80</v>
      </c>
      <c r="Y230">
        <v>1</v>
      </c>
      <c r="Z230">
        <v>60</v>
      </c>
      <c r="AA230">
        <v>6190</v>
      </c>
      <c r="AB230">
        <v>109</v>
      </c>
      <c r="AC230">
        <v>4.25</v>
      </c>
      <c r="AD230">
        <v>1.325</v>
      </c>
      <c r="AE230">
        <v>8.6</v>
      </c>
      <c r="AF230">
        <v>1.2</v>
      </c>
      <c r="AG230">
        <v>3.3</v>
      </c>
      <c r="AH230">
        <v>9</v>
      </c>
      <c r="AI230">
        <v>2.7</v>
      </c>
      <c r="AJ230">
        <v>1147</v>
      </c>
    </row>
    <row r="231" spans="1:36" x14ac:dyDescent="0.25">
      <c r="A231" t="s">
        <v>32</v>
      </c>
      <c r="B231">
        <v>27</v>
      </c>
      <c r="C231">
        <v>27.6</v>
      </c>
      <c r="D231">
        <v>5.17</v>
      </c>
      <c r="E231">
        <v>72</v>
      </c>
      <c r="F231">
        <v>89</v>
      </c>
      <c r="G231">
        <v>0.44700000000000001</v>
      </c>
      <c r="H231">
        <v>4.9000000000000004</v>
      </c>
      <c r="I231">
        <v>161</v>
      </c>
      <c r="J231">
        <v>161</v>
      </c>
      <c r="K231">
        <v>155</v>
      </c>
      <c r="L231">
        <v>6</v>
      </c>
      <c r="M231">
        <v>7</v>
      </c>
      <c r="N231">
        <v>2</v>
      </c>
      <c r="O231">
        <v>33</v>
      </c>
      <c r="P231">
        <v>1412.2</v>
      </c>
      <c r="Q231">
        <v>1438</v>
      </c>
      <c r="R231">
        <v>832</v>
      </c>
      <c r="S231">
        <v>769</v>
      </c>
      <c r="T231">
        <v>238</v>
      </c>
      <c r="U231">
        <v>582</v>
      </c>
      <c r="V231">
        <v>30</v>
      </c>
      <c r="W231">
        <v>1312</v>
      </c>
      <c r="X231">
        <v>51</v>
      </c>
      <c r="Y231">
        <v>5</v>
      </c>
      <c r="Z231">
        <v>71</v>
      </c>
      <c r="AA231">
        <v>6159</v>
      </c>
      <c r="AB231">
        <v>94</v>
      </c>
      <c r="AC231">
        <v>4.8899999999999997</v>
      </c>
      <c r="AD231">
        <v>1.43</v>
      </c>
      <c r="AE231">
        <v>9.1999999999999993</v>
      </c>
      <c r="AF231">
        <v>1.5</v>
      </c>
      <c r="AG231">
        <v>3.7</v>
      </c>
      <c r="AH231">
        <v>8.4</v>
      </c>
      <c r="AI231">
        <v>2.25</v>
      </c>
      <c r="AJ231">
        <v>1089</v>
      </c>
    </row>
    <row r="232" spans="1:36" x14ac:dyDescent="0.25">
      <c r="A232" t="s">
        <v>12</v>
      </c>
      <c r="B232">
        <v>26</v>
      </c>
      <c r="C232">
        <v>28.2</v>
      </c>
      <c r="D232">
        <v>4.3899999999999997</v>
      </c>
      <c r="E232">
        <v>75</v>
      </c>
      <c r="F232">
        <v>87</v>
      </c>
      <c r="G232">
        <v>0.46300000000000002</v>
      </c>
      <c r="H232">
        <v>4.18</v>
      </c>
      <c r="I232">
        <v>162</v>
      </c>
      <c r="J232">
        <v>162</v>
      </c>
      <c r="K232">
        <v>162</v>
      </c>
      <c r="L232">
        <v>0</v>
      </c>
      <c r="M232">
        <v>10</v>
      </c>
      <c r="N232">
        <v>0</v>
      </c>
      <c r="O232">
        <v>46</v>
      </c>
      <c r="P232">
        <v>1438</v>
      </c>
      <c r="Q232">
        <v>1270</v>
      </c>
      <c r="R232">
        <v>711</v>
      </c>
      <c r="S232">
        <v>668</v>
      </c>
      <c r="T232">
        <v>214</v>
      </c>
      <c r="U232">
        <v>536</v>
      </c>
      <c r="V232">
        <v>31</v>
      </c>
      <c r="W232">
        <v>1552</v>
      </c>
      <c r="X232">
        <v>58</v>
      </c>
      <c r="Y232">
        <v>8</v>
      </c>
      <c r="Z232">
        <v>35</v>
      </c>
      <c r="AA232">
        <v>6057</v>
      </c>
      <c r="AB232">
        <v>109</v>
      </c>
      <c r="AC232">
        <v>4.2300000000000004</v>
      </c>
      <c r="AD232">
        <v>1.256</v>
      </c>
      <c r="AE232">
        <v>7.9</v>
      </c>
      <c r="AF232">
        <v>1.3</v>
      </c>
      <c r="AG232">
        <v>3.4</v>
      </c>
      <c r="AH232">
        <v>9.6999999999999993</v>
      </c>
      <c r="AI232">
        <v>2.9</v>
      </c>
      <c r="AJ232">
        <v>1032</v>
      </c>
    </row>
    <row r="233" spans="1:36" x14ac:dyDescent="0.25">
      <c r="A233" t="s">
        <v>3</v>
      </c>
      <c r="B233">
        <v>30</v>
      </c>
      <c r="C233">
        <v>28.3</v>
      </c>
      <c r="D233">
        <v>4.0599999999999996</v>
      </c>
      <c r="E233">
        <v>93</v>
      </c>
      <c r="F233">
        <v>69</v>
      </c>
      <c r="G233">
        <v>0.57399999999999995</v>
      </c>
      <c r="H233">
        <v>3.76</v>
      </c>
      <c r="I233">
        <v>162</v>
      </c>
      <c r="J233">
        <v>162</v>
      </c>
      <c r="K233">
        <v>156</v>
      </c>
      <c r="L233">
        <v>6</v>
      </c>
      <c r="M233">
        <v>16</v>
      </c>
      <c r="N233">
        <v>5</v>
      </c>
      <c r="O233">
        <v>42</v>
      </c>
      <c r="P233">
        <v>1437.2</v>
      </c>
      <c r="Q233">
        <v>1308</v>
      </c>
      <c r="R233">
        <v>657</v>
      </c>
      <c r="S233">
        <v>601</v>
      </c>
      <c r="T233">
        <v>207</v>
      </c>
      <c r="U233">
        <v>450</v>
      </c>
      <c r="V233">
        <v>19</v>
      </c>
      <c r="W233">
        <v>1508</v>
      </c>
      <c r="X233">
        <v>62</v>
      </c>
      <c r="Y233">
        <v>2</v>
      </c>
      <c r="Z233">
        <v>42</v>
      </c>
      <c r="AA233">
        <v>6008</v>
      </c>
      <c r="AB233">
        <v>125</v>
      </c>
      <c r="AC233">
        <v>4.0599999999999996</v>
      </c>
      <c r="AD233">
        <v>1.2230000000000001</v>
      </c>
      <c r="AE233">
        <v>8.1999999999999993</v>
      </c>
      <c r="AF233">
        <v>1.3</v>
      </c>
      <c r="AG233">
        <v>2.8</v>
      </c>
      <c r="AH233">
        <v>9.4</v>
      </c>
      <c r="AI233">
        <v>3.35</v>
      </c>
      <c r="AJ233">
        <v>1038</v>
      </c>
    </row>
    <row r="234" spans="1:36" x14ac:dyDescent="0.25">
      <c r="A234" t="s">
        <v>11</v>
      </c>
      <c r="B234">
        <v>31</v>
      </c>
      <c r="C234">
        <v>27.3</v>
      </c>
      <c r="D234">
        <v>5.91</v>
      </c>
      <c r="E234">
        <v>71</v>
      </c>
      <c r="F234">
        <v>91</v>
      </c>
      <c r="G234">
        <v>0.438</v>
      </c>
      <c r="H234">
        <v>5.56</v>
      </c>
      <c r="I234">
        <v>162</v>
      </c>
      <c r="J234">
        <v>162</v>
      </c>
      <c r="K234">
        <v>161</v>
      </c>
      <c r="L234">
        <v>1</v>
      </c>
      <c r="M234">
        <v>5</v>
      </c>
      <c r="N234">
        <v>1</v>
      </c>
      <c r="O234">
        <v>28</v>
      </c>
      <c r="P234">
        <v>1448.2</v>
      </c>
      <c r="Q234">
        <v>1576</v>
      </c>
      <c r="R234">
        <v>958</v>
      </c>
      <c r="S234">
        <v>895</v>
      </c>
      <c r="T234">
        <v>270</v>
      </c>
      <c r="U234">
        <v>589</v>
      </c>
      <c r="V234">
        <v>33</v>
      </c>
      <c r="W234">
        <v>1264</v>
      </c>
      <c r="X234">
        <v>57</v>
      </c>
      <c r="Y234">
        <v>7</v>
      </c>
      <c r="Z234">
        <v>63</v>
      </c>
      <c r="AA234">
        <v>6423</v>
      </c>
      <c r="AB234">
        <v>94</v>
      </c>
      <c r="AC234">
        <v>5.23</v>
      </c>
      <c r="AD234">
        <v>1.494</v>
      </c>
      <c r="AE234">
        <v>9.8000000000000007</v>
      </c>
      <c r="AF234">
        <v>1.7</v>
      </c>
      <c r="AG234">
        <v>3.7</v>
      </c>
      <c r="AH234">
        <v>7.9</v>
      </c>
      <c r="AI234">
        <v>2.15</v>
      </c>
      <c r="AJ234">
        <v>1119</v>
      </c>
    </row>
    <row r="235" spans="1:36" x14ac:dyDescent="0.25">
      <c r="A235" t="s">
        <v>2</v>
      </c>
      <c r="B235">
        <v>32</v>
      </c>
      <c r="C235">
        <v>27.8</v>
      </c>
      <c r="D235">
        <v>5.68</v>
      </c>
      <c r="E235">
        <v>47</v>
      </c>
      <c r="F235">
        <v>114</v>
      </c>
      <c r="G235">
        <v>0.29199999999999998</v>
      </c>
      <c r="H235">
        <v>5.24</v>
      </c>
      <c r="I235">
        <v>161</v>
      </c>
      <c r="J235">
        <v>161</v>
      </c>
      <c r="K235">
        <v>161</v>
      </c>
      <c r="L235">
        <v>0</v>
      </c>
      <c r="M235">
        <v>3</v>
      </c>
      <c r="N235">
        <v>0</v>
      </c>
      <c r="O235">
        <v>31</v>
      </c>
      <c r="P235">
        <v>1433</v>
      </c>
      <c r="Q235">
        <v>1555</v>
      </c>
      <c r="R235">
        <v>915</v>
      </c>
      <c r="S235">
        <v>835</v>
      </c>
      <c r="T235">
        <v>250</v>
      </c>
      <c r="U235">
        <v>536</v>
      </c>
      <c r="V235">
        <v>24</v>
      </c>
      <c r="W235">
        <v>1368</v>
      </c>
      <c r="X235">
        <v>69</v>
      </c>
      <c r="Y235">
        <v>7</v>
      </c>
      <c r="Z235">
        <v>66</v>
      </c>
      <c r="AA235">
        <v>6341</v>
      </c>
      <c r="AB235">
        <v>92</v>
      </c>
      <c r="AC235">
        <v>4.84</v>
      </c>
      <c r="AD235">
        <v>1.4590000000000001</v>
      </c>
      <c r="AE235">
        <v>9.8000000000000007</v>
      </c>
      <c r="AF235">
        <v>1.6</v>
      </c>
      <c r="AG235">
        <v>3.4</v>
      </c>
      <c r="AH235">
        <v>8.6</v>
      </c>
      <c r="AI235">
        <v>2.5499999999999998</v>
      </c>
      <c r="AJ235">
        <v>1127</v>
      </c>
    </row>
    <row r="236" spans="1:36" x14ac:dyDescent="0.25">
      <c r="A236" t="s">
        <v>16</v>
      </c>
      <c r="B236">
        <v>26</v>
      </c>
      <c r="C236">
        <v>29.9</v>
      </c>
      <c r="D236">
        <v>3.95</v>
      </c>
      <c r="E236">
        <v>107</v>
      </c>
      <c r="F236">
        <v>55</v>
      </c>
      <c r="G236">
        <v>0.66</v>
      </c>
      <c r="H236">
        <v>3.66</v>
      </c>
      <c r="I236">
        <v>162</v>
      </c>
      <c r="J236">
        <v>162</v>
      </c>
      <c r="K236">
        <v>160</v>
      </c>
      <c r="L236">
        <v>2</v>
      </c>
      <c r="M236">
        <v>14</v>
      </c>
      <c r="N236">
        <v>1</v>
      </c>
      <c r="O236">
        <v>47</v>
      </c>
      <c r="P236">
        <v>1462.1</v>
      </c>
      <c r="Q236">
        <v>1205</v>
      </c>
      <c r="R236">
        <v>640</v>
      </c>
      <c r="S236">
        <v>595</v>
      </c>
      <c r="T236">
        <v>230</v>
      </c>
      <c r="U236">
        <v>448</v>
      </c>
      <c r="V236">
        <v>0</v>
      </c>
      <c r="W236">
        <v>1671</v>
      </c>
      <c r="X236">
        <v>41</v>
      </c>
      <c r="Y236">
        <v>8</v>
      </c>
      <c r="Z236">
        <v>41</v>
      </c>
      <c r="AA236">
        <v>5995</v>
      </c>
      <c r="AB236">
        <v>127</v>
      </c>
      <c r="AC236">
        <v>3.98</v>
      </c>
      <c r="AD236">
        <v>1.1299999999999999</v>
      </c>
      <c r="AE236">
        <v>7.4</v>
      </c>
      <c r="AF236">
        <v>1.4</v>
      </c>
      <c r="AG236">
        <v>2.8</v>
      </c>
      <c r="AH236">
        <v>10.3</v>
      </c>
      <c r="AI236">
        <v>3.73</v>
      </c>
      <c r="AJ236">
        <v>968</v>
      </c>
    </row>
    <row r="237" spans="1:36" x14ac:dyDescent="0.25">
      <c r="A237" t="s">
        <v>30</v>
      </c>
      <c r="B237">
        <v>30</v>
      </c>
      <c r="C237">
        <v>27.9</v>
      </c>
      <c r="D237">
        <v>5.36</v>
      </c>
      <c r="E237">
        <v>59</v>
      </c>
      <c r="F237">
        <v>103</v>
      </c>
      <c r="G237">
        <v>0.36399999999999999</v>
      </c>
      <c r="H237">
        <v>5.2</v>
      </c>
      <c r="I237">
        <v>162</v>
      </c>
      <c r="J237">
        <v>162</v>
      </c>
      <c r="K237">
        <v>161</v>
      </c>
      <c r="L237">
        <v>1</v>
      </c>
      <c r="M237">
        <v>7</v>
      </c>
      <c r="N237">
        <v>1</v>
      </c>
      <c r="O237">
        <v>37</v>
      </c>
      <c r="P237">
        <v>1425</v>
      </c>
      <c r="Q237">
        <v>1525</v>
      </c>
      <c r="R237">
        <v>869</v>
      </c>
      <c r="S237">
        <v>824</v>
      </c>
      <c r="T237">
        <v>221</v>
      </c>
      <c r="U237">
        <v>582</v>
      </c>
      <c r="V237">
        <v>25</v>
      </c>
      <c r="W237">
        <v>1230</v>
      </c>
      <c r="X237">
        <v>81</v>
      </c>
      <c r="Y237">
        <v>5</v>
      </c>
      <c r="Z237">
        <v>59</v>
      </c>
      <c r="AA237">
        <v>6307</v>
      </c>
      <c r="AB237">
        <v>91</v>
      </c>
      <c r="AC237">
        <v>4.9000000000000004</v>
      </c>
      <c r="AD237">
        <v>1.4790000000000001</v>
      </c>
      <c r="AE237">
        <v>9.6</v>
      </c>
      <c r="AF237">
        <v>1.4</v>
      </c>
      <c r="AG237">
        <v>3.7</v>
      </c>
      <c r="AH237">
        <v>7.8</v>
      </c>
      <c r="AI237">
        <v>2.11</v>
      </c>
      <c r="AJ237">
        <v>1163</v>
      </c>
    </row>
    <row r="238" spans="1:36" x14ac:dyDescent="0.25">
      <c r="A238" t="s">
        <v>7</v>
      </c>
      <c r="B238">
        <v>31</v>
      </c>
      <c r="C238">
        <v>27</v>
      </c>
      <c r="D238">
        <v>5.36</v>
      </c>
      <c r="E238">
        <v>72</v>
      </c>
      <c r="F238">
        <v>90</v>
      </c>
      <c r="G238">
        <v>0.44400000000000001</v>
      </c>
      <c r="H238">
        <v>5.12</v>
      </c>
      <c r="I238">
        <v>162</v>
      </c>
      <c r="J238">
        <v>162</v>
      </c>
      <c r="K238">
        <v>162</v>
      </c>
      <c r="L238">
        <v>0</v>
      </c>
      <c r="M238">
        <v>2</v>
      </c>
      <c r="N238">
        <v>0</v>
      </c>
      <c r="O238">
        <v>32</v>
      </c>
      <c r="P238">
        <v>1442.2</v>
      </c>
      <c r="Q238">
        <v>1417</v>
      </c>
      <c r="R238">
        <v>868</v>
      </c>
      <c r="S238">
        <v>820</v>
      </c>
      <c r="T238">
        <v>267</v>
      </c>
      <c r="U238">
        <v>576</v>
      </c>
      <c r="V238">
        <v>11</v>
      </c>
      <c r="W238">
        <v>1404</v>
      </c>
      <c r="X238">
        <v>82</v>
      </c>
      <c r="Y238">
        <v>9</v>
      </c>
      <c r="Z238">
        <v>98</v>
      </c>
      <c r="AA238">
        <v>6289</v>
      </c>
      <c r="AB238">
        <v>89</v>
      </c>
      <c r="AC238">
        <v>5.04</v>
      </c>
      <c r="AD238">
        <v>1.381</v>
      </c>
      <c r="AE238">
        <v>8.8000000000000007</v>
      </c>
      <c r="AF238">
        <v>1.7</v>
      </c>
      <c r="AG238">
        <v>3.6</v>
      </c>
      <c r="AH238">
        <v>8.8000000000000007</v>
      </c>
      <c r="AI238">
        <v>2.44</v>
      </c>
      <c r="AJ238">
        <v>1093</v>
      </c>
    </row>
    <row r="239" spans="1:36" x14ac:dyDescent="0.25">
      <c r="A239" t="s">
        <v>29</v>
      </c>
      <c r="B239">
        <v>25</v>
      </c>
      <c r="C239">
        <v>28.9</v>
      </c>
      <c r="D239">
        <v>3.78</v>
      </c>
      <c r="E239">
        <v>106</v>
      </c>
      <c r="F239">
        <v>56</v>
      </c>
      <c r="G239">
        <v>0.65400000000000003</v>
      </c>
      <c r="H239">
        <v>3.37</v>
      </c>
      <c r="I239">
        <v>162</v>
      </c>
      <c r="J239">
        <v>162</v>
      </c>
      <c r="K239">
        <v>159</v>
      </c>
      <c r="L239">
        <v>3</v>
      </c>
      <c r="M239">
        <v>18</v>
      </c>
      <c r="N239">
        <v>1</v>
      </c>
      <c r="O239">
        <v>44</v>
      </c>
      <c r="P239">
        <v>1445.2</v>
      </c>
      <c r="Q239">
        <v>1201</v>
      </c>
      <c r="R239">
        <v>613</v>
      </c>
      <c r="S239">
        <v>541</v>
      </c>
      <c r="T239">
        <v>185</v>
      </c>
      <c r="U239">
        <v>392</v>
      </c>
      <c r="V239">
        <v>24</v>
      </c>
      <c r="W239">
        <v>1519</v>
      </c>
      <c r="X239">
        <v>66</v>
      </c>
      <c r="Y239">
        <v>7</v>
      </c>
      <c r="Z239">
        <v>40</v>
      </c>
      <c r="AA239">
        <v>5913</v>
      </c>
      <c r="AB239">
        <v>123</v>
      </c>
      <c r="AC239">
        <v>3.73</v>
      </c>
      <c r="AD239">
        <v>1.1020000000000001</v>
      </c>
      <c r="AE239">
        <v>7.5</v>
      </c>
      <c r="AF239">
        <v>1.2</v>
      </c>
      <c r="AG239">
        <v>2.4</v>
      </c>
      <c r="AH239">
        <v>9.5</v>
      </c>
      <c r="AI239">
        <v>3.88</v>
      </c>
      <c r="AJ239">
        <v>963</v>
      </c>
    </row>
    <row r="240" spans="1:36" x14ac:dyDescent="0.25">
      <c r="A240" t="s">
        <v>5</v>
      </c>
      <c r="B240">
        <v>26</v>
      </c>
      <c r="C240">
        <v>26.5</v>
      </c>
      <c r="D240">
        <v>4.99</v>
      </c>
      <c r="E240">
        <v>57</v>
      </c>
      <c r="F240">
        <v>105</v>
      </c>
      <c r="G240">
        <v>0.35199999999999998</v>
      </c>
      <c r="H240">
        <v>4.74</v>
      </c>
      <c r="I240">
        <v>162</v>
      </c>
      <c r="J240">
        <v>162</v>
      </c>
      <c r="K240">
        <v>160</v>
      </c>
      <c r="L240">
        <v>2</v>
      </c>
      <c r="M240">
        <v>8</v>
      </c>
      <c r="N240">
        <v>2</v>
      </c>
      <c r="O240">
        <v>27</v>
      </c>
      <c r="P240">
        <v>1444.1</v>
      </c>
      <c r="Q240">
        <v>1340</v>
      </c>
      <c r="R240">
        <v>808</v>
      </c>
      <c r="S240">
        <v>760</v>
      </c>
      <c r="T240">
        <v>236</v>
      </c>
      <c r="U240">
        <v>615</v>
      </c>
      <c r="V240">
        <v>52</v>
      </c>
      <c r="W240">
        <v>1378</v>
      </c>
      <c r="X240">
        <v>90</v>
      </c>
      <c r="Y240">
        <v>6</v>
      </c>
      <c r="Z240">
        <v>71</v>
      </c>
      <c r="AA240">
        <v>6247</v>
      </c>
      <c r="AB240">
        <v>90</v>
      </c>
      <c r="AC240">
        <v>4.8899999999999997</v>
      </c>
      <c r="AD240">
        <v>1.3540000000000001</v>
      </c>
      <c r="AE240">
        <v>8.3000000000000007</v>
      </c>
      <c r="AF240">
        <v>1.5</v>
      </c>
      <c r="AG240">
        <v>3.8</v>
      </c>
      <c r="AH240">
        <v>8.6</v>
      </c>
      <c r="AI240">
        <v>2.2400000000000002</v>
      </c>
      <c r="AJ240">
        <v>1106</v>
      </c>
    </row>
    <row r="241" spans="1:36" x14ac:dyDescent="0.25">
      <c r="A241" t="s">
        <v>6</v>
      </c>
      <c r="B241">
        <v>30</v>
      </c>
      <c r="C241">
        <v>28.7</v>
      </c>
      <c r="D241">
        <v>4.7300000000000004</v>
      </c>
      <c r="E241">
        <v>89</v>
      </c>
      <c r="F241">
        <v>73</v>
      </c>
      <c r="G241">
        <v>0.54900000000000004</v>
      </c>
      <c r="H241">
        <v>4.4000000000000004</v>
      </c>
      <c r="I241">
        <v>162</v>
      </c>
      <c r="J241">
        <v>162</v>
      </c>
      <c r="K241">
        <v>162</v>
      </c>
      <c r="L241">
        <v>0</v>
      </c>
      <c r="M241">
        <v>7</v>
      </c>
      <c r="N241">
        <v>0</v>
      </c>
      <c r="O241">
        <v>50</v>
      </c>
      <c r="P241">
        <v>1459.1</v>
      </c>
      <c r="Q241">
        <v>1364</v>
      </c>
      <c r="R241">
        <v>766</v>
      </c>
      <c r="S241">
        <v>713</v>
      </c>
      <c r="T241">
        <v>225</v>
      </c>
      <c r="U241">
        <v>570</v>
      </c>
      <c r="V241">
        <v>28</v>
      </c>
      <c r="W241">
        <v>1497</v>
      </c>
      <c r="X241">
        <v>60</v>
      </c>
      <c r="Y241">
        <v>3</v>
      </c>
      <c r="Z241">
        <v>41</v>
      </c>
      <c r="AA241">
        <v>6251</v>
      </c>
      <c r="AB241">
        <v>102</v>
      </c>
      <c r="AC241">
        <v>4.46</v>
      </c>
      <c r="AD241">
        <v>1.325</v>
      </c>
      <c r="AE241">
        <v>8.4</v>
      </c>
      <c r="AF241">
        <v>1.4</v>
      </c>
      <c r="AG241">
        <v>3.5</v>
      </c>
      <c r="AH241">
        <v>9.1999999999999993</v>
      </c>
      <c r="AI241">
        <v>2.63</v>
      </c>
      <c r="AJ241">
        <v>1107</v>
      </c>
    </row>
    <row r="242" spans="1:36" x14ac:dyDescent="0.25">
      <c r="A242" t="s">
        <v>13</v>
      </c>
      <c r="B242">
        <v>31</v>
      </c>
      <c r="C242">
        <v>28.2</v>
      </c>
      <c r="D242">
        <v>4.6500000000000004</v>
      </c>
      <c r="E242">
        <v>101</v>
      </c>
      <c r="F242">
        <v>61</v>
      </c>
      <c r="G242">
        <v>0.623</v>
      </c>
      <c r="H242">
        <v>4.18</v>
      </c>
      <c r="I242">
        <v>162</v>
      </c>
      <c r="J242">
        <v>162</v>
      </c>
      <c r="K242">
        <v>161</v>
      </c>
      <c r="L242">
        <v>1</v>
      </c>
      <c r="M242">
        <v>10</v>
      </c>
      <c r="N242">
        <v>0</v>
      </c>
      <c r="O242">
        <v>50</v>
      </c>
      <c r="P242">
        <v>1463.1</v>
      </c>
      <c r="Q242">
        <v>1456</v>
      </c>
      <c r="R242">
        <v>754</v>
      </c>
      <c r="S242">
        <v>680</v>
      </c>
      <c r="T242">
        <v>198</v>
      </c>
      <c r="U242">
        <v>452</v>
      </c>
      <c r="V242">
        <v>10</v>
      </c>
      <c r="W242">
        <v>1463</v>
      </c>
      <c r="X242">
        <v>61</v>
      </c>
      <c r="Y242">
        <v>5</v>
      </c>
      <c r="Z242">
        <v>71</v>
      </c>
      <c r="AA242">
        <v>6246</v>
      </c>
      <c r="AB242">
        <v>110</v>
      </c>
      <c r="AC242">
        <v>4.0199999999999996</v>
      </c>
      <c r="AD242">
        <v>1.304</v>
      </c>
      <c r="AE242">
        <v>9</v>
      </c>
      <c r="AF242">
        <v>1.2</v>
      </c>
      <c r="AG242">
        <v>2.8</v>
      </c>
      <c r="AH242">
        <v>9</v>
      </c>
      <c r="AI242">
        <v>3.24</v>
      </c>
      <c r="AJ242">
        <v>1102</v>
      </c>
    </row>
    <row r="243" spans="1:36" x14ac:dyDescent="0.25">
      <c r="A243" t="s">
        <v>27</v>
      </c>
      <c r="B243">
        <v>29</v>
      </c>
      <c r="C243">
        <v>28.6</v>
      </c>
      <c r="D243">
        <v>4.55</v>
      </c>
      <c r="E243">
        <v>86</v>
      </c>
      <c r="F243">
        <v>76</v>
      </c>
      <c r="G243">
        <v>0.53100000000000003</v>
      </c>
      <c r="H243">
        <v>4.24</v>
      </c>
      <c r="I243">
        <v>162</v>
      </c>
      <c r="J243">
        <v>162</v>
      </c>
      <c r="K243">
        <v>159</v>
      </c>
      <c r="L243">
        <v>3</v>
      </c>
      <c r="M243">
        <v>12</v>
      </c>
      <c r="N243">
        <v>3</v>
      </c>
      <c r="O243">
        <v>38</v>
      </c>
      <c r="P243">
        <v>1461</v>
      </c>
      <c r="Q243">
        <v>1405</v>
      </c>
      <c r="R243">
        <v>737</v>
      </c>
      <c r="S243">
        <v>688</v>
      </c>
      <c r="T243">
        <v>204</v>
      </c>
      <c r="U243">
        <v>500</v>
      </c>
      <c r="V243">
        <v>40</v>
      </c>
      <c r="W243">
        <v>1520</v>
      </c>
      <c r="X243">
        <v>60</v>
      </c>
      <c r="Y243">
        <v>2</v>
      </c>
      <c r="Z243">
        <v>47</v>
      </c>
      <c r="AA243">
        <v>6232</v>
      </c>
      <c r="AB243">
        <v>96</v>
      </c>
      <c r="AC243">
        <v>4.0999999999999996</v>
      </c>
      <c r="AD243">
        <v>1.304</v>
      </c>
      <c r="AE243">
        <v>8.6999999999999993</v>
      </c>
      <c r="AF243">
        <v>1.3</v>
      </c>
      <c r="AG243">
        <v>3.1</v>
      </c>
      <c r="AH243">
        <v>9.4</v>
      </c>
      <c r="AI243">
        <v>3.04</v>
      </c>
      <c r="AJ243">
        <v>1112</v>
      </c>
    </row>
    <row r="244" spans="1:36" x14ac:dyDescent="0.25">
      <c r="A244" t="s">
        <v>28</v>
      </c>
      <c r="B244">
        <v>32</v>
      </c>
      <c r="C244">
        <v>30.2</v>
      </c>
      <c r="D244">
        <v>4.5599999999999996</v>
      </c>
      <c r="E244">
        <v>103</v>
      </c>
      <c r="F244">
        <v>59</v>
      </c>
      <c r="G244">
        <v>0.63600000000000001</v>
      </c>
      <c r="H244">
        <v>4.3099999999999996</v>
      </c>
      <c r="I244">
        <v>162</v>
      </c>
      <c r="J244">
        <v>162</v>
      </c>
      <c r="K244">
        <v>161</v>
      </c>
      <c r="L244">
        <v>1</v>
      </c>
      <c r="M244">
        <v>9</v>
      </c>
      <c r="N244">
        <v>1</v>
      </c>
      <c r="O244">
        <v>50</v>
      </c>
      <c r="P244">
        <v>1443</v>
      </c>
      <c r="Q244">
        <v>1374</v>
      </c>
      <c r="R244">
        <v>739</v>
      </c>
      <c r="S244">
        <v>691</v>
      </c>
      <c r="T244">
        <v>248</v>
      </c>
      <c r="U244">
        <v>507</v>
      </c>
      <c r="V244">
        <v>12</v>
      </c>
      <c r="W244">
        <v>1534</v>
      </c>
      <c r="X244">
        <v>44</v>
      </c>
      <c r="Y244">
        <v>5</v>
      </c>
      <c r="Z244">
        <v>55</v>
      </c>
      <c r="AA244">
        <v>6133</v>
      </c>
      <c r="AB244">
        <v>104</v>
      </c>
      <c r="AC244">
        <v>4.47</v>
      </c>
      <c r="AD244">
        <v>1.304</v>
      </c>
      <c r="AE244">
        <v>8.6</v>
      </c>
      <c r="AF244">
        <v>1.5</v>
      </c>
      <c r="AG244">
        <v>3.2</v>
      </c>
      <c r="AH244">
        <v>9.6</v>
      </c>
      <c r="AI244">
        <v>3.03</v>
      </c>
      <c r="AJ244">
        <v>1065</v>
      </c>
    </row>
    <row r="245" spans="1:36" x14ac:dyDescent="0.25">
      <c r="A245" t="s">
        <v>17</v>
      </c>
      <c r="B245">
        <v>28</v>
      </c>
      <c r="C245">
        <v>30.8</v>
      </c>
      <c r="D245">
        <v>4.2</v>
      </c>
      <c r="E245">
        <v>97</v>
      </c>
      <c r="F245">
        <v>65</v>
      </c>
      <c r="G245">
        <v>0.59899999999999998</v>
      </c>
      <c r="H245">
        <v>3.97</v>
      </c>
      <c r="I245">
        <v>162</v>
      </c>
      <c r="J245">
        <v>162</v>
      </c>
      <c r="K245">
        <v>161</v>
      </c>
      <c r="L245">
        <v>1</v>
      </c>
      <c r="M245">
        <v>12</v>
      </c>
      <c r="N245">
        <v>1</v>
      </c>
      <c r="O245">
        <v>45</v>
      </c>
      <c r="P245">
        <v>1465</v>
      </c>
      <c r="Q245">
        <v>1342</v>
      </c>
      <c r="R245">
        <v>680</v>
      </c>
      <c r="S245">
        <v>646</v>
      </c>
      <c r="T245">
        <v>201</v>
      </c>
      <c r="U245">
        <v>477</v>
      </c>
      <c r="V245">
        <v>19</v>
      </c>
      <c r="W245">
        <v>1299</v>
      </c>
      <c r="X245">
        <v>66</v>
      </c>
      <c r="Y245">
        <v>4</v>
      </c>
      <c r="Z245">
        <v>74</v>
      </c>
      <c r="AA245">
        <v>6153</v>
      </c>
      <c r="AB245">
        <v>109</v>
      </c>
      <c r="AC245">
        <v>4.34</v>
      </c>
      <c r="AD245">
        <v>1.242</v>
      </c>
      <c r="AE245">
        <v>8.1999999999999993</v>
      </c>
      <c r="AF245">
        <v>1.2</v>
      </c>
      <c r="AG245">
        <v>2.9</v>
      </c>
      <c r="AH245">
        <v>8</v>
      </c>
      <c r="AI245">
        <v>2.72</v>
      </c>
      <c r="AJ245">
        <v>1078</v>
      </c>
    </row>
    <row r="246" spans="1:36" x14ac:dyDescent="0.25">
      <c r="A246" t="s">
        <v>15</v>
      </c>
      <c r="B246">
        <v>34</v>
      </c>
      <c r="C246">
        <v>28.4</v>
      </c>
      <c r="D246">
        <v>4.9000000000000004</v>
      </c>
      <c r="E246">
        <v>81</v>
      </c>
      <c r="F246">
        <v>81</v>
      </c>
      <c r="G246">
        <v>0.5</v>
      </c>
      <c r="H246">
        <v>4.53</v>
      </c>
      <c r="I246">
        <v>162</v>
      </c>
      <c r="J246">
        <v>162</v>
      </c>
      <c r="K246">
        <v>159</v>
      </c>
      <c r="L246">
        <v>3</v>
      </c>
      <c r="M246">
        <v>7</v>
      </c>
      <c r="N246">
        <v>1</v>
      </c>
      <c r="O246">
        <v>36</v>
      </c>
      <c r="P246">
        <v>1453.2</v>
      </c>
      <c r="Q246">
        <v>1452</v>
      </c>
      <c r="R246">
        <v>794</v>
      </c>
      <c r="S246">
        <v>731</v>
      </c>
      <c r="T246">
        <v>258</v>
      </c>
      <c r="U246">
        <v>546</v>
      </c>
      <c r="V246">
        <v>38</v>
      </c>
      <c r="W246">
        <v>1392</v>
      </c>
      <c r="X246">
        <v>71</v>
      </c>
      <c r="Y246">
        <v>7</v>
      </c>
      <c r="Z246">
        <v>45</v>
      </c>
      <c r="AA246">
        <v>6274</v>
      </c>
      <c r="AB246">
        <v>100</v>
      </c>
      <c r="AC246">
        <v>4.88</v>
      </c>
      <c r="AD246">
        <v>1.3740000000000001</v>
      </c>
      <c r="AE246">
        <v>9</v>
      </c>
      <c r="AF246">
        <v>1.6</v>
      </c>
      <c r="AG246">
        <v>3.4</v>
      </c>
      <c r="AH246">
        <v>8.6</v>
      </c>
      <c r="AI246">
        <v>2.5499999999999998</v>
      </c>
      <c r="AJ246">
        <v>1119</v>
      </c>
    </row>
    <row r="247" spans="1:36" x14ac:dyDescent="0.25">
      <c r="A247" t="s">
        <v>14</v>
      </c>
      <c r="B247">
        <v>34</v>
      </c>
      <c r="C247">
        <v>27.2</v>
      </c>
      <c r="D247">
        <v>5.62</v>
      </c>
      <c r="E247">
        <v>69</v>
      </c>
      <c r="F247">
        <v>93</v>
      </c>
      <c r="G247">
        <v>0.42599999999999999</v>
      </c>
      <c r="H247">
        <v>5.18</v>
      </c>
      <c r="I247">
        <v>162</v>
      </c>
      <c r="J247">
        <v>162</v>
      </c>
      <c r="K247">
        <v>161</v>
      </c>
      <c r="L247">
        <v>1</v>
      </c>
      <c r="M247">
        <v>6</v>
      </c>
      <c r="N247">
        <v>0</v>
      </c>
      <c r="O247">
        <v>31</v>
      </c>
      <c r="P247">
        <v>1440</v>
      </c>
      <c r="Q247">
        <v>1511</v>
      </c>
      <c r="R247">
        <v>911</v>
      </c>
      <c r="S247">
        <v>829</v>
      </c>
      <c r="T247">
        <v>241</v>
      </c>
      <c r="U247">
        <v>584</v>
      </c>
      <c r="V247">
        <v>22</v>
      </c>
      <c r="W247">
        <v>1443</v>
      </c>
      <c r="X247">
        <v>85</v>
      </c>
      <c r="Y247">
        <v>4</v>
      </c>
      <c r="Z247">
        <v>50</v>
      </c>
      <c r="AA247">
        <v>6391</v>
      </c>
      <c r="AB247">
        <v>83</v>
      </c>
      <c r="AC247">
        <v>4.78</v>
      </c>
      <c r="AD247">
        <v>1.4550000000000001</v>
      </c>
      <c r="AE247">
        <v>9.4</v>
      </c>
      <c r="AF247">
        <v>1.5</v>
      </c>
      <c r="AG247">
        <v>3.7</v>
      </c>
      <c r="AH247">
        <v>9</v>
      </c>
      <c r="AI247">
        <v>2.4700000000000002</v>
      </c>
      <c r="AJ247">
        <v>1160</v>
      </c>
    </row>
    <row r="248" spans="1:36" x14ac:dyDescent="0.25">
      <c r="A248" t="s">
        <v>26</v>
      </c>
      <c r="B248">
        <v>34</v>
      </c>
      <c r="C248">
        <v>26.3</v>
      </c>
      <c r="D248">
        <v>4.87</v>
      </c>
      <c r="E248">
        <v>70</v>
      </c>
      <c r="F248">
        <v>92</v>
      </c>
      <c r="G248">
        <v>0.432</v>
      </c>
      <c r="H248">
        <v>4.5999999999999996</v>
      </c>
      <c r="I248">
        <v>162</v>
      </c>
      <c r="J248">
        <v>162</v>
      </c>
      <c r="K248">
        <v>162</v>
      </c>
      <c r="L248">
        <v>0</v>
      </c>
      <c r="M248">
        <v>6</v>
      </c>
      <c r="N248">
        <v>0</v>
      </c>
      <c r="O248">
        <v>47</v>
      </c>
      <c r="P248">
        <v>1432</v>
      </c>
      <c r="Q248">
        <v>1394</v>
      </c>
      <c r="R248">
        <v>789</v>
      </c>
      <c r="S248">
        <v>732</v>
      </c>
      <c r="T248">
        <v>215</v>
      </c>
      <c r="U248">
        <v>463</v>
      </c>
      <c r="V248">
        <v>19</v>
      </c>
      <c r="W248">
        <v>1475</v>
      </c>
      <c r="X248">
        <v>68</v>
      </c>
      <c r="Y248">
        <v>6</v>
      </c>
      <c r="Z248">
        <v>60</v>
      </c>
      <c r="AA248">
        <v>6160</v>
      </c>
      <c r="AB248">
        <v>92</v>
      </c>
      <c r="AC248">
        <v>4.22</v>
      </c>
      <c r="AD248">
        <v>1.2969999999999999</v>
      </c>
      <c r="AE248">
        <v>8.8000000000000007</v>
      </c>
      <c r="AF248">
        <v>1.4</v>
      </c>
      <c r="AG248">
        <v>2.9</v>
      </c>
      <c r="AH248">
        <v>9.3000000000000007</v>
      </c>
      <c r="AI248">
        <v>3.19</v>
      </c>
      <c r="AJ248">
        <v>1075</v>
      </c>
    </row>
    <row r="249" spans="1:36" x14ac:dyDescent="0.25">
      <c r="A249" t="s">
        <v>1</v>
      </c>
      <c r="B249">
        <v>42</v>
      </c>
      <c r="C249">
        <v>28.6</v>
      </c>
      <c r="D249">
        <v>5.51</v>
      </c>
      <c r="E249">
        <v>68</v>
      </c>
      <c r="F249">
        <v>94</v>
      </c>
      <c r="G249">
        <v>0.42</v>
      </c>
      <c r="H249">
        <v>4.99</v>
      </c>
      <c r="I249">
        <v>162</v>
      </c>
      <c r="J249">
        <v>162</v>
      </c>
      <c r="K249">
        <v>159</v>
      </c>
      <c r="L249">
        <v>3</v>
      </c>
      <c r="M249">
        <v>4</v>
      </c>
      <c r="N249">
        <v>2</v>
      </c>
      <c r="O249">
        <v>34</v>
      </c>
      <c r="P249">
        <v>1439.1</v>
      </c>
      <c r="Q249">
        <v>1484</v>
      </c>
      <c r="R249">
        <v>893</v>
      </c>
      <c r="S249">
        <v>798</v>
      </c>
      <c r="T249">
        <v>260</v>
      </c>
      <c r="U249">
        <v>505</v>
      </c>
      <c r="V249">
        <v>25</v>
      </c>
      <c r="W249">
        <v>1239</v>
      </c>
      <c r="X249">
        <v>51</v>
      </c>
      <c r="Y249">
        <v>4</v>
      </c>
      <c r="Z249">
        <v>75</v>
      </c>
      <c r="AA249">
        <v>6268</v>
      </c>
      <c r="AB249">
        <v>88</v>
      </c>
      <c r="AC249">
        <v>5</v>
      </c>
      <c r="AD249">
        <v>1.3819999999999999</v>
      </c>
      <c r="AE249">
        <v>9.3000000000000007</v>
      </c>
      <c r="AF249">
        <v>1.6</v>
      </c>
      <c r="AG249">
        <v>3.2</v>
      </c>
      <c r="AH249">
        <v>7.7</v>
      </c>
      <c r="AI249">
        <v>2.4500000000000002</v>
      </c>
      <c r="AJ249">
        <v>1057</v>
      </c>
    </row>
    <row r="250" spans="1:36" x14ac:dyDescent="0.25">
      <c r="A250" t="s">
        <v>25</v>
      </c>
      <c r="B250">
        <v>33</v>
      </c>
      <c r="C250">
        <v>28.9</v>
      </c>
      <c r="D250">
        <v>4.7699999999999996</v>
      </c>
      <c r="E250">
        <v>77</v>
      </c>
      <c r="F250">
        <v>85</v>
      </c>
      <c r="G250">
        <v>0.47499999999999998</v>
      </c>
      <c r="H250">
        <v>4.38</v>
      </c>
      <c r="I250">
        <v>162</v>
      </c>
      <c r="J250">
        <v>162</v>
      </c>
      <c r="K250">
        <v>161</v>
      </c>
      <c r="L250">
        <v>1</v>
      </c>
      <c r="M250">
        <v>8</v>
      </c>
      <c r="N250">
        <v>0</v>
      </c>
      <c r="O250">
        <v>41</v>
      </c>
      <c r="P250">
        <v>1469</v>
      </c>
      <c r="Q250">
        <v>1395</v>
      </c>
      <c r="R250">
        <v>773</v>
      </c>
      <c r="S250">
        <v>715</v>
      </c>
      <c r="T250">
        <v>227</v>
      </c>
      <c r="U250">
        <v>519</v>
      </c>
      <c r="V250">
        <v>26</v>
      </c>
      <c r="W250">
        <v>1368</v>
      </c>
      <c r="X250">
        <v>65</v>
      </c>
      <c r="Y250">
        <v>4</v>
      </c>
      <c r="Z250">
        <v>53</v>
      </c>
      <c r="AA250">
        <v>6256</v>
      </c>
      <c r="AB250">
        <v>96</v>
      </c>
      <c r="AC250">
        <v>4.55</v>
      </c>
      <c r="AD250">
        <v>1.3029999999999999</v>
      </c>
      <c r="AE250">
        <v>8.5</v>
      </c>
      <c r="AF250">
        <v>1.4</v>
      </c>
      <c r="AG250">
        <v>3.2</v>
      </c>
      <c r="AH250">
        <v>8.4</v>
      </c>
      <c r="AI250">
        <v>2.64</v>
      </c>
      <c r="AJ250">
        <v>1076</v>
      </c>
    </row>
    <row r="251" spans="1:36" x14ac:dyDescent="0.25">
      <c r="A251" t="s">
        <v>24</v>
      </c>
      <c r="B251">
        <v>23</v>
      </c>
      <c r="C251">
        <v>27.8</v>
      </c>
      <c r="D251">
        <v>4.09</v>
      </c>
      <c r="E251">
        <v>91</v>
      </c>
      <c r="F251">
        <v>71</v>
      </c>
      <c r="G251">
        <v>0.56200000000000006</v>
      </c>
      <c r="H251">
        <v>3.8</v>
      </c>
      <c r="I251">
        <v>162</v>
      </c>
      <c r="J251">
        <v>162</v>
      </c>
      <c r="K251">
        <v>161</v>
      </c>
      <c r="L251">
        <v>1</v>
      </c>
      <c r="M251">
        <v>14</v>
      </c>
      <c r="N251">
        <v>1</v>
      </c>
      <c r="O251">
        <v>52</v>
      </c>
      <c r="P251">
        <v>1444</v>
      </c>
      <c r="Q251">
        <v>1284</v>
      </c>
      <c r="R251">
        <v>662</v>
      </c>
      <c r="S251">
        <v>609</v>
      </c>
      <c r="T251">
        <v>191</v>
      </c>
      <c r="U251">
        <v>545</v>
      </c>
      <c r="V251">
        <v>41</v>
      </c>
      <c r="W251">
        <v>1399</v>
      </c>
      <c r="X251">
        <v>69</v>
      </c>
      <c r="Y251">
        <v>4</v>
      </c>
      <c r="Z251">
        <v>46</v>
      </c>
      <c r="AA251">
        <v>6068</v>
      </c>
      <c r="AB251">
        <v>112</v>
      </c>
      <c r="AC251">
        <v>4.2699999999999996</v>
      </c>
      <c r="AD251">
        <v>1.2669999999999999</v>
      </c>
      <c r="AE251">
        <v>8</v>
      </c>
      <c r="AF251">
        <v>1.2</v>
      </c>
      <c r="AG251">
        <v>3.4</v>
      </c>
      <c r="AH251">
        <v>8.6999999999999993</v>
      </c>
      <c r="AI251">
        <v>2.57</v>
      </c>
      <c r="AJ251">
        <v>1074</v>
      </c>
    </row>
    <row r="252" spans="1:36" x14ac:dyDescent="0.25">
      <c r="A252" t="s">
        <v>23</v>
      </c>
      <c r="B252">
        <v>33</v>
      </c>
      <c r="C252">
        <v>27.8</v>
      </c>
      <c r="D252">
        <v>4.05</v>
      </c>
      <c r="E252">
        <v>96</v>
      </c>
      <c r="F252">
        <v>66</v>
      </c>
      <c r="G252">
        <v>0.59299999999999997</v>
      </c>
      <c r="H252">
        <v>3.65</v>
      </c>
      <c r="I252">
        <v>162</v>
      </c>
      <c r="J252">
        <v>162</v>
      </c>
      <c r="K252">
        <v>162</v>
      </c>
      <c r="L252">
        <v>0</v>
      </c>
      <c r="M252">
        <v>12</v>
      </c>
      <c r="N252">
        <v>0</v>
      </c>
      <c r="O252">
        <v>46</v>
      </c>
      <c r="P252">
        <v>1474.1</v>
      </c>
      <c r="Q252">
        <v>1274</v>
      </c>
      <c r="R252">
        <v>656</v>
      </c>
      <c r="S252">
        <v>598</v>
      </c>
      <c r="T252">
        <v>181</v>
      </c>
      <c r="U252">
        <v>453</v>
      </c>
      <c r="V252">
        <v>27</v>
      </c>
      <c r="W252">
        <v>1621</v>
      </c>
      <c r="X252">
        <v>60</v>
      </c>
      <c r="Y252">
        <v>7</v>
      </c>
      <c r="Z252">
        <v>59</v>
      </c>
      <c r="AA252">
        <v>6086</v>
      </c>
      <c r="AB252">
        <v>122</v>
      </c>
      <c r="AC252">
        <v>3.65</v>
      </c>
      <c r="AD252">
        <v>1.171</v>
      </c>
      <c r="AE252">
        <v>7.8</v>
      </c>
      <c r="AF252">
        <v>1.1000000000000001</v>
      </c>
      <c r="AG252">
        <v>2.8</v>
      </c>
      <c r="AH252">
        <v>9.9</v>
      </c>
      <c r="AI252">
        <v>3.58</v>
      </c>
      <c r="AJ252">
        <v>1007</v>
      </c>
    </row>
    <row r="253" spans="1:36" x14ac:dyDescent="0.25">
      <c r="A253" t="s">
        <v>19</v>
      </c>
      <c r="B253">
        <v>36</v>
      </c>
      <c r="C253">
        <v>28.3</v>
      </c>
      <c r="D253">
        <v>5.42</v>
      </c>
      <c r="E253">
        <v>78</v>
      </c>
      <c r="F253">
        <v>84</v>
      </c>
      <c r="G253">
        <v>0.48099999999999998</v>
      </c>
      <c r="H253">
        <v>5.0599999999999996</v>
      </c>
      <c r="I253">
        <v>162</v>
      </c>
      <c r="J253">
        <v>162</v>
      </c>
      <c r="K253">
        <v>158</v>
      </c>
      <c r="L253">
        <v>4</v>
      </c>
      <c r="M253">
        <v>9</v>
      </c>
      <c r="N253">
        <v>1</v>
      </c>
      <c r="O253">
        <v>33</v>
      </c>
      <c r="P253">
        <v>1438</v>
      </c>
      <c r="Q253">
        <v>1515</v>
      </c>
      <c r="R253">
        <v>878</v>
      </c>
      <c r="S253">
        <v>808</v>
      </c>
      <c r="T253">
        <v>241</v>
      </c>
      <c r="U253">
        <v>583</v>
      </c>
      <c r="V253">
        <v>11</v>
      </c>
      <c r="W253">
        <v>1379</v>
      </c>
      <c r="X253">
        <v>70</v>
      </c>
      <c r="Y253">
        <v>3</v>
      </c>
      <c r="Z253">
        <v>68</v>
      </c>
      <c r="AA253">
        <v>6354</v>
      </c>
      <c r="AB253">
        <v>102</v>
      </c>
      <c r="AC253">
        <v>4.84</v>
      </c>
      <c r="AD253">
        <v>1.4590000000000001</v>
      </c>
      <c r="AE253">
        <v>9.5</v>
      </c>
      <c r="AF253">
        <v>1.5</v>
      </c>
      <c r="AG253">
        <v>3.6</v>
      </c>
      <c r="AH253">
        <v>8.6</v>
      </c>
      <c r="AI253">
        <v>2.37</v>
      </c>
      <c r="AJ253">
        <v>1162</v>
      </c>
    </row>
    <row r="254" spans="1:36" x14ac:dyDescent="0.25">
      <c r="A254" t="s">
        <v>18</v>
      </c>
      <c r="B254">
        <v>39</v>
      </c>
      <c r="C254">
        <v>28</v>
      </c>
      <c r="D254">
        <v>5.1100000000000003</v>
      </c>
      <c r="E254">
        <v>67</v>
      </c>
      <c r="F254">
        <v>95</v>
      </c>
      <c r="G254">
        <v>0.41399999999999998</v>
      </c>
      <c r="H254">
        <v>4.79</v>
      </c>
      <c r="I254">
        <v>162</v>
      </c>
      <c r="J254">
        <v>162</v>
      </c>
      <c r="K254">
        <v>161</v>
      </c>
      <c r="L254">
        <v>1</v>
      </c>
      <c r="M254">
        <v>7</v>
      </c>
      <c r="N254">
        <v>0</v>
      </c>
      <c r="O254">
        <v>33</v>
      </c>
      <c r="P254">
        <v>1440.1</v>
      </c>
      <c r="Q254">
        <v>1450</v>
      </c>
      <c r="R254">
        <v>828</v>
      </c>
      <c r="S254">
        <v>767</v>
      </c>
      <c r="T254">
        <v>228</v>
      </c>
      <c r="U254">
        <v>604</v>
      </c>
      <c r="V254">
        <v>25</v>
      </c>
      <c r="W254">
        <v>1332</v>
      </c>
      <c r="X254">
        <v>69</v>
      </c>
      <c r="Y254">
        <v>6</v>
      </c>
      <c r="Z254">
        <v>70</v>
      </c>
      <c r="AA254">
        <v>6313</v>
      </c>
      <c r="AB254">
        <v>95</v>
      </c>
      <c r="AC254">
        <v>4.82</v>
      </c>
      <c r="AD254">
        <v>1.4259999999999999</v>
      </c>
      <c r="AE254">
        <v>9.1</v>
      </c>
      <c r="AF254">
        <v>1.4</v>
      </c>
      <c r="AG254">
        <v>3.8</v>
      </c>
      <c r="AH254">
        <v>8.3000000000000007</v>
      </c>
      <c r="AI254">
        <v>2.21</v>
      </c>
      <c r="AJ254">
        <v>1164</v>
      </c>
    </row>
    <row r="255" spans="1:36" x14ac:dyDescent="0.25">
      <c r="A255" t="s">
        <v>22</v>
      </c>
      <c r="B255">
        <v>31</v>
      </c>
      <c r="C255">
        <v>30.8</v>
      </c>
      <c r="D255">
        <v>4.47</v>
      </c>
      <c r="E255">
        <v>93</v>
      </c>
      <c r="F255">
        <v>69</v>
      </c>
      <c r="G255">
        <v>0.57399999999999995</v>
      </c>
      <c r="H255">
        <v>4.2699999999999996</v>
      </c>
      <c r="I255">
        <v>162</v>
      </c>
      <c r="J255">
        <v>162</v>
      </c>
      <c r="K255">
        <v>161</v>
      </c>
      <c r="L255">
        <v>1</v>
      </c>
      <c r="M255">
        <v>13</v>
      </c>
      <c r="N255">
        <v>1</v>
      </c>
      <c r="O255">
        <v>40</v>
      </c>
      <c r="P255">
        <v>1439.1</v>
      </c>
      <c r="Q255">
        <v>1340</v>
      </c>
      <c r="R255">
        <v>724</v>
      </c>
      <c r="S255">
        <v>683</v>
      </c>
      <c r="T255">
        <v>202</v>
      </c>
      <c r="U255">
        <v>517</v>
      </c>
      <c r="V255">
        <v>41</v>
      </c>
      <c r="W255">
        <v>1511</v>
      </c>
      <c r="X255">
        <v>61</v>
      </c>
      <c r="Y255">
        <v>5</v>
      </c>
      <c r="Z255">
        <v>53</v>
      </c>
      <c r="AA255">
        <v>6134</v>
      </c>
      <c r="AB255">
        <v>108</v>
      </c>
      <c r="AC255">
        <v>4.1399999999999997</v>
      </c>
      <c r="AD255">
        <v>1.29</v>
      </c>
      <c r="AE255">
        <v>8.4</v>
      </c>
      <c r="AF255">
        <v>1.3</v>
      </c>
      <c r="AG255">
        <v>3.2</v>
      </c>
      <c r="AH255">
        <v>9.4</v>
      </c>
      <c r="AI255">
        <v>2.92</v>
      </c>
      <c r="AJ255">
        <v>1092</v>
      </c>
    </row>
    <row r="256" spans="1:36" x14ac:dyDescent="0.25">
      <c r="A256" t="s">
        <v>216</v>
      </c>
      <c r="B256">
        <v>28</v>
      </c>
      <c r="C256">
        <v>28.4</v>
      </c>
      <c r="D256">
        <v>4.83</v>
      </c>
      <c r="E256">
        <v>81</v>
      </c>
      <c r="F256">
        <v>81</v>
      </c>
      <c r="G256">
        <v>0.5</v>
      </c>
      <c r="H256">
        <v>4.49</v>
      </c>
      <c r="I256">
        <v>162</v>
      </c>
      <c r="J256">
        <v>162</v>
      </c>
      <c r="K256">
        <v>160</v>
      </c>
      <c r="L256">
        <v>2</v>
      </c>
      <c r="O256">
        <v>39</v>
      </c>
      <c r="P256">
        <v>1447</v>
      </c>
      <c r="Q256">
        <v>1401</v>
      </c>
      <c r="R256">
        <v>782</v>
      </c>
      <c r="S256">
        <v>723</v>
      </c>
      <c r="T256">
        <v>226</v>
      </c>
      <c r="U256">
        <v>530</v>
      </c>
      <c r="V256">
        <v>25</v>
      </c>
      <c r="W256">
        <v>1427</v>
      </c>
      <c r="X256">
        <v>66</v>
      </c>
      <c r="Y256">
        <v>5</v>
      </c>
      <c r="Z256">
        <v>60</v>
      </c>
      <c r="AA256">
        <v>6217</v>
      </c>
      <c r="AB256">
        <v>101</v>
      </c>
      <c r="AC256">
        <v>4.5</v>
      </c>
      <c r="AD256">
        <v>1.3340000000000001</v>
      </c>
      <c r="AE256">
        <v>8.6999999999999993</v>
      </c>
      <c r="AF256">
        <v>1.4</v>
      </c>
      <c r="AG256">
        <v>3.3</v>
      </c>
      <c r="AH256">
        <v>8.9</v>
      </c>
      <c r="AI256">
        <v>2.69</v>
      </c>
      <c r="AJ256">
        <v>1093</v>
      </c>
    </row>
    <row r="257" spans="1:36" x14ac:dyDescent="0.25">
      <c r="B257">
        <v>831</v>
      </c>
      <c r="C257">
        <v>28.4</v>
      </c>
      <c r="D257">
        <v>4.83</v>
      </c>
      <c r="E257">
        <v>2429</v>
      </c>
      <c r="F257">
        <v>2429</v>
      </c>
      <c r="G257">
        <v>0.5</v>
      </c>
      <c r="H257">
        <v>4.49</v>
      </c>
      <c r="I257">
        <v>4858</v>
      </c>
      <c r="J257">
        <v>4858</v>
      </c>
      <c r="K257">
        <v>4813</v>
      </c>
      <c r="L257">
        <v>45</v>
      </c>
      <c r="O257">
        <v>1180</v>
      </c>
      <c r="P257">
        <v>43423.1</v>
      </c>
      <c r="Q257">
        <v>42040</v>
      </c>
      <c r="R257">
        <v>23467</v>
      </c>
      <c r="S257">
        <v>21684</v>
      </c>
      <c r="T257">
        <v>6776</v>
      </c>
      <c r="U257">
        <v>15895</v>
      </c>
      <c r="V257">
        <v>753</v>
      </c>
      <c r="W257">
        <v>42823</v>
      </c>
      <c r="X257">
        <v>1984</v>
      </c>
      <c r="Y257">
        <v>153</v>
      </c>
      <c r="Z257">
        <v>1788</v>
      </c>
      <c r="AA257">
        <v>186517</v>
      </c>
      <c r="AB257">
        <v>101</v>
      </c>
      <c r="AC257">
        <v>4.5</v>
      </c>
      <c r="AD257">
        <v>1.3340000000000001</v>
      </c>
      <c r="AE257">
        <v>8.6999999999999993</v>
      </c>
      <c r="AF257">
        <v>1.4</v>
      </c>
      <c r="AG257">
        <v>3.3</v>
      </c>
      <c r="AH257">
        <v>8.9</v>
      </c>
      <c r="AI257">
        <v>2.69</v>
      </c>
      <c r="AJ257">
        <v>32780</v>
      </c>
    </row>
    <row r="258" spans="1:36" x14ac:dyDescent="0.25">
      <c r="A258" t="s">
        <v>131</v>
      </c>
      <c r="B258" t="s">
        <v>302</v>
      </c>
      <c r="C258" t="s">
        <v>303</v>
      </c>
      <c r="D258" t="s">
        <v>304</v>
      </c>
      <c r="E258" t="s">
        <v>262</v>
      </c>
      <c r="F258" t="s">
        <v>263</v>
      </c>
      <c r="G258" t="s">
        <v>264</v>
      </c>
      <c r="H258" t="s">
        <v>305</v>
      </c>
      <c r="I258" t="s">
        <v>20</v>
      </c>
      <c r="J258" t="s">
        <v>21</v>
      </c>
      <c r="K258" t="s">
        <v>306</v>
      </c>
      <c r="L258" t="s">
        <v>220</v>
      </c>
      <c r="M258" t="s">
        <v>307</v>
      </c>
      <c r="N258" t="s">
        <v>308</v>
      </c>
      <c r="O258" t="s">
        <v>309</v>
      </c>
      <c r="P258" t="s">
        <v>132</v>
      </c>
      <c r="Q258" t="s">
        <v>252</v>
      </c>
      <c r="R258" t="s">
        <v>0</v>
      </c>
      <c r="S258" t="s">
        <v>310</v>
      </c>
      <c r="T258" t="s">
        <v>253</v>
      </c>
      <c r="U258" t="s">
        <v>254</v>
      </c>
      <c r="V258" t="s">
        <v>257</v>
      </c>
      <c r="W258" t="s">
        <v>255</v>
      </c>
      <c r="X258" t="s">
        <v>256</v>
      </c>
      <c r="Y258" t="s">
        <v>311</v>
      </c>
      <c r="Z258" t="s">
        <v>312</v>
      </c>
      <c r="AA258" t="s">
        <v>313</v>
      </c>
      <c r="AB258" t="s">
        <v>314</v>
      </c>
      <c r="AC258" t="s">
        <v>315</v>
      </c>
      <c r="AD258" t="s">
        <v>316</v>
      </c>
      <c r="AE258" t="s">
        <v>317</v>
      </c>
      <c r="AF258" t="s">
        <v>318</v>
      </c>
      <c r="AG258" t="s">
        <v>319</v>
      </c>
      <c r="AH258" t="s">
        <v>320</v>
      </c>
      <c r="AI258" t="s">
        <v>321</v>
      </c>
      <c r="AJ258" t="s">
        <v>258</v>
      </c>
    </row>
    <row r="260" spans="1:36" x14ac:dyDescent="0.25">
      <c r="A260" t="s">
        <v>322</v>
      </c>
    </row>
    <row r="262" spans="1:36" x14ac:dyDescent="0.25">
      <c r="A262" t="s">
        <v>70</v>
      </c>
    </row>
    <row r="264" spans="1:36" x14ac:dyDescent="0.25">
      <c r="A264" t="s">
        <v>69</v>
      </c>
    </row>
    <row r="266" spans="1:36" x14ac:dyDescent="0.25">
      <c r="A266" t="s">
        <v>71</v>
      </c>
    </row>
    <row r="268" spans="1:36" x14ac:dyDescent="0.25">
      <c r="A268" t="s">
        <v>72</v>
      </c>
    </row>
    <row r="270" spans="1:36" x14ac:dyDescent="0.25">
      <c r="A270" t="s">
        <v>73</v>
      </c>
    </row>
    <row r="272" spans="1:36" x14ac:dyDescent="0.25">
      <c r="A272" t="s">
        <v>74</v>
      </c>
    </row>
    <row r="274" spans="1:1" x14ac:dyDescent="0.25">
      <c r="A274" t="s">
        <v>75</v>
      </c>
    </row>
    <row r="276" spans="1:1" x14ac:dyDescent="0.25">
      <c r="A276" t="s">
        <v>35</v>
      </c>
    </row>
    <row r="278" spans="1:1" x14ac:dyDescent="0.25">
      <c r="A278" t="s">
        <v>76</v>
      </c>
    </row>
    <row r="280" spans="1:1" x14ac:dyDescent="0.25">
      <c r="A280" t="s">
        <v>74</v>
      </c>
    </row>
    <row r="281" spans="1:1" x14ac:dyDescent="0.25">
      <c r="A281" t="s">
        <v>77</v>
      </c>
    </row>
    <row r="282" spans="1:1" x14ac:dyDescent="0.25">
      <c r="A282" t="s">
        <v>78</v>
      </c>
    </row>
    <row r="283" spans="1:1" x14ac:dyDescent="0.25">
      <c r="A283" t="s">
        <v>34</v>
      </c>
    </row>
    <row r="284" spans="1:1" x14ac:dyDescent="0.25">
      <c r="A284" t="s">
        <v>79</v>
      </c>
    </row>
    <row r="285" spans="1:1" x14ac:dyDescent="0.25">
      <c r="A285" t="s">
        <v>80</v>
      </c>
    </row>
    <row r="286" spans="1:1" x14ac:dyDescent="0.25">
      <c r="A286" t="s">
        <v>81</v>
      </c>
    </row>
    <row r="287" spans="1:1" x14ac:dyDescent="0.25">
      <c r="A287" t="s">
        <v>82</v>
      </c>
    </row>
    <row r="288" spans="1:1" x14ac:dyDescent="0.25">
      <c r="A288" t="s">
        <v>83</v>
      </c>
    </row>
    <row r="289" spans="1:1" x14ac:dyDescent="0.25">
      <c r="A289" t="s">
        <v>84</v>
      </c>
    </row>
    <row r="290" spans="1:1" x14ac:dyDescent="0.25">
      <c r="A290" t="s">
        <v>85</v>
      </c>
    </row>
    <row r="291" spans="1:1" x14ac:dyDescent="0.25">
      <c r="A291" t="s">
        <v>86</v>
      </c>
    </row>
    <row r="292" spans="1:1" x14ac:dyDescent="0.25">
      <c r="A292" t="s">
        <v>87</v>
      </c>
    </row>
    <row r="293" spans="1:1" x14ac:dyDescent="0.25">
      <c r="A293" t="s">
        <v>75</v>
      </c>
    </row>
    <row r="294" spans="1:1" x14ac:dyDescent="0.25">
      <c r="A294" t="s">
        <v>88</v>
      </c>
    </row>
    <row r="295" spans="1:1" x14ac:dyDescent="0.25">
      <c r="A295" t="s">
        <v>89</v>
      </c>
    </row>
    <row r="296" spans="1:1" x14ac:dyDescent="0.25">
      <c r="A296" t="s">
        <v>90</v>
      </c>
    </row>
    <row r="297" spans="1:1" x14ac:dyDescent="0.25">
      <c r="A297" t="s">
        <v>91</v>
      </c>
    </row>
    <row r="298" spans="1:1" x14ac:dyDescent="0.25">
      <c r="A298" t="s">
        <v>92</v>
      </c>
    </row>
    <row r="299" spans="1:1" x14ac:dyDescent="0.25">
      <c r="A299" t="s">
        <v>93</v>
      </c>
    </row>
    <row r="300" spans="1:1" x14ac:dyDescent="0.25">
      <c r="A300" t="s">
        <v>94</v>
      </c>
    </row>
    <row r="301" spans="1:1" x14ac:dyDescent="0.25">
      <c r="A301" t="s">
        <v>95</v>
      </c>
    </row>
    <row r="302" spans="1:1" x14ac:dyDescent="0.25">
      <c r="A302" t="s">
        <v>96</v>
      </c>
    </row>
    <row r="303" spans="1:1" x14ac:dyDescent="0.25">
      <c r="A303" t="s">
        <v>97</v>
      </c>
    </row>
    <row r="304" spans="1:1" x14ac:dyDescent="0.25">
      <c r="A304" t="s">
        <v>98</v>
      </c>
    </row>
    <row r="305" spans="1:1" x14ac:dyDescent="0.25">
      <c r="A305" t="s">
        <v>99</v>
      </c>
    </row>
    <row r="306" spans="1:1" x14ac:dyDescent="0.25">
      <c r="A306" t="s">
        <v>100</v>
      </c>
    </row>
    <row r="307" spans="1:1" x14ac:dyDescent="0.25">
      <c r="A307" t="s">
        <v>101</v>
      </c>
    </row>
    <row r="308" spans="1:1" x14ac:dyDescent="0.25">
      <c r="A308" t="s">
        <v>102</v>
      </c>
    </row>
    <row r="309" spans="1:1" x14ac:dyDescent="0.25">
      <c r="A309" t="s">
        <v>35</v>
      </c>
    </row>
    <row r="310" spans="1:1" x14ac:dyDescent="0.25">
      <c r="A310" t="s">
        <v>103</v>
      </c>
    </row>
    <row r="311" spans="1:1" x14ac:dyDescent="0.25">
      <c r="A311" t="s">
        <v>89</v>
      </c>
    </row>
    <row r="312" spans="1:1" x14ac:dyDescent="0.25">
      <c r="A312" t="s">
        <v>92</v>
      </c>
    </row>
    <row r="313" spans="1:1" x14ac:dyDescent="0.25">
      <c r="A313" t="s">
        <v>104</v>
      </c>
    </row>
    <row r="314" spans="1:1" x14ac:dyDescent="0.25">
      <c r="A314" t="s">
        <v>91</v>
      </c>
    </row>
    <row r="315" spans="1:1" x14ac:dyDescent="0.25">
      <c r="A315" t="s">
        <v>105</v>
      </c>
    </row>
    <row r="316" spans="1:1" x14ac:dyDescent="0.25">
      <c r="A316" t="s">
        <v>106</v>
      </c>
    </row>
    <row r="317" spans="1:1" x14ac:dyDescent="0.25">
      <c r="A317" t="s">
        <v>107</v>
      </c>
    </row>
    <row r="318" spans="1:1" x14ac:dyDescent="0.25">
      <c r="A318" t="s">
        <v>108</v>
      </c>
    </row>
    <row r="319" spans="1:1" x14ac:dyDescent="0.25">
      <c r="A319" t="s">
        <v>109</v>
      </c>
    </row>
    <row r="320" spans="1:1" x14ac:dyDescent="0.25">
      <c r="A320" t="s">
        <v>110</v>
      </c>
    </row>
    <row r="321" spans="1:1" x14ac:dyDescent="0.25">
      <c r="A321" t="s">
        <v>111</v>
      </c>
    </row>
    <row r="322" spans="1:1" x14ac:dyDescent="0.25">
      <c r="A322" t="s">
        <v>100</v>
      </c>
    </row>
    <row r="323" spans="1:1" x14ac:dyDescent="0.25">
      <c r="A323" t="s">
        <v>112</v>
      </c>
    </row>
    <row r="324" spans="1:1" x14ac:dyDescent="0.25">
      <c r="A324" t="s">
        <v>102</v>
      </c>
    </row>
    <row r="325" spans="1:1" x14ac:dyDescent="0.25">
      <c r="A325" t="s">
        <v>113</v>
      </c>
    </row>
    <row r="326" spans="1:1" x14ac:dyDescent="0.25">
      <c r="A326" t="s">
        <v>75</v>
      </c>
    </row>
    <row r="327" spans="1:1" x14ac:dyDescent="0.25">
      <c r="A327" t="s">
        <v>35</v>
      </c>
    </row>
    <row r="328" spans="1:1" x14ac:dyDescent="0.25">
      <c r="A328" t="s">
        <v>74</v>
      </c>
    </row>
    <row r="329" spans="1:1" x14ac:dyDescent="0.25">
      <c r="A329" t="s">
        <v>114</v>
      </c>
    </row>
    <row r="330" spans="1:1" x14ac:dyDescent="0.25">
      <c r="A330" t="s">
        <v>115</v>
      </c>
    </row>
    <row r="331" spans="1:1" x14ac:dyDescent="0.25">
      <c r="A331" t="s">
        <v>116</v>
      </c>
    </row>
    <row r="332" spans="1:1" x14ac:dyDescent="0.25">
      <c r="A332" t="s">
        <v>117</v>
      </c>
    </row>
    <row r="333" spans="1:1" x14ac:dyDescent="0.25">
      <c r="A333" t="s">
        <v>118</v>
      </c>
    </row>
    <row r="334" spans="1:1" x14ac:dyDescent="0.25">
      <c r="A334" t="s">
        <v>119</v>
      </c>
    </row>
    <row r="335" spans="1:1" x14ac:dyDescent="0.25">
      <c r="A335" t="s">
        <v>120</v>
      </c>
    </row>
    <row r="336" spans="1:1" x14ac:dyDescent="0.25">
      <c r="A336" t="s">
        <v>121</v>
      </c>
    </row>
    <row r="337" spans="1:1" x14ac:dyDescent="0.25">
      <c r="A337" t="s">
        <v>122</v>
      </c>
    </row>
    <row r="338" spans="1:1" x14ac:dyDescent="0.25">
      <c r="A338" t="s">
        <v>123</v>
      </c>
    </row>
    <row r="339" spans="1:1" x14ac:dyDescent="0.25">
      <c r="A339" t="s">
        <v>124</v>
      </c>
    </row>
    <row r="340" spans="1:1" x14ac:dyDescent="0.25">
      <c r="A340" t="s">
        <v>125</v>
      </c>
    </row>
    <row r="341" spans="1:1" x14ac:dyDescent="0.25">
      <c r="A341" t="s">
        <v>126</v>
      </c>
    </row>
    <row r="342" spans="1:1" x14ac:dyDescent="0.25">
      <c r="A342" t="s">
        <v>127</v>
      </c>
    </row>
    <row r="343" spans="1:1" x14ac:dyDescent="0.25">
      <c r="A343" t="s">
        <v>128</v>
      </c>
    </row>
    <row r="344" spans="1:1" x14ac:dyDescent="0.25">
      <c r="A344" t="s">
        <v>129</v>
      </c>
    </row>
    <row r="345" spans="1:1" x14ac:dyDescent="0.25">
      <c r="A345" t="s">
        <v>130</v>
      </c>
    </row>
    <row r="346" spans="1:1" x14ac:dyDescent="0.25">
      <c r="A346" t="s">
        <v>1251</v>
      </c>
    </row>
    <row r="347" spans="1:1" x14ac:dyDescent="0.25">
      <c r="A347" t="s">
        <v>68</v>
      </c>
    </row>
    <row r="348" spans="1:1" x14ac:dyDescent="0.25">
      <c r="A348" t="s">
        <v>46</v>
      </c>
    </row>
    <row r="349" spans="1:1" x14ac:dyDescent="0.25">
      <c r="A349" t="s">
        <v>47</v>
      </c>
    </row>
    <row r="350" spans="1:1" x14ac:dyDescent="0.25">
      <c r="A350" t="s">
        <v>48</v>
      </c>
    </row>
    <row r="351" spans="1:1" x14ac:dyDescent="0.25">
      <c r="A351" t="s">
        <v>49</v>
      </c>
    </row>
    <row r="352" spans="1:1" x14ac:dyDescent="0.25">
      <c r="A352" t="s">
        <v>50</v>
      </c>
    </row>
    <row r="353" spans="1:1" x14ac:dyDescent="0.25">
      <c r="A353" t="s">
        <v>4783</v>
      </c>
    </row>
    <row r="355" spans="1:1" x14ac:dyDescent="0.25">
      <c r="A355" t="s">
        <v>133</v>
      </c>
    </row>
    <row r="356" spans="1:1" x14ac:dyDescent="0.25">
      <c r="A356" t="s">
        <v>134</v>
      </c>
    </row>
    <row r="357" spans="1:1" x14ac:dyDescent="0.25">
      <c r="A357" t="s">
        <v>135</v>
      </c>
    </row>
    <row r="358" spans="1:1" x14ac:dyDescent="0.25">
      <c r="A358" t="s">
        <v>136</v>
      </c>
    </row>
    <row r="359" spans="1:1" x14ac:dyDescent="0.25">
      <c r="A359" t="s">
        <v>137</v>
      </c>
    </row>
    <row r="360" spans="1:1" x14ac:dyDescent="0.25">
      <c r="A360" t="s">
        <v>138</v>
      </c>
    </row>
    <row r="361" spans="1:1" x14ac:dyDescent="0.25">
      <c r="A361" t="s">
        <v>139</v>
      </c>
    </row>
    <row r="362" spans="1:1" x14ac:dyDescent="0.25">
      <c r="A362" t="s">
        <v>140</v>
      </c>
    </row>
    <row r="363" spans="1:1" x14ac:dyDescent="0.25">
      <c r="A363" t="s">
        <v>141</v>
      </c>
    </row>
    <row r="364" spans="1:1" x14ac:dyDescent="0.25">
      <c r="A364" t="s">
        <v>142</v>
      </c>
    </row>
    <row r="365" spans="1:1" x14ac:dyDescent="0.25">
      <c r="A365" t="s">
        <v>143</v>
      </c>
    </row>
    <row r="366" spans="1:1" x14ac:dyDescent="0.25">
      <c r="A366" t="s">
        <v>144</v>
      </c>
    </row>
    <row r="367" spans="1:1" x14ac:dyDescent="0.25">
      <c r="A367" t="s">
        <v>55</v>
      </c>
    </row>
    <row r="368" spans="1:1" x14ac:dyDescent="0.25">
      <c r="A368" t="s">
        <v>145</v>
      </c>
    </row>
    <row r="369" spans="1:1" x14ac:dyDescent="0.25">
      <c r="A369" t="s">
        <v>146</v>
      </c>
    </row>
    <row r="370" spans="1:1" x14ac:dyDescent="0.25">
      <c r="A370" t="s">
        <v>147</v>
      </c>
    </row>
    <row r="371" spans="1:1" x14ac:dyDescent="0.25">
      <c r="A371" t="s">
        <v>57</v>
      </c>
    </row>
    <row r="372" spans="1:1" x14ac:dyDescent="0.25">
      <c r="A372" t="s">
        <v>148</v>
      </c>
    </row>
    <row r="373" spans="1:1" x14ac:dyDescent="0.25">
      <c r="A373" t="s">
        <v>73</v>
      </c>
    </row>
    <row r="374" spans="1:1" x14ac:dyDescent="0.25">
      <c r="A374" t="s">
        <v>72</v>
      </c>
    </row>
    <row r="375" spans="1:1" x14ac:dyDescent="0.25">
      <c r="A375" t="s">
        <v>149</v>
      </c>
    </row>
    <row r="376" spans="1:1" x14ac:dyDescent="0.25">
      <c r="A376" t="s">
        <v>58</v>
      </c>
    </row>
    <row r="377" spans="1:1" x14ac:dyDescent="0.25">
      <c r="A377" t="s">
        <v>150</v>
      </c>
    </row>
    <row r="378" spans="1:1" x14ac:dyDescent="0.25">
      <c r="A378" t="s">
        <v>59</v>
      </c>
    </row>
    <row r="379" spans="1:1" x14ac:dyDescent="0.25">
      <c r="A379" t="s">
        <v>151</v>
      </c>
    </row>
    <row r="380" spans="1:1" x14ac:dyDescent="0.25">
      <c r="A380" t="s">
        <v>152</v>
      </c>
    </row>
    <row r="381" spans="1:1" x14ac:dyDescent="0.25">
      <c r="A381" t="s">
        <v>153</v>
      </c>
    </row>
    <row r="382" spans="1:1" x14ac:dyDescent="0.25">
      <c r="A382" t="s">
        <v>76</v>
      </c>
    </row>
    <row r="383" spans="1:1" x14ac:dyDescent="0.25">
      <c r="A383" t="s">
        <v>154</v>
      </c>
    </row>
    <row r="384" spans="1:1" x14ac:dyDescent="0.25">
      <c r="A384" t="s">
        <v>155</v>
      </c>
    </row>
    <row r="385" spans="1:1" x14ac:dyDescent="0.25">
      <c r="A385" t="s">
        <v>156</v>
      </c>
    </row>
    <row r="386" spans="1:1" x14ac:dyDescent="0.25">
      <c r="A386" t="s">
        <v>157</v>
      </c>
    </row>
    <row r="387" spans="1:1" x14ac:dyDescent="0.25">
      <c r="A387" t="s">
        <v>158</v>
      </c>
    </row>
    <row r="388" spans="1:1" x14ac:dyDescent="0.25">
      <c r="A388" t="s">
        <v>1464</v>
      </c>
    </row>
    <row r="389" spans="1:1" x14ac:dyDescent="0.25">
      <c r="A389" t="s">
        <v>159</v>
      </c>
    </row>
    <row r="390" spans="1:1" x14ac:dyDescent="0.25">
      <c r="A390" t="s">
        <v>160</v>
      </c>
    </row>
    <row r="391" spans="1:1" x14ac:dyDescent="0.25">
      <c r="A391" t="s">
        <v>161</v>
      </c>
    </row>
    <row r="392" spans="1:1" x14ac:dyDescent="0.25">
      <c r="A392" t="s">
        <v>1374</v>
      </c>
    </row>
    <row r="393" spans="1:1" x14ac:dyDescent="0.25">
      <c r="A393" t="s">
        <v>1375</v>
      </c>
    </row>
    <row r="394" spans="1:1" x14ac:dyDescent="0.25">
      <c r="A394" t="s">
        <v>162</v>
      </c>
    </row>
    <row r="395" spans="1:1" x14ac:dyDescent="0.25">
      <c r="A395" t="s">
        <v>163</v>
      </c>
    </row>
    <row r="396" spans="1:1" x14ac:dyDescent="0.25">
      <c r="A396" t="s">
        <v>164</v>
      </c>
    </row>
    <row r="397" spans="1:1" x14ac:dyDescent="0.25">
      <c r="A397" t="s">
        <v>165</v>
      </c>
    </row>
    <row r="398" spans="1:1" x14ac:dyDescent="0.25">
      <c r="A398" t="s">
        <v>166</v>
      </c>
    </row>
    <row r="400" spans="1:1" x14ac:dyDescent="0.25">
      <c r="A400" t="s">
        <v>167</v>
      </c>
    </row>
    <row r="402" spans="1:1" x14ac:dyDescent="0.25">
      <c r="A402" t="s">
        <v>168</v>
      </c>
    </row>
    <row r="404" spans="1:1" x14ac:dyDescent="0.25">
      <c r="A404" t="s">
        <v>4777</v>
      </c>
    </row>
    <row r="406" spans="1:1" x14ac:dyDescent="0.25">
      <c r="A406" t="s">
        <v>169</v>
      </c>
    </row>
    <row r="408" spans="1:1" x14ac:dyDescent="0.25">
      <c r="A408" t="s">
        <v>170</v>
      </c>
    </row>
    <row r="410" spans="1:1" x14ac:dyDescent="0.25">
      <c r="A410" t="s">
        <v>1307</v>
      </c>
    </row>
    <row r="411" spans="1:1" x14ac:dyDescent="0.25">
      <c r="A411" t="s">
        <v>1308</v>
      </c>
    </row>
    <row r="413" spans="1:1" x14ac:dyDescent="0.25">
      <c r="A413" t="s">
        <v>1309</v>
      </c>
    </row>
    <row r="415" spans="1:1" x14ac:dyDescent="0.25">
      <c r="A415" t="s">
        <v>171</v>
      </c>
    </row>
    <row r="416" spans="1:1" x14ac:dyDescent="0.25">
      <c r="A416" t="s">
        <v>172</v>
      </c>
    </row>
    <row r="417" spans="1:1" x14ac:dyDescent="0.25">
      <c r="A417" t="s">
        <v>173</v>
      </c>
    </row>
    <row r="418" spans="1:1" x14ac:dyDescent="0.25">
      <c r="A418" t="s">
        <v>174</v>
      </c>
    </row>
    <row r="419" spans="1:1" x14ac:dyDescent="0.25">
      <c r="A419" t="s">
        <v>175</v>
      </c>
    </row>
    <row r="420" spans="1:1" x14ac:dyDescent="0.25">
      <c r="A420" t="s">
        <v>176</v>
      </c>
    </row>
    <row r="421" spans="1:1" x14ac:dyDescent="0.25">
      <c r="A421" t="s">
        <v>177</v>
      </c>
    </row>
    <row r="423" spans="1:1" x14ac:dyDescent="0.25">
      <c r="A423" t="s">
        <v>178</v>
      </c>
    </row>
    <row r="425" spans="1:1" x14ac:dyDescent="0.25">
      <c r="A425" t="s">
        <v>179</v>
      </c>
    </row>
    <row r="427" spans="1:1" x14ac:dyDescent="0.25">
      <c r="A427" t="s">
        <v>180</v>
      </c>
    </row>
    <row r="429" spans="1:1" x14ac:dyDescent="0.25">
      <c r="A429" t="s">
        <v>181</v>
      </c>
    </row>
    <row r="431" spans="1:1" x14ac:dyDescent="0.25">
      <c r="A431" t="s">
        <v>182</v>
      </c>
    </row>
    <row r="433" spans="1:1" x14ac:dyDescent="0.25">
      <c r="A433" t="s">
        <v>183</v>
      </c>
    </row>
    <row r="435" spans="1:1" x14ac:dyDescent="0.25">
      <c r="A435" t="s">
        <v>184</v>
      </c>
    </row>
    <row r="437" spans="1:1" x14ac:dyDescent="0.25">
      <c r="A437" t="s">
        <v>185</v>
      </c>
    </row>
    <row r="439" spans="1:1" x14ac:dyDescent="0.25">
      <c r="A439" t="s">
        <v>186</v>
      </c>
    </row>
    <row r="441" spans="1:1" x14ac:dyDescent="0.25">
      <c r="A441" t="s">
        <v>187</v>
      </c>
    </row>
    <row r="443" spans="1:1" x14ac:dyDescent="0.25">
      <c r="A443" t="s">
        <v>188</v>
      </c>
    </row>
    <row r="445" spans="1:1" x14ac:dyDescent="0.25">
      <c r="A445" t="s">
        <v>189</v>
      </c>
    </row>
    <row r="447" spans="1:1" x14ac:dyDescent="0.25">
      <c r="A447" t="s">
        <v>36</v>
      </c>
    </row>
    <row r="448" spans="1:1" x14ac:dyDescent="0.25">
      <c r="A448" t="s">
        <v>37</v>
      </c>
    </row>
    <row r="449" spans="1:1" x14ac:dyDescent="0.25">
      <c r="A449" t="s">
        <v>38</v>
      </c>
    </row>
    <row r="450" spans="1:1" x14ac:dyDescent="0.25">
      <c r="A450" t="s">
        <v>39</v>
      </c>
    </row>
    <row r="451" spans="1:1" x14ac:dyDescent="0.25">
      <c r="A451" t="s">
        <v>40</v>
      </c>
    </row>
    <row r="452" spans="1:1" x14ac:dyDescent="0.25">
      <c r="A452" t="s">
        <v>41</v>
      </c>
    </row>
    <row r="453" spans="1:1" x14ac:dyDescent="0.25">
      <c r="A453" t="s">
        <v>42</v>
      </c>
    </row>
    <row r="454" spans="1:1" x14ac:dyDescent="0.25">
      <c r="A454" t="s">
        <v>43</v>
      </c>
    </row>
    <row r="455" spans="1:1" x14ac:dyDescent="0.25">
      <c r="A455" t="s">
        <v>44</v>
      </c>
    </row>
    <row r="456" spans="1:1" x14ac:dyDescent="0.25">
      <c r="A456" t="s">
        <v>190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U489"/>
  <sheetViews>
    <sheetView workbookViewId="0">
      <selection activeCell="Q11" sqref="Q11"/>
    </sheetView>
  </sheetViews>
  <sheetFormatPr defaultRowHeight="15" x14ac:dyDescent="0.25"/>
  <cols>
    <col min="1" max="1" width="35.140625" customWidth="1"/>
    <col min="2" max="2" width="20.140625" bestFit="1" customWidth="1"/>
    <col min="3" max="3" width="20.7109375" customWidth="1"/>
    <col min="4" max="4" width="11.42578125" bestFit="1" customWidth="1"/>
    <col min="5" max="5" width="18.5703125" bestFit="1" customWidth="1"/>
    <col min="6" max="6" width="27.140625" bestFit="1" customWidth="1"/>
    <col min="7" max="7" width="19.7109375" bestFit="1" customWidth="1"/>
    <col min="8" max="8" width="26.5703125" bestFit="1" customWidth="1"/>
    <col min="9" max="10" width="5.85546875" customWidth="1"/>
    <col min="11" max="11" width="9.7109375" bestFit="1" customWidth="1"/>
    <col min="17" max="17" width="10" bestFit="1" customWidth="1"/>
    <col min="18" max="19" width="1.85546875" customWidth="1"/>
    <col min="20" max="20" width="17.85546875" bestFit="1" customWidth="1"/>
  </cols>
  <sheetData>
    <row r="1" spans="1:21" x14ac:dyDescent="0.25">
      <c r="A1" t="s">
        <v>936</v>
      </c>
      <c r="K1" s="63" t="str">
        <f ca="1">TEXT(TODAY(),"M/D")</f>
        <v>10/1</v>
      </c>
      <c r="N1" t="s">
        <v>1139</v>
      </c>
      <c r="O1" t="s">
        <v>30</v>
      </c>
    </row>
    <row r="2" spans="1:21" x14ac:dyDescent="0.25">
      <c r="A2" t="s">
        <v>4784</v>
      </c>
      <c r="N2" t="s">
        <v>1140</v>
      </c>
      <c r="O2" t="s">
        <v>26</v>
      </c>
    </row>
    <row r="3" spans="1:21" x14ac:dyDescent="0.25">
      <c r="A3" t="s">
        <v>937</v>
      </c>
      <c r="N3" t="s">
        <v>1141</v>
      </c>
      <c r="O3" t="s">
        <v>25</v>
      </c>
    </row>
    <row r="4" spans="1:21" x14ac:dyDescent="0.25">
      <c r="A4" t="s">
        <v>938</v>
      </c>
      <c r="N4" t="s">
        <v>1142</v>
      </c>
      <c r="O4" t="s">
        <v>23</v>
      </c>
    </row>
    <row r="5" spans="1:21" x14ac:dyDescent="0.25">
      <c r="A5" t="s">
        <v>939</v>
      </c>
      <c r="N5" t="s">
        <v>1143</v>
      </c>
      <c r="O5" t="s">
        <v>22</v>
      </c>
    </row>
    <row r="7" spans="1:21" x14ac:dyDescent="0.25">
      <c r="A7" t="s">
        <v>940</v>
      </c>
    </row>
    <row r="8" spans="1:21" x14ac:dyDescent="0.25">
      <c r="A8" t="s">
        <v>786</v>
      </c>
      <c r="B8" t="s">
        <v>33</v>
      </c>
      <c r="C8" t="s">
        <v>941</v>
      </c>
      <c r="D8" t="s">
        <v>942</v>
      </c>
      <c r="E8" t="s">
        <v>943</v>
      </c>
      <c r="F8" t="s">
        <v>944</v>
      </c>
      <c r="G8" t="s">
        <v>945</v>
      </c>
      <c r="H8" t="s">
        <v>946</v>
      </c>
      <c r="I8" t="s">
        <v>947</v>
      </c>
      <c r="Q8">
        <v>4</v>
      </c>
      <c r="T8">
        <v>5</v>
      </c>
      <c r="U8">
        <v>6</v>
      </c>
    </row>
    <row r="9" spans="1:21" x14ac:dyDescent="0.25">
      <c r="A9" t="s">
        <v>4785</v>
      </c>
      <c r="B9" t="s">
        <v>969</v>
      </c>
      <c r="C9" t="s">
        <v>4786</v>
      </c>
      <c r="D9">
        <v>1529</v>
      </c>
      <c r="E9">
        <v>17</v>
      </c>
      <c r="F9" t="s">
        <v>949</v>
      </c>
      <c r="G9">
        <f>1544</f>
        <v>1544</v>
      </c>
      <c r="H9" s="62">
        <v>0.36</v>
      </c>
      <c r="J9">
        <f ca="1">IF(K9=$K$1,IF(ISNUMBER(CODE(L9)),J8+1,J8),J8)</f>
        <v>1</v>
      </c>
      <c r="K9" s="63" t="str">
        <f ca="1">IF(ISBLANK(A9),K8,LEFT(A9,LEN($K$1)))</f>
        <v>10/1</v>
      </c>
      <c r="L9" t="str">
        <f>IF(OR(LEFT(B9,3)=$N$1,LEFT(B9,3)=$N$2,LEFT(B9,3)=$N$3,LEFT(B9,3)=$N$4,LEFT(B9,3)=$N$5),VLOOKUP(LEFT(B9,3),$N$1:$O$5,2,0),LEFT(B9,3))</f>
        <v>MIL</v>
      </c>
      <c r="M9" t="str">
        <f>IFERROR(INDEX(Overview!$A$3:$B$32,MATCH('538'!$L9,Overview!$A$3:$A$32,0),2),"")</f>
        <v>Brewers</v>
      </c>
      <c r="N9" t="str">
        <f t="shared" ref="N9:N72" si="0">IFERROR(MID(C9,SEARCH(",",C9)+2,LEN(C9))&amp;" "&amp;LEFT(C9,SEARCH(",",C9)-1),"")</f>
        <v>Brandon Woodruff</v>
      </c>
      <c r="O9" s="62">
        <f>H9</f>
        <v>0.36</v>
      </c>
      <c r="Q9" t="str">
        <f t="shared" ref="Q9:U28" ca="1" si="1">IFERROR(VLOOKUP(ROW()-8,$J$9:$O$409,Q$8,0),"")</f>
        <v>Brewers</v>
      </c>
      <c r="S9" s="97"/>
      <c r="T9" t="str">
        <f t="shared" ca="1" si="1"/>
        <v>Brandon Woodruff</v>
      </c>
      <c r="U9">
        <f t="shared" ca="1" si="1"/>
        <v>0.36</v>
      </c>
    </row>
    <row r="10" spans="1:21" x14ac:dyDescent="0.25">
      <c r="C10" t="s">
        <v>4787</v>
      </c>
      <c r="J10">
        <f t="shared" ref="J10:J73" ca="1" si="2">IF(K10=$K$1,IF(ISNUMBER(CODE(L10)),J9+1,J9),J9)</f>
        <v>1</v>
      </c>
      <c r="K10" s="63" t="str">
        <f t="shared" ref="K10:K73" ca="1" si="3">IF(ISBLANK(A10),K9,LEFT(A10,LEN($K$1)))</f>
        <v>10/1</v>
      </c>
      <c r="L10" t="str">
        <f t="shared" ref="L10:L73" si="4">IF(OR(LEFT(B10,3)=$N$1,LEFT(B10,3)=$N$2,LEFT(B10,3)=$N$3,LEFT(B10,3)=$N$4,LEFT(B10,3)=$N$5),VLOOKUP(LEFT(B10,3),$N$1:$O$5,2,0),LEFT(B10,3))</f>
        <v/>
      </c>
      <c r="M10" t="str">
        <f>IFERROR(INDEX(Overview!$A$3:$B$32,MATCH('538'!$L10,Overview!$A$3:$A$32,0),2),"")</f>
        <v/>
      </c>
      <c r="N10" t="str">
        <f t="shared" si="0"/>
        <v/>
      </c>
      <c r="O10" s="62">
        <f t="shared" ref="O10:O73" si="5">H10</f>
        <v>0</v>
      </c>
      <c r="Q10" t="str">
        <f t="shared" ca="1" si="1"/>
        <v>Nationals</v>
      </c>
      <c r="S10" s="97"/>
      <c r="T10" t="str">
        <f t="shared" ca="1" si="1"/>
        <v>Max Scherzer</v>
      </c>
      <c r="U10">
        <f t="shared" ca="1" si="1"/>
        <v>0.64</v>
      </c>
    </row>
    <row r="11" spans="1:21" x14ac:dyDescent="0.25">
      <c r="B11" t="s">
        <v>955</v>
      </c>
      <c r="C11" t="s">
        <v>4094</v>
      </c>
      <c r="D11">
        <v>1565</v>
      </c>
      <c r="E11">
        <v>30</v>
      </c>
      <c r="F11">
        <v>26</v>
      </c>
      <c r="G11">
        <f>1621</f>
        <v>1621</v>
      </c>
      <c r="H11" s="62">
        <v>0.64</v>
      </c>
      <c r="J11">
        <f t="shared" ca="1" si="2"/>
        <v>2</v>
      </c>
      <c r="K11" s="63" t="str">
        <f t="shared" ca="1" si="3"/>
        <v>10/1</v>
      </c>
      <c r="L11" t="str">
        <f t="shared" si="4"/>
        <v>WSN</v>
      </c>
      <c r="M11" t="str">
        <f>IFERROR(INDEX(Overview!$A$3:$B$32,MATCH('538'!$L11,Overview!$A$3:$A$32,0),2),"")</f>
        <v>Nationals</v>
      </c>
      <c r="N11" t="str">
        <f t="shared" si="0"/>
        <v>Max Scherzer</v>
      </c>
      <c r="O11" s="62">
        <f t="shared" si="5"/>
        <v>0.64</v>
      </c>
      <c r="Q11" t="str">
        <f t="shared" ca="1" si="1"/>
        <v>Twins</v>
      </c>
      <c r="S11" s="97"/>
      <c r="T11" t="str">
        <f t="shared" ca="1" si="1"/>
        <v/>
      </c>
      <c r="U11">
        <f t="shared" ca="1" si="1"/>
        <v>0.38</v>
      </c>
    </row>
    <row r="12" spans="1:21" x14ac:dyDescent="0.25">
      <c r="C12" t="s">
        <v>4095</v>
      </c>
      <c r="J12">
        <f t="shared" ca="1" si="2"/>
        <v>2</v>
      </c>
      <c r="K12" s="63" t="str">
        <f t="shared" ca="1" si="3"/>
        <v>10/1</v>
      </c>
      <c r="L12" t="str">
        <f t="shared" si="4"/>
        <v/>
      </c>
      <c r="M12" t="str">
        <f>IFERROR(INDEX(Overview!$A$3:$B$32,MATCH('538'!$L12,Overview!$A$3:$A$32,0),2),"")</f>
        <v/>
      </c>
      <c r="N12" t="str">
        <f t="shared" si="0"/>
        <v/>
      </c>
      <c r="O12" s="62">
        <f t="shared" si="5"/>
        <v>0</v>
      </c>
      <c r="Q12" t="str">
        <f t="shared" ca="1" si="1"/>
        <v>Yankees</v>
      </c>
      <c r="S12" s="97"/>
      <c r="T12" t="str">
        <f t="shared" ca="1" si="1"/>
        <v/>
      </c>
      <c r="U12">
        <f t="shared" ca="1" si="1"/>
        <v>0.62</v>
      </c>
    </row>
    <row r="13" spans="1:21" x14ac:dyDescent="0.25">
      <c r="A13" t="s">
        <v>4788</v>
      </c>
      <c r="B13" t="s">
        <v>982</v>
      </c>
      <c r="C13" t="s">
        <v>1064</v>
      </c>
      <c r="D13">
        <v>1544</v>
      </c>
      <c r="E13">
        <v>30</v>
      </c>
      <c r="F13">
        <v>1</v>
      </c>
      <c r="G13">
        <f>1575</f>
        <v>1575</v>
      </c>
      <c r="H13" s="62">
        <v>0.46</v>
      </c>
      <c r="J13">
        <f t="shared" ca="1" si="2"/>
        <v>2</v>
      </c>
      <c r="K13" s="63" t="str">
        <f t="shared" ca="1" si="3"/>
        <v>10/2</v>
      </c>
      <c r="L13" t="str">
        <f t="shared" si="4"/>
        <v>TBR</v>
      </c>
      <c r="M13" t="str">
        <f>IFERROR(INDEX(Overview!$A$3:$B$32,MATCH('538'!$L13,Overview!$A$3:$A$32,0),2),"")</f>
        <v>Rays</v>
      </c>
      <c r="N13" t="str">
        <f t="shared" si="0"/>
        <v>Charlie Morton</v>
      </c>
      <c r="O13" s="62">
        <f t="shared" si="5"/>
        <v>0.46</v>
      </c>
      <c r="Q13" t="str">
        <f t="shared" ca="1" si="1"/>
        <v/>
      </c>
      <c r="S13" s="97"/>
      <c r="T13" t="str">
        <f t="shared" ca="1" si="1"/>
        <v/>
      </c>
      <c r="U13" t="str">
        <f t="shared" ca="1" si="1"/>
        <v/>
      </c>
    </row>
    <row r="14" spans="1:21" x14ac:dyDescent="0.25">
      <c r="C14" t="s">
        <v>1065</v>
      </c>
      <c r="J14">
        <f t="shared" ca="1" si="2"/>
        <v>2</v>
      </c>
      <c r="K14" s="63" t="str">
        <f t="shared" ca="1" si="3"/>
        <v>10/2</v>
      </c>
      <c r="L14" t="str">
        <f t="shared" si="4"/>
        <v/>
      </c>
      <c r="M14" t="str">
        <f>IFERROR(INDEX(Overview!$A$3:$B$32,MATCH('538'!$L14,Overview!$A$3:$A$32,0),2),"")</f>
        <v/>
      </c>
      <c r="N14" t="str">
        <f t="shared" si="0"/>
        <v/>
      </c>
      <c r="O14" s="62">
        <f t="shared" si="5"/>
        <v>0</v>
      </c>
      <c r="Q14" t="str">
        <f t="shared" ca="1" si="1"/>
        <v/>
      </c>
      <c r="S14" s="97"/>
      <c r="T14" t="str">
        <f t="shared" ca="1" si="1"/>
        <v/>
      </c>
      <c r="U14" t="str">
        <f t="shared" ca="1" si="1"/>
        <v/>
      </c>
    </row>
    <row r="15" spans="1:21" x14ac:dyDescent="0.25">
      <c r="B15" t="s">
        <v>948</v>
      </c>
      <c r="C15" t="s">
        <v>1049</v>
      </c>
      <c r="D15">
        <v>1559</v>
      </c>
      <c r="E15">
        <v>8</v>
      </c>
      <c r="F15">
        <v>26</v>
      </c>
      <c r="G15">
        <f>1593</f>
        <v>1593</v>
      </c>
      <c r="H15" s="62">
        <v>0.54</v>
      </c>
      <c r="J15">
        <f t="shared" ca="1" si="2"/>
        <v>2</v>
      </c>
      <c r="K15" s="63" t="str">
        <f t="shared" ca="1" si="3"/>
        <v>10/2</v>
      </c>
      <c r="L15" t="str">
        <f t="shared" si="4"/>
        <v>OAK</v>
      </c>
      <c r="M15" t="str">
        <f>IFERROR(INDEX(Overview!$A$3:$B$32,MATCH('538'!$L15,Overview!$A$3:$A$32,0),2),"")</f>
        <v>Athletics</v>
      </c>
      <c r="N15" t="str">
        <f t="shared" si="0"/>
        <v/>
      </c>
      <c r="O15" s="62">
        <f t="shared" si="5"/>
        <v>0.54</v>
      </c>
      <c r="Q15" t="str">
        <f t="shared" ca="1" si="1"/>
        <v/>
      </c>
      <c r="S15" s="97"/>
      <c r="T15" t="str">
        <f t="shared" ca="1" si="1"/>
        <v/>
      </c>
      <c r="U15" t="str">
        <f t="shared" ca="1" si="1"/>
        <v/>
      </c>
    </row>
    <row r="16" spans="1:21" x14ac:dyDescent="0.25">
      <c r="C16" t="s">
        <v>1050</v>
      </c>
      <c r="J16">
        <f t="shared" ca="1" si="2"/>
        <v>2</v>
      </c>
      <c r="K16" s="63" t="str">
        <f t="shared" ca="1" si="3"/>
        <v>10/2</v>
      </c>
      <c r="L16" t="str">
        <f t="shared" si="4"/>
        <v/>
      </c>
      <c r="M16" t="str">
        <f>IFERROR(INDEX(Overview!$A$3:$B$32,MATCH('538'!$L16,Overview!$A$3:$A$32,0),2),"")</f>
        <v/>
      </c>
      <c r="N16" t="str">
        <f t="shared" si="0"/>
        <v/>
      </c>
      <c r="O16" s="62">
        <f t="shared" si="5"/>
        <v>0</v>
      </c>
      <c r="Q16" t="str">
        <f t="shared" ca="1" si="1"/>
        <v/>
      </c>
      <c r="S16" s="97"/>
      <c r="T16" t="str">
        <f t="shared" ca="1" si="1"/>
        <v/>
      </c>
      <c r="U16" t="str">
        <f t="shared" ca="1" si="1"/>
        <v/>
      </c>
    </row>
    <row r="17" spans="1:21" x14ac:dyDescent="0.25">
      <c r="A17" t="s">
        <v>4789</v>
      </c>
      <c r="B17" t="s">
        <v>954</v>
      </c>
      <c r="C17" t="s">
        <v>1049</v>
      </c>
      <c r="D17">
        <v>1546</v>
      </c>
      <c r="E17" t="s">
        <v>1010</v>
      </c>
      <c r="F17">
        <v>3</v>
      </c>
      <c r="G17">
        <f>1542</f>
        <v>1542</v>
      </c>
      <c r="H17" s="62">
        <v>0.44</v>
      </c>
      <c r="J17">
        <f t="shared" ca="1" si="2"/>
        <v>2</v>
      </c>
      <c r="K17" s="63" t="str">
        <f t="shared" ca="1" si="3"/>
        <v>10/3</v>
      </c>
      <c r="L17" t="str">
        <f t="shared" si="4"/>
        <v>STL</v>
      </c>
      <c r="M17" t="str">
        <f>IFERROR(INDEX(Overview!$A$3:$B$32,MATCH('538'!$L17,Overview!$A$3:$A$32,0),2),"")</f>
        <v>Cardinals</v>
      </c>
      <c r="N17" t="str">
        <f t="shared" si="0"/>
        <v/>
      </c>
      <c r="O17" s="62">
        <f t="shared" si="5"/>
        <v>0.44</v>
      </c>
      <c r="Q17" t="str">
        <f t="shared" ca="1" si="1"/>
        <v/>
      </c>
      <c r="S17" s="97"/>
      <c r="T17" t="str">
        <f t="shared" ca="1" si="1"/>
        <v/>
      </c>
      <c r="U17" t="str">
        <f t="shared" ca="1" si="1"/>
        <v/>
      </c>
    </row>
    <row r="18" spans="1:21" x14ac:dyDescent="0.25">
      <c r="C18" t="s">
        <v>1050</v>
      </c>
      <c r="J18">
        <f t="shared" ca="1" si="2"/>
        <v>2</v>
      </c>
      <c r="K18" s="63" t="str">
        <f t="shared" ca="1" si="3"/>
        <v>10/3</v>
      </c>
      <c r="L18" t="str">
        <f t="shared" si="4"/>
        <v/>
      </c>
      <c r="M18" t="str">
        <f>IFERROR(INDEX(Overview!$A$3:$B$32,MATCH('538'!$L18,Overview!$A$3:$A$32,0),2),"")</f>
        <v/>
      </c>
      <c r="N18" t="str">
        <f t="shared" si="0"/>
        <v/>
      </c>
      <c r="O18" s="62">
        <f t="shared" si="5"/>
        <v>0</v>
      </c>
      <c r="Q18" t="str">
        <f t="shared" ca="1" si="1"/>
        <v/>
      </c>
      <c r="S18" s="97"/>
      <c r="T18" t="str">
        <f t="shared" ca="1" si="1"/>
        <v/>
      </c>
      <c r="U18" t="str">
        <f t="shared" ca="1" si="1"/>
        <v/>
      </c>
    </row>
    <row r="19" spans="1:21" x14ac:dyDescent="0.25">
      <c r="B19" t="s">
        <v>965</v>
      </c>
      <c r="C19" t="s">
        <v>1049</v>
      </c>
      <c r="D19">
        <v>1543</v>
      </c>
      <c r="E19">
        <v>4</v>
      </c>
      <c r="F19">
        <v>26</v>
      </c>
      <c r="G19">
        <f>1573</f>
        <v>1573</v>
      </c>
      <c r="H19" s="62">
        <v>0.56000000000000005</v>
      </c>
      <c r="J19">
        <f t="shared" ca="1" si="2"/>
        <v>2</v>
      </c>
      <c r="K19" s="63" t="str">
        <f t="shared" ca="1" si="3"/>
        <v>10/3</v>
      </c>
      <c r="L19" t="str">
        <f t="shared" si="4"/>
        <v>ATL</v>
      </c>
      <c r="M19" t="str">
        <f>IFERROR(INDEX(Overview!$A$3:$B$32,MATCH('538'!$L19,Overview!$A$3:$A$32,0),2),"")</f>
        <v>Braves</v>
      </c>
      <c r="N19" t="str">
        <f t="shared" si="0"/>
        <v/>
      </c>
      <c r="O19" s="62">
        <f t="shared" si="5"/>
        <v>0.56000000000000005</v>
      </c>
      <c r="Q19" t="str">
        <f t="shared" ca="1" si="1"/>
        <v/>
      </c>
      <c r="S19" s="97"/>
      <c r="T19" t="str">
        <f t="shared" ca="1" si="1"/>
        <v/>
      </c>
      <c r="U19" t="str">
        <f t="shared" ca="1" si="1"/>
        <v/>
      </c>
    </row>
    <row r="20" spans="1:21" x14ac:dyDescent="0.25">
      <c r="C20" t="s">
        <v>1050</v>
      </c>
      <c r="J20">
        <f t="shared" ca="1" si="2"/>
        <v>2</v>
      </c>
      <c r="K20" s="63" t="str">
        <f t="shared" ca="1" si="3"/>
        <v>10/3</v>
      </c>
      <c r="L20" t="str">
        <f t="shared" si="4"/>
        <v/>
      </c>
      <c r="M20" t="str">
        <f>IFERROR(INDEX(Overview!$A$3:$B$32,MATCH('538'!$L20,Overview!$A$3:$A$32,0),2),"")</f>
        <v/>
      </c>
      <c r="N20" t="str">
        <f t="shared" si="0"/>
        <v/>
      </c>
      <c r="O20" s="62">
        <f t="shared" si="5"/>
        <v>0</v>
      </c>
      <c r="Q20" t="str">
        <f t="shared" ca="1" si="1"/>
        <v/>
      </c>
      <c r="S20" s="97"/>
      <c r="T20" t="str">
        <f t="shared" ca="1" si="1"/>
        <v/>
      </c>
      <c r="U20" t="str">
        <f t="shared" ca="1" si="1"/>
        <v/>
      </c>
    </row>
    <row r="21" spans="1:21" x14ac:dyDescent="0.25">
      <c r="A21" t="s">
        <v>4918</v>
      </c>
      <c r="B21" t="s">
        <v>954</v>
      </c>
      <c r="C21" t="s">
        <v>1049</v>
      </c>
      <c r="D21">
        <v>1546</v>
      </c>
      <c r="E21">
        <v>6</v>
      </c>
      <c r="F21">
        <v>2</v>
      </c>
      <c r="G21">
        <f>1554</f>
        <v>1554</v>
      </c>
      <c r="H21" s="62">
        <v>0.46</v>
      </c>
      <c r="J21">
        <f t="shared" ca="1" si="2"/>
        <v>2</v>
      </c>
      <c r="K21" s="63" t="str">
        <f t="shared" ca="1" si="3"/>
        <v>10/4</v>
      </c>
      <c r="L21" t="str">
        <f t="shared" si="4"/>
        <v>STL</v>
      </c>
      <c r="M21" t="str">
        <f>IFERROR(INDEX(Overview!$A$3:$B$32,MATCH('538'!$L21,Overview!$A$3:$A$32,0),2),"")</f>
        <v>Cardinals</v>
      </c>
      <c r="N21" t="str">
        <f t="shared" si="0"/>
        <v/>
      </c>
      <c r="O21" s="62">
        <f t="shared" si="5"/>
        <v>0.46</v>
      </c>
      <c r="Q21" t="str">
        <f t="shared" ca="1" si="1"/>
        <v/>
      </c>
      <c r="S21" s="97"/>
      <c r="T21" t="str">
        <f t="shared" ca="1" si="1"/>
        <v/>
      </c>
      <c r="U21" t="str">
        <f t="shared" ca="1" si="1"/>
        <v/>
      </c>
    </row>
    <row r="22" spans="1:21" x14ac:dyDescent="0.25">
      <c r="C22" t="s">
        <v>1050</v>
      </c>
      <c r="J22">
        <f t="shared" ca="1" si="2"/>
        <v>2</v>
      </c>
      <c r="K22" s="63" t="str">
        <f t="shared" ca="1" si="3"/>
        <v>10/4</v>
      </c>
      <c r="L22" t="str">
        <f t="shared" si="4"/>
        <v/>
      </c>
      <c r="M22" t="str">
        <f>IFERROR(INDEX(Overview!$A$3:$B$32,MATCH('538'!$L22,Overview!$A$3:$A$32,0),2),"")</f>
        <v/>
      </c>
      <c r="N22" t="str">
        <f t="shared" si="0"/>
        <v/>
      </c>
      <c r="O22" s="62">
        <f t="shared" si="5"/>
        <v>0</v>
      </c>
      <c r="Q22" t="str">
        <f t="shared" ca="1" si="1"/>
        <v/>
      </c>
      <c r="S22" s="97"/>
      <c r="T22" t="str">
        <f t="shared" ca="1" si="1"/>
        <v/>
      </c>
      <c r="U22" t="str">
        <f t="shared" ca="1" si="1"/>
        <v/>
      </c>
    </row>
    <row r="23" spans="1:21" x14ac:dyDescent="0.25">
      <c r="B23" t="s">
        <v>965</v>
      </c>
      <c r="C23" t="s">
        <v>1049</v>
      </c>
      <c r="D23">
        <v>1543</v>
      </c>
      <c r="E23">
        <v>8</v>
      </c>
      <c r="F23">
        <v>26</v>
      </c>
      <c r="G23">
        <f>1577</f>
        <v>1577</v>
      </c>
      <c r="H23" s="62">
        <v>0.54</v>
      </c>
      <c r="J23">
        <f t="shared" ca="1" si="2"/>
        <v>2</v>
      </c>
      <c r="K23" s="63" t="str">
        <f t="shared" ca="1" si="3"/>
        <v>10/4</v>
      </c>
      <c r="L23" t="str">
        <f t="shared" si="4"/>
        <v>ATL</v>
      </c>
      <c r="M23" t="str">
        <f>IFERROR(INDEX(Overview!$A$3:$B$32,MATCH('538'!$L23,Overview!$A$3:$A$32,0),2),"")</f>
        <v>Braves</v>
      </c>
      <c r="N23" t="str">
        <f t="shared" si="0"/>
        <v/>
      </c>
      <c r="O23" s="62">
        <f t="shared" si="5"/>
        <v>0.54</v>
      </c>
      <c r="Q23" t="str">
        <f t="shared" ca="1" si="1"/>
        <v/>
      </c>
      <c r="S23" s="97"/>
      <c r="T23" t="str">
        <f t="shared" ca="1" si="1"/>
        <v/>
      </c>
      <c r="U23" t="str">
        <f t="shared" ca="1" si="1"/>
        <v/>
      </c>
    </row>
    <row r="24" spans="1:21" x14ac:dyDescent="0.25">
      <c r="C24" t="s">
        <v>1050</v>
      </c>
      <c r="J24">
        <f t="shared" ca="1" si="2"/>
        <v>2</v>
      </c>
      <c r="K24" s="63" t="str">
        <f t="shared" ca="1" si="3"/>
        <v>10/4</v>
      </c>
      <c r="L24" t="str">
        <f t="shared" si="4"/>
        <v/>
      </c>
      <c r="M24" t="str">
        <f>IFERROR(INDEX(Overview!$A$3:$B$32,MATCH('538'!$L24,Overview!$A$3:$A$32,0),2),"")</f>
        <v/>
      </c>
      <c r="N24" t="str">
        <f t="shared" si="0"/>
        <v/>
      </c>
      <c r="O24" s="62">
        <f t="shared" si="5"/>
        <v>0</v>
      </c>
      <c r="Q24" t="str">
        <f t="shared" ca="1" si="1"/>
        <v/>
      </c>
      <c r="S24" s="97"/>
      <c r="T24" t="str">
        <f t="shared" ca="1" si="1"/>
        <v/>
      </c>
      <c r="U24" t="str">
        <f t="shared" ca="1" si="1"/>
        <v/>
      </c>
    </row>
    <row r="25" spans="1:21" x14ac:dyDescent="0.25">
      <c r="A25" t="s">
        <v>4919</v>
      </c>
      <c r="B25" t="s">
        <v>975</v>
      </c>
      <c r="C25" t="s">
        <v>1049</v>
      </c>
      <c r="D25">
        <v>1545</v>
      </c>
      <c r="E25">
        <v>6</v>
      </c>
      <c r="F25">
        <v>4</v>
      </c>
      <c r="G25">
        <f>1555</f>
        <v>1555</v>
      </c>
      <c r="H25" s="62">
        <v>0.38</v>
      </c>
      <c r="J25">
        <f t="shared" ca="1" si="2"/>
        <v>2</v>
      </c>
      <c r="K25" s="63" t="str">
        <f t="shared" ca="1" si="3"/>
        <v>10/4</v>
      </c>
      <c r="L25" t="str">
        <f t="shared" si="4"/>
        <v>MIN</v>
      </c>
      <c r="M25" t="str">
        <f>IFERROR(INDEX(Overview!$A$3:$B$32,MATCH('538'!$L25,Overview!$A$3:$A$32,0),2),"")</f>
        <v>Twins</v>
      </c>
      <c r="N25" t="str">
        <f t="shared" si="0"/>
        <v/>
      </c>
      <c r="O25" s="62">
        <f t="shared" si="5"/>
        <v>0.38</v>
      </c>
      <c r="Q25" t="str">
        <f t="shared" ca="1" si="1"/>
        <v/>
      </c>
      <c r="S25" s="97"/>
      <c r="T25" t="str">
        <f t="shared" ca="1" si="1"/>
        <v/>
      </c>
      <c r="U25" t="str">
        <f t="shared" ca="1" si="1"/>
        <v/>
      </c>
    </row>
    <row r="26" spans="1:21" x14ac:dyDescent="0.25">
      <c r="C26" t="s">
        <v>1050</v>
      </c>
      <c r="J26">
        <f t="shared" ca="1" si="2"/>
        <v>2</v>
      </c>
      <c r="K26" s="63" t="str">
        <f t="shared" ca="1" si="3"/>
        <v>10/4</v>
      </c>
      <c r="L26" t="str">
        <f t="shared" si="4"/>
        <v/>
      </c>
      <c r="M26" t="str">
        <f>IFERROR(INDEX(Overview!$A$3:$B$32,MATCH('538'!$L26,Overview!$A$3:$A$32,0),2),"")</f>
        <v/>
      </c>
      <c r="N26" t="str">
        <f t="shared" si="0"/>
        <v/>
      </c>
      <c r="O26" s="62">
        <f t="shared" si="5"/>
        <v>0</v>
      </c>
      <c r="Q26" t="str">
        <f t="shared" ca="1" si="1"/>
        <v/>
      </c>
      <c r="S26" s="97"/>
      <c r="T26" t="str">
        <f t="shared" ca="1" si="1"/>
        <v/>
      </c>
      <c r="U26" t="str">
        <f t="shared" ca="1" si="1"/>
        <v/>
      </c>
    </row>
    <row r="27" spans="1:21" x14ac:dyDescent="0.25">
      <c r="B27" t="s">
        <v>1018</v>
      </c>
      <c r="C27" t="s">
        <v>1049</v>
      </c>
      <c r="D27">
        <v>1580</v>
      </c>
      <c r="E27">
        <v>13</v>
      </c>
      <c r="F27">
        <v>28</v>
      </c>
      <c r="G27">
        <f>1621</f>
        <v>1621</v>
      </c>
      <c r="H27" s="62">
        <v>0.62</v>
      </c>
      <c r="J27">
        <f t="shared" ca="1" si="2"/>
        <v>2</v>
      </c>
      <c r="K27" s="63" t="str">
        <f t="shared" ca="1" si="3"/>
        <v>10/4</v>
      </c>
      <c r="L27" t="str">
        <f t="shared" si="4"/>
        <v>NYY</v>
      </c>
      <c r="M27" t="str">
        <f>IFERROR(INDEX(Overview!$A$3:$B$32,MATCH('538'!$L27,Overview!$A$3:$A$32,0),2),"")</f>
        <v>Yankees</v>
      </c>
      <c r="N27" t="str">
        <f t="shared" si="0"/>
        <v/>
      </c>
      <c r="O27" s="62">
        <f t="shared" si="5"/>
        <v>0.62</v>
      </c>
      <c r="Q27" t="str">
        <f t="shared" ca="1" si="1"/>
        <v/>
      </c>
      <c r="S27" s="97"/>
      <c r="T27" t="str">
        <f t="shared" ca="1" si="1"/>
        <v/>
      </c>
      <c r="U27" t="str">
        <f t="shared" ca="1" si="1"/>
        <v/>
      </c>
    </row>
    <row r="28" spans="1:21" x14ac:dyDescent="0.25">
      <c r="C28" t="s">
        <v>1050</v>
      </c>
      <c r="J28">
        <f t="shared" ca="1" si="2"/>
        <v>2</v>
      </c>
      <c r="K28" s="63" t="str">
        <f t="shared" ca="1" si="3"/>
        <v>10/4</v>
      </c>
      <c r="L28" t="str">
        <f t="shared" si="4"/>
        <v/>
      </c>
      <c r="M28" t="str">
        <f>IFERROR(INDEX(Overview!$A$3:$B$32,MATCH('538'!$L28,Overview!$A$3:$A$32,0),2),"")</f>
        <v/>
      </c>
      <c r="N28" t="str">
        <f t="shared" si="0"/>
        <v/>
      </c>
      <c r="O28" s="62">
        <f t="shared" si="5"/>
        <v>0</v>
      </c>
      <c r="Q28" t="str">
        <f t="shared" ca="1" si="1"/>
        <v/>
      </c>
      <c r="S28" s="97"/>
      <c r="T28" t="str">
        <f t="shared" ca="1" si="1"/>
        <v/>
      </c>
      <c r="U28" t="str">
        <f t="shared" ca="1" si="1"/>
        <v/>
      </c>
    </row>
    <row r="29" spans="1:21" x14ac:dyDescent="0.25">
      <c r="A29" t="s">
        <v>4920</v>
      </c>
      <c r="B29" t="s">
        <v>975</v>
      </c>
      <c r="C29" t="s">
        <v>1049</v>
      </c>
      <c r="D29">
        <v>1545</v>
      </c>
      <c r="E29">
        <v>6</v>
      </c>
      <c r="F29">
        <v>0</v>
      </c>
      <c r="G29">
        <f>1551</f>
        <v>1551</v>
      </c>
      <c r="H29" s="62">
        <v>0.38</v>
      </c>
      <c r="J29">
        <f t="shared" ca="1" si="2"/>
        <v>2</v>
      </c>
      <c r="K29" s="63" t="str">
        <f t="shared" ca="1" si="3"/>
        <v>10/5</v>
      </c>
      <c r="L29" t="str">
        <f t="shared" si="4"/>
        <v>MIN</v>
      </c>
      <c r="M29" t="str">
        <f>IFERROR(INDEX(Overview!$A$3:$B$32,MATCH('538'!$L29,Overview!$A$3:$A$32,0),2),"")</f>
        <v>Twins</v>
      </c>
      <c r="N29" t="str">
        <f t="shared" si="0"/>
        <v/>
      </c>
      <c r="O29" s="62">
        <f t="shared" si="5"/>
        <v>0.38</v>
      </c>
      <c r="Q29" t="str">
        <f t="shared" ref="Q29:Q92" ca="1" si="6">IFERROR(VLOOKUP(ROW()-8,$J$9:$O$409,Q$8,0),"")</f>
        <v/>
      </c>
      <c r="S29" s="97"/>
      <c r="T29" t="str">
        <f t="shared" ref="T29:U48" ca="1" si="7">IFERROR(VLOOKUP(ROW()-8,$J$9:$O$409,T$8,0),"")</f>
        <v/>
      </c>
      <c r="U29" t="str">
        <f t="shared" ca="1" si="7"/>
        <v/>
      </c>
    </row>
    <row r="30" spans="1:21" x14ac:dyDescent="0.25">
      <c r="C30" t="s">
        <v>1050</v>
      </c>
      <c r="J30">
        <f t="shared" ca="1" si="2"/>
        <v>2</v>
      </c>
      <c r="K30" s="63" t="str">
        <f t="shared" ca="1" si="3"/>
        <v>10/5</v>
      </c>
      <c r="L30" t="str">
        <f t="shared" si="4"/>
        <v/>
      </c>
      <c r="M30" t="str">
        <f>IFERROR(INDEX(Overview!$A$3:$B$32,MATCH('538'!$L30,Overview!$A$3:$A$32,0),2),"")</f>
        <v/>
      </c>
      <c r="N30" t="str">
        <f t="shared" si="0"/>
        <v/>
      </c>
      <c r="O30" s="62">
        <f t="shared" si="5"/>
        <v>0</v>
      </c>
      <c r="Q30" t="str">
        <f t="shared" ca="1" si="6"/>
        <v/>
      </c>
      <c r="S30" s="97"/>
      <c r="T30" t="str">
        <f t="shared" ca="1" si="7"/>
        <v/>
      </c>
      <c r="U30" t="str">
        <f t="shared" ca="1" si="7"/>
        <v/>
      </c>
    </row>
    <row r="31" spans="1:21" x14ac:dyDescent="0.25">
      <c r="B31" t="s">
        <v>1018</v>
      </c>
      <c r="C31" t="s">
        <v>1049</v>
      </c>
      <c r="D31">
        <v>1580</v>
      </c>
      <c r="E31">
        <v>13</v>
      </c>
      <c r="F31">
        <v>24</v>
      </c>
      <c r="G31">
        <f>1617</f>
        <v>1617</v>
      </c>
      <c r="H31" s="62">
        <v>0.62</v>
      </c>
      <c r="J31">
        <f t="shared" ca="1" si="2"/>
        <v>2</v>
      </c>
      <c r="K31" s="63" t="str">
        <f t="shared" ca="1" si="3"/>
        <v>10/5</v>
      </c>
      <c r="L31" t="str">
        <f t="shared" si="4"/>
        <v>NYY</v>
      </c>
      <c r="M31" t="str">
        <f>IFERROR(INDEX(Overview!$A$3:$B$32,MATCH('538'!$L31,Overview!$A$3:$A$32,0),2),"")</f>
        <v>Yankees</v>
      </c>
      <c r="N31" t="str">
        <f t="shared" si="0"/>
        <v/>
      </c>
      <c r="O31" s="62">
        <f t="shared" si="5"/>
        <v>0.62</v>
      </c>
      <c r="Q31" t="str">
        <f t="shared" ca="1" si="6"/>
        <v/>
      </c>
      <c r="S31" s="97"/>
      <c r="T31" t="str">
        <f t="shared" ca="1" si="7"/>
        <v/>
      </c>
      <c r="U31" t="str">
        <f t="shared" ca="1" si="7"/>
        <v/>
      </c>
    </row>
    <row r="32" spans="1:21" x14ac:dyDescent="0.25">
      <c r="C32" t="s">
        <v>1050</v>
      </c>
      <c r="J32">
        <f t="shared" ca="1" si="2"/>
        <v>2</v>
      </c>
      <c r="K32" s="63" t="str">
        <f t="shared" ca="1" si="3"/>
        <v>10/5</v>
      </c>
      <c r="L32" t="str">
        <f t="shared" si="4"/>
        <v/>
      </c>
      <c r="M32" t="str">
        <f>IFERROR(INDEX(Overview!$A$3:$B$32,MATCH('538'!$L32,Overview!$A$3:$A$32,0),2),"")</f>
        <v/>
      </c>
      <c r="N32" t="str">
        <f t="shared" si="0"/>
        <v/>
      </c>
      <c r="O32" s="62">
        <f t="shared" si="5"/>
        <v>0</v>
      </c>
      <c r="Q32" t="str">
        <f t="shared" ca="1" si="6"/>
        <v/>
      </c>
      <c r="S32" s="97"/>
      <c r="T32" t="str">
        <f t="shared" ca="1" si="7"/>
        <v/>
      </c>
      <c r="U32" t="str">
        <f t="shared" ca="1" si="7"/>
        <v/>
      </c>
    </row>
    <row r="33" spans="1:21" x14ac:dyDescent="0.25">
      <c r="A33" t="s">
        <v>4790</v>
      </c>
      <c r="B33" t="s">
        <v>965</v>
      </c>
      <c r="C33" t="s">
        <v>1049</v>
      </c>
      <c r="D33">
        <v>1543</v>
      </c>
      <c r="E33">
        <v>8</v>
      </c>
      <c r="F33" t="s">
        <v>949</v>
      </c>
      <c r="G33">
        <f>1549</f>
        <v>1549</v>
      </c>
      <c r="H33" s="62">
        <v>0.45</v>
      </c>
      <c r="J33">
        <f t="shared" ca="1" si="2"/>
        <v>2</v>
      </c>
      <c r="K33" s="63" t="str">
        <f t="shared" ca="1" si="3"/>
        <v>10/6</v>
      </c>
      <c r="L33" t="str">
        <f t="shared" si="4"/>
        <v>ATL</v>
      </c>
      <c r="M33" t="str">
        <f>IFERROR(INDEX(Overview!$A$3:$B$32,MATCH('538'!$L33,Overview!$A$3:$A$32,0),2),"")</f>
        <v>Braves</v>
      </c>
      <c r="N33" t="str">
        <f t="shared" si="0"/>
        <v/>
      </c>
      <c r="O33" s="62">
        <f t="shared" si="5"/>
        <v>0.45</v>
      </c>
      <c r="Q33" t="str">
        <f t="shared" ca="1" si="6"/>
        <v/>
      </c>
      <c r="S33" s="97"/>
      <c r="T33" t="str">
        <f t="shared" ca="1" si="7"/>
        <v/>
      </c>
      <c r="U33" t="str">
        <f t="shared" ca="1" si="7"/>
        <v/>
      </c>
    </row>
    <row r="34" spans="1:21" x14ac:dyDescent="0.25">
      <c r="C34" t="s">
        <v>1050</v>
      </c>
      <c r="J34">
        <f t="shared" ca="1" si="2"/>
        <v>2</v>
      </c>
      <c r="K34" s="63" t="str">
        <f t="shared" ca="1" si="3"/>
        <v>10/6</v>
      </c>
      <c r="L34" t="str">
        <f t="shared" si="4"/>
        <v/>
      </c>
      <c r="M34" t="str">
        <f>IFERROR(INDEX(Overview!$A$3:$B$32,MATCH('538'!$L34,Overview!$A$3:$A$32,0),2),"")</f>
        <v/>
      </c>
      <c r="N34" t="str">
        <f t="shared" si="0"/>
        <v/>
      </c>
      <c r="O34" s="62">
        <f t="shared" si="5"/>
        <v>0</v>
      </c>
      <c r="Q34" t="str">
        <f t="shared" ca="1" si="6"/>
        <v/>
      </c>
      <c r="S34" s="97"/>
      <c r="T34" t="str">
        <f t="shared" ca="1" si="7"/>
        <v/>
      </c>
      <c r="U34" t="str">
        <f t="shared" ca="1" si="7"/>
        <v/>
      </c>
    </row>
    <row r="35" spans="1:21" x14ac:dyDescent="0.25">
      <c r="B35" t="s">
        <v>954</v>
      </c>
      <c r="C35" t="s">
        <v>1049</v>
      </c>
      <c r="D35">
        <v>1546</v>
      </c>
      <c r="E35">
        <v>6</v>
      </c>
      <c r="F35">
        <v>22</v>
      </c>
      <c r="G35">
        <f>1574</f>
        <v>1574</v>
      </c>
      <c r="H35" s="62">
        <v>0.55000000000000004</v>
      </c>
      <c r="J35">
        <f t="shared" ca="1" si="2"/>
        <v>2</v>
      </c>
      <c r="K35" s="63" t="str">
        <f t="shared" ca="1" si="3"/>
        <v>10/6</v>
      </c>
      <c r="L35" t="str">
        <f t="shared" si="4"/>
        <v>STL</v>
      </c>
      <c r="M35" t="str">
        <f>IFERROR(INDEX(Overview!$A$3:$B$32,MATCH('538'!$L35,Overview!$A$3:$A$32,0),2),"")</f>
        <v>Cardinals</v>
      </c>
      <c r="N35" t="str">
        <f t="shared" si="0"/>
        <v/>
      </c>
      <c r="O35" s="62">
        <f t="shared" si="5"/>
        <v>0.55000000000000004</v>
      </c>
      <c r="Q35" t="str">
        <f t="shared" ca="1" si="6"/>
        <v/>
      </c>
      <c r="S35" s="97"/>
      <c r="T35" t="str">
        <f t="shared" ca="1" si="7"/>
        <v/>
      </c>
      <c r="U35" t="str">
        <f t="shared" ca="1" si="7"/>
        <v/>
      </c>
    </row>
    <row r="36" spans="1:21" x14ac:dyDescent="0.25">
      <c r="C36" t="s">
        <v>1050</v>
      </c>
      <c r="J36">
        <f t="shared" ca="1" si="2"/>
        <v>2</v>
      </c>
      <c r="K36" s="63" t="str">
        <f t="shared" ca="1" si="3"/>
        <v>10/6</v>
      </c>
      <c r="L36" t="str">
        <f t="shared" si="4"/>
        <v/>
      </c>
      <c r="M36" t="str">
        <f>IFERROR(INDEX(Overview!$A$3:$B$32,MATCH('538'!$L36,Overview!$A$3:$A$32,0),2),"")</f>
        <v/>
      </c>
      <c r="N36" t="str">
        <f t="shared" si="0"/>
        <v/>
      </c>
      <c r="O36" s="62">
        <f t="shared" si="5"/>
        <v>0</v>
      </c>
      <c r="Q36" t="str">
        <f t="shared" ca="1" si="6"/>
        <v/>
      </c>
      <c r="S36" s="97"/>
      <c r="T36" t="str">
        <f t="shared" ca="1" si="7"/>
        <v/>
      </c>
      <c r="U36" t="str">
        <f t="shared" ca="1" si="7"/>
        <v/>
      </c>
    </row>
    <row r="37" spans="1:21" x14ac:dyDescent="0.25">
      <c r="A37" t="s">
        <v>4791</v>
      </c>
      <c r="B37" t="s">
        <v>1018</v>
      </c>
      <c r="C37" t="s">
        <v>1049</v>
      </c>
      <c r="D37">
        <v>1580</v>
      </c>
      <c r="E37">
        <v>13</v>
      </c>
      <c r="F37" t="s">
        <v>953</v>
      </c>
      <c r="G37">
        <f>1590</f>
        <v>1590</v>
      </c>
      <c r="H37" s="62">
        <v>0.53</v>
      </c>
      <c r="J37">
        <f t="shared" ca="1" si="2"/>
        <v>2</v>
      </c>
      <c r="K37" s="63" t="str">
        <f t="shared" ca="1" si="3"/>
        <v>10/7</v>
      </c>
      <c r="L37" t="str">
        <f t="shared" si="4"/>
        <v>NYY</v>
      </c>
      <c r="M37" t="str">
        <f>IFERROR(INDEX(Overview!$A$3:$B$32,MATCH('538'!$L37,Overview!$A$3:$A$32,0),2),"")</f>
        <v>Yankees</v>
      </c>
      <c r="N37" t="str">
        <f t="shared" si="0"/>
        <v/>
      </c>
      <c r="O37" s="62">
        <f t="shared" si="5"/>
        <v>0.53</v>
      </c>
      <c r="Q37" t="str">
        <f t="shared" ca="1" si="6"/>
        <v/>
      </c>
      <c r="S37" s="97"/>
      <c r="T37" t="str">
        <f t="shared" ca="1" si="7"/>
        <v/>
      </c>
      <c r="U37" t="str">
        <f t="shared" ca="1" si="7"/>
        <v/>
      </c>
    </row>
    <row r="38" spans="1:21" x14ac:dyDescent="0.25">
      <c r="C38" t="s">
        <v>1050</v>
      </c>
      <c r="J38">
        <f t="shared" ca="1" si="2"/>
        <v>2</v>
      </c>
      <c r="K38" s="63" t="str">
        <f t="shared" ca="1" si="3"/>
        <v>10/7</v>
      </c>
      <c r="L38" t="str">
        <f t="shared" si="4"/>
        <v/>
      </c>
      <c r="M38" t="str">
        <f>IFERROR(INDEX(Overview!$A$3:$B$32,MATCH('538'!$L38,Overview!$A$3:$A$32,0),2),"")</f>
        <v/>
      </c>
      <c r="N38" t="str">
        <f t="shared" si="0"/>
        <v/>
      </c>
      <c r="O38" s="62">
        <f t="shared" si="5"/>
        <v>0</v>
      </c>
      <c r="Q38" t="str">
        <f t="shared" ca="1" si="6"/>
        <v/>
      </c>
      <c r="S38" s="97"/>
      <c r="T38" t="str">
        <f t="shared" ca="1" si="7"/>
        <v/>
      </c>
      <c r="U38" t="str">
        <f t="shared" ca="1" si="7"/>
        <v/>
      </c>
    </row>
    <row r="39" spans="1:21" x14ac:dyDescent="0.25">
      <c r="B39" t="s">
        <v>975</v>
      </c>
      <c r="C39" t="s">
        <v>1049</v>
      </c>
      <c r="D39">
        <v>1545</v>
      </c>
      <c r="E39">
        <v>6</v>
      </c>
      <c r="F39">
        <v>21</v>
      </c>
      <c r="G39">
        <f>1572</f>
        <v>1572</v>
      </c>
      <c r="H39" s="62">
        <v>0.47</v>
      </c>
      <c r="J39">
        <f t="shared" ca="1" si="2"/>
        <v>2</v>
      </c>
      <c r="K39" s="63" t="str">
        <f t="shared" ca="1" si="3"/>
        <v>10/7</v>
      </c>
      <c r="L39" t="str">
        <f t="shared" si="4"/>
        <v>MIN</v>
      </c>
      <c r="M39" t="str">
        <f>IFERROR(INDEX(Overview!$A$3:$B$32,MATCH('538'!$L39,Overview!$A$3:$A$32,0),2),"")</f>
        <v>Twins</v>
      </c>
      <c r="N39" t="str">
        <f t="shared" si="0"/>
        <v/>
      </c>
      <c r="O39" s="62">
        <f t="shared" si="5"/>
        <v>0.47</v>
      </c>
      <c r="Q39" t="str">
        <f t="shared" ca="1" si="6"/>
        <v/>
      </c>
      <c r="S39" s="97"/>
      <c r="T39" t="str">
        <f t="shared" ca="1" si="7"/>
        <v/>
      </c>
      <c r="U39" t="str">
        <f t="shared" ca="1" si="7"/>
        <v/>
      </c>
    </row>
    <row r="40" spans="1:21" x14ac:dyDescent="0.25">
      <c r="C40" t="s">
        <v>1050</v>
      </c>
      <c r="J40">
        <f t="shared" ca="1" si="2"/>
        <v>2</v>
      </c>
      <c r="K40" s="63" t="str">
        <f t="shared" ca="1" si="3"/>
        <v>10/7</v>
      </c>
      <c r="L40" t="str">
        <f t="shared" si="4"/>
        <v/>
      </c>
      <c r="M40" t="str">
        <f>IFERROR(INDEX(Overview!$A$3:$B$32,MATCH('538'!$L40,Overview!$A$3:$A$32,0),2),"")</f>
        <v/>
      </c>
      <c r="N40" t="str">
        <f t="shared" si="0"/>
        <v/>
      </c>
      <c r="O40" s="62">
        <f t="shared" si="5"/>
        <v>0</v>
      </c>
      <c r="Q40" t="str">
        <f t="shared" ca="1" si="6"/>
        <v/>
      </c>
      <c r="S40" s="97"/>
      <c r="T40" t="str">
        <f t="shared" ca="1" si="7"/>
        <v/>
      </c>
      <c r="U40" t="str">
        <f t="shared" ca="1" si="7"/>
        <v/>
      </c>
    </row>
    <row r="41" spans="1:21" x14ac:dyDescent="0.25">
      <c r="A41" t="s">
        <v>4791</v>
      </c>
      <c r="B41" t="s">
        <v>965</v>
      </c>
      <c r="C41" t="s">
        <v>1049</v>
      </c>
      <c r="D41">
        <v>1543</v>
      </c>
      <c r="E41">
        <v>8</v>
      </c>
      <c r="F41">
        <v>0</v>
      </c>
      <c r="G41">
        <f>1551</f>
        <v>1551</v>
      </c>
      <c r="H41" s="62">
        <v>0.45</v>
      </c>
      <c r="J41">
        <f t="shared" ca="1" si="2"/>
        <v>2</v>
      </c>
      <c r="K41" s="63" t="str">
        <f t="shared" ca="1" si="3"/>
        <v>10/7</v>
      </c>
      <c r="L41" t="str">
        <f t="shared" si="4"/>
        <v>ATL</v>
      </c>
      <c r="M41" t="str">
        <f>IFERROR(INDEX(Overview!$A$3:$B$32,MATCH('538'!$L41,Overview!$A$3:$A$32,0),2),"")</f>
        <v>Braves</v>
      </c>
      <c r="N41" t="str">
        <f t="shared" si="0"/>
        <v/>
      </c>
      <c r="O41" s="62">
        <f t="shared" si="5"/>
        <v>0.45</v>
      </c>
      <c r="Q41" t="str">
        <f t="shared" ca="1" si="6"/>
        <v/>
      </c>
      <c r="S41" s="97"/>
      <c r="T41" t="str">
        <f t="shared" ca="1" si="7"/>
        <v/>
      </c>
      <c r="U41" t="str">
        <f t="shared" ca="1" si="7"/>
        <v/>
      </c>
    </row>
    <row r="42" spans="1:21" x14ac:dyDescent="0.25">
      <c r="C42" t="s">
        <v>1050</v>
      </c>
      <c r="J42">
        <f t="shared" ca="1" si="2"/>
        <v>2</v>
      </c>
      <c r="K42" s="63" t="str">
        <f t="shared" ca="1" si="3"/>
        <v>10/7</v>
      </c>
      <c r="L42" t="str">
        <f t="shared" si="4"/>
        <v/>
      </c>
      <c r="M42" t="str">
        <f>IFERROR(INDEX(Overview!$A$3:$B$32,MATCH('538'!$L42,Overview!$A$3:$A$32,0),2),"")</f>
        <v/>
      </c>
      <c r="N42" t="str">
        <f t="shared" si="0"/>
        <v/>
      </c>
      <c r="O42" s="62">
        <f t="shared" si="5"/>
        <v>0</v>
      </c>
      <c r="Q42" t="str">
        <f t="shared" ca="1" si="6"/>
        <v/>
      </c>
      <c r="S42" s="97"/>
      <c r="T42" t="str">
        <f t="shared" ca="1" si="7"/>
        <v/>
      </c>
      <c r="U42" t="str">
        <f t="shared" ca="1" si="7"/>
        <v/>
      </c>
    </row>
    <row r="43" spans="1:21" x14ac:dyDescent="0.25">
      <c r="B43" t="s">
        <v>954</v>
      </c>
      <c r="C43" t="s">
        <v>1049</v>
      </c>
      <c r="D43">
        <v>1546</v>
      </c>
      <c r="E43">
        <v>6</v>
      </c>
      <c r="F43">
        <v>24</v>
      </c>
      <c r="G43">
        <f>1576</f>
        <v>1576</v>
      </c>
      <c r="H43" s="62">
        <v>0.55000000000000004</v>
      </c>
      <c r="J43">
        <f t="shared" ca="1" si="2"/>
        <v>2</v>
      </c>
      <c r="K43" s="63" t="str">
        <f t="shared" ca="1" si="3"/>
        <v>10/7</v>
      </c>
      <c r="L43" t="str">
        <f t="shared" si="4"/>
        <v>STL</v>
      </c>
      <c r="M43" t="str">
        <f>IFERROR(INDEX(Overview!$A$3:$B$32,MATCH('538'!$L43,Overview!$A$3:$A$32,0),2),"")</f>
        <v>Cardinals</v>
      </c>
      <c r="N43" t="str">
        <f t="shared" si="0"/>
        <v/>
      </c>
      <c r="O43" s="62">
        <f t="shared" si="5"/>
        <v>0.55000000000000004</v>
      </c>
      <c r="Q43" t="str">
        <f t="shared" ca="1" si="6"/>
        <v/>
      </c>
      <c r="T43" t="str">
        <f t="shared" ca="1" si="7"/>
        <v/>
      </c>
      <c r="U43" t="str">
        <f t="shared" ca="1" si="7"/>
        <v/>
      </c>
    </row>
    <row r="44" spans="1:21" x14ac:dyDescent="0.25">
      <c r="C44" t="s">
        <v>1050</v>
      </c>
      <c r="J44">
        <f t="shared" ca="1" si="2"/>
        <v>2</v>
      </c>
      <c r="K44" s="63" t="str">
        <f t="shared" ca="1" si="3"/>
        <v>10/7</v>
      </c>
      <c r="L44" t="str">
        <f t="shared" si="4"/>
        <v/>
      </c>
      <c r="M44" t="str">
        <f>IFERROR(INDEX(Overview!$A$3:$B$32,MATCH('538'!$L44,Overview!$A$3:$A$32,0),2),"")</f>
        <v/>
      </c>
      <c r="N44" t="str">
        <f t="shared" si="0"/>
        <v/>
      </c>
      <c r="O44" s="62">
        <f t="shared" si="5"/>
        <v>0</v>
      </c>
      <c r="Q44" t="str">
        <f t="shared" ca="1" si="6"/>
        <v/>
      </c>
      <c r="T44" t="str">
        <f t="shared" ca="1" si="7"/>
        <v/>
      </c>
      <c r="U44" t="str">
        <f t="shared" ca="1" si="7"/>
        <v/>
      </c>
    </row>
    <row r="45" spans="1:21" x14ac:dyDescent="0.25">
      <c r="A45" t="s">
        <v>4792</v>
      </c>
      <c r="B45" t="s">
        <v>1018</v>
      </c>
      <c r="C45" t="s">
        <v>1049</v>
      </c>
      <c r="D45">
        <v>1580</v>
      </c>
      <c r="E45">
        <v>13</v>
      </c>
      <c r="F45">
        <v>0</v>
      </c>
      <c r="G45">
        <f>1593</f>
        <v>1593</v>
      </c>
      <c r="H45" s="62">
        <v>0.53</v>
      </c>
      <c r="J45">
        <f t="shared" ca="1" si="2"/>
        <v>2</v>
      </c>
      <c r="K45" s="63" t="str">
        <f t="shared" ca="1" si="3"/>
        <v>10/8</v>
      </c>
      <c r="L45" t="str">
        <f t="shared" si="4"/>
        <v>NYY</v>
      </c>
      <c r="M45" t="str">
        <f>IFERROR(INDEX(Overview!$A$3:$B$32,MATCH('538'!$L45,Overview!$A$3:$A$32,0),2),"")</f>
        <v>Yankees</v>
      </c>
      <c r="N45" t="str">
        <f t="shared" si="0"/>
        <v/>
      </c>
      <c r="O45" s="62">
        <f t="shared" si="5"/>
        <v>0.53</v>
      </c>
      <c r="Q45" t="str">
        <f t="shared" ca="1" si="6"/>
        <v/>
      </c>
      <c r="T45" t="str">
        <f t="shared" ca="1" si="7"/>
        <v/>
      </c>
      <c r="U45" t="str">
        <f t="shared" ca="1" si="7"/>
        <v/>
      </c>
    </row>
    <row r="46" spans="1:21" x14ac:dyDescent="0.25">
      <c r="C46" t="s">
        <v>1050</v>
      </c>
      <c r="J46">
        <f t="shared" ca="1" si="2"/>
        <v>2</v>
      </c>
      <c r="K46" s="63" t="str">
        <f t="shared" ca="1" si="3"/>
        <v>10/8</v>
      </c>
      <c r="L46" t="str">
        <f t="shared" si="4"/>
        <v/>
      </c>
      <c r="M46" t="str">
        <f>IFERROR(INDEX(Overview!$A$3:$B$32,MATCH('538'!$L46,Overview!$A$3:$A$32,0),2),"")</f>
        <v/>
      </c>
      <c r="N46" t="str">
        <f t="shared" si="0"/>
        <v/>
      </c>
      <c r="O46" s="62">
        <f t="shared" si="5"/>
        <v>0</v>
      </c>
      <c r="Q46" t="str">
        <f t="shared" ca="1" si="6"/>
        <v/>
      </c>
      <c r="T46" t="str">
        <f t="shared" ca="1" si="7"/>
        <v/>
      </c>
      <c r="U46" t="str">
        <f t="shared" ca="1" si="7"/>
        <v/>
      </c>
    </row>
    <row r="47" spans="1:21" x14ac:dyDescent="0.25">
      <c r="B47" t="s">
        <v>975</v>
      </c>
      <c r="C47" t="s">
        <v>1049</v>
      </c>
      <c r="D47">
        <v>1545</v>
      </c>
      <c r="E47">
        <v>6</v>
      </c>
      <c r="F47">
        <v>24</v>
      </c>
      <c r="G47">
        <f>1575</f>
        <v>1575</v>
      </c>
      <c r="H47" s="62">
        <v>0.47</v>
      </c>
      <c r="J47">
        <f t="shared" ca="1" si="2"/>
        <v>2</v>
      </c>
      <c r="K47" s="63" t="str">
        <f t="shared" ca="1" si="3"/>
        <v>10/8</v>
      </c>
      <c r="L47" t="str">
        <f t="shared" si="4"/>
        <v>MIN</v>
      </c>
      <c r="M47" t="str">
        <f>IFERROR(INDEX(Overview!$A$3:$B$32,MATCH('538'!$L47,Overview!$A$3:$A$32,0),2),"")</f>
        <v>Twins</v>
      </c>
      <c r="N47" t="str">
        <f t="shared" si="0"/>
        <v/>
      </c>
      <c r="O47" s="62">
        <f t="shared" si="5"/>
        <v>0.47</v>
      </c>
      <c r="Q47" t="str">
        <f t="shared" ca="1" si="6"/>
        <v/>
      </c>
      <c r="T47" t="str">
        <f t="shared" ca="1" si="7"/>
        <v/>
      </c>
      <c r="U47" t="str">
        <f t="shared" ca="1" si="7"/>
        <v/>
      </c>
    </row>
    <row r="48" spans="1:21" x14ac:dyDescent="0.25">
      <c r="C48" t="s">
        <v>1050</v>
      </c>
      <c r="J48">
        <f t="shared" ca="1" si="2"/>
        <v>2</v>
      </c>
      <c r="K48" s="63" t="str">
        <f t="shared" ca="1" si="3"/>
        <v>10/8</v>
      </c>
      <c r="L48" t="str">
        <f t="shared" si="4"/>
        <v/>
      </c>
      <c r="M48" t="str">
        <f>IFERROR(INDEX(Overview!$A$3:$B$32,MATCH('538'!$L48,Overview!$A$3:$A$32,0),2),"")</f>
        <v/>
      </c>
      <c r="N48" t="str">
        <f t="shared" si="0"/>
        <v/>
      </c>
      <c r="O48" s="62">
        <f t="shared" si="5"/>
        <v>0</v>
      </c>
      <c r="Q48" t="str">
        <f t="shared" ca="1" si="6"/>
        <v/>
      </c>
      <c r="T48" t="str">
        <f t="shared" ca="1" si="7"/>
        <v/>
      </c>
      <c r="U48" t="str">
        <f t="shared" ca="1" si="7"/>
        <v/>
      </c>
    </row>
    <row r="49" spans="1:21" x14ac:dyDescent="0.25">
      <c r="A49" t="s">
        <v>4793</v>
      </c>
      <c r="B49" t="s">
        <v>954</v>
      </c>
      <c r="C49" t="s">
        <v>1049</v>
      </c>
      <c r="D49">
        <v>1546</v>
      </c>
      <c r="E49">
        <v>6</v>
      </c>
      <c r="F49">
        <v>0</v>
      </c>
      <c r="G49">
        <f>1552</f>
        <v>1552</v>
      </c>
      <c r="H49" s="62">
        <v>0.46</v>
      </c>
      <c r="J49">
        <f t="shared" ca="1" si="2"/>
        <v>2</v>
      </c>
      <c r="K49" s="63" t="str">
        <f t="shared" ca="1" si="3"/>
        <v>10/9</v>
      </c>
      <c r="L49" t="str">
        <f t="shared" si="4"/>
        <v>STL</v>
      </c>
      <c r="M49" t="str">
        <f>IFERROR(INDEX(Overview!$A$3:$B$32,MATCH('538'!$L49,Overview!$A$3:$A$32,0),2),"")</f>
        <v>Cardinals</v>
      </c>
      <c r="N49" t="str">
        <f t="shared" si="0"/>
        <v/>
      </c>
      <c r="O49" s="62">
        <f t="shared" si="5"/>
        <v>0.46</v>
      </c>
      <c r="Q49" t="str">
        <f t="shared" ca="1" si="6"/>
        <v/>
      </c>
      <c r="T49" t="str">
        <f t="shared" ref="T49:U68" ca="1" si="8">IFERROR(VLOOKUP(ROW()-8,$J$9:$O$409,T$8,0),"")</f>
        <v/>
      </c>
      <c r="U49" t="str">
        <f t="shared" ca="1" si="8"/>
        <v/>
      </c>
    </row>
    <row r="50" spans="1:21" x14ac:dyDescent="0.25">
      <c r="C50" t="s">
        <v>1050</v>
      </c>
      <c r="J50">
        <f t="shared" ca="1" si="2"/>
        <v>2</v>
      </c>
      <c r="K50" s="63" t="str">
        <f t="shared" ca="1" si="3"/>
        <v>10/9</v>
      </c>
      <c r="L50" t="str">
        <f t="shared" si="4"/>
        <v/>
      </c>
      <c r="M50" t="str">
        <f>IFERROR(INDEX(Overview!$A$3:$B$32,MATCH('538'!$L50,Overview!$A$3:$A$32,0),2),"")</f>
        <v/>
      </c>
      <c r="N50" t="str">
        <f t="shared" si="0"/>
        <v/>
      </c>
      <c r="O50" s="62">
        <f t="shared" si="5"/>
        <v>0</v>
      </c>
      <c r="Q50" t="str">
        <f t="shared" ca="1" si="6"/>
        <v/>
      </c>
      <c r="T50" t="str">
        <f t="shared" ca="1" si="8"/>
        <v/>
      </c>
      <c r="U50" t="str">
        <f t="shared" ca="1" si="8"/>
        <v/>
      </c>
    </row>
    <row r="51" spans="1:21" x14ac:dyDescent="0.25">
      <c r="B51" t="s">
        <v>965</v>
      </c>
      <c r="C51" t="s">
        <v>1049</v>
      </c>
      <c r="D51">
        <v>1543</v>
      </c>
      <c r="E51">
        <v>8</v>
      </c>
      <c r="F51">
        <v>24</v>
      </c>
      <c r="G51">
        <f>1575</f>
        <v>1575</v>
      </c>
      <c r="H51" s="62">
        <v>0.54</v>
      </c>
      <c r="J51">
        <f t="shared" ca="1" si="2"/>
        <v>2</v>
      </c>
      <c r="K51" s="63" t="str">
        <f t="shared" ca="1" si="3"/>
        <v>10/9</v>
      </c>
      <c r="L51" t="str">
        <f t="shared" si="4"/>
        <v>ATL</v>
      </c>
      <c r="M51" t="str">
        <f>IFERROR(INDEX(Overview!$A$3:$B$32,MATCH('538'!$L51,Overview!$A$3:$A$32,0),2),"")</f>
        <v>Braves</v>
      </c>
      <c r="N51" t="str">
        <f t="shared" si="0"/>
        <v/>
      </c>
      <c r="O51" s="62">
        <f t="shared" si="5"/>
        <v>0.54</v>
      </c>
      <c r="Q51" t="str">
        <f t="shared" ca="1" si="6"/>
        <v/>
      </c>
      <c r="T51" t="str">
        <f t="shared" ca="1" si="8"/>
        <v/>
      </c>
      <c r="U51" t="str">
        <f t="shared" ca="1" si="8"/>
        <v/>
      </c>
    </row>
    <row r="52" spans="1:21" x14ac:dyDescent="0.25">
      <c r="C52" t="s">
        <v>1050</v>
      </c>
      <c r="J52">
        <f t="shared" ca="1" si="2"/>
        <v>2</v>
      </c>
      <c r="K52" s="63" t="str">
        <f t="shared" ca="1" si="3"/>
        <v>10/9</v>
      </c>
      <c r="L52" t="str">
        <f t="shared" si="4"/>
        <v/>
      </c>
      <c r="M52" t="str">
        <f>IFERROR(INDEX(Overview!$A$3:$B$32,MATCH('538'!$L52,Overview!$A$3:$A$32,0),2),"")</f>
        <v/>
      </c>
      <c r="N52" t="str">
        <f t="shared" si="0"/>
        <v/>
      </c>
      <c r="O52" s="62">
        <f t="shared" si="5"/>
        <v>0</v>
      </c>
      <c r="Q52" t="str">
        <f t="shared" ca="1" si="6"/>
        <v/>
      </c>
      <c r="T52" t="str">
        <f t="shared" ca="1" si="8"/>
        <v/>
      </c>
      <c r="U52" t="str">
        <f t="shared" ca="1" si="8"/>
        <v/>
      </c>
    </row>
    <row r="53" spans="1:21" x14ac:dyDescent="0.25">
      <c r="A53" t="s">
        <v>4794</v>
      </c>
      <c r="B53" t="s">
        <v>975</v>
      </c>
      <c r="C53" t="s">
        <v>1049</v>
      </c>
      <c r="D53">
        <v>1545</v>
      </c>
      <c r="E53">
        <v>6</v>
      </c>
      <c r="F53" t="s">
        <v>964</v>
      </c>
      <c r="G53">
        <f>1550</f>
        <v>1550</v>
      </c>
      <c r="H53" s="62">
        <v>0.38</v>
      </c>
      <c r="J53">
        <f t="shared" ca="1" si="2"/>
        <v>3</v>
      </c>
      <c r="K53" s="63" t="str">
        <f t="shared" ca="1" si="3"/>
        <v>10/1</v>
      </c>
      <c r="L53" t="str">
        <f t="shared" si="4"/>
        <v>MIN</v>
      </c>
      <c r="M53" t="str">
        <f>IFERROR(INDEX(Overview!$A$3:$B$32,MATCH('538'!$L53,Overview!$A$3:$A$32,0),2),"")</f>
        <v>Twins</v>
      </c>
      <c r="N53" t="str">
        <f t="shared" si="0"/>
        <v/>
      </c>
      <c r="O53" s="62">
        <f t="shared" si="5"/>
        <v>0.38</v>
      </c>
      <c r="Q53" t="str">
        <f t="shared" ca="1" si="6"/>
        <v/>
      </c>
      <c r="T53" t="str">
        <f t="shared" ca="1" si="8"/>
        <v/>
      </c>
      <c r="U53" t="str">
        <f t="shared" ca="1" si="8"/>
        <v/>
      </c>
    </row>
    <row r="54" spans="1:21" x14ac:dyDescent="0.25">
      <c r="C54" t="s">
        <v>1050</v>
      </c>
      <c r="J54">
        <f t="shared" ca="1" si="2"/>
        <v>3</v>
      </c>
      <c r="K54" s="63" t="str">
        <f t="shared" ca="1" si="3"/>
        <v>10/1</v>
      </c>
      <c r="L54" t="str">
        <f t="shared" si="4"/>
        <v/>
      </c>
      <c r="M54" t="str">
        <f>IFERROR(INDEX(Overview!$A$3:$B$32,MATCH('538'!$L54,Overview!$A$3:$A$32,0),2),"")</f>
        <v/>
      </c>
      <c r="N54" t="str">
        <f t="shared" si="0"/>
        <v/>
      </c>
      <c r="O54" s="62">
        <f t="shared" si="5"/>
        <v>0</v>
      </c>
      <c r="Q54" t="str">
        <f t="shared" ca="1" si="6"/>
        <v/>
      </c>
      <c r="T54" t="str">
        <f t="shared" ca="1" si="8"/>
        <v/>
      </c>
      <c r="U54" t="str">
        <f t="shared" ca="1" si="8"/>
        <v/>
      </c>
    </row>
    <row r="55" spans="1:21" x14ac:dyDescent="0.25">
      <c r="B55" t="s">
        <v>1018</v>
      </c>
      <c r="C55" t="s">
        <v>1049</v>
      </c>
      <c r="D55">
        <v>1580</v>
      </c>
      <c r="E55">
        <v>13</v>
      </c>
      <c r="F55">
        <v>23</v>
      </c>
      <c r="G55">
        <f>1616</f>
        <v>1616</v>
      </c>
      <c r="H55" s="62">
        <v>0.62</v>
      </c>
      <c r="J55">
        <f t="shared" ca="1" si="2"/>
        <v>4</v>
      </c>
      <c r="K55" s="63" t="str">
        <f t="shared" ca="1" si="3"/>
        <v>10/1</v>
      </c>
      <c r="L55" t="str">
        <f t="shared" si="4"/>
        <v>NYY</v>
      </c>
      <c r="M55" t="str">
        <f>IFERROR(INDEX(Overview!$A$3:$B$32,MATCH('538'!$L55,Overview!$A$3:$A$32,0),2),"")</f>
        <v>Yankees</v>
      </c>
      <c r="N55" t="str">
        <f t="shared" si="0"/>
        <v/>
      </c>
      <c r="O55" s="62">
        <f t="shared" si="5"/>
        <v>0.62</v>
      </c>
      <c r="Q55" t="str">
        <f t="shared" ca="1" si="6"/>
        <v/>
      </c>
      <c r="T55" t="str">
        <f t="shared" ca="1" si="8"/>
        <v/>
      </c>
      <c r="U55" t="str">
        <f t="shared" ca="1" si="8"/>
        <v/>
      </c>
    </row>
    <row r="56" spans="1:21" x14ac:dyDescent="0.25">
      <c r="C56" t="s">
        <v>1050</v>
      </c>
      <c r="J56">
        <f t="shared" ca="1" si="2"/>
        <v>4</v>
      </c>
      <c r="K56" s="63" t="str">
        <f t="shared" ca="1" si="3"/>
        <v>10/1</v>
      </c>
      <c r="L56" t="str">
        <f t="shared" si="4"/>
        <v/>
      </c>
      <c r="M56" t="str">
        <f>IFERROR(INDEX(Overview!$A$3:$B$32,MATCH('538'!$L56,Overview!$A$3:$A$32,0),2),"")</f>
        <v/>
      </c>
      <c r="N56" t="str">
        <f t="shared" si="0"/>
        <v/>
      </c>
      <c r="O56" s="62">
        <f t="shared" si="5"/>
        <v>0</v>
      </c>
      <c r="Q56" t="str">
        <f t="shared" ca="1" si="6"/>
        <v/>
      </c>
      <c r="T56" t="str">
        <f t="shared" ca="1" si="8"/>
        <v/>
      </c>
      <c r="U56" t="str">
        <f t="shared" ca="1" si="8"/>
        <v/>
      </c>
    </row>
    <row r="57" spans="1:21" x14ac:dyDescent="0.25">
      <c r="H57" s="62"/>
      <c r="J57">
        <f t="shared" ca="1" si="2"/>
        <v>4</v>
      </c>
      <c r="K57" s="63" t="str">
        <f t="shared" ca="1" si="3"/>
        <v>10/1</v>
      </c>
      <c r="L57" t="str">
        <f t="shared" si="4"/>
        <v/>
      </c>
      <c r="M57" t="str">
        <f>IFERROR(INDEX(Overview!$A$3:$B$32,MATCH('538'!$L57,Overview!$A$3:$A$32,0),2),"")</f>
        <v/>
      </c>
      <c r="N57" t="str">
        <f t="shared" si="0"/>
        <v/>
      </c>
      <c r="O57" s="62">
        <f t="shared" si="5"/>
        <v>0</v>
      </c>
      <c r="Q57" t="str">
        <f t="shared" ca="1" si="6"/>
        <v/>
      </c>
      <c r="T57" t="str">
        <f t="shared" ca="1" si="8"/>
        <v/>
      </c>
      <c r="U57" t="str">
        <f t="shared" ca="1" si="8"/>
        <v/>
      </c>
    </row>
    <row r="58" spans="1:21" x14ac:dyDescent="0.25">
      <c r="A58" t="s">
        <v>1115</v>
      </c>
      <c r="J58">
        <f t="shared" ca="1" si="2"/>
        <v>4</v>
      </c>
      <c r="K58" s="63" t="str">
        <f t="shared" ca="1" si="3"/>
        <v>Comp</v>
      </c>
      <c r="L58" t="str">
        <f t="shared" si="4"/>
        <v/>
      </c>
      <c r="M58" t="str">
        <f>IFERROR(INDEX(Overview!$A$3:$B$32,MATCH('538'!$L58,Overview!$A$3:$A$32,0),2),"")</f>
        <v/>
      </c>
      <c r="N58" t="str">
        <f t="shared" si="0"/>
        <v/>
      </c>
      <c r="O58" s="62">
        <f t="shared" si="5"/>
        <v>0</v>
      </c>
      <c r="Q58" t="str">
        <f t="shared" ca="1" si="6"/>
        <v/>
      </c>
      <c r="T58" t="str">
        <f t="shared" ca="1" si="8"/>
        <v/>
      </c>
      <c r="U58" t="str">
        <f t="shared" ca="1" si="8"/>
        <v/>
      </c>
    </row>
    <row r="59" spans="1:21" x14ac:dyDescent="0.25">
      <c r="A59" t="s">
        <v>786</v>
      </c>
      <c r="B59" t="s">
        <v>33</v>
      </c>
      <c r="C59" t="s">
        <v>941</v>
      </c>
      <c r="D59" t="s">
        <v>942</v>
      </c>
      <c r="E59" t="s">
        <v>943</v>
      </c>
      <c r="F59" t="s">
        <v>944</v>
      </c>
      <c r="G59" t="s">
        <v>945</v>
      </c>
      <c r="H59" s="62" t="s">
        <v>946</v>
      </c>
      <c r="I59" t="s">
        <v>947</v>
      </c>
      <c r="J59">
        <f t="shared" ca="1" si="2"/>
        <v>4</v>
      </c>
      <c r="K59" s="63" t="str">
        <f t="shared" ca="1" si="3"/>
        <v>Date</v>
      </c>
      <c r="L59" t="str">
        <f t="shared" si="4"/>
        <v>Tea</v>
      </c>
      <c r="M59" t="str">
        <f>IFERROR(INDEX(Overview!$A$3:$B$32,MATCH('538'!$L59,Overview!$A$3:$A$32,0),2),"")</f>
        <v/>
      </c>
      <c r="N59" t="str">
        <f t="shared" si="0"/>
        <v/>
      </c>
      <c r="O59" s="62" t="str">
        <f t="shared" si="5"/>
        <v>Win prob.Chance of winning</v>
      </c>
      <c r="Q59" t="str">
        <f t="shared" ca="1" si="6"/>
        <v/>
      </c>
      <c r="T59" t="str">
        <f t="shared" ca="1" si="8"/>
        <v/>
      </c>
      <c r="U59" t="str">
        <f t="shared" ca="1" si="8"/>
        <v/>
      </c>
    </row>
    <row r="60" spans="1:21" x14ac:dyDescent="0.25">
      <c r="A60" t="s">
        <v>4795</v>
      </c>
      <c r="B60" t="s">
        <v>1026</v>
      </c>
      <c r="C60" t="s">
        <v>4796</v>
      </c>
      <c r="D60">
        <v>1532</v>
      </c>
      <c r="E60" t="s">
        <v>1473</v>
      </c>
      <c r="F60">
        <v>0</v>
      </c>
      <c r="G60">
        <f>1509</f>
        <v>1509</v>
      </c>
      <c r="H60" s="62">
        <v>0.36</v>
      </c>
      <c r="I60">
        <v>0</v>
      </c>
      <c r="J60">
        <f t="shared" ca="1" si="2"/>
        <v>4</v>
      </c>
      <c r="K60" s="63" t="str">
        <f t="shared" ca="1" si="3"/>
        <v>9/29</v>
      </c>
      <c r="L60" t="str">
        <f t="shared" si="4"/>
        <v>CHC</v>
      </c>
      <c r="M60" t="str">
        <f>IFERROR(INDEX(Overview!$A$3:$B$32,MATCH('538'!$L60,Overview!$A$3:$A$32,0),2),"")</f>
        <v>Cubs</v>
      </c>
      <c r="N60" t="str">
        <f t="shared" si="0"/>
        <v>Derek Holland</v>
      </c>
      <c r="O60" s="62">
        <f t="shared" si="5"/>
        <v>0.36</v>
      </c>
      <c r="Q60" t="str">
        <f t="shared" ca="1" si="6"/>
        <v/>
      </c>
      <c r="T60" t="str">
        <f t="shared" ca="1" si="8"/>
        <v/>
      </c>
      <c r="U60" t="str">
        <f t="shared" ca="1" si="8"/>
        <v/>
      </c>
    </row>
    <row r="61" spans="1:21" x14ac:dyDescent="0.25">
      <c r="C61" t="s">
        <v>4797</v>
      </c>
      <c r="H61" s="62"/>
      <c r="J61">
        <f t="shared" ca="1" si="2"/>
        <v>4</v>
      </c>
      <c r="K61" s="63" t="str">
        <f t="shared" ca="1" si="3"/>
        <v>9/29</v>
      </c>
      <c r="L61" t="str">
        <f t="shared" si="4"/>
        <v/>
      </c>
      <c r="M61" t="str">
        <f>IFERROR(INDEX(Overview!$A$3:$B$32,MATCH('538'!$L61,Overview!$A$3:$A$32,0),2),"")</f>
        <v/>
      </c>
      <c r="N61" t="str">
        <f t="shared" si="0"/>
        <v/>
      </c>
      <c r="O61" s="62">
        <f t="shared" si="5"/>
        <v>0</v>
      </c>
      <c r="Q61" t="str">
        <f t="shared" ca="1" si="6"/>
        <v/>
      </c>
      <c r="T61" t="str">
        <f t="shared" ca="1" si="8"/>
        <v/>
      </c>
      <c r="U61" t="str">
        <f t="shared" ca="1" si="8"/>
        <v/>
      </c>
    </row>
    <row r="62" spans="1:21" x14ac:dyDescent="0.25">
      <c r="B62" t="s">
        <v>954</v>
      </c>
      <c r="C62" t="s">
        <v>1071</v>
      </c>
      <c r="D62">
        <v>1544</v>
      </c>
      <c r="E62">
        <v>45</v>
      </c>
      <c r="F62">
        <v>24</v>
      </c>
      <c r="G62">
        <f>1613</f>
        <v>1613</v>
      </c>
      <c r="H62" s="62">
        <v>0.64</v>
      </c>
      <c r="I62">
        <v>9</v>
      </c>
      <c r="J62">
        <f t="shared" ca="1" si="2"/>
        <v>4</v>
      </c>
      <c r="K62" s="63" t="str">
        <f t="shared" ca="1" si="3"/>
        <v>9/29</v>
      </c>
      <c r="L62" t="str">
        <f t="shared" si="4"/>
        <v>STL</v>
      </c>
      <c r="M62" t="str">
        <f>IFERROR(INDEX(Overview!$A$3:$B$32,MATCH('538'!$L62,Overview!$A$3:$A$32,0),2),"")</f>
        <v>Cardinals</v>
      </c>
      <c r="N62" t="str">
        <f t="shared" si="0"/>
        <v>Jack Flaherty</v>
      </c>
      <c r="O62" s="62">
        <f t="shared" si="5"/>
        <v>0.64</v>
      </c>
      <c r="Q62" t="str">
        <f t="shared" ca="1" si="6"/>
        <v/>
      </c>
      <c r="T62" t="str">
        <f t="shared" ca="1" si="8"/>
        <v/>
      </c>
      <c r="U62" t="str">
        <f t="shared" ca="1" si="8"/>
        <v/>
      </c>
    </row>
    <row r="63" spans="1:21" x14ac:dyDescent="0.25">
      <c r="C63" t="s">
        <v>1072</v>
      </c>
      <c r="H63" s="62"/>
      <c r="J63">
        <f t="shared" ca="1" si="2"/>
        <v>4</v>
      </c>
      <c r="K63" s="63" t="str">
        <f t="shared" ca="1" si="3"/>
        <v>9/29</v>
      </c>
      <c r="L63" t="str">
        <f t="shared" si="4"/>
        <v/>
      </c>
      <c r="M63" t="str">
        <f>IFERROR(INDEX(Overview!$A$3:$B$32,MATCH('538'!$L63,Overview!$A$3:$A$32,0),2),"")</f>
        <v/>
      </c>
      <c r="N63" t="str">
        <f t="shared" si="0"/>
        <v/>
      </c>
      <c r="O63" s="62">
        <f t="shared" si="5"/>
        <v>0</v>
      </c>
      <c r="Q63" t="str">
        <f t="shared" ca="1" si="6"/>
        <v/>
      </c>
      <c r="T63" t="str">
        <f t="shared" ca="1" si="8"/>
        <v/>
      </c>
      <c r="U63" t="str">
        <f t="shared" ca="1" si="8"/>
        <v/>
      </c>
    </row>
    <row r="64" spans="1:21" x14ac:dyDescent="0.25">
      <c r="A64" t="s">
        <v>4798</v>
      </c>
      <c r="B64" t="s">
        <v>975</v>
      </c>
      <c r="C64" t="s">
        <v>1047</v>
      </c>
      <c r="D64">
        <v>1546</v>
      </c>
      <c r="E64" t="s">
        <v>3581</v>
      </c>
      <c r="F64">
        <v>0</v>
      </c>
      <c r="G64">
        <f>1517</f>
        <v>1517</v>
      </c>
      <c r="H64" s="62">
        <v>0.62</v>
      </c>
      <c r="I64">
        <v>4</v>
      </c>
      <c r="J64">
        <f t="shared" ca="1" si="2"/>
        <v>4</v>
      </c>
      <c r="K64" s="63" t="str">
        <f t="shared" ca="1" si="3"/>
        <v>9/29</v>
      </c>
      <c r="L64" t="str">
        <f t="shared" si="4"/>
        <v>MIN</v>
      </c>
      <c r="M64" t="str">
        <f>IFERROR(INDEX(Overview!$A$3:$B$32,MATCH('538'!$L64,Overview!$A$3:$A$32,0),2),"")</f>
        <v>Twins</v>
      </c>
      <c r="N64" t="str">
        <f t="shared" si="0"/>
        <v>Martin Perez</v>
      </c>
      <c r="O64" s="62">
        <f t="shared" si="5"/>
        <v>0.62</v>
      </c>
      <c r="Q64" t="str">
        <f t="shared" ca="1" si="6"/>
        <v/>
      </c>
      <c r="T64" t="str">
        <f t="shared" ca="1" si="8"/>
        <v/>
      </c>
      <c r="U64" t="str">
        <f t="shared" ca="1" si="8"/>
        <v/>
      </c>
    </row>
    <row r="65" spans="1:21" x14ac:dyDescent="0.25">
      <c r="C65" t="s">
        <v>1048</v>
      </c>
      <c r="H65" s="62"/>
      <c r="J65">
        <f t="shared" ca="1" si="2"/>
        <v>4</v>
      </c>
      <c r="K65" s="63" t="str">
        <f t="shared" ca="1" si="3"/>
        <v>9/29</v>
      </c>
      <c r="L65" t="str">
        <f t="shared" si="4"/>
        <v/>
      </c>
      <c r="M65" t="str">
        <f>IFERROR(INDEX(Overview!$A$3:$B$32,MATCH('538'!$L65,Overview!$A$3:$A$32,0),2),"")</f>
        <v/>
      </c>
      <c r="N65" t="str">
        <f t="shared" si="0"/>
        <v/>
      </c>
      <c r="O65" s="62">
        <f t="shared" si="5"/>
        <v>0</v>
      </c>
      <c r="Q65" t="str">
        <f t="shared" ca="1" si="6"/>
        <v/>
      </c>
      <c r="T65" t="str">
        <f t="shared" ca="1" si="8"/>
        <v/>
      </c>
      <c r="U65" t="str">
        <f t="shared" ca="1" si="8"/>
        <v/>
      </c>
    </row>
    <row r="66" spans="1:21" x14ac:dyDescent="0.25">
      <c r="B66" t="s">
        <v>984</v>
      </c>
      <c r="C66" t="s">
        <v>4366</v>
      </c>
      <c r="D66">
        <v>1429</v>
      </c>
      <c r="E66" t="s">
        <v>1173</v>
      </c>
      <c r="F66">
        <v>24</v>
      </c>
      <c r="G66">
        <f>1434</f>
        <v>1434</v>
      </c>
      <c r="H66" s="62">
        <v>0.38</v>
      </c>
      <c r="I66">
        <v>5</v>
      </c>
      <c r="J66">
        <f t="shared" ca="1" si="2"/>
        <v>4</v>
      </c>
      <c r="K66" s="63" t="str">
        <f t="shared" ca="1" si="3"/>
        <v>9/29</v>
      </c>
      <c r="L66" t="str">
        <f t="shared" si="4"/>
        <v>KCR</v>
      </c>
      <c r="M66" t="str">
        <f>IFERROR(INDEX(Overview!$A$3:$B$32,MATCH('538'!$L66,Overview!$A$3:$A$32,0),2),"")</f>
        <v>Royals</v>
      </c>
      <c r="N66" t="str">
        <f t="shared" si="0"/>
        <v>Jorge Lopez</v>
      </c>
      <c r="O66" s="62">
        <f t="shared" si="5"/>
        <v>0.38</v>
      </c>
      <c r="Q66" t="str">
        <f t="shared" ca="1" si="6"/>
        <v/>
      </c>
      <c r="T66" t="str">
        <f t="shared" ca="1" si="8"/>
        <v/>
      </c>
      <c r="U66" t="str">
        <f t="shared" ca="1" si="8"/>
        <v/>
      </c>
    </row>
    <row r="67" spans="1:21" x14ac:dyDescent="0.25">
      <c r="C67" t="s">
        <v>1066</v>
      </c>
      <c r="H67" s="62"/>
      <c r="J67">
        <f t="shared" ca="1" si="2"/>
        <v>4</v>
      </c>
      <c r="K67" s="63" t="str">
        <f t="shared" ca="1" si="3"/>
        <v>9/29</v>
      </c>
      <c r="L67" t="str">
        <f t="shared" si="4"/>
        <v/>
      </c>
      <c r="M67" t="str">
        <f>IFERROR(INDEX(Overview!$A$3:$B$32,MATCH('538'!$L67,Overview!$A$3:$A$32,0),2),"")</f>
        <v/>
      </c>
      <c r="N67" t="str">
        <f t="shared" si="0"/>
        <v/>
      </c>
      <c r="O67" s="62">
        <f t="shared" si="5"/>
        <v>0</v>
      </c>
      <c r="Q67" t="str">
        <f t="shared" ca="1" si="6"/>
        <v/>
      </c>
      <c r="T67" t="str">
        <f t="shared" ca="1" si="8"/>
        <v/>
      </c>
      <c r="U67" t="str">
        <f t="shared" ca="1" si="8"/>
        <v/>
      </c>
    </row>
    <row r="68" spans="1:21" x14ac:dyDescent="0.25">
      <c r="A68" t="s">
        <v>4799</v>
      </c>
      <c r="B68" t="s">
        <v>948</v>
      </c>
      <c r="C68" t="s">
        <v>959</v>
      </c>
      <c r="D68">
        <v>1561</v>
      </c>
      <c r="E68" t="s">
        <v>1086</v>
      </c>
      <c r="F68">
        <v>0</v>
      </c>
      <c r="G68">
        <f>1551</f>
        <v>1551</v>
      </c>
      <c r="H68" s="62">
        <v>0.57999999999999996</v>
      </c>
      <c r="I68">
        <v>1</v>
      </c>
      <c r="J68">
        <f t="shared" ca="1" si="2"/>
        <v>4</v>
      </c>
      <c r="K68" s="63" t="str">
        <f t="shared" ca="1" si="3"/>
        <v>9/29</v>
      </c>
      <c r="L68" t="str">
        <f t="shared" si="4"/>
        <v>OAK</v>
      </c>
      <c r="M68" t="str">
        <f>IFERROR(INDEX(Overview!$A$3:$B$32,MATCH('538'!$L68,Overview!$A$3:$A$32,0),2),"")</f>
        <v>Athletics</v>
      </c>
      <c r="N68" t="str">
        <f t="shared" si="0"/>
        <v>Tanner Roark</v>
      </c>
      <c r="O68" s="62">
        <f t="shared" si="5"/>
        <v>0.57999999999999996</v>
      </c>
      <c r="Q68" t="str">
        <f t="shared" ca="1" si="6"/>
        <v/>
      </c>
      <c r="T68" t="str">
        <f t="shared" ca="1" si="8"/>
        <v/>
      </c>
      <c r="U68" t="str">
        <f t="shared" ca="1" si="8"/>
        <v/>
      </c>
    </row>
    <row r="69" spans="1:21" x14ac:dyDescent="0.25">
      <c r="C69" t="s">
        <v>960</v>
      </c>
      <c r="H69" s="62"/>
      <c r="J69">
        <f t="shared" ca="1" si="2"/>
        <v>4</v>
      </c>
      <c r="K69" s="63" t="str">
        <f t="shared" ca="1" si="3"/>
        <v>9/29</v>
      </c>
      <c r="L69" t="str">
        <f t="shared" si="4"/>
        <v/>
      </c>
      <c r="M69" t="str">
        <f>IFERROR(INDEX(Overview!$A$3:$B$32,MATCH('538'!$L69,Overview!$A$3:$A$32,0),2),"")</f>
        <v/>
      </c>
      <c r="N69" t="str">
        <f t="shared" si="0"/>
        <v/>
      </c>
      <c r="O69" s="62">
        <f t="shared" si="5"/>
        <v>0</v>
      </c>
      <c r="Q69" t="str">
        <f t="shared" ca="1" si="6"/>
        <v/>
      </c>
      <c r="T69" t="str">
        <f t="shared" ref="T69:U88" ca="1" si="9">IFERROR(VLOOKUP(ROW()-8,$J$9:$O$409,T$8,0),"")</f>
        <v/>
      </c>
      <c r="U69" t="str">
        <f t="shared" ca="1" si="9"/>
        <v/>
      </c>
    </row>
    <row r="70" spans="1:21" x14ac:dyDescent="0.25">
      <c r="B70" t="s">
        <v>1027</v>
      </c>
      <c r="C70" t="s">
        <v>4463</v>
      </c>
      <c r="D70">
        <v>1464</v>
      </c>
      <c r="E70">
        <v>5</v>
      </c>
      <c r="F70">
        <v>24</v>
      </c>
      <c r="G70">
        <f>1493</f>
        <v>1493</v>
      </c>
      <c r="H70" s="62">
        <v>0.42</v>
      </c>
      <c r="I70">
        <v>3</v>
      </c>
      <c r="J70">
        <f t="shared" ca="1" si="2"/>
        <v>4</v>
      </c>
      <c r="K70" s="63" t="str">
        <f t="shared" ca="1" si="3"/>
        <v>9/29</v>
      </c>
      <c r="L70" t="str">
        <f t="shared" si="4"/>
        <v>SEA</v>
      </c>
      <c r="M70" t="str">
        <f>IFERROR(INDEX(Overview!$A$3:$B$32,MATCH('538'!$L70,Overview!$A$3:$A$32,0),2),"")</f>
        <v>Mariners</v>
      </c>
      <c r="N70" t="str">
        <f t="shared" si="0"/>
        <v>Justin Dunn</v>
      </c>
      <c r="O70" s="62">
        <f t="shared" si="5"/>
        <v>0.42</v>
      </c>
      <c r="Q70" t="str">
        <f t="shared" ca="1" si="6"/>
        <v/>
      </c>
      <c r="T70" t="str">
        <f t="shared" ca="1" si="9"/>
        <v/>
      </c>
      <c r="U70" t="str">
        <f t="shared" ca="1" si="9"/>
        <v/>
      </c>
    </row>
    <row r="71" spans="1:21" x14ac:dyDescent="0.25">
      <c r="C71" t="s">
        <v>4464</v>
      </c>
      <c r="H71" s="62"/>
      <c r="J71">
        <f t="shared" ca="1" si="2"/>
        <v>4</v>
      </c>
      <c r="K71" s="63" t="str">
        <f t="shared" ca="1" si="3"/>
        <v>9/29</v>
      </c>
      <c r="L71" t="str">
        <f t="shared" si="4"/>
        <v/>
      </c>
      <c r="M71" t="str">
        <f>IFERROR(INDEX(Overview!$A$3:$B$32,MATCH('538'!$L71,Overview!$A$3:$A$32,0),2),"")</f>
        <v/>
      </c>
      <c r="N71" t="str">
        <f t="shared" si="0"/>
        <v/>
      </c>
      <c r="O71" s="62">
        <f t="shared" si="5"/>
        <v>0</v>
      </c>
      <c r="Q71" t="str">
        <f t="shared" ca="1" si="6"/>
        <v/>
      </c>
      <c r="T71" t="str">
        <f t="shared" ca="1" si="9"/>
        <v/>
      </c>
      <c r="U71" t="str">
        <f t="shared" ca="1" si="9"/>
        <v/>
      </c>
    </row>
    <row r="72" spans="1:21" x14ac:dyDescent="0.25">
      <c r="A72" t="s">
        <v>4799</v>
      </c>
      <c r="B72" t="s">
        <v>965</v>
      </c>
      <c r="C72" t="s">
        <v>966</v>
      </c>
      <c r="D72">
        <v>1544</v>
      </c>
      <c r="E72">
        <v>24</v>
      </c>
      <c r="F72">
        <v>0</v>
      </c>
      <c r="G72">
        <f>1568</f>
        <v>1568</v>
      </c>
      <c r="H72" s="62">
        <v>0.53</v>
      </c>
      <c r="I72">
        <v>6</v>
      </c>
      <c r="J72">
        <f t="shared" ca="1" si="2"/>
        <v>4</v>
      </c>
      <c r="K72" s="63" t="str">
        <f t="shared" ca="1" si="3"/>
        <v>9/29</v>
      </c>
      <c r="L72" t="str">
        <f t="shared" si="4"/>
        <v>ATL</v>
      </c>
      <c r="M72" t="str">
        <f>IFERROR(INDEX(Overview!$A$3:$B$32,MATCH('538'!$L72,Overview!$A$3:$A$32,0),2),"")</f>
        <v>Braves</v>
      </c>
      <c r="N72" t="str">
        <f t="shared" si="0"/>
        <v>Mike Soroka</v>
      </c>
      <c r="O72" s="62">
        <f t="shared" si="5"/>
        <v>0.53</v>
      </c>
      <c r="Q72" t="str">
        <f t="shared" ca="1" si="6"/>
        <v/>
      </c>
      <c r="T72" t="str">
        <f t="shared" ca="1" si="9"/>
        <v/>
      </c>
      <c r="U72" t="str">
        <f t="shared" ca="1" si="9"/>
        <v/>
      </c>
    </row>
    <row r="73" spans="1:21" x14ac:dyDescent="0.25">
      <c r="C73" t="s">
        <v>967</v>
      </c>
      <c r="H73" s="62"/>
      <c r="J73">
        <f t="shared" ca="1" si="2"/>
        <v>4</v>
      </c>
      <c r="K73" s="63" t="str">
        <f t="shared" ca="1" si="3"/>
        <v>9/29</v>
      </c>
      <c r="L73" t="str">
        <f t="shared" si="4"/>
        <v/>
      </c>
      <c r="M73" t="str">
        <f>IFERROR(INDEX(Overview!$A$3:$B$32,MATCH('538'!$L73,Overview!$A$3:$A$32,0),2),"")</f>
        <v/>
      </c>
      <c r="N73" t="str">
        <f t="shared" ref="N73:N136" si="10">IFERROR(MID(C73,SEARCH(",",C73)+2,LEN(C73))&amp;" "&amp;LEFT(C73,SEARCH(",",C73)-1),"")</f>
        <v/>
      </c>
      <c r="O73" s="62">
        <f t="shared" si="5"/>
        <v>0</v>
      </c>
      <c r="Q73" t="str">
        <f t="shared" ca="1" si="6"/>
        <v/>
      </c>
      <c r="T73" t="str">
        <f t="shared" ca="1" si="9"/>
        <v/>
      </c>
      <c r="U73" t="str">
        <f t="shared" ca="1" si="9"/>
        <v/>
      </c>
    </row>
    <row r="74" spans="1:21" x14ac:dyDescent="0.25">
      <c r="B74" t="s">
        <v>962</v>
      </c>
      <c r="C74" t="s">
        <v>1057</v>
      </c>
      <c r="D74">
        <v>1532</v>
      </c>
      <c r="E74" t="s">
        <v>1010</v>
      </c>
      <c r="F74">
        <v>24</v>
      </c>
      <c r="G74">
        <f>1549</f>
        <v>1549</v>
      </c>
      <c r="H74" s="62">
        <v>0.47</v>
      </c>
      <c r="I74">
        <v>7</v>
      </c>
      <c r="J74">
        <f t="shared" ref="J74:J137" ca="1" si="11">IF(K74=$K$1,IF(ISNUMBER(CODE(L74)),J73+1,J73),J73)</f>
        <v>4</v>
      </c>
      <c r="K74" s="63" t="str">
        <f t="shared" ref="K74:K137" ca="1" si="12">IF(ISBLANK(A74),K73,LEFT(A74,LEN($K$1)))</f>
        <v>9/29</v>
      </c>
      <c r="L74" t="str">
        <f t="shared" ref="L74:L98" si="13">IF(OR(LEFT(B74,3)=$N$1,LEFT(B74,3)=$N$2,LEFT(B74,3)=$N$3,LEFT(B74,3)=$N$4,LEFT(B74,3)=$N$5),VLOOKUP(LEFT(B74,3),$N$1:$O$5,2,0),LEFT(B74,3))</f>
        <v>NYM</v>
      </c>
      <c r="M74" t="str">
        <f>IFERROR(INDEX(Overview!$A$3:$B$32,MATCH('538'!$L74,Overview!$A$3:$A$32,0),2),"")</f>
        <v>Mets</v>
      </c>
      <c r="N74" t="str">
        <f t="shared" si="10"/>
        <v>Noah Syndergaard</v>
      </c>
      <c r="O74" s="62">
        <f t="shared" ref="O74:O137" si="14">H74</f>
        <v>0.47</v>
      </c>
      <c r="Q74" t="str">
        <f t="shared" ca="1" si="6"/>
        <v/>
      </c>
      <c r="T74" t="str">
        <f t="shared" ca="1" si="9"/>
        <v/>
      </c>
      <c r="U74" t="str">
        <f t="shared" ca="1" si="9"/>
        <v/>
      </c>
    </row>
    <row r="75" spans="1:21" x14ac:dyDescent="0.25">
      <c r="C75" t="s">
        <v>1058</v>
      </c>
      <c r="H75" s="62"/>
      <c r="J75">
        <f t="shared" ca="1" si="11"/>
        <v>4</v>
      </c>
      <c r="K75" s="63" t="str">
        <f t="shared" ca="1" si="12"/>
        <v>9/29</v>
      </c>
      <c r="L75" t="str">
        <f t="shared" si="13"/>
        <v/>
      </c>
      <c r="M75" t="str">
        <f>IFERROR(INDEX(Overview!$A$3:$B$32,MATCH('538'!$L75,Overview!$A$3:$A$32,0),2),"")</f>
        <v/>
      </c>
      <c r="N75" t="str">
        <f t="shared" si="10"/>
        <v/>
      </c>
      <c r="O75" s="62">
        <f t="shared" si="14"/>
        <v>0</v>
      </c>
      <c r="Q75" t="str">
        <f t="shared" ca="1" si="6"/>
        <v/>
      </c>
      <c r="T75" t="str">
        <f t="shared" ca="1" si="9"/>
        <v/>
      </c>
      <c r="U75" t="str">
        <f t="shared" ca="1" si="9"/>
        <v/>
      </c>
    </row>
    <row r="76" spans="1:21" x14ac:dyDescent="0.25">
      <c r="A76" t="s">
        <v>4799</v>
      </c>
      <c r="B76" t="s">
        <v>969</v>
      </c>
      <c r="C76" t="s">
        <v>3603</v>
      </c>
      <c r="D76">
        <v>1530</v>
      </c>
      <c r="E76" t="s">
        <v>964</v>
      </c>
      <c r="F76">
        <v>0</v>
      </c>
      <c r="G76">
        <f>1529</f>
        <v>1529</v>
      </c>
      <c r="H76" s="62">
        <v>0.55000000000000004</v>
      </c>
      <c r="I76">
        <v>3</v>
      </c>
      <c r="J76">
        <f t="shared" ca="1" si="11"/>
        <v>4</v>
      </c>
      <c r="K76" s="63" t="str">
        <f t="shared" ca="1" si="12"/>
        <v>9/29</v>
      </c>
      <c r="L76" t="str">
        <f t="shared" si="13"/>
        <v>MIL</v>
      </c>
      <c r="M76" t="str">
        <f>IFERROR(INDEX(Overview!$A$3:$B$32,MATCH('538'!$L76,Overview!$A$3:$A$32,0),2),"")</f>
        <v>Brewers</v>
      </c>
      <c r="N76" t="str">
        <f t="shared" si="10"/>
        <v>Adrian Houser</v>
      </c>
      <c r="O76" s="62">
        <f t="shared" si="14"/>
        <v>0.55000000000000004</v>
      </c>
      <c r="Q76" t="str">
        <f t="shared" ca="1" si="6"/>
        <v/>
      </c>
      <c r="T76" t="str">
        <f t="shared" ca="1" si="9"/>
        <v/>
      </c>
      <c r="U76" t="str">
        <f t="shared" ca="1" si="9"/>
        <v/>
      </c>
    </row>
    <row r="77" spans="1:21" x14ac:dyDescent="0.25">
      <c r="C77" t="s">
        <v>3604</v>
      </c>
      <c r="H77" s="62"/>
      <c r="J77">
        <f t="shared" ca="1" si="11"/>
        <v>4</v>
      </c>
      <c r="K77" s="63" t="str">
        <f t="shared" ca="1" si="12"/>
        <v>9/29</v>
      </c>
      <c r="L77" t="str">
        <f t="shared" si="13"/>
        <v/>
      </c>
      <c r="M77" t="str">
        <f>IFERROR(INDEX(Overview!$A$3:$B$32,MATCH('538'!$L77,Overview!$A$3:$A$32,0),2),"")</f>
        <v/>
      </c>
      <c r="N77" t="str">
        <f t="shared" si="10"/>
        <v/>
      </c>
      <c r="O77" s="62">
        <f t="shared" si="14"/>
        <v>0</v>
      </c>
      <c r="Q77" t="str">
        <f t="shared" ca="1" si="6"/>
        <v/>
      </c>
      <c r="T77" t="str">
        <f t="shared" ca="1" si="9"/>
        <v/>
      </c>
      <c r="U77" t="str">
        <f t="shared" ca="1" si="9"/>
        <v/>
      </c>
    </row>
    <row r="78" spans="1:21" x14ac:dyDescent="0.25">
      <c r="B78" t="s">
        <v>968</v>
      </c>
      <c r="C78" t="s">
        <v>4371</v>
      </c>
      <c r="D78">
        <v>1481</v>
      </c>
      <c r="E78" t="s">
        <v>1059</v>
      </c>
      <c r="F78">
        <v>24</v>
      </c>
      <c r="G78">
        <f>1493</f>
        <v>1493</v>
      </c>
      <c r="H78" s="62">
        <v>0.45</v>
      </c>
      <c r="I78">
        <v>4</v>
      </c>
      <c r="J78">
        <f t="shared" ca="1" si="11"/>
        <v>4</v>
      </c>
      <c r="K78" s="63" t="str">
        <f t="shared" ca="1" si="12"/>
        <v>9/29</v>
      </c>
      <c r="L78" t="str">
        <f t="shared" si="13"/>
        <v>COL</v>
      </c>
      <c r="M78" t="str">
        <f>IFERROR(INDEX(Overview!$A$3:$B$32,MATCH('538'!$L78,Overview!$A$3:$A$32,0),2),"")</f>
        <v>Rockies</v>
      </c>
      <c r="N78" t="str">
        <f t="shared" si="10"/>
        <v>Jeff Hoffman</v>
      </c>
      <c r="O78" s="62">
        <f t="shared" si="14"/>
        <v>0.45</v>
      </c>
      <c r="Q78" t="str">
        <f t="shared" ca="1" si="6"/>
        <v/>
      </c>
      <c r="T78" t="str">
        <f t="shared" ca="1" si="9"/>
        <v/>
      </c>
      <c r="U78" t="str">
        <f t="shared" ca="1" si="9"/>
        <v/>
      </c>
    </row>
    <row r="79" spans="1:21" x14ac:dyDescent="0.25">
      <c r="C79" t="s">
        <v>4372</v>
      </c>
      <c r="H79" s="62"/>
      <c r="J79">
        <f t="shared" ca="1" si="11"/>
        <v>4</v>
      </c>
      <c r="K79" s="63" t="str">
        <f t="shared" ca="1" si="12"/>
        <v>9/29</v>
      </c>
      <c r="L79" t="str">
        <f t="shared" si="13"/>
        <v/>
      </c>
      <c r="M79" t="str">
        <f>IFERROR(INDEX(Overview!$A$3:$B$32,MATCH('538'!$L79,Overview!$A$3:$A$32,0),2),"")</f>
        <v/>
      </c>
      <c r="N79" t="str">
        <f t="shared" si="10"/>
        <v/>
      </c>
      <c r="O79" s="62">
        <f t="shared" si="14"/>
        <v>0</v>
      </c>
      <c r="Q79" t="str">
        <f t="shared" ca="1" si="6"/>
        <v/>
      </c>
      <c r="T79" t="str">
        <f t="shared" ca="1" si="9"/>
        <v/>
      </c>
      <c r="U79" t="str">
        <f t="shared" ca="1" si="9"/>
        <v/>
      </c>
    </row>
    <row r="80" spans="1:21" x14ac:dyDescent="0.25">
      <c r="A80" t="s">
        <v>4799</v>
      </c>
      <c r="B80" t="s">
        <v>991</v>
      </c>
      <c r="C80" t="s">
        <v>3746</v>
      </c>
      <c r="D80">
        <v>1385</v>
      </c>
      <c r="E80">
        <v>13</v>
      </c>
      <c r="F80">
        <v>0</v>
      </c>
      <c r="G80">
        <f>1398</f>
        <v>1398</v>
      </c>
      <c r="H80" s="62">
        <v>0.4</v>
      </c>
      <c r="I80">
        <v>3</v>
      </c>
      <c r="J80">
        <f t="shared" ca="1" si="11"/>
        <v>4</v>
      </c>
      <c r="K80" s="63" t="str">
        <f t="shared" ca="1" si="12"/>
        <v>9/29</v>
      </c>
      <c r="L80" t="str">
        <f t="shared" si="13"/>
        <v>DET</v>
      </c>
      <c r="M80" t="str">
        <f>IFERROR(INDEX(Overview!$A$3:$B$32,MATCH('538'!$L80,Overview!$A$3:$A$32,0),2),"")</f>
        <v>Tigers</v>
      </c>
      <c r="N80" t="str">
        <f t="shared" si="10"/>
        <v>Spencer Turnbull</v>
      </c>
      <c r="O80" s="62">
        <f t="shared" si="14"/>
        <v>0.4</v>
      </c>
      <c r="Q80" t="str">
        <f t="shared" ca="1" si="6"/>
        <v/>
      </c>
      <c r="T80" t="str">
        <f t="shared" ca="1" si="9"/>
        <v/>
      </c>
      <c r="U80" t="str">
        <f t="shared" ca="1" si="9"/>
        <v/>
      </c>
    </row>
    <row r="81" spans="1:21" x14ac:dyDescent="0.25">
      <c r="C81" t="s">
        <v>3747</v>
      </c>
      <c r="H81" s="62"/>
      <c r="J81">
        <f t="shared" ca="1" si="11"/>
        <v>4</v>
      </c>
      <c r="K81" s="63" t="str">
        <f t="shared" ca="1" si="12"/>
        <v>9/29</v>
      </c>
      <c r="L81" t="str">
        <f t="shared" si="13"/>
        <v/>
      </c>
      <c r="M81" t="str">
        <f>IFERROR(INDEX(Overview!$A$3:$B$32,MATCH('538'!$L81,Overview!$A$3:$A$32,0),2),"")</f>
        <v/>
      </c>
      <c r="N81" t="str">
        <f t="shared" si="10"/>
        <v/>
      </c>
      <c r="O81" s="62">
        <f t="shared" si="14"/>
        <v>0</v>
      </c>
      <c r="Q81" t="str">
        <f t="shared" ca="1" si="6"/>
        <v/>
      </c>
      <c r="T81" t="str">
        <f t="shared" ca="1" si="9"/>
        <v/>
      </c>
      <c r="U81" t="str">
        <f t="shared" ca="1" si="9"/>
        <v/>
      </c>
    </row>
    <row r="82" spans="1:21" x14ac:dyDescent="0.25">
      <c r="B82" t="s">
        <v>981</v>
      </c>
      <c r="C82" t="s">
        <v>4800</v>
      </c>
      <c r="D82">
        <v>1461</v>
      </c>
      <c r="E82" t="s">
        <v>1109</v>
      </c>
      <c r="F82">
        <v>24</v>
      </c>
      <c r="G82">
        <f>1471</f>
        <v>1471</v>
      </c>
      <c r="H82" s="62">
        <v>0.6</v>
      </c>
      <c r="I82">
        <v>5</v>
      </c>
      <c r="J82">
        <f t="shared" ca="1" si="11"/>
        <v>4</v>
      </c>
      <c r="K82" s="63" t="str">
        <f t="shared" ca="1" si="12"/>
        <v>9/29</v>
      </c>
      <c r="L82" t="str">
        <f t="shared" si="13"/>
        <v>CHW</v>
      </c>
      <c r="M82" t="str">
        <f>IFERROR(INDEX(Overview!$A$3:$B$32,MATCH('538'!$L82,Overview!$A$3:$A$32,0),2),"")</f>
        <v>White Sox</v>
      </c>
      <c r="N82" t="str">
        <f t="shared" si="10"/>
        <v>Ross Detwiler</v>
      </c>
      <c r="O82" s="62">
        <f t="shared" si="14"/>
        <v>0.6</v>
      </c>
      <c r="Q82" t="str">
        <f t="shared" ca="1" si="6"/>
        <v/>
      </c>
      <c r="T82" t="str">
        <f t="shared" ca="1" si="9"/>
        <v/>
      </c>
      <c r="U82" t="str">
        <f t="shared" ca="1" si="9"/>
        <v/>
      </c>
    </row>
    <row r="83" spans="1:21" x14ac:dyDescent="0.25">
      <c r="C83" t="s">
        <v>4801</v>
      </c>
      <c r="H83" s="62"/>
      <c r="J83">
        <f t="shared" ca="1" si="11"/>
        <v>4</v>
      </c>
      <c r="K83" s="63" t="str">
        <f t="shared" ca="1" si="12"/>
        <v>9/29</v>
      </c>
      <c r="L83" t="str">
        <f t="shared" si="13"/>
        <v/>
      </c>
      <c r="M83" t="str">
        <f>IFERROR(INDEX(Overview!$A$3:$B$32,MATCH('538'!$L83,Overview!$A$3:$A$32,0),2),"")</f>
        <v/>
      </c>
      <c r="N83" t="str">
        <f t="shared" si="10"/>
        <v/>
      </c>
      <c r="O83" s="62">
        <f t="shared" si="14"/>
        <v>0</v>
      </c>
      <c r="Q83" t="str">
        <f t="shared" ca="1" si="6"/>
        <v/>
      </c>
      <c r="T83" t="str">
        <f t="shared" ca="1" si="9"/>
        <v/>
      </c>
      <c r="U83" t="str">
        <f t="shared" ca="1" si="9"/>
        <v/>
      </c>
    </row>
    <row r="84" spans="1:21" x14ac:dyDescent="0.25">
      <c r="A84" t="s">
        <v>4799</v>
      </c>
      <c r="B84" t="s">
        <v>963</v>
      </c>
      <c r="C84" t="s">
        <v>4802</v>
      </c>
      <c r="D84">
        <v>1461</v>
      </c>
      <c r="E84" t="s">
        <v>949</v>
      </c>
      <c r="F84">
        <v>0</v>
      </c>
      <c r="G84">
        <f>1459</f>
        <v>1459</v>
      </c>
      <c r="H84" s="62">
        <v>0.39</v>
      </c>
      <c r="I84">
        <v>0</v>
      </c>
      <c r="J84">
        <f t="shared" ca="1" si="11"/>
        <v>4</v>
      </c>
      <c r="K84" s="63" t="str">
        <f t="shared" ca="1" si="12"/>
        <v>9/29</v>
      </c>
      <c r="L84" t="str">
        <f t="shared" si="13"/>
        <v>SDP</v>
      </c>
      <c r="M84" t="str">
        <f>IFERROR(INDEX(Overview!$A$3:$B$32,MATCH('538'!$L84,Overview!$A$3:$A$32,0),2),"")</f>
        <v>Padres</v>
      </c>
      <c r="N84" t="str">
        <f t="shared" si="10"/>
        <v>Michel Baez</v>
      </c>
      <c r="O84" s="62">
        <f t="shared" si="14"/>
        <v>0.39</v>
      </c>
      <c r="Q84" t="str">
        <f t="shared" ca="1" si="6"/>
        <v/>
      </c>
      <c r="T84" t="str">
        <f t="shared" ca="1" si="9"/>
        <v/>
      </c>
      <c r="U84" t="str">
        <f t="shared" ca="1" si="9"/>
        <v/>
      </c>
    </row>
    <row r="85" spans="1:21" x14ac:dyDescent="0.25">
      <c r="C85" t="s">
        <v>4803</v>
      </c>
      <c r="H85" s="62"/>
      <c r="J85">
        <f t="shared" ca="1" si="11"/>
        <v>4</v>
      </c>
      <c r="K85" s="63" t="str">
        <f t="shared" ca="1" si="12"/>
        <v>9/29</v>
      </c>
      <c r="L85" t="str">
        <f t="shared" si="13"/>
        <v/>
      </c>
      <c r="M85" t="str">
        <f>IFERROR(INDEX(Overview!$A$3:$B$32,MATCH('538'!$L85,Overview!$A$3:$A$32,0),2),"")</f>
        <v/>
      </c>
      <c r="N85" t="str">
        <f t="shared" si="10"/>
        <v/>
      </c>
      <c r="O85" s="62">
        <f t="shared" si="14"/>
        <v>0</v>
      </c>
      <c r="Q85" t="str">
        <f t="shared" ca="1" si="6"/>
        <v/>
      </c>
      <c r="T85" t="str">
        <f t="shared" ca="1" si="9"/>
        <v/>
      </c>
      <c r="U85" t="str">
        <f t="shared" ca="1" si="9"/>
        <v/>
      </c>
    </row>
    <row r="86" spans="1:21" x14ac:dyDescent="0.25">
      <c r="B86" t="s">
        <v>1019</v>
      </c>
      <c r="C86" t="s">
        <v>4804</v>
      </c>
      <c r="D86">
        <v>1517</v>
      </c>
      <c r="E86" t="s">
        <v>961</v>
      </c>
      <c r="F86">
        <v>24</v>
      </c>
      <c r="G86">
        <f>1535</f>
        <v>1535</v>
      </c>
      <c r="H86" s="62">
        <v>0.61</v>
      </c>
      <c r="I86">
        <v>1</v>
      </c>
      <c r="J86">
        <f t="shared" ca="1" si="11"/>
        <v>4</v>
      </c>
      <c r="K86" s="63" t="str">
        <f t="shared" ca="1" si="12"/>
        <v>9/29</v>
      </c>
      <c r="L86" t="str">
        <f t="shared" si="13"/>
        <v>ARI</v>
      </c>
      <c r="M86" t="str">
        <f>IFERROR(INDEX(Overview!$A$3:$B$32,MATCH('538'!$L86,Overview!$A$3:$A$32,0),2),"")</f>
        <v>Diamondbacks</v>
      </c>
      <c r="N86" t="str">
        <f t="shared" si="10"/>
        <v>Taijuan Walker</v>
      </c>
      <c r="O86" s="62">
        <f t="shared" si="14"/>
        <v>0.61</v>
      </c>
      <c r="Q86" t="str">
        <f t="shared" ca="1" si="6"/>
        <v/>
      </c>
      <c r="T86" t="str">
        <f t="shared" ca="1" si="9"/>
        <v/>
      </c>
      <c r="U86" t="str">
        <f t="shared" ca="1" si="9"/>
        <v/>
      </c>
    </row>
    <row r="87" spans="1:21" x14ac:dyDescent="0.25">
      <c r="C87" t="s">
        <v>4805</v>
      </c>
      <c r="H87" s="62"/>
      <c r="J87">
        <f t="shared" ca="1" si="11"/>
        <v>4</v>
      </c>
      <c r="K87" s="63" t="str">
        <f t="shared" ca="1" si="12"/>
        <v>9/29</v>
      </c>
      <c r="L87" t="str">
        <f t="shared" si="13"/>
        <v/>
      </c>
      <c r="M87" t="str">
        <f>IFERROR(INDEX(Overview!$A$3:$B$32,MATCH('538'!$L87,Overview!$A$3:$A$32,0),2),"")</f>
        <v/>
      </c>
      <c r="N87" t="str">
        <f t="shared" si="10"/>
        <v/>
      </c>
      <c r="O87" s="62">
        <f t="shared" si="14"/>
        <v>0</v>
      </c>
      <c r="Q87" t="str">
        <f t="shared" ca="1" si="6"/>
        <v/>
      </c>
      <c r="T87" t="str">
        <f t="shared" ca="1" si="9"/>
        <v/>
      </c>
      <c r="U87" t="str">
        <f t="shared" ca="1" si="9"/>
        <v/>
      </c>
    </row>
    <row r="88" spans="1:21" x14ac:dyDescent="0.25">
      <c r="A88" t="s">
        <v>4806</v>
      </c>
      <c r="B88" t="s">
        <v>982</v>
      </c>
      <c r="C88" t="s">
        <v>4534</v>
      </c>
      <c r="D88">
        <v>1546</v>
      </c>
      <c r="E88">
        <v>17</v>
      </c>
      <c r="F88">
        <v>0</v>
      </c>
      <c r="G88">
        <f>1563</f>
        <v>1563</v>
      </c>
      <c r="H88" s="62">
        <v>0.59</v>
      </c>
      <c r="I88">
        <v>3</v>
      </c>
      <c r="J88">
        <f t="shared" ca="1" si="11"/>
        <v>4</v>
      </c>
      <c r="K88" s="63" t="str">
        <f t="shared" ca="1" si="12"/>
        <v>9/29</v>
      </c>
      <c r="L88" t="str">
        <f t="shared" si="13"/>
        <v>TBR</v>
      </c>
      <c r="M88" t="str">
        <f>IFERROR(INDEX(Overview!$A$3:$B$32,MATCH('538'!$L88,Overview!$A$3:$A$32,0),2),"")</f>
        <v>Rays</v>
      </c>
      <c r="N88" t="str">
        <f t="shared" si="10"/>
        <v>Blake Snell</v>
      </c>
      <c r="O88" s="62">
        <f t="shared" si="14"/>
        <v>0.59</v>
      </c>
      <c r="Q88" t="str">
        <f t="shared" ca="1" si="6"/>
        <v/>
      </c>
      <c r="T88" t="str">
        <f t="shared" ca="1" si="9"/>
        <v/>
      </c>
      <c r="U88" t="str">
        <f t="shared" ca="1" si="9"/>
        <v/>
      </c>
    </row>
    <row r="89" spans="1:21" x14ac:dyDescent="0.25">
      <c r="C89" t="s">
        <v>4535</v>
      </c>
      <c r="H89" s="62"/>
      <c r="J89">
        <f t="shared" ca="1" si="11"/>
        <v>4</v>
      </c>
      <c r="K89" s="63" t="str">
        <f t="shared" ca="1" si="12"/>
        <v>9/29</v>
      </c>
      <c r="L89" t="str">
        <f t="shared" si="13"/>
        <v/>
      </c>
      <c r="M89" t="str">
        <f>IFERROR(INDEX(Overview!$A$3:$B$32,MATCH('538'!$L89,Overview!$A$3:$A$32,0),2),"")</f>
        <v/>
      </c>
      <c r="N89" t="str">
        <f t="shared" si="10"/>
        <v/>
      </c>
      <c r="O89" s="62">
        <f t="shared" si="14"/>
        <v>0</v>
      </c>
      <c r="Q89" t="str">
        <f t="shared" ca="1" si="6"/>
        <v/>
      </c>
      <c r="T89" t="str">
        <f t="shared" ref="T89:U108" ca="1" si="15">IFERROR(VLOOKUP(ROW()-8,$J$9:$O$409,T$8,0),"")</f>
        <v/>
      </c>
      <c r="U89" t="str">
        <f t="shared" ca="1" si="15"/>
        <v/>
      </c>
    </row>
    <row r="90" spans="1:21" x14ac:dyDescent="0.25">
      <c r="B90" t="s">
        <v>1024</v>
      </c>
      <c r="C90" t="s">
        <v>4108</v>
      </c>
      <c r="D90">
        <v>1471</v>
      </c>
      <c r="E90">
        <v>4</v>
      </c>
      <c r="F90">
        <v>24</v>
      </c>
      <c r="G90">
        <f>1499</f>
        <v>1499</v>
      </c>
      <c r="H90" s="62">
        <v>0.41</v>
      </c>
      <c r="I90">
        <v>8</v>
      </c>
      <c r="J90">
        <f t="shared" ca="1" si="11"/>
        <v>4</v>
      </c>
      <c r="K90" s="63" t="str">
        <f t="shared" ca="1" si="12"/>
        <v>9/29</v>
      </c>
      <c r="L90" t="str">
        <f t="shared" si="13"/>
        <v>TOR</v>
      </c>
      <c r="M90" t="str">
        <f>IFERROR(INDEX(Overview!$A$3:$B$32,MATCH('538'!$L90,Overview!$A$3:$A$32,0),2),"")</f>
        <v>Blue Jays</v>
      </c>
      <c r="N90" t="str">
        <f t="shared" si="10"/>
        <v>Clay Buchholz</v>
      </c>
      <c r="O90" s="62">
        <f t="shared" si="14"/>
        <v>0.41</v>
      </c>
      <c r="Q90" t="str">
        <f t="shared" ca="1" si="6"/>
        <v/>
      </c>
      <c r="T90" t="str">
        <f t="shared" ca="1" si="15"/>
        <v/>
      </c>
      <c r="U90" t="str">
        <f t="shared" ca="1" si="15"/>
        <v/>
      </c>
    </row>
    <row r="91" spans="1:21" x14ac:dyDescent="0.25">
      <c r="C91" t="s">
        <v>4109</v>
      </c>
      <c r="H91" s="62"/>
      <c r="J91">
        <f t="shared" ca="1" si="11"/>
        <v>4</v>
      </c>
      <c r="K91" s="63" t="str">
        <f t="shared" ca="1" si="12"/>
        <v>9/29</v>
      </c>
      <c r="L91" t="str">
        <f t="shared" si="13"/>
        <v/>
      </c>
      <c r="M91" t="str">
        <f>IFERROR(INDEX(Overview!$A$3:$B$32,MATCH('538'!$L91,Overview!$A$3:$A$32,0),2),"")</f>
        <v/>
      </c>
      <c r="N91" t="str">
        <f t="shared" si="10"/>
        <v/>
      </c>
      <c r="O91" s="62">
        <f t="shared" si="14"/>
        <v>0</v>
      </c>
      <c r="Q91" t="str">
        <f t="shared" ca="1" si="6"/>
        <v/>
      </c>
      <c r="T91" t="str">
        <f t="shared" ca="1" si="15"/>
        <v/>
      </c>
      <c r="U91" t="str">
        <f t="shared" ca="1" si="15"/>
        <v/>
      </c>
    </row>
    <row r="92" spans="1:21" x14ac:dyDescent="0.25">
      <c r="A92" t="s">
        <v>4806</v>
      </c>
      <c r="B92" t="s">
        <v>972</v>
      </c>
      <c r="C92" t="s">
        <v>1008</v>
      </c>
      <c r="D92">
        <v>1593</v>
      </c>
      <c r="E92">
        <v>47</v>
      </c>
      <c r="F92">
        <v>0</v>
      </c>
      <c r="G92">
        <f>1640</f>
        <v>1640</v>
      </c>
      <c r="H92" s="62">
        <v>0.71</v>
      </c>
      <c r="I92">
        <v>8</v>
      </c>
      <c r="J92">
        <f t="shared" ca="1" si="11"/>
        <v>4</v>
      </c>
      <c r="K92" s="63" t="str">
        <f t="shared" ca="1" si="12"/>
        <v>9/29</v>
      </c>
      <c r="L92" t="str">
        <f t="shared" si="13"/>
        <v>HOU</v>
      </c>
      <c r="M92" t="str">
        <f>IFERROR(INDEX(Overview!$A$3:$B$32,MATCH('538'!$L92,Overview!$A$3:$A$32,0),2),"")</f>
        <v>Astros</v>
      </c>
      <c r="N92" t="str">
        <f t="shared" si="10"/>
        <v>Gerrit Cole</v>
      </c>
      <c r="O92" s="62">
        <f t="shared" si="14"/>
        <v>0.71</v>
      </c>
      <c r="Q92" t="str">
        <f t="shared" ca="1" si="6"/>
        <v/>
      </c>
      <c r="T92" t="str">
        <f t="shared" ca="1" si="15"/>
        <v/>
      </c>
      <c r="U92" t="str">
        <f t="shared" ca="1" si="15"/>
        <v/>
      </c>
    </row>
    <row r="93" spans="1:21" x14ac:dyDescent="0.25">
      <c r="C93" t="s">
        <v>1009</v>
      </c>
      <c r="H93" s="62"/>
      <c r="J93">
        <f t="shared" ca="1" si="11"/>
        <v>4</v>
      </c>
      <c r="K93" s="63" t="str">
        <f t="shared" ca="1" si="12"/>
        <v>9/29</v>
      </c>
      <c r="L93" t="str">
        <f t="shared" si="13"/>
        <v/>
      </c>
      <c r="M93" t="str">
        <f>IFERROR(INDEX(Overview!$A$3:$B$32,MATCH('538'!$L93,Overview!$A$3:$A$32,0),2),"")</f>
        <v/>
      </c>
      <c r="N93" t="str">
        <f t="shared" si="10"/>
        <v/>
      </c>
      <c r="O93" s="62">
        <f t="shared" si="14"/>
        <v>0</v>
      </c>
      <c r="Q93" t="str">
        <f t="shared" ref="Q93:Q156" ca="1" si="16">IFERROR(VLOOKUP(ROW()-8,$J$9:$O$409,Q$8,0),"")</f>
        <v/>
      </c>
      <c r="T93" t="str">
        <f t="shared" ca="1" si="15"/>
        <v/>
      </c>
      <c r="U93" t="str">
        <f t="shared" ca="1" si="15"/>
        <v/>
      </c>
    </row>
    <row r="94" spans="1:21" x14ac:dyDescent="0.25">
      <c r="B94" t="s">
        <v>1025</v>
      </c>
      <c r="C94" t="s">
        <v>3448</v>
      </c>
      <c r="D94">
        <v>1475</v>
      </c>
      <c r="E94" t="s">
        <v>995</v>
      </c>
      <c r="F94">
        <v>24</v>
      </c>
      <c r="G94">
        <f>1488</f>
        <v>1488</v>
      </c>
      <c r="H94" s="62">
        <v>0.28999999999999998</v>
      </c>
      <c r="I94">
        <v>5</v>
      </c>
      <c r="J94">
        <f t="shared" ca="1" si="11"/>
        <v>4</v>
      </c>
      <c r="K94" s="63" t="str">
        <f t="shared" ca="1" si="12"/>
        <v>9/29</v>
      </c>
      <c r="L94" t="str">
        <f t="shared" si="13"/>
        <v>LAA</v>
      </c>
      <c r="M94" t="str">
        <f>IFERROR(INDEX(Overview!$A$3:$B$32,MATCH('538'!$L94,Overview!$A$3:$A$32,0),2),"")</f>
        <v>Angels</v>
      </c>
      <c r="N94" t="str">
        <f t="shared" si="10"/>
        <v>Dillon Peters</v>
      </c>
      <c r="O94" s="62">
        <f t="shared" si="14"/>
        <v>0.28999999999999998</v>
      </c>
      <c r="Q94" t="str">
        <f t="shared" ca="1" si="16"/>
        <v/>
      </c>
      <c r="T94" t="str">
        <f t="shared" ca="1" si="15"/>
        <v/>
      </c>
      <c r="U94" t="str">
        <f t="shared" ca="1" si="15"/>
        <v/>
      </c>
    </row>
    <row r="95" spans="1:21" x14ac:dyDescent="0.25">
      <c r="C95" t="s">
        <v>3449</v>
      </c>
      <c r="H95" s="62"/>
      <c r="J95">
        <f t="shared" ca="1" si="11"/>
        <v>4</v>
      </c>
      <c r="K95" s="63" t="str">
        <f t="shared" ca="1" si="12"/>
        <v>9/29</v>
      </c>
      <c r="L95" t="str">
        <f t="shared" si="13"/>
        <v/>
      </c>
      <c r="M95" t="str">
        <f>IFERROR(INDEX(Overview!$A$3:$B$32,MATCH('538'!$L95,Overview!$A$3:$A$32,0),2),"")</f>
        <v/>
      </c>
      <c r="N95" t="str">
        <f t="shared" si="10"/>
        <v/>
      </c>
      <c r="O95" s="62">
        <f t="shared" si="14"/>
        <v>0</v>
      </c>
      <c r="Q95" t="str">
        <f t="shared" ca="1" si="16"/>
        <v/>
      </c>
      <c r="T95" t="str">
        <f t="shared" ca="1" si="15"/>
        <v/>
      </c>
      <c r="U95" t="str">
        <f t="shared" ca="1" si="15"/>
        <v/>
      </c>
    </row>
    <row r="96" spans="1:21" x14ac:dyDescent="0.25">
      <c r="A96" t="s">
        <v>4807</v>
      </c>
      <c r="B96" t="s">
        <v>999</v>
      </c>
      <c r="C96" t="s">
        <v>1378</v>
      </c>
      <c r="D96">
        <v>1549</v>
      </c>
      <c r="E96">
        <v>33</v>
      </c>
      <c r="F96">
        <v>0</v>
      </c>
      <c r="G96">
        <f>1582</f>
        <v>1582</v>
      </c>
      <c r="H96" s="62">
        <v>0.54</v>
      </c>
      <c r="I96">
        <v>2</v>
      </c>
      <c r="J96">
        <f t="shared" ca="1" si="11"/>
        <v>4</v>
      </c>
      <c r="K96" s="63" t="str">
        <f t="shared" ca="1" si="12"/>
        <v>9/29</v>
      </c>
      <c r="L96" t="str">
        <f t="shared" si="13"/>
        <v>CLE</v>
      </c>
      <c r="M96" t="str">
        <f>IFERROR(INDEX(Overview!$A$3:$B$32,MATCH('538'!$L96,Overview!$A$3:$A$32,0),2),"")</f>
        <v>Indians</v>
      </c>
      <c r="N96" t="str">
        <f t="shared" si="10"/>
        <v>Mike Clevinger</v>
      </c>
      <c r="O96" s="62">
        <f t="shared" si="14"/>
        <v>0.54</v>
      </c>
      <c r="Q96" t="str">
        <f t="shared" ca="1" si="16"/>
        <v/>
      </c>
      <c r="T96" t="str">
        <f t="shared" ca="1" si="15"/>
        <v/>
      </c>
      <c r="U96" t="str">
        <f t="shared" ca="1" si="15"/>
        <v/>
      </c>
    </row>
    <row r="97" spans="1:21" x14ac:dyDescent="0.25">
      <c r="C97" t="s">
        <v>1379</v>
      </c>
      <c r="H97" s="62"/>
      <c r="J97">
        <f t="shared" ca="1" si="11"/>
        <v>4</v>
      </c>
      <c r="K97" s="63" t="str">
        <f t="shared" ca="1" si="12"/>
        <v>9/29</v>
      </c>
      <c r="L97" t="str">
        <f t="shared" si="13"/>
        <v/>
      </c>
      <c r="M97" t="str">
        <f>IFERROR(INDEX(Overview!$A$3:$B$32,MATCH('538'!$L97,Overview!$A$3:$A$32,0),2),"")</f>
        <v/>
      </c>
      <c r="N97" t="str">
        <f t="shared" si="10"/>
        <v/>
      </c>
      <c r="O97" s="62">
        <f t="shared" si="14"/>
        <v>0</v>
      </c>
      <c r="Q97" t="str">
        <f t="shared" ca="1" si="16"/>
        <v/>
      </c>
      <c r="T97" t="str">
        <f t="shared" ca="1" si="15"/>
        <v/>
      </c>
      <c r="U97" t="str">
        <f t="shared" ca="1" si="15"/>
        <v/>
      </c>
    </row>
    <row r="98" spans="1:21" x14ac:dyDescent="0.25">
      <c r="B98" t="s">
        <v>955</v>
      </c>
      <c r="C98" t="s">
        <v>4808</v>
      </c>
      <c r="D98">
        <v>1562</v>
      </c>
      <c r="E98" t="s">
        <v>3581</v>
      </c>
      <c r="F98">
        <v>24</v>
      </c>
      <c r="G98">
        <f>1557</f>
        <v>1557</v>
      </c>
      <c r="H98" s="62">
        <v>0.46</v>
      </c>
      <c r="I98">
        <v>8</v>
      </c>
      <c r="J98">
        <f t="shared" ca="1" si="11"/>
        <v>4</v>
      </c>
      <c r="K98" s="63" t="str">
        <f t="shared" ca="1" si="12"/>
        <v>9/29</v>
      </c>
      <c r="L98" t="str">
        <f t="shared" si="13"/>
        <v>WSN</v>
      </c>
      <c r="M98" t="str">
        <f>IFERROR(INDEX(Overview!$A$3:$B$32,MATCH('538'!$L98,Overview!$A$3:$A$32,0),2),"")</f>
        <v>Nationals</v>
      </c>
      <c r="N98" t="str">
        <f t="shared" si="10"/>
        <v>Joe Ross</v>
      </c>
      <c r="O98" s="62">
        <f t="shared" si="14"/>
        <v>0.46</v>
      </c>
      <c r="Q98" t="str">
        <f t="shared" ca="1" si="16"/>
        <v/>
      </c>
      <c r="T98" t="str">
        <f t="shared" ca="1" si="15"/>
        <v/>
      </c>
      <c r="U98" t="str">
        <f t="shared" ca="1" si="15"/>
        <v/>
      </c>
    </row>
    <row r="99" spans="1:21" x14ac:dyDescent="0.25">
      <c r="C99" t="s">
        <v>4809</v>
      </c>
      <c r="H99" s="62"/>
      <c r="J99">
        <f t="shared" ca="1" si="11"/>
        <v>4</v>
      </c>
      <c r="K99" s="63" t="str">
        <f t="shared" ca="1" si="12"/>
        <v>9/29</v>
      </c>
      <c r="M99" t="str">
        <f>IFERROR(INDEX(Overview!$A$3:$B$32,MATCH('538'!$L99,Overview!$A$3:$A$32,0),2),"")</f>
        <v/>
      </c>
      <c r="N99" t="str">
        <f t="shared" si="10"/>
        <v/>
      </c>
      <c r="O99" s="62">
        <f t="shared" si="14"/>
        <v>0</v>
      </c>
      <c r="Q99" t="str">
        <f t="shared" ca="1" si="16"/>
        <v/>
      </c>
      <c r="T99" t="str">
        <f t="shared" ca="1" si="15"/>
        <v/>
      </c>
      <c r="U99" t="str">
        <f t="shared" ca="1" si="15"/>
        <v/>
      </c>
    </row>
    <row r="100" spans="1:21" x14ac:dyDescent="0.25">
      <c r="A100" t="s">
        <v>4807</v>
      </c>
      <c r="B100" t="s">
        <v>1018</v>
      </c>
      <c r="C100" t="s">
        <v>4551</v>
      </c>
      <c r="D100">
        <v>1582</v>
      </c>
      <c r="E100" t="s">
        <v>1045</v>
      </c>
      <c r="F100">
        <v>0</v>
      </c>
      <c r="G100">
        <f>1569</f>
        <v>1569</v>
      </c>
      <c r="H100" s="62">
        <v>0.55000000000000004</v>
      </c>
      <c r="I100">
        <v>1</v>
      </c>
      <c r="J100">
        <f t="shared" ca="1" si="11"/>
        <v>4</v>
      </c>
      <c r="K100" s="63" t="str">
        <f t="shared" ca="1" si="12"/>
        <v>9/29</v>
      </c>
      <c r="L100" t="str">
        <f t="shared" ref="L100:L137" si="17">LEFT(B100,3)</f>
        <v>NYY</v>
      </c>
      <c r="M100" t="str">
        <f>IFERROR(INDEX(Overview!$A$3:$B$32,MATCH('538'!$L100,Overview!$A$3:$A$32,0),2),"")</f>
        <v>Yankees</v>
      </c>
      <c r="N100" t="str">
        <f t="shared" si="10"/>
        <v>Chad Green</v>
      </c>
      <c r="O100" s="62">
        <f t="shared" si="14"/>
        <v>0.55000000000000004</v>
      </c>
      <c r="Q100" t="str">
        <f t="shared" ca="1" si="16"/>
        <v/>
      </c>
      <c r="T100" t="str">
        <f t="shared" ca="1" si="15"/>
        <v/>
      </c>
      <c r="U100" t="str">
        <f t="shared" ca="1" si="15"/>
        <v/>
      </c>
    </row>
    <row r="101" spans="1:21" x14ac:dyDescent="0.25">
      <c r="C101" t="s">
        <v>4552</v>
      </c>
      <c r="H101" s="62"/>
      <c r="J101">
        <f t="shared" ca="1" si="11"/>
        <v>4</v>
      </c>
      <c r="K101" s="63" t="str">
        <f t="shared" ca="1" si="12"/>
        <v>9/29</v>
      </c>
      <c r="L101" t="str">
        <f t="shared" si="17"/>
        <v/>
      </c>
      <c r="M101" t="str">
        <f>IFERROR(INDEX(Overview!$A$3:$B$32,MATCH('538'!$L101,Overview!$A$3:$A$32,0),2),"")</f>
        <v/>
      </c>
      <c r="N101" t="str">
        <f t="shared" si="10"/>
        <v/>
      </c>
      <c r="O101" s="62">
        <f t="shared" si="14"/>
        <v>0</v>
      </c>
      <c r="Q101" t="str">
        <f t="shared" ca="1" si="16"/>
        <v/>
      </c>
      <c r="T101" t="str">
        <f t="shared" ca="1" si="15"/>
        <v/>
      </c>
      <c r="U101" t="str">
        <f t="shared" ca="1" si="15"/>
        <v/>
      </c>
    </row>
    <row r="102" spans="1:21" x14ac:dyDescent="0.25">
      <c r="B102" t="s">
        <v>1014</v>
      </c>
      <c r="C102" t="s">
        <v>1110</v>
      </c>
      <c r="D102">
        <v>1470</v>
      </c>
      <c r="E102">
        <v>42</v>
      </c>
      <c r="F102">
        <v>24</v>
      </c>
      <c r="G102">
        <f>1536</f>
        <v>1536</v>
      </c>
      <c r="H102" s="62">
        <v>0.45</v>
      </c>
      <c r="I102">
        <v>6</v>
      </c>
      <c r="J102">
        <f t="shared" ca="1" si="11"/>
        <v>4</v>
      </c>
      <c r="K102" s="63" t="str">
        <f t="shared" ca="1" si="12"/>
        <v>9/29</v>
      </c>
      <c r="L102" t="str">
        <f t="shared" si="17"/>
        <v>TEX</v>
      </c>
      <c r="M102" t="str">
        <f>IFERROR(INDEX(Overview!$A$3:$B$32,MATCH('538'!$L102,Overview!$A$3:$A$32,0),2),"")</f>
        <v>Rangers</v>
      </c>
      <c r="N102" t="str">
        <f t="shared" si="10"/>
        <v>Lance Lynn</v>
      </c>
      <c r="O102" s="62">
        <f t="shared" si="14"/>
        <v>0.45</v>
      </c>
      <c r="Q102" t="str">
        <f t="shared" ca="1" si="16"/>
        <v/>
      </c>
      <c r="T102" t="str">
        <f t="shared" ca="1" si="15"/>
        <v/>
      </c>
      <c r="U102" t="str">
        <f t="shared" ca="1" si="15"/>
        <v/>
      </c>
    </row>
    <row r="103" spans="1:21" x14ac:dyDescent="0.25">
      <c r="C103" t="s">
        <v>1111</v>
      </c>
      <c r="H103" s="62"/>
      <c r="J103">
        <f t="shared" ca="1" si="11"/>
        <v>4</v>
      </c>
      <c r="K103" s="63" t="str">
        <f t="shared" ca="1" si="12"/>
        <v>9/29</v>
      </c>
      <c r="L103" t="str">
        <f t="shared" si="17"/>
        <v/>
      </c>
      <c r="M103" t="str">
        <f>IFERROR(INDEX(Overview!$A$3:$B$32,MATCH('538'!$L103,Overview!$A$3:$A$32,0),2),"")</f>
        <v/>
      </c>
      <c r="N103" t="str">
        <f t="shared" si="10"/>
        <v/>
      </c>
      <c r="O103" s="62">
        <f t="shared" si="14"/>
        <v>0</v>
      </c>
      <c r="Q103" t="str">
        <f t="shared" ca="1" si="16"/>
        <v/>
      </c>
      <c r="T103" t="str">
        <f t="shared" ca="1" si="15"/>
        <v/>
      </c>
      <c r="U103" t="str">
        <f t="shared" ca="1" si="15"/>
        <v/>
      </c>
    </row>
    <row r="104" spans="1:21" x14ac:dyDescent="0.25">
      <c r="A104" t="s">
        <v>4807</v>
      </c>
      <c r="B104" t="s">
        <v>986</v>
      </c>
      <c r="C104" t="s">
        <v>4367</v>
      </c>
      <c r="D104">
        <v>1594</v>
      </c>
      <c r="E104" t="s">
        <v>949</v>
      </c>
      <c r="F104">
        <v>0</v>
      </c>
      <c r="G104">
        <f>1592</f>
        <v>1592</v>
      </c>
      <c r="H104" s="62">
        <v>0.64</v>
      </c>
      <c r="I104">
        <v>9</v>
      </c>
      <c r="J104">
        <f t="shared" ca="1" si="11"/>
        <v>4</v>
      </c>
      <c r="K104" s="63" t="str">
        <f t="shared" ca="1" si="12"/>
        <v>9/29</v>
      </c>
      <c r="L104" t="str">
        <f t="shared" si="17"/>
        <v>LAD</v>
      </c>
      <c r="M104" t="str">
        <f>IFERROR(INDEX(Overview!$A$3:$B$32,MATCH('538'!$L104,Overview!$A$3:$A$32,0),2),"")</f>
        <v>Dodgers</v>
      </c>
      <c r="N104" t="str">
        <f t="shared" si="10"/>
        <v>Rich Hill</v>
      </c>
      <c r="O104" s="62">
        <f t="shared" si="14"/>
        <v>0.64</v>
      </c>
      <c r="Q104" t="str">
        <f t="shared" ca="1" si="16"/>
        <v/>
      </c>
      <c r="T104" t="str">
        <f t="shared" ca="1" si="15"/>
        <v/>
      </c>
      <c r="U104" t="str">
        <f t="shared" ca="1" si="15"/>
        <v/>
      </c>
    </row>
    <row r="105" spans="1:21" x14ac:dyDescent="0.25">
      <c r="C105" t="s">
        <v>4368</v>
      </c>
      <c r="H105" s="62"/>
      <c r="J105">
        <f t="shared" ca="1" si="11"/>
        <v>4</v>
      </c>
      <c r="K105" s="63" t="str">
        <f t="shared" ca="1" si="12"/>
        <v>9/29</v>
      </c>
      <c r="L105" t="str">
        <f t="shared" si="17"/>
        <v/>
      </c>
      <c r="M105" t="str">
        <f>IFERROR(INDEX(Overview!$A$3:$B$32,MATCH('538'!$L105,Overview!$A$3:$A$32,0),2),"")</f>
        <v/>
      </c>
      <c r="N105" t="str">
        <f t="shared" si="10"/>
        <v/>
      </c>
      <c r="O105" s="62">
        <f t="shared" si="14"/>
        <v>0</v>
      </c>
      <c r="Q105" t="str">
        <f t="shared" ca="1" si="16"/>
        <v/>
      </c>
      <c r="T105" t="str">
        <f t="shared" ca="1" si="15"/>
        <v/>
      </c>
      <c r="U105" t="str">
        <f t="shared" ca="1" si="15"/>
        <v/>
      </c>
    </row>
    <row r="106" spans="1:21" x14ac:dyDescent="0.25">
      <c r="B106" t="s">
        <v>988</v>
      </c>
      <c r="C106" t="s">
        <v>3649</v>
      </c>
      <c r="D106">
        <v>1476</v>
      </c>
      <c r="E106" t="s">
        <v>1063</v>
      </c>
      <c r="F106">
        <v>24</v>
      </c>
      <c r="G106">
        <f>1495</f>
        <v>1495</v>
      </c>
      <c r="H106" s="62">
        <v>0.36</v>
      </c>
      <c r="I106">
        <v>0</v>
      </c>
      <c r="J106">
        <f t="shared" ca="1" si="11"/>
        <v>4</v>
      </c>
      <c r="K106" s="63" t="str">
        <f t="shared" ca="1" si="12"/>
        <v>9/29</v>
      </c>
      <c r="L106" t="str">
        <f t="shared" si="17"/>
        <v>SFS</v>
      </c>
      <c r="M106" t="str">
        <f>IFERROR(INDEX(Overview!$A$3:$B$32,MATCH('538'!$L106,Overview!$A$3:$A$32,0),2),"")</f>
        <v/>
      </c>
      <c r="N106" t="str">
        <f t="shared" si="10"/>
        <v>Dereck Rodriguez</v>
      </c>
      <c r="O106" s="62">
        <f t="shared" si="14"/>
        <v>0.36</v>
      </c>
      <c r="Q106" t="str">
        <f t="shared" ca="1" si="16"/>
        <v/>
      </c>
      <c r="T106" t="str">
        <f t="shared" ca="1" si="15"/>
        <v/>
      </c>
      <c r="U106" t="str">
        <f t="shared" ca="1" si="15"/>
        <v/>
      </c>
    </row>
    <row r="107" spans="1:21" x14ac:dyDescent="0.25">
      <c r="C107" t="s">
        <v>952</v>
      </c>
      <c r="H107" s="62"/>
      <c r="J107">
        <f t="shared" ca="1" si="11"/>
        <v>4</v>
      </c>
      <c r="K107" s="63" t="str">
        <f t="shared" ca="1" si="12"/>
        <v>9/29</v>
      </c>
      <c r="L107" t="str">
        <f t="shared" si="17"/>
        <v/>
      </c>
      <c r="M107" t="str">
        <f>IFERROR(INDEX(Overview!$A$3:$B$32,MATCH('538'!$L107,Overview!$A$3:$A$32,0),2),"")</f>
        <v/>
      </c>
      <c r="N107" t="str">
        <f t="shared" si="10"/>
        <v/>
      </c>
      <c r="O107" s="62">
        <f t="shared" si="14"/>
        <v>0</v>
      </c>
      <c r="Q107" t="str">
        <f t="shared" ca="1" si="16"/>
        <v/>
      </c>
      <c r="T107" t="str">
        <f t="shared" ca="1" si="15"/>
        <v/>
      </c>
      <c r="U107" t="str">
        <f t="shared" ca="1" si="15"/>
        <v/>
      </c>
    </row>
    <row r="108" spans="1:21" x14ac:dyDescent="0.25">
      <c r="A108" t="s">
        <v>4807</v>
      </c>
      <c r="B108" t="s">
        <v>958</v>
      </c>
      <c r="C108" t="s">
        <v>4369</v>
      </c>
      <c r="D108">
        <v>1492</v>
      </c>
      <c r="E108" t="s">
        <v>4550</v>
      </c>
      <c r="F108">
        <v>0</v>
      </c>
      <c r="G108">
        <f>1461</f>
        <v>1461</v>
      </c>
      <c r="H108" s="62">
        <v>0.45</v>
      </c>
      <c r="I108">
        <v>3</v>
      </c>
      <c r="J108">
        <f t="shared" ca="1" si="11"/>
        <v>4</v>
      </c>
      <c r="K108" s="63" t="str">
        <f t="shared" ca="1" si="12"/>
        <v>9/29</v>
      </c>
      <c r="L108" t="str">
        <f t="shared" si="17"/>
        <v>CIN</v>
      </c>
      <c r="M108" t="str">
        <f>IFERROR(INDEX(Overview!$A$3:$B$32,MATCH('538'!$L108,Overview!$A$3:$A$32,0),2),"")</f>
        <v>Reds</v>
      </c>
      <c r="N108" t="str">
        <f t="shared" si="10"/>
        <v>Tyler Mahle</v>
      </c>
      <c r="O108" s="62">
        <f t="shared" si="14"/>
        <v>0.45</v>
      </c>
      <c r="Q108" t="str">
        <f t="shared" ca="1" si="16"/>
        <v/>
      </c>
      <c r="T108" t="str">
        <f t="shared" ca="1" si="15"/>
        <v/>
      </c>
      <c r="U108" t="str">
        <f t="shared" ca="1" si="15"/>
        <v/>
      </c>
    </row>
    <row r="109" spans="1:21" x14ac:dyDescent="0.25">
      <c r="C109" t="s">
        <v>4370</v>
      </c>
      <c r="H109" s="62"/>
      <c r="J109">
        <f t="shared" ca="1" si="11"/>
        <v>4</v>
      </c>
      <c r="K109" s="63" t="str">
        <f t="shared" ca="1" si="12"/>
        <v>9/29</v>
      </c>
      <c r="L109" t="str">
        <f t="shared" si="17"/>
        <v/>
      </c>
      <c r="M109" t="str">
        <f>IFERROR(INDEX(Overview!$A$3:$B$32,MATCH('538'!$L109,Overview!$A$3:$A$32,0),2),"")</f>
        <v/>
      </c>
      <c r="N109" t="str">
        <f t="shared" si="10"/>
        <v/>
      </c>
      <c r="O109" s="62">
        <f t="shared" si="14"/>
        <v>0</v>
      </c>
      <c r="Q109" t="str">
        <f t="shared" ca="1" si="16"/>
        <v/>
      </c>
      <c r="T109" t="str">
        <f t="shared" ref="T109:U128" ca="1" si="18">IFERROR(VLOOKUP(ROW()-8,$J$9:$O$409,T$8,0),"")</f>
        <v/>
      </c>
      <c r="U109" t="str">
        <f t="shared" ca="1" si="18"/>
        <v/>
      </c>
    </row>
    <row r="110" spans="1:21" x14ac:dyDescent="0.25">
      <c r="B110" t="s">
        <v>1011</v>
      </c>
      <c r="C110" t="s">
        <v>1384</v>
      </c>
      <c r="D110">
        <v>1470</v>
      </c>
      <c r="E110">
        <v>0</v>
      </c>
      <c r="F110">
        <v>24</v>
      </c>
      <c r="G110">
        <f>1494</f>
        <v>1494</v>
      </c>
      <c r="H110" s="62">
        <v>0.55000000000000004</v>
      </c>
      <c r="I110">
        <v>1</v>
      </c>
      <c r="J110">
        <f t="shared" ca="1" si="11"/>
        <v>4</v>
      </c>
      <c r="K110" s="63" t="str">
        <f t="shared" ca="1" si="12"/>
        <v>9/29</v>
      </c>
      <c r="L110" t="str">
        <f t="shared" si="17"/>
        <v>PIT</v>
      </c>
      <c r="M110" t="str">
        <f>IFERROR(INDEX(Overview!$A$3:$B$32,MATCH('538'!$L110,Overview!$A$3:$A$32,0),2),"")</f>
        <v>Pirates</v>
      </c>
      <c r="N110" t="str">
        <f t="shared" si="10"/>
        <v>Trevor Williams</v>
      </c>
      <c r="O110" s="62">
        <f t="shared" si="14"/>
        <v>0.55000000000000004</v>
      </c>
      <c r="Q110" t="str">
        <f t="shared" ca="1" si="16"/>
        <v/>
      </c>
      <c r="T110" t="str">
        <f t="shared" ca="1" si="18"/>
        <v/>
      </c>
      <c r="U110" t="str">
        <f t="shared" ca="1" si="18"/>
        <v/>
      </c>
    </row>
    <row r="111" spans="1:21" x14ac:dyDescent="0.25">
      <c r="C111" t="s">
        <v>1385</v>
      </c>
      <c r="H111" s="62"/>
      <c r="J111">
        <f t="shared" ca="1" si="11"/>
        <v>4</v>
      </c>
      <c r="K111" s="63" t="str">
        <f t="shared" ca="1" si="12"/>
        <v>9/29</v>
      </c>
      <c r="L111" t="str">
        <f t="shared" si="17"/>
        <v/>
      </c>
      <c r="M111" t="str">
        <f>IFERROR(INDEX(Overview!$A$3:$B$32,MATCH('538'!$L111,Overview!$A$3:$A$32,0),2),"")</f>
        <v/>
      </c>
      <c r="N111" t="str">
        <f t="shared" si="10"/>
        <v/>
      </c>
      <c r="O111" s="62">
        <f t="shared" si="14"/>
        <v>0</v>
      </c>
      <c r="Q111" t="str">
        <f t="shared" ca="1" si="16"/>
        <v/>
      </c>
      <c r="T111" t="str">
        <f t="shared" ca="1" si="18"/>
        <v/>
      </c>
      <c r="U111" t="str">
        <f t="shared" ca="1" si="18"/>
        <v/>
      </c>
    </row>
    <row r="112" spans="1:21" x14ac:dyDescent="0.25">
      <c r="A112" t="s">
        <v>4807</v>
      </c>
      <c r="B112" t="s">
        <v>1000</v>
      </c>
      <c r="C112" t="s">
        <v>1001</v>
      </c>
      <c r="D112">
        <v>1431</v>
      </c>
      <c r="E112">
        <v>14</v>
      </c>
      <c r="F112">
        <v>0</v>
      </c>
      <c r="G112">
        <f>1445</f>
        <v>1445</v>
      </c>
      <c r="H112" s="62">
        <v>0.38</v>
      </c>
      <c r="I112">
        <v>4</v>
      </c>
      <c r="J112">
        <f t="shared" ca="1" si="11"/>
        <v>4</v>
      </c>
      <c r="K112" s="63" t="str">
        <f t="shared" ca="1" si="12"/>
        <v>9/29</v>
      </c>
      <c r="L112" t="str">
        <f t="shared" si="17"/>
        <v>MIA</v>
      </c>
      <c r="M112" t="str">
        <f>IFERROR(INDEX(Overview!$A$3:$B$32,MATCH('538'!$L112,Overview!$A$3:$A$32,0),2),"")</f>
        <v>Marlins</v>
      </c>
      <c r="N112" t="str">
        <f t="shared" si="10"/>
        <v>Sandy Alcantara</v>
      </c>
      <c r="O112" s="62">
        <f t="shared" si="14"/>
        <v>0.38</v>
      </c>
      <c r="Q112" t="str">
        <f t="shared" ca="1" si="16"/>
        <v/>
      </c>
      <c r="T112" t="str">
        <f t="shared" ca="1" si="18"/>
        <v/>
      </c>
      <c r="U112" t="str">
        <f t="shared" ca="1" si="18"/>
        <v/>
      </c>
    </row>
    <row r="113" spans="1:21" x14ac:dyDescent="0.25">
      <c r="C113" t="s">
        <v>1002</v>
      </c>
      <c r="H113" s="62"/>
      <c r="J113">
        <f t="shared" ca="1" si="11"/>
        <v>4</v>
      </c>
      <c r="K113" s="63" t="str">
        <f t="shared" ca="1" si="12"/>
        <v>9/29</v>
      </c>
      <c r="L113" t="str">
        <f t="shared" si="17"/>
        <v/>
      </c>
      <c r="M113" t="str">
        <f>IFERROR(INDEX(Overview!$A$3:$B$32,MATCH('538'!$L113,Overview!$A$3:$A$32,0),2),"")</f>
        <v/>
      </c>
      <c r="N113" t="str">
        <f t="shared" si="10"/>
        <v/>
      </c>
      <c r="O113" s="62">
        <f t="shared" si="14"/>
        <v>0</v>
      </c>
      <c r="Q113" t="str">
        <f t="shared" ca="1" si="16"/>
        <v/>
      </c>
      <c r="T113" t="str">
        <f t="shared" ca="1" si="18"/>
        <v/>
      </c>
      <c r="U113" t="str">
        <f t="shared" ca="1" si="18"/>
        <v/>
      </c>
    </row>
    <row r="114" spans="1:21" x14ac:dyDescent="0.25">
      <c r="B114" t="s">
        <v>992</v>
      </c>
      <c r="C114" t="s">
        <v>4810</v>
      </c>
      <c r="D114">
        <v>1506</v>
      </c>
      <c r="E114" t="s">
        <v>1038</v>
      </c>
      <c r="F114">
        <v>24</v>
      </c>
      <c r="G114">
        <f>1526</f>
        <v>1526</v>
      </c>
      <c r="H114" s="62">
        <v>0.62</v>
      </c>
      <c r="I114">
        <v>3</v>
      </c>
      <c r="J114">
        <f t="shared" ca="1" si="11"/>
        <v>4</v>
      </c>
      <c r="K114" s="63" t="str">
        <f t="shared" ca="1" si="12"/>
        <v>9/29</v>
      </c>
      <c r="L114" t="str">
        <f t="shared" si="17"/>
        <v>PHI</v>
      </c>
      <c r="M114" t="str">
        <f>IFERROR(INDEX(Overview!$A$3:$B$32,MATCH('538'!$L114,Overview!$A$3:$A$32,0),2),"")</f>
        <v>Phillies</v>
      </c>
      <c r="N114" t="str">
        <f t="shared" si="10"/>
        <v>Blake Parker</v>
      </c>
      <c r="O114" s="62">
        <f t="shared" si="14"/>
        <v>0.62</v>
      </c>
      <c r="Q114" t="str">
        <f t="shared" ca="1" si="16"/>
        <v/>
      </c>
      <c r="T114" t="str">
        <f t="shared" ca="1" si="18"/>
        <v/>
      </c>
      <c r="U114" t="str">
        <f t="shared" ca="1" si="18"/>
        <v/>
      </c>
    </row>
    <row r="115" spans="1:21" x14ac:dyDescent="0.25">
      <c r="C115" t="s">
        <v>4811</v>
      </c>
      <c r="H115" s="62"/>
      <c r="J115">
        <f t="shared" ca="1" si="11"/>
        <v>4</v>
      </c>
      <c r="K115" s="63" t="str">
        <f t="shared" ca="1" si="12"/>
        <v>9/29</v>
      </c>
      <c r="L115" t="str">
        <f t="shared" si="17"/>
        <v/>
      </c>
      <c r="M115" t="str">
        <f>IFERROR(INDEX(Overview!$A$3:$B$32,MATCH('538'!$L115,Overview!$A$3:$A$32,0),2),"")</f>
        <v/>
      </c>
      <c r="N115" t="str">
        <f t="shared" si="10"/>
        <v/>
      </c>
      <c r="O115" s="62">
        <f t="shared" si="14"/>
        <v>0</v>
      </c>
      <c r="Q115" t="str">
        <f t="shared" ca="1" si="16"/>
        <v/>
      </c>
      <c r="T115" t="str">
        <f t="shared" ca="1" si="18"/>
        <v/>
      </c>
      <c r="U115" t="str">
        <f t="shared" ca="1" si="18"/>
        <v/>
      </c>
    </row>
    <row r="116" spans="1:21" x14ac:dyDescent="0.25">
      <c r="A116" t="s">
        <v>4807</v>
      </c>
      <c r="B116" t="s">
        <v>978</v>
      </c>
      <c r="C116" t="s">
        <v>4812</v>
      </c>
      <c r="D116">
        <v>1413</v>
      </c>
      <c r="E116" t="s">
        <v>1086</v>
      </c>
      <c r="F116">
        <v>0</v>
      </c>
      <c r="G116">
        <f>1403</f>
        <v>1403</v>
      </c>
      <c r="H116" s="62">
        <v>0.26</v>
      </c>
      <c r="I116">
        <v>4</v>
      </c>
      <c r="J116">
        <f t="shared" ca="1" si="11"/>
        <v>4</v>
      </c>
      <c r="K116" s="63" t="str">
        <f t="shared" ca="1" si="12"/>
        <v>9/29</v>
      </c>
      <c r="L116" t="str">
        <f t="shared" si="17"/>
        <v>BAL</v>
      </c>
      <c r="M116" t="str">
        <f>IFERROR(INDEX(Overview!$A$3:$B$32,MATCH('538'!$L116,Overview!$A$3:$A$32,0),2),"")</f>
        <v>Orioles</v>
      </c>
      <c r="N116" t="str">
        <f t="shared" si="10"/>
        <v>Chandler Shepherd</v>
      </c>
      <c r="O116" s="62">
        <f t="shared" si="14"/>
        <v>0.26</v>
      </c>
      <c r="Q116" t="str">
        <f t="shared" ca="1" si="16"/>
        <v/>
      </c>
      <c r="T116" t="str">
        <f t="shared" ca="1" si="18"/>
        <v/>
      </c>
      <c r="U116" t="str">
        <f t="shared" ca="1" si="18"/>
        <v/>
      </c>
    </row>
    <row r="117" spans="1:21" x14ac:dyDescent="0.25">
      <c r="C117" t="s">
        <v>4813</v>
      </c>
      <c r="H117" s="62"/>
      <c r="J117">
        <f t="shared" ca="1" si="11"/>
        <v>4</v>
      </c>
      <c r="K117" s="63" t="str">
        <f t="shared" ca="1" si="12"/>
        <v>9/29</v>
      </c>
      <c r="L117" t="str">
        <f t="shared" si="17"/>
        <v/>
      </c>
      <c r="M117" t="str">
        <f>IFERROR(INDEX(Overview!$A$3:$B$32,MATCH('538'!$L117,Overview!$A$3:$A$32,0),2),"")</f>
        <v/>
      </c>
      <c r="N117" t="str">
        <f t="shared" si="10"/>
        <v/>
      </c>
      <c r="O117" s="62">
        <f t="shared" si="14"/>
        <v>0</v>
      </c>
      <c r="Q117" t="str">
        <f t="shared" ca="1" si="16"/>
        <v/>
      </c>
      <c r="T117" t="str">
        <f t="shared" ca="1" si="18"/>
        <v/>
      </c>
      <c r="U117" t="str">
        <f t="shared" ca="1" si="18"/>
        <v/>
      </c>
    </row>
    <row r="118" spans="1:21" x14ac:dyDescent="0.25">
      <c r="B118" t="s">
        <v>950</v>
      </c>
      <c r="C118" t="s">
        <v>951</v>
      </c>
      <c r="D118">
        <v>1533</v>
      </c>
      <c r="E118">
        <v>24</v>
      </c>
      <c r="F118">
        <v>24</v>
      </c>
      <c r="G118">
        <f>1581</f>
        <v>1581</v>
      </c>
      <c r="H118" s="62">
        <v>0.74</v>
      </c>
      <c r="I118">
        <v>5</v>
      </c>
      <c r="J118">
        <f t="shared" ca="1" si="11"/>
        <v>4</v>
      </c>
      <c r="K118" s="63" t="str">
        <f t="shared" ca="1" si="12"/>
        <v>9/29</v>
      </c>
      <c r="L118" t="str">
        <f t="shared" si="17"/>
        <v>BOS</v>
      </c>
      <c r="M118" t="str">
        <f>IFERROR(INDEX(Overview!$A$3:$B$32,MATCH('538'!$L118,Overview!$A$3:$A$32,0),2),"")</f>
        <v>Red Sox</v>
      </c>
      <c r="N118" t="str">
        <f t="shared" si="10"/>
        <v>Eduardo Rodriguez</v>
      </c>
      <c r="O118" s="62">
        <f t="shared" si="14"/>
        <v>0.74</v>
      </c>
      <c r="Q118" t="str">
        <f t="shared" ca="1" si="16"/>
        <v/>
      </c>
      <c r="T118" t="str">
        <f t="shared" ca="1" si="18"/>
        <v/>
      </c>
      <c r="U118" t="str">
        <f t="shared" ca="1" si="18"/>
        <v/>
      </c>
    </row>
    <row r="119" spans="1:21" x14ac:dyDescent="0.25">
      <c r="C119" t="s">
        <v>952</v>
      </c>
      <c r="H119" s="62"/>
      <c r="J119">
        <f t="shared" ca="1" si="11"/>
        <v>4</v>
      </c>
      <c r="K119" s="63" t="str">
        <f t="shared" ca="1" si="12"/>
        <v>9/29</v>
      </c>
      <c r="L119" t="str">
        <f t="shared" si="17"/>
        <v/>
      </c>
      <c r="M119" t="str">
        <f>IFERROR(INDEX(Overview!$A$3:$B$32,MATCH('538'!$L119,Overview!$A$3:$A$32,0),2),"")</f>
        <v/>
      </c>
      <c r="N119" t="str">
        <f t="shared" si="10"/>
        <v/>
      </c>
      <c r="O119" s="62">
        <f t="shared" si="14"/>
        <v>0</v>
      </c>
      <c r="Q119" t="str">
        <f t="shared" ca="1" si="16"/>
        <v/>
      </c>
      <c r="T119" t="str">
        <f t="shared" ca="1" si="18"/>
        <v/>
      </c>
      <c r="U119" t="str">
        <f t="shared" ca="1" si="18"/>
        <v/>
      </c>
    </row>
    <row r="120" spans="1:21" x14ac:dyDescent="0.25">
      <c r="A120" t="s">
        <v>4814</v>
      </c>
      <c r="B120" t="s">
        <v>948</v>
      </c>
      <c r="C120" t="s">
        <v>1073</v>
      </c>
      <c r="D120">
        <v>1560</v>
      </c>
      <c r="E120" t="s">
        <v>1003</v>
      </c>
      <c r="F120">
        <v>0</v>
      </c>
      <c r="G120">
        <f>1552</f>
        <v>1552</v>
      </c>
      <c r="H120" s="62">
        <v>0.56000000000000005</v>
      </c>
      <c r="I120">
        <v>1</v>
      </c>
      <c r="J120">
        <f t="shared" ca="1" si="11"/>
        <v>4</v>
      </c>
      <c r="K120" s="63" t="str">
        <f t="shared" ca="1" si="12"/>
        <v>9/28</v>
      </c>
      <c r="L120" t="str">
        <f t="shared" si="17"/>
        <v>OAK</v>
      </c>
      <c r="M120" t="str">
        <f>IFERROR(INDEX(Overview!$A$3:$B$32,MATCH('538'!$L120,Overview!$A$3:$A$32,0),2),"")</f>
        <v>Athletics</v>
      </c>
      <c r="N120" t="str">
        <f t="shared" si="10"/>
        <v>Brett Anderson</v>
      </c>
      <c r="O120" s="62">
        <f t="shared" si="14"/>
        <v>0.56000000000000005</v>
      </c>
      <c r="Q120" t="str">
        <f t="shared" ca="1" si="16"/>
        <v/>
      </c>
      <c r="T120" t="str">
        <f t="shared" ca="1" si="18"/>
        <v/>
      </c>
      <c r="U120" t="str">
        <f t="shared" ca="1" si="18"/>
        <v/>
      </c>
    </row>
    <row r="121" spans="1:21" x14ac:dyDescent="0.25">
      <c r="C121" t="s">
        <v>1046</v>
      </c>
      <c r="H121" s="62"/>
      <c r="J121">
        <f t="shared" ca="1" si="11"/>
        <v>4</v>
      </c>
      <c r="K121" s="63" t="str">
        <f t="shared" ca="1" si="12"/>
        <v>9/28</v>
      </c>
      <c r="L121" t="str">
        <f t="shared" si="17"/>
        <v/>
      </c>
      <c r="M121" t="str">
        <f>IFERROR(INDEX(Overview!$A$3:$B$32,MATCH('538'!$L121,Overview!$A$3:$A$32,0),2),"")</f>
        <v/>
      </c>
      <c r="N121" t="str">
        <f t="shared" si="10"/>
        <v/>
      </c>
      <c r="O121" s="62">
        <f t="shared" si="14"/>
        <v>0</v>
      </c>
      <c r="Q121" t="str">
        <f t="shared" ca="1" si="16"/>
        <v/>
      </c>
      <c r="T121" t="str">
        <f t="shared" ca="1" si="18"/>
        <v/>
      </c>
      <c r="U121" t="str">
        <f t="shared" ca="1" si="18"/>
        <v/>
      </c>
    </row>
    <row r="122" spans="1:21" x14ac:dyDescent="0.25">
      <c r="B122" t="s">
        <v>1027</v>
      </c>
      <c r="C122" t="s">
        <v>1034</v>
      </c>
      <c r="D122">
        <v>1465</v>
      </c>
      <c r="E122">
        <v>23</v>
      </c>
      <c r="F122">
        <v>24</v>
      </c>
      <c r="G122">
        <f>1512</f>
        <v>1512</v>
      </c>
      <c r="H122" s="62">
        <v>0.44</v>
      </c>
      <c r="I122">
        <v>0</v>
      </c>
      <c r="J122">
        <f t="shared" ca="1" si="11"/>
        <v>4</v>
      </c>
      <c r="K122" s="63" t="str">
        <f t="shared" ca="1" si="12"/>
        <v>9/28</v>
      </c>
      <c r="L122" t="str">
        <f t="shared" si="17"/>
        <v>SEA</v>
      </c>
      <c r="M122" t="str">
        <f>IFERROR(INDEX(Overview!$A$3:$B$32,MATCH('538'!$L122,Overview!$A$3:$A$32,0),2),"")</f>
        <v>Mariners</v>
      </c>
      <c r="N122" t="str">
        <f t="shared" si="10"/>
        <v>Marco Gonzales</v>
      </c>
      <c r="O122" s="62">
        <f t="shared" si="14"/>
        <v>0.44</v>
      </c>
      <c r="Q122" t="str">
        <f t="shared" ca="1" si="16"/>
        <v/>
      </c>
      <c r="T122" t="str">
        <f t="shared" ca="1" si="18"/>
        <v/>
      </c>
      <c r="U122" t="str">
        <f t="shared" ca="1" si="18"/>
        <v/>
      </c>
    </row>
    <row r="123" spans="1:21" x14ac:dyDescent="0.25">
      <c r="C123" t="s">
        <v>1035</v>
      </c>
      <c r="H123" s="62"/>
      <c r="J123">
        <f t="shared" ca="1" si="11"/>
        <v>4</v>
      </c>
      <c r="K123" s="63" t="str">
        <f t="shared" ca="1" si="12"/>
        <v>9/28</v>
      </c>
      <c r="L123" t="str">
        <f t="shared" si="17"/>
        <v/>
      </c>
      <c r="M123" t="str">
        <f>IFERROR(INDEX(Overview!$A$3:$B$32,MATCH('538'!$L123,Overview!$A$3:$A$32,0),2),"")</f>
        <v/>
      </c>
      <c r="N123" t="str">
        <f t="shared" si="10"/>
        <v/>
      </c>
      <c r="O123" s="62">
        <f t="shared" si="14"/>
        <v>0</v>
      </c>
      <c r="Q123" t="str">
        <f t="shared" ca="1" si="16"/>
        <v/>
      </c>
      <c r="T123" t="str">
        <f t="shared" ca="1" si="18"/>
        <v/>
      </c>
      <c r="U123" t="str">
        <f t="shared" ca="1" si="18"/>
        <v/>
      </c>
    </row>
    <row r="124" spans="1:21" x14ac:dyDescent="0.25">
      <c r="A124" t="s">
        <v>4815</v>
      </c>
      <c r="B124" t="s">
        <v>972</v>
      </c>
      <c r="C124" t="s">
        <v>973</v>
      </c>
      <c r="D124">
        <v>1593</v>
      </c>
      <c r="E124">
        <v>42</v>
      </c>
      <c r="F124">
        <v>0</v>
      </c>
      <c r="G124">
        <f>1635</f>
        <v>1635</v>
      </c>
      <c r="H124" s="62">
        <v>0.72</v>
      </c>
      <c r="I124">
        <v>6</v>
      </c>
      <c r="J124">
        <f t="shared" ca="1" si="11"/>
        <v>4</v>
      </c>
      <c r="K124" s="63" t="str">
        <f t="shared" ca="1" si="12"/>
        <v>9/28</v>
      </c>
      <c r="L124" t="str">
        <f t="shared" si="17"/>
        <v>HOU</v>
      </c>
      <c r="M124" t="str">
        <f>IFERROR(INDEX(Overview!$A$3:$B$32,MATCH('538'!$L124,Overview!$A$3:$A$32,0),2),"")</f>
        <v>Astros</v>
      </c>
      <c r="N124" t="str">
        <f t="shared" si="10"/>
        <v>Justin Verlander</v>
      </c>
      <c r="O124" s="62">
        <f t="shared" si="14"/>
        <v>0.72</v>
      </c>
      <c r="Q124" t="str">
        <f t="shared" ca="1" si="16"/>
        <v/>
      </c>
      <c r="T124" t="str">
        <f t="shared" ca="1" si="18"/>
        <v/>
      </c>
      <c r="U124" t="str">
        <f t="shared" ca="1" si="18"/>
        <v/>
      </c>
    </row>
    <row r="125" spans="1:21" x14ac:dyDescent="0.25">
      <c r="C125" t="s">
        <v>974</v>
      </c>
      <c r="H125" s="62"/>
      <c r="J125">
        <f t="shared" ca="1" si="11"/>
        <v>4</v>
      </c>
      <c r="K125" s="63" t="str">
        <f t="shared" ca="1" si="12"/>
        <v>9/28</v>
      </c>
      <c r="L125" t="str">
        <f t="shared" si="17"/>
        <v/>
      </c>
      <c r="M125" t="str">
        <f>IFERROR(INDEX(Overview!$A$3:$B$32,MATCH('538'!$L125,Overview!$A$3:$A$32,0),2),"")</f>
        <v/>
      </c>
      <c r="N125" t="str">
        <f t="shared" si="10"/>
        <v/>
      </c>
      <c r="O125" s="62">
        <f t="shared" si="14"/>
        <v>0</v>
      </c>
      <c r="Q125" t="str">
        <f t="shared" ca="1" si="16"/>
        <v/>
      </c>
      <c r="T125" t="str">
        <f t="shared" ca="1" si="18"/>
        <v/>
      </c>
      <c r="U125" t="str">
        <f t="shared" ca="1" si="18"/>
        <v/>
      </c>
    </row>
    <row r="126" spans="1:21" x14ac:dyDescent="0.25">
      <c r="B126" t="s">
        <v>1025</v>
      </c>
      <c r="C126" t="s">
        <v>1369</v>
      </c>
      <c r="D126">
        <v>1476</v>
      </c>
      <c r="E126" t="s">
        <v>3581</v>
      </c>
      <c r="F126">
        <v>24</v>
      </c>
      <c r="G126">
        <f>1471</f>
        <v>1471</v>
      </c>
      <c r="H126" s="62">
        <v>0.28000000000000003</v>
      </c>
      <c r="I126">
        <v>3</v>
      </c>
      <c r="J126">
        <f t="shared" ca="1" si="11"/>
        <v>4</v>
      </c>
      <c r="K126" s="63" t="str">
        <f t="shared" ca="1" si="12"/>
        <v>9/28</v>
      </c>
      <c r="L126" t="str">
        <f t="shared" si="17"/>
        <v>LAA</v>
      </c>
      <c r="M126" t="str">
        <f>IFERROR(INDEX(Overview!$A$3:$B$32,MATCH('538'!$L126,Overview!$A$3:$A$32,0),2),"")</f>
        <v>Angels</v>
      </c>
      <c r="N126" t="str">
        <f t="shared" si="10"/>
        <v>Jose Suarez</v>
      </c>
      <c r="O126" s="62">
        <f t="shared" si="14"/>
        <v>0.28000000000000003</v>
      </c>
      <c r="Q126" t="str">
        <f t="shared" ca="1" si="16"/>
        <v/>
      </c>
      <c r="T126" t="str">
        <f t="shared" ca="1" si="18"/>
        <v/>
      </c>
      <c r="U126" t="str">
        <f t="shared" ca="1" si="18"/>
        <v/>
      </c>
    </row>
    <row r="127" spans="1:21" x14ac:dyDescent="0.25">
      <c r="C127" t="s">
        <v>1269</v>
      </c>
      <c r="H127" s="62"/>
      <c r="J127">
        <f t="shared" ca="1" si="11"/>
        <v>4</v>
      </c>
      <c r="K127" s="63" t="str">
        <f t="shared" ca="1" si="12"/>
        <v>9/28</v>
      </c>
      <c r="L127" t="str">
        <f t="shared" si="17"/>
        <v/>
      </c>
      <c r="M127" t="str">
        <f>IFERROR(INDEX(Overview!$A$3:$B$32,MATCH('538'!$L127,Overview!$A$3:$A$32,0),2),"")</f>
        <v/>
      </c>
      <c r="N127" t="str">
        <f t="shared" si="10"/>
        <v/>
      </c>
      <c r="O127" s="62">
        <f t="shared" si="14"/>
        <v>0</v>
      </c>
      <c r="Q127" t="str">
        <f t="shared" ca="1" si="16"/>
        <v/>
      </c>
      <c r="T127" t="str">
        <f t="shared" ca="1" si="18"/>
        <v/>
      </c>
      <c r="U127" t="str">
        <f t="shared" ca="1" si="18"/>
        <v/>
      </c>
    </row>
    <row r="128" spans="1:21" x14ac:dyDescent="0.25">
      <c r="A128" t="s">
        <v>4816</v>
      </c>
      <c r="B128" t="s">
        <v>969</v>
      </c>
      <c r="C128" t="s">
        <v>1555</v>
      </c>
      <c r="D128">
        <v>1531</v>
      </c>
      <c r="E128" t="s">
        <v>1063</v>
      </c>
      <c r="F128">
        <v>0</v>
      </c>
      <c r="G128">
        <f>1526</f>
        <v>1526</v>
      </c>
      <c r="H128" s="62">
        <v>0.55000000000000004</v>
      </c>
      <c r="I128">
        <v>2</v>
      </c>
      <c r="J128">
        <f t="shared" ca="1" si="11"/>
        <v>4</v>
      </c>
      <c r="K128" s="63" t="str">
        <f t="shared" ca="1" si="12"/>
        <v>9/28</v>
      </c>
      <c r="L128" t="str">
        <f t="shared" si="17"/>
        <v>MIL</v>
      </c>
      <c r="M128" t="str">
        <f>IFERROR(INDEX(Overview!$A$3:$B$32,MATCH('538'!$L128,Overview!$A$3:$A$32,0),2),"")</f>
        <v>Brewers</v>
      </c>
      <c r="N128" t="str">
        <f t="shared" si="10"/>
        <v>Gio Gonzalez</v>
      </c>
      <c r="O128" s="62">
        <f t="shared" si="14"/>
        <v>0.55000000000000004</v>
      </c>
      <c r="Q128" t="str">
        <f t="shared" ca="1" si="16"/>
        <v/>
      </c>
      <c r="T128" t="str">
        <f t="shared" ca="1" si="18"/>
        <v/>
      </c>
      <c r="U128" t="str">
        <f t="shared" ca="1" si="18"/>
        <v/>
      </c>
    </row>
    <row r="129" spans="1:21" x14ac:dyDescent="0.25">
      <c r="C129" t="s">
        <v>1092</v>
      </c>
      <c r="H129" s="62"/>
      <c r="J129">
        <f t="shared" ca="1" si="11"/>
        <v>4</v>
      </c>
      <c r="K129" s="63" t="str">
        <f t="shared" ca="1" si="12"/>
        <v>9/28</v>
      </c>
      <c r="L129" t="str">
        <f t="shared" si="17"/>
        <v/>
      </c>
      <c r="M129" t="str">
        <f>IFERROR(INDEX(Overview!$A$3:$B$32,MATCH('538'!$L129,Overview!$A$3:$A$32,0),2),"")</f>
        <v/>
      </c>
      <c r="N129" t="str">
        <f t="shared" si="10"/>
        <v/>
      </c>
      <c r="O129" s="62">
        <f t="shared" si="14"/>
        <v>0</v>
      </c>
      <c r="Q129" t="str">
        <f t="shared" ca="1" si="16"/>
        <v/>
      </c>
      <c r="T129" t="str">
        <f t="shared" ref="T129:U148" ca="1" si="19">IFERROR(VLOOKUP(ROW()-8,$J$9:$O$409,T$8,0),"")</f>
        <v/>
      </c>
      <c r="U129" t="str">
        <f t="shared" ca="1" si="19"/>
        <v/>
      </c>
    </row>
    <row r="130" spans="1:21" x14ac:dyDescent="0.25">
      <c r="B130" t="s">
        <v>968</v>
      </c>
      <c r="C130" t="s">
        <v>4099</v>
      </c>
      <c r="D130">
        <v>1480</v>
      </c>
      <c r="E130" t="s">
        <v>1086</v>
      </c>
      <c r="F130">
        <v>24</v>
      </c>
      <c r="G130">
        <f>1494</f>
        <v>1494</v>
      </c>
      <c r="H130" s="62">
        <v>0.45</v>
      </c>
      <c r="I130">
        <v>3</v>
      </c>
      <c r="J130">
        <f t="shared" ca="1" si="11"/>
        <v>4</v>
      </c>
      <c r="K130" s="63" t="str">
        <f t="shared" ca="1" si="12"/>
        <v>9/28</v>
      </c>
      <c r="L130" t="str">
        <f t="shared" si="17"/>
        <v>COL</v>
      </c>
      <c r="M130" t="str">
        <f>IFERROR(INDEX(Overview!$A$3:$B$32,MATCH('538'!$L130,Overview!$A$3:$A$32,0),2),"")</f>
        <v>Rockies</v>
      </c>
      <c r="N130" t="str">
        <f t="shared" si="10"/>
        <v>Chi Chi Gonzalez</v>
      </c>
      <c r="O130" s="62">
        <f t="shared" si="14"/>
        <v>0.45</v>
      </c>
      <c r="Q130" t="str">
        <f t="shared" ca="1" si="16"/>
        <v/>
      </c>
      <c r="T130" t="str">
        <f t="shared" ca="1" si="19"/>
        <v/>
      </c>
      <c r="U130" t="str">
        <f t="shared" ca="1" si="19"/>
        <v/>
      </c>
    </row>
    <row r="131" spans="1:21" x14ac:dyDescent="0.25">
      <c r="C131" t="s">
        <v>1092</v>
      </c>
      <c r="H131" s="62"/>
      <c r="J131">
        <f t="shared" ca="1" si="11"/>
        <v>4</v>
      </c>
      <c r="K131" s="63" t="str">
        <f t="shared" ca="1" si="12"/>
        <v>9/28</v>
      </c>
      <c r="L131" t="str">
        <f t="shared" si="17"/>
        <v/>
      </c>
      <c r="M131" t="str">
        <f>IFERROR(INDEX(Overview!$A$3:$B$32,MATCH('538'!$L131,Overview!$A$3:$A$32,0),2),"")</f>
        <v/>
      </c>
      <c r="N131" t="str">
        <f t="shared" si="10"/>
        <v/>
      </c>
      <c r="O131" s="62">
        <f t="shared" si="14"/>
        <v>0</v>
      </c>
      <c r="Q131" t="str">
        <f t="shared" ca="1" si="16"/>
        <v/>
      </c>
      <c r="T131" t="str">
        <f t="shared" ca="1" si="19"/>
        <v/>
      </c>
      <c r="U131" t="str">
        <f t="shared" ca="1" si="19"/>
        <v/>
      </c>
    </row>
    <row r="132" spans="1:21" x14ac:dyDescent="0.25">
      <c r="A132" t="s">
        <v>4816</v>
      </c>
      <c r="B132" t="s">
        <v>963</v>
      </c>
      <c r="C132" t="s">
        <v>4532</v>
      </c>
      <c r="D132">
        <v>1462</v>
      </c>
      <c r="E132">
        <v>12</v>
      </c>
      <c r="F132">
        <v>0</v>
      </c>
      <c r="G132">
        <f>1474</f>
        <v>1474</v>
      </c>
      <c r="H132" s="62">
        <v>0.4</v>
      </c>
      <c r="I132">
        <v>5</v>
      </c>
      <c r="J132">
        <f t="shared" ca="1" si="11"/>
        <v>4</v>
      </c>
      <c r="K132" s="63" t="str">
        <f t="shared" ca="1" si="12"/>
        <v>9/28</v>
      </c>
      <c r="L132" t="str">
        <f t="shared" si="17"/>
        <v>SDS</v>
      </c>
      <c r="M132" t="str">
        <f>IFERROR(INDEX(Overview!$A$3:$B$32,MATCH('538'!$L132,Overview!$A$3:$A$32,0),2),"")</f>
        <v/>
      </c>
      <c r="N132" t="str">
        <f t="shared" si="10"/>
        <v>Garrett Richards</v>
      </c>
      <c r="O132" s="62">
        <f t="shared" si="14"/>
        <v>0.4</v>
      </c>
      <c r="Q132" t="str">
        <f t="shared" ca="1" si="16"/>
        <v/>
      </c>
      <c r="T132" t="str">
        <f t="shared" ca="1" si="19"/>
        <v/>
      </c>
      <c r="U132" t="str">
        <f t="shared" ca="1" si="19"/>
        <v/>
      </c>
    </row>
    <row r="133" spans="1:21" x14ac:dyDescent="0.25">
      <c r="C133" t="s">
        <v>4533</v>
      </c>
      <c r="H133" s="62"/>
      <c r="J133">
        <f t="shared" ca="1" si="11"/>
        <v>4</v>
      </c>
      <c r="K133" s="63" t="str">
        <f t="shared" ca="1" si="12"/>
        <v>9/28</v>
      </c>
      <c r="L133" t="str">
        <f t="shared" si="17"/>
        <v/>
      </c>
      <c r="M133" t="str">
        <f>IFERROR(INDEX(Overview!$A$3:$B$32,MATCH('538'!$L133,Overview!$A$3:$A$32,0),2),"")</f>
        <v/>
      </c>
      <c r="N133" t="str">
        <f t="shared" si="10"/>
        <v/>
      </c>
      <c r="O133" s="62">
        <f t="shared" si="14"/>
        <v>0</v>
      </c>
      <c r="Q133" t="str">
        <f t="shared" ca="1" si="16"/>
        <v/>
      </c>
      <c r="T133" t="str">
        <f t="shared" ca="1" si="19"/>
        <v/>
      </c>
      <c r="U133" t="str">
        <f t="shared" ca="1" si="19"/>
        <v/>
      </c>
    </row>
    <row r="134" spans="1:21" x14ac:dyDescent="0.25">
      <c r="B134" t="s">
        <v>1019</v>
      </c>
      <c r="C134" t="s">
        <v>1093</v>
      </c>
      <c r="D134">
        <v>1516</v>
      </c>
      <c r="E134">
        <v>5</v>
      </c>
      <c r="F134">
        <v>24</v>
      </c>
      <c r="G134">
        <f>1545</f>
        <v>1545</v>
      </c>
      <c r="H134" s="62">
        <v>0.6</v>
      </c>
      <c r="I134">
        <v>6</v>
      </c>
      <c r="J134">
        <f t="shared" ca="1" si="11"/>
        <v>4</v>
      </c>
      <c r="K134" s="63" t="str">
        <f t="shared" ca="1" si="12"/>
        <v>9/28</v>
      </c>
      <c r="L134" t="str">
        <f t="shared" si="17"/>
        <v>ARI</v>
      </c>
      <c r="M134" t="str">
        <f>IFERROR(INDEX(Overview!$A$3:$B$32,MATCH('538'!$L134,Overview!$A$3:$A$32,0),2),"")</f>
        <v>Diamondbacks</v>
      </c>
      <c r="N134" t="str">
        <f t="shared" si="10"/>
        <v>Robbie Ray</v>
      </c>
      <c r="O134" s="62">
        <f t="shared" si="14"/>
        <v>0.6</v>
      </c>
      <c r="Q134" t="str">
        <f t="shared" ca="1" si="16"/>
        <v/>
      </c>
      <c r="T134" t="str">
        <f t="shared" ca="1" si="19"/>
        <v/>
      </c>
      <c r="U134" t="str">
        <f t="shared" ca="1" si="19"/>
        <v/>
      </c>
    </row>
    <row r="135" spans="1:21" x14ac:dyDescent="0.25">
      <c r="C135" t="s">
        <v>1094</v>
      </c>
      <c r="H135" s="62"/>
      <c r="J135">
        <f t="shared" ca="1" si="11"/>
        <v>4</v>
      </c>
      <c r="K135" s="63" t="str">
        <f t="shared" ca="1" si="12"/>
        <v>9/28</v>
      </c>
      <c r="L135" t="str">
        <f t="shared" si="17"/>
        <v/>
      </c>
      <c r="M135" t="str">
        <f>IFERROR(INDEX(Overview!$A$3:$B$32,MATCH('538'!$L135,Overview!$A$3:$A$32,0),2),"")</f>
        <v/>
      </c>
      <c r="N135" t="str">
        <f t="shared" si="10"/>
        <v/>
      </c>
      <c r="O135" s="62">
        <f t="shared" si="14"/>
        <v>0</v>
      </c>
      <c r="Q135" t="str">
        <f t="shared" ca="1" si="16"/>
        <v/>
      </c>
      <c r="T135" t="str">
        <f t="shared" ca="1" si="19"/>
        <v/>
      </c>
      <c r="U135" t="str">
        <f t="shared" ca="1" si="19"/>
        <v/>
      </c>
    </row>
    <row r="136" spans="1:21" x14ac:dyDescent="0.25">
      <c r="A136" t="s">
        <v>4817</v>
      </c>
      <c r="B136" t="s">
        <v>1018</v>
      </c>
      <c r="C136" t="s">
        <v>4483</v>
      </c>
      <c r="D136">
        <v>1586</v>
      </c>
      <c r="E136">
        <v>21</v>
      </c>
      <c r="F136">
        <v>0</v>
      </c>
      <c r="G136">
        <f>1607</f>
        <v>1607</v>
      </c>
      <c r="H136" s="62">
        <v>0.69</v>
      </c>
      <c r="I136">
        <v>4</v>
      </c>
      <c r="J136">
        <f t="shared" ca="1" si="11"/>
        <v>4</v>
      </c>
      <c r="K136" s="63" t="str">
        <f t="shared" ca="1" si="12"/>
        <v>9/28</v>
      </c>
      <c r="L136" t="str">
        <f t="shared" si="17"/>
        <v>NYY</v>
      </c>
      <c r="M136" t="str">
        <f>IFERROR(INDEX(Overview!$A$3:$B$32,MATCH('538'!$L136,Overview!$A$3:$A$32,0),2),"")</f>
        <v>Yankees</v>
      </c>
      <c r="N136" t="str">
        <f t="shared" si="10"/>
        <v>Luis Severino</v>
      </c>
      <c r="O136" s="62">
        <f t="shared" si="14"/>
        <v>0.69</v>
      </c>
      <c r="Q136" t="str">
        <f t="shared" ca="1" si="16"/>
        <v/>
      </c>
      <c r="T136" t="str">
        <f t="shared" ca="1" si="19"/>
        <v/>
      </c>
      <c r="U136" t="str">
        <f t="shared" ca="1" si="19"/>
        <v/>
      </c>
    </row>
    <row r="137" spans="1:21" x14ac:dyDescent="0.25">
      <c r="C137" t="s">
        <v>4484</v>
      </c>
      <c r="H137" s="62"/>
      <c r="J137">
        <f t="shared" ca="1" si="11"/>
        <v>4</v>
      </c>
      <c r="K137" s="63" t="str">
        <f t="shared" ca="1" si="12"/>
        <v>9/28</v>
      </c>
      <c r="L137" t="str">
        <f t="shared" si="17"/>
        <v/>
      </c>
      <c r="M137" t="str">
        <f>IFERROR(INDEX(Overview!$A$3:$B$32,MATCH('538'!$L137,Overview!$A$3:$A$32,0),2),"")</f>
        <v/>
      </c>
      <c r="N137" t="str">
        <f t="shared" ref="N137:N200" si="20">IFERROR(MID(C137,SEARCH(",",C137)+2,LEN(C137))&amp;" "&amp;LEFT(C137,SEARCH(",",C137)-1),"")</f>
        <v/>
      </c>
      <c r="O137" s="62">
        <f t="shared" si="14"/>
        <v>0</v>
      </c>
      <c r="Q137" t="str">
        <f t="shared" ca="1" si="16"/>
        <v/>
      </c>
      <c r="T137" t="str">
        <f t="shared" ca="1" si="19"/>
        <v/>
      </c>
      <c r="U137" t="str">
        <f t="shared" ca="1" si="19"/>
        <v/>
      </c>
    </row>
    <row r="138" spans="1:21" x14ac:dyDescent="0.25">
      <c r="B138" t="s">
        <v>1014</v>
      </c>
      <c r="C138" t="s">
        <v>4818</v>
      </c>
      <c r="D138">
        <v>1466</v>
      </c>
      <c r="E138" t="s">
        <v>1314</v>
      </c>
      <c r="F138">
        <v>24</v>
      </c>
      <c r="G138">
        <f>1465</f>
        <v>1465</v>
      </c>
      <c r="H138" s="62">
        <v>0.31</v>
      </c>
      <c r="I138">
        <v>9</v>
      </c>
      <c r="J138">
        <f t="shared" ref="J138:J201" ca="1" si="21">IF(K138=$K$1,IF(ISNUMBER(CODE(L138)),J137+1,J137),J137)</f>
        <v>4</v>
      </c>
      <c r="K138" s="63" t="str">
        <f t="shared" ref="K138:K201" ca="1" si="22">IF(ISBLANK(A138),K137,LEFT(A138,LEN($K$1)))</f>
        <v>9/28</v>
      </c>
      <c r="L138" t="str">
        <f t="shared" ref="L138:L201" si="23">LEFT(B138,3)</f>
        <v>TEX</v>
      </c>
      <c r="M138" t="str">
        <f>IFERROR(INDEX(Overview!$A$3:$B$32,MATCH('538'!$L138,Overview!$A$3:$A$32,0),2),"")</f>
        <v>Rangers</v>
      </c>
      <c r="N138" t="str">
        <f t="shared" si="20"/>
        <v>Luke Farrell</v>
      </c>
      <c r="O138" s="62">
        <f t="shared" ref="O138:O201" si="24">H138</f>
        <v>0.31</v>
      </c>
      <c r="Q138" t="str">
        <f t="shared" ca="1" si="16"/>
        <v/>
      </c>
      <c r="T138" t="str">
        <f t="shared" ca="1" si="19"/>
        <v/>
      </c>
      <c r="U138" t="str">
        <f t="shared" ca="1" si="19"/>
        <v/>
      </c>
    </row>
    <row r="139" spans="1:21" x14ac:dyDescent="0.25">
      <c r="C139" t="s">
        <v>4819</v>
      </c>
      <c r="H139" s="62"/>
      <c r="J139">
        <f t="shared" ca="1" si="21"/>
        <v>4</v>
      </c>
      <c r="K139" s="63" t="str">
        <f t="shared" ca="1" si="22"/>
        <v>9/28</v>
      </c>
      <c r="L139" t="str">
        <f t="shared" si="23"/>
        <v/>
      </c>
      <c r="M139" t="str">
        <f>IFERROR(INDEX(Overview!$A$3:$B$32,MATCH('538'!$L139,Overview!$A$3:$A$32,0),2),"")</f>
        <v/>
      </c>
      <c r="N139" t="str">
        <f t="shared" si="20"/>
        <v/>
      </c>
      <c r="O139" s="62">
        <f t="shared" si="24"/>
        <v>0</v>
      </c>
      <c r="Q139" t="str">
        <f t="shared" ca="1" si="16"/>
        <v/>
      </c>
      <c r="T139" t="str">
        <f t="shared" ca="1" si="19"/>
        <v/>
      </c>
      <c r="U139" t="str">
        <f t="shared" ca="1" si="19"/>
        <v/>
      </c>
    </row>
    <row r="140" spans="1:21" x14ac:dyDescent="0.25">
      <c r="A140" t="s">
        <v>4820</v>
      </c>
      <c r="B140" t="s">
        <v>1026</v>
      </c>
      <c r="C140" t="s">
        <v>3673</v>
      </c>
      <c r="D140">
        <v>1531</v>
      </c>
      <c r="E140" t="s">
        <v>1063</v>
      </c>
      <c r="F140">
        <v>0</v>
      </c>
      <c r="G140">
        <f>1526</f>
        <v>1526</v>
      </c>
      <c r="H140" s="62">
        <v>0.45</v>
      </c>
      <c r="I140">
        <v>8</v>
      </c>
      <c r="J140">
        <f t="shared" ca="1" si="21"/>
        <v>4</v>
      </c>
      <c r="K140" s="63" t="str">
        <f t="shared" ca="1" si="22"/>
        <v>9/28</v>
      </c>
      <c r="L140" t="str">
        <f t="shared" si="23"/>
        <v>CHC</v>
      </c>
      <c r="M140" t="str">
        <f>IFERROR(INDEX(Overview!$A$3:$B$32,MATCH('538'!$L140,Overview!$A$3:$A$32,0),2),"")</f>
        <v>Cubs</v>
      </c>
      <c r="N140" t="str">
        <f t="shared" si="20"/>
        <v>Cole Hamels</v>
      </c>
      <c r="O140" s="62">
        <f t="shared" si="24"/>
        <v>0.45</v>
      </c>
      <c r="Q140" t="str">
        <f t="shared" ca="1" si="16"/>
        <v/>
      </c>
      <c r="T140" t="str">
        <f t="shared" ca="1" si="19"/>
        <v/>
      </c>
      <c r="U140" t="str">
        <f t="shared" ca="1" si="19"/>
        <v/>
      </c>
    </row>
    <row r="141" spans="1:21" x14ac:dyDescent="0.25">
      <c r="C141" t="s">
        <v>3674</v>
      </c>
      <c r="H141" s="62"/>
      <c r="J141">
        <f t="shared" ca="1" si="21"/>
        <v>4</v>
      </c>
      <c r="K141" s="63" t="str">
        <f t="shared" ca="1" si="22"/>
        <v>9/28</v>
      </c>
      <c r="L141" t="str">
        <f t="shared" si="23"/>
        <v/>
      </c>
      <c r="M141" t="str">
        <f>IFERROR(INDEX(Overview!$A$3:$B$32,MATCH('538'!$L141,Overview!$A$3:$A$32,0),2),"")</f>
        <v/>
      </c>
      <c r="N141" t="str">
        <f t="shared" si="20"/>
        <v/>
      </c>
      <c r="O141" s="62">
        <f t="shared" si="24"/>
        <v>0</v>
      </c>
      <c r="Q141" t="str">
        <f t="shared" ca="1" si="16"/>
        <v/>
      </c>
      <c r="T141" t="str">
        <f t="shared" ca="1" si="19"/>
        <v/>
      </c>
      <c r="U141" t="str">
        <f t="shared" ca="1" si="19"/>
        <v/>
      </c>
    </row>
    <row r="142" spans="1:21" x14ac:dyDescent="0.25">
      <c r="B142" t="s">
        <v>954</v>
      </c>
      <c r="C142" t="s">
        <v>993</v>
      </c>
      <c r="D142">
        <v>1545</v>
      </c>
      <c r="E142" t="s">
        <v>1015</v>
      </c>
      <c r="F142">
        <v>24</v>
      </c>
      <c r="G142">
        <f>1560</f>
        <v>1560</v>
      </c>
      <c r="H142" s="62">
        <v>0.55000000000000004</v>
      </c>
      <c r="I142">
        <v>6</v>
      </c>
      <c r="J142">
        <f t="shared" ca="1" si="21"/>
        <v>4</v>
      </c>
      <c r="K142" s="63" t="str">
        <f t="shared" ca="1" si="22"/>
        <v>9/28</v>
      </c>
      <c r="L142" t="str">
        <f t="shared" si="23"/>
        <v>STL</v>
      </c>
      <c r="M142" t="str">
        <f>IFERROR(INDEX(Overview!$A$3:$B$32,MATCH('538'!$L142,Overview!$A$3:$A$32,0),2),"")</f>
        <v>Cardinals</v>
      </c>
      <c r="N142" t="str">
        <f t="shared" si="20"/>
        <v>Adam Wainwright</v>
      </c>
      <c r="O142" s="62">
        <f t="shared" si="24"/>
        <v>0.55000000000000004</v>
      </c>
      <c r="Q142" t="str">
        <f t="shared" ca="1" si="16"/>
        <v/>
      </c>
      <c r="T142" t="str">
        <f t="shared" ca="1" si="19"/>
        <v/>
      </c>
      <c r="U142" t="str">
        <f t="shared" ca="1" si="19"/>
        <v/>
      </c>
    </row>
    <row r="143" spans="1:21" x14ac:dyDescent="0.25">
      <c r="C143" t="s">
        <v>994</v>
      </c>
      <c r="H143" s="62"/>
      <c r="J143">
        <f t="shared" ca="1" si="21"/>
        <v>4</v>
      </c>
      <c r="K143" s="63" t="str">
        <f t="shared" ca="1" si="22"/>
        <v>9/28</v>
      </c>
      <c r="L143" t="str">
        <f t="shared" si="23"/>
        <v/>
      </c>
      <c r="M143" t="str">
        <f>IFERROR(INDEX(Overview!$A$3:$B$32,MATCH('538'!$L143,Overview!$A$3:$A$32,0),2),"")</f>
        <v/>
      </c>
      <c r="N143" t="str">
        <f t="shared" si="20"/>
        <v/>
      </c>
      <c r="O143" s="62">
        <f t="shared" si="24"/>
        <v>0</v>
      </c>
      <c r="Q143" t="str">
        <f t="shared" ca="1" si="16"/>
        <v/>
      </c>
      <c r="T143" t="str">
        <f t="shared" ca="1" si="19"/>
        <v/>
      </c>
      <c r="U143" t="str">
        <f t="shared" ca="1" si="19"/>
        <v/>
      </c>
    </row>
    <row r="144" spans="1:21" x14ac:dyDescent="0.25">
      <c r="A144" t="s">
        <v>4820</v>
      </c>
      <c r="B144" t="s">
        <v>965</v>
      </c>
      <c r="C144" t="s">
        <v>3775</v>
      </c>
      <c r="D144">
        <v>1546</v>
      </c>
      <c r="E144">
        <v>13</v>
      </c>
      <c r="F144">
        <v>0</v>
      </c>
      <c r="G144">
        <f>1559</f>
        <v>1559</v>
      </c>
      <c r="H144" s="62">
        <v>0.54</v>
      </c>
      <c r="I144">
        <v>0</v>
      </c>
      <c r="J144">
        <f t="shared" ca="1" si="21"/>
        <v>4</v>
      </c>
      <c r="K144" s="63" t="str">
        <f t="shared" ca="1" si="22"/>
        <v>9/28</v>
      </c>
      <c r="L144" t="str">
        <f t="shared" si="23"/>
        <v>ATL</v>
      </c>
      <c r="M144" t="str">
        <f>IFERROR(INDEX(Overview!$A$3:$B$32,MATCH('538'!$L144,Overview!$A$3:$A$32,0),2),"")</f>
        <v>Braves</v>
      </c>
      <c r="N144" t="str">
        <f t="shared" si="20"/>
        <v>Mike Foltynewicz</v>
      </c>
      <c r="O144" s="62">
        <f t="shared" si="24"/>
        <v>0.54</v>
      </c>
      <c r="Q144" t="str">
        <f t="shared" ca="1" si="16"/>
        <v/>
      </c>
      <c r="T144" t="str">
        <f t="shared" ca="1" si="19"/>
        <v/>
      </c>
      <c r="U144" t="str">
        <f t="shared" ca="1" si="19"/>
        <v/>
      </c>
    </row>
    <row r="145" spans="1:21" x14ac:dyDescent="0.25">
      <c r="C145" t="s">
        <v>3776</v>
      </c>
      <c r="H145" s="62"/>
      <c r="J145">
        <f t="shared" ca="1" si="21"/>
        <v>4</v>
      </c>
      <c r="K145" s="63" t="str">
        <f t="shared" ca="1" si="22"/>
        <v>9/28</v>
      </c>
      <c r="L145" t="str">
        <f t="shared" si="23"/>
        <v/>
      </c>
      <c r="M145" t="str">
        <f>IFERROR(INDEX(Overview!$A$3:$B$32,MATCH('538'!$L145,Overview!$A$3:$A$32,0),2),"")</f>
        <v/>
      </c>
      <c r="N145" t="str">
        <f t="shared" si="20"/>
        <v/>
      </c>
      <c r="O145" s="62">
        <f t="shared" si="24"/>
        <v>0</v>
      </c>
      <c r="Q145" t="str">
        <f t="shared" ca="1" si="16"/>
        <v/>
      </c>
      <c r="T145" t="str">
        <f t="shared" ca="1" si="19"/>
        <v/>
      </c>
      <c r="U145" t="str">
        <f t="shared" ca="1" si="19"/>
        <v/>
      </c>
    </row>
    <row r="146" spans="1:21" x14ac:dyDescent="0.25">
      <c r="B146" t="s">
        <v>962</v>
      </c>
      <c r="C146" t="s">
        <v>1090</v>
      </c>
      <c r="D146">
        <v>1530</v>
      </c>
      <c r="E146" t="s">
        <v>1473</v>
      </c>
      <c r="F146">
        <v>24</v>
      </c>
      <c r="G146">
        <f>1531</f>
        <v>1531</v>
      </c>
      <c r="H146" s="62">
        <v>0.46</v>
      </c>
      <c r="I146">
        <v>3</v>
      </c>
      <c r="J146">
        <f t="shared" ca="1" si="21"/>
        <v>4</v>
      </c>
      <c r="K146" s="63" t="str">
        <f t="shared" ca="1" si="22"/>
        <v>9/28</v>
      </c>
      <c r="L146" t="str">
        <f t="shared" si="23"/>
        <v>NYM</v>
      </c>
      <c r="M146" t="str">
        <f>IFERROR(INDEX(Overview!$A$3:$B$32,MATCH('538'!$L146,Overview!$A$3:$A$32,0),2),"")</f>
        <v>Mets</v>
      </c>
      <c r="N146" t="str">
        <f t="shared" si="20"/>
        <v>Steven Matz</v>
      </c>
      <c r="O146" s="62">
        <f t="shared" si="24"/>
        <v>0.46</v>
      </c>
      <c r="Q146" t="str">
        <f t="shared" ca="1" si="16"/>
        <v/>
      </c>
      <c r="T146" t="str">
        <f t="shared" ca="1" si="19"/>
        <v/>
      </c>
      <c r="U146" t="str">
        <f t="shared" ca="1" si="19"/>
        <v/>
      </c>
    </row>
    <row r="147" spans="1:21" x14ac:dyDescent="0.25">
      <c r="C147" t="s">
        <v>1091</v>
      </c>
      <c r="H147" s="62"/>
      <c r="J147">
        <f t="shared" ca="1" si="21"/>
        <v>4</v>
      </c>
      <c r="K147" s="63" t="str">
        <f t="shared" ca="1" si="22"/>
        <v>9/28</v>
      </c>
      <c r="L147" t="str">
        <f t="shared" si="23"/>
        <v/>
      </c>
      <c r="M147" t="str">
        <f>IFERROR(INDEX(Overview!$A$3:$B$32,MATCH('538'!$L147,Overview!$A$3:$A$32,0),2),"")</f>
        <v/>
      </c>
      <c r="N147" t="str">
        <f t="shared" si="20"/>
        <v/>
      </c>
      <c r="O147" s="62">
        <f t="shared" si="24"/>
        <v>0</v>
      </c>
      <c r="Q147" t="str">
        <f t="shared" ca="1" si="16"/>
        <v/>
      </c>
      <c r="T147" t="str">
        <f t="shared" ca="1" si="19"/>
        <v/>
      </c>
      <c r="U147" t="str">
        <f t="shared" ca="1" si="19"/>
        <v/>
      </c>
    </row>
    <row r="148" spans="1:21" x14ac:dyDescent="0.25">
      <c r="A148" t="s">
        <v>4821</v>
      </c>
      <c r="B148" t="s">
        <v>958</v>
      </c>
      <c r="C148" t="s">
        <v>4822</v>
      </c>
      <c r="D148">
        <v>1490</v>
      </c>
      <c r="E148" t="s">
        <v>3581</v>
      </c>
      <c r="F148">
        <v>0</v>
      </c>
      <c r="G148">
        <f>1461</f>
        <v>1461</v>
      </c>
      <c r="H148" s="62">
        <v>0.46</v>
      </c>
      <c r="I148">
        <v>4</v>
      </c>
      <c r="J148">
        <f t="shared" ca="1" si="21"/>
        <v>4</v>
      </c>
      <c r="K148" s="63" t="str">
        <f t="shared" ca="1" si="22"/>
        <v>9/28</v>
      </c>
      <c r="L148" t="str">
        <f t="shared" si="23"/>
        <v>CIN</v>
      </c>
      <c r="M148" t="str">
        <f>IFERROR(INDEX(Overview!$A$3:$B$32,MATCH('538'!$L148,Overview!$A$3:$A$32,0),2),"")</f>
        <v>Reds</v>
      </c>
      <c r="N148" t="str">
        <f t="shared" si="20"/>
        <v>Lucas Sims</v>
      </c>
      <c r="O148" s="62">
        <f t="shared" si="24"/>
        <v>0.46</v>
      </c>
      <c r="Q148" t="str">
        <f t="shared" ca="1" si="16"/>
        <v/>
      </c>
      <c r="T148" t="str">
        <f t="shared" ca="1" si="19"/>
        <v/>
      </c>
      <c r="U148" t="str">
        <f t="shared" ca="1" si="19"/>
        <v/>
      </c>
    </row>
    <row r="149" spans="1:21" x14ac:dyDescent="0.25">
      <c r="C149" t="s">
        <v>4823</v>
      </c>
      <c r="H149" s="62"/>
      <c r="J149">
        <f t="shared" ca="1" si="21"/>
        <v>4</v>
      </c>
      <c r="K149" s="63" t="str">
        <f t="shared" ca="1" si="22"/>
        <v>9/28</v>
      </c>
      <c r="L149" t="str">
        <f t="shared" si="23"/>
        <v/>
      </c>
      <c r="M149" t="str">
        <f>IFERROR(INDEX(Overview!$A$3:$B$32,MATCH('538'!$L149,Overview!$A$3:$A$32,0),2),"")</f>
        <v/>
      </c>
      <c r="N149" t="str">
        <f t="shared" si="20"/>
        <v/>
      </c>
      <c r="O149" s="62">
        <f t="shared" si="24"/>
        <v>0</v>
      </c>
      <c r="Q149" t="str">
        <f t="shared" ca="1" si="16"/>
        <v/>
      </c>
      <c r="T149" t="str">
        <f t="shared" ref="T149:U168" ca="1" si="25">IFERROR(VLOOKUP(ROW()-8,$J$9:$O$409,T$8,0),"")</f>
        <v/>
      </c>
      <c r="U149" t="str">
        <f t="shared" ca="1" si="25"/>
        <v/>
      </c>
    </row>
    <row r="150" spans="1:21" x14ac:dyDescent="0.25">
      <c r="B150" t="s">
        <v>1011</v>
      </c>
      <c r="C150" t="s">
        <v>4379</v>
      </c>
      <c r="D150">
        <v>1471</v>
      </c>
      <c r="E150" t="s">
        <v>1015</v>
      </c>
      <c r="F150">
        <v>24</v>
      </c>
      <c r="G150">
        <f>1486</f>
        <v>1486</v>
      </c>
      <c r="H150" s="62">
        <v>0.54</v>
      </c>
      <c r="I150">
        <v>2</v>
      </c>
      <c r="J150">
        <f t="shared" ca="1" si="21"/>
        <v>4</v>
      </c>
      <c r="K150" s="63" t="str">
        <f t="shared" ca="1" si="22"/>
        <v>9/28</v>
      </c>
      <c r="L150" t="str">
        <f t="shared" si="23"/>
        <v>PIT</v>
      </c>
      <c r="M150" t="str">
        <f>IFERROR(INDEX(Overview!$A$3:$B$32,MATCH('538'!$L150,Overview!$A$3:$A$32,0),2),"")</f>
        <v>Pirates</v>
      </c>
      <c r="N150" t="str">
        <f t="shared" si="20"/>
        <v>James Marvel</v>
      </c>
      <c r="O150" s="62">
        <f t="shared" si="24"/>
        <v>0.54</v>
      </c>
      <c r="Q150" t="str">
        <f t="shared" ca="1" si="16"/>
        <v/>
      </c>
      <c r="T150" t="str">
        <f t="shared" ca="1" si="25"/>
        <v/>
      </c>
      <c r="U150" t="str">
        <f t="shared" ca="1" si="25"/>
        <v/>
      </c>
    </row>
    <row r="151" spans="1:21" x14ac:dyDescent="0.25">
      <c r="C151" t="s">
        <v>4380</v>
      </c>
      <c r="H151" s="62"/>
      <c r="J151">
        <f t="shared" ca="1" si="21"/>
        <v>4</v>
      </c>
      <c r="K151" s="63" t="str">
        <f t="shared" ca="1" si="22"/>
        <v>9/28</v>
      </c>
      <c r="L151" t="str">
        <f t="shared" si="23"/>
        <v/>
      </c>
      <c r="M151" t="str">
        <f>IFERROR(INDEX(Overview!$A$3:$B$32,MATCH('538'!$L151,Overview!$A$3:$A$32,0),2),"")</f>
        <v/>
      </c>
      <c r="N151" t="str">
        <f t="shared" si="20"/>
        <v/>
      </c>
      <c r="O151" s="62">
        <f t="shared" si="24"/>
        <v>0</v>
      </c>
      <c r="Q151" t="str">
        <f t="shared" ca="1" si="16"/>
        <v/>
      </c>
      <c r="T151" t="str">
        <f t="shared" ca="1" si="25"/>
        <v/>
      </c>
      <c r="U151" t="str">
        <f t="shared" ca="1" si="25"/>
        <v/>
      </c>
    </row>
    <row r="152" spans="1:21" x14ac:dyDescent="0.25">
      <c r="A152" t="s">
        <v>4824</v>
      </c>
      <c r="B152" t="s">
        <v>991</v>
      </c>
      <c r="C152" t="s">
        <v>4481</v>
      </c>
      <c r="D152">
        <v>1383</v>
      </c>
      <c r="E152">
        <v>3</v>
      </c>
      <c r="F152">
        <v>0</v>
      </c>
      <c r="G152">
        <f>1386</f>
        <v>1386</v>
      </c>
      <c r="H152" s="62">
        <v>0.36</v>
      </c>
      <c r="I152">
        <v>4</v>
      </c>
      <c r="J152">
        <f t="shared" ca="1" si="21"/>
        <v>4</v>
      </c>
      <c r="K152" s="63" t="str">
        <f t="shared" ca="1" si="22"/>
        <v>9/28</v>
      </c>
      <c r="L152" t="str">
        <f t="shared" si="23"/>
        <v>DET</v>
      </c>
      <c r="M152" t="str">
        <f>IFERROR(INDEX(Overview!$A$3:$B$32,MATCH('538'!$L152,Overview!$A$3:$A$32,0),2),"")</f>
        <v>Tigers</v>
      </c>
      <c r="N152" t="str">
        <f t="shared" si="20"/>
        <v>Tyler Alexander</v>
      </c>
      <c r="O152" s="62">
        <f t="shared" si="24"/>
        <v>0.36</v>
      </c>
      <c r="Q152" t="str">
        <f t="shared" ca="1" si="16"/>
        <v/>
      </c>
      <c r="T152" t="str">
        <f t="shared" ca="1" si="25"/>
        <v/>
      </c>
      <c r="U152" t="str">
        <f t="shared" ca="1" si="25"/>
        <v/>
      </c>
    </row>
    <row r="153" spans="1:21" x14ac:dyDescent="0.25">
      <c r="C153" t="s">
        <v>4482</v>
      </c>
      <c r="H153" s="62"/>
      <c r="J153">
        <f t="shared" ca="1" si="21"/>
        <v>4</v>
      </c>
      <c r="K153" s="63" t="str">
        <f t="shared" ca="1" si="22"/>
        <v>9/28</v>
      </c>
      <c r="L153" t="str">
        <f t="shared" si="23"/>
        <v/>
      </c>
      <c r="M153" t="str">
        <f>IFERROR(INDEX(Overview!$A$3:$B$32,MATCH('538'!$L153,Overview!$A$3:$A$32,0),2),"")</f>
        <v/>
      </c>
      <c r="N153" t="str">
        <f t="shared" si="20"/>
        <v/>
      </c>
      <c r="O153" s="62">
        <f t="shared" si="24"/>
        <v>0</v>
      </c>
      <c r="Q153" t="str">
        <f t="shared" ca="1" si="16"/>
        <v/>
      </c>
      <c r="T153" t="str">
        <f t="shared" ca="1" si="25"/>
        <v/>
      </c>
      <c r="U153" t="str">
        <f t="shared" ca="1" si="25"/>
        <v/>
      </c>
    </row>
    <row r="154" spans="1:21" x14ac:dyDescent="0.25">
      <c r="B154" t="s">
        <v>981</v>
      </c>
      <c r="C154" t="s">
        <v>1016</v>
      </c>
      <c r="D154">
        <v>1462</v>
      </c>
      <c r="E154" t="s">
        <v>964</v>
      </c>
      <c r="F154">
        <v>24</v>
      </c>
      <c r="G154">
        <f>1485</f>
        <v>1485</v>
      </c>
      <c r="H154" s="62">
        <v>0.64</v>
      </c>
      <c r="I154">
        <v>3</v>
      </c>
      <c r="J154">
        <f t="shared" ca="1" si="21"/>
        <v>4</v>
      </c>
      <c r="K154" s="63" t="str">
        <f t="shared" ca="1" si="22"/>
        <v>9/28</v>
      </c>
      <c r="L154" t="str">
        <f t="shared" si="23"/>
        <v>CHW</v>
      </c>
      <c r="M154" t="str">
        <f>IFERROR(INDEX(Overview!$A$3:$B$32,MATCH('538'!$L154,Overview!$A$3:$A$32,0),2),"")</f>
        <v>White Sox</v>
      </c>
      <c r="N154" t="str">
        <f t="shared" si="20"/>
        <v>Ivan Nova</v>
      </c>
      <c r="O154" s="62">
        <f t="shared" si="24"/>
        <v>0.64</v>
      </c>
      <c r="Q154" t="str">
        <f t="shared" ca="1" si="16"/>
        <v/>
      </c>
      <c r="T154" t="str">
        <f t="shared" ca="1" si="25"/>
        <v/>
      </c>
      <c r="U154" t="str">
        <f t="shared" ca="1" si="25"/>
        <v/>
      </c>
    </row>
    <row r="155" spans="1:21" x14ac:dyDescent="0.25">
      <c r="C155" t="s">
        <v>1017</v>
      </c>
      <c r="H155" s="62"/>
      <c r="J155">
        <f t="shared" ca="1" si="21"/>
        <v>4</v>
      </c>
      <c r="K155" s="63" t="str">
        <f t="shared" ca="1" si="22"/>
        <v>9/28</v>
      </c>
      <c r="L155" t="str">
        <f t="shared" si="23"/>
        <v/>
      </c>
      <c r="M155" t="str">
        <f>IFERROR(INDEX(Overview!$A$3:$B$32,MATCH('538'!$L155,Overview!$A$3:$A$32,0),2),"")</f>
        <v/>
      </c>
      <c r="N155" t="str">
        <f t="shared" si="20"/>
        <v/>
      </c>
      <c r="O155" s="62">
        <f t="shared" si="24"/>
        <v>0</v>
      </c>
      <c r="Q155" t="str">
        <f t="shared" ca="1" si="16"/>
        <v/>
      </c>
      <c r="T155" t="str">
        <f t="shared" ca="1" si="25"/>
        <v/>
      </c>
      <c r="U155" t="str">
        <f t="shared" ca="1" si="25"/>
        <v/>
      </c>
    </row>
    <row r="156" spans="1:21" x14ac:dyDescent="0.25">
      <c r="A156" t="s">
        <v>4825</v>
      </c>
      <c r="B156" t="s">
        <v>1000</v>
      </c>
      <c r="C156" t="s">
        <v>1471</v>
      </c>
      <c r="D156">
        <v>1433</v>
      </c>
      <c r="E156">
        <v>1</v>
      </c>
      <c r="F156">
        <v>0</v>
      </c>
      <c r="G156">
        <f>1434</f>
        <v>1434</v>
      </c>
      <c r="H156" s="62">
        <v>0.38</v>
      </c>
      <c r="I156">
        <v>3</v>
      </c>
      <c r="J156">
        <f t="shared" ca="1" si="21"/>
        <v>4</v>
      </c>
      <c r="K156" s="63" t="str">
        <f t="shared" ca="1" si="22"/>
        <v>9/28</v>
      </c>
      <c r="L156" t="str">
        <f t="shared" si="23"/>
        <v>MIA</v>
      </c>
      <c r="M156" t="str">
        <f>IFERROR(INDEX(Overview!$A$3:$B$32,MATCH('538'!$L156,Overview!$A$3:$A$32,0),2),"")</f>
        <v>Marlins</v>
      </c>
      <c r="N156" t="str">
        <f t="shared" si="20"/>
        <v>Caleb Smith</v>
      </c>
      <c r="O156" s="62">
        <f t="shared" si="24"/>
        <v>0.38</v>
      </c>
      <c r="Q156" t="str">
        <f t="shared" ca="1" si="16"/>
        <v/>
      </c>
      <c r="T156" t="str">
        <f t="shared" ca="1" si="25"/>
        <v/>
      </c>
      <c r="U156" t="str">
        <f t="shared" ca="1" si="25"/>
        <v/>
      </c>
    </row>
    <row r="157" spans="1:21" x14ac:dyDescent="0.25">
      <c r="C157" t="s">
        <v>1472</v>
      </c>
      <c r="H157" s="62"/>
      <c r="J157">
        <f t="shared" ca="1" si="21"/>
        <v>4</v>
      </c>
      <c r="K157" s="63" t="str">
        <f t="shared" ca="1" si="22"/>
        <v>9/28</v>
      </c>
      <c r="L157" t="str">
        <f t="shared" si="23"/>
        <v/>
      </c>
      <c r="M157" t="str">
        <f>IFERROR(INDEX(Overview!$A$3:$B$32,MATCH('538'!$L157,Overview!$A$3:$A$32,0),2),"")</f>
        <v/>
      </c>
      <c r="N157" t="str">
        <f t="shared" si="20"/>
        <v/>
      </c>
      <c r="O157" s="62">
        <f t="shared" si="24"/>
        <v>0</v>
      </c>
      <c r="Q157" t="str">
        <f t="shared" ref="Q157:Q190" ca="1" si="26">IFERROR(VLOOKUP(ROW()-8,$J$9:$O$409,Q$8,0),"")</f>
        <v/>
      </c>
      <c r="T157" t="str">
        <f t="shared" ca="1" si="25"/>
        <v/>
      </c>
      <c r="U157" t="str">
        <f t="shared" ca="1" si="25"/>
        <v/>
      </c>
    </row>
    <row r="158" spans="1:21" x14ac:dyDescent="0.25">
      <c r="B158" t="s">
        <v>992</v>
      </c>
      <c r="C158" t="s">
        <v>4104</v>
      </c>
      <c r="D158">
        <v>1505</v>
      </c>
      <c r="E158" t="s">
        <v>995</v>
      </c>
      <c r="F158">
        <v>24</v>
      </c>
      <c r="G158">
        <f>1518</f>
        <v>1518</v>
      </c>
      <c r="H158" s="62">
        <v>0.62</v>
      </c>
      <c r="I158">
        <v>9</v>
      </c>
      <c r="J158">
        <f t="shared" ca="1" si="21"/>
        <v>4</v>
      </c>
      <c r="K158" s="63" t="str">
        <f t="shared" ca="1" si="22"/>
        <v>9/28</v>
      </c>
      <c r="L158" t="str">
        <f t="shared" si="23"/>
        <v>PHI</v>
      </c>
      <c r="M158" t="str">
        <f>IFERROR(INDEX(Overview!$A$3:$B$32,MATCH('538'!$L158,Overview!$A$3:$A$32,0),2),"")</f>
        <v>Phillies</v>
      </c>
      <c r="N158" t="str">
        <f t="shared" si="20"/>
        <v>Zach Eflin</v>
      </c>
      <c r="O158" s="62">
        <f t="shared" si="24"/>
        <v>0.62</v>
      </c>
      <c r="Q158" t="str">
        <f t="shared" ca="1" si="26"/>
        <v/>
      </c>
      <c r="T158" t="str">
        <f t="shared" ca="1" si="25"/>
        <v/>
      </c>
      <c r="U158" t="str">
        <f t="shared" ca="1" si="25"/>
        <v/>
      </c>
    </row>
    <row r="159" spans="1:21" x14ac:dyDescent="0.25">
      <c r="C159" t="s">
        <v>4105</v>
      </c>
      <c r="H159" s="62"/>
      <c r="J159">
        <f t="shared" ca="1" si="21"/>
        <v>4</v>
      </c>
      <c r="K159" s="63" t="str">
        <f t="shared" ca="1" si="22"/>
        <v>9/28</v>
      </c>
      <c r="L159" t="str">
        <f t="shared" si="23"/>
        <v/>
      </c>
      <c r="M159" t="str">
        <f>IFERROR(INDEX(Overview!$A$3:$B$32,MATCH('538'!$L159,Overview!$A$3:$A$32,0),2),"")</f>
        <v/>
      </c>
      <c r="N159" t="str">
        <f t="shared" si="20"/>
        <v/>
      </c>
      <c r="O159" s="62">
        <f t="shared" si="24"/>
        <v>0</v>
      </c>
      <c r="Q159" t="str">
        <f t="shared" ca="1" si="26"/>
        <v/>
      </c>
      <c r="T159" t="str">
        <f t="shared" ca="1" si="25"/>
        <v/>
      </c>
      <c r="U159" t="str">
        <f t="shared" ca="1" si="25"/>
        <v/>
      </c>
    </row>
    <row r="160" spans="1:21" x14ac:dyDescent="0.25">
      <c r="A160" t="s">
        <v>4826</v>
      </c>
      <c r="B160" t="s">
        <v>999</v>
      </c>
      <c r="C160" t="s">
        <v>1388</v>
      </c>
      <c r="D160">
        <v>1550</v>
      </c>
      <c r="E160" t="s">
        <v>3581</v>
      </c>
      <c r="F160">
        <v>0</v>
      </c>
      <c r="G160">
        <f>1521</f>
        <v>1521</v>
      </c>
      <c r="H160" s="62">
        <v>0.39</v>
      </c>
      <c r="I160">
        <v>7</v>
      </c>
      <c r="J160">
        <f t="shared" ca="1" si="21"/>
        <v>4</v>
      </c>
      <c r="K160" s="63" t="str">
        <f t="shared" ca="1" si="22"/>
        <v>9/28</v>
      </c>
      <c r="L160" t="str">
        <f t="shared" si="23"/>
        <v>CLE</v>
      </c>
      <c r="M160" t="str">
        <f>IFERROR(INDEX(Overview!$A$3:$B$32,MATCH('538'!$L160,Overview!$A$3:$A$32,0),2),"")</f>
        <v>Indians</v>
      </c>
      <c r="N160" t="str">
        <f t="shared" si="20"/>
        <v>Adam Plutko</v>
      </c>
      <c r="O160" s="62">
        <f t="shared" si="24"/>
        <v>0.39</v>
      </c>
      <c r="Q160" t="str">
        <f t="shared" ca="1" si="26"/>
        <v/>
      </c>
      <c r="T160" t="str">
        <f t="shared" ca="1" si="25"/>
        <v/>
      </c>
      <c r="U160" t="str">
        <f t="shared" ca="1" si="25"/>
        <v/>
      </c>
    </row>
    <row r="161" spans="1:21" x14ac:dyDescent="0.25">
      <c r="C161" t="s">
        <v>1389</v>
      </c>
      <c r="H161" s="62"/>
      <c r="J161">
        <f t="shared" ca="1" si="21"/>
        <v>4</v>
      </c>
      <c r="K161" s="63" t="str">
        <f t="shared" ca="1" si="22"/>
        <v>9/28</v>
      </c>
      <c r="L161" t="str">
        <f t="shared" si="23"/>
        <v/>
      </c>
      <c r="M161" t="str">
        <f>IFERROR(INDEX(Overview!$A$3:$B$32,MATCH('538'!$L161,Overview!$A$3:$A$32,0),2),"")</f>
        <v/>
      </c>
      <c r="N161" t="str">
        <f t="shared" si="20"/>
        <v/>
      </c>
      <c r="O161" s="62">
        <f t="shared" si="24"/>
        <v>0</v>
      </c>
      <c r="Q161" t="str">
        <f t="shared" ca="1" si="26"/>
        <v/>
      </c>
      <c r="T161" t="str">
        <f t="shared" ca="1" si="25"/>
        <v/>
      </c>
      <c r="U161" t="str">
        <f t="shared" ca="1" si="25"/>
        <v/>
      </c>
    </row>
    <row r="162" spans="1:21" x14ac:dyDescent="0.25">
      <c r="B162" t="s">
        <v>955</v>
      </c>
      <c r="C162" t="s">
        <v>956</v>
      </c>
      <c r="D162">
        <v>1561</v>
      </c>
      <c r="E162">
        <v>11</v>
      </c>
      <c r="F162">
        <v>24</v>
      </c>
      <c r="G162">
        <f>1596</f>
        <v>1596</v>
      </c>
      <c r="H162" s="62">
        <v>0.61</v>
      </c>
      <c r="I162">
        <v>10</v>
      </c>
      <c r="J162">
        <f t="shared" ca="1" si="21"/>
        <v>4</v>
      </c>
      <c r="K162" s="63" t="str">
        <f t="shared" ca="1" si="22"/>
        <v>9/28</v>
      </c>
      <c r="L162" t="str">
        <f t="shared" si="23"/>
        <v>WSH</v>
      </c>
      <c r="M162" t="str">
        <f>IFERROR(INDEX(Overview!$A$3:$B$32,MATCH('538'!$L162,Overview!$A$3:$A$32,0),2),"")</f>
        <v/>
      </c>
      <c r="N162" t="str">
        <f t="shared" si="20"/>
        <v>Patrick Corbin</v>
      </c>
      <c r="O162" s="62">
        <f t="shared" si="24"/>
        <v>0.61</v>
      </c>
      <c r="Q162" t="str">
        <f t="shared" ca="1" si="26"/>
        <v/>
      </c>
      <c r="T162" t="str">
        <f t="shared" ca="1" si="25"/>
        <v/>
      </c>
      <c r="U162" t="str">
        <f t="shared" ca="1" si="25"/>
        <v/>
      </c>
    </row>
    <row r="163" spans="1:21" x14ac:dyDescent="0.25">
      <c r="C163" t="s">
        <v>957</v>
      </c>
      <c r="H163" s="62"/>
      <c r="J163">
        <f t="shared" ca="1" si="21"/>
        <v>4</v>
      </c>
      <c r="K163" s="63" t="str">
        <f t="shared" ca="1" si="22"/>
        <v>9/28</v>
      </c>
      <c r="L163" t="str">
        <f t="shared" si="23"/>
        <v/>
      </c>
      <c r="M163" t="str">
        <f>IFERROR(INDEX(Overview!$A$3:$B$32,MATCH('538'!$L163,Overview!$A$3:$A$32,0),2),"")</f>
        <v/>
      </c>
      <c r="N163" t="str">
        <f t="shared" si="20"/>
        <v/>
      </c>
      <c r="O163" s="62">
        <f t="shared" si="24"/>
        <v>0</v>
      </c>
      <c r="Q163" t="str">
        <f t="shared" ca="1" si="26"/>
        <v/>
      </c>
      <c r="T163" t="str">
        <f t="shared" ca="1" si="25"/>
        <v/>
      </c>
      <c r="U163" t="str">
        <f t="shared" ca="1" si="25"/>
        <v/>
      </c>
    </row>
    <row r="164" spans="1:21" x14ac:dyDescent="0.25">
      <c r="A164" t="s">
        <v>4826</v>
      </c>
      <c r="B164" t="s">
        <v>986</v>
      </c>
      <c r="C164" t="s">
        <v>1051</v>
      </c>
      <c r="D164">
        <v>1593</v>
      </c>
      <c r="E164">
        <v>8</v>
      </c>
      <c r="F164">
        <v>0</v>
      </c>
      <c r="G164">
        <f>1601</f>
        <v>1601</v>
      </c>
      <c r="H164" s="62">
        <v>0.65</v>
      </c>
      <c r="I164">
        <v>2</v>
      </c>
      <c r="J164">
        <f t="shared" ca="1" si="21"/>
        <v>4</v>
      </c>
      <c r="K164" s="63" t="str">
        <f t="shared" ca="1" si="22"/>
        <v>9/28</v>
      </c>
      <c r="L164" t="str">
        <f t="shared" si="23"/>
        <v>LAD</v>
      </c>
      <c r="M164" t="str">
        <f>IFERROR(INDEX(Overview!$A$3:$B$32,MATCH('538'!$L164,Overview!$A$3:$A$32,0),2),"")</f>
        <v>Dodgers</v>
      </c>
      <c r="N164" t="str">
        <f t="shared" si="20"/>
        <v>Hyun-Jin Ryu</v>
      </c>
      <c r="O164" s="62">
        <f t="shared" si="24"/>
        <v>0.65</v>
      </c>
      <c r="Q164" t="str">
        <f t="shared" ca="1" si="26"/>
        <v/>
      </c>
      <c r="T164" t="str">
        <f t="shared" ca="1" si="25"/>
        <v/>
      </c>
      <c r="U164" t="str">
        <f t="shared" ca="1" si="25"/>
        <v/>
      </c>
    </row>
    <row r="165" spans="1:21" x14ac:dyDescent="0.25">
      <c r="C165" t="s">
        <v>1052</v>
      </c>
      <c r="H165" s="62"/>
      <c r="J165">
        <f t="shared" ca="1" si="21"/>
        <v>4</v>
      </c>
      <c r="K165" s="63" t="str">
        <f t="shared" ca="1" si="22"/>
        <v>9/28</v>
      </c>
      <c r="L165" t="str">
        <f t="shared" si="23"/>
        <v/>
      </c>
      <c r="M165" t="str">
        <f>IFERROR(INDEX(Overview!$A$3:$B$32,MATCH('538'!$L165,Overview!$A$3:$A$32,0),2),"")</f>
        <v/>
      </c>
      <c r="N165" t="str">
        <f t="shared" si="20"/>
        <v/>
      </c>
      <c r="O165" s="62">
        <f t="shared" si="24"/>
        <v>0</v>
      </c>
      <c r="Q165" t="str">
        <f t="shared" ca="1" si="26"/>
        <v/>
      </c>
      <c r="T165" t="str">
        <f t="shared" ca="1" si="25"/>
        <v/>
      </c>
      <c r="U165" t="str">
        <f t="shared" ca="1" si="25"/>
        <v/>
      </c>
    </row>
    <row r="166" spans="1:21" x14ac:dyDescent="0.25">
      <c r="B166" t="s">
        <v>988</v>
      </c>
      <c r="C166" t="s">
        <v>4106</v>
      </c>
      <c r="D166">
        <v>1477</v>
      </c>
      <c r="E166" t="s">
        <v>961</v>
      </c>
      <c r="F166">
        <v>24</v>
      </c>
      <c r="G166">
        <f>1495</f>
        <v>1495</v>
      </c>
      <c r="H166" s="62">
        <v>0.35</v>
      </c>
      <c r="I166">
        <v>0</v>
      </c>
      <c r="J166">
        <f t="shared" ca="1" si="21"/>
        <v>4</v>
      </c>
      <c r="K166" s="63" t="str">
        <f t="shared" ca="1" si="22"/>
        <v>9/28</v>
      </c>
      <c r="L166" t="str">
        <f t="shared" si="23"/>
        <v>SFS</v>
      </c>
      <c r="M166" t="str">
        <f>IFERROR(INDEX(Overview!$A$3:$B$32,MATCH('538'!$L166,Overview!$A$3:$A$32,0),2),"")</f>
        <v/>
      </c>
      <c r="N166" t="str">
        <f t="shared" si="20"/>
        <v>Logan Webb</v>
      </c>
      <c r="O166" s="62">
        <f t="shared" si="24"/>
        <v>0.35</v>
      </c>
      <c r="Q166" t="str">
        <f t="shared" ca="1" si="26"/>
        <v/>
      </c>
      <c r="T166" t="str">
        <f t="shared" ca="1" si="25"/>
        <v/>
      </c>
      <c r="U166" t="str">
        <f t="shared" ca="1" si="25"/>
        <v/>
      </c>
    </row>
    <row r="167" spans="1:21" x14ac:dyDescent="0.25">
      <c r="C167" t="s">
        <v>4107</v>
      </c>
      <c r="H167" s="62"/>
      <c r="J167">
        <f t="shared" ca="1" si="21"/>
        <v>4</v>
      </c>
      <c r="K167" s="63" t="str">
        <f t="shared" ca="1" si="22"/>
        <v>9/28</v>
      </c>
      <c r="L167" t="str">
        <f t="shared" si="23"/>
        <v/>
      </c>
      <c r="M167" t="str">
        <f>IFERROR(INDEX(Overview!$A$3:$B$32,MATCH('538'!$L167,Overview!$A$3:$A$32,0),2),"")</f>
        <v/>
      </c>
      <c r="N167" t="str">
        <f t="shared" si="20"/>
        <v/>
      </c>
      <c r="O167" s="62">
        <f t="shared" si="24"/>
        <v>0</v>
      </c>
      <c r="Q167" t="str">
        <f t="shared" ca="1" si="26"/>
        <v/>
      </c>
      <c r="T167" t="str">
        <f t="shared" ca="1" si="25"/>
        <v/>
      </c>
      <c r="U167" t="str">
        <f t="shared" ca="1" si="25"/>
        <v/>
      </c>
    </row>
    <row r="168" spans="1:21" x14ac:dyDescent="0.25">
      <c r="A168" t="s">
        <v>4827</v>
      </c>
      <c r="B168" t="s">
        <v>991</v>
      </c>
      <c r="C168" t="s">
        <v>1103</v>
      </c>
      <c r="D168">
        <v>1385</v>
      </c>
      <c r="E168">
        <v>17</v>
      </c>
      <c r="F168">
        <v>0</v>
      </c>
      <c r="G168">
        <f>1402</f>
        <v>1402</v>
      </c>
      <c r="H168" s="62">
        <v>0.38</v>
      </c>
      <c r="I168">
        <v>1</v>
      </c>
      <c r="J168">
        <f t="shared" ca="1" si="21"/>
        <v>4</v>
      </c>
      <c r="K168" s="63" t="str">
        <f t="shared" ca="1" si="22"/>
        <v>9/28</v>
      </c>
      <c r="L168" t="str">
        <f t="shared" si="23"/>
        <v>DET</v>
      </c>
      <c r="M168" t="str">
        <f>IFERROR(INDEX(Overview!$A$3:$B$32,MATCH('538'!$L168,Overview!$A$3:$A$32,0),2),"")</f>
        <v>Tigers</v>
      </c>
      <c r="N168" t="str">
        <f t="shared" si="20"/>
        <v>Matthew Boyd</v>
      </c>
      <c r="O168" s="62">
        <f t="shared" si="24"/>
        <v>0.38</v>
      </c>
      <c r="Q168" t="str">
        <f t="shared" ca="1" si="26"/>
        <v/>
      </c>
      <c r="T168" t="str">
        <f t="shared" ca="1" si="25"/>
        <v/>
      </c>
      <c r="U168" t="str">
        <f t="shared" ca="1" si="25"/>
        <v/>
      </c>
    </row>
    <row r="169" spans="1:21" x14ac:dyDescent="0.25">
      <c r="C169" t="s">
        <v>1104</v>
      </c>
      <c r="H169" s="62"/>
      <c r="J169">
        <f t="shared" ca="1" si="21"/>
        <v>4</v>
      </c>
      <c r="K169" s="63" t="str">
        <f t="shared" ca="1" si="22"/>
        <v>9/28</v>
      </c>
      <c r="L169" t="str">
        <f t="shared" si="23"/>
        <v/>
      </c>
      <c r="M169" t="str">
        <f>IFERROR(INDEX(Overview!$A$3:$B$32,MATCH('538'!$L169,Overview!$A$3:$A$32,0),2),"")</f>
        <v/>
      </c>
      <c r="N169" t="str">
        <f t="shared" si="20"/>
        <v/>
      </c>
      <c r="O169" s="62">
        <f t="shared" si="24"/>
        <v>0</v>
      </c>
      <c r="Q169" t="str">
        <f t="shared" ca="1" si="26"/>
        <v/>
      </c>
      <c r="T169" t="str">
        <f t="shared" ref="T169:U190" ca="1" si="27">IFERROR(VLOOKUP(ROW()-8,$J$9:$O$409,T$8,0),"")</f>
        <v/>
      </c>
      <c r="U169" t="str">
        <f t="shared" ca="1" si="27"/>
        <v/>
      </c>
    </row>
    <row r="170" spans="1:21" x14ac:dyDescent="0.25">
      <c r="B170" t="s">
        <v>981</v>
      </c>
      <c r="C170" t="s">
        <v>1089</v>
      </c>
      <c r="D170">
        <v>1461</v>
      </c>
      <c r="E170" t="s">
        <v>964</v>
      </c>
      <c r="F170">
        <v>26</v>
      </c>
      <c r="G170">
        <f>1486</f>
        <v>1486</v>
      </c>
      <c r="H170" s="62">
        <v>0.62</v>
      </c>
      <c r="I170">
        <v>7</v>
      </c>
      <c r="J170">
        <f t="shared" ca="1" si="21"/>
        <v>4</v>
      </c>
      <c r="K170" s="63" t="str">
        <f t="shared" ca="1" si="22"/>
        <v>9/28</v>
      </c>
      <c r="L170" t="str">
        <f t="shared" si="23"/>
        <v>CHW</v>
      </c>
      <c r="M170" t="str">
        <f>IFERROR(INDEX(Overview!$A$3:$B$32,MATCH('538'!$L170,Overview!$A$3:$A$32,0),2),"")</f>
        <v>White Sox</v>
      </c>
      <c r="N170" t="str">
        <f t="shared" si="20"/>
        <v>Reynaldo Lopez</v>
      </c>
      <c r="O170" s="62">
        <f t="shared" si="24"/>
        <v>0.62</v>
      </c>
      <c r="Q170" t="str">
        <f t="shared" ca="1" si="26"/>
        <v/>
      </c>
      <c r="T170" t="str">
        <f t="shared" ca="1" si="27"/>
        <v/>
      </c>
      <c r="U170" t="str">
        <f t="shared" ca="1" si="27"/>
        <v/>
      </c>
    </row>
    <row r="171" spans="1:21" x14ac:dyDescent="0.25">
      <c r="C171" t="s">
        <v>1066</v>
      </c>
      <c r="H171" s="62"/>
      <c r="J171">
        <f t="shared" ca="1" si="21"/>
        <v>4</v>
      </c>
      <c r="K171" s="63" t="str">
        <f t="shared" ca="1" si="22"/>
        <v>9/28</v>
      </c>
      <c r="L171" t="str">
        <f t="shared" si="23"/>
        <v/>
      </c>
      <c r="M171" t="str">
        <f>IFERROR(INDEX(Overview!$A$3:$B$32,MATCH('538'!$L171,Overview!$A$3:$A$32,0),2),"")</f>
        <v/>
      </c>
      <c r="N171" t="str">
        <f t="shared" si="20"/>
        <v/>
      </c>
      <c r="O171" s="62">
        <f t="shared" si="24"/>
        <v>0</v>
      </c>
      <c r="Q171" t="str">
        <f t="shared" ca="1" si="26"/>
        <v/>
      </c>
      <c r="T171" t="str">
        <f t="shared" ca="1" si="27"/>
        <v/>
      </c>
      <c r="U171" t="str">
        <f t="shared" ca="1" si="27"/>
        <v/>
      </c>
    </row>
    <row r="172" spans="1:21" x14ac:dyDescent="0.25">
      <c r="A172" t="s">
        <v>4828</v>
      </c>
      <c r="B172" t="s">
        <v>982</v>
      </c>
      <c r="C172" t="s">
        <v>4096</v>
      </c>
      <c r="D172">
        <v>1548</v>
      </c>
      <c r="E172">
        <v>3</v>
      </c>
      <c r="F172">
        <v>0</v>
      </c>
      <c r="G172">
        <f>1551</f>
        <v>1551</v>
      </c>
      <c r="H172" s="62">
        <v>0.57999999999999996</v>
      </c>
      <c r="I172">
        <v>1</v>
      </c>
      <c r="J172">
        <f t="shared" ca="1" si="21"/>
        <v>4</v>
      </c>
      <c r="K172" s="63" t="str">
        <f t="shared" ca="1" si="22"/>
        <v>9/28</v>
      </c>
      <c r="L172" t="str">
        <f t="shared" si="23"/>
        <v>TBT</v>
      </c>
      <c r="M172" t="str">
        <f>IFERROR(INDEX(Overview!$A$3:$B$32,MATCH('538'!$L172,Overview!$A$3:$A$32,0),2),"")</f>
        <v/>
      </c>
      <c r="N172" t="str">
        <f t="shared" si="20"/>
        <v>Ryan Yarbrough</v>
      </c>
      <c r="O172" s="62">
        <f t="shared" si="24"/>
        <v>0.57999999999999996</v>
      </c>
      <c r="Q172" t="str">
        <f t="shared" ca="1" si="26"/>
        <v/>
      </c>
      <c r="T172" t="str">
        <f t="shared" ca="1" si="27"/>
        <v/>
      </c>
      <c r="U172" t="str">
        <f t="shared" ca="1" si="27"/>
        <v/>
      </c>
    </row>
    <row r="173" spans="1:21" x14ac:dyDescent="0.25">
      <c r="C173" t="s">
        <v>4097</v>
      </c>
      <c r="H173" s="62"/>
      <c r="J173">
        <f t="shared" ca="1" si="21"/>
        <v>4</v>
      </c>
      <c r="K173" s="63" t="str">
        <f t="shared" ca="1" si="22"/>
        <v>9/28</v>
      </c>
      <c r="L173" t="str">
        <f t="shared" si="23"/>
        <v/>
      </c>
      <c r="M173" t="str">
        <f>IFERROR(INDEX(Overview!$A$3:$B$32,MATCH('538'!$L173,Overview!$A$3:$A$32,0),2),"")</f>
        <v/>
      </c>
      <c r="N173" t="str">
        <f t="shared" si="20"/>
        <v/>
      </c>
      <c r="O173" s="62">
        <f t="shared" si="24"/>
        <v>0</v>
      </c>
      <c r="Q173" t="str">
        <f t="shared" ca="1" si="26"/>
        <v/>
      </c>
      <c r="T173" t="str">
        <f t="shared" ca="1" si="27"/>
        <v/>
      </c>
      <c r="U173" t="str">
        <f t="shared" ca="1" si="27"/>
        <v/>
      </c>
    </row>
    <row r="174" spans="1:21" x14ac:dyDescent="0.25">
      <c r="B174" t="s">
        <v>1024</v>
      </c>
      <c r="C174" t="s">
        <v>3650</v>
      </c>
      <c r="D174">
        <v>1469</v>
      </c>
      <c r="E174" t="s">
        <v>964</v>
      </c>
      <c r="F174">
        <v>24</v>
      </c>
      <c r="G174">
        <f>1492</f>
        <v>1492</v>
      </c>
      <c r="H174" s="62">
        <v>0.42</v>
      </c>
      <c r="I174">
        <v>4</v>
      </c>
      <c r="J174">
        <f t="shared" ca="1" si="21"/>
        <v>4</v>
      </c>
      <c r="K174" s="63" t="str">
        <f t="shared" ca="1" si="22"/>
        <v>9/28</v>
      </c>
      <c r="L174" t="str">
        <f t="shared" si="23"/>
        <v>TOR</v>
      </c>
      <c r="M174" t="str">
        <f>IFERROR(INDEX(Overview!$A$3:$B$32,MATCH('538'!$L174,Overview!$A$3:$A$32,0),2),"")</f>
        <v>Blue Jays</v>
      </c>
      <c r="N174" t="str">
        <f t="shared" si="20"/>
        <v>Trent Thornton</v>
      </c>
      <c r="O174" s="62">
        <f t="shared" si="24"/>
        <v>0.42</v>
      </c>
      <c r="Q174" t="str">
        <f t="shared" ca="1" si="26"/>
        <v/>
      </c>
      <c r="T174" t="str">
        <f t="shared" ca="1" si="27"/>
        <v/>
      </c>
      <c r="U174" t="str">
        <f t="shared" ca="1" si="27"/>
        <v/>
      </c>
    </row>
    <row r="175" spans="1:21" x14ac:dyDescent="0.25">
      <c r="C175" t="s">
        <v>3651</v>
      </c>
      <c r="H175" s="62"/>
      <c r="J175">
        <f t="shared" ca="1" si="21"/>
        <v>4</v>
      </c>
      <c r="K175" s="63" t="str">
        <f t="shared" ca="1" si="22"/>
        <v>9/28</v>
      </c>
      <c r="L175" t="str">
        <f t="shared" si="23"/>
        <v/>
      </c>
      <c r="M175" t="str">
        <f>IFERROR(INDEX(Overview!$A$3:$B$32,MATCH('538'!$L175,Overview!$A$3:$A$32,0),2),"")</f>
        <v/>
      </c>
      <c r="N175" t="str">
        <f t="shared" si="20"/>
        <v/>
      </c>
      <c r="O175" s="62">
        <f t="shared" si="24"/>
        <v>0</v>
      </c>
      <c r="Q175" t="str">
        <f t="shared" ca="1" si="26"/>
        <v/>
      </c>
      <c r="T175" t="str">
        <f t="shared" ca="1" si="27"/>
        <v/>
      </c>
      <c r="U175" t="str">
        <f t="shared" ca="1" si="27"/>
        <v/>
      </c>
    </row>
    <row r="176" spans="1:21" x14ac:dyDescent="0.25">
      <c r="A176" t="s">
        <v>4829</v>
      </c>
      <c r="B176" t="s">
        <v>975</v>
      </c>
      <c r="C176" t="s">
        <v>4830</v>
      </c>
      <c r="D176">
        <v>1545</v>
      </c>
      <c r="E176" t="s">
        <v>987</v>
      </c>
      <c r="F176">
        <v>0</v>
      </c>
      <c r="G176">
        <f>1529</f>
        <v>1529</v>
      </c>
      <c r="H176" s="62">
        <v>0.64</v>
      </c>
      <c r="I176">
        <v>4</v>
      </c>
      <c r="J176">
        <f t="shared" ca="1" si="21"/>
        <v>4</v>
      </c>
      <c r="K176" s="63" t="str">
        <f t="shared" ca="1" si="22"/>
        <v>9/28</v>
      </c>
      <c r="L176" t="str">
        <f t="shared" si="23"/>
        <v>MIN</v>
      </c>
      <c r="M176" t="str">
        <f>IFERROR(INDEX(Overview!$A$3:$B$32,MATCH('538'!$L176,Overview!$A$3:$A$32,0),2),"")</f>
        <v>Twins</v>
      </c>
      <c r="N176" t="str">
        <f t="shared" si="20"/>
        <v>Cody Stashak</v>
      </c>
      <c r="O176" s="62">
        <f t="shared" si="24"/>
        <v>0.64</v>
      </c>
      <c r="Q176" t="str">
        <f t="shared" ca="1" si="26"/>
        <v/>
      </c>
      <c r="T176" t="str">
        <f t="shared" ca="1" si="27"/>
        <v/>
      </c>
      <c r="U176" t="str">
        <f t="shared" ca="1" si="27"/>
        <v/>
      </c>
    </row>
    <row r="177" spans="1:21" x14ac:dyDescent="0.25">
      <c r="C177" t="s">
        <v>4831</v>
      </c>
      <c r="H177" s="62"/>
      <c r="J177">
        <f t="shared" ca="1" si="21"/>
        <v>4</v>
      </c>
      <c r="K177" s="63" t="str">
        <f t="shared" ca="1" si="22"/>
        <v>9/28</v>
      </c>
      <c r="L177" t="str">
        <f t="shared" si="23"/>
        <v/>
      </c>
      <c r="M177" t="str">
        <f>IFERROR(INDEX(Overview!$A$3:$B$32,MATCH('538'!$L177,Overview!$A$3:$A$32,0),2),"")</f>
        <v/>
      </c>
      <c r="N177" t="str">
        <f t="shared" si="20"/>
        <v/>
      </c>
      <c r="O177" s="62">
        <f t="shared" si="24"/>
        <v>0</v>
      </c>
      <c r="Q177" t="str">
        <f t="shared" ca="1" si="26"/>
        <v/>
      </c>
      <c r="T177" t="str">
        <f t="shared" ca="1" si="27"/>
        <v/>
      </c>
      <c r="U177" t="str">
        <f t="shared" ca="1" si="27"/>
        <v/>
      </c>
    </row>
    <row r="178" spans="1:21" x14ac:dyDescent="0.25">
      <c r="B178" t="s">
        <v>984</v>
      </c>
      <c r="C178" t="s">
        <v>1348</v>
      </c>
      <c r="D178">
        <v>1430</v>
      </c>
      <c r="E178" t="s">
        <v>1350</v>
      </c>
      <c r="F178">
        <v>24</v>
      </c>
      <c r="G178">
        <f>1433</f>
        <v>1433</v>
      </c>
      <c r="H178" s="62">
        <v>0.36</v>
      </c>
      <c r="I178">
        <v>3</v>
      </c>
      <c r="J178">
        <f t="shared" ca="1" si="21"/>
        <v>4</v>
      </c>
      <c r="K178" s="63" t="str">
        <f t="shared" ca="1" si="22"/>
        <v>9/28</v>
      </c>
      <c r="L178" t="str">
        <f t="shared" si="23"/>
        <v>KCK</v>
      </c>
      <c r="M178" t="str">
        <f>IFERROR(INDEX(Overview!$A$3:$B$32,MATCH('538'!$L178,Overview!$A$3:$A$32,0),2),"")</f>
        <v/>
      </c>
      <c r="N178" t="str">
        <f t="shared" si="20"/>
        <v>Glenn Sparkman</v>
      </c>
      <c r="O178" s="62">
        <f t="shared" si="24"/>
        <v>0.36</v>
      </c>
      <c r="Q178" t="str">
        <f t="shared" ca="1" si="26"/>
        <v/>
      </c>
      <c r="T178" t="str">
        <f t="shared" ca="1" si="27"/>
        <v/>
      </c>
      <c r="U178" t="str">
        <f t="shared" ca="1" si="27"/>
        <v/>
      </c>
    </row>
    <row r="179" spans="1:21" x14ac:dyDescent="0.25">
      <c r="C179" t="s">
        <v>1349</v>
      </c>
      <c r="H179" s="62"/>
      <c r="J179">
        <f t="shared" ca="1" si="21"/>
        <v>4</v>
      </c>
      <c r="K179" s="63" t="str">
        <f t="shared" ca="1" si="22"/>
        <v>9/28</v>
      </c>
      <c r="L179" t="str">
        <f t="shared" si="23"/>
        <v/>
      </c>
      <c r="M179" t="str">
        <f>IFERROR(INDEX(Overview!$A$3:$B$32,MATCH('538'!$L179,Overview!$A$3:$A$32,0),2),"")</f>
        <v/>
      </c>
      <c r="N179" t="str">
        <f t="shared" si="20"/>
        <v/>
      </c>
      <c r="O179" s="62">
        <f t="shared" si="24"/>
        <v>0</v>
      </c>
      <c r="Q179" t="str">
        <f t="shared" ca="1" si="26"/>
        <v/>
      </c>
      <c r="T179" t="str">
        <f t="shared" ca="1" si="27"/>
        <v/>
      </c>
      <c r="U179" t="str">
        <f t="shared" ca="1" si="27"/>
        <v/>
      </c>
    </row>
    <row r="180" spans="1:21" x14ac:dyDescent="0.25">
      <c r="A180" t="s">
        <v>4832</v>
      </c>
      <c r="B180" t="s">
        <v>978</v>
      </c>
      <c r="C180" t="s">
        <v>979</v>
      </c>
      <c r="D180">
        <v>1410</v>
      </c>
      <c r="E180">
        <v>34</v>
      </c>
      <c r="F180">
        <v>0</v>
      </c>
      <c r="G180">
        <f>1444</f>
        <v>1444</v>
      </c>
      <c r="H180" s="62">
        <v>0.36</v>
      </c>
      <c r="I180">
        <v>9</v>
      </c>
      <c r="J180">
        <f t="shared" ca="1" si="21"/>
        <v>4</v>
      </c>
      <c r="K180" s="63" t="str">
        <f t="shared" ca="1" si="22"/>
        <v>9/28</v>
      </c>
      <c r="L180" t="str">
        <f t="shared" si="23"/>
        <v>BAL</v>
      </c>
      <c r="M180" t="str">
        <f>IFERROR(INDEX(Overview!$A$3:$B$32,MATCH('538'!$L180,Overview!$A$3:$A$32,0),2),"")</f>
        <v>Orioles</v>
      </c>
      <c r="N180" t="str">
        <f t="shared" si="20"/>
        <v>John Means</v>
      </c>
      <c r="O180" s="62">
        <f t="shared" si="24"/>
        <v>0.36</v>
      </c>
      <c r="Q180" t="str">
        <f t="shared" ca="1" si="26"/>
        <v/>
      </c>
      <c r="T180" t="str">
        <f t="shared" ca="1" si="27"/>
        <v/>
      </c>
      <c r="U180" t="str">
        <f t="shared" ca="1" si="27"/>
        <v/>
      </c>
    </row>
    <row r="181" spans="1:21" x14ac:dyDescent="0.25">
      <c r="C181" t="s">
        <v>980</v>
      </c>
      <c r="H181" s="62"/>
      <c r="J181">
        <f t="shared" ca="1" si="21"/>
        <v>4</v>
      </c>
      <c r="K181" s="63" t="str">
        <f t="shared" ca="1" si="22"/>
        <v>9/28</v>
      </c>
      <c r="L181" t="str">
        <f t="shared" si="23"/>
        <v/>
      </c>
      <c r="M181" t="str">
        <f>IFERROR(INDEX(Overview!$A$3:$B$32,MATCH('538'!$L181,Overview!$A$3:$A$32,0),2),"")</f>
        <v/>
      </c>
      <c r="N181" t="str">
        <f t="shared" si="20"/>
        <v/>
      </c>
      <c r="O181" s="62">
        <f t="shared" si="24"/>
        <v>0</v>
      </c>
      <c r="Q181" t="str">
        <f t="shared" ca="1" si="26"/>
        <v/>
      </c>
      <c r="T181" t="str">
        <f t="shared" ca="1" si="27"/>
        <v/>
      </c>
      <c r="U181" t="str">
        <f t="shared" ca="1" si="27"/>
        <v/>
      </c>
    </row>
    <row r="182" spans="1:21" x14ac:dyDescent="0.25">
      <c r="B182" t="s">
        <v>950</v>
      </c>
      <c r="C182" t="s">
        <v>4383</v>
      </c>
      <c r="D182">
        <v>1536</v>
      </c>
      <c r="E182" t="s">
        <v>1173</v>
      </c>
      <c r="F182">
        <v>24</v>
      </c>
      <c r="G182">
        <f>1541</f>
        <v>1541</v>
      </c>
      <c r="H182" s="62">
        <v>0.64</v>
      </c>
      <c r="I182">
        <v>4</v>
      </c>
      <c r="J182">
        <f t="shared" ca="1" si="21"/>
        <v>4</v>
      </c>
      <c r="K182" s="63" t="str">
        <f t="shared" ca="1" si="22"/>
        <v>9/28</v>
      </c>
      <c r="L182" t="str">
        <f t="shared" si="23"/>
        <v>BOS</v>
      </c>
      <c r="M182" t="str">
        <f>IFERROR(INDEX(Overview!$A$3:$B$32,MATCH('538'!$L182,Overview!$A$3:$A$32,0),2),"")</f>
        <v>Red Sox</v>
      </c>
      <c r="N182" t="str">
        <f t="shared" si="20"/>
        <v>Jhoulys Chacin</v>
      </c>
      <c r="O182" s="62">
        <f t="shared" si="24"/>
        <v>0.64</v>
      </c>
      <c r="Q182" t="str">
        <f t="shared" ca="1" si="26"/>
        <v/>
      </c>
      <c r="T182" t="str">
        <f t="shared" ca="1" si="27"/>
        <v/>
      </c>
      <c r="U182" t="str">
        <f t="shared" ca="1" si="27"/>
        <v/>
      </c>
    </row>
    <row r="183" spans="1:21" x14ac:dyDescent="0.25">
      <c r="C183" t="s">
        <v>4384</v>
      </c>
      <c r="H183" s="62"/>
      <c r="J183">
        <f t="shared" ca="1" si="21"/>
        <v>4</v>
      </c>
      <c r="K183" s="63" t="str">
        <f t="shared" ca="1" si="22"/>
        <v>9/28</v>
      </c>
      <c r="L183" t="str">
        <f t="shared" si="23"/>
        <v/>
      </c>
      <c r="M183" t="str">
        <f>IFERROR(INDEX(Overview!$A$3:$B$32,MATCH('538'!$L183,Overview!$A$3:$A$32,0),2),"")</f>
        <v/>
      </c>
      <c r="N183" t="str">
        <f t="shared" si="20"/>
        <v/>
      </c>
      <c r="O183" s="62">
        <f t="shared" si="24"/>
        <v>0</v>
      </c>
      <c r="Q183" t="str">
        <f t="shared" ca="1" si="26"/>
        <v/>
      </c>
      <c r="T183" t="str">
        <f t="shared" ca="1" si="27"/>
        <v/>
      </c>
      <c r="U183" t="str">
        <f t="shared" ca="1" si="27"/>
        <v/>
      </c>
    </row>
    <row r="184" spans="1:21" x14ac:dyDescent="0.25">
      <c r="A184" t="s">
        <v>4833</v>
      </c>
      <c r="B184" t="s">
        <v>986</v>
      </c>
      <c r="C184" t="s">
        <v>1022</v>
      </c>
      <c r="D184">
        <v>1591</v>
      </c>
      <c r="E184">
        <v>16</v>
      </c>
      <c r="F184" t="s">
        <v>949</v>
      </c>
      <c r="G184">
        <f>1605</f>
        <v>1605</v>
      </c>
      <c r="H184" s="62">
        <v>0.63</v>
      </c>
      <c r="I184">
        <v>9</v>
      </c>
      <c r="J184">
        <f t="shared" ca="1" si="21"/>
        <v>4</v>
      </c>
      <c r="K184" s="63" t="str">
        <f t="shared" ca="1" si="22"/>
        <v>9/27</v>
      </c>
      <c r="L184" t="str">
        <f t="shared" si="23"/>
        <v>LAD</v>
      </c>
      <c r="M184" t="str">
        <f>IFERROR(INDEX(Overview!$A$3:$B$32,MATCH('538'!$L184,Overview!$A$3:$A$32,0),2),"")</f>
        <v>Dodgers</v>
      </c>
      <c r="N184" t="str">
        <f t="shared" si="20"/>
        <v>Walker Buehler</v>
      </c>
      <c r="O184" s="62">
        <f t="shared" si="24"/>
        <v>0.63</v>
      </c>
      <c r="Q184" t="str">
        <f t="shared" ca="1" si="26"/>
        <v/>
      </c>
      <c r="T184" t="str">
        <f t="shared" ca="1" si="27"/>
        <v/>
      </c>
      <c r="U184" t="str">
        <f t="shared" ca="1" si="27"/>
        <v/>
      </c>
    </row>
    <row r="185" spans="1:21" x14ac:dyDescent="0.25">
      <c r="C185" t="s">
        <v>1023</v>
      </c>
      <c r="H185" s="62"/>
      <c r="J185">
        <f t="shared" ca="1" si="21"/>
        <v>4</v>
      </c>
      <c r="K185" s="63" t="str">
        <f t="shared" ca="1" si="22"/>
        <v>9/27</v>
      </c>
      <c r="L185" t="str">
        <f t="shared" si="23"/>
        <v/>
      </c>
      <c r="M185" t="str">
        <f>IFERROR(INDEX(Overview!$A$3:$B$32,MATCH('538'!$L185,Overview!$A$3:$A$32,0),2),"")</f>
        <v/>
      </c>
      <c r="N185" t="str">
        <f t="shared" si="20"/>
        <v/>
      </c>
      <c r="O185" s="62">
        <f t="shared" si="24"/>
        <v>0</v>
      </c>
      <c r="Q185" t="str">
        <f t="shared" ca="1" si="26"/>
        <v/>
      </c>
      <c r="T185" t="str">
        <f t="shared" ca="1" si="27"/>
        <v/>
      </c>
      <c r="U185" t="str">
        <f t="shared" ca="1" si="27"/>
        <v/>
      </c>
    </row>
    <row r="186" spans="1:21" x14ac:dyDescent="0.25">
      <c r="B186" t="s">
        <v>988</v>
      </c>
      <c r="C186" t="s">
        <v>4360</v>
      </c>
      <c r="D186">
        <v>1478</v>
      </c>
      <c r="E186">
        <v>9</v>
      </c>
      <c r="F186">
        <v>24</v>
      </c>
      <c r="G186">
        <f>1511</f>
        <v>1511</v>
      </c>
      <c r="H186" s="62">
        <v>0.37</v>
      </c>
      <c r="I186">
        <v>2</v>
      </c>
      <c r="J186">
        <f t="shared" ca="1" si="21"/>
        <v>4</v>
      </c>
      <c r="K186" s="63" t="str">
        <f t="shared" ca="1" si="22"/>
        <v>9/27</v>
      </c>
      <c r="L186" t="str">
        <f t="shared" si="23"/>
        <v>SFS</v>
      </c>
      <c r="M186" t="str">
        <f>IFERROR(INDEX(Overview!$A$3:$B$32,MATCH('538'!$L186,Overview!$A$3:$A$32,0),2),"")</f>
        <v/>
      </c>
      <c r="N186" t="str">
        <f t="shared" si="20"/>
        <v>Johnny Cueto</v>
      </c>
      <c r="O186" s="62">
        <f t="shared" si="24"/>
        <v>0.37</v>
      </c>
      <c r="Q186" t="str">
        <f t="shared" ca="1" si="26"/>
        <v/>
      </c>
      <c r="T186" t="str">
        <f t="shared" ca="1" si="27"/>
        <v/>
      </c>
      <c r="U186" t="str">
        <f t="shared" ca="1" si="27"/>
        <v/>
      </c>
    </row>
    <row r="187" spans="1:21" x14ac:dyDescent="0.25">
      <c r="C187" t="s">
        <v>4361</v>
      </c>
      <c r="H187" s="62"/>
      <c r="J187">
        <f t="shared" ca="1" si="21"/>
        <v>4</v>
      </c>
      <c r="K187" s="63" t="str">
        <f t="shared" ca="1" si="22"/>
        <v>9/27</v>
      </c>
      <c r="L187" t="str">
        <f t="shared" si="23"/>
        <v/>
      </c>
      <c r="M187" t="str">
        <f>IFERROR(INDEX(Overview!$A$3:$B$32,MATCH('538'!$L187,Overview!$A$3:$A$32,0),2),"")</f>
        <v/>
      </c>
      <c r="N187" t="str">
        <f t="shared" si="20"/>
        <v/>
      </c>
      <c r="O187" s="62">
        <f t="shared" si="24"/>
        <v>0</v>
      </c>
      <c r="Q187" t="str">
        <f t="shared" ca="1" si="26"/>
        <v/>
      </c>
      <c r="T187" t="str">
        <f t="shared" ca="1" si="27"/>
        <v/>
      </c>
      <c r="U187" t="str">
        <f t="shared" ca="1" si="27"/>
        <v/>
      </c>
    </row>
    <row r="188" spans="1:21" x14ac:dyDescent="0.25">
      <c r="A188" t="s">
        <v>4834</v>
      </c>
      <c r="B188" t="s">
        <v>948</v>
      </c>
      <c r="C188" t="s">
        <v>1028</v>
      </c>
      <c r="D188">
        <v>1561</v>
      </c>
      <c r="E188">
        <v>1</v>
      </c>
      <c r="F188">
        <v>0</v>
      </c>
      <c r="G188">
        <f>1562</f>
        <v>1562</v>
      </c>
      <c r="H188" s="62">
        <v>0.6</v>
      </c>
      <c r="I188">
        <v>3</v>
      </c>
      <c r="J188">
        <f t="shared" ca="1" si="21"/>
        <v>4</v>
      </c>
      <c r="K188" s="63" t="str">
        <f t="shared" ca="1" si="22"/>
        <v>9/27</v>
      </c>
      <c r="L188" t="str">
        <f t="shared" si="23"/>
        <v>OAK</v>
      </c>
      <c r="M188" t="str">
        <f>IFERROR(INDEX(Overview!$A$3:$B$32,MATCH('538'!$L188,Overview!$A$3:$A$32,0),2),"")</f>
        <v>Athletics</v>
      </c>
      <c r="N188" t="str">
        <f t="shared" si="20"/>
        <v>Mike Fiers</v>
      </c>
      <c r="O188" s="62">
        <f t="shared" si="24"/>
        <v>0.6</v>
      </c>
      <c r="Q188" t="str">
        <f t="shared" ca="1" si="26"/>
        <v/>
      </c>
      <c r="T188" t="str">
        <f t="shared" ca="1" si="27"/>
        <v/>
      </c>
      <c r="U188" t="str">
        <f t="shared" ca="1" si="27"/>
        <v/>
      </c>
    </row>
    <row r="189" spans="1:21" x14ac:dyDescent="0.25">
      <c r="C189" t="s">
        <v>1029</v>
      </c>
      <c r="H189" s="62"/>
      <c r="J189">
        <f t="shared" ca="1" si="21"/>
        <v>4</v>
      </c>
      <c r="K189" s="63" t="str">
        <f t="shared" ca="1" si="22"/>
        <v>9/27</v>
      </c>
      <c r="L189" t="str">
        <f t="shared" si="23"/>
        <v/>
      </c>
      <c r="M189" t="str">
        <f>IFERROR(INDEX(Overview!$A$3:$B$32,MATCH('538'!$L189,Overview!$A$3:$A$32,0),2),"")</f>
        <v/>
      </c>
      <c r="N189" t="str">
        <f t="shared" si="20"/>
        <v/>
      </c>
      <c r="O189" s="62">
        <f t="shared" si="24"/>
        <v>0</v>
      </c>
      <c r="Q189" t="str">
        <f t="shared" ca="1" si="26"/>
        <v/>
      </c>
      <c r="T189" t="str">
        <f t="shared" ca="1" si="27"/>
        <v/>
      </c>
      <c r="U189" t="str">
        <f t="shared" ca="1" si="27"/>
        <v/>
      </c>
    </row>
    <row r="190" spans="1:21" x14ac:dyDescent="0.25">
      <c r="B190" t="s">
        <v>1027</v>
      </c>
      <c r="C190" t="s">
        <v>4091</v>
      </c>
      <c r="D190">
        <v>1464</v>
      </c>
      <c r="E190">
        <v>2</v>
      </c>
      <c r="F190">
        <v>24</v>
      </c>
      <c r="G190">
        <f>1490</f>
        <v>1490</v>
      </c>
      <c r="H190" s="62">
        <v>0.4</v>
      </c>
      <c r="I190">
        <v>4</v>
      </c>
      <c r="J190">
        <f t="shared" ca="1" si="21"/>
        <v>4</v>
      </c>
      <c r="K190" s="63" t="str">
        <f t="shared" ca="1" si="22"/>
        <v>9/27</v>
      </c>
      <c r="L190" t="str">
        <f t="shared" si="23"/>
        <v>SEA</v>
      </c>
      <c r="M190" t="str">
        <f>IFERROR(INDEX(Overview!$A$3:$B$32,MATCH('538'!$L190,Overview!$A$3:$A$32,0),2),"")</f>
        <v>Mariners</v>
      </c>
      <c r="N190" t="str">
        <f t="shared" si="20"/>
        <v>Justus Sheffield</v>
      </c>
      <c r="O190" s="62">
        <f t="shared" si="24"/>
        <v>0.4</v>
      </c>
      <c r="Q190" t="str">
        <f t="shared" ca="1" si="26"/>
        <v/>
      </c>
      <c r="T190" t="str">
        <f t="shared" ca="1" si="27"/>
        <v/>
      </c>
      <c r="U190" t="str">
        <f t="shared" ca="1" si="27"/>
        <v/>
      </c>
    </row>
    <row r="191" spans="1:21" x14ac:dyDescent="0.25">
      <c r="C191" t="s">
        <v>4092</v>
      </c>
      <c r="H191" s="62"/>
      <c r="J191">
        <f t="shared" ca="1" si="21"/>
        <v>4</v>
      </c>
      <c r="K191" s="63" t="str">
        <f t="shared" ca="1" si="22"/>
        <v>9/27</v>
      </c>
      <c r="L191" t="str">
        <f t="shared" si="23"/>
        <v/>
      </c>
      <c r="M191" t="str">
        <f>IFERROR(INDEX(Overview!$A$3:$B$32,MATCH('538'!$L191,Overview!$A$3:$A$32,0),2),"")</f>
        <v/>
      </c>
      <c r="N191" t="str">
        <f t="shared" si="20"/>
        <v/>
      </c>
      <c r="O191" s="62">
        <f t="shared" si="24"/>
        <v>0</v>
      </c>
    </row>
    <row r="192" spans="1:21" x14ac:dyDescent="0.25">
      <c r="A192" t="s">
        <v>4835</v>
      </c>
      <c r="B192" t="s">
        <v>972</v>
      </c>
      <c r="C192" t="s">
        <v>4444</v>
      </c>
      <c r="D192">
        <v>1591</v>
      </c>
      <c r="E192" t="s">
        <v>4550</v>
      </c>
      <c r="F192">
        <v>0</v>
      </c>
      <c r="G192">
        <f>1560</f>
        <v>1560</v>
      </c>
      <c r="H192" s="62">
        <v>0.56999999999999995</v>
      </c>
      <c r="I192">
        <v>4</v>
      </c>
      <c r="J192">
        <f t="shared" ca="1" si="21"/>
        <v>4</v>
      </c>
      <c r="K192" s="63" t="str">
        <f t="shared" ca="1" si="22"/>
        <v>9/27</v>
      </c>
      <c r="L192" t="str">
        <f t="shared" si="23"/>
        <v>HOU</v>
      </c>
      <c r="M192" t="str">
        <f>IFERROR(INDEX(Overview!$A$3:$B$32,MATCH('538'!$L192,Overview!$A$3:$A$32,0),2),"")</f>
        <v>Astros</v>
      </c>
      <c r="N192" t="str">
        <f t="shared" si="20"/>
        <v>Jose Urquidy</v>
      </c>
      <c r="O192" s="62">
        <f t="shared" si="24"/>
        <v>0.56999999999999995</v>
      </c>
    </row>
    <row r="193" spans="1:15" x14ac:dyDescent="0.25">
      <c r="C193" t="s">
        <v>4445</v>
      </c>
      <c r="H193" s="62"/>
      <c r="J193">
        <f t="shared" ca="1" si="21"/>
        <v>4</v>
      </c>
      <c r="K193" s="63" t="str">
        <f t="shared" ca="1" si="22"/>
        <v>9/27</v>
      </c>
      <c r="L193" t="str">
        <f t="shared" si="23"/>
        <v/>
      </c>
      <c r="M193" t="str">
        <f>IFERROR(INDEX(Overview!$A$3:$B$32,MATCH('538'!$L193,Overview!$A$3:$A$32,0),2),"")</f>
        <v/>
      </c>
      <c r="N193" t="str">
        <f t="shared" si="20"/>
        <v/>
      </c>
      <c r="O193" s="62">
        <f t="shared" si="24"/>
        <v>0</v>
      </c>
    </row>
    <row r="194" spans="1:15" x14ac:dyDescent="0.25">
      <c r="B194" t="s">
        <v>1025</v>
      </c>
      <c r="C194" t="s">
        <v>3826</v>
      </c>
      <c r="D194">
        <v>1478</v>
      </c>
      <c r="E194">
        <v>6</v>
      </c>
      <c r="F194">
        <v>24</v>
      </c>
      <c r="G194">
        <f>1508</f>
        <v>1508</v>
      </c>
      <c r="H194" s="62">
        <v>0.43</v>
      </c>
      <c r="I194">
        <v>0</v>
      </c>
      <c r="J194">
        <f t="shared" ca="1" si="21"/>
        <v>4</v>
      </c>
      <c r="K194" s="63" t="str">
        <f t="shared" ca="1" si="22"/>
        <v>9/27</v>
      </c>
      <c r="L194" t="str">
        <f t="shared" si="23"/>
        <v>LAA</v>
      </c>
      <c r="M194" t="str">
        <f>IFERROR(INDEX(Overview!$A$3:$B$32,MATCH('538'!$L194,Overview!$A$3:$A$32,0),2),"")</f>
        <v>Angels</v>
      </c>
      <c r="N194" t="str">
        <f t="shared" si="20"/>
        <v>Patrick Sandoval</v>
      </c>
      <c r="O194" s="62">
        <f t="shared" si="24"/>
        <v>0.43</v>
      </c>
    </row>
    <row r="195" spans="1:15" x14ac:dyDescent="0.25">
      <c r="C195" t="s">
        <v>3827</v>
      </c>
      <c r="H195" s="62"/>
      <c r="J195">
        <f t="shared" ca="1" si="21"/>
        <v>4</v>
      </c>
      <c r="K195" s="63" t="str">
        <f t="shared" ca="1" si="22"/>
        <v>9/27</v>
      </c>
      <c r="L195" t="str">
        <f t="shared" si="23"/>
        <v/>
      </c>
      <c r="M195" t="str">
        <f>IFERROR(INDEX(Overview!$A$3:$B$32,MATCH('538'!$L195,Overview!$A$3:$A$32,0),2),"")</f>
        <v/>
      </c>
      <c r="N195" t="str">
        <f t="shared" si="20"/>
        <v/>
      </c>
      <c r="O195" s="62">
        <f t="shared" si="24"/>
        <v>0</v>
      </c>
    </row>
    <row r="196" spans="1:15" x14ac:dyDescent="0.25">
      <c r="A196" t="s">
        <v>4836</v>
      </c>
      <c r="B196" t="s">
        <v>963</v>
      </c>
      <c r="C196" t="s">
        <v>1553</v>
      </c>
      <c r="D196">
        <v>1463</v>
      </c>
      <c r="E196" t="s">
        <v>949</v>
      </c>
      <c r="F196" t="s">
        <v>949</v>
      </c>
      <c r="G196">
        <f>1459</f>
        <v>1459</v>
      </c>
      <c r="H196" s="62">
        <v>0.42</v>
      </c>
      <c r="I196">
        <v>3</v>
      </c>
      <c r="J196">
        <f t="shared" ca="1" si="21"/>
        <v>4</v>
      </c>
      <c r="K196" s="63" t="str">
        <f t="shared" ca="1" si="22"/>
        <v>9/27</v>
      </c>
      <c r="L196" t="str">
        <f t="shared" si="23"/>
        <v>SDS</v>
      </c>
      <c r="M196" t="str">
        <f>IFERROR(INDEX(Overview!$A$3:$B$32,MATCH('538'!$L196,Overview!$A$3:$A$32,0),2),"")</f>
        <v/>
      </c>
      <c r="N196" t="str">
        <f t="shared" si="20"/>
        <v>Eric Lauer</v>
      </c>
      <c r="O196" s="62">
        <f t="shared" si="24"/>
        <v>0.42</v>
      </c>
    </row>
    <row r="197" spans="1:15" x14ac:dyDescent="0.25">
      <c r="C197" t="s">
        <v>1554</v>
      </c>
      <c r="H197" s="62"/>
      <c r="J197">
        <f t="shared" ca="1" si="21"/>
        <v>4</v>
      </c>
      <c r="K197" s="63" t="str">
        <f t="shared" ca="1" si="22"/>
        <v>9/27</v>
      </c>
      <c r="L197" t="str">
        <f t="shared" si="23"/>
        <v/>
      </c>
      <c r="M197" t="str">
        <f>IFERROR(INDEX(Overview!$A$3:$B$32,MATCH('538'!$L197,Overview!$A$3:$A$32,0),2),"")</f>
        <v/>
      </c>
      <c r="N197" t="str">
        <f t="shared" si="20"/>
        <v/>
      </c>
      <c r="O197" s="62">
        <f t="shared" si="24"/>
        <v>0</v>
      </c>
    </row>
    <row r="198" spans="1:15" x14ac:dyDescent="0.25">
      <c r="B198" t="s">
        <v>1019</v>
      </c>
      <c r="C198" t="s">
        <v>4837</v>
      </c>
      <c r="D198">
        <v>1515</v>
      </c>
      <c r="E198" t="s">
        <v>4110</v>
      </c>
      <c r="F198">
        <v>26</v>
      </c>
      <c r="G198">
        <f>1514</f>
        <v>1514</v>
      </c>
      <c r="H198" s="62">
        <v>0.57999999999999996</v>
      </c>
      <c r="I198">
        <v>6</v>
      </c>
      <c r="J198">
        <f t="shared" ca="1" si="21"/>
        <v>4</v>
      </c>
      <c r="K198" s="63" t="str">
        <f t="shared" ca="1" si="22"/>
        <v>9/27</v>
      </c>
      <c r="L198" t="str">
        <f t="shared" si="23"/>
        <v>ARI</v>
      </c>
      <c r="M198" t="str">
        <f>IFERROR(INDEX(Overview!$A$3:$B$32,MATCH('538'!$L198,Overview!$A$3:$A$32,0),2),"")</f>
        <v>Diamondbacks</v>
      </c>
      <c r="N198" t="str">
        <f t="shared" si="20"/>
        <v>Taylor Clarke</v>
      </c>
      <c r="O198" s="62">
        <f t="shared" si="24"/>
        <v>0.57999999999999996</v>
      </c>
    </row>
    <row r="199" spans="1:15" x14ac:dyDescent="0.25">
      <c r="C199" t="s">
        <v>4838</v>
      </c>
      <c r="H199" s="62"/>
      <c r="J199">
        <f t="shared" ca="1" si="21"/>
        <v>4</v>
      </c>
      <c r="K199" s="63" t="str">
        <f t="shared" ca="1" si="22"/>
        <v>9/27</v>
      </c>
      <c r="L199" t="str">
        <f t="shared" si="23"/>
        <v/>
      </c>
      <c r="M199" t="str">
        <f>IFERROR(INDEX(Overview!$A$3:$B$32,MATCH('538'!$L199,Overview!$A$3:$A$32,0),2),"")</f>
        <v/>
      </c>
      <c r="N199" t="str">
        <f t="shared" si="20"/>
        <v/>
      </c>
      <c r="O199" s="62">
        <f t="shared" si="24"/>
        <v>0</v>
      </c>
    </row>
    <row r="200" spans="1:15" x14ac:dyDescent="0.25">
      <c r="A200" t="s">
        <v>4839</v>
      </c>
      <c r="B200" t="s">
        <v>975</v>
      </c>
      <c r="C200" t="s">
        <v>1060</v>
      </c>
      <c r="D200">
        <v>1544</v>
      </c>
      <c r="E200">
        <v>10</v>
      </c>
      <c r="F200" t="s">
        <v>953</v>
      </c>
      <c r="G200">
        <f>1551</f>
        <v>1551</v>
      </c>
      <c r="H200" s="62">
        <v>0.64</v>
      </c>
      <c r="I200">
        <v>6</v>
      </c>
      <c r="J200">
        <f t="shared" ca="1" si="21"/>
        <v>4</v>
      </c>
      <c r="K200" s="63" t="str">
        <f t="shared" ca="1" si="22"/>
        <v>9/27</v>
      </c>
      <c r="L200" t="str">
        <f t="shared" si="23"/>
        <v>MIN</v>
      </c>
      <c r="M200" t="str">
        <f>IFERROR(INDEX(Overview!$A$3:$B$32,MATCH('538'!$L200,Overview!$A$3:$A$32,0),2),"")</f>
        <v>Twins</v>
      </c>
      <c r="N200" t="str">
        <f t="shared" si="20"/>
        <v>Jose Berrios</v>
      </c>
      <c r="O200" s="62">
        <f t="shared" si="24"/>
        <v>0.64</v>
      </c>
    </row>
    <row r="201" spans="1:15" x14ac:dyDescent="0.25">
      <c r="C201" t="s">
        <v>1061</v>
      </c>
      <c r="H201" s="62"/>
      <c r="J201">
        <f t="shared" ca="1" si="21"/>
        <v>4</v>
      </c>
      <c r="K201" s="63" t="str">
        <f t="shared" ca="1" si="22"/>
        <v>9/27</v>
      </c>
      <c r="L201" t="str">
        <f t="shared" si="23"/>
        <v/>
      </c>
      <c r="M201" t="str">
        <f>IFERROR(INDEX(Overview!$A$3:$B$32,MATCH('538'!$L201,Overview!$A$3:$A$32,0),2),"")</f>
        <v/>
      </c>
      <c r="N201" t="str">
        <f t="shared" ref="N201:N264" si="28">IFERROR(MID(C201,SEARCH(",",C201)+2,LEN(C201))&amp;" "&amp;LEFT(C201,SEARCH(",",C201)-1),"")</f>
        <v/>
      </c>
      <c r="O201" s="62">
        <f t="shared" si="24"/>
        <v>0</v>
      </c>
    </row>
    <row r="202" spans="1:15" x14ac:dyDescent="0.25">
      <c r="B202" t="s">
        <v>984</v>
      </c>
      <c r="C202" t="s">
        <v>4840</v>
      </c>
      <c r="D202">
        <v>1431</v>
      </c>
      <c r="E202" t="s">
        <v>961</v>
      </c>
      <c r="F202">
        <v>26</v>
      </c>
      <c r="G202">
        <f>1451</f>
        <v>1451</v>
      </c>
      <c r="H202" s="62">
        <v>0.36</v>
      </c>
      <c r="I202">
        <v>2</v>
      </c>
      <c r="J202">
        <f t="shared" ref="J202:J265" ca="1" si="29">IF(K202=$K$1,IF(ISNUMBER(CODE(L202)),J201+1,J201),J201)</f>
        <v>4</v>
      </c>
      <c r="K202" s="63" t="str">
        <f t="shared" ref="K202:K265" ca="1" si="30">IF(ISBLANK(A202),K201,LEFT(A202,LEN($K$1)))</f>
        <v>9/27</v>
      </c>
      <c r="L202" t="str">
        <f t="shared" ref="L202:L265" si="31">LEFT(B202,3)</f>
        <v>KCK</v>
      </c>
      <c r="M202" t="str">
        <f>IFERROR(INDEX(Overview!$A$3:$B$32,MATCH('538'!$L202,Overview!$A$3:$A$32,0),2),"")</f>
        <v/>
      </c>
      <c r="N202" t="str">
        <f t="shared" si="28"/>
        <v>Eric Skoglund</v>
      </c>
      <c r="O202" s="62">
        <f t="shared" ref="O202:O265" si="32">H202</f>
        <v>0.36</v>
      </c>
    </row>
    <row r="203" spans="1:15" x14ac:dyDescent="0.25">
      <c r="C203" t="s">
        <v>4841</v>
      </c>
      <c r="H203" s="62"/>
      <c r="J203">
        <f t="shared" ca="1" si="29"/>
        <v>4</v>
      </c>
      <c r="K203" s="63" t="str">
        <f t="shared" ca="1" si="30"/>
        <v>9/27</v>
      </c>
      <c r="L203" t="str">
        <f t="shared" si="31"/>
        <v/>
      </c>
      <c r="M203" t="str">
        <f>IFERROR(INDEX(Overview!$A$3:$B$32,MATCH('538'!$L203,Overview!$A$3:$A$32,0),2),"")</f>
        <v/>
      </c>
      <c r="N203" t="str">
        <f t="shared" si="28"/>
        <v/>
      </c>
      <c r="O203" s="62">
        <f t="shared" si="32"/>
        <v>0</v>
      </c>
    </row>
    <row r="204" spans="1:15" x14ac:dyDescent="0.25">
      <c r="A204" t="s">
        <v>4842</v>
      </c>
      <c r="B204" t="s">
        <v>969</v>
      </c>
      <c r="C204" t="s">
        <v>970</v>
      </c>
      <c r="D204">
        <v>1533</v>
      </c>
      <c r="E204" t="s">
        <v>953</v>
      </c>
      <c r="F204" t="s">
        <v>953</v>
      </c>
      <c r="G204">
        <f>1527</f>
        <v>1527</v>
      </c>
      <c r="H204" s="62">
        <v>0.56000000000000005</v>
      </c>
      <c r="I204">
        <v>7</v>
      </c>
      <c r="J204">
        <f t="shared" ca="1" si="29"/>
        <v>4</v>
      </c>
      <c r="K204" s="63" t="str">
        <f t="shared" ca="1" si="30"/>
        <v>9/27</v>
      </c>
      <c r="L204" t="str">
        <f t="shared" si="31"/>
        <v>MIL</v>
      </c>
      <c r="M204" t="str">
        <f>IFERROR(INDEX(Overview!$A$3:$B$32,MATCH('538'!$L204,Overview!$A$3:$A$32,0),2),"")</f>
        <v>Brewers</v>
      </c>
      <c r="N204" t="str">
        <f t="shared" si="28"/>
        <v>Zach Davies</v>
      </c>
      <c r="O204" s="62">
        <f t="shared" si="32"/>
        <v>0.56000000000000005</v>
      </c>
    </row>
    <row r="205" spans="1:15" x14ac:dyDescent="0.25">
      <c r="C205" t="s">
        <v>971</v>
      </c>
      <c r="H205" s="62"/>
      <c r="J205">
        <f t="shared" ca="1" si="29"/>
        <v>4</v>
      </c>
      <c r="K205" s="63" t="str">
        <f t="shared" ca="1" si="30"/>
        <v>9/27</v>
      </c>
      <c r="L205" t="str">
        <f t="shared" si="31"/>
        <v/>
      </c>
      <c r="M205" t="str">
        <f>IFERROR(INDEX(Overview!$A$3:$B$32,MATCH('538'!$L205,Overview!$A$3:$A$32,0),2),"")</f>
        <v/>
      </c>
      <c r="N205" t="str">
        <f t="shared" si="28"/>
        <v/>
      </c>
      <c r="O205" s="62">
        <f t="shared" si="32"/>
        <v>0</v>
      </c>
    </row>
    <row r="206" spans="1:15" x14ac:dyDescent="0.25">
      <c r="B206" t="s">
        <v>968</v>
      </c>
      <c r="C206" t="s">
        <v>4100</v>
      </c>
      <c r="D206">
        <v>1478</v>
      </c>
      <c r="E206" t="s">
        <v>987</v>
      </c>
      <c r="F206">
        <v>21</v>
      </c>
      <c r="G206">
        <f>1483</f>
        <v>1483</v>
      </c>
      <c r="H206" s="62">
        <v>0.44</v>
      </c>
      <c r="I206">
        <v>11</v>
      </c>
      <c r="J206">
        <f t="shared" ca="1" si="29"/>
        <v>4</v>
      </c>
      <c r="K206" s="63" t="str">
        <f t="shared" ca="1" si="30"/>
        <v>9/27</v>
      </c>
      <c r="L206" t="str">
        <f t="shared" si="31"/>
        <v>COL</v>
      </c>
      <c r="M206" t="str">
        <f>IFERROR(INDEX(Overview!$A$3:$B$32,MATCH('538'!$L206,Overview!$A$3:$A$32,0),2),"")</f>
        <v>Rockies</v>
      </c>
      <c r="N206" t="str">
        <f t="shared" si="28"/>
        <v>Antonio Senzatela</v>
      </c>
      <c r="O206" s="62">
        <f t="shared" si="32"/>
        <v>0.44</v>
      </c>
    </row>
    <row r="207" spans="1:15" x14ac:dyDescent="0.25">
      <c r="C207" t="s">
        <v>4101</v>
      </c>
      <c r="H207" s="62"/>
      <c r="J207">
        <f t="shared" ca="1" si="29"/>
        <v>4</v>
      </c>
      <c r="K207" s="63" t="str">
        <f t="shared" ca="1" si="30"/>
        <v>9/27</v>
      </c>
      <c r="L207" t="str">
        <f t="shared" si="31"/>
        <v/>
      </c>
      <c r="M207" t="str">
        <f>IFERROR(INDEX(Overview!$A$3:$B$32,MATCH('538'!$L207,Overview!$A$3:$A$32,0),2),"")</f>
        <v/>
      </c>
      <c r="N207" t="str">
        <f t="shared" si="28"/>
        <v/>
      </c>
      <c r="O207" s="62">
        <f t="shared" si="32"/>
        <v>0</v>
      </c>
    </row>
    <row r="208" spans="1:15" x14ac:dyDescent="0.25">
      <c r="A208" t="s">
        <v>4843</v>
      </c>
      <c r="B208" t="s">
        <v>1018</v>
      </c>
      <c r="C208" t="s">
        <v>1312</v>
      </c>
      <c r="D208">
        <v>1584</v>
      </c>
      <c r="E208">
        <v>21</v>
      </c>
      <c r="F208" t="s">
        <v>964</v>
      </c>
      <c r="G208">
        <f>1604</f>
        <v>1604</v>
      </c>
      <c r="H208" s="62">
        <v>0.68</v>
      </c>
      <c r="I208">
        <v>14</v>
      </c>
      <c r="J208">
        <f t="shared" ca="1" si="29"/>
        <v>4</v>
      </c>
      <c r="K208" s="63" t="str">
        <f t="shared" ca="1" si="30"/>
        <v>9/27</v>
      </c>
      <c r="L208" t="str">
        <f t="shared" si="31"/>
        <v>NYY</v>
      </c>
      <c r="M208" t="str">
        <f>IFERROR(INDEX(Overview!$A$3:$B$32,MATCH('538'!$L208,Overview!$A$3:$A$32,0),2),"")</f>
        <v>Yankees</v>
      </c>
      <c r="N208" t="str">
        <f t="shared" si="28"/>
        <v>James Paxton</v>
      </c>
      <c r="O208" s="62">
        <f t="shared" si="32"/>
        <v>0.68</v>
      </c>
    </row>
    <row r="209" spans="1:15" x14ac:dyDescent="0.25">
      <c r="C209" t="s">
        <v>1313</v>
      </c>
      <c r="H209" s="62"/>
      <c r="J209">
        <f t="shared" ca="1" si="29"/>
        <v>4</v>
      </c>
      <c r="K209" s="63" t="str">
        <f t="shared" ca="1" si="30"/>
        <v>9/27</v>
      </c>
      <c r="L209" t="str">
        <f t="shared" si="31"/>
        <v/>
      </c>
      <c r="M209" t="str">
        <f>IFERROR(INDEX(Overview!$A$3:$B$32,MATCH('538'!$L209,Overview!$A$3:$A$32,0),2),"")</f>
        <v/>
      </c>
      <c r="N209" t="str">
        <f t="shared" si="28"/>
        <v/>
      </c>
      <c r="O209" s="62">
        <f t="shared" si="32"/>
        <v>0</v>
      </c>
    </row>
    <row r="210" spans="1:15" x14ac:dyDescent="0.25">
      <c r="B210" t="s">
        <v>1014</v>
      </c>
      <c r="C210" t="s">
        <v>4844</v>
      </c>
      <c r="D210">
        <v>1468</v>
      </c>
      <c r="E210" t="s">
        <v>1350</v>
      </c>
      <c r="F210">
        <v>24</v>
      </c>
      <c r="G210">
        <f>1471</f>
        <v>1471</v>
      </c>
      <c r="H210" s="62">
        <v>0.32</v>
      </c>
      <c r="I210">
        <v>7</v>
      </c>
      <c r="J210">
        <f t="shared" ca="1" si="29"/>
        <v>4</v>
      </c>
      <c r="K210" s="63" t="str">
        <f t="shared" ca="1" si="30"/>
        <v>9/27</v>
      </c>
      <c r="L210" t="str">
        <f t="shared" si="31"/>
        <v>TEX</v>
      </c>
      <c r="M210" t="str">
        <f>IFERROR(INDEX(Overview!$A$3:$B$32,MATCH('538'!$L210,Overview!$A$3:$A$32,0),2),"")</f>
        <v>Rangers</v>
      </c>
      <c r="N210" t="str">
        <f t="shared" si="28"/>
        <v>Joe Palumbo</v>
      </c>
      <c r="O210" s="62">
        <f t="shared" si="32"/>
        <v>0.32</v>
      </c>
    </row>
    <row r="211" spans="1:15" x14ac:dyDescent="0.25">
      <c r="C211" t="s">
        <v>4845</v>
      </c>
      <c r="H211" s="62"/>
      <c r="J211">
        <f t="shared" ca="1" si="29"/>
        <v>4</v>
      </c>
      <c r="K211" s="63" t="str">
        <f t="shared" ca="1" si="30"/>
        <v>9/27</v>
      </c>
      <c r="L211" t="str">
        <f t="shared" si="31"/>
        <v/>
      </c>
      <c r="M211" t="str">
        <f>IFERROR(INDEX(Overview!$A$3:$B$32,MATCH('538'!$L211,Overview!$A$3:$A$32,0),2),"")</f>
        <v/>
      </c>
      <c r="N211" t="str">
        <f t="shared" si="28"/>
        <v/>
      </c>
      <c r="O211" s="62">
        <f t="shared" si="32"/>
        <v>0</v>
      </c>
    </row>
    <row r="212" spans="1:15" x14ac:dyDescent="0.25">
      <c r="A212" t="s">
        <v>4846</v>
      </c>
      <c r="B212" t="s">
        <v>1026</v>
      </c>
      <c r="C212" t="s">
        <v>4847</v>
      </c>
      <c r="D212">
        <v>1528</v>
      </c>
      <c r="E212" t="s">
        <v>1063</v>
      </c>
      <c r="F212" t="s">
        <v>953</v>
      </c>
      <c r="G212">
        <f>1520</f>
        <v>1520</v>
      </c>
      <c r="H212" s="62">
        <v>0.44</v>
      </c>
      <c r="I212">
        <v>8</v>
      </c>
      <c r="J212">
        <f t="shared" ca="1" si="29"/>
        <v>4</v>
      </c>
      <c r="K212" s="63" t="str">
        <f t="shared" ca="1" si="30"/>
        <v>9/27</v>
      </c>
      <c r="L212" t="str">
        <f t="shared" si="31"/>
        <v>CHC</v>
      </c>
      <c r="M212" t="str">
        <f>IFERROR(INDEX(Overview!$A$3:$B$32,MATCH('538'!$L212,Overview!$A$3:$A$32,0),2),"")</f>
        <v>Cubs</v>
      </c>
      <c r="N212" t="str">
        <f t="shared" si="28"/>
        <v>Alec Mills</v>
      </c>
      <c r="O212" s="62">
        <f t="shared" si="32"/>
        <v>0.44</v>
      </c>
    </row>
    <row r="213" spans="1:15" x14ac:dyDescent="0.25">
      <c r="C213" t="s">
        <v>4848</v>
      </c>
      <c r="H213" s="62"/>
      <c r="J213">
        <f t="shared" ca="1" si="29"/>
        <v>4</v>
      </c>
      <c r="K213" s="63" t="str">
        <f t="shared" ca="1" si="30"/>
        <v>9/27</v>
      </c>
      <c r="L213" t="str">
        <f t="shared" si="31"/>
        <v/>
      </c>
      <c r="M213" t="str">
        <f>IFERROR(INDEX(Overview!$A$3:$B$32,MATCH('538'!$L213,Overview!$A$3:$A$32,0),2),"")</f>
        <v/>
      </c>
      <c r="N213" t="str">
        <f t="shared" si="28"/>
        <v/>
      </c>
      <c r="O213" s="62">
        <f t="shared" si="32"/>
        <v>0</v>
      </c>
    </row>
    <row r="214" spans="1:15" x14ac:dyDescent="0.25">
      <c r="B214" t="s">
        <v>954</v>
      </c>
      <c r="C214" t="s">
        <v>1067</v>
      </c>
      <c r="D214">
        <v>1548</v>
      </c>
      <c r="E214" t="s">
        <v>1003</v>
      </c>
      <c r="F214">
        <v>23</v>
      </c>
      <c r="G214">
        <f>1563</f>
        <v>1563</v>
      </c>
      <c r="H214" s="62">
        <v>0.56000000000000005</v>
      </c>
      <c r="I214">
        <v>2</v>
      </c>
      <c r="J214">
        <f t="shared" ca="1" si="29"/>
        <v>4</v>
      </c>
      <c r="K214" s="63" t="str">
        <f t="shared" ca="1" si="30"/>
        <v>9/27</v>
      </c>
      <c r="L214" t="str">
        <f t="shared" si="31"/>
        <v>STL</v>
      </c>
      <c r="M214" t="str">
        <f>IFERROR(INDEX(Overview!$A$3:$B$32,MATCH('538'!$L214,Overview!$A$3:$A$32,0),2),"")</f>
        <v>Cardinals</v>
      </c>
      <c r="N214" t="str">
        <f t="shared" si="28"/>
        <v>Dakota Hudson</v>
      </c>
      <c r="O214" s="62">
        <f t="shared" si="32"/>
        <v>0.56000000000000005</v>
      </c>
    </row>
    <row r="215" spans="1:15" x14ac:dyDescent="0.25">
      <c r="C215" t="s">
        <v>1068</v>
      </c>
      <c r="H215" s="62"/>
      <c r="J215">
        <f t="shared" ca="1" si="29"/>
        <v>4</v>
      </c>
      <c r="K215" s="63" t="str">
        <f t="shared" ca="1" si="30"/>
        <v>9/27</v>
      </c>
      <c r="L215" t="str">
        <f t="shared" si="31"/>
        <v/>
      </c>
      <c r="M215" t="str">
        <f>IFERROR(INDEX(Overview!$A$3:$B$32,MATCH('538'!$L215,Overview!$A$3:$A$32,0),2),"")</f>
        <v/>
      </c>
      <c r="N215" t="str">
        <f t="shared" si="28"/>
        <v/>
      </c>
      <c r="O215" s="62">
        <f t="shared" si="32"/>
        <v>0</v>
      </c>
    </row>
    <row r="216" spans="1:15" x14ac:dyDescent="0.25">
      <c r="A216" t="s">
        <v>4849</v>
      </c>
      <c r="B216" t="s">
        <v>965</v>
      </c>
      <c r="C216" t="s">
        <v>1386</v>
      </c>
      <c r="D216">
        <v>1547</v>
      </c>
      <c r="E216">
        <v>3</v>
      </c>
      <c r="F216" t="s">
        <v>964</v>
      </c>
      <c r="G216">
        <f>1549</f>
        <v>1549</v>
      </c>
      <c r="H216" s="62">
        <v>0.5</v>
      </c>
      <c r="I216">
        <v>2</v>
      </c>
      <c r="J216">
        <f t="shared" ca="1" si="29"/>
        <v>4</v>
      </c>
      <c r="K216" s="63" t="str">
        <f t="shared" ca="1" si="30"/>
        <v>9/27</v>
      </c>
      <c r="L216" t="str">
        <f t="shared" si="31"/>
        <v>ATL</v>
      </c>
      <c r="M216" t="str">
        <f>IFERROR(INDEX(Overview!$A$3:$B$32,MATCH('538'!$L216,Overview!$A$3:$A$32,0),2),"")</f>
        <v>Braves</v>
      </c>
      <c r="N216" t="str">
        <f t="shared" si="28"/>
        <v>Dallas Keuchel</v>
      </c>
      <c r="O216" s="62">
        <f t="shared" si="32"/>
        <v>0.5</v>
      </c>
    </row>
    <row r="217" spans="1:15" x14ac:dyDescent="0.25">
      <c r="C217" t="s">
        <v>1387</v>
      </c>
      <c r="H217" s="62"/>
      <c r="J217">
        <f t="shared" ca="1" si="29"/>
        <v>4</v>
      </c>
      <c r="K217" s="63" t="str">
        <f t="shared" ca="1" si="30"/>
        <v>9/27</v>
      </c>
      <c r="L217" t="str">
        <f t="shared" si="31"/>
        <v/>
      </c>
      <c r="M217" t="str">
        <f>IFERROR(INDEX(Overview!$A$3:$B$32,MATCH('538'!$L217,Overview!$A$3:$A$32,0),2),"")</f>
        <v/>
      </c>
      <c r="N217" t="str">
        <f t="shared" si="28"/>
        <v/>
      </c>
      <c r="O217" s="62">
        <f t="shared" si="32"/>
        <v>0</v>
      </c>
    </row>
    <row r="218" spans="1:15" x14ac:dyDescent="0.25">
      <c r="B218" t="s">
        <v>962</v>
      </c>
      <c r="C218" t="s">
        <v>1055</v>
      </c>
      <c r="D218">
        <v>1529</v>
      </c>
      <c r="E218" t="s">
        <v>1038</v>
      </c>
      <c r="F218">
        <v>24</v>
      </c>
      <c r="G218">
        <f>1549</f>
        <v>1549</v>
      </c>
      <c r="H218" s="62">
        <v>0.5</v>
      </c>
      <c r="I218">
        <v>4</v>
      </c>
      <c r="J218">
        <f t="shared" ca="1" si="29"/>
        <v>4</v>
      </c>
      <c r="K218" s="63" t="str">
        <f t="shared" ca="1" si="30"/>
        <v>9/27</v>
      </c>
      <c r="L218" t="str">
        <f t="shared" si="31"/>
        <v>NYM</v>
      </c>
      <c r="M218" t="str">
        <f>IFERROR(INDEX(Overview!$A$3:$B$32,MATCH('538'!$L218,Overview!$A$3:$A$32,0),2),"")</f>
        <v>Mets</v>
      </c>
      <c r="N218" t="str">
        <f t="shared" si="28"/>
        <v>Marcus Stroman</v>
      </c>
      <c r="O218" s="62">
        <f t="shared" si="32"/>
        <v>0.5</v>
      </c>
    </row>
    <row r="219" spans="1:15" x14ac:dyDescent="0.25">
      <c r="C219" t="s">
        <v>1056</v>
      </c>
      <c r="H219" s="62"/>
      <c r="J219">
        <f t="shared" ca="1" si="29"/>
        <v>4</v>
      </c>
      <c r="K219" s="63" t="str">
        <f t="shared" ca="1" si="30"/>
        <v>9/27</v>
      </c>
      <c r="L219" t="str">
        <f t="shared" si="31"/>
        <v/>
      </c>
      <c r="M219" t="str">
        <f>IFERROR(INDEX(Overview!$A$3:$B$32,MATCH('538'!$L219,Overview!$A$3:$A$32,0),2),"")</f>
        <v/>
      </c>
      <c r="N219" t="str">
        <f t="shared" si="28"/>
        <v/>
      </c>
      <c r="O219" s="62">
        <f t="shared" si="32"/>
        <v>0</v>
      </c>
    </row>
    <row r="220" spans="1:15" x14ac:dyDescent="0.25">
      <c r="A220" t="s">
        <v>4849</v>
      </c>
      <c r="B220" t="s">
        <v>978</v>
      </c>
      <c r="C220" t="s">
        <v>1465</v>
      </c>
      <c r="D220">
        <v>1407</v>
      </c>
      <c r="E220">
        <v>1</v>
      </c>
      <c r="F220">
        <v>0</v>
      </c>
      <c r="G220">
        <f>1408</f>
        <v>1408</v>
      </c>
      <c r="H220" s="62">
        <v>0.31</v>
      </c>
      <c r="I220">
        <v>4</v>
      </c>
      <c r="J220">
        <f t="shared" ca="1" si="29"/>
        <v>4</v>
      </c>
      <c r="K220" s="63" t="str">
        <f t="shared" ca="1" si="30"/>
        <v>9/27</v>
      </c>
      <c r="L220" t="str">
        <f t="shared" si="31"/>
        <v>BAL</v>
      </c>
      <c r="M220" t="str">
        <f>IFERROR(INDEX(Overview!$A$3:$B$32,MATCH('538'!$L220,Overview!$A$3:$A$32,0),2),"")</f>
        <v>Orioles</v>
      </c>
      <c r="N220" t="str">
        <f t="shared" si="28"/>
        <v>Asher Wojciechowski</v>
      </c>
      <c r="O220" s="62">
        <f t="shared" si="32"/>
        <v>0.31</v>
      </c>
    </row>
    <row r="221" spans="1:15" x14ac:dyDescent="0.25">
      <c r="C221" t="s">
        <v>1466</v>
      </c>
      <c r="H221" s="62"/>
      <c r="J221">
        <f t="shared" ca="1" si="29"/>
        <v>4</v>
      </c>
      <c r="K221" s="63" t="str">
        <f t="shared" ca="1" si="30"/>
        <v>9/27</v>
      </c>
      <c r="L221" t="str">
        <f t="shared" si="31"/>
        <v/>
      </c>
      <c r="M221" t="str">
        <f>IFERROR(INDEX(Overview!$A$3:$B$32,MATCH('538'!$L221,Overview!$A$3:$A$32,0),2),"")</f>
        <v/>
      </c>
      <c r="N221" t="str">
        <f t="shared" si="28"/>
        <v/>
      </c>
      <c r="O221" s="62">
        <f t="shared" si="32"/>
        <v>0</v>
      </c>
    </row>
    <row r="222" spans="1:15" x14ac:dyDescent="0.25">
      <c r="B222" t="s">
        <v>950</v>
      </c>
      <c r="C222" t="s">
        <v>4102</v>
      </c>
      <c r="D222">
        <v>1539</v>
      </c>
      <c r="E222" t="s">
        <v>1086</v>
      </c>
      <c r="F222">
        <v>20</v>
      </c>
      <c r="G222">
        <f>1549</f>
        <v>1549</v>
      </c>
      <c r="H222" s="62">
        <v>0.69</v>
      </c>
      <c r="I222">
        <v>1</v>
      </c>
      <c r="J222">
        <f t="shared" ca="1" si="29"/>
        <v>4</v>
      </c>
      <c r="K222" s="63" t="str">
        <f t="shared" ca="1" si="30"/>
        <v>9/27</v>
      </c>
      <c r="L222" t="str">
        <f t="shared" si="31"/>
        <v>BOS</v>
      </c>
      <c r="M222" t="str">
        <f>IFERROR(INDEX(Overview!$A$3:$B$32,MATCH('538'!$L222,Overview!$A$3:$A$32,0),2),"")</f>
        <v>Red Sox</v>
      </c>
      <c r="N222" t="str">
        <f t="shared" si="28"/>
        <v>Nathan Eovaldi</v>
      </c>
      <c r="O222" s="62">
        <f t="shared" si="32"/>
        <v>0.69</v>
      </c>
    </row>
    <row r="223" spans="1:15" x14ac:dyDescent="0.25">
      <c r="C223" t="s">
        <v>4103</v>
      </c>
      <c r="H223" s="62"/>
      <c r="J223">
        <f t="shared" ca="1" si="29"/>
        <v>4</v>
      </c>
      <c r="K223" s="63" t="str">
        <f t="shared" ca="1" si="30"/>
        <v>9/27</v>
      </c>
      <c r="L223" t="str">
        <f t="shared" si="31"/>
        <v/>
      </c>
      <c r="M223" t="str">
        <f>IFERROR(INDEX(Overview!$A$3:$B$32,MATCH('538'!$L223,Overview!$A$3:$A$32,0),2),"")</f>
        <v/>
      </c>
      <c r="N223" t="str">
        <f t="shared" si="28"/>
        <v/>
      </c>
      <c r="O223" s="62">
        <f t="shared" si="32"/>
        <v>0</v>
      </c>
    </row>
    <row r="224" spans="1:15" x14ac:dyDescent="0.25">
      <c r="A224" t="s">
        <v>4850</v>
      </c>
      <c r="B224" t="s">
        <v>982</v>
      </c>
      <c r="C224" t="s">
        <v>4375</v>
      </c>
      <c r="D224">
        <v>1547</v>
      </c>
      <c r="E224" t="s">
        <v>964</v>
      </c>
      <c r="F224" t="s">
        <v>964</v>
      </c>
      <c r="G224">
        <f>1545</f>
        <v>1545</v>
      </c>
      <c r="H224" s="62">
        <v>0.56000000000000005</v>
      </c>
      <c r="I224">
        <v>6</v>
      </c>
      <c r="J224">
        <f t="shared" ca="1" si="29"/>
        <v>4</v>
      </c>
      <c r="K224" s="63" t="str">
        <f t="shared" ca="1" si="30"/>
        <v>9/27</v>
      </c>
      <c r="L224" t="str">
        <f t="shared" si="31"/>
        <v>TBT</v>
      </c>
      <c r="M224" t="str">
        <f>IFERROR(INDEX(Overview!$A$3:$B$32,MATCH('538'!$L224,Overview!$A$3:$A$32,0),2),"")</f>
        <v/>
      </c>
      <c r="N224" t="str">
        <f t="shared" si="28"/>
        <v>Tyler Glasnow</v>
      </c>
      <c r="O224" s="62">
        <f t="shared" si="32"/>
        <v>0.56000000000000005</v>
      </c>
    </row>
    <row r="225" spans="1:15" x14ac:dyDescent="0.25">
      <c r="C225" t="s">
        <v>4376</v>
      </c>
      <c r="H225" s="62"/>
      <c r="J225">
        <f t="shared" ca="1" si="29"/>
        <v>4</v>
      </c>
      <c r="K225" s="63" t="str">
        <f t="shared" ca="1" si="30"/>
        <v>9/27</v>
      </c>
      <c r="L225" t="str">
        <f t="shared" si="31"/>
        <v/>
      </c>
      <c r="M225" t="str">
        <f>IFERROR(INDEX(Overview!$A$3:$B$32,MATCH('538'!$L225,Overview!$A$3:$A$32,0),2),"")</f>
        <v/>
      </c>
      <c r="N225" t="str">
        <f t="shared" si="28"/>
        <v/>
      </c>
      <c r="O225" s="62">
        <f t="shared" si="32"/>
        <v>0</v>
      </c>
    </row>
    <row r="226" spans="1:15" x14ac:dyDescent="0.25">
      <c r="B226" t="s">
        <v>1024</v>
      </c>
      <c r="C226" t="s">
        <v>4357</v>
      </c>
      <c r="D226">
        <v>1471</v>
      </c>
      <c r="E226">
        <v>3</v>
      </c>
      <c r="F226">
        <v>26</v>
      </c>
      <c r="G226">
        <f>1500</f>
        <v>1500</v>
      </c>
      <c r="H226" s="62">
        <v>0.44</v>
      </c>
      <c r="I226">
        <v>2</v>
      </c>
      <c r="J226">
        <f t="shared" ca="1" si="29"/>
        <v>4</v>
      </c>
      <c r="K226" s="63" t="str">
        <f t="shared" ca="1" si="30"/>
        <v>9/27</v>
      </c>
      <c r="L226" t="str">
        <f t="shared" si="31"/>
        <v>TOR</v>
      </c>
      <c r="M226" t="str">
        <f>IFERROR(INDEX(Overview!$A$3:$B$32,MATCH('538'!$L226,Overview!$A$3:$A$32,0),2),"")</f>
        <v>Blue Jays</v>
      </c>
      <c r="N226" t="str">
        <f t="shared" si="28"/>
        <v>T.J. Zeuch</v>
      </c>
      <c r="O226" s="62">
        <f t="shared" si="32"/>
        <v>0.44</v>
      </c>
    </row>
    <row r="227" spans="1:15" x14ac:dyDescent="0.25">
      <c r="C227" t="s">
        <v>4358</v>
      </c>
      <c r="H227" s="62"/>
      <c r="J227">
        <f t="shared" ca="1" si="29"/>
        <v>4</v>
      </c>
      <c r="K227" s="63" t="str">
        <f t="shared" ca="1" si="30"/>
        <v>9/27</v>
      </c>
      <c r="L227" t="str">
        <f t="shared" si="31"/>
        <v/>
      </c>
      <c r="M227" t="str">
        <f>IFERROR(INDEX(Overview!$A$3:$B$32,MATCH('538'!$L227,Overview!$A$3:$A$32,0),2),"")</f>
        <v/>
      </c>
      <c r="N227" t="str">
        <f t="shared" si="28"/>
        <v/>
      </c>
      <c r="O227" s="62">
        <f t="shared" si="32"/>
        <v>0</v>
      </c>
    </row>
    <row r="228" spans="1:15" x14ac:dyDescent="0.25">
      <c r="A228" t="s">
        <v>4851</v>
      </c>
      <c r="B228" t="s">
        <v>999</v>
      </c>
      <c r="C228" t="s">
        <v>1310</v>
      </c>
      <c r="D228">
        <v>1552</v>
      </c>
      <c r="E228" t="s">
        <v>4536</v>
      </c>
      <c r="F228" t="s">
        <v>953</v>
      </c>
      <c r="G228">
        <f>1523</f>
        <v>1523</v>
      </c>
      <c r="H228" s="62">
        <v>0.45</v>
      </c>
      <c r="I228">
        <v>2</v>
      </c>
      <c r="J228">
        <f t="shared" ca="1" si="29"/>
        <v>4</v>
      </c>
      <c r="K228" s="63" t="str">
        <f t="shared" ca="1" si="30"/>
        <v>9/27</v>
      </c>
      <c r="L228" t="str">
        <f t="shared" si="31"/>
        <v>CLE</v>
      </c>
      <c r="M228" t="str">
        <f>IFERROR(INDEX(Overview!$A$3:$B$32,MATCH('538'!$L228,Overview!$A$3:$A$32,0),2),"")</f>
        <v>Indians</v>
      </c>
      <c r="N228" t="str">
        <f t="shared" si="28"/>
        <v>Zach Plesac</v>
      </c>
      <c r="O228" s="62">
        <f t="shared" si="32"/>
        <v>0.45</v>
      </c>
    </row>
    <row r="229" spans="1:15" x14ac:dyDescent="0.25">
      <c r="C229" t="s">
        <v>1311</v>
      </c>
      <c r="H229" s="62"/>
      <c r="J229">
        <f t="shared" ca="1" si="29"/>
        <v>4</v>
      </c>
      <c r="K229" s="63" t="str">
        <f t="shared" ca="1" si="30"/>
        <v>9/27</v>
      </c>
      <c r="L229" t="str">
        <f t="shared" si="31"/>
        <v/>
      </c>
      <c r="M229" t="str">
        <f>IFERROR(INDEX(Overview!$A$3:$B$32,MATCH('538'!$L229,Overview!$A$3:$A$32,0),2),"")</f>
        <v/>
      </c>
      <c r="N229" t="str">
        <f t="shared" si="28"/>
        <v/>
      </c>
      <c r="O229" s="62">
        <f t="shared" si="32"/>
        <v>0</v>
      </c>
    </row>
    <row r="230" spans="1:15" x14ac:dyDescent="0.25">
      <c r="B230" t="s">
        <v>955</v>
      </c>
      <c r="C230" t="s">
        <v>4381</v>
      </c>
      <c r="D230">
        <v>1558</v>
      </c>
      <c r="E230" t="s">
        <v>4536</v>
      </c>
      <c r="F230">
        <v>24</v>
      </c>
      <c r="G230">
        <f>1556</f>
        <v>1556</v>
      </c>
      <c r="H230" s="62">
        <v>0.55000000000000004</v>
      </c>
      <c r="I230">
        <v>8</v>
      </c>
      <c r="J230">
        <f t="shared" ca="1" si="29"/>
        <v>4</v>
      </c>
      <c r="K230" s="63" t="str">
        <f t="shared" ca="1" si="30"/>
        <v>9/27</v>
      </c>
      <c r="L230" t="str">
        <f t="shared" si="31"/>
        <v>WSH</v>
      </c>
      <c r="M230" t="str">
        <f>IFERROR(INDEX(Overview!$A$3:$B$32,MATCH('538'!$L230,Overview!$A$3:$A$32,0),2),"")</f>
        <v/>
      </c>
      <c r="N230" t="str">
        <f t="shared" si="28"/>
        <v>Austin Voth</v>
      </c>
      <c r="O230" s="62">
        <f t="shared" si="32"/>
        <v>0.55000000000000004</v>
      </c>
    </row>
    <row r="231" spans="1:15" x14ac:dyDescent="0.25">
      <c r="C231" t="s">
        <v>4382</v>
      </c>
      <c r="H231" s="62"/>
      <c r="J231">
        <f t="shared" ca="1" si="29"/>
        <v>4</v>
      </c>
      <c r="K231" s="63" t="str">
        <f t="shared" ca="1" si="30"/>
        <v>9/27</v>
      </c>
      <c r="L231" t="str">
        <f t="shared" si="31"/>
        <v/>
      </c>
      <c r="M231" t="str">
        <f>IFERROR(INDEX(Overview!$A$3:$B$32,MATCH('538'!$L231,Overview!$A$3:$A$32,0),2),"")</f>
        <v/>
      </c>
      <c r="N231" t="str">
        <f t="shared" si="28"/>
        <v/>
      </c>
      <c r="O231" s="62">
        <f t="shared" si="32"/>
        <v>0</v>
      </c>
    </row>
    <row r="232" spans="1:15" x14ac:dyDescent="0.25">
      <c r="A232" t="s">
        <v>4851</v>
      </c>
      <c r="B232" t="s">
        <v>958</v>
      </c>
      <c r="C232" t="s">
        <v>1036</v>
      </c>
      <c r="D232">
        <v>1491</v>
      </c>
      <c r="E232">
        <v>8</v>
      </c>
      <c r="F232" t="s">
        <v>949</v>
      </c>
      <c r="G232">
        <f>1497</f>
        <v>1497</v>
      </c>
      <c r="H232" s="62">
        <v>0.51</v>
      </c>
      <c r="I232">
        <v>5</v>
      </c>
      <c r="J232">
        <f t="shared" ca="1" si="29"/>
        <v>4</v>
      </c>
      <c r="K232" s="63" t="str">
        <f t="shared" ca="1" si="30"/>
        <v>9/27</v>
      </c>
      <c r="L232" t="str">
        <f t="shared" si="31"/>
        <v>CIN</v>
      </c>
      <c r="M232" t="str">
        <f>IFERROR(INDEX(Overview!$A$3:$B$32,MATCH('538'!$L232,Overview!$A$3:$A$32,0),2),"")</f>
        <v>Reds</v>
      </c>
      <c r="N232" t="str">
        <f t="shared" si="28"/>
        <v>Anthony DeSclafani</v>
      </c>
      <c r="O232" s="62">
        <f t="shared" si="32"/>
        <v>0.51</v>
      </c>
    </row>
    <row r="233" spans="1:15" x14ac:dyDescent="0.25">
      <c r="C233" t="s">
        <v>1037</v>
      </c>
      <c r="H233" s="62"/>
      <c r="J233">
        <f t="shared" ca="1" si="29"/>
        <v>4</v>
      </c>
      <c r="K233" s="63" t="str">
        <f t="shared" ca="1" si="30"/>
        <v>9/27</v>
      </c>
      <c r="L233" t="str">
        <f t="shared" si="31"/>
        <v/>
      </c>
      <c r="M233" t="str">
        <f>IFERROR(INDEX(Overview!$A$3:$B$32,MATCH('538'!$L233,Overview!$A$3:$A$32,0),2),"")</f>
        <v/>
      </c>
      <c r="N233" t="str">
        <f t="shared" si="28"/>
        <v/>
      </c>
      <c r="O233" s="62">
        <f t="shared" si="32"/>
        <v>0</v>
      </c>
    </row>
    <row r="234" spans="1:15" x14ac:dyDescent="0.25">
      <c r="B234" t="s">
        <v>1011</v>
      </c>
      <c r="C234" t="s">
        <v>3724</v>
      </c>
      <c r="D234">
        <v>1470</v>
      </c>
      <c r="E234" t="s">
        <v>964</v>
      </c>
      <c r="F234">
        <v>24</v>
      </c>
      <c r="G234">
        <f>1493</f>
        <v>1493</v>
      </c>
      <c r="H234" s="62">
        <v>0.49</v>
      </c>
      <c r="I234">
        <v>6</v>
      </c>
      <c r="J234">
        <f t="shared" ca="1" si="29"/>
        <v>4</v>
      </c>
      <c r="K234" s="63" t="str">
        <f t="shared" ca="1" si="30"/>
        <v>9/27</v>
      </c>
      <c r="L234" t="str">
        <f t="shared" si="31"/>
        <v>PIT</v>
      </c>
      <c r="M234" t="str">
        <f>IFERROR(INDEX(Overview!$A$3:$B$32,MATCH('538'!$L234,Overview!$A$3:$A$32,0),2),"")</f>
        <v>Pirates</v>
      </c>
      <c r="N234" t="str">
        <f t="shared" si="28"/>
        <v>Steven Brault</v>
      </c>
      <c r="O234" s="62">
        <f t="shared" si="32"/>
        <v>0.49</v>
      </c>
    </row>
    <row r="235" spans="1:15" x14ac:dyDescent="0.25">
      <c r="C235" t="s">
        <v>3725</v>
      </c>
      <c r="H235" s="62"/>
      <c r="J235">
        <f t="shared" ca="1" si="29"/>
        <v>4</v>
      </c>
      <c r="K235" s="63" t="str">
        <f t="shared" ca="1" si="30"/>
        <v>9/27</v>
      </c>
      <c r="L235" t="str">
        <f t="shared" si="31"/>
        <v/>
      </c>
      <c r="M235" t="str">
        <f>IFERROR(INDEX(Overview!$A$3:$B$32,MATCH('538'!$L235,Overview!$A$3:$A$32,0),2),"")</f>
        <v/>
      </c>
      <c r="N235" t="str">
        <f t="shared" si="28"/>
        <v/>
      </c>
      <c r="O235" s="62">
        <f t="shared" si="32"/>
        <v>0</v>
      </c>
    </row>
    <row r="236" spans="1:15" x14ac:dyDescent="0.25">
      <c r="A236" t="s">
        <v>4851</v>
      </c>
      <c r="B236" t="s">
        <v>1000</v>
      </c>
      <c r="C236" t="s">
        <v>4090</v>
      </c>
      <c r="D236">
        <v>1433</v>
      </c>
      <c r="E236">
        <v>1</v>
      </c>
      <c r="F236" t="s">
        <v>964</v>
      </c>
      <c r="G236">
        <f>1433</f>
        <v>1433</v>
      </c>
      <c r="H236" s="62">
        <v>0.38</v>
      </c>
      <c r="I236">
        <v>4</v>
      </c>
      <c r="J236">
        <f t="shared" ca="1" si="29"/>
        <v>4</v>
      </c>
      <c r="K236" s="63" t="str">
        <f t="shared" ca="1" si="30"/>
        <v>9/27</v>
      </c>
      <c r="L236" t="str">
        <f t="shared" si="31"/>
        <v>MIA</v>
      </c>
      <c r="M236" t="str">
        <f>IFERROR(INDEX(Overview!$A$3:$B$32,MATCH('538'!$L236,Overview!$A$3:$A$32,0),2),"")</f>
        <v>Marlins</v>
      </c>
      <c r="N236" t="str">
        <f t="shared" si="28"/>
        <v>Pablo Lopez</v>
      </c>
      <c r="O236" s="62">
        <f t="shared" si="32"/>
        <v>0.38</v>
      </c>
    </row>
    <row r="237" spans="1:15" x14ac:dyDescent="0.25">
      <c r="C237" t="s">
        <v>1066</v>
      </c>
      <c r="H237" s="62"/>
      <c r="J237">
        <f t="shared" ca="1" si="29"/>
        <v>4</v>
      </c>
      <c r="K237" s="63" t="str">
        <f t="shared" ca="1" si="30"/>
        <v>9/27</v>
      </c>
      <c r="L237" t="str">
        <f t="shared" si="31"/>
        <v/>
      </c>
      <c r="M237" t="str">
        <f>IFERROR(INDEX(Overview!$A$3:$B$32,MATCH('538'!$L237,Overview!$A$3:$A$32,0),2),"")</f>
        <v/>
      </c>
      <c r="N237" t="str">
        <f t="shared" si="28"/>
        <v/>
      </c>
      <c r="O237" s="62">
        <f t="shared" si="32"/>
        <v>0</v>
      </c>
    </row>
    <row r="238" spans="1:15" x14ac:dyDescent="0.25">
      <c r="B238" t="s">
        <v>992</v>
      </c>
      <c r="C238" t="s">
        <v>1380</v>
      </c>
      <c r="D238">
        <v>1504</v>
      </c>
      <c r="E238" t="s">
        <v>961</v>
      </c>
      <c r="F238">
        <v>22</v>
      </c>
      <c r="G238">
        <f>1520</f>
        <v>1520</v>
      </c>
      <c r="H238" s="62">
        <v>0.62</v>
      </c>
      <c r="I238">
        <v>5</v>
      </c>
      <c r="J238">
        <f t="shared" ca="1" si="29"/>
        <v>4</v>
      </c>
      <c r="K238" s="63" t="str">
        <f t="shared" ca="1" si="30"/>
        <v>9/27</v>
      </c>
      <c r="L238" t="str">
        <f t="shared" si="31"/>
        <v>PHI</v>
      </c>
      <c r="M238" t="str">
        <f>IFERROR(INDEX(Overview!$A$3:$B$32,MATCH('538'!$L238,Overview!$A$3:$A$32,0),2),"")</f>
        <v>Phillies</v>
      </c>
      <c r="N238" t="str">
        <f t="shared" si="28"/>
        <v>Vince Velasquez</v>
      </c>
      <c r="O238" s="62">
        <f t="shared" si="32"/>
        <v>0.62</v>
      </c>
    </row>
    <row r="239" spans="1:15" x14ac:dyDescent="0.25">
      <c r="C239" t="s">
        <v>1381</v>
      </c>
      <c r="H239" s="62"/>
      <c r="J239">
        <f t="shared" ca="1" si="29"/>
        <v>4</v>
      </c>
      <c r="K239" s="63" t="str">
        <f t="shared" ca="1" si="30"/>
        <v>9/27</v>
      </c>
      <c r="L239" t="str">
        <f t="shared" si="31"/>
        <v/>
      </c>
      <c r="M239" t="str">
        <f>IFERROR(INDEX(Overview!$A$3:$B$32,MATCH('538'!$L239,Overview!$A$3:$A$32,0),2),"")</f>
        <v/>
      </c>
      <c r="N239" t="str">
        <f t="shared" si="28"/>
        <v/>
      </c>
      <c r="O239" s="62">
        <f t="shared" si="32"/>
        <v>0</v>
      </c>
    </row>
    <row r="240" spans="1:15" x14ac:dyDescent="0.25">
      <c r="A240" t="s">
        <v>4852</v>
      </c>
      <c r="B240" t="s">
        <v>948</v>
      </c>
      <c r="C240" t="s">
        <v>4373</v>
      </c>
      <c r="D240">
        <v>1560</v>
      </c>
      <c r="E240">
        <v>13</v>
      </c>
      <c r="F240" t="s">
        <v>953</v>
      </c>
      <c r="G240">
        <f>1570</f>
        <v>1570</v>
      </c>
      <c r="H240" s="62">
        <v>0.64</v>
      </c>
      <c r="I240">
        <v>3</v>
      </c>
      <c r="J240">
        <f t="shared" ca="1" si="29"/>
        <v>4</v>
      </c>
      <c r="K240" s="63" t="str">
        <f t="shared" ca="1" si="30"/>
        <v>9/26</v>
      </c>
      <c r="L240" t="str">
        <f t="shared" si="31"/>
        <v>OAK</v>
      </c>
      <c r="M240" t="str">
        <f>IFERROR(INDEX(Overview!$A$3:$B$32,MATCH('538'!$L240,Overview!$A$3:$A$32,0),2),"")</f>
        <v>Athletics</v>
      </c>
      <c r="N240" t="str">
        <f t="shared" si="28"/>
        <v>Sean Manaea</v>
      </c>
      <c r="O240" s="62">
        <f t="shared" si="32"/>
        <v>0.64</v>
      </c>
    </row>
    <row r="241" spans="1:15" x14ac:dyDescent="0.25">
      <c r="C241" t="s">
        <v>4374</v>
      </c>
      <c r="H241" s="62"/>
      <c r="J241">
        <f t="shared" ca="1" si="29"/>
        <v>4</v>
      </c>
      <c r="K241" s="63" t="str">
        <f t="shared" ca="1" si="30"/>
        <v>9/26</v>
      </c>
      <c r="L241" t="str">
        <f t="shared" si="31"/>
        <v/>
      </c>
      <c r="M241" t="str">
        <f>IFERROR(INDEX(Overview!$A$3:$B$32,MATCH('538'!$L241,Overview!$A$3:$A$32,0),2),"")</f>
        <v/>
      </c>
      <c r="N241" t="str">
        <f t="shared" si="28"/>
        <v/>
      </c>
      <c r="O241" s="62">
        <f t="shared" si="32"/>
        <v>0</v>
      </c>
    </row>
    <row r="242" spans="1:15" x14ac:dyDescent="0.25">
      <c r="B242" t="s">
        <v>1027</v>
      </c>
      <c r="C242" t="s">
        <v>4098</v>
      </c>
      <c r="D242">
        <v>1465</v>
      </c>
      <c r="E242" t="s">
        <v>1173</v>
      </c>
      <c r="F242">
        <v>24</v>
      </c>
      <c r="G242">
        <f>1470</f>
        <v>1470</v>
      </c>
      <c r="H242" s="62">
        <v>0.36</v>
      </c>
      <c r="I242">
        <v>1</v>
      </c>
      <c r="J242">
        <f t="shared" ca="1" si="29"/>
        <v>4</v>
      </c>
      <c r="K242" s="63" t="str">
        <f t="shared" ca="1" si="30"/>
        <v>9/26</v>
      </c>
      <c r="L242" t="str">
        <f t="shared" si="31"/>
        <v>SEA</v>
      </c>
      <c r="M242" t="str">
        <f>IFERROR(INDEX(Overview!$A$3:$B$32,MATCH('538'!$L242,Overview!$A$3:$A$32,0),2),"")</f>
        <v>Mariners</v>
      </c>
      <c r="N242" t="str">
        <f t="shared" si="28"/>
        <v>Felix Hernandez</v>
      </c>
      <c r="O242" s="62">
        <f t="shared" si="32"/>
        <v>0.36</v>
      </c>
    </row>
    <row r="243" spans="1:15" x14ac:dyDescent="0.25">
      <c r="C243" t="s">
        <v>3579</v>
      </c>
      <c r="H243" s="62"/>
      <c r="J243">
        <f t="shared" ca="1" si="29"/>
        <v>4</v>
      </c>
      <c r="K243" s="63" t="str">
        <f t="shared" ca="1" si="30"/>
        <v>9/26</v>
      </c>
      <c r="L243" t="str">
        <f t="shared" si="31"/>
        <v/>
      </c>
      <c r="M243" t="str">
        <f>IFERROR(INDEX(Overview!$A$3:$B$32,MATCH('538'!$L243,Overview!$A$3:$A$32,0),2),"")</f>
        <v/>
      </c>
      <c r="N243" t="str">
        <f t="shared" si="28"/>
        <v/>
      </c>
      <c r="O243" s="62">
        <f t="shared" si="32"/>
        <v>0</v>
      </c>
    </row>
    <row r="244" spans="1:15" x14ac:dyDescent="0.25">
      <c r="A244" t="s">
        <v>4853</v>
      </c>
      <c r="B244" t="s">
        <v>972</v>
      </c>
      <c r="C244" t="s">
        <v>1107</v>
      </c>
      <c r="D244">
        <v>1592</v>
      </c>
      <c r="E244" t="s">
        <v>4854</v>
      </c>
      <c r="F244" t="s">
        <v>953</v>
      </c>
      <c r="G244">
        <f>1551</f>
        <v>1551</v>
      </c>
      <c r="H244" s="62">
        <v>0.56999999999999995</v>
      </c>
      <c r="I244">
        <v>3</v>
      </c>
      <c r="J244">
        <f t="shared" ca="1" si="29"/>
        <v>4</v>
      </c>
      <c r="K244" s="63" t="str">
        <f t="shared" ca="1" si="30"/>
        <v>9/26</v>
      </c>
      <c r="L244" t="str">
        <f t="shared" si="31"/>
        <v>HOU</v>
      </c>
      <c r="M244" t="str">
        <f>IFERROR(INDEX(Overview!$A$3:$B$32,MATCH('538'!$L244,Overview!$A$3:$A$32,0),2),"")</f>
        <v>Astros</v>
      </c>
      <c r="N244" t="str">
        <f t="shared" si="28"/>
        <v>Wade Miley</v>
      </c>
      <c r="O244" s="62">
        <f t="shared" si="32"/>
        <v>0.56999999999999995</v>
      </c>
    </row>
    <row r="245" spans="1:15" x14ac:dyDescent="0.25">
      <c r="C245" t="s">
        <v>1108</v>
      </c>
      <c r="H245" s="62"/>
      <c r="J245">
        <f t="shared" ca="1" si="29"/>
        <v>4</v>
      </c>
      <c r="K245" s="63" t="str">
        <f t="shared" ca="1" si="30"/>
        <v>9/26</v>
      </c>
      <c r="L245" t="str">
        <f t="shared" si="31"/>
        <v/>
      </c>
      <c r="M245" t="str">
        <f>IFERROR(INDEX(Overview!$A$3:$B$32,MATCH('538'!$L245,Overview!$A$3:$A$32,0),2),"")</f>
        <v/>
      </c>
      <c r="N245" t="str">
        <f t="shared" si="28"/>
        <v/>
      </c>
      <c r="O245" s="62">
        <f t="shared" si="32"/>
        <v>0</v>
      </c>
    </row>
    <row r="246" spans="1:15" x14ac:dyDescent="0.25">
      <c r="B246" t="s">
        <v>1025</v>
      </c>
      <c r="C246" t="s">
        <v>3383</v>
      </c>
      <c r="D246">
        <v>1477</v>
      </c>
      <c r="E246">
        <v>5</v>
      </c>
      <c r="F246">
        <v>24</v>
      </c>
      <c r="G246">
        <f>1506</f>
        <v>1506</v>
      </c>
      <c r="H246" s="62">
        <v>0.43</v>
      </c>
      <c r="I246">
        <v>4</v>
      </c>
      <c r="J246">
        <f t="shared" ca="1" si="29"/>
        <v>4</v>
      </c>
      <c r="K246" s="63" t="str">
        <f t="shared" ca="1" si="30"/>
        <v>9/26</v>
      </c>
      <c r="L246" t="str">
        <f t="shared" si="31"/>
        <v>LAA</v>
      </c>
      <c r="M246" t="str">
        <f>IFERROR(INDEX(Overview!$A$3:$B$32,MATCH('538'!$L246,Overview!$A$3:$A$32,0),2),"")</f>
        <v>Angels</v>
      </c>
      <c r="N246" t="str">
        <f t="shared" si="28"/>
        <v>Jaime Barria</v>
      </c>
      <c r="O246" s="62">
        <f t="shared" si="32"/>
        <v>0.43</v>
      </c>
    </row>
    <row r="247" spans="1:15" x14ac:dyDescent="0.25">
      <c r="C247" t="s">
        <v>3384</v>
      </c>
      <c r="H247" s="62"/>
      <c r="J247">
        <f t="shared" ca="1" si="29"/>
        <v>4</v>
      </c>
      <c r="K247" s="63" t="str">
        <f t="shared" ca="1" si="30"/>
        <v>9/26</v>
      </c>
      <c r="L247" t="str">
        <f t="shared" si="31"/>
        <v/>
      </c>
      <c r="M247" t="str">
        <f>IFERROR(INDEX(Overview!$A$3:$B$32,MATCH('538'!$L247,Overview!$A$3:$A$32,0),2),"")</f>
        <v/>
      </c>
      <c r="N247" t="str">
        <f t="shared" si="28"/>
        <v/>
      </c>
      <c r="O247" s="62">
        <f t="shared" si="32"/>
        <v>0</v>
      </c>
    </row>
    <row r="248" spans="1:15" x14ac:dyDescent="0.25">
      <c r="A248" t="s">
        <v>4855</v>
      </c>
      <c r="B248" t="s">
        <v>999</v>
      </c>
      <c r="C248" t="s">
        <v>3704</v>
      </c>
      <c r="D248">
        <v>1556</v>
      </c>
      <c r="E248" t="s">
        <v>961</v>
      </c>
      <c r="F248">
        <v>0</v>
      </c>
      <c r="G248">
        <f>1550</f>
        <v>1550</v>
      </c>
      <c r="H248" s="62">
        <v>0.6</v>
      </c>
      <c r="I248">
        <v>0</v>
      </c>
      <c r="J248">
        <f t="shared" ca="1" si="29"/>
        <v>4</v>
      </c>
      <c r="K248" s="63" t="str">
        <f t="shared" ca="1" si="30"/>
        <v>9/26</v>
      </c>
      <c r="L248" t="str">
        <f t="shared" si="31"/>
        <v>CLE</v>
      </c>
      <c r="M248" t="str">
        <f>IFERROR(INDEX(Overview!$A$3:$B$32,MATCH('538'!$L248,Overview!$A$3:$A$32,0),2),"")</f>
        <v>Indians</v>
      </c>
      <c r="N248" t="str">
        <f t="shared" si="28"/>
        <v>Aaron Civale</v>
      </c>
      <c r="O248" s="62">
        <f t="shared" si="32"/>
        <v>0.6</v>
      </c>
    </row>
    <row r="249" spans="1:15" x14ac:dyDescent="0.25">
      <c r="C249" t="s">
        <v>3705</v>
      </c>
      <c r="H249" s="62"/>
      <c r="J249">
        <f t="shared" ca="1" si="29"/>
        <v>4</v>
      </c>
      <c r="K249" s="63" t="str">
        <f t="shared" ca="1" si="30"/>
        <v>9/26</v>
      </c>
      <c r="L249" t="str">
        <f t="shared" si="31"/>
        <v/>
      </c>
      <c r="M249" t="str">
        <f>IFERROR(INDEX(Overview!$A$3:$B$32,MATCH('538'!$L249,Overview!$A$3:$A$32,0),2),"")</f>
        <v/>
      </c>
      <c r="N249" t="str">
        <f t="shared" si="28"/>
        <v/>
      </c>
      <c r="O249" s="62">
        <f t="shared" si="32"/>
        <v>0</v>
      </c>
    </row>
    <row r="250" spans="1:15" x14ac:dyDescent="0.25">
      <c r="B250" t="s">
        <v>981</v>
      </c>
      <c r="C250" t="s">
        <v>1453</v>
      </c>
      <c r="D250">
        <v>1457</v>
      </c>
      <c r="E250" t="s">
        <v>949</v>
      </c>
      <c r="F250">
        <v>24</v>
      </c>
      <c r="G250">
        <f>1479</f>
        <v>1479</v>
      </c>
      <c r="H250" s="62">
        <v>0.4</v>
      </c>
      <c r="I250">
        <v>8</v>
      </c>
      <c r="J250">
        <f t="shared" ca="1" si="29"/>
        <v>4</v>
      </c>
      <c r="K250" s="63" t="str">
        <f t="shared" ca="1" si="30"/>
        <v>9/26</v>
      </c>
      <c r="L250" t="str">
        <f t="shared" si="31"/>
        <v>CHW</v>
      </c>
      <c r="M250" t="str">
        <f>IFERROR(INDEX(Overview!$A$3:$B$32,MATCH('538'!$L250,Overview!$A$3:$A$32,0),2),"")</f>
        <v>White Sox</v>
      </c>
      <c r="N250" t="str">
        <f t="shared" si="28"/>
        <v>Dylan Cease</v>
      </c>
      <c r="O250" s="62">
        <f t="shared" si="32"/>
        <v>0.4</v>
      </c>
    </row>
    <row r="251" spans="1:15" x14ac:dyDescent="0.25">
      <c r="C251" t="s">
        <v>1454</v>
      </c>
      <c r="H251" s="62"/>
      <c r="J251">
        <f t="shared" ca="1" si="29"/>
        <v>4</v>
      </c>
      <c r="K251" s="63" t="str">
        <f t="shared" ca="1" si="30"/>
        <v>9/26</v>
      </c>
      <c r="L251" t="str">
        <f t="shared" si="31"/>
        <v/>
      </c>
      <c r="M251" t="str">
        <f>IFERROR(INDEX(Overview!$A$3:$B$32,MATCH('538'!$L251,Overview!$A$3:$A$32,0),2),"")</f>
        <v/>
      </c>
      <c r="N251" t="str">
        <f t="shared" si="28"/>
        <v/>
      </c>
      <c r="O251" s="62">
        <f t="shared" si="32"/>
        <v>0</v>
      </c>
    </row>
    <row r="252" spans="1:15" x14ac:dyDescent="0.25">
      <c r="A252" t="s">
        <v>4856</v>
      </c>
      <c r="B252" t="s">
        <v>1000</v>
      </c>
      <c r="C252" t="s">
        <v>4857</v>
      </c>
      <c r="D252">
        <v>1431</v>
      </c>
      <c r="E252" t="s">
        <v>949</v>
      </c>
      <c r="F252">
        <v>0</v>
      </c>
      <c r="G252">
        <f>1429</f>
        <v>1429</v>
      </c>
      <c r="H252" s="62">
        <v>0.32</v>
      </c>
      <c r="I252">
        <v>4</v>
      </c>
      <c r="J252">
        <f t="shared" ca="1" si="29"/>
        <v>4</v>
      </c>
      <c r="K252" s="63" t="str">
        <f t="shared" ca="1" si="30"/>
        <v>9/26</v>
      </c>
      <c r="L252" t="str">
        <f t="shared" si="31"/>
        <v>MIA</v>
      </c>
      <c r="M252" t="str">
        <f>IFERROR(INDEX(Overview!$A$3:$B$32,MATCH('538'!$L252,Overview!$A$3:$A$32,0),2),"")</f>
        <v>Marlins</v>
      </c>
      <c r="N252" t="str">
        <f t="shared" si="28"/>
        <v>Jordan Yamamoto</v>
      </c>
      <c r="O252" s="62">
        <f t="shared" si="32"/>
        <v>0.32</v>
      </c>
    </row>
    <row r="253" spans="1:15" x14ac:dyDescent="0.25">
      <c r="C253" t="s">
        <v>4858</v>
      </c>
      <c r="H253" s="62"/>
      <c r="J253">
        <f t="shared" ca="1" si="29"/>
        <v>4</v>
      </c>
      <c r="K253" s="63" t="str">
        <f t="shared" ca="1" si="30"/>
        <v>9/26</v>
      </c>
      <c r="L253" t="str">
        <f t="shared" si="31"/>
        <v/>
      </c>
      <c r="M253" t="str">
        <f>IFERROR(INDEX(Overview!$A$3:$B$32,MATCH('538'!$L253,Overview!$A$3:$A$32,0),2),"")</f>
        <v/>
      </c>
      <c r="N253" t="str">
        <f t="shared" si="28"/>
        <v/>
      </c>
      <c r="O253" s="62">
        <f t="shared" si="32"/>
        <v>0</v>
      </c>
    </row>
    <row r="254" spans="1:15" x14ac:dyDescent="0.25">
      <c r="B254" t="s">
        <v>962</v>
      </c>
      <c r="C254" t="s">
        <v>3500</v>
      </c>
      <c r="D254">
        <v>1531</v>
      </c>
      <c r="E254">
        <v>4</v>
      </c>
      <c r="F254">
        <v>24</v>
      </c>
      <c r="G254">
        <f>1559</f>
        <v>1559</v>
      </c>
      <c r="H254" s="62">
        <v>0.68</v>
      </c>
      <c r="I254">
        <v>2</v>
      </c>
      <c r="J254">
        <f t="shared" ca="1" si="29"/>
        <v>4</v>
      </c>
      <c r="K254" s="63" t="str">
        <f t="shared" ca="1" si="30"/>
        <v>9/26</v>
      </c>
      <c r="L254" t="str">
        <f t="shared" si="31"/>
        <v>NYM</v>
      </c>
      <c r="M254" t="str">
        <f>IFERROR(INDEX(Overview!$A$3:$B$32,MATCH('538'!$L254,Overview!$A$3:$A$32,0),2),"")</f>
        <v>Mets</v>
      </c>
      <c r="N254" t="str">
        <f t="shared" si="28"/>
        <v>Zack Wheeler</v>
      </c>
      <c r="O254" s="62">
        <f t="shared" si="32"/>
        <v>0.68</v>
      </c>
    </row>
    <row r="255" spans="1:15" x14ac:dyDescent="0.25">
      <c r="C255" t="s">
        <v>3501</v>
      </c>
      <c r="H255" s="62"/>
      <c r="J255">
        <f t="shared" ca="1" si="29"/>
        <v>4</v>
      </c>
      <c r="K255" s="63" t="str">
        <f t="shared" ca="1" si="30"/>
        <v>9/26</v>
      </c>
      <c r="L255" t="str">
        <f t="shared" si="31"/>
        <v/>
      </c>
      <c r="M255" t="str">
        <f>IFERROR(INDEX(Overview!$A$3:$B$32,MATCH('538'!$L255,Overview!$A$3:$A$32,0),2),"")</f>
        <v/>
      </c>
      <c r="N255" t="str">
        <f t="shared" si="28"/>
        <v/>
      </c>
      <c r="O255" s="62">
        <f t="shared" si="32"/>
        <v>0</v>
      </c>
    </row>
    <row r="256" spans="1:15" x14ac:dyDescent="0.25">
      <c r="A256" t="s">
        <v>4859</v>
      </c>
      <c r="B256" t="s">
        <v>1026</v>
      </c>
      <c r="C256" t="s">
        <v>1112</v>
      </c>
      <c r="D256">
        <v>1530</v>
      </c>
      <c r="E256" t="s">
        <v>1086</v>
      </c>
      <c r="F256">
        <v>0</v>
      </c>
      <c r="G256">
        <f>1520</f>
        <v>1520</v>
      </c>
      <c r="H256" s="62">
        <v>0.51</v>
      </c>
      <c r="I256">
        <v>5</v>
      </c>
      <c r="J256">
        <f t="shared" ca="1" si="29"/>
        <v>4</v>
      </c>
      <c r="K256" s="63" t="str">
        <f t="shared" ca="1" si="30"/>
        <v>9/26</v>
      </c>
      <c r="L256" t="str">
        <f t="shared" si="31"/>
        <v>CHC</v>
      </c>
      <c r="M256" t="str">
        <f>IFERROR(INDEX(Overview!$A$3:$B$32,MATCH('538'!$L256,Overview!$A$3:$A$32,0),2),"")</f>
        <v>Cubs</v>
      </c>
      <c r="N256" t="str">
        <f t="shared" si="28"/>
        <v>Jose Quintana</v>
      </c>
      <c r="O256" s="62">
        <f t="shared" si="32"/>
        <v>0.51</v>
      </c>
    </row>
    <row r="257" spans="1:15" x14ac:dyDescent="0.25">
      <c r="C257" t="s">
        <v>1113</v>
      </c>
      <c r="H257" s="62"/>
      <c r="J257">
        <f t="shared" ca="1" si="29"/>
        <v>4</v>
      </c>
      <c r="K257" s="63" t="str">
        <f t="shared" ca="1" si="30"/>
        <v>9/26</v>
      </c>
      <c r="L257" t="str">
        <f t="shared" si="31"/>
        <v/>
      </c>
      <c r="M257" t="str">
        <f>IFERROR(INDEX(Overview!$A$3:$B$32,MATCH('538'!$L257,Overview!$A$3:$A$32,0),2),"")</f>
        <v/>
      </c>
      <c r="N257" t="str">
        <f t="shared" si="28"/>
        <v/>
      </c>
      <c r="O257" s="62">
        <f t="shared" si="32"/>
        <v>0</v>
      </c>
    </row>
    <row r="258" spans="1:15" x14ac:dyDescent="0.25">
      <c r="B258" t="s">
        <v>1011</v>
      </c>
      <c r="C258" t="s">
        <v>1074</v>
      </c>
      <c r="D258">
        <v>1468</v>
      </c>
      <c r="E258">
        <v>19</v>
      </c>
      <c r="F258">
        <v>24</v>
      </c>
      <c r="G258">
        <f>1511</f>
        <v>1511</v>
      </c>
      <c r="H258" s="62">
        <v>0.49</v>
      </c>
      <c r="I258">
        <v>9</v>
      </c>
      <c r="J258">
        <f t="shared" ca="1" si="29"/>
        <v>4</v>
      </c>
      <c r="K258" s="63" t="str">
        <f t="shared" ca="1" si="30"/>
        <v>9/26</v>
      </c>
      <c r="L258" t="str">
        <f t="shared" si="31"/>
        <v>PIT</v>
      </c>
      <c r="M258" t="str">
        <f>IFERROR(INDEX(Overview!$A$3:$B$32,MATCH('538'!$L258,Overview!$A$3:$A$32,0),2),"")</f>
        <v>Pirates</v>
      </c>
      <c r="N258" t="str">
        <f t="shared" si="28"/>
        <v>Joe Musgrove</v>
      </c>
      <c r="O258" s="62">
        <f t="shared" si="32"/>
        <v>0.49</v>
      </c>
    </row>
    <row r="259" spans="1:15" x14ac:dyDescent="0.25">
      <c r="C259" t="s">
        <v>1075</v>
      </c>
      <c r="H259" s="62"/>
      <c r="J259">
        <f t="shared" ca="1" si="29"/>
        <v>4</v>
      </c>
      <c r="K259" s="63" t="str">
        <f t="shared" ca="1" si="30"/>
        <v>9/26</v>
      </c>
      <c r="L259" t="str">
        <f t="shared" si="31"/>
        <v/>
      </c>
      <c r="M259" t="str">
        <f>IFERROR(INDEX(Overview!$A$3:$B$32,MATCH('538'!$L259,Overview!$A$3:$A$32,0),2),"")</f>
        <v/>
      </c>
      <c r="N259" t="str">
        <f t="shared" si="28"/>
        <v/>
      </c>
      <c r="O259" s="62">
        <f t="shared" si="32"/>
        <v>0</v>
      </c>
    </row>
    <row r="260" spans="1:15" x14ac:dyDescent="0.25">
      <c r="A260" t="s">
        <v>4860</v>
      </c>
      <c r="B260" t="s">
        <v>992</v>
      </c>
      <c r="C260" t="s">
        <v>1295</v>
      </c>
      <c r="D260">
        <v>1505</v>
      </c>
      <c r="E260" t="s">
        <v>964</v>
      </c>
      <c r="F260">
        <v>0</v>
      </c>
      <c r="G260">
        <f>1504</f>
        <v>1504</v>
      </c>
      <c r="H260" s="62">
        <v>0.36</v>
      </c>
      <c r="I260">
        <v>3</v>
      </c>
      <c r="J260">
        <f t="shared" ca="1" si="29"/>
        <v>4</v>
      </c>
      <c r="K260" s="63" t="str">
        <f t="shared" ca="1" si="30"/>
        <v>9/26</v>
      </c>
      <c r="L260" t="str">
        <f t="shared" si="31"/>
        <v>PHI</v>
      </c>
      <c r="M260" t="str">
        <f>IFERROR(INDEX(Overview!$A$3:$B$32,MATCH('538'!$L260,Overview!$A$3:$A$32,0),2),"")</f>
        <v>Phillies</v>
      </c>
      <c r="N260" t="str">
        <f t="shared" si="28"/>
        <v>Jason Vargas</v>
      </c>
      <c r="O260" s="62">
        <f t="shared" si="32"/>
        <v>0.36</v>
      </c>
    </row>
    <row r="261" spans="1:15" x14ac:dyDescent="0.25">
      <c r="C261" t="s">
        <v>1296</v>
      </c>
      <c r="H261" s="62"/>
      <c r="J261">
        <f t="shared" ca="1" si="29"/>
        <v>4</v>
      </c>
      <c r="K261" s="63" t="str">
        <f t="shared" ca="1" si="30"/>
        <v>9/26</v>
      </c>
      <c r="L261" t="str">
        <f t="shared" si="31"/>
        <v/>
      </c>
      <c r="M261" t="str">
        <f>IFERROR(INDEX(Overview!$A$3:$B$32,MATCH('538'!$L261,Overview!$A$3:$A$32,0),2),"")</f>
        <v/>
      </c>
      <c r="N261" t="str">
        <f t="shared" si="28"/>
        <v/>
      </c>
      <c r="O261" s="62">
        <f t="shared" si="32"/>
        <v>0</v>
      </c>
    </row>
    <row r="262" spans="1:15" x14ac:dyDescent="0.25">
      <c r="B262" t="s">
        <v>955</v>
      </c>
      <c r="C262" t="s">
        <v>1069</v>
      </c>
      <c r="D262">
        <v>1557</v>
      </c>
      <c r="E262">
        <v>19</v>
      </c>
      <c r="F262">
        <v>24</v>
      </c>
      <c r="G262">
        <f>1600</f>
        <v>1600</v>
      </c>
      <c r="H262" s="62">
        <v>0.64</v>
      </c>
      <c r="I262">
        <v>6</v>
      </c>
      <c r="J262">
        <f t="shared" ca="1" si="29"/>
        <v>4</v>
      </c>
      <c r="K262" s="63" t="str">
        <f t="shared" ca="1" si="30"/>
        <v>9/26</v>
      </c>
      <c r="L262" t="str">
        <f t="shared" si="31"/>
        <v>WSH</v>
      </c>
      <c r="M262" t="str">
        <f>IFERROR(INDEX(Overview!$A$3:$B$32,MATCH('538'!$L262,Overview!$A$3:$A$32,0),2),"")</f>
        <v/>
      </c>
      <c r="N262" t="str">
        <f t="shared" si="28"/>
        <v>Stephen Strasburg</v>
      </c>
      <c r="O262" s="62">
        <f t="shared" si="32"/>
        <v>0.64</v>
      </c>
    </row>
    <row r="263" spans="1:15" x14ac:dyDescent="0.25">
      <c r="C263" t="s">
        <v>1070</v>
      </c>
      <c r="H263" s="62"/>
      <c r="J263">
        <f t="shared" ca="1" si="29"/>
        <v>4</v>
      </c>
      <c r="K263" s="63" t="str">
        <f t="shared" ca="1" si="30"/>
        <v>9/26</v>
      </c>
      <c r="L263" t="str">
        <f t="shared" si="31"/>
        <v/>
      </c>
      <c r="M263" t="str">
        <f>IFERROR(INDEX(Overview!$A$3:$B$32,MATCH('538'!$L263,Overview!$A$3:$A$32,0),2),"")</f>
        <v/>
      </c>
      <c r="N263" t="str">
        <f t="shared" si="28"/>
        <v/>
      </c>
      <c r="O263" s="62">
        <f t="shared" si="32"/>
        <v>0</v>
      </c>
    </row>
    <row r="264" spans="1:15" x14ac:dyDescent="0.25">
      <c r="A264" t="s">
        <v>4861</v>
      </c>
      <c r="B264" t="s">
        <v>968</v>
      </c>
      <c r="C264" t="s">
        <v>4862</v>
      </c>
      <c r="D264">
        <v>1480</v>
      </c>
      <c r="E264">
        <v>3</v>
      </c>
      <c r="F264">
        <v>0</v>
      </c>
      <c r="G264">
        <f>1483</f>
        <v>1483</v>
      </c>
      <c r="H264" s="62">
        <v>0.49</v>
      </c>
      <c r="I264">
        <v>3</v>
      </c>
      <c r="J264">
        <f t="shared" ca="1" si="29"/>
        <v>4</v>
      </c>
      <c r="K264" s="63" t="str">
        <f t="shared" ca="1" si="30"/>
        <v>9/26</v>
      </c>
      <c r="L264" t="str">
        <f t="shared" si="31"/>
        <v>COL</v>
      </c>
      <c r="M264" t="str">
        <f>IFERROR(INDEX(Overview!$A$3:$B$32,MATCH('538'!$L264,Overview!$A$3:$A$32,0),2),"")</f>
        <v>Rockies</v>
      </c>
      <c r="N264" t="str">
        <f t="shared" si="28"/>
        <v>Kyle Freeland</v>
      </c>
      <c r="O264" s="62">
        <f t="shared" si="32"/>
        <v>0.49</v>
      </c>
    </row>
    <row r="265" spans="1:15" x14ac:dyDescent="0.25">
      <c r="C265" t="s">
        <v>4863</v>
      </c>
      <c r="H265" s="62"/>
      <c r="J265">
        <f t="shared" ca="1" si="29"/>
        <v>4</v>
      </c>
      <c r="K265" s="63" t="str">
        <f t="shared" ca="1" si="30"/>
        <v>9/26</v>
      </c>
      <c r="L265" t="str">
        <f t="shared" si="31"/>
        <v/>
      </c>
      <c r="M265" t="str">
        <f>IFERROR(INDEX(Overview!$A$3:$B$32,MATCH('538'!$L265,Overview!$A$3:$A$32,0),2),"")</f>
        <v/>
      </c>
      <c r="N265" t="str">
        <f t="shared" ref="N265:N328" si="33">IFERROR(MID(C265,SEARCH(",",C265)+2,LEN(C265))&amp;" "&amp;LEFT(C265,SEARCH(",",C265)-1),"")</f>
        <v/>
      </c>
      <c r="O265" s="62">
        <f t="shared" si="32"/>
        <v>0</v>
      </c>
    </row>
    <row r="266" spans="1:15" x14ac:dyDescent="0.25">
      <c r="B266" t="s">
        <v>988</v>
      </c>
      <c r="C266" t="s">
        <v>1359</v>
      </c>
      <c r="D266">
        <v>1476</v>
      </c>
      <c r="E266" t="s">
        <v>1045</v>
      </c>
      <c r="F266">
        <v>24</v>
      </c>
      <c r="G266">
        <f>1487</f>
        <v>1487</v>
      </c>
      <c r="H266" s="62">
        <v>0.51</v>
      </c>
      <c r="I266">
        <v>8</v>
      </c>
      <c r="J266">
        <f t="shared" ref="J266:J329" ca="1" si="34">IF(K266=$K$1,IF(ISNUMBER(CODE(L266)),J265+1,J265),J265)</f>
        <v>4</v>
      </c>
      <c r="K266" s="63" t="str">
        <f t="shared" ref="K266:K329" ca="1" si="35">IF(ISBLANK(A266),K265,LEFT(A266,LEN($K$1)))</f>
        <v>9/26</v>
      </c>
      <c r="L266" t="str">
        <f t="shared" ref="L266:L329" si="36">LEFT(B266,3)</f>
        <v>SFS</v>
      </c>
      <c r="M266" t="str">
        <f>IFERROR(INDEX(Overview!$A$3:$B$32,MATCH('538'!$L266,Overview!$A$3:$A$32,0),2),"")</f>
        <v/>
      </c>
      <c r="N266" t="str">
        <f t="shared" si="33"/>
        <v>Tyler Beede</v>
      </c>
      <c r="O266" s="62">
        <f t="shared" ref="O266:O329" si="37">H266</f>
        <v>0.51</v>
      </c>
    </row>
    <row r="267" spans="1:15" x14ac:dyDescent="0.25">
      <c r="C267" t="s">
        <v>1360</v>
      </c>
      <c r="H267" s="62"/>
      <c r="J267">
        <f t="shared" ca="1" si="34"/>
        <v>4</v>
      </c>
      <c r="K267" s="63" t="str">
        <f t="shared" ca="1" si="35"/>
        <v>9/26</v>
      </c>
      <c r="L267" t="str">
        <f t="shared" si="36"/>
        <v/>
      </c>
      <c r="M267" t="str">
        <f>IFERROR(INDEX(Overview!$A$3:$B$32,MATCH('538'!$L267,Overview!$A$3:$A$32,0),2),"")</f>
        <v/>
      </c>
      <c r="N267" t="str">
        <f t="shared" si="33"/>
        <v/>
      </c>
      <c r="O267" s="62">
        <f t="shared" si="37"/>
        <v>0</v>
      </c>
    </row>
    <row r="268" spans="1:15" x14ac:dyDescent="0.25">
      <c r="A268" t="s">
        <v>4864</v>
      </c>
      <c r="B268" t="s">
        <v>986</v>
      </c>
      <c r="C268" t="s">
        <v>1095</v>
      </c>
      <c r="D268">
        <v>1590</v>
      </c>
      <c r="E268">
        <v>2</v>
      </c>
      <c r="F268">
        <v>0</v>
      </c>
      <c r="G268">
        <f>1592</f>
        <v>1592</v>
      </c>
      <c r="H268" s="62">
        <v>0.64</v>
      </c>
      <c r="I268">
        <v>1</v>
      </c>
      <c r="J268">
        <f t="shared" ca="1" si="34"/>
        <v>4</v>
      </c>
      <c r="K268" s="63" t="str">
        <f t="shared" ca="1" si="35"/>
        <v>9/26</v>
      </c>
      <c r="L268" t="str">
        <f t="shared" si="36"/>
        <v>LAD</v>
      </c>
      <c r="M268" t="str">
        <f>IFERROR(INDEX(Overview!$A$3:$B$32,MATCH('538'!$L268,Overview!$A$3:$A$32,0),2),"")</f>
        <v>Dodgers</v>
      </c>
      <c r="N268" t="str">
        <f t="shared" si="33"/>
        <v>Clayton Kershaw</v>
      </c>
      <c r="O268" s="62">
        <f t="shared" si="37"/>
        <v>0.64</v>
      </c>
    </row>
    <row r="269" spans="1:15" x14ac:dyDescent="0.25">
      <c r="C269" t="s">
        <v>1096</v>
      </c>
      <c r="H269" s="62"/>
      <c r="J269">
        <f t="shared" ca="1" si="34"/>
        <v>4</v>
      </c>
      <c r="K269" s="63" t="str">
        <f t="shared" ca="1" si="35"/>
        <v>9/26</v>
      </c>
      <c r="L269" t="str">
        <f t="shared" si="36"/>
        <v/>
      </c>
      <c r="M269" t="str">
        <f>IFERROR(INDEX(Overview!$A$3:$B$32,MATCH('538'!$L269,Overview!$A$3:$A$32,0),2),"")</f>
        <v/>
      </c>
      <c r="N269" t="str">
        <f t="shared" si="33"/>
        <v/>
      </c>
      <c r="O269" s="62">
        <f t="shared" si="37"/>
        <v>0</v>
      </c>
    </row>
    <row r="270" spans="1:15" x14ac:dyDescent="0.25">
      <c r="B270" t="s">
        <v>963</v>
      </c>
      <c r="C270" t="s">
        <v>1097</v>
      </c>
      <c r="D270">
        <v>1464</v>
      </c>
      <c r="E270">
        <v>7</v>
      </c>
      <c r="F270">
        <v>24</v>
      </c>
      <c r="G270">
        <f>1495</f>
        <v>1495</v>
      </c>
      <c r="H270" s="62">
        <v>0.36</v>
      </c>
      <c r="I270">
        <v>0</v>
      </c>
      <c r="J270">
        <f t="shared" ca="1" si="34"/>
        <v>4</v>
      </c>
      <c r="K270" s="63" t="str">
        <f t="shared" ca="1" si="35"/>
        <v>9/26</v>
      </c>
      <c r="L270" t="str">
        <f t="shared" si="36"/>
        <v>SDS</v>
      </c>
      <c r="M270" t="str">
        <f>IFERROR(INDEX(Overview!$A$3:$B$32,MATCH('538'!$L270,Overview!$A$3:$A$32,0),2),"")</f>
        <v/>
      </c>
      <c r="N270" t="str">
        <f t="shared" si="33"/>
        <v>Joey Lucchesi</v>
      </c>
      <c r="O270" s="62">
        <f t="shared" si="37"/>
        <v>0.36</v>
      </c>
    </row>
    <row r="271" spans="1:15" x14ac:dyDescent="0.25">
      <c r="C271" t="s">
        <v>1098</v>
      </c>
      <c r="H271" s="62"/>
      <c r="J271">
        <f t="shared" ca="1" si="34"/>
        <v>4</v>
      </c>
      <c r="K271" s="63" t="str">
        <f t="shared" ca="1" si="35"/>
        <v>9/26</v>
      </c>
      <c r="L271" t="str">
        <f t="shared" si="36"/>
        <v/>
      </c>
      <c r="M271" t="str">
        <f>IFERROR(INDEX(Overview!$A$3:$B$32,MATCH('538'!$L271,Overview!$A$3:$A$32,0),2),"")</f>
        <v/>
      </c>
      <c r="N271" t="str">
        <f t="shared" si="33"/>
        <v/>
      </c>
      <c r="O271" s="62">
        <f t="shared" si="37"/>
        <v>0</v>
      </c>
    </row>
    <row r="272" spans="1:15" x14ac:dyDescent="0.25">
      <c r="A272" t="s">
        <v>4865</v>
      </c>
      <c r="B272" t="s">
        <v>950</v>
      </c>
      <c r="C272" t="s">
        <v>4866</v>
      </c>
      <c r="D272">
        <v>1540</v>
      </c>
      <c r="E272" t="s">
        <v>995</v>
      </c>
      <c r="F272">
        <v>0</v>
      </c>
      <c r="G272">
        <f>1529</f>
        <v>1529</v>
      </c>
      <c r="H272" s="62">
        <v>0.51</v>
      </c>
      <c r="I272">
        <v>5</v>
      </c>
      <c r="J272">
        <f t="shared" ca="1" si="34"/>
        <v>4</v>
      </c>
      <c r="K272" s="63" t="str">
        <f t="shared" ca="1" si="35"/>
        <v>9/26</v>
      </c>
      <c r="L272" t="str">
        <f t="shared" si="36"/>
        <v>BOS</v>
      </c>
      <c r="M272" t="str">
        <f>IFERROR(INDEX(Overview!$A$3:$B$32,MATCH('538'!$L272,Overview!$A$3:$A$32,0),2),"")</f>
        <v>Red Sox</v>
      </c>
      <c r="N272" t="str">
        <f t="shared" si="33"/>
        <v>Travis Lakins</v>
      </c>
      <c r="O272" s="62">
        <f t="shared" si="37"/>
        <v>0.51</v>
      </c>
    </row>
    <row r="273" spans="1:15" x14ac:dyDescent="0.25">
      <c r="C273" t="s">
        <v>4867</v>
      </c>
      <c r="H273" s="62"/>
      <c r="J273">
        <f t="shared" ca="1" si="34"/>
        <v>4</v>
      </c>
      <c r="K273" s="63" t="str">
        <f t="shared" ca="1" si="35"/>
        <v>9/26</v>
      </c>
      <c r="L273" t="str">
        <f t="shared" si="36"/>
        <v/>
      </c>
      <c r="M273" t="str">
        <f>IFERROR(INDEX(Overview!$A$3:$B$32,MATCH('538'!$L273,Overview!$A$3:$A$32,0),2),"")</f>
        <v/>
      </c>
      <c r="N273" t="str">
        <f t="shared" si="33"/>
        <v/>
      </c>
      <c r="O273" s="62">
        <f t="shared" si="37"/>
        <v>0</v>
      </c>
    </row>
    <row r="274" spans="1:15" x14ac:dyDescent="0.25">
      <c r="B274" t="s">
        <v>1014</v>
      </c>
      <c r="C274" t="s">
        <v>1087</v>
      </c>
      <c r="D274">
        <v>1466</v>
      </c>
      <c r="E274">
        <v>32</v>
      </c>
      <c r="F274">
        <v>24</v>
      </c>
      <c r="G274">
        <f>1522</f>
        <v>1522</v>
      </c>
      <c r="H274" s="62">
        <v>0.49</v>
      </c>
      <c r="I274">
        <v>7</v>
      </c>
      <c r="J274">
        <f t="shared" ca="1" si="34"/>
        <v>4</v>
      </c>
      <c r="K274" s="63" t="str">
        <f t="shared" ca="1" si="35"/>
        <v>9/26</v>
      </c>
      <c r="L274" t="str">
        <f t="shared" si="36"/>
        <v>TEX</v>
      </c>
      <c r="M274" t="str">
        <f>IFERROR(INDEX(Overview!$A$3:$B$32,MATCH('538'!$L274,Overview!$A$3:$A$32,0),2),"")</f>
        <v>Rangers</v>
      </c>
      <c r="N274" t="str">
        <f t="shared" si="33"/>
        <v>Mike Minor</v>
      </c>
      <c r="O274" s="62">
        <f t="shared" si="37"/>
        <v>0.49</v>
      </c>
    </row>
    <row r="275" spans="1:15" x14ac:dyDescent="0.25">
      <c r="C275" t="s">
        <v>1088</v>
      </c>
      <c r="H275" s="62"/>
      <c r="J275">
        <f t="shared" ca="1" si="34"/>
        <v>4</v>
      </c>
      <c r="K275" s="63" t="str">
        <f t="shared" ca="1" si="35"/>
        <v>9/26</v>
      </c>
      <c r="L275" t="str">
        <f t="shared" si="36"/>
        <v/>
      </c>
      <c r="M275" t="str">
        <f>IFERROR(INDEX(Overview!$A$3:$B$32,MATCH('538'!$L275,Overview!$A$3:$A$32,0),2),"")</f>
        <v/>
      </c>
      <c r="N275" t="str">
        <f t="shared" si="33"/>
        <v/>
      </c>
      <c r="O275" s="62">
        <f t="shared" si="37"/>
        <v>0</v>
      </c>
    </row>
    <row r="276" spans="1:15" x14ac:dyDescent="0.25">
      <c r="A276" t="s">
        <v>4868</v>
      </c>
      <c r="B276" t="s">
        <v>975</v>
      </c>
      <c r="C276" t="s">
        <v>4537</v>
      </c>
      <c r="D276">
        <v>1543</v>
      </c>
      <c r="E276" t="s">
        <v>1038</v>
      </c>
      <c r="F276">
        <v>0</v>
      </c>
      <c r="G276">
        <f>1539</f>
        <v>1539</v>
      </c>
      <c r="H276" s="62">
        <v>0.69</v>
      </c>
      <c r="I276">
        <v>10</v>
      </c>
      <c r="J276">
        <f t="shared" ca="1" si="34"/>
        <v>4</v>
      </c>
      <c r="K276" s="63" t="str">
        <f t="shared" ca="1" si="35"/>
        <v>9/26</v>
      </c>
      <c r="L276" t="str">
        <f t="shared" si="36"/>
        <v>MIN</v>
      </c>
      <c r="M276" t="str">
        <f>IFERROR(INDEX(Overview!$A$3:$B$32,MATCH('538'!$L276,Overview!$A$3:$A$32,0),2),"")</f>
        <v>Twins</v>
      </c>
      <c r="N276" t="str">
        <f t="shared" si="33"/>
        <v>Devin Smeltzer</v>
      </c>
      <c r="O276" s="62">
        <f t="shared" si="37"/>
        <v>0.69</v>
      </c>
    </row>
    <row r="277" spans="1:15" x14ac:dyDescent="0.25">
      <c r="C277" t="s">
        <v>4538</v>
      </c>
      <c r="H277" s="62"/>
      <c r="J277">
        <f t="shared" ca="1" si="34"/>
        <v>4</v>
      </c>
      <c r="K277" s="63" t="str">
        <f t="shared" ca="1" si="35"/>
        <v>9/26</v>
      </c>
      <c r="L277" t="str">
        <f t="shared" si="36"/>
        <v/>
      </c>
      <c r="M277" t="str">
        <f>IFERROR(INDEX(Overview!$A$3:$B$32,MATCH('538'!$L277,Overview!$A$3:$A$32,0),2),"")</f>
        <v/>
      </c>
      <c r="N277" t="str">
        <f t="shared" si="33"/>
        <v/>
      </c>
      <c r="O277" s="62">
        <f t="shared" si="37"/>
        <v>0</v>
      </c>
    </row>
    <row r="278" spans="1:15" x14ac:dyDescent="0.25">
      <c r="B278" t="s">
        <v>991</v>
      </c>
      <c r="C278" t="s">
        <v>1382</v>
      </c>
      <c r="D278">
        <v>1386</v>
      </c>
      <c r="E278" t="s">
        <v>995</v>
      </c>
      <c r="F278">
        <v>24</v>
      </c>
      <c r="G278">
        <f>1399</f>
        <v>1399</v>
      </c>
      <c r="H278" s="62">
        <v>0.31</v>
      </c>
      <c r="I278">
        <v>4</v>
      </c>
      <c r="J278">
        <f t="shared" ca="1" si="34"/>
        <v>4</v>
      </c>
      <c r="K278" s="63" t="str">
        <f t="shared" ca="1" si="35"/>
        <v>9/26</v>
      </c>
      <c r="L278" t="str">
        <f t="shared" si="36"/>
        <v>DET</v>
      </c>
      <c r="M278" t="str">
        <f>IFERROR(INDEX(Overview!$A$3:$B$32,MATCH('538'!$L278,Overview!$A$3:$A$32,0),2),"")</f>
        <v>Tigers</v>
      </c>
      <c r="N278" t="str">
        <f t="shared" si="33"/>
        <v>Jordan Zimmermann</v>
      </c>
      <c r="O278" s="62">
        <f t="shared" si="37"/>
        <v>0.31</v>
      </c>
    </row>
    <row r="279" spans="1:15" x14ac:dyDescent="0.25">
      <c r="C279" t="s">
        <v>1383</v>
      </c>
      <c r="H279" s="62"/>
      <c r="J279">
        <f t="shared" ca="1" si="34"/>
        <v>4</v>
      </c>
      <c r="K279" s="63" t="str">
        <f t="shared" ca="1" si="35"/>
        <v>9/26</v>
      </c>
      <c r="L279" t="str">
        <f t="shared" si="36"/>
        <v/>
      </c>
      <c r="M279" t="str">
        <f>IFERROR(INDEX(Overview!$A$3:$B$32,MATCH('538'!$L279,Overview!$A$3:$A$32,0),2),"")</f>
        <v/>
      </c>
      <c r="N279" t="str">
        <f t="shared" si="33"/>
        <v/>
      </c>
      <c r="O279" s="62">
        <f t="shared" si="37"/>
        <v>0</v>
      </c>
    </row>
    <row r="280" spans="1:15" x14ac:dyDescent="0.25">
      <c r="A280" t="s">
        <v>4869</v>
      </c>
      <c r="B280" t="s">
        <v>969</v>
      </c>
      <c r="C280" t="s">
        <v>1254</v>
      </c>
      <c r="D280">
        <v>1532</v>
      </c>
      <c r="E280">
        <v>1</v>
      </c>
      <c r="F280">
        <v>0</v>
      </c>
      <c r="G280">
        <f>1533</f>
        <v>1533</v>
      </c>
      <c r="H280" s="62">
        <v>0.5</v>
      </c>
      <c r="I280">
        <v>5</v>
      </c>
      <c r="J280">
        <f t="shared" ca="1" si="34"/>
        <v>4</v>
      </c>
      <c r="K280" s="63" t="str">
        <f t="shared" ca="1" si="35"/>
        <v>9/26</v>
      </c>
      <c r="L280" t="str">
        <f t="shared" si="36"/>
        <v>MIL</v>
      </c>
      <c r="M280" t="str">
        <f>IFERROR(INDEX(Overview!$A$3:$B$32,MATCH('538'!$L280,Overview!$A$3:$A$32,0),2),"")</f>
        <v>Brewers</v>
      </c>
      <c r="N280" t="str">
        <f t="shared" si="33"/>
        <v>Chase Anderson</v>
      </c>
      <c r="O280" s="62">
        <f t="shared" si="37"/>
        <v>0.5</v>
      </c>
    </row>
    <row r="281" spans="1:15" x14ac:dyDescent="0.25">
      <c r="C281" t="s">
        <v>1046</v>
      </c>
      <c r="H281" s="62"/>
      <c r="J281">
        <f t="shared" ca="1" si="34"/>
        <v>4</v>
      </c>
      <c r="K281" s="63" t="str">
        <f t="shared" ca="1" si="35"/>
        <v>9/26</v>
      </c>
      <c r="L281" t="str">
        <f t="shared" si="36"/>
        <v/>
      </c>
      <c r="M281" t="str">
        <f>IFERROR(INDEX(Overview!$A$3:$B$32,MATCH('538'!$L281,Overview!$A$3:$A$32,0),2),"")</f>
        <v/>
      </c>
      <c r="N281" t="str">
        <f t="shared" si="33"/>
        <v/>
      </c>
      <c r="O281" s="62">
        <f t="shared" si="37"/>
        <v>0</v>
      </c>
    </row>
    <row r="282" spans="1:15" x14ac:dyDescent="0.25">
      <c r="B282" t="s">
        <v>958</v>
      </c>
      <c r="C282" t="s">
        <v>1004</v>
      </c>
      <c r="D282">
        <v>1493</v>
      </c>
      <c r="E282">
        <v>19</v>
      </c>
      <c r="F282">
        <v>24</v>
      </c>
      <c r="G282">
        <f>1536</f>
        <v>1536</v>
      </c>
      <c r="H282" s="62">
        <v>0.5</v>
      </c>
      <c r="I282">
        <v>3</v>
      </c>
      <c r="J282">
        <f t="shared" ca="1" si="34"/>
        <v>4</v>
      </c>
      <c r="K282" s="63" t="str">
        <f t="shared" ca="1" si="35"/>
        <v>9/26</v>
      </c>
      <c r="L282" t="str">
        <f t="shared" si="36"/>
        <v>CIN</v>
      </c>
      <c r="M282" t="str">
        <f>IFERROR(INDEX(Overview!$A$3:$B$32,MATCH('538'!$L282,Overview!$A$3:$A$32,0),2),"")</f>
        <v>Reds</v>
      </c>
      <c r="N282" t="str">
        <f t="shared" si="33"/>
        <v>Luis Castillo</v>
      </c>
      <c r="O282" s="62">
        <f t="shared" si="37"/>
        <v>0.5</v>
      </c>
    </row>
    <row r="283" spans="1:15" x14ac:dyDescent="0.25">
      <c r="C283" t="s">
        <v>1005</v>
      </c>
      <c r="H283" s="62"/>
      <c r="J283">
        <f t="shared" ca="1" si="34"/>
        <v>4</v>
      </c>
      <c r="K283" s="63" t="str">
        <f t="shared" ca="1" si="35"/>
        <v>9/26</v>
      </c>
      <c r="L283" t="str">
        <f t="shared" si="36"/>
        <v/>
      </c>
      <c r="M283" t="str">
        <f>IFERROR(INDEX(Overview!$A$3:$B$32,MATCH('538'!$L283,Overview!$A$3:$A$32,0),2),"")</f>
        <v/>
      </c>
      <c r="N283" t="str">
        <f t="shared" si="33"/>
        <v/>
      </c>
      <c r="O283" s="62">
        <f t="shared" si="37"/>
        <v>0</v>
      </c>
    </row>
    <row r="284" spans="1:15" x14ac:dyDescent="0.25">
      <c r="A284" t="s">
        <v>4870</v>
      </c>
      <c r="B284" t="s">
        <v>972</v>
      </c>
      <c r="C284" t="s">
        <v>1030</v>
      </c>
      <c r="D284">
        <v>1591</v>
      </c>
      <c r="E284">
        <v>7</v>
      </c>
      <c r="F284">
        <v>0</v>
      </c>
      <c r="G284">
        <f>1598</f>
        <v>1598</v>
      </c>
      <c r="H284" s="62">
        <v>0.68</v>
      </c>
      <c r="I284">
        <v>3</v>
      </c>
      <c r="J284">
        <f t="shared" ca="1" si="34"/>
        <v>4</v>
      </c>
      <c r="K284" s="63" t="str">
        <f t="shared" ca="1" si="35"/>
        <v>9/25</v>
      </c>
      <c r="L284" t="str">
        <f t="shared" si="36"/>
        <v>HOU</v>
      </c>
      <c r="M284" t="str">
        <f>IFERROR(INDEX(Overview!$A$3:$B$32,MATCH('538'!$L284,Overview!$A$3:$A$32,0),2),"")</f>
        <v>Astros</v>
      </c>
      <c r="N284" t="str">
        <f t="shared" si="33"/>
        <v>Zack Greinke</v>
      </c>
      <c r="O284" s="62">
        <f t="shared" si="37"/>
        <v>0.68</v>
      </c>
    </row>
    <row r="285" spans="1:15" x14ac:dyDescent="0.25">
      <c r="C285" t="s">
        <v>1031</v>
      </c>
      <c r="H285" s="62"/>
      <c r="J285">
        <f t="shared" ca="1" si="34"/>
        <v>4</v>
      </c>
      <c r="K285" s="63" t="str">
        <f t="shared" ca="1" si="35"/>
        <v>9/25</v>
      </c>
      <c r="L285" t="str">
        <f t="shared" si="36"/>
        <v/>
      </c>
      <c r="M285" t="str">
        <f>IFERROR(INDEX(Overview!$A$3:$B$32,MATCH('538'!$L285,Overview!$A$3:$A$32,0),2),"")</f>
        <v/>
      </c>
      <c r="N285" t="str">
        <f t="shared" si="33"/>
        <v/>
      </c>
      <c r="O285" s="62">
        <f t="shared" si="37"/>
        <v>0</v>
      </c>
    </row>
    <row r="286" spans="1:15" x14ac:dyDescent="0.25">
      <c r="B286" t="s">
        <v>1027</v>
      </c>
      <c r="C286" t="s">
        <v>1077</v>
      </c>
      <c r="D286">
        <v>1466</v>
      </c>
      <c r="E286" t="s">
        <v>1173</v>
      </c>
      <c r="F286">
        <v>24</v>
      </c>
      <c r="G286">
        <f>1471</f>
        <v>1471</v>
      </c>
      <c r="H286" s="62">
        <v>0.32</v>
      </c>
      <c r="I286">
        <v>0</v>
      </c>
      <c r="J286">
        <f t="shared" ca="1" si="34"/>
        <v>4</v>
      </c>
      <c r="K286" s="63" t="str">
        <f t="shared" ca="1" si="35"/>
        <v>9/25</v>
      </c>
      <c r="L286" t="str">
        <f t="shared" si="36"/>
        <v>SEA</v>
      </c>
      <c r="M286" t="str">
        <f>IFERROR(INDEX(Overview!$A$3:$B$32,MATCH('538'!$L286,Overview!$A$3:$A$32,0),2),"")</f>
        <v>Mariners</v>
      </c>
      <c r="N286" t="str">
        <f t="shared" si="33"/>
        <v>Yusei Kikuchi</v>
      </c>
      <c r="O286" s="62">
        <f t="shared" si="37"/>
        <v>0.32</v>
      </c>
    </row>
    <row r="287" spans="1:15" x14ac:dyDescent="0.25">
      <c r="C287" t="s">
        <v>1078</v>
      </c>
      <c r="H287" s="62"/>
      <c r="J287">
        <f t="shared" ca="1" si="34"/>
        <v>4</v>
      </c>
      <c r="K287" s="63" t="str">
        <f t="shared" ca="1" si="35"/>
        <v>9/25</v>
      </c>
      <c r="L287" t="str">
        <f t="shared" si="36"/>
        <v/>
      </c>
      <c r="M287" t="str">
        <f>IFERROR(INDEX(Overview!$A$3:$B$32,MATCH('538'!$L287,Overview!$A$3:$A$32,0),2),"")</f>
        <v/>
      </c>
      <c r="N287" t="str">
        <f t="shared" si="33"/>
        <v/>
      </c>
      <c r="O287" s="62">
        <f t="shared" si="37"/>
        <v>0</v>
      </c>
    </row>
    <row r="288" spans="1:15" x14ac:dyDescent="0.25">
      <c r="A288" t="s">
        <v>4870</v>
      </c>
      <c r="B288" t="s">
        <v>986</v>
      </c>
      <c r="C288" t="s">
        <v>4364</v>
      </c>
      <c r="D288">
        <v>1589</v>
      </c>
      <c r="E288" t="s">
        <v>1086</v>
      </c>
      <c r="F288">
        <v>0</v>
      </c>
      <c r="G288">
        <f>1579</f>
        <v>1579</v>
      </c>
      <c r="H288" s="62">
        <v>0.6</v>
      </c>
      <c r="I288">
        <v>6</v>
      </c>
      <c r="J288">
        <f t="shared" ca="1" si="34"/>
        <v>4</v>
      </c>
      <c r="K288" s="63" t="str">
        <f t="shared" ca="1" si="35"/>
        <v>9/25</v>
      </c>
      <c r="L288" t="str">
        <f t="shared" si="36"/>
        <v>LAD</v>
      </c>
      <c r="M288" t="str">
        <f>IFERROR(INDEX(Overview!$A$3:$B$32,MATCH('538'!$L288,Overview!$A$3:$A$32,0),2),"")</f>
        <v>Dodgers</v>
      </c>
      <c r="N288" t="str">
        <f t="shared" si="33"/>
        <v>Ross Stripling</v>
      </c>
      <c r="O288" s="62">
        <f t="shared" si="37"/>
        <v>0.6</v>
      </c>
    </row>
    <row r="289" spans="1:15" x14ac:dyDescent="0.25">
      <c r="C289" t="s">
        <v>4365</v>
      </c>
      <c r="H289" s="62"/>
      <c r="J289">
        <f t="shared" ca="1" si="34"/>
        <v>4</v>
      </c>
      <c r="K289" s="63" t="str">
        <f t="shared" ca="1" si="35"/>
        <v>9/25</v>
      </c>
      <c r="L289" t="str">
        <f t="shared" si="36"/>
        <v/>
      </c>
      <c r="M289" t="str">
        <f>IFERROR(INDEX(Overview!$A$3:$B$32,MATCH('538'!$L289,Overview!$A$3:$A$32,0),2),"")</f>
        <v/>
      </c>
      <c r="N289" t="str">
        <f t="shared" si="33"/>
        <v/>
      </c>
      <c r="O289" s="62">
        <f t="shared" si="37"/>
        <v>0</v>
      </c>
    </row>
    <row r="290" spans="1:15" x14ac:dyDescent="0.25">
      <c r="B290" t="s">
        <v>963</v>
      </c>
      <c r="C290" t="s">
        <v>1469</v>
      </c>
      <c r="D290">
        <v>1465</v>
      </c>
      <c r="E290">
        <v>18</v>
      </c>
      <c r="F290">
        <v>24</v>
      </c>
      <c r="G290">
        <f>1507</f>
        <v>1507</v>
      </c>
      <c r="H290" s="62">
        <v>0.4</v>
      </c>
      <c r="I290">
        <v>4</v>
      </c>
      <c r="J290">
        <f t="shared" ca="1" si="34"/>
        <v>4</v>
      </c>
      <c r="K290" s="63" t="str">
        <f t="shared" ca="1" si="35"/>
        <v>9/25</v>
      </c>
      <c r="L290" t="str">
        <f t="shared" si="36"/>
        <v>SDS</v>
      </c>
      <c r="M290" t="str">
        <f>IFERROR(INDEX(Overview!$A$3:$B$32,MATCH('538'!$L290,Overview!$A$3:$A$32,0),2),"")</f>
        <v/>
      </c>
      <c r="N290" t="str">
        <f t="shared" si="33"/>
        <v>Dinelson Lamet</v>
      </c>
      <c r="O290" s="62">
        <f t="shared" si="37"/>
        <v>0.4</v>
      </c>
    </row>
    <row r="291" spans="1:15" x14ac:dyDescent="0.25">
      <c r="C291" t="s">
        <v>1470</v>
      </c>
      <c r="H291" s="62"/>
      <c r="J291">
        <f t="shared" ca="1" si="34"/>
        <v>4</v>
      </c>
      <c r="K291" s="63" t="str">
        <f t="shared" ca="1" si="35"/>
        <v>9/25</v>
      </c>
      <c r="L291" t="str">
        <f t="shared" si="36"/>
        <v/>
      </c>
      <c r="M291" t="str">
        <f>IFERROR(INDEX(Overview!$A$3:$B$32,MATCH('538'!$L291,Overview!$A$3:$A$32,0),2),"")</f>
        <v/>
      </c>
      <c r="N291" t="str">
        <f t="shared" si="33"/>
        <v/>
      </c>
      <c r="O291" s="62">
        <f t="shared" si="37"/>
        <v>0</v>
      </c>
    </row>
    <row r="292" spans="1:15" x14ac:dyDescent="0.25">
      <c r="A292" t="s">
        <v>4871</v>
      </c>
      <c r="B292" t="s">
        <v>948</v>
      </c>
      <c r="C292" t="s">
        <v>4872</v>
      </c>
      <c r="D292">
        <v>1559</v>
      </c>
      <c r="E292">
        <v>15</v>
      </c>
      <c r="F292">
        <v>0</v>
      </c>
      <c r="G292">
        <f>1574</f>
        <v>1574</v>
      </c>
      <c r="H292" s="62">
        <v>0.57999999999999996</v>
      </c>
      <c r="I292">
        <v>3</v>
      </c>
      <c r="J292">
        <f t="shared" ca="1" si="34"/>
        <v>4</v>
      </c>
      <c r="K292" s="63" t="str">
        <f t="shared" ca="1" si="35"/>
        <v>9/25</v>
      </c>
      <c r="L292" t="str">
        <f t="shared" si="36"/>
        <v>OAK</v>
      </c>
      <c r="M292" t="str">
        <f>IFERROR(INDEX(Overview!$A$3:$B$32,MATCH('538'!$L292,Overview!$A$3:$A$32,0),2),"")</f>
        <v>Athletics</v>
      </c>
      <c r="N292" t="str">
        <f t="shared" si="33"/>
        <v>Frankie Montas</v>
      </c>
      <c r="O292" s="62">
        <f t="shared" si="37"/>
        <v>0.57999999999999996</v>
      </c>
    </row>
    <row r="293" spans="1:15" x14ac:dyDescent="0.25">
      <c r="C293" t="s">
        <v>4873</v>
      </c>
      <c r="H293" s="62"/>
      <c r="J293">
        <f t="shared" ca="1" si="34"/>
        <v>4</v>
      </c>
      <c r="K293" s="63" t="str">
        <f t="shared" ca="1" si="35"/>
        <v>9/25</v>
      </c>
      <c r="L293" t="str">
        <f t="shared" si="36"/>
        <v/>
      </c>
      <c r="M293" t="str">
        <f>IFERROR(INDEX(Overview!$A$3:$B$32,MATCH('538'!$L293,Overview!$A$3:$A$32,0),2),"")</f>
        <v/>
      </c>
      <c r="N293" t="str">
        <f t="shared" si="33"/>
        <v/>
      </c>
      <c r="O293" s="62">
        <f t="shared" si="37"/>
        <v>0</v>
      </c>
    </row>
    <row r="294" spans="1:15" x14ac:dyDescent="0.25">
      <c r="B294" t="s">
        <v>1025</v>
      </c>
      <c r="C294" t="s">
        <v>3801</v>
      </c>
      <c r="D294">
        <v>1477</v>
      </c>
      <c r="E294">
        <v>16</v>
      </c>
      <c r="F294">
        <v>24</v>
      </c>
      <c r="G294">
        <f>1517</f>
        <v>1517</v>
      </c>
      <c r="H294" s="62">
        <v>0.42</v>
      </c>
      <c r="I294">
        <v>2</v>
      </c>
      <c r="J294">
        <f t="shared" ca="1" si="34"/>
        <v>4</v>
      </c>
      <c r="K294" s="63" t="str">
        <f t="shared" ca="1" si="35"/>
        <v>9/25</v>
      </c>
      <c r="L294" t="str">
        <f t="shared" si="36"/>
        <v>LAA</v>
      </c>
      <c r="M294" t="str">
        <f>IFERROR(INDEX(Overview!$A$3:$B$32,MATCH('538'!$L294,Overview!$A$3:$A$32,0),2),"")</f>
        <v>Angels</v>
      </c>
      <c r="N294" t="str">
        <f t="shared" si="33"/>
        <v>Andrew Heaney</v>
      </c>
      <c r="O294" s="62">
        <f t="shared" si="37"/>
        <v>0.42</v>
      </c>
    </row>
    <row r="295" spans="1:15" x14ac:dyDescent="0.25">
      <c r="C295" t="s">
        <v>3802</v>
      </c>
      <c r="H295" s="62"/>
      <c r="J295">
        <f t="shared" ca="1" si="34"/>
        <v>4</v>
      </c>
      <c r="K295" s="63" t="str">
        <f t="shared" ca="1" si="35"/>
        <v>9/25</v>
      </c>
      <c r="L295" t="str">
        <f t="shared" si="36"/>
        <v/>
      </c>
      <c r="M295" t="str">
        <f>IFERROR(INDEX(Overview!$A$3:$B$32,MATCH('538'!$L295,Overview!$A$3:$A$32,0),2),"")</f>
        <v/>
      </c>
      <c r="N295" t="str">
        <f t="shared" si="33"/>
        <v/>
      </c>
      <c r="O295" s="62">
        <f t="shared" si="37"/>
        <v>0</v>
      </c>
    </row>
    <row r="296" spans="1:15" x14ac:dyDescent="0.25">
      <c r="A296" t="s">
        <v>4874</v>
      </c>
      <c r="B296" t="s">
        <v>968</v>
      </c>
      <c r="C296" t="s">
        <v>4088</v>
      </c>
      <c r="D296">
        <v>1481</v>
      </c>
      <c r="E296" t="s">
        <v>1059</v>
      </c>
      <c r="F296">
        <v>0</v>
      </c>
      <c r="G296">
        <f>1469</f>
        <v>1469</v>
      </c>
      <c r="H296" s="62">
        <v>0.43</v>
      </c>
      <c r="I296">
        <v>1</v>
      </c>
      <c r="J296">
        <f t="shared" ca="1" si="34"/>
        <v>4</v>
      </c>
      <c r="K296" s="63" t="str">
        <f t="shared" ca="1" si="35"/>
        <v>9/25</v>
      </c>
      <c r="L296" t="str">
        <f t="shared" si="36"/>
        <v>COL</v>
      </c>
      <c r="M296" t="str">
        <f>IFERROR(INDEX(Overview!$A$3:$B$32,MATCH('538'!$L296,Overview!$A$3:$A$32,0),2),"")</f>
        <v>Rockies</v>
      </c>
      <c r="N296" t="str">
        <f t="shared" si="33"/>
        <v>Tim Melville</v>
      </c>
      <c r="O296" s="62">
        <f t="shared" si="37"/>
        <v>0.43</v>
      </c>
    </row>
    <row r="297" spans="1:15" x14ac:dyDescent="0.25">
      <c r="C297" t="s">
        <v>4089</v>
      </c>
      <c r="H297" s="62"/>
      <c r="J297">
        <f t="shared" ca="1" si="34"/>
        <v>4</v>
      </c>
      <c r="K297" s="63" t="str">
        <f t="shared" ca="1" si="35"/>
        <v>9/25</v>
      </c>
      <c r="L297" t="str">
        <f t="shared" si="36"/>
        <v/>
      </c>
      <c r="M297" t="str">
        <f>IFERROR(INDEX(Overview!$A$3:$B$32,MATCH('538'!$L297,Overview!$A$3:$A$32,0),2),"")</f>
        <v/>
      </c>
      <c r="N297" t="str">
        <f t="shared" si="33"/>
        <v/>
      </c>
      <c r="O297" s="62">
        <f t="shared" si="37"/>
        <v>0</v>
      </c>
    </row>
    <row r="298" spans="1:15" x14ac:dyDescent="0.25">
      <c r="B298" t="s">
        <v>988</v>
      </c>
      <c r="C298" t="s">
        <v>989</v>
      </c>
      <c r="D298">
        <v>1475</v>
      </c>
      <c r="E298">
        <v>15</v>
      </c>
      <c r="F298">
        <v>24</v>
      </c>
      <c r="G298">
        <f>1514</f>
        <v>1514</v>
      </c>
      <c r="H298" s="62">
        <v>0.56999999999999995</v>
      </c>
      <c r="I298">
        <v>2</v>
      </c>
      <c r="J298">
        <f t="shared" ca="1" si="34"/>
        <v>4</v>
      </c>
      <c r="K298" s="63" t="str">
        <f t="shared" ca="1" si="35"/>
        <v>9/25</v>
      </c>
      <c r="L298" t="str">
        <f t="shared" si="36"/>
        <v>SFS</v>
      </c>
      <c r="M298" t="str">
        <f>IFERROR(INDEX(Overview!$A$3:$B$32,MATCH('538'!$L298,Overview!$A$3:$A$32,0),2),"")</f>
        <v/>
      </c>
      <c r="N298" t="str">
        <f t="shared" si="33"/>
        <v>Jeff Samardzija</v>
      </c>
      <c r="O298" s="62">
        <f t="shared" si="37"/>
        <v>0.56999999999999995</v>
      </c>
    </row>
    <row r="299" spans="1:15" x14ac:dyDescent="0.25">
      <c r="C299" t="s">
        <v>990</v>
      </c>
      <c r="H299" s="62"/>
      <c r="J299">
        <f t="shared" ca="1" si="34"/>
        <v>4</v>
      </c>
      <c r="K299" s="63" t="str">
        <f t="shared" ca="1" si="35"/>
        <v>9/25</v>
      </c>
      <c r="L299" t="str">
        <f t="shared" si="36"/>
        <v/>
      </c>
      <c r="M299" t="str">
        <f>IFERROR(INDEX(Overview!$A$3:$B$32,MATCH('538'!$L299,Overview!$A$3:$A$32,0),2),"")</f>
        <v/>
      </c>
      <c r="N299" t="str">
        <f t="shared" si="33"/>
        <v/>
      </c>
      <c r="O299" s="62">
        <f t="shared" si="37"/>
        <v>0</v>
      </c>
    </row>
    <row r="300" spans="1:15" x14ac:dyDescent="0.25">
      <c r="A300" t="s">
        <v>4875</v>
      </c>
      <c r="B300" t="s">
        <v>965</v>
      </c>
      <c r="C300" t="s">
        <v>4876</v>
      </c>
      <c r="D300">
        <v>1545</v>
      </c>
      <c r="E300" t="s">
        <v>4359</v>
      </c>
      <c r="F300">
        <v>0</v>
      </c>
      <c r="G300">
        <f>1521</f>
        <v>1521</v>
      </c>
      <c r="H300" s="62">
        <v>0.59</v>
      </c>
      <c r="I300">
        <v>10</v>
      </c>
      <c r="J300">
        <f t="shared" ca="1" si="34"/>
        <v>4</v>
      </c>
      <c r="K300" s="63" t="str">
        <f t="shared" ca="1" si="35"/>
        <v>9/25</v>
      </c>
      <c r="L300" t="str">
        <f t="shared" si="36"/>
        <v>ATL</v>
      </c>
      <c r="M300" t="str">
        <f>IFERROR(INDEX(Overview!$A$3:$B$32,MATCH('538'!$L300,Overview!$A$3:$A$32,0),2),"")</f>
        <v>Braves</v>
      </c>
      <c r="N300" t="str">
        <f t="shared" si="33"/>
        <v>Josh Tomlin</v>
      </c>
      <c r="O300" s="62">
        <f t="shared" si="37"/>
        <v>0.59</v>
      </c>
    </row>
    <row r="301" spans="1:15" x14ac:dyDescent="0.25">
      <c r="C301" t="s">
        <v>4877</v>
      </c>
      <c r="H301" s="62"/>
      <c r="J301">
        <f t="shared" ca="1" si="34"/>
        <v>4</v>
      </c>
      <c r="K301" s="63" t="str">
        <f t="shared" ca="1" si="35"/>
        <v>9/25</v>
      </c>
      <c r="L301" t="str">
        <f t="shared" si="36"/>
        <v/>
      </c>
      <c r="M301" t="str">
        <f>IFERROR(INDEX(Overview!$A$3:$B$32,MATCH('538'!$L301,Overview!$A$3:$A$32,0),2),"")</f>
        <v/>
      </c>
      <c r="N301" t="str">
        <f t="shared" si="33"/>
        <v/>
      </c>
      <c r="O301" s="62">
        <f t="shared" si="37"/>
        <v>0</v>
      </c>
    </row>
    <row r="302" spans="1:15" x14ac:dyDescent="0.25">
      <c r="B302" t="s">
        <v>984</v>
      </c>
      <c r="C302" t="s">
        <v>1507</v>
      </c>
      <c r="D302">
        <v>1433</v>
      </c>
      <c r="E302">
        <v>3</v>
      </c>
      <c r="F302">
        <v>24</v>
      </c>
      <c r="G302">
        <f>1460</f>
        <v>1460</v>
      </c>
      <c r="H302" s="62">
        <v>0.41</v>
      </c>
      <c r="I302">
        <v>2</v>
      </c>
      <c r="J302">
        <f t="shared" ca="1" si="34"/>
        <v>4</v>
      </c>
      <c r="K302" s="63" t="str">
        <f t="shared" ca="1" si="35"/>
        <v>9/25</v>
      </c>
      <c r="L302" t="str">
        <f t="shared" si="36"/>
        <v>KCK</v>
      </c>
      <c r="M302" t="str">
        <f>IFERROR(INDEX(Overview!$A$3:$B$32,MATCH('538'!$L302,Overview!$A$3:$A$32,0),2),"")</f>
        <v/>
      </c>
      <c r="N302" t="str">
        <f t="shared" si="33"/>
        <v>Mike Montgomery</v>
      </c>
      <c r="O302" s="62">
        <f t="shared" si="37"/>
        <v>0.41</v>
      </c>
    </row>
    <row r="303" spans="1:15" x14ac:dyDescent="0.25">
      <c r="C303" t="s">
        <v>1508</v>
      </c>
      <c r="H303" s="62"/>
      <c r="J303">
        <f t="shared" ca="1" si="34"/>
        <v>4</v>
      </c>
      <c r="K303" s="63" t="str">
        <f t="shared" ca="1" si="35"/>
        <v>9/25</v>
      </c>
      <c r="L303" t="str">
        <f t="shared" si="36"/>
        <v/>
      </c>
      <c r="M303" t="str">
        <f>IFERROR(INDEX(Overview!$A$3:$B$32,MATCH('538'!$L303,Overview!$A$3:$A$32,0),2),"")</f>
        <v/>
      </c>
      <c r="N303" t="str">
        <f t="shared" si="33"/>
        <v/>
      </c>
      <c r="O303" s="62">
        <f t="shared" si="37"/>
        <v>0</v>
      </c>
    </row>
    <row r="304" spans="1:15" x14ac:dyDescent="0.25">
      <c r="A304" t="s">
        <v>4878</v>
      </c>
      <c r="B304" t="s">
        <v>999</v>
      </c>
      <c r="C304" t="s">
        <v>1079</v>
      </c>
      <c r="D304">
        <v>1559</v>
      </c>
      <c r="E304">
        <v>14</v>
      </c>
      <c r="F304">
        <v>0</v>
      </c>
      <c r="G304">
        <f>1573</f>
        <v>1573</v>
      </c>
      <c r="H304" s="62">
        <v>0.65</v>
      </c>
      <c r="I304">
        <v>3</v>
      </c>
      <c r="J304">
        <f t="shared" ca="1" si="34"/>
        <v>4</v>
      </c>
      <c r="K304" s="63" t="str">
        <f t="shared" ca="1" si="35"/>
        <v>9/25</v>
      </c>
      <c r="L304" t="str">
        <f t="shared" si="36"/>
        <v>CLE</v>
      </c>
      <c r="M304" t="str">
        <f>IFERROR(INDEX(Overview!$A$3:$B$32,MATCH('538'!$L304,Overview!$A$3:$A$32,0),2),"")</f>
        <v>Indians</v>
      </c>
      <c r="N304" t="str">
        <f t="shared" si="33"/>
        <v>Shane Bieber</v>
      </c>
      <c r="O304" s="62">
        <f t="shared" si="37"/>
        <v>0.65</v>
      </c>
    </row>
    <row r="305" spans="1:15" x14ac:dyDescent="0.25">
      <c r="C305" t="s">
        <v>1080</v>
      </c>
      <c r="H305" s="62"/>
      <c r="J305">
        <f t="shared" ca="1" si="34"/>
        <v>4</v>
      </c>
      <c r="K305" s="63" t="str">
        <f t="shared" ca="1" si="35"/>
        <v>9/25</v>
      </c>
      <c r="L305" t="str">
        <f t="shared" si="36"/>
        <v/>
      </c>
      <c r="M305" t="str">
        <f>IFERROR(INDEX(Overview!$A$3:$B$32,MATCH('538'!$L305,Overview!$A$3:$A$32,0),2),"")</f>
        <v/>
      </c>
      <c r="N305" t="str">
        <f t="shared" si="33"/>
        <v/>
      </c>
      <c r="O305" s="62">
        <f t="shared" si="37"/>
        <v>0</v>
      </c>
    </row>
    <row r="306" spans="1:15" x14ac:dyDescent="0.25">
      <c r="B306" t="s">
        <v>981</v>
      </c>
      <c r="C306" t="s">
        <v>4800</v>
      </c>
      <c r="D306">
        <v>1454</v>
      </c>
      <c r="E306" t="s">
        <v>1045</v>
      </c>
      <c r="F306">
        <v>24</v>
      </c>
      <c r="G306">
        <f>1465</f>
        <v>1465</v>
      </c>
      <c r="H306" s="62">
        <v>0.35</v>
      </c>
      <c r="I306">
        <v>8</v>
      </c>
      <c r="J306">
        <f t="shared" ca="1" si="34"/>
        <v>4</v>
      </c>
      <c r="K306" s="63" t="str">
        <f t="shared" ca="1" si="35"/>
        <v>9/25</v>
      </c>
      <c r="L306" t="str">
        <f t="shared" si="36"/>
        <v>CHW</v>
      </c>
      <c r="M306" t="str">
        <f>IFERROR(INDEX(Overview!$A$3:$B$32,MATCH('538'!$L306,Overview!$A$3:$A$32,0),2),"")</f>
        <v>White Sox</v>
      </c>
      <c r="N306" t="str">
        <f t="shared" si="33"/>
        <v>Ross Detwiler</v>
      </c>
      <c r="O306" s="62">
        <f t="shared" si="37"/>
        <v>0.35</v>
      </c>
    </row>
    <row r="307" spans="1:15" x14ac:dyDescent="0.25">
      <c r="C307" t="s">
        <v>4801</v>
      </c>
      <c r="H307" s="62"/>
      <c r="J307">
        <f t="shared" ca="1" si="34"/>
        <v>4</v>
      </c>
      <c r="K307" s="63" t="str">
        <f t="shared" ca="1" si="35"/>
        <v>9/25</v>
      </c>
      <c r="L307" t="str">
        <f t="shared" si="36"/>
        <v/>
      </c>
      <c r="M307" t="str">
        <f>IFERROR(INDEX(Overview!$A$3:$B$32,MATCH('538'!$L307,Overview!$A$3:$A$32,0),2),"")</f>
        <v/>
      </c>
      <c r="N307" t="str">
        <f t="shared" si="33"/>
        <v/>
      </c>
      <c r="O307" s="62">
        <f t="shared" si="37"/>
        <v>0</v>
      </c>
    </row>
    <row r="308" spans="1:15" x14ac:dyDescent="0.25">
      <c r="A308" t="s">
        <v>4879</v>
      </c>
      <c r="B308" t="s">
        <v>950</v>
      </c>
      <c r="C308" t="s">
        <v>997</v>
      </c>
      <c r="D308">
        <v>1538</v>
      </c>
      <c r="E308" t="s">
        <v>995</v>
      </c>
      <c r="F308">
        <v>0</v>
      </c>
      <c r="G308">
        <f>1527</f>
        <v>1527</v>
      </c>
      <c r="H308" s="62">
        <v>0.55000000000000004</v>
      </c>
      <c r="I308">
        <v>10</v>
      </c>
      <c r="J308">
        <f t="shared" ca="1" si="34"/>
        <v>4</v>
      </c>
      <c r="K308" s="63" t="str">
        <f t="shared" ca="1" si="35"/>
        <v>9/25</v>
      </c>
      <c r="L308" t="str">
        <f t="shared" si="36"/>
        <v>BOS</v>
      </c>
      <c r="M308" t="str">
        <f>IFERROR(INDEX(Overview!$A$3:$B$32,MATCH('538'!$L308,Overview!$A$3:$A$32,0),2),"")</f>
        <v>Red Sox</v>
      </c>
      <c r="N308" t="str">
        <f t="shared" si="33"/>
        <v>Rick Porcello</v>
      </c>
      <c r="O308" s="62">
        <f t="shared" si="37"/>
        <v>0.55000000000000004</v>
      </c>
    </row>
    <row r="309" spans="1:15" x14ac:dyDescent="0.25">
      <c r="C309" t="s">
        <v>998</v>
      </c>
      <c r="H309" s="62"/>
      <c r="J309">
        <f t="shared" ca="1" si="34"/>
        <v>4</v>
      </c>
      <c r="K309" s="63" t="str">
        <f t="shared" ca="1" si="35"/>
        <v>9/25</v>
      </c>
      <c r="L309" t="str">
        <f t="shared" si="36"/>
        <v/>
      </c>
      <c r="M309" t="str">
        <f>IFERROR(INDEX(Overview!$A$3:$B$32,MATCH('538'!$L309,Overview!$A$3:$A$32,0),2),"")</f>
        <v/>
      </c>
      <c r="N309" t="str">
        <f t="shared" si="33"/>
        <v/>
      </c>
      <c r="O309" s="62">
        <f t="shared" si="37"/>
        <v>0</v>
      </c>
    </row>
    <row r="310" spans="1:15" x14ac:dyDescent="0.25">
      <c r="B310" t="s">
        <v>1014</v>
      </c>
      <c r="C310" t="s">
        <v>3824</v>
      </c>
      <c r="D310">
        <v>1469</v>
      </c>
      <c r="E310">
        <v>1</v>
      </c>
      <c r="F310">
        <v>24</v>
      </c>
      <c r="G310">
        <f>1494</f>
        <v>1494</v>
      </c>
      <c r="H310" s="62">
        <v>0.45</v>
      </c>
      <c r="I310">
        <v>3</v>
      </c>
      <c r="J310">
        <f t="shared" ca="1" si="34"/>
        <v>4</v>
      </c>
      <c r="K310" s="63" t="str">
        <f t="shared" ca="1" si="35"/>
        <v>9/25</v>
      </c>
      <c r="L310" t="str">
        <f t="shared" si="36"/>
        <v>TEX</v>
      </c>
      <c r="M310" t="str">
        <f>IFERROR(INDEX(Overview!$A$3:$B$32,MATCH('538'!$L310,Overview!$A$3:$A$32,0),2),"")</f>
        <v>Rangers</v>
      </c>
      <c r="N310" t="str">
        <f t="shared" si="33"/>
        <v>Kolby Allard</v>
      </c>
      <c r="O310" s="62">
        <f t="shared" si="37"/>
        <v>0.45</v>
      </c>
    </row>
    <row r="311" spans="1:15" x14ac:dyDescent="0.25">
      <c r="C311" t="s">
        <v>3825</v>
      </c>
      <c r="H311" s="62"/>
      <c r="J311">
        <f t="shared" ca="1" si="34"/>
        <v>4</v>
      </c>
      <c r="K311" s="63" t="str">
        <f t="shared" ca="1" si="35"/>
        <v>9/25</v>
      </c>
      <c r="L311" t="str">
        <f t="shared" si="36"/>
        <v/>
      </c>
      <c r="M311" t="str">
        <f>IFERROR(INDEX(Overview!$A$3:$B$32,MATCH('538'!$L311,Overview!$A$3:$A$32,0),2),"")</f>
        <v/>
      </c>
      <c r="N311" t="str">
        <f t="shared" si="33"/>
        <v/>
      </c>
      <c r="O311" s="62">
        <f t="shared" si="37"/>
        <v>0</v>
      </c>
    </row>
    <row r="312" spans="1:15" x14ac:dyDescent="0.25">
      <c r="A312" t="s">
        <v>4880</v>
      </c>
      <c r="B312" t="s">
        <v>1000</v>
      </c>
      <c r="C312" t="s">
        <v>4180</v>
      </c>
      <c r="D312">
        <v>1432</v>
      </c>
      <c r="E312" t="s">
        <v>1003</v>
      </c>
      <c r="F312">
        <v>0</v>
      </c>
      <c r="G312">
        <f>1424</f>
        <v>1424</v>
      </c>
      <c r="H312" s="62">
        <v>0.26</v>
      </c>
      <c r="I312">
        <v>3</v>
      </c>
      <c r="J312">
        <f t="shared" ca="1" si="34"/>
        <v>4</v>
      </c>
      <c r="K312" s="63" t="str">
        <f t="shared" ca="1" si="35"/>
        <v>9/25</v>
      </c>
      <c r="L312" t="str">
        <f t="shared" si="36"/>
        <v>MIA</v>
      </c>
      <c r="M312" t="str">
        <f>IFERROR(INDEX(Overview!$A$3:$B$32,MATCH('538'!$L312,Overview!$A$3:$A$32,0),2),"")</f>
        <v>Marlins</v>
      </c>
      <c r="N312" t="str">
        <f t="shared" si="33"/>
        <v>Robert Dugger</v>
      </c>
      <c r="O312" s="62">
        <f t="shared" si="37"/>
        <v>0.26</v>
      </c>
    </row>
    <row r="313" spans="1:15" x14ac:dyDescent="0.25">
      <c r="C313" t="s">
        <v>4181</v>
      </c>
      <c r="H313" s="62"/>
      <c r="J313">
        <f t="shared" ca="1" si="34"/>
        <v>4</v>
      </c>
      <c r="K313" s="63" t="str">
        <f t="shared" ca="1" si="35"/>
        <v>9/25</v>
      </c>
      <c r="L313" t="str">
        <f t="shared" si="36"/>
        <v/>
      </c>
      <c r="M313" t="str">
        <f>IFERROR(INDEX(Overview!$A$3:$B$32,MATCH('538'!$L313,Overview!$A$3:$A$32,0),2),"")</f>
        <v/>
      </c>
      <c r="N313" t="str">
        <f t="shared" si="33"/>
        <v/>
      </c>
      <c r="O313" s="62">
        <f t="shared" si="37"/>
        <v>0</v>
      </c>
    </row>
    <row r="314" spans="1:15" x14ac:dyDescent="0.25">
      <c r="B314" t="s">
        <v>962</v>
      </c>
      <c r="C314" t="s">
        <v>1039</v>
      </c>
      <c r="D314">
        <v>1530</v>
      </c>
      <c r="E314">
        <v>51</v>
      </c>
      <c r="F314">
        <v>24</v>
      </c>
      <c r="G314">
        <f>1605</f>
        <v>1605</v>
      </c>
      <c r="H314" s="62">
        <v>0.74</v>
      </c>
      <c r="I314">
        <v>10</v>
      </c>
      <c r="J314">
        <f t="shared" ca="1" si="34"/>
        <v>4</v>
      </c>
      <c r="K314" s="63" t="str">
        <f t="shared" ca="1" si="35"/>
        <v>9/25</v>
      </c>
      <c r="L314" t="str">
        <f t="shared" si="36"/>
        <v>NYM</v>
      </c>
      <c r="M314" t="str">
        <f>IFERROR(INDEX(Overview!$A$3:$B$32,MATCH('538'!$L314,Overview!$A$3:$A$32,0),2),"")</f>
        <v>Mets</v>
      </c>
      <c r="N314" t="str">
        <f t="shared" si="33"/>
        <v>Jacob deGrom</v>
      </c>
      <c r="O314" s="62">
        <f t="shared" si="37"/>
        <v>0.74</v>
      </c>
    </row>
    <row r="315" spans="1:15" x14ac:dyDescent="0.25">
      <c r="C315" t="s">
        <v>1040</v>
      </c>
      <c r="H315" s="62"/>
      <c r="J315">
        <f t="shared" ca="1" si="34"/>
        <v>4</v>
      </c>
      <c r="K315" s="63" t="str">
        <f t="shared" ca="1" si="35"/>
        <v>9/25</v>
      </c>
      <c r="L315" t="str">
        <f t="shared" si="36"/>
        <v/>
      </c>
      <c r="M315" t="str">
        <f>IFERROR(INDEX(Overview!$A$3:$B$32,MATCH('538'!$L315,Overview!$A$3:$A$32,0),2),"")</f>
        <v/>
      </c>
      <c r="N315" t="str">
        <f t="shared" si="33"/>
        <v/>
      </c>
      <c r="O315" s="62">
        <f t="shared" si="37"/>
        <v>0</v>
      </c>
    </row>
    <row r="316" spans="1:15" x14ac:dyDescent="0.25">
      <c r="A316" t="s">
        <v>4881</v>
      </c>
      <c r="B316" t="s">
        <v>978</v>
      </c>
      <c r="C316" t="s">
        <v>4385</v>
      </c>
      <c r="D316">
        <v>1408</v>
      </c>
      <c r="E316" t="s">
        <v>1086</v>
      </c>
      <c r="F316">
        <v>0</v>
      </c>
      <c r="G316">
        <f>1398</f>
        <v>1398</v>
      </c>
      <c r="H316" s="62">
        <v>0.36</v>
      </c>
      <c r="I316">
        <v>2</v>
      </c>
      <c r="J316">
        <f t="shared" ca="1" si="34"/>
        <v>4</v>
      </c>
      <c r="K316" s="63" t="str">
        <f t="shared" ca="1" si="35"/>
        <v>9/25</v>
      </c>
      <c r="L316" t="str">
        <f t="shared" si="36"/>
        <v>BAL</v>
      </c>
      <c r="M316" t="str">
        <f>IFERROR(INDEX(Overview!$A$3:$B$32,MATCH('538'!$L316,Overview!$A$3:$A$32,0),2),"")</f>
        <v>Orioles</v>
      </c>
      <c r="N316" t="str">
        <f t="shared" si="33"/>
        <v>Gabriel Ynoa</v>
      </c>
      <c r="O316" s="62">
        <f t="shared" si="37"/>
        <v>0.36</v>
      </c>
    </row>
    <row r="317" spans="1:15" x14ac:dyDescent="0.25">
      <c r="C317" t="s">
        <v>4386</v>
      </c>
      <c r="H317" s="62"/>
      <c r="J317">
        <f t="shared" ca="1" si="34"/>
        <v>4</v>
      </c>
      <c r="K317" s="63" t="str">
        <f t="shared" ca="1" si="35"/>
        <v>9/25</v>
      </c>
      <c r="L317" t="str">
        <f t="shared" si="36"/>
        <v/>
      </c>
      <c r="M317" t="str">
        <f>IFERROR(INDEX(Overview!$A$3:$B$32,MATCH('538'!$L317,Overview!$A$3:$A$32,0),2),"")</f>
        <v/>
      </c>
      <c r="N317" t="str">
        <f t="shared" si="33"/>
        <v/>
      </c>
      <c r="O317" s="62">
        <f t="shared" si="37"/>
        <v>0</v>
      </c>
    </row>
    <row r="318" spans="1:15" x14ac:dyDescent="0.25">
      <c r="B318" t="s">
        <v>1024</v>
      </c>
      <c r="C318" t="s">
        <v>1467</v>
      </c>
      <c r="D318">
        <v>1470</v>
      </c>
      <c r="E318">
        <v>3</v>
      </c>
      <c r="F318">
        <v>24</v>
      </c>
      <c r="G318">
        <f>1497</f>
        <v>1497</v>
      </c>
      <c r="H318" s="62">
        <v>0.64</v>
      </c>
      <c r="I318">
        <v>3</v>
      </c>
      <c r="J318">
        <f t="shared" ca="1" si="34"/>
        <v>4</v>
      </c>
      <c r="K318" s="63" t="str">
        <f t="shared" ca="1" si="35"/>
        <v>9/25</v>
      </c>
      <c r="L318" t="str">
        <f t="shared" si="36"/>
        <v>TOR</v>
      </c>
      <c r="M318" t="str">
        <f>IFERROR(INDEX(Overview!$A$3:$B$32,MATCH('538'!$L318,Overview!$A$3:$A$32,0),2),"")</f>
        <v>Blue Jays</v>
      </c>
      <c r="N318" t="str">
        <f t="shared" si="33"/>
        <v>Jacob Waguespack</v>
      </c>
      <c r="O318" s="62">
        <f t="shared" si="37"/>
        <v>0.64</v>
      </c>
    </row>
    <row r="319" spans="1:15" x14ac:dyDescent="0.25">
      <c r="C319" t="s">
        <v>1468</v>
      </c>
      <c r="H319" s="62"/>
      <c r="J319">
        <f t="shared" ca="1" si="34"/>
        <v>4</v>
      </c>
      <c r="K319" s="63" t="str">
        <f t="shared" ca="1" si="35"/>
        <v>9/25</v>
      </c>
      <c r="L319" t="str">
        <f t="shared" si="36"/>
        <v/>
      </c>
      <c r="M319" t="str">
        <f>IFERROR(INDEX(Overview!$A$3:$B$32,MATCH('538'!$L319,Overview!$A$3:$A$32,0),2),"")</f>
        <v/>
      </c>
      <c r="N319" t="str">
        <f t="shared" si="33"/>
        <v/>
      </c>
      <c r="O319" s="62">
        <f t="shared" si="37"/>
        <v>0</v>
      </c>
    </row>
    <row r="320" spans="1:15" x14ac:dyDescent="0.25">
      <c r="A320" t="s">
        <v>4882</v>
      </c>
      <c r="B320" t="s">
        <v>992</v>
      </c>
      <c r="C320" t="s">
        <v>3446</v>
      </c>
      <c r="D320">
        <v>1506</v>
      </c>
      <c r="E320" t="s">
        <v>1003</v>
      </c>
      <c r="F320">
        <v>0</v>
      </c>
      <c r="G320">
        <f>1498</f>
        <v>1498</v>
      </c>
      <c r="H320" s="62">
        <v>0.4</v>
      </c>
      <c r="I320">
        <v>2</v>
      </c>
      <c r="J320">
        <f t="shared" ca="1" si="34"/>
        <v>4</v>
      </c>
      <c r="K320" s="63" t="str">
        <f t="shared" ca="1" si="35"/>
        <v>9/25</v>
      </c>
      <c r="L320" t="str">
        <f t="shared" si="36"/>
        <v>PHI</v>
      </c>
      <c r="M320" t="str">
        <f>IFERROR(INDEX(Overview!$A$3:$B$32,MATCH('538'!$L320,Overview!$A$3:$A$32,0),2),"")</f>
        <v>Phillies</v>
      </c>
      <c r="N320" t="str">
        <f t="shared" si="33"/>
        <v>Drew Smyly</v>
      </c>
      <c r="O320" s="62">
        <f t="shared" si="37"/>
        <v>0.4</v>
      </c>
    </row>
    <row r="321" spans="1:15" x14ac:dyDescent="0.25">
      <c r="C321" t="s">
        <v>3447</v>
      </c>
      <c r="H321" s="62"/>
      <c r="J321">
        <f t="shared" ca="1" si="34"/>
        <v>4</v>
      </c>
      <c r="K321" s="63" t="str">
        <f t="shared" ca="1" si="35"/>
        <v>9/25</v>
      </c>
      <c r="L321" t="str">
        <f t="shared" si="36"/>
        <v/>
      </c>
      <c r="M321" t="str">
        <f>IFERROR(INDEX(Overview!$A$3:$B$32,MATCH('538'!$L321,Overview!$A$3:$A$32,0),2),"")</f>
        <v/>
      </c>
      <c r="N321" t="str">
        <f t="shared" si="33"/>
        <v/>
      </c>
      <c r="O321" s="62">
        <f t="shared" si="37"/>
        <v>0</v>
      </c>
    </row>
    <row r="322" spans="1:15" x14ac:dyDescent="0.25">
      <c r="B322" t="s">
        <v>955</v>
      </c>
      <c r="C322" t="s">
        <v>1347</v>
      </c>
      <c r="D322">
        <v>1556</v>
      </c>
      <c r="E322" t="s">
        <v>3652</v>
      </c>
      <c r="F322">
        <v>24</v>
      </c>
      <c r="G322">
        <f>1565</f>
        <v>1565</v>
      </c>
      <c r="H322" s="62">
        <v>0.6</v>
      </c>
      <c r="I322">
        <v>5</v>
      </c>
      <c r="J322">
        <f t="shared" ca="1" si="34"/>
        <v>4</v>
      </c>
      <c r="K322" s="63" t="str">
        <f t="shared" ca="1" si="35"/>
        <v>9/25</v>
      </c>
      <c r="L322" t="str">
        <f t="shared" si="36"/>
        <v>WSH</v>
      </c>
      <c r="M322" t="str">
        <f>IFERROR(INDEX(Overview!$A$3:$B$32,MATCH('538'!$L322,Overview!$A$3:$A$32,0),2),"")</f>
        <v/>
      </c>
      <c r="N322" t="str">
        <f t="shared" si="33"/>
        <v>Anibal Sanchez</v>
      </c>
      <c r="O322" s="62">
        <f t="shared" si="37"/>
        <v>0.6</v>
      </c>
    </row>
    <row r="323" spans="1:15" x14ac:dyDescent="0.25">
      <c r="C323" t="s">
        <v>996</v>
      </c>
      <c r="H323" s="62"/>
      <c r="J323">
        <f t="shared" ca="1" si="34"/>
        <v>4</v>
      </c>
      <c r="K323" s="63" t="str">
        <f t="shared" ca="1" si="35"/>
        <v>9/25</v>
      </c>
      <c r="L323" t="str">
        <f t="shared" si="36"/>
        <v/>
      </c>
      <c r="M323" t="str">
        <f>IFERROR(INDEX(Overview!$A$3:$B$32,MATCH('538'!$L323,Overview!$A$3:$A$32,0),2),"")</f>
        <v/>
      </c>
      <c r="N323" t="str">
        <f t="shared" si="33"/>
        <v/>
      </c>
      <c r="O323" s="62">
        <f t="shared" si="37"/>
        <v>0</v>
      </c>
    </row>
    <row r="324" spans="1:15" x14ac:dyDescent="0.25">
      <c r="A324" t="s">
        <v>4882</v>
      </c>
      <c r="B324" t="s">
        <v>1026</v>
      </c>
      <c r="C324" t="s">
        <v>1032</v>
      </c>
      <c r="D324">
        <v>1531</v>
      </c>
      <c r="E324" t="s">
        <v>1350</v>
      </c>
      <c r="F324">
        <v>0</v>
      </c>
      <c r="G324">
        <f>1510</f>
        <v>1510</v>
      </c>
      <c r="H324" s="62">
        <v>0.55000000000000004</v>
      </c>
      <c r="I324">
        <v>2</v>
      </c>
      <c r="J324">
        <f t="shared" ca="1" si="34"/>
        <v>4</v>
      </c>
      <c r="K324" s="63" t="str">
        <f t="shared" ca="1" si="35"/>
        <v>9/25</v>
      </c>
      <c r="L324" t="str">
        <f t="shared" si="36"/>
        <v>CHC</v>
      </c>
      <c r="M324" t="str">
        <f>IFERROR(INDEX(Overview!$A$3:$B$32,MATCH('538'!$L324,Overview!$A$3:$A$32,0),2),"")</f>
        <v>Cubs</v>
      </c>
      <c r="N324" t="str">
        <f t="shared" si="33"/>
        <v>Jon Lester</v>
      </c>
      <c r="O324" s="62">
        <f t="shared" si="37"/>
        <v>0.55000000000000004</v>
      </c>
    </row>
    <row r="325" spans="1:15" x14ac:dyDescent="0.25">
      <c r="C325" t="s">
        <v>1033</v>
      </c>
      <c r="H325" s="62"/>
      <c r="J325">
        <f t="shared" ca="1" si="34"/>
        <v>4</v>
      </c>
      <c r="K325" s="63" t="str">
        <f t="shared" ca="1" si="35"/>
        <v>9/25</v>
      </c>
      <c r="L325" t="str">
        <f t="shared" si="36"/>
        <v/>
      </c>
      <c r="M325" t="str">
        <f>IFERROR(INDEX(Overview!$A$3:$B$32,MATCH('538'!$L325,Overview!$A$3:$A$32,0),2),"")</f>
        <v/>
      </c>
      <c r="N325" t="str">
        <f t="shared" si="33"/>
        <v/>
      </c>
      <c r="O325" s="62">
        <f t="shared" si="37"/>
        <v>0</v>
      </c>
    </row>
    <row r="326" spans="1:15" x14ac:dyDescent="0.25">
      <c r="B326" t="s">
        <v>1011</v>
      </c>
      <c r="C326" t="s">
        <v>1390</v>
      </c>
      <c r="D326">
        <v>1467</v>
      </c>
      <c r="E326" t="s">
        <v>1059</v>
      </c>
      <c r="F326">
        <v>24</v>
      </c>
      <c r="G326">
        <f>1479</f>
        <v>1479</v>
      </c>
      <c r="H326" s="62">
        <v>0.45</v>
      </c>
      <c r="I326">
        <v>4</v>
      </c>
      <c r="J326">
        <f t="shared" ca="1" si="34"/>
        <v>4</v>
      </c>
      <c r="K326" s="63" t="str">
        <f t="shared" ca="1" si="35"/>
        <v>9/25</v>
      </c>
      <c r="L326" t="str">
        <f t="shared" si="36"/>
        <v>PIT</v>
      </c>
      <c r="M326" t="str">
        <f>IFERROR(INDEX(Overview!$A$3:$B$32,MATCH('538'!$L326,Overview!$A$3:$A$32,0),2),"")</f>
        <v>Pirates</v>
      </c>
      <c r="N326" t="str">
        <f t="shared" si="33"/>
        <v>Dario Agrazal</v>
      </c>
      <c r="O326" s="62">
        <f t="shared" si="37"/>
        <v>0.45</v>
      </c>
    </row>
    <row r="327" spans="1:15" x14ac:dyDescent="0.25">
      <c r="C327" t="s">
        <v>1391</v>
      </c>
      <c r="H327" s="62"/>
      <c r="J327">
        <f t="shared" ca="1" si="34"/>
        <v>4</v>
      </c>
      <c r="K327" s="63" t="str">
        <f t="shared" ca="1" si="35"/>
        <v>9/25</v>
      </c>
      <c r="L327" t="str">
        <f t="shared" si="36"/>
        <v/>
      </c>
      <c r="M327" t="str">
        <f>IFERROR(INDEX(Overview!$A$3:$B$32,MATCH('538'!$L327,Overview!$A$3:$A$32,0),2),"")</f>
        <v/>
      </c>
      <c r="N327" t="str">
        <f t="shared" si="33"/>
        <v/>
      </c>
      <c r="O327" s="62">
        <f t="shared" si="37"/>
        <v>0</v>
      </c>
    </row>
    <row r="328" spans="1:15" x14ac:dyDescent="0.25">
      <c r="A328" t="s">
        <v>4883</v>
      </c>
      <c r="B328" t="s">
        <v>1018</v>
      </c>
      <c r="C328" t="s">
        <v>4884</v>
      </c>
      <c r="D328">
        <v>1586</v>
      </c>
      <c r="E328" t="s">
        <v>1086</v>
      </c>
      <c r="F328">
        <v>0</v>
      </c>
      <c r="G328">
        <f>1576</f>
        <v>1576</v>
      </c>
      <c r="H328" s="62">
        <v>0.47</v>
      </c>
      <c r="I328">
        <v>0</v>
      </c>
      <c r="J328">
        <f t="shared" ca="1" si="34"/>
        <v>4</v>
      </c>
      <c r="K328" s="63" t="str">
        <f t="shared" ca="1" si="35"/>
        <v>9/25</v>
      </c>
      <c r="L328" t="str">
        <f t="shared" si="36"/>
        <v>NYY</v>
      </c>
      <c r="M328" t="str">
        <f>IFERROR(INDEX(Overview!$A$3:$B$32,MATCH('538'!$L328,Overview!$A$3:$A$32,0),2),"")</f>
        <v>Yankees</v>
      </c>
      <c r="N328" t="str">
        <f t="shared" si="33"/>
        <v>Jonathan Loaisiga</v>
      </c>
      <c r="O328" s="62">
        <f t="shared" si="37"/>
        <v>0.47</v>
      </c>
    </row>
    <row r="329" spans="1:15" x14ac:dyDescent="0.25">
      <c r="C329" t="s">
        <v>4885</v>
      </c>
      <c r="H329" s="62"/>
      <c r="J329">
        <f t="shared" ca="1" si="34"/>
        <v>4</v>
      </c>
      <c r="K329" s="63" t="str">
        <f t="shared" ca="1" si="35"/>
        <v>9/25</v>
      </c>
      <c r="L329" t="str">
        <f t="shared" si="36"/>
        <v/>
      </c>
      <c r="M329" t="str">
        <f>IFERROR(INDEX(Overview!$A$3:$B$32,MATCH('538'!$L329,Overview!$A$3:$A$32,0),2),"")</f>
        <v/>
      </c>
      <c r="N329" t="str">
        <f t="shared" ref="N329:N392" si="38">IFERROR(MID(C329,SEARCH(",",C329)+2,LEN(C329))&amp;" "&amp;LEFT(C329,SEARCH(",",C329)-1),"")</f>
        <v/>
      </c>
      <c r="O329" s="62">
        <f t="shared" si="37"/>
        <v>0</v>
      </c>
    </row>
    <row r="330" spans="1:15" x14ac:dyDescent="0.25">
      <c r="B330" t="s">
        <v>982</v>
      </c>
      <c r="C330" t="s">
        <v>1064</v>
      </c>
      <c r="D330">
        <v>1545</v>
      </c>
      <c r="E330">
        <v>26</v>
      </c>
      <c r="F330">
        <v>24</v>
      </c>
      <c r="G330">
        <f>1595</f>
        <v>1595</v>
      </c>
      <c r="H330" s="62">
        <v>0.53</v>
      </c>
      <c r="I330">
        <v>4</v>
      </c>
      <c r="J330">
        <f t="shared" ref="J330:J393" ca="1" si="39">IF(K330=$K$1,IF(ISNUMBER(CODE(L330)),J329+1,J329),J329)</f>
        <v>4</v>
      </c>
      <c r="K330" s="63" t="str">
        <f t="shared" ref="K330:K393" ca="1" si="40">IF(ISBLANK(A330),K329,LEFT(A330,LEN($K$1)))</f>
        <v>9/25</v>
      </c>
      <c r="L330" t="str">
        <f t="shared" ref="L330:L393" si="41">LEFT(B330,3)</f>
        <v>TBT</v>
      </c>
      <c r="M330" t="str">
        <f>IFERROR(INDEX(Overview!$A$3:$B$32,MATCH('538'!$L330,Overview!$A$3:$A$32,0),2),"")</f>
        <v/>
      </c>
      <c r="N330" t="str">
        <f t="shared" si="38"/>
        <v>Charlie Morton</v>
      </c>
      <c r="O330" s="62">
        <f t="shared" ref="O330:O393" si="42">H330</f>
        <v>0.53</v>
      </c>
    </row>
    <row r="331" spans="1:15" x14ac:dyDescent="0.25">
      <c r="C331" t="s">
        <v>1065</v>
      </c>
      <c r="H331" s="62"/>
      <c r="J331">
        <f t="shared" ca="1" si="39"/>
        <v>4</v>
      </c>
      <c r="K331" s="63" t="str">
        <f t="shared" ca="1" si="40"/>
        <v>9/25</v>
      </c>
      <c r="L331" t="str">
        <f t="shared" si="41"/>
        <v/>
      </c>
      <c r="M331" t="str">
        <f>IFERROR(INDEX(Overview!$A$3:$B$32,MATCH('538'!$L331,Overview!$A$3:$A$32,0),2),"")</f>
        <v/>
      </c>
      <c r="N331" t="str">
        <f t="shared" si="38"/>
        <v/>
      </c>
      <c r="O331" s="62">
        <f t="shared" si="42"/>
        <v>0</v>
      </c>
    </row>
    <row r="332" spans="1:15" x14ac:dyDescent="0.25">
      <c r="A332" t="s">
        <v>4886</v>
      </c>
      <c r="B332" t="s">
        <v>975</v>
      </c>
      <c r="C332" t="s">
        <v>4377</v>
      </c>
      <c r="D332">
        <v>1542</v>
      </c>
      <c r="E332" t="s">
        <v>1063</v>
      </c>
      <c r="F332">
        <v>0</v>
      </c>
      <c r="G332">
        <f>1537</f>
        <v>1537</v>
      </c>
      <c r="H332" s="62">
        <v>0.65</v>
      </c>
      <c r="I332">
        <v>5</v>
      </c>
      <c r="J332">
        <f t="shared" ca="1" si="39"/>
        <v>4</v>
      </c>
      <c r="K332" s="63" t="str">
        <f t="shared" ca="1" si="40"/>
        <v>9/25</v>
      </c>
      <c r="L332" t="str">
        <f t="shared" si="41"/>
        <v>MIN</v>
      </c>
      <c r="M332" t="str">
        <f>IFERROR(INDEX(Overview!$A$3:$B$32,MATCH('538'!$L332,Overview!$A$3:$A$32,0),2),"")</f>
        <v>Twins</v>
      </c>
      <c r="N332" t="str">
        <f t="shared" si="38"/>
        <v>Randy Dobnak</v>
      </c>
      <c r="O332" s="62">
        <f t="shared" si="42"/>
        <v>0.65</v>
      </c>
    </row>
    <row r="333" spans="1:15" x14ac:dyDescent="0.25">
      <c r="C333" t="s">
        <v>4378</v>
      </c>
      <c r="H333" s="62"/>
      <c r="J333">
        <f t="shared" ca="1" si="39"/>
        <v>4</v>
      </c>
      <c r="K333" s="63" t="str">
        <f t="shared" ca="1" si="40"/>
        <v>9/25</v>
      </c>
      <c r="L333" t="str">
        <f t="shared" si="41"/>
        <v/>
      </c>
      <c r="M333" t="str">
        <f>IFERROR(INDEX(Overview!$A$3:$B$32,MATCH('538'!$L333,Overview!$A$3:$A$32,0),2),"")</f>
        <v/>
      </c>
      <c r="N333" t="str">
        <f t="shared" si="38"/>
        <v/>
      </c>
      <c r="O333" s="62">
        <f t="shared" si="42"/>
        <v>0</v>
      </c>
    </row>
    <row r="334" spans="1:15" x14ac:dyDescent="0.25">
      <c r="B334" t="s">
        <v>991</v>
      </c>
      <c r="C334" t="s">
        <v>1084</v>
      </c>
      <c r="D334">
        <v>1388</v>
      </c>
      <c r="E334">
        <v>15</v>
      </c>
      <c r="F334">
        <v>24</v>
      </c>
      <c r="G334">
        <f>1427</f>
        <v>1427</v>
      </c>
      <c r="H334" s="62">
        <v>0.35</v>
      </c>
      <c r="I334">
        <v>1</v>
      </c>
      <c r="J334">
        <f t="shared" ca="1" si="39"/>
        <v>4</v>
      </c>
      <c r="K334" s="63" t="str">
        <f t="shared" ca="1" si="40"/>
        <v>9/25</v>
      </c>
      <c r="L334" t="str">
        <f t="shared" si="41"/>
        <v>DET</v>
      </c>
      <c r="M334" t="str">
        <f>IFERROR(INDEX(Overview!$A$3:$B$32,MATCH('538'!$L334,Overview!$A$3:$A$32,0),2),"")</f>
        <v>Tigers</v>
      </c>
      <c r="N334" t="str">
        <f t="shared" si="38"/>
        <v>Daniel Norris</v>
      </c>
      <c r="O334" s="62">
        <f t="shared" si="42"/>
        <v>0.35</v>
      </c>
    </row>
    <row r="335" spans="1:15" x14ac:dyDescent="0.25">
      <c r="C335" t="s">
        <v>1085</v>
      </c>
      <c r="H335" s="62"/>
      <c r="J335">
        <f t="shared" ca="1" si="39"/>
        <v>4</v>
      </c>
      <c r="K335" s="63" t="str">
        <f t="shared" ca="1" si="40"/>
        <v>9/25</v>
      </c>
      <c r="L335" t="str">
        <f t="shared" si="41"/>
        <v/>
      </c>
      <c r="M335" t="str">
        <f>IFERROR(INDEX(Overview!$A$3:$B$32,MATCH('538'!$L335,Overview!$A$3:$A$32,0),2),"")</f>
        <v/>
      </c>
      <c r="N335" t="str">
        <f t="shared" si="38"/>
        <v/>
      </c>
      <c r="O335" s="62">
        <f t="shared" si="42"/>
        <v>0</v>
      </c>
    </row>
    <row r="336" spans="1:15" x14ac:dyDescent="0.25">
      <c r="A336" t="s">
        <v>4886</v>
      </c>
      <c r="B336" t="s">
        <v>969</v>
      </c>
      <c r="C336" t="s">
        <v>1012</v>
      </c>
      <c r="D336">
        <v>1530</v>
      </c>
      <c r="E336" t="s">
        <v>1015</v>
      </c>
      <c r="F336">
        <v>0</v>
      </c>
      <c r="G336">
        <f>1521</f>
        <v>1521</v>
      </c>
      <c r="H336" s="62">
        <v>0.54</v>
      </c>
      <c r="I336">
        <v>9</v>
      </c>
      <c r="J336">
        <f t="shared" ca="1" si="39"/>
        <v>4</v>
      </c>
      <c r="K336" s="63" t="str">
        <f t="shared" ca="1" si="40"/>
        <v>9/25</v>
      </c>
      <c r="L336" t="str">
        <f t="shared" si="41"/>
        <v>MIL</v>
      </c>
      <c r="M336" t="str">
        <f>IFERROR(INDEX(Overview!$A$3:$B$32,MATCH('538'!$L336,Overview!$A$3:$A$32,0),2),"")</f>
        <v>Brewers</v>
      </c>
      <c r="N336" t="str">
        <f t="shared" si="38"/>
        <v>Jordan Lyles</v>
      </c>
      <c r="O336" s="62">
        <f t="shared" si="42"/>
        <v>0.54</v>
      </c>
    </row>
    <row r="337" spans="1:15" x14ac:dyDescent="0.25">
      <c r="C337" t="s">
        <v>1013</v>
      </c>
      <c r="H337" s="62"/>
      <c r="J337">
        <f t="shared" ca="1" si="39"/>
        <v>4</v>
      </c>
      <c r="K337" s="63" t="str">
        <f t="shared" ca="1" si="40"/>
        <v>9/25</v>
      </c>
      <c r="L337" t="str">
        <f t="shared" si="41"/>
        <v/>
      </c>
      <c r="M337" t="str">
        <f>IFERROR(INDEX(Overview!$A$3:$B$32,MATCH('538'!$L337,Overview!$A$3:$A$32,0),2),"")</f>
        <v/>
      </c>
      <c r="N337" t="str">
        <f t="shared" si="38"/>
        <v/>
      </c>
      <c r="O337" s="62">
        <f t="shared" si="42"/>
        <v>0</v>
      </c>
    </row>
    <row r="338" spans="1:15" x14ac:dyDescent="0.25">
      <c r="B338" t="s">
        <v>958</v>
      </c>
      <c r="C338" t="s">
        <v>4369</v>
      </c>
      <c r="D338">
        <v>1495</v>
      </c>
      <c r="E338" t="s">
        <v>4359</v>
      </c>
      <c r="F338">
        <v>24</v>
      </c>
      <c r="G338">
        <f>1495</f>
        <v>1495</v>
      </c>
      <c r="H338" s="62">
        <v>0.46</v>
      </c>
      <c r="I338">
        <v>2</v>
      </c>
      <c r="J338">
        <f t="shared" ca="1" si="39"/>
        <v>4</v>
      </c>
      <c r="K338" s="63" t="str">
        <f t="shared" ca="1" si="40"/>
        <v>9/25</v>
      </c>
      <c r="L338" t="str">
        <f t="shared" si="41"/>
        <v>CIN</v>
      </c>
      <c r="M338" t="str">
        <f>IFERROR(INDEX(Overview!$A$3:$B$32,MATCH('538'!$L338,Overview!$A$3:$A$32,0),2),"")</f>
        <v>Reds</v>
      </c>
      <c r="N338" t="str">
        <f t="shared" si="38"/>
        <v>Tyler Mahle</v>
      </c>
      <c r="O338" s="62">
        <f t="shared" si="42"/>
        <v>0.46</v>
      </c>
    </row>
    <row r="339" spans="1:15" x14ac:dyDescent="0.25">
      <c r="C339" t="s">
        <v>4370</v>
      </c>
      <c r="H339" s="62"/>
      <c r="J339">
        <f t="shared" ca="1" si="39"/>
        <v>4</v>
      </c>
      <c r="K339" s="63" t="str">
        <f t="shared" ca="1" si="40"/>
        <v>9/25</v>
      </c>
      <c r="L339" t="str">
        <f t="shared" si="41"/>
        <v/>
      </c>
      <c r="M339" t="str">
        <f>IFERROR(INDEX(Overview!$A$3:$B$32,MATCH('538'!$L339,Overview!$A$3:$A$32,0),2),"")</f>
        <v/>
      </c>
      <c r="N339" t="str">
        <f t="shared" si="38"/>
        <v/>
      </c>
      <c r="O339" s="62">
        <f t="shared" si="42"/>
        <v>0</v>
      </c>
    </row>
    <row r="340" spans="1:15" x14ac:dyDescent="0.25">
      <c r="A340" t="s">
        <v>4887</v>
      </c>
      <c r="B340" t="s">
        <v>954</v>
      </c>
      <c r="C340" t="s">
        <v>3675</v>
      </c>
      <c r="D340">
        <v>1549</v>
      </c>
      <c r="E340" t="s">
        <v>1473</v>
      </c>
      <c r="F340">
        <v>0</v>
      </c>
      <c r="G340">
        <f>1526</f>
        <v>1526</v>
      </c>
      <c r="H340" s="62">
        <v>0.48</v>
      </c>
      <c r="I340">
        <v>7</v>
      </c>
      <c r="J340">
        <f t="shared" ca="1" si="39"/>
        <v>4</v>
      </c>
      <c r="K340" s="63" t="str">
        <f t="shared" ca="1" si="40"/>
        <v>9/25</v>
      </c>
      <c r="L340" t="str">
        <f t="shared" si="41"/>
        <v>STL</v>
      </c>
      <c r="M340" t="str">
        <f>IFERROR(INDEX(Overview!$A$3:$B$32,MATCH('538'!$L340,Overview!$A$3:$A$32,0),2),"")</f>
        <v>Cardinals</v>
      </c>
      <c r="N340" t="str">
        <f t="shared" si="38"/>
        <v>Michael Wacha</v>
      </c>
      <c r="O340" s="62">
        <f t="shared" si="42"/>
        <v>0.48</v>
      </c>
    </row>
    <row r="341" spans="1:15" x14ac:dyDescent="0.25">
      <c r="C341" t="s">
        <v>3676</v>
      </c>
      <c r="H341" s="62"/>
      <c r="J341">
        <f t="shared" ca="1" si="39"/>
        <v>4</v>
      </c>
      <c r="K341" s="63" t="str">
        <f t="shared" ca="1" si="40"/>
        <v>9/25</v>
      </c>
      <c r="L341" t="str">
        <f t="shared" si="41"/>
        <v/>
      </c>
      <c r="M341" t="str">
        <f>IFERROR(INDEX(Overview!$A$3:$B$32,MATCH('538'!$L341,Overview!$A$3:$A$32,0),2),"")</f>
        <v/>
      </c>
      <c r="N341" t="str">
        <f t="shared" si="38"/>
        <v/>
      </c>
      <c r="O341" s="62">
        <f t="shared" si="42"/>
        <v>0</v>
      </c>
    </row>
    <row r="342" spans="1:15" x14ac:dyDescent="0.25">
      <c r="B342" t="s">
        <v>1019</v>
      </c>
      <c r="C342" t="s">
        <v>1020</v>
      </c>
      <c r="D342">
        <v>1513</v>
      </c>
      <c r="E342">
        <v>1</v>
      </c>
      <c r="F342">
        <v>24</v>
      </c>
      <c r="G342">
        <f>1538</f>
        <v>1538</v>
      </c>
      <c r="H342" s="62">
        <v>0.52</v>
      </c>
      <c r="I342">
        <v>9</v>
      </c>
      <c r="J342">
        <f t="shared" ca="1" si="39"/>
        <v>4</v>
      </c>
      <c r="K342" s="63" t="str">
        <f t="shared" ca="1" si="40"/>
        <v>9/25</v>
      </c>
      <c r="L342" t="str">
        <f t="shared" si="41"/>
        <v>ARI</v>
      </c>
      <c r="M342" t="str">
        <f>IFERROR(INDEX(Overview!$A$3:$B$32,MATCH('538'!$L342,Overview!$A$3:$A$32,0),2),"")</f>
        <v>Diamondbacks</v>
      </c>
      <c r="N342" t="str">
        <f t="shared" si="38"/>
        <v>Merrill Kelly</v>
      </c>
      <c r="O342" s="62">
        <f t="shared" si="42"/>
        <v>0.52</v>
      </c>
    </row>
    <row r="343" spans="1:15" x14ac:dyDescent="0.25">
      <c r="C343" t="s">
        <v>1021</v>
      </c>
      <c r="H343" s="62"/>
      <c r="J343">
        <f t="shared" ca="1" si="39"/>
        <v>4</v>
      </c>
      <c r="K343" s="63" t="str">
        <f t="shared" ca="1" si="40"/>
        <v>9/25</v>
      </c>
      <c r="L343" t="str">
        <f t="shared" si="41"/>
        <v/>
      </c>
      <c r="M343" t="str">
        <f>IFERROR(INDEX(Overview!$A$3:$B$32,MATCH('538'!$L343,Overview!$A$3:$A$32,0),2),"")</f>
        <v/>
      </c>
      <c r="N343" t="str">
        <f t="shared" si="38"/>
        <v/>
      </c>
      <c r="O343" s="62">
        <f t="shared" si="42"/>
        <v>0</v>
      </c>
    </row>
    <row r="344" spans="1:15" x14ac:dyDescent="0.25">
      <c r="A344" t="s">
        <v>4888</v>
      </c>
      <c r="B344" t="s">
        <v>972</v>
      </c>
      <c r="C344" t="s">
        <v>1008</v>
      </c>
      <c r="D344">
        <v>1591</v>
      </c>
      <c r="E344">
        <v>45</v>
      </c>
      <c r="F344" t="s">
        <v>949</v>
      </c>
      <c r="G344">
        <f>1634</f>
        <v>1634</v>
      </c>
      <c r="H344" s="62">
        <v>0.7</v>
      </c>
      <c r="I344">
        <v>3</v>
      </c>
      <c r="J344">
        <f t="shared" ca="1" si="39"/>
        <v>4</v>
      </c>
      <c r="K344" s="63" t="str">
        <f t="shared" ca="1" si="40"/>
        <v>9/24</v>
      </c>
      <c r="L344" t="str">
        <f t="shared" si="41"/>
        <v>HOU</v>
      </c>
      <c r="M344" t="str">
        <f>IFERROR(INDEX(Overview!$A$3:$B$32,MATCH('538'!$L344,Overview!$A$3:$A$32,0),2),"")</f>
        <v>Astros</v>
      </c>
      <c r="N344" t="str">
        <f t="shared" si="38"/>
        <v>Gerrit Cole</v>
      </c>
      <c r="O344" s="62">
        <f t="shared" si="42"/>
        <v>0.7</v>
      </c>
    </row>
    <row r="345" spans="1:15" x14ac:dyDescent="0.25">
      <c r="C345" t="s">
        <v>1009</v>
      </c>
      <c r="H345" s="62"/>
      <c r="J345">
        <f t="shared" ca="1" si="39"/>
        <v>4</v>
      </c>
      <c r="K345" s="63" t="str">
        <f t="shared" ca="1" si="40"/>
        <v>9/24</v>
      </c>
      <c r="L345" t="str">
        <f t="shared" si="41"/>
        <v/>
      </c>
      <c r="M345" t="str">
        <f>IFERROR(INDEX(Overview!$A$3:$B$32,MATCH('538'!$L345,Overview!$A$3:$A$32,0),2),"")</f>
        <v/>
      </c>
      <c r="N345" t="str">
        <f t="shared" si="38"/>
        <v/>
      </c>
      <c r="O345" s="62">
        <f t="shared" si="42"/>
        <v>0</v>
      </c>
    </row>
    <row r="346" spans="1:15" x14ac:dyDescent="0.25">
      <c r="B346" t="s">
        <v>1027</v>
      </c>
      <c r="C346" t="s">
        <v>4463</v>
      </c>
      <c r="D346">
        <v>1466</v>
      </c>
      <c r="E346">
        <v>2</v>
      </c>
      <c r="F346">
        <v>22</v>
      </c>
      <c r="G346">
        <f>1490</f>
        <v>1490</v>
      </c>
      <c r="H346" s="62">
        <v>0.3</v>
      </c>
      <c r="I346">
        <v>0</v>
      </c>
      <c r="J346">
        <f t="shared" ca="1" si="39"/>
        <v>4</v>
      </c>
      <c r="K346" s="63" t="str">
        <f t="shared" ca="1" si="40"/>
        <v>9/24</v>
      </c>
      <c r="L346" t="str">
        <f t="shared" si="41"/>
        <v>SEA</v>
      </c>
      <c r="M346" t="str">
        <f>IFERROR(INDEX(Overview!$A$3:$B$32,MATCH('538'!$L346,Overview!$A$3:$A$32,0),2),"")</f>
        <v>Mariners</v>
      </c>
      <c r="N346" t="str">
        <f t="shared" si="38"/>
        <v>Justin Dunn</v>
      </c>
      <c r="O346" s="62">
        <f t="shared" si="42"/>
        <v>0.3</v>
      </c>
    </row>
    <row r="347" spans="1:15" x14ac:dyDescent="0.25">
      <c r="C347" t="s">
        <v>4464</v>
      </c>
      <c r="H347" s="62"/>
      <c r="J347">
        <f t="shared" ca="1" si="39"/>
        <v>4</v>
      </c>
      <c r="K347" s="63" t="str">
        <f t="shared" ca="1" si="40"/>
        <v>9/24</v>
      </c>
      <c r="L347" t="str">
        <f t="shared" si="41"/>
        <v/>
      </c>
      <c r="M347" t="str">
        <f>IFERROR(INDEX(Overview!$A$3:$B$32,MATCH('538'!$L347,Overview!$A$3:$A$32,0),2),"")</f>
        <v/>
      </c>
      <c r="N347" t="str">
        <f t="shared" si="38"/>
        <v/>
      </c>
      <c r="O347" s="62">
        <f t="shared" si="42"/>
        <v>0</v>
      </c>
    </row>
    <row r="348" spans="1:15" x14ac:dyDescent="0.25">
      <c r="A348" t="s">
        <v>4888</v>
      </c>
      <c r="B348" t="s">
        <v>986</v>
      </c>
      <c r="C348" t="s">
        <v>4367</v>
      </c>
      <c r="D348">
        <v>1588</v>
      </c>
      <c r="E348" t="s">
        <v>964</v>
      </c>
      <c r="F348">
        <v>1</v>
      </c>
      <c r="G348">
        <f>1588</f>
        <v>1588</v>
      </c>
      <c r="H348" s="62">
        <v>0.64</v>
      </c>
      <c r="I348">
        <v>6</v>
      </c>
      <c r="J348">
        <f t="shared" ca="1" si="39"/>
        <v>4</v>
      </c>
      <c r="K348" s="63" t="str">
        <f t="shared" ca="1" si="40"/>
        <v>9/24</v>
      </c>
      <c r="L348" t="str">
        <f t="shared" si="41"/>
        <v>LAD</v>
      </c>
      <c r="M348" t="str">
        <f>IFERROR(INDEX(Overview!$A$3:$B$32,MATCH('538'!$L348,Overview!$A$3:$A$32,0),2),"")</f>
        <v>Dodgers</v>
      </c>
      <c r="N348" t="str">
        <f t="shared" si="38"/>
        <v>Rich Hill</v>
      </c>
      <c r="O348" s="62">
        <f t="shared" si="42"/>
        <v>0.64</v>
      </c>
    </row>
    <row r="349" spans="1:15" x14ac:dyDescent="0.25">
      <c r="C349" t="s">
        <v>4368</v>
      </c>
      <c r="H349" s="62"/>
      <c r="J349">
        <f t="shared" ca="1" si="39"/>
        <v>4</v>
      </c>
      <c r="K349" s="63" t="str">
        <f t="shared" ca="1" si="40"/>
        <v>9/24</v>
      </c>
      <c r="L349" t="str">
        <f t="shared" si="41"/>
        <v/>
      </c>
      <c r="M349" t="str">
        <f>IFERROR(INDEX(Overview!$A$3:$B$32,MATCH('538'!$L349,Overview!$A$3:$A$32,0),2),"")</f>
        <v/>
      </c>
      <c r="N349" t="str">
        <f t="shared" si="38"/>
        <v/>
      </c>
      <c r="O349" s="62">
        <f t="shared" si="42"/>
        <v>0</v>
      </c>
    </row>
    <row r="350" spans="1:15" x14ac:dyDescent="0.25">
      <c r="B350" t="s">
        <v>963</v>
      </c>
      <c r="C350" t="s">
        <v>4362</v>
      </c>
      <c r="D350">
        <v>1466</v>
      </c>
      <c r="E350" t="s">
        <v>1038</v>
      </c>
      <c r="F350">
        <v>26</v>
      </c>
      <c r="G350">
        <f>1488</f>
        <v>1488</v>
      </c>
      <c r="H350" s="62">
        <v>0.36</v>
      </c>
      <c r="I350">
        <v>3</v>
      </c>
      <c r="J350">
        <f t="shared" ca="1" si="39"/>
        <v>4</v>
      </c>
      <c r="K350" s="63" t="str">
        <f t="shared" ca="1" si="40"/>
        <v>9/24</v>
      </c>
      <c r="L350" t="str">
        <f t="shared" si="41"/>
        <v>SDS</v>
      </c>
      <c r="M350" t="str">
        <f>IFERROR(INDEX(Overview!$A$3:$B$32,MATCH('538'!$L350,Overview!$A$3:$A$32,0),2),"")</f>
        <v/>
      </c>
      <c r="N350" t="str">
        <f t="shared" si="38"/>
        <v>Ronald Bolanos</v>
      </c>
      <c r="O350" s="62">
        <f t="shared" si="42"/>
        <v>0.36</v>
      </c>
    </row>
    <row r="351" spans="1:15" x14ac:dyDescent="0.25">
      <c r="C351" t="s">
        <v>4363</v>
      </c>
      <c r="H351" s="62"/>
      <c r="J351">
        <f t="shared" ca="1" si="39"/>
        <v>4</v>
      </c>
      <c r="K351" s="63" t="str">
        <f t="shared" ca="1" si="40"/>
        <v>9/24</v>
      </c>
      <c r="L351" t="str">
        <f t="shared" si="41"/>
        <v/>
      </c>
      <c r="M351" t="str">
        <f>IFERROR(INDEX(Overview!$A$3:$B$32,MATCH('538'!$L351,Overview!$A$3:$A$32,0),2),"")</f>
        <v/>
      </c>
      <c r="N351" t="str">
        <f t="shared" si="38"/>
        <v/>
      </c>
      <c r="O351" s="62">
        <f t="shared" si="42"/>
        <v>0</v>
      </c>
    </row>
    <row r="352" spans="1:15" x14ac:dyDescent="0.25">
      <c r="A352" t="s">
        <v>4889</v>
      </c>
      <c r="B352" t="s">
        <v>948</v>
      </c>
      <c r="C352" t="s">
        <v>1081</v>
      </c>
      <c r="D352">
        <v>1561</v>
      </c>
      <c r="E352">
        <v>2</v>
      </c>
      <c r="F352">
        <v>0</v>
      </c>
      <c r="G352">
        <f>1563</f>
        <v>1563</v>
      </c>
      <c r="H352" s="62">
        <v>0.61</v>
      </c>
      <c r="I352">
        <v>2</v>
      </c>
      <c r="J352">
        <f t="shared" ca="1" si="39"/>
        <v>4</v>
      </c>
      <c r="K352" s="63" t="str">
        <f t="shared" ca="1" si="40"/>
        <v>9/24</v>
      </c>
      <c r="L352" t="str">
        <f t="shared" si="41"/>
        <v>OAK</v>
      </c>
      <c r="M352" t="str">
        <f>IFERROR(INDEX(Overview!$A$3:$B$32,MATCH('538'!$L352,Overview!$A$3:$A$32,0),2),"")</f>
        <v>Athletics</v>
      </c>
      <c r="N352" t="str">
        <f t="shared" si="38"/>
        <v>Homer Bailey</v>
      </c>
      <c r="O352" s="62">
        <f t="shared" si="42"/>
        <v>0.61</v>
      </c>
    </row>
    <row r="353" spans="1:15" x14ac:dyDescent="0.25">
      <c r="C353" t="s">
        <v>1082</v>
      </c>
      <c r="H353" s="62"/>
      <c r="J353">
        <f t="shared" ca="1" si="39"/>
        <v>4</v>
      </c>
      <c r="K353" s="63" t="str">
        <f t="shared" ca="1" si="40"/>
        <v>9/24</v>
      </c>
      <c r="L353" t="str">
        <f t="shared" si="41"/>
        <v/>
      </c>
      <c r="M353" t="str">
        <f>IFERROR(INDEX(Overview!$A$3:$B$32,MATCH('538'!$L353,Overview!$A$3:$A$32,0),2),"")</f>
        <v/>
      </c>
      <c r="N353" t="str">
        <f t="shared" si="38"/>
        <v/>
      </c>
      <c r="O353" s="62">
        <f t="shared" si="42"/>
        <v>0</v>
      </c>
    </row>
    <row r="354" spans="1:15" x14ac:dyDescent="0.25">
      <c r="B354" t="s">
        <v>1025</v>
      </c>
      <c r="C354" t="s">
        <v>3448</v>
      </c>
      <c r="D354">
        <v>1476</v>
      </c>
      <c r="E354" t="s">
        <v>995</v>
      </c>
      <c r="F354">
        <v>23</v>
      </c>
      <c r="G354">
        <f>1488</f>
        <v>1488</v>
      </c>
      <c r="H354" s="62">
        <v>0.39</v>
      </c>
      <c r="I354">
        <v>3</v>
      </c>
      <c r="J354">
        <f t="shared" ca="1" si="39"/>
        <v>4</v>
      </c>
      <c r="K354" s="63" t="str">
        <f t="shared" ca="1" si="40"/>
        <v>9/24</v>
      </c>
      <c r="L354" t="str">
        <f t="shared" si="41"/>
        <v>LAA</v>
      </c>
      <c r="M354" t="str">
        <f>IFERROR(INDEX(Overview!$A$3:$B$32,MATCH('538'!$L354,Overview!$A$3:$A$32,0),2),"")</f>
        <v>Angels</v>
      </c>
      <c r="N354" t="str">
        <f t="shared" si="38"/>
        <v>Dillon Peters</v>
      </c>
      <c r="O354" s="62">
        <f t="shared" si="42"/>
        <v>0.39</v>
      </c>
    </row>
    <row r="355" spans="1:15" x14ac:dyDescent="0.25">
      <c r="C355" t="s">
        <v>3449</v>
      </c>
      <c r="H355" s="62"/>
      <c r="J355">
        <f t="shared" ca="1" si="39"/>
        <v>4</v>
      </c>
      <c r="K355" s="63" t="str">
        <f t="shared" ca="1" si="40"/>
        <v>9/24</v>
      </c>
      <c r="L355" t="str">
        <f t="shared" si="41"/>
        <v/>
      </c>
      <c r="M355" t="str">
        <f>IFERROR(INDEX(Overview!$A$3:$B$32,MATCH('538'!$L355,Overview!$A$3:$A$32,0),2),"")</f>
        <v/>
      </c>
      <c r="N355" t="str">
        <f t="shared" si="38"/>
        <v/>
      </c>
      <c r="O355" s="62">
        <f t="shared" si="42"/>
        <v>0</v>
      </c>
    </row>
    <row r="356" spans="1:15" x14ac:dyDescent="0.25">
      <c r="A356" t="s">
        <v>4890</v>
      </c>
      <c r="B356" t="s">
        <v>968</v>
      </c>
      <c r="C356" t="s">
        <v>4371</v>
      </c>
      <c r="D356">
        <v>1479</v>
      </c>
      <c r="E356" t="s">
        <v>1003</v>
      </c>
      <c r="F356">
        <v>0</v>
      </c>
      <c r="G356">
        <f>1471</f>
        <v>1471</v>
      </c>
      <c r="H356" s="62">
        <v>0.42</v>
      </c>
      <c r="I356">
        <v>8</v>
      </c>
      <c r="J356">
        <f t="shared" ca="1" si="39"/>
        <v>4</v>
      </c>
      <c r="K356" s="63" t="str">
        <f t="shared" ca="1" si="40"/>
        <v>9/24</v>
      </c>
      <c r="L356" t="str">
        <f t="shared" si="41"/>
        <v>COL</v>
      </c>
      <c r="M356" t="str">
        <f>IFERROR(INDEX(Overview!$A$3:$B$32,MATCH('538'!$L356,Overview!$A$3:$A$32,0),2),"")</f>
        <v>Rockies</v>
      </c>
      <c r="N356" t="str">
        <f t="shared" si="38"/>
        <v>Jeff Hoffman</v>
      </c>
      <c r="O356" s="62">
        <f t="shared" si="42"/>
        <v>0.42</v>
      </c>
    </row>
    <row r="357" spans="1:15" x14ac:dyDescent="0.25">
      <c r="C357" t="s">
        <v>4372</v>
      </c>
      <c r="H357" s="62"/>
      <c r="J357">
        <f t="shared" ca="1" si="39"/>
        <v>4</v>
      </c>
      <c r="K357" s="63" t="str">
        <f t="shared" ca="1" si="40"/>
        <v>9/24</v>
      </c>
      <c r="L357" t="str">
        <f t="shared" si="41"/>
        <v/>
      </c>
      <c r="M357" t="str">
        <f>IFERROR(INDEX(Overview!$A$3:$B$32,MATCH('538'!$L357,Overview!$A$3:$A$32,0),2),"")</f>
        <v/>
      </c>
      <c r="N357" t="str">
        <f t="shared" si="38"/>
        <v/>
      </c>
      <c r="O357" s="62">
        <f t="shared" si="42"/>
        <v>0</v>
      </c>
    </row>
    <row r="358" spans="1:15" x14ac:dyDescent="0.25">
      <c r="B358" t="s">
        <v>988</v>
      </c>
      <c r="C358" t="s">
        <v>1053</v>
      </c>
      <c r="D358">
        <v>1477</v>
      </c>
      <c r="E358">
        <v>25</v>
      </c>
      <c r="F358">
        <v>22</v>
      </c>
      <c r="G358">
        <f>1524</f>
        <v>1524</v>
      </c>
      <c r="H358" s="62">
        <v>0.57999999999999996</v>
      </c>
      <c r="I358">
        <v>5</v>
      </c>
      <c r="J358">
        <f t="shared" ca="1" si="39"/>
        <v>4</v>
      </c>
      <c r="K358" s="63" t="str">
        <f t="shared" ca="1" si="40"/>
        <v>9/24</v>
      </c>
      <c r="L358" t="str">
        <f t="shared" si="41"/>
        <v>SFS</v>
      </c>
      <c r="M358" t="str">
        <f>IFERROR(INDEX(Overview!$A$3:$B$32,MATCH('538'!$L358,Overview!$A$3:$A$32,0),2),"")</f>
        <v/>
      </c>
      <c r="N358" t="str">
        <f t="shared" si="38"/>
        <v>Madison Bumgarner</v>
      </c>
      <c r="O358" s="62">
        <f t="shared" si="42"/>
        <v>0.57999999999999996</v>
      </c>
    </row>
    <row r="359" spans="1:15" x14ac:dyDescent="0.25">
      <c r="C359" t="s">
        <v>1054</v>
      </c>
      <c r="H359" s="62"/>
      <c r="J359">
        <f t="shared" ca="1" si="39"/>
        <v>4</v>
      </c>
      <c r="K359" s="63" t="str">
        <f t="shared" ca="1" si="40"/>
        <v>9/24</v>
      </c>
      <c r="L359" t="str">
        <f t="shared" si="41"/>
        <v/>
      </c>
      <c r="M359" t="str">
        <f>IFERROR(INDEX(Overview!$A$3:$B$32,MATCH('538'!$L359,Overview!$A$3:$A$32,0),2),"")</f>
        <v/>
      </c>
      <c r="N359" t="str">
        <f t="shared" si="38"/>
        <v/>
      </c>
      <c r="O359" s="62">
        <f t="shared" si="42"/>
        <v>0</v>
      </c>
    </row>
    <row r="360" spans="1:15" x14ac:dyDescent="0.25">
      <c r="A360" t="s">
        <v>4891</v>
      </c>
      <c r="B360" t="s">
        <v>954</v>
      </c>
      <c r="C360" t="s">
        <v>1071</v>
      </c>
      <c r="D360">
        <v>1551</v>
      </c>
      <c r="E360">
        <v>39</v>
      </c>
      <c r="F360">
        <v>0</v>
      </c>
      <c r="G360">
        <f>1590</f>
        <v>1590</v>
      </c>
      <c r="H360" s="62">
        <v>0.6</v>
      </c>
      <c r="I360">
        <v>2</v>
      </c>
      <c r="J360">
        <f t="shared" ca="1" si="39"/>
        <v>4</v>
      </c>
      <c r="K360" s="63" t="str">
        <f t="shared" ca="1" si="40"/>
        <v>9/24</v>
      </c>
      <c r="L360" t="str">
        <f t="shared" si="41"/>
        <v>STL</v>
      </c>
      <c r="M360" t="str">
        <f>IFERROR(INDEX(Overview!$A$3:$B$32,MATCH('538'!$L360,Overview!$A$3:$A$32,0),2),"")</f>
        <v>Cardinals</v>
      </c>
      <c r="N360" t="str">
        <f t="shared" si="38"/>
        <v>Jack Flaherty</v>
      </c>
      <c r="O360" s="62">
        <f t="shared" si="42"/>
        <v>0.6</v>
      </c>
    </row>
    <row r="361" spans="1:15" x14ac:dyDescent="0.25">
      <c r="C361" t="s">
        <v>1072</v>
      </c>
      <c r="H361" s="62"/>
      <c r="J361">
        <f t="shared" ca="1" si="39"/>
        <v>4</v>
      </c>
      <c r="K361" s="63" t="str">
        <f t="shared" ca="1" si="40"/>
        <v>9/24</v>
      </c>
      <c r="L361" t="str">
        <f t="shared" si="41"/>
        <v/>
      </c>
      <c r="M361" t="str">
        <f>IFERROR(INDEX(Overview!$A$3:$B$32,MATCH('538'!$L361,Overview!$A$3:$A$32,0),2),"")</f>
        <v/>
      </c>
      <c r="N361" t="str">
        <f t="shared" si="38"/>
        <v/>
      </c>
      <c r="O361" s="62">
        <f t="shared" si="42"/>
        <v>0</v>
      </c>
    </row>
    <row r="362" spans="1:15" x14ac:dyDescent="0.25">
      <c r="B362" t="s">
        <v>1019</v>
      </c>
      <c r="C362" t="s">
        <v>1101</v>
      </c>
      <c r="D362">
        <v>1512</v>
      </c>
      <c r="E362" t="s">
        <v>1083</v>
      </c>
      <c r="F362">
        <v>24</v>
      </c>
      <c r="G362">
        <f>1518</f>
        <v>1518</v>
      </c>
      <c r="H362" s="62">
        <v>0.4</v>
      </c>
      <c r="I362">
        <v>3</v>
      </c>
      <c r="J362">
        <f t="shared" ca="1" si="39"/>
        <v>4</v>
      </c>
      <c r="K362" s="63" t="str">
        <f t="shared" ca="1" si="40"/>
        <v>9/24</v>
      </c>
      <c r="L362" t="str">
        <f t="shared" si="41"/>
        <v>ARI</v>
      </c>
      <c r="M362" t="str">
        <f>IFERROR(INDEX(Overview!$A$3:$B$32,MATCH('538'!$L362,Overview!$A$3:$A$32,0),2),"")</f>
        <v>Diamondbacks</v>
      </c>
      <c r="N362" t="str">
        <f t="shared" si="38"/>
        <v>Mike Leake</v>
      </c>
      <c r="O362" s="62">
        <f t="shared" si="42"/>
        <v>0.4</v>
      </c>
    </row>
    <row r="363" spans="1:15" x14ac:dyDescent="0.25">
      <c r="C363" t="s">
        <v>1102</v>
      </c>
      <c r="H363" s="62"/>
      <c r="J363">
        <f t="shared" ca="1" si="39"/>
        <v>4</v>
      </c>
      <c r="K363" s="63" t="str">
        <f t="shared" ca="1" si="40"/>
        <v>9/24</v>
      </c>
      <c r="L363" t="str">
        <f t="shared" si="41"/>
        <v/>
      </c>
      <c r="M363" t="str">
        <f>IFERROR(INDEX(Overview!$A$3:$B$32,MATCH('538'!$L363,Overview!$A$3:$A$32,0),2),"")</f>
        <v/>
      </c>
      <c r="N363" t="str">
        <f t="shared" si="38"/>
        <v/>
      </c>
      <c r="O363" s="62">
        <f t="shared" si="42"/>
        <v>0</v>
      </c>
    </row>
    <row r="364" spans="1:15" x14ac:dyDescent="0.25">
      <c r="A364" t="s">
        <v>4892</v>
      </c>
      <c r="B364" t="s">
        <v>965</v>
      </c>
      <c r="C364" t="s">
        <v>1006</v>
      </c>
      <c r="D364">
        <v>1547</v>
      </c>
      <c r="E364">
        <v>2</v>
      </c>
      <c r="F364" t="s">
        <v>964</v>
      </c>
      <c r="G364">
        <f>1548</f>
        <v>1548</v>
      </c>
      <c r="H364" s="62">
        <v>0.6</v>
      </c>
      <c r="I364">
        <v>6</v>
      </c>
      <c r="J364">
        <f t="shared" ca="1" si="39"/>
        <v>4</v>
      </c>
      <c r="K364" s="63" t="str">
        <f t="shared" ca="1" si="40"/>
        <v>9/24</v>
      </c>
      <c r="L364" t="str">
        <f t="shared" si="41"/>
        <v>ATL</v>
      </c>
      <c r="M364" t="str">
        <f>IFERROR(INDEX(Overview!$A$3:$B$32,MATCH('538'!$L364,Overview!$A$3:$A$32,0),2),"")</f>
        <v>Braves</v>
      </c>
      <c r="N364" t="str">
        <f t="shared" si="38"/>
        <v>Julio Teheran</v>
      </c>
      <c r="O364" s="62">
        <f t="shared" si="42"/>
        <v>0.6</v>
      </c>
    </row>
    <row r="365" spans="1:15" x14ac:dyDescent="0.25">
      <c r="C365" t="s">
        <v>1007</v>
      </c>
      <c r="H365" s="62"/>
      <c r="J365">
        <f t="shared" ca="1" si="39"/>
        <v>4</v>
      </c>
      <c r="K365" s="63" t="str">
        <f t="shared" ca="1" si="40"/>
        <v>9/24</v>
      </c>
      <c r="L365" t="str">
        <f t="shared" si="41"/>
        <v/>
      </c>
      <c r="M365" t="str">
        <f>IFERROR(INDEX(Overview!$A$3:$B$32,MATCH('538'!$L365,Overview!$A$3:$A$32,0),2),"")</f>
        <v/>
      </c>
      <c r="N365" t="str">
        <f t="shared" si="38"/>
        <v/>
      </c>
      <c r="O365" s="62">
        <f t="shared" si="42"/>
        <v>0</v>
      </c>
    </row>
    <row r="366" spans="1:15" x14ac:dyDescent="0.25">
      <c r="B366" t="s">
        <v>984</v>
      </c>
      <c r="C366" t="s">
        <v>4151</v>
      </c>
      <c r="D366">
        <v>1431</v>
      </c>
      <c r="E366">
        <v>19</v>
      </c>
      <c r="F366">
        <v>24</v>
      </c>
      <c r="G366">
        <f>1474</f>
        <v>1474</v>
      </c>
      <c r="H366" s="62">
        <v>0.4</v>
      </c>
      <c r="I366">
        <v>9</v>
      </c>
      <c r="J366">
        <f t="shared" ca="1" si="39"/>
        <v>4</v>
      </c>
      <c r="K366" s="63" t="str">
        <f t="shared" ca="1" si="40"/>
        <v>9/24</v>
      </c>
      <c r="L366" t="str">
        <f t="shared" si="41"/>
        <v>KCK</v>
      </c>
      <c r="M366" t="str">
        <f>IFERROR(INDEX(Overview!$A$3:$B$32,MATCH('538'!$L366,Overview!$A$3:$A$32,0),2),"")</f>
        <v/>
      </c>
      <c r="N366" t="str">
        <f t="shared" si="38"/>
        <v>Danny Duffy</v>
      </c>
      <c r="O366" s="62">
        <f t="shared" si="42"/>
        <v>0.4</v>
      </c>
    </row>
    <row r="367" spans="1:15" x14ac:dyDescent="0.25">
      <c r="C367" t="s">
        <v>4152</v>
      </c>
      <c r="H367" s="62"/>
      <c r="J367">
        <f t="shared" ca="1" si="39"/>
        <v>4</v>
      </c>
      <c r="K367" s="63" t="str">
        <f t="shared" ca="1" si="40"/>
        <v>9/24</v>
      </c>
      <c r="L367" t="str">
        <f t="shared" si="41"/>
        <v/>
      </c>
      <c r="M367" t="str">
        <f>IFERROR(INDEX(Overview!$A$3:$B$32,MATCH('538'!$L367,Overview!$A$3:$A$32,0),2),"")</f>
        <v/>
      </c>
      <c r="N367" t="str">
        <f t="shared" si="38"/>
        <v/>
      </c>
      <c r="O367" s="62">
        <f t="shared" si="42"/>
        <v>0</v>
      </c>
    </row>
    <row r="368" spans="1:15" x14ac:dyDescent="0.25">
      <c r="A368" t="s">
        <v>4893</v>
      </c>
      <c r="B368" t="s">
        <v>950</v>
      </c>
      <c r="C368" t="s">
        <v>951</v>
      </c>
      <c r="D368">
        <v>1537</v>
      </c>
      <c r="E368">
        <v>30</v>
      </c>
      <c r="F368" t="s">
        <v>953</v>
      </c>
      <c r="G368">
        <f>1564</f>
        <v>1564</v>
      </c>
      <c r="H368" s="62">
        <v>0.62</v>
      </c>
      <c r="I368">
        <v>12</v>
      </c>
      <c r="J368">
        <f t="shared" ca="1" si="39"/>
        <v>4</v>
      </c>
      <c r="K368" s="63" t="str">
        <f t="shared" ca="1" si="40"/>
        <v>9/24</v>
      </c>
      <c r="L368" t="str">
        <f t="shared" si="41"/>
        <v>BOS</v>
      </c>
      <c r="M368" t="str">
        <f>IFERROR(INDEX(Overview!$A$3:$B$32,MATCH('538'!$L368,Overview!$A$3:$A$32,0),2),"")</f>
        <v>Red Sox</v>
      </c>
      <c r="N368" t="str">
        <f t="shared" si="38"/>
        <v>Eduardo Rodriguez</v>
      </c>
      <c r="O368" s="62">
        <f t="shared" si="42"/>
        <v>0.62</v>
      </c>
    </row>
    <row r="369" spans="1:15" x14ac:dyDescent="0.25">
      <c r="C369" t="s">
        <v>952</v>
      </c>
      <c r="H369" s="62"/>
      <c r="J369">
        <f t="shared" ca="1" si="39"/>
        <v>4</v>
      </c>
      <c r="K369" s="63" t="str">
        <f t="shared" ca="1" si="40"/>
        <v>9/24</v>
      </c>
      <c r="L369" t="str">
        <f t="shared" si="41"/>
        <v/>
      </c>
      <c r="M369" t="str">
        <f>IFERROR(INDEX(Overview!$A$3:$B$32,MATCH('538'!$L369,Overview!$A$3:$A$32,0),2),"")</f>
        <v/>
      </c>
      <c r="N369" t="str">
        <f t="shared" si="38"/>
        <v/>
      </c>
      <c r="O369" s="62">
        <f t="shared" si="42"/>
        <v>0</v>
      </c>
    </row>
    <row r="370" spans="1:15" x14ac:dyDescent="0.25">
      <c r="B370" t="s">
        <v>1014</v>
      </c>
      <c r="C370" t="s">
        <v>4894</v>
      </c>
      <c r="D370">
        <v>1470</v>
      </c>
      <c r="E370" t="s">
        <v>1059</v>
      </c>
      <c r="F370">
        <v>22</v>
      </c>
      <c r="G370">
        <f>1480</f>
        <v>1480</v>
      </c>
      <c r="H370" s="62">
        <v>0.38</v>
      </c>
      <c r="I370">
        <v>10</v>
      </c>
      <c r="J370">
        <f t="shared" ca="1" si="39"/>
        <v>4</v>
      </c>
      <c r="K370" s="63" t="str">
        <f t="shared" ca="1" si="40"/>
        <v>9/24</v>
      </c>
      <c r="L370" t="str">
        <f t="shared" si="41"/>
        <v>TEX</v>
      </c>
      <c r="M370" t="str">
        <f>IFERROR(INDEX(Overview!$A$3:$B$32,MATCH('538'!$L370,Overview!$A$3:$A$32,0),2),"")</f>
        <v>Rangers</v>
      </c>
      <c r="N370" t="str">
        <f t="shared" si="38"/>
        <v>Edinson Volquez</v>
      </c>
      <c r="O370" s="62">
        <f t="shared" si="42"/>
        <v>0.38</v>
      </c>
    </row>
    <row r="371" spans="1:15" x14ac:dyDescent="0.25">
      <c r="C371" t="s">
        <v>4895</v>
      </c>
      <c r="H371" s="62"/>
      <c r="J371">
        <f t="shared" ca="1" si="39"/>
        <v>4</v>
      </c>
      <c r="K371" s="63" t="str">
        <f t="shared" ca="1" si="40"/>
        <v>9/24</v>
      </c>
      <c r="L371" t="str">
        <f t="shared" si="41"/>
        <v/>
      </c>
      <c r="M371" t="str">
        <f>IFERROR(INDEX(Overview!$A$3:$B$32,MATCH('538'!$L371,Overview!$A$3:$A$32,0),2),"")</f>
        <v/>
      </c>
      <c r="N371" t="str">
        <f t="shared" si="38"/>
        <v/>
      </c>
      <c r="O371" s="62">
        <f t="shared" si="42"/>
        <v>0</v>
      </c>
    </row>
    <row r="372" spans="1:15" x14ac:dyDescent="0.25">
      <c r="A372" t="s">
        <v>4896</v>
      </c>
      <c r="B372" t="s">
        <v>999</v>
      </c>
      <c r="C372" t="s">
        <v>1378</v>
      </c>
      <c r="D372">
        <v>1557</v>
      </c>
      <c r="E372">
        <v>27</v>
      </c>
      <c r="F372">
        <v>0</v>
      </c>
      <c r="G372">
        <f>1584</f>
        <v>1584</v>
      </c>
      <c r="H372" s="62">
        <v>0.67</v>
      </c>
      <c r="I372">
        <v>11</v>
      </c>
      <c r="J372">
        <f t="shared" ca="1" si="39"/>
        <v>4</v>
      </c>
      <c r="K372" s="63" t="str">
        <f t="shared" ca="1" si="40"/>
        <v>9/24</v>
      </c>
      <c r="L372" t="str">
        <f t="shared" si="41"/>
        <v>CLE</v>
      </c>
      <c r="M372" t="str">
        <f>IFERROR(INDEX(Overview!$A$3:$B$32,MATCH('538'!$L372,Overview!$A$3:$A$32,0),2),"")</f>
        <v>Indians</v>
      </c>
      <c r="N372" t="str">
        <f t="shared" si="38"/>
        <v>Mike Clevinger</v>
      </c>
      <c r="O372" s="62">
        <f t="shared" si="42"/>
        <v>0.67</v>
      </c>
    </row>
    <row r="373" spans="1:15" x14ac:dyDescent="0.25">
      <c r="C373" t="s">
        <v>1379</v>
      </c>
      <c r="H373" s="62"/>
      <c r="J373">
        <f t="shared" ca="1" si="39"/>
        <v>4</v>
      </c>
      <c r="K373" s="63" t="str">
        <f t="shared" ca="1" si="40"/>
        <v>9/24</v>
      </c>
      <c r="L373" t="str">
        <f t="shared" si="41"/>
        <v/>
      </c>
      <c r="M373" t="str">
        <f>IFERROR(INDEX(Overview!$A$3:$B$32,MATCH('538'!$L373,Overview!$A$3:$A$32,0),2),"")</f>
        <v/>
      </c>
      <c r="N373" t="str">
        <f t="shared" si="38"/>
        <v/>
      </c>
      <c r="O373" s="62">
        <f t="shared" si="42"/>
        <v>0</v>
      </c>
    </row>
    <row r="374" spans="1:15" x14ac:dyDescent="0.25">
      <c r="B374" t="s">
        <v>981</v>
      </c>
      <c r="C374" t="s">
        <v>4897</v>
      </c>
      <c r="D374">
        <v>1456</v>
      </c>
      <c r="E374" t="s">
        <v>3580</v>
      </c>
      <c r="F374">
        <v>24</v>
      </c>
      <c r="G374">
        <f>1458</f>
        <v>1458</v>
      </c>
      <c r="H374" s="62">
        <v>0.33</v>
      </c>
      <c r="I374">
        <v>0</v>
      </c>
      <c r="J374">
        <f t="shared" ca="1" si="39"/>
        <v>4</v>
      </c>
      <c r="K374" s="63" t="str">
        <f t="shared" ca="1" si="40"/>
        <v>9/24</v>
      </c>
      <c r="L374" t="str">
        <f t="shared" si="41"/>
        <v>CHW</v>
      </c>
      <c r="M374" t="str">
        <f>IFERROR(INDEX(Overview!$A$3:$B$32,MATCH('538'!$L374,Overview!$A$3:$A$32,0),2),"")</f>
        <v>White Sox</v>
      </c>
      <c r="N374" t="str">
        <f t="shared" si="38"/>
        <v>Carson Fulmer</v>
      </c>
      <c r="O374" s="62">
        <f t="shared" si="42"/>
        <v>0.33</v>
      </c>
    </row>
    <row r="375" spans="1:15" x14ac:dyDescent="0.25">
      <c r="C375" t="s">
        <v>4898</v>
      </c>
      <c r="H375" s="62"/>
      <c r="J375">
        <f t="shared" ca="1" si="39"/>
        <v>4</v>
      </c>
      <c r="K375" s="63" t="str">
        <f t="shared" ca="1" si="40"/>
        <v>9/24</v>
      </c>
      <c r="L375" t="str">
        <f t="shared" si="41"/>
        <v/>
      </c>
      <c r="M375" t="str">
        <f>IFERROR(INDEX(Overview!$A$3:$B$32,MATCH('538'!$L375,Overview!$A$3:$A$32,0),2),"")</f>
        <v/>
      </c>
      <c r="N375" t="str">
        <f t="shared" si="38"/>
        <v/>
      </c>
      <c r="O375" s="62">
        <f t="shared" si="42"/>
        <v>0</v>
      </c>
    </row>
    <row r="376" spans="1:15" x14ac:dyDescent="0.25">
      <c r="A376" t="s">
        <v>4899</v>
      </c>
      <c r="B376" t="s">
        <v>1018</v>
      </c>
      <c r="C376" t="s">
        <v>4900</v>
      </c>
      <c r="D376">
        <v>1587</v>
      </c>
      <c r="E376">
        <v>5</v>
      </c>
      <c r="F376" t="s">
        <v>964</v>
      </c>
      <c r="G376">
        <f>1591</f>
        <v>1591</v>
      </c>
      <c r="H376" s="62">
        <v>0.53</v>
      </c>
      <c r="I376">
        <v>1</v>
      </c>
      <c r="J376">
        <f t="shared" ca="1" si="39"/>
        <v>4</v>
      </c>
      <c r="K376" s="63" t="str">
        <f t="shared" ca="1" si="40"/>
        <v>9/24</v>
      </c>
      <c r="L376" t="str">
        <f t="shared" si="41"/>
        <v>NYY</v>
      </c>
      <c r="M376" t="str">
        <f>IFERROR(INDEX(Overview!$A$3:$B$32,MATCH('538'!$L376,Overview!$A$3:$A$32,0),2),"")</f>
        <v>Yankees</v>
      </c>
      <c r="N376" t="str">
        <f t="shared" si="38"/>
        <v>Jordan Montgomery</v>
      </c>
      <c r="O376" s="62">
        <f t="shared" si="42"/>
        <v>0.53</v>
      </c>
    </row>
    <row r="377" spans="1:15" x14ac:dyDescent="0.25">
      <c r="C377" t="s">
        <v>1508</v>
      </c>
      <c r="H377" s="62"/>
      <c r="J377">
        <f t="shared" ca="1" si="39"/>
        <v>4</v>
      </c>
      <c r="K377" s="63" t="str">
        <f t="shared" ca="1" si="40"/>
        <v>9/24</v>
      </c>
      <c r="L377" t="str">
        <f t="shared" si="41"/>
        <v/>
      </c>
      <c r="M377" t="str">
        <f>IFERROR(INDEX(Overview!$A$3:$B$32,MATCH('538'!$L377,Overview!$A$3:$A$32,0),2),"")</f>
        <v/>
      </c>
      <c r="N377" t="str">
        <f t="shared" si="38"/>
        <v/>
      </c>
      <c r="O377" s="62">
        <f t="shared" si="42"/>
        <v>0</v>
      </c>
    </row>
    <row r="378" spans="1:15" x14ac:dyDescent="0.25">
      <c r="B378" t="s">
        <v>982</v>
      </c>
      <c r="C378" t="s">
        <v>4901</v>
      </c>
      <c r="D378">
        <v>1544</v>
      </c>
      <c r="E378">
        <v>2</v>
      </c>
      <c r="F378">
        <v>24</v>
      </c>
      <c r="G378">
        <f>1570</f>
        <v>1570</v>
      </c>
      <c r="H378" s="62">
        <v>0.47</v>
      </c>
      <c r="I378">
        <v>2</v>
      </c>
      <c r="J378">
        <f t="shared" ca="1" si="39"/>
        <v>4</v>
      </c>
      <c r="K378" s="63" t="str">
        <f t="shared" ca="1" si="40"/>
        <v>9/24</v>
      </c>
      <c r="L378" t="str">
        <f t="shared" si="41"/>
        <v>TBT</v>
      </c>
      <c r="M378" t="str">
        <f>IFERROR(INDEX(Overview!$A$3:$B$32,MATCH('538'!$L378,Overview!$A$3:$A$32,0),2),"")</f>
        <v/>
      </c>
      <c r="N378" t="str">
        <f t="shared" si="38"/>
        <v>Yonny Chirinos</v>
      </c>
      <c r="O378" s="62">
        <f t="shared" si="42"/>
        <v>0.47</v>
      </c>
    </row>
    <row r="379" spans="1:15" x14ac:dyDescent="0.25">
      <c r="C379" t="s">
        <v>4902</v>
      </c>
      <c r="H379" s="62"/>
      <c r="J379">
        <f t="shared" ca="1" si="39"/>
        <v>4</v>
      </c>
      <c r="K379" s="63" t="str">
        <f t="shared" ca="1" si="40"/>
        <v>9/24</v>
      </c>
      <c r="L379" t="str">
        <f t="shared" si="41"/>
        <v/>
      </c>
      <c r="M379" t="str">
        <f>IFERROR(INDEX(Overview!$A$3:$B$32,MATCH('538'!$L379,Overview!$A$3:$A$32,0),2),"")</f>
        <v/>
      </c>
      <c r="N379" t="str">
        <f t="shared" si="38"/>
        <v/>
      </c>
      <c r="O379" s="62">
        <f t="shared" si="42"/>
        <v>0</v>
      </c>
    </row>
    <row r="380" spans="1:15" x14ac:dyDescent="0.25">
      <c r="A380" t="s">
        <v>4899</v>
      </c>
      <c r="B380" t="s">
        <v>1000</v>
      </c>
      <c r="C380" t="s">
        <v>1001</v>
      </c>
      <c r="D380">
        <v>1433</v>
      </c>
      <c r="E380">
        <v>10</v>
      </c>
      <c r="F380">
        <v>0</v>
      </c>
      <c r="G380">
        <f>1443</f>
        <v>1443</v>
      </c>
      <c r="H380" s="62">
        <v>0.35</v>
      </c>
      <c r="I380">
        <v>4</v>
      </c>
      <c r="J380">
        <f t="shared" ca="1" si="39"/>
        <v>4</v>
      </c>
      <c r="K380" s="63" t="str">
        <f t="shared" ca="1" si="40"/>
        <v>9/24</v>
      </c>
      <c r="L380" t="str">
        <f t="shared" si="41"/>
        <v>MIA</v>
      </c>
      <c r="M380" t="str">
        <f>IFERROR(INDEX(Overview!$A$3:$B$32,MATCH('538'!$L380,Overview!$A$3:$A$32,0),2),"")</f>
        <v>Marlins</v>
      </c>
      <c r="N380" t="str">
        <f t="shared" si="38"/>
        <v>Sandy Alcantara</v>
      </c>
      <c r="O380" s="62">
        <f t="shared" si="42"/>
        <v>0.35</v>
      </c>
    </row>
    <row r="381" spans="1:15" x14ac:dyDescent="0.25">
      <c r="C381" t="s">
        <v>1002</v>
      </c>
      <c r="H381" s="62"/>
      <c r="J381">
        <f t="shared" ca="1" si="39"/>
        <v>4</v>
      </c>
      <c r="K381" s="63" t="str">
        <f t="shared" ca="1" si="40"/>
        <v>9/24</v>
      </c>
      <c r="L381" t="str">
        <f t="shared" si="41"/>
        <v/>
      </c>
      <c r="M381" t="str">
        <f>IFERROR(INDEX(Overview!$A$3:$B$32,MATCH('538'!$L381,Overview!$A$3:$A$32,0),2),"")</f>
        <v/>
      </c>
      <c r="N381" t="str">
        <f t="shared" si="38"/>
        <v/>
      </c>
      <c r="O381" s="62">
        <f t="shared" si="42"/>
        <v>0</v>
      </c>
    </row>
    <row r="382" spans="1:15" x14ac:dyDescent="0.25">
      <c r="B382" t="s">
        <v>962</v>
      </c>
      <c r="C382" t="s">
        <v>1057</v>
      </c>
      <c r="D382">
        <v>1529</v>
      </c>
      <c r="E382" t="s">
        <v>964</v>
      </c>
      <c r="F382">
        <v>24</v>
      </c>
      <c r="G382">
        <f>1552</f>
        <v>1552</v>
      </c>
      <c r="H382" s="62">
        <v>0.65</v>
      </c>
      <c r="I382">
        <v>5</v>
      </c>
      <c r="J382">
        <f t="shared" ca="1" si="39"/>
        <v>4</v>
      </c>
      <c r="K382" s="63" t="str">
        <f t="shared" ca="1" si="40"/>
        <v>9/24</v>
      </c>
      <c r="L382" t="str">
        <f t="shared" si="41"/>
        <v>NYM</v>
      </c>
      <c r="M382" t="str">
        <f>IFERROR(INDEX(Overview!$A$3:$B$32,MATCH('538'!$L382,Overview!$A$3:$A$32,0),2),"")</f>
        <v>Mets</v>
      </c>
      <c r="N382" t="str">
        <f t="shared" si="38"/>
        <v>Noah Syndergaard</v>
      </c>
      <c r="O382" s="62">
        <f t="shared" si="42"/>
        <v>0.65</v>
      </c>
    </row>
    <row r="383" spans="1:15" x14ac:dyDescent="0.25">
      <c r="C383" t="s">
        <v>1058</v>
      </c>
      <c r="H383" s="62"/>
      <c r="J383">
        <f t="shared" ca="1" si="39"/>
        <v>4</v>
      </c>
      <c r="K383" s="63" t="str">
        <f t="shared" ca="1" si="40"/>
        <v>9/24</v>
      </c>
      <c r="L383" t="str">
        <f t="shared" si="41"/>
        <v/>
      </c>
      <c r="M383" t="str">
        <f>IFERROR(INDEX(Overview!$A$3:$B$32,MATCH('538'!$L383,Overview!$A$3:$A$32,0),2),"")</f>
        <v/>
      </c>
      <c r="N383" t="str">
        <f t="shared" si="38"/>
        <v/>
      </c>
      <c r="O383" s="62">
        <f t="shared" si="42"/>
        <v>0</v>
      </c>
    </row>
    <row r="384" spans="1:15" x14ac:dyDescent="0.25">
      <c r="A384" t="s">
        <v>4903</v>
      </c>
      <c r="B384" t="s">
        <v>978</v>
      </c>
      <c r="C384" t="s">
        <v>1105</v>
      </c>
      <c r="D384">
        <v>1408</v>
      </c>
      <c r="E384">
        <v>16</v>
      </c>
      <c r="F384">
        <v>0</v>
      </c>
      <c r="G384">
        <f>1424</f>
        <v>1424</v>
      </c>
      <c r="H384" s="62">
        <v>0.41</v>
      </c>
      <c r="I384">
        <v>11</v>
      </c>
      <c r="J384">
        <f t="shared" ca="1" si="39"/>
        <v>4</v>
      </c>
      <c r="K384" s="63" t="str">
        <f t="shared" ca="1" si="40"/>
        <v>9/24</v>
      </c>
      <c r="L384" t="str">
        <f t="shared" si="41"/>
        <v>BAL</v>
      </c>
      <c r="M384" t="str">
        <f>IFERROR(INDEX(Overview!$A$3:$B$32,MATCH('538'!$L384,Overview!$A$3:$A$32,0),2),"")</f>
        <v>Orioles</v>
      </c>
      <c r="N384" t="str">
        <f t="shared" si="38"/>
        <v>Dylan Bundy</v>
      </c>
      <c r="O384" s="62">
        <f t="shared" si="42"/>
        <v>0.41</v>
      </c>
    </row>
    <row r="385" spans="1:15" x14ac:dyDescent="0.25">
      <c r="C385" t="s">
        <v>1106</v>
      </c>
      <c r="H385" s="62"/>
      <c r="J385">
        <f t="shared" ca="1" si="39"/>
        <v>4</v>
      </c>
      <c r="K385" s="63" t="str">
        <f t="shared" ca="1" si="40"/>
        <v>9/24</v>
      </c>
      <c r="L385" t="str">
        <f t="shared" si="41"/>
        <v/>
      </c>
      <c r="M385" t="str">
        <f>IFERROR(INDEX(Overview!$A$3:$B$32,MATCH('538'!$L385,Overview!$A$3:$A$32,0),2),"")</f>
        <v/>
      </c>
      <c r="N385" t="str">
        <f t="shared" si="38"/>
        <v/>
      </c>
      <c r="O385" s="62">
        <f t="shared" si="42"/>
        <v>0</v>
      </c>
    </row>
    <row r="386" spans="1:15" x14ac:dyDescent="0.25">
      <c r="B386" t="s">
        <v>1024</v>
      </c>
      <c r="C386" t="s">
        <v>4904</v>
      </c>
      <c r="D386">
        <v>1470</v>
      </c>
      <c r="E386" t="s">
        <v>1015</v>
      </c>
      <c r="F386">
        <v>24</v>
      </c>
      <c r="G386">
        <f>1485</f>
        <v>1485</v>
      </c>
      <c r="H386" s="62">
        <v>0.59</v>
      </c>
      <c r="I386">
        <v>4</v>
      </c>
      <c r="J386">
        <f t="shared" ca="1" si="39"/>
        <v>4</v>
      </c>
      <c r="K386" s="63" t="str">
        <f t="shared" ca="1" si="40"/>
        <v>9/24</v>
      </c>
      <c r="L386" t="str">
        <f t="shared" si="41"/>
        <v>TOR</v>
      </c>
      <c r="M386" t="str">
        <f>IFERROR(INDEX(Overview!$A$3:$B$32,MATCH('538'!$L386,Overview!$A$3:$A$32,0),2),"")</f>
        <v>Blue Jays</v>
      </c>
      <c r="N386" t="str">
        <f t="shared" si="38"/>
        <v>Thomas Pannone</v>
      </c>
      <c r="O386" s="62">
        <f t="shared" si="42"/>
        <v>0.59</v>
      </c>
    </row>
    <row r="387" spans="1:15" x14ac:dyDescent="0.25">
      <c r="C387" t="s">
        <v>4905</v>
      </c>
      <c r="H387" s="62"/>
      <c r="J387">
        <f t="shared" ca="1" si="39"/>
        <v>4</v>
      </c>
      <c r="K387" s="63" t="str">
        <f t="shared" ca="1" si="40"/>
        <v>9/24</v>
      </c>
      <c r="L387" t="str">
        <f t="shared" si="41"/>
        <v/>
      </c>
      <c r="M387" t="str">
        <f>IFERROR(INDEX(Overview!$A$3:$B$32,MATCH('538'!$L387,Overview!$A$3:$A$32,0),2),"")</f>
        <v/>
      </c>
      <c r="N387" t="str">
        <f t="shared" si="38"/>
        <v/>
      </c>
      <c r="O387" s="62">
        <f t="shared" si="42"/>
        <v>0</v>
      </c>
    </row>
    <row r="388" spans="1:15" x14ac:dyDescent="0.25">
      <c r="A388" t="s">
        <v>4906</v>
      </c>
      <c r="B388" t="s">
        <v>992</v>
      </c>
      <c r="C388" t="s">
        <v>1041</v>
      </c>
      <c r="D388">
        <v>1507</v>
      </c>
      <c r="E388">
        <v>35</v>
      </c>
      <c r="F388">
        <v>0</v>
      </c>
      <c r="G388">
        <f>1542</f>
        <v>1542</v>
      </c>
      <c r="H388" s="62">
        <v>0.4</v>
      </c>
      <c r="I388">
        <v>5</v>
      </c>
      <c r="J388">
        <f t="shared" ca="1" si="39"/>
        <v>4</v>
      </c>
      <c r="K388" s="63" t="str">
        <f t="shared" ca="1" si="40"/>
        <v>9/24</v>
      </c>
      <c r="L388" t="str">
        <f t="shared" si="41"/>
        <v>PHI</v>
      </c>
      <c r="M388" t="str">
        <f>IFERROR(INDEX(Overview!$A$3:$B$32,MATCH('538'!$L388,Overview!$A$3:$A$32,0),2),"")</f>
        <v>Phillies</v>
      </c>
      <c r="N388" t="str">
        <f t="shared" si="38"/>
        <v>Aaron Nola</v>
      </c>
      <c r="O388" s="62">
        <f t="shared" si="42"/>
        <v>0.4</v>
      </c>
    </row>
    <row r="389" spans="1:15" x14ac:dyDescent="0.25">
      <c r="C389" t="s">
        <v>1042</v>
      </c>
      <c r="H389" s="62"/>
      <c r="J389">
        <f t="shared" ca="1" si="39"/>
        <v>4</v>
      </c>
      <c r="K389" s="63" t="str">
        <f t="shared" ca="1" si="40"/>
        <v>9/24</v>
      </c>
      <c r="L389" t="str">
        <f t="shared" si="41"/>
        <v/>
      </c>
      <c r="M389" t="str">
        <f>IFERROR(INDEX(Overview!$A$3:$B$32,MATCH('538'!$L389,Overview!$A$3:$A$32,0),2),"")</f>
        <v/>
      </c>
      <c r="N389" t="str">
        <f t="shared" si="38"/>
        <v/>
      </c>
      <c r="O389" s="62">
        <f t="shared" si="42"/>
        <v>0</v>
      </c>
    </row>
    <row r="390" spans="1:15" x14ac:dyDescent="0.25">
      <c r="B390" t="s">
        <v>955</v>
      </c>
      <c r="C390" t="s">
        <v>4094</v>
      </c>
      <c r="D390">
        <v>1555</v>
      </c>
      <c r="E390">
        <v>33</v>
      </c>
      <c r="F390">
        <v>24</v>
      </c>
      <c r="G390">
        <f>1612</f>
        <v>1612</v>
      </c>
      <c r="H390" s="62">
        <v>0.6</v>
      </c>
      <c r="I390">
        <v>6</v>
      </c>
      <c r="J390">
        <f t="shared" ca="1" si="39"/>
        <v>4</v>
      </c>
      <c r="K390" s="63" t="str">
        <f t="shared" ca="1" si="40"/>
        <v>9/24</v>
      </c>
      <c r="L390" t="str">
        <f t="shared" si="41"/>
        <v>WSH</v>
      </c>
      <c r="M390" t="str">
        <f>IFERROR(INDEX(Overview!$A$3:$B$32,MATCH('538'!$L390,Overview!$A$3:$A$32,0),2),"")</f>
        <v/>
      </c>
      <c r="N390" t="str">
        <f t="shared" si="38"/>
        <v>Max Scherzer</v>
      </c>
      <c r="O390" s="62">
        <f t="shared" si="42"/>
        <v>0.6</v>
      </c>
    </row>
    <row r="391" spans="1:15" x14ac:dyDescent="0.25">
      <c r="C391" t="s">
        <v>4095</v>
      </c>
      <c r="H391" s="62"/>
      <c r="J391">
        <f t="shared" ca="1" si="39"/>
        <v>4</v>
      </c>
      <c r="K391" s="63" t="str">
        <f t="shared" ca="1" si="40"/>
        <v>9/24</v>
      </c>
      <c r="L391" t="str">
        <f t="shared" si="41"/>
        <v/>
      </c>
      <c r="M391" t="str">
        <f>IFERROR(INDEX(Overview!$A$3:$B$32,MATCH('538'!$L391,Overview!$A$3:$A$32,0),2),"")</f>
        <v/>
      </c>
      <c r="N391" t="str">
        <f t="shared" si="38"/>
        <v/>
      </c>
      <c r="O391" s="62">
        <f t="shared" si="42"/>
        <v>0</v>
      </c>
    </row>
    <row r="392" spans="1:15" x14ac:dyDescent="0.25">
      <c r="A392" t="s">
        <v>4906</v>
      </c>
      <c r="B392" t="s">
        <v>1026</v>
      </c>
      <c r="C392" t="s">
        <v>1451</v>
      </c>
      <c r="D392">
        <v>1535</v>
      </c>
      <c r="E392">
        <v>18</v>
      </c>
      <c r="F392">
        <v>0</v>
      </c>
      <c r="G392">
        <f>1553</f>
        <v>1553</v>
      </c>
      <c r="H392" s="62">
        <v>0.61</v>
      </c>
      <c r="I392">
        <v>2</v>
      </c>
      <c r="J392">
        <f t="shared" ca="1" si="39"/>
        <v>4</v>
      </c>
      <c r="K392" s="63" t="str">
        <f t="shared" ca="1" si="40"/>
        <v>9/24</v>
      </c>
      <c r="L392" t="str">
        <f t="shared" si="41"/>
        <v>CHC</v>
      </c>
      <c r="M392" t="str">
        <f>IFERROR(INDEX(Overview!$A$3:$B$32,MATCH('538'!$L392,Overview!$A$3:$A$32,0),2),"")</f>
        <v>Cubs</v>
      </c>
      <c r="N392" t="str">
        <f t="shared" si="38"/>
        <v>Kyle Hendricks</v>
      </c>
      <c r="O392" s="62">
        <f t="shared" si="42"/>
        <v>0.61</v>
      </c>
    </row>
    <row r="393" spans="1:15" x14ac:dyDescent="0.25">
      <c r="C393" t="s">
        <v>1452</v>
      </c>
      <c r="H393" s="62"/>
      <c r="J393">
        <f t="shared" ca="1" si="39"/>
        <v>4</v>
      </c>
      <c r="K393" s="63" t="str">
        <f t="shared" ca="1" si="40"/>
        <v>9/24</v>
      </c>
      <c r="L393" t="str">
        <f t="shared" si="41"/>
        <v/>
      </c>
      <c r="M393" t="str">
        <f>IFERROR(INDEX(Overview!$A$3:$B$32,MATCH('538'!$L393,Overview!$A$3:$A$32,0),2),"")</f>
        <v/>
      </c>
      <c r="N393" t="str">
        <f t="shared" ref="N393:N409" si="43">IFERROR(MID(C393,SEARCH(",",C393)+2,LEN(C393))&amp;" "&amp;LEFT(C393,SEARCH(",",C393)-1),"")</f>
        <v/>
      </c>
      <c r="O393" s="62">
        <f t="shared" si="42"/>
        <v>0</v>
      </c>
    </row>
    <row r="394" spans="1:15" x14ac:dyDescent="0.25">
      <c r="B394" t="s">
        <v>1011</v>
      </c>
      <c r="C394" t="s">
        <v>4093</v>
      </c>
      <c r="D394">
        <v>1463</v>
      </c>
      <c r="E394" t="s">
        <v>1015</v>
      </c>
      <c r="F394">
        <v>24</v>
      </c>
      <c r="G394">
        <f>1478</f>
        <v>1478</v>
      </c>
      <c r="H394" s="62">
        <v>0.39</v>
      </c>
      <c r="I394">
        <v>9</v>
      </c>
      <c r="J394">
        <f t="shared" ref="J394:J409" ca="1" si="44">IF(K394=$K$1,IF(ISNUMBER(CODE(L394)),J393+1,J393),J393)</f>
        <v>4</v>
      </c>
      <c r="K394" s="63" t="str">
        <f t="shared" ref="K394:K409" ca="1" si="45">IF(ISBLANK(A394),K393,LEFT(A394,LEN($K$1)))</f>
        <v>9/24</v>
      </c>
      <c r="L394" t="str">
        <f t="shared" ref="L394:L409" si="46">LEFT(B394,3)</f>
        <v>PIT</v>
      </c>
      <c r="M394" t="str">
        <f>IFERROR(INDEX(Overview!$A$3:$B$32,MATCH('538'!$L394,Overview!$A$3:$A$32,0),2),"")</f>
        <v>Pirates</v>
      </c>
      <c r="N394" t="str">
        <f t="shared" si="43"/>
        <v>Mitch Keller</v>
      </c>
      <c r="O394" s="62">
        <f t="shared" ref="O394:O409" si="47">H394</f>
        <v>0.39</v>
      </c>
    </row>
    <row r="395" spans="1:15" x14ac:dyDescent="0.25">
      <c r="C395" t="s">
        <v>985</v>
      </c>
      <c r="H395" s="62"/>
      <c r="J395">
        <f t="shared" ca="1" si="44"/>
        <v>4</v>
      </c>
      <c r="K395" s="63" t="str">
        <f t="shared" ca="1" si="45"/>
        <v>9/24</v>
      </c>
      <c r="L395" t="str">
        <f t="shared" si="46"/>
        <v/>
      </c>
      <c r="M395" t="str">
        <f>IFERROR(INDEX(Overview!$A$3:$B$32,MATCH('538'!$L395,Overview!$A$3:$A$32,0),2),"")</f>
        <v/>
      </c>
      <c r="N395" t="str">
        <f t="shared" si="43"/>
        <v/>
      </c>
      <c r="O395" s="62">
        <f t="shared" si="47"/>
        <v>0</v>
      </c>
    </row>
    <row r="396" spans="1:15" x14ac:dyDescent="0.25">
      <c r="A396" t="s">
        <v>4549</v>
      </c>
      <c r="B396" t="s">
        <v>975</v>
      </c>
      <c r="C396" t="s">
        <v>976</v>
      </c>
      <c r="D396">
        <v>1541</v>
      </c>
      <c r="E396">
        <v>16</v>
      </c>
      <c r="F396" t="s">
        <v>964</v>
      </c>
      <c r="G396">
        <f>1556</f>
        <v>1556</v>
      </c>
      <c r="H396" s="62">
        <v>0.68</v>
      </c>
      <c r="I396">
        <v>4</v>
      </c>
      <c r="J396">
        <f t="shared" ca="1" si="44"/>
        <v>4</v>
      </c>
      <c r="K396" s="63" t="str">
        <f t="shared" ca="1" si="45"/>
        <v>9/24</v>
      </c>
      <c r="L396" t="str">
        <f t="shared" si="46"/>
        <v>MIN</v>
      </c>
      <c r="M396" t="str">
        <f>IFERROR(INDEX(Overview!$A$3:$B$32,MATCH('538'!$L396,Overview!$A$3:$A$32,0),2),"")</f>
        <v>Twins</v>
      </c>
      <c r="N396" t="str">
        <f t="shared" si="43"/>
        <v>Jake Odorizzi</v>
      </c>
      <c r="O396" s="62">
        <f t="shared" si="47"/>
        <v>0.68</v>
      </c>
    </row>
    <row r="397" spans="1:15" x14ac:dyDescent="0.25">
      <c r="C397" t="s">
        <v>977</v>
      </c>
      <c r="H397" s="62"/>
      <c r="J397">
        <f t="shared" ca="1" si="44"/>
        <v>4</v>
      </c>
      <c r="K397" s="63" t="str">
        <f t="shared" ca="1" si="45"/>
        <v>9/24</v>
      </c>
      <c r="L397" t="str">
        <f t="shared" si="46"/>
        <v/>
      </c>
      <c r="M397" t="str">
        <f>IFERROR(INDEX(Overview!$A$3:$B$32,MATCH('538'!$L397,Overview!$A$3:$A$32,0),2),"")</f>
        <v/>
      </c>
      <c r="N397" t="str">
        <f t="shared" si="43"/>
        <v/>
      </c>
      <c r="O397" s="62">
        <f t="shared" si="47"/>
        <v>0</v>
      </c>
    </row>
    <row r="398" spans="1:15" x14ac:dyDescent="0.25">
      <c r="B398" t="s">
        <v>991</v>
      </c>
      <c r="C398" t="s">
        <v>3746</v>
      </c>
      <c r="D398">
        <v>1388</v>
      </c>
      <c r="E398">
        <v>11</v>
      </c>
      <c r="F398">
        <v>26</v>
      </c>
      <c r="G398">
        <f>1425</f>
        <v>1425</v>
      </c>
      <c r="H398" s="62">
        <v>0.32</v>
      </c>
      <c r="I398">
        <v>2</v>
      </c>
      <c r="J398">
        <f t="shared" ca="1" si="44"/>
        <v>4</v>
      </c>
      <c r="K398" s="63" t="str">
        <f t="shared" ca="1" si="45"/>
        <v>9/24</v>
      </c>
      <c r="L398" t="str">
        <f t="shared" si="46"/>
        <v>DET</v>
      </c>
      <c r="M398" t="str">
        <f>IFERROR(INDEX(Overview!$A$3:$B$32,MATCH('538'!$L398,Overview!$A$3:$A$32,0),2),"")</f>
        <v>Tigers</v>
      </c>
      <c r="N398" t="str">
        <f t="shared" si="43"/>
        <v>Spencer Turnbull</v>
      </c>
      <c r="O398" s="62">
        <f t="shared" si="47"/>
        <v>0.32</v>
      </c>
    </row>
    <row r="399" spans="1:15" x14ac:dyDescent="0.25">
      <c r="C399" t="s">
        <v>3747</v>
      </c>
      <c r="H399" s="62"/>
      <c r="J399">
        <f t="shared" ca="1" si="44"/>
        <v>4</v>
      </c>
      <c r="K399" s="63" t="str">
        <f t="shared" ca="1" si="45"/>
        <v>9/24</v>
      </c>
      <c r="L399" t="str">
        <f t="shared" si="46"/>
        <v/>
      </c>
      <c r="M399" t="str">
        <f>IFERROR(INDEX(Overview!$A$3:$B$32,MATCH('538'!$L399,Overview!$A$3:$A$32,0),2),"")</f>
        <v/>
      </c>
      <c r="N399" t="str">
        <f t="shared" si="43"/>
        <v/>
      </c>
      <c r="O399" s="62">
        <f t="shared" si="47"/>
        <v>0</v>
      </c>
    </row>
    <row r="400" spans="1:15" x14ac:dyDescent="0.25">
      <c r="A400" t="s">
        <v>4549</v>
      </c>
      <c r="B400" t="s">
        <v>969</v>
      </c>
      <c r="C400" t="s">
        <v>3603</v>
      </c>
      <c r="D400">
        <v>1528</v>
      </c>
      <c r="E400" t="s">
        <v>964</v>
      </c>
      <c r="F400">
        <v>0</v>
      </c>
      <c r="G400">
        <f>1527</f>
        <v>1527</v>
      </c>
      <c r="H400" s="62">
        <v>0.46</v>
      </c>
      <c r="I400">
        <v>4</v>
      </c>
      <c r="J400">
        <f t="shared" ca="1" si="44"/>
        <v>4</v>
      </c>
      <c r="K400" s="63" t="str">
        <f t="shared" ca="1" si="45"/>
        <v>9/24</v>
      </c>
      <c r="L400" t="str">
        <f t="shared" si="46"/>
        <v>MIL</v>
      </c>
      <c r="M400" t="str">
        <f>IFERROR(INDEX(Overview!$A$3:$B$32,MATCH('538'!$L400,Overview!$A$3:$A$32,0),2),"")</f>
        <v>Brewers</v>
      </c>
      <c r="N400" t="str">
        <f t="shared" si="43"/>
        <v>Adrian Houser</v>
      </c>
      <c r="O400" s="62">
        <f t="shared" si="47"/>
        <v>0.46</v>
      </c>
    </row>
    <row r="401" spans="1:15" x14ac:dyDescent="0.25">
      <c r="C401" t="s">
        <v>3604</v>
      </c>
      <c r="H401" s="62"/>
      <c r="J401">
        <f t="shared" ca="1" si="44"/>
        <v>4</v>
      </c>
      <c r="K401" s="63" t="str">
        <f t="shared" ca="1" si="45"/>
        <v>9/24</v>
      </c>
      <c r="L401" t="str">
        <f t="shared" si="46"/>
        <v/>
      </c>
      <c r="M401" t="str">
        <f>IFERROR(INDEX(Overview!$A$3:$B$32,MATCH('538'!$L401,Overview!$A$3:$A$32,0),2),"")</f>
        <v/>
      </c>
      <c r="N401" t="str">
        <f t="shared" si="43"/>
        <v/>
      </c>
      <c r="O401" s="62">
        <f t="shared" si="47"/>
        <v>0</v>
      </c>
    </row>
    <row r="402" spans="1:15" x14ac:dyDescent="0.25">
      <c r="B402" t="s">
        <v>958</v>
      </c>
      <c r="C402" t="s">
        <v>1076</v>
      </c>
      <c r="D402">
        <v>1497</v>
      </c>
      <c r="E402">
        <v>30</v>
      </c>
      <c r="F402">
        <v>26</v>
      </c>
      <c r="G402">
        <f>1553</f>
        <v>1553</v>
      </c>
      <c r="H402" s="62">
        <v>0.54</v>
      </c>
      <c r="I402">
        <v>2</v>
      </c>
      <c r="J402">
        <f t="shared" ca="1" si="44"/>
        <v>4</v>
      </c>
      <c r="K402" s="63" t="str">
        <f t="shared" ca="1" si="45"/>
        <v>9/24</v>
      </c>
      <c r="L402" t="str">
        <f t="shared" si="46"/>
        <v>CIN</v>
      </c>
      <c r="M402" t="str">
        <f>IFERROR(INDEX(Overview!$A$3:$B$32,MATCH('538'!$L402,Overview!$A$3:$A$32,0),2),"")</f>
        <v>Reds</v>
      </c>
      <c r="N402" t="str">
        <f t="shared" si="43"/>
        <v>Sonny Gray</v>
      </c>
      <c r="O402" s="62">
        <f t="shared" si="47"/>
        <v>0.54</v>
      </c>
    </row>
    <row r="403" spans="1:15" x14ac:dyDescent="0.25">
      <c r="C403" t="s">
        <v>1062</v>
      </c>
      <c r="H403" s="62"/>
      <c r="J403">
        <f t="shared" ca="1" si="44"/>
        <v>4</v>
      </c>
      <c r="K403" s="63" t="str">
        <f t="shared" ca="1" si="45"/>
        <v>9/24</v>
      </c>
      <c r="L403" t="str">
        <f t="shared" si="46"/>
        <v/>
      </c>
      <c r="M403" t="str">
        <f>IFERROR(INDEX(Overview!$A$3:$B$32,MATCH('538'!$L403,Overview!$A$3:$A$32,0),2),"")</f>
        <v/>
      </c>
      <c r="N403" t="str">
        <f t="shared" si="43"/>
        <v/>
      </c>
      <c r="O403" s="62">
        <f t="shared" si="47"/>
        <v>0</v>
      </c>
    </row>
    <row r="404" spans="1:15" x14ac:dyDescent="0.25">
      <c r="A404" t="s">
        <v>4548</v>
      </c>
      <c r="B404" t="s">
        <v>992</v>
      </c>
      <c r="C404" t="s">
        <v>4810</v>
      </c>
      <c r="D404">
        <v>1508</v>
      </c>
      <c r="E404" t="s">
        <v>1015</v>
      </c>
      <c r="F404">
        <v>0</v>
      </c>
      <c r="G404">
        <f>1499</f>
        <v>1499</v>
      </c>
      <c r="H404" s="62">
        <v>0.43</v>
      </c>
      <c r="I404">
        <v>1</v>
      </c>
      <c r="J404">
        <f t="shared" ca="1" si="44"/>
        <v>4</v>
      </c>
      <c r="K404" s="63" t="str">
        <f t="shared" ca="1" si="45"/>
        <v>9/24</v>
      </c>
      <c r="L404" t="str">
        <f t="shared" si="46"/>
        <v>PHI</v>
      </c>
      <c r="M404" t="str">
        <f>IFERROR(INDEX(Overview!$A$3:$B$32,MATCH('538'!$L404,Overview!$A$3:$A$32,0),2),"")</f>
        <v>Phillies</v>
      </c>
      <c r="N404" t="str">
        <f t="shared" si="43"/>
        <v>Blake Parker</v>
      </c>
      <c r="O404" s="62">
        <f t="shared" si="47"/>
        <v>0.43</v>
      </c>
    </row>
    <row r="405" spans="1:15" x14ac:dyDescent="0.25">
      <c r="C405" t="s">
        <v>4811</v>
      </c>
      <c r="H405" s="62"/>
      <c r="J405">
        <f t="shared" ca="1" si="44"/>
        <v>4</v>
      </c>
      <c r="K405" s="63" t="str">
        <f t="shared" ca="1" si="45"/>
        <v>9/24</v>
      </c>
      <c r="L405" t="str">
        <f t="shared" si="46"/>
        <v/>
      </c>
      <c r="M405" t="str">
        <f>IFERROR(INDEX(Overview!$A$3:$B$32,MATCH('538'!$L405,Overview!$A$3:$A$32,0),2),"")</f>
        <v/>
      </c>
      <c r="N405" t="str">
        <f t="shared" si="43"/>
        <v/>
      </c>
      <c r="O405" s="62">
        <f t="shared" si="47"/>
        <v>0</v>
      </c>
    </row>
    <row r="406" spans="1:15" x14ac:dyDescent="0.25">
      <c r="B406" t="s">
        <v>955</v>
      </c>
      <c r="C406" t="s">
        <v>4808</v>
      </c>
      <c r="D406">
        <v>1554</v>
      </c>
      <c r="E406" t="s">
        <v>3581</v>
      </c>
      <c r="F406">
        <v>24</v>
      </c>
      <c r="G406">
        <f>1549</f>
        <v>1549</v>
      </c>
      <c r="H406" s="62">
        <v>0.56999999999999995</v>
      </c>
      <c r="I406">
        <v>4</v>
      </c>
      <c r="J406">
        <f t="shared" ca="1" si="44"/>
        <v>4</v>
      </c>
      <c r="K406" s="63" t="str">
        <f t="shared" ca="1" si="45"/>
        <v>9/24</v>
      </c>
      <c r="L406" t="str">
        <f t="shared" si="46"/>
        <v>WSH</v>
      </c>
      <c r="M406" t="str">
        <f>IFERROR(INDEX(Overview!$A$3:$B$32,MATCH('538'!$L406,Overview!$A$3:$A$32,0),2),"")</f>
        <v/>
      </c>
      <c r="N406" t="str">
        <f t="shared" si="43"/>
        <v>Joe Ross</v>
      </c>
      <c r="O406" s="62">
        <f t="shared" si="47"/>
        <v>0.56999999999999995</v>
      </c>
    </row>
    <row r="407" spans="1:15" x14ac:dyDescent="0.25">
      <c r="C407" t="s">
        <v>4809</v>
      </c>
      <c r="H407" s="62"/>
      <c r="J407">
        <f t="shared" ca="1" si="44"/>
        <v>4</v>
      </c>
      <c r="K407" s="63" t="str">
        <f t="shared" ca="1" si="45"/>
        <v>9/24</v>
      </c>
      <c r="L407" t="str">
        <f t="shared" si="46"/>
        <v/>
      </c>
      <c r="M407" t="str">
        <f>IFERROR(INDEX(Overview!$A$3:$B$32,MATCH('538'!$L407,Overview!$A$3:$A$32,0),2),"")</f>
        <v/>
      </c>
      <c r="N407" t="str">
        <f t="shared" si="43"/>
        <v/>
      </c>
      <c r="O407" s="62">
        <f t="shared" si="47"/>
        <v>0</v>
      </c>
    </row>
    <row r="408" spans="1:15" x14ac:dyDescent="0.25">
      <c r="A408" t="s">
        <v>4547</v>
      </c>
      <c r="B408" t="s">
        <v>954</v>
      </c>
      <c r="C408" t="s">
        <v>993</v>
      </c>
      <c r="D408">
        <v>1549</v>
      </c>
      <c r="E408" t="s">
        <v>1063</v>
      </c>
      <c r="F408" t="s">
        <v>1038</v>
      </c>
      <c r="G408">
        <f>1540</f>
        <v>1540</v>
      </c>
      <c r="H408" s="62">
        <v>0.52</v>
      </c>
      <c r="I408">
        <v>9</v>
      </c>
      <c r="J408">
        <f t="shared" ca="1" si="44"/>
        <v>4</v>
      </c>
      <c r="K408" s="63" t="str">
        <f t="shared" ca="1" si="45"/>
        <v>9/23</v>
      </c>
      <c r="L408" t="str">
        <f t="shared" si="46"/>
        <v>STL</v>
      </c>
      <c r="M408" t="str">
        <f>IFERROR(INDEX(Overview!$A$3:$B$32,MATCH('538'!$L408,Overview!$A$3:$A$32,0),2),"")</f>
        <v>Cardinals</v>
      </c>
      <c r="N408" t="str">
        <f t="shared" si="43"/>
        <v>Adam Wainwright</v>
      </c>
      <c r="O408" s="62">
        <f t="shared" si="47"/>
        <v>0.52</v>
      </c>
    </row>
    <row r="409" spans="1:15" x14ac:dyDescent="0.25">
      <c r="C409" t="s">
        <v>994</v>
      </c>
      <c r="J409">
        <f t="shared" ca="1" si="44"/>
        <v>4</v>
      </c>
      <c r="K409" s="63" t="str">
        <f t="shared" ca="1" si="45"/>
        <v>9/23</v>
      </c>
      <c r="L409" t="str">
        <f t="shared" si="46"/>
        <v/>
      </c>
      <c r="M409" t="str">
        <f>IFERROR(INDEX(Overview!$A$3:$B$32,MATCH('538'!$L409,Overview!$A$3:$A$32,0),2),"")</f>
        <v/>
      </c>
      <c r="N409" t="str">
        <f t="shared" si="43"/>
        <v/>
      </c>
      <c r="O409" s="62">
        <f t="shared" si="47"/>
        <v>0</v>
      </c>
    </row>
    <row r="410" spans="1:15" x14ac:dyDescent="0.25">
      <c r="B410" t="s">
        <v>1019</v>
      </c>
      <c r="C410" t="s">
        <v>1376</v>
      </c>
      <c r="D410">
        <v>1513</v>
      </c>
      <c r="E410" t="s">
        <v>961</v>
      </c>
      <c r="F410">
        <v>22</v>
      </c>
      <c r="G410">
        <f>1529</f>
        <v>1529</v>
      </c>
      <c r="H410" s="62">
        <v>0.48</v>
      </c>
      <c r="I410">
        <v>7</v>
      </c>
    </row>
    <row r="411" spans="1:15" x14ac:dyDescent="0.25">
      <c r="C411" t="s">
        <v>1377</v>
      </c>
    </row>
    <row r="412" spans="1:15" x14ac:dyDescent="0.25">
      <c r="A412" t="s">
        <v>4546</v>
      </c>
      <c r="B412" t="s">
        <v>950</v>
      </c>
      <c r="C412" t="s">
        <v>4383</v>
      </c>
      <c r="D412">
        <v>1538</v>
      </c>
      <c r="E412" t="s">
        <v>1083</v>
      </c>
      <c r="F412">
        <v>0</v>
      </c>
      <c r="G412">
        <f>1520</f>
        <v>1520</v>
      </c>
      <c r="H412" s="62">
        <v>0.4</v>
      </c>
      <c r="I412">
        <v>4</v>
      </c>
    </row>
    <row r="413" spans="1:15" x14ac:dyDescent="0.25">
      <c r="C413" t="s">
        <v>4384</v>
      </c>
      <c r="H413" s="62"/>
    </row>
    <row r="414" spans="1:15" x14ac:dyDescent="0.25">
      <c r="B414" t="s">
        <v>982</v>
      </c>
      <c r="C414" t="s">
        <v>4534</v>
      </c>
      <c r="D414">
        <v>1542</v>
      </c>
      <c r="E414">
        <v>21</v>
      </c>
      <c r="F414">
        <v>24</v>
      </c>
      <c r="G414">
        <f>1587</f>
        <v>1587</v>
      </c>
      <c r="H414" s="62">
        <v>0.6</v>
      </c>
      <c r="I414">
        <v>7</v>
      </c>
    </row>
    <row r="415" spans="1:15" x14ac:dyDescent="0.25">
      <c r="C415" t="s">
        <v>4535</v>
      </c>
      <c r="H415" s="62"/>
    </row>
    <row r="416" spans="1:15" x14ac:dyDescent="0.25">
      <c r="A416" t="s">
        <v>4546</v>
      </c>
      <c r="B416" t="s">
        <v>1000</v>
      </c>
      <c r="C416" t="s">
        <v>1471</v>
      </c>
      <c r="D416">
        <v>1430</v>
      </c>
      <c r="E416">
        <v>3</v>
      </c>
      <c r="F416" t="s">
        <v>953</v>
      </c>
      <c r="G416">
        <f>1430</f>
        <v>1430</v>
      </c>
      <c r="H416" s="62">
        <v>0.35</v>
      </c>
      <c r="I416">
        <v>8</v>
      </c>
    </row>
    <row r="417" spans="1:9" x14ac:dyDescent="0.25">
      <c r="C417" t="s">
        <v>1472</v>
      </c>
      <c r="H417" s="62"/>
    </row>
    <row r="418" spans="1:9" x14ac:dyDescent="0.25">
      <c r="B418" t="s">
        <v>962</v>
      </c>
      <c r="C418" t="s">
        <v>1090</v>
      </c>
      <c r="D418">
        <v>1532</v>
      </c>
      <c r="E418" t="s">
        <v>983</v>
      </c>
      <c r="F418">
        <v>21</v>
      </c>
      <c r="G418">
        <f>1536</f>
        <v>1536</v>
      </c>
      <c r="H418" s="62">
        <v>0.65</v>
      </c>
      <c r="I418">
        <v>4</v>
      </c>
    </row>
    <row r="419" spans="1:9" x14ac:dyDescent="0.25">
      <c r="C419" t="s">
        <v>1091</v>
      </c>
      <c r="H419" s="62"/>
    </row>
    <row r="420" spans="1:9" x14ac:dyDescent="0.25">
      <c r="A420" t="s">
        <v>4545</v>
      </c>
      <c r="B420" t="s">
        <v>978</v>
      </c>
      <c r="C420" t="s">
        <v>4812</v>
      </c>
      <c r="D420">
        <v>1409</v>
      </c>
      <c r="E420">
        <v>2</v>
      </c>
      <c r="F420" t="s">
        <v>949</v>
      </c>
      <c r="G420">
        <f>1409</f>
        <v>1409</v>
      </c>
      <c r="H420" s="62">
        <v>0.37</v>
      </c>
      <c r="I420">
        <v>10</v>
      </c>
    </row>
    <row r="421" spans="1:9" x14ac:dyDescent="0.25">
      <c r="C421" t="s">
        <v>4813</v>
      </c>
      <c r="H421" s="62"/>
    </row>
    <row r="422" spans="1:9" x14ac:dyDescent="0.25">
      <c r="B422" t="s">
        <v>1024</v>
      </c>
      <c r="C422" t="s">
        <v>4108</v>
      </c>
      <c r="D422">
        <v>1470</v>
      </c>
      <c r="E422">
        <v>11</v>
      </c>
      <c r="F422">
        <v>22</v>
      </c>
      <c r="G422">
        <f>1503</f>
        <v>1503</v>
      </c>
      <c r="H422" s="62">
        <v>0.63</v>
      </c>
      <c r="I422">
        <v>11</v>
      </c>
    </row>
    <row r="423" spans="1:9" x14ac:dyDescent="0.25">
      <c r="C423" t="s">
        <v>4109</v>
      </c>
      <c r="H423" s="62"/>
    </row>
    <row r="424" spans="1:9" x14ac:dyDescent="0.25">
      <c r="A424" t="s">
        <v>4544</v>
      </c>
      <c r="B424" t="s">
        <v>992</v>
      </c>
      <c r="C424" t="s">
        <v>4104</v>
      </c>
      <c r="D424">
        <v>1510</v>
      </c>
      <c r="E424" t="s">
        <v>1010</v>
      </c>
      <c r="F424" t="s">
        <v>949</v>
      </c>
      <c r="G424">
        <f>1501</f>
        <v>1501</v>
      </c>
      <c r="H424" s="62">
        <v>0.38</v>
      </c>
      <c r="I424">
        <v>2</v>
      </c>
    </row>
    <row r="425" spans="1:9" x14ac:dyDescent="0.25">
      <c r="C425" t="s">
        <v>4105</v>
      </c>
      <c r="H425" s="62"/>
    </row>
    <row r="426" spans="1:9" x14ac:dyDescent="0.25">
      <c r="B426" t="s">
        <v>955</v>
      </c>
      <c r="C426" t="s">
        <v>956</v>
      </c>
      <c r="D426">
        <v>1552</v>
      </c>
      <c r="E426">
        <v>12</v>
      </c>
      <c r="F426">
        <v>21</v>
      </c>
      <c r="G426">
        <f>1585</f>
        <v>1585</v>
      </c>
      <c r="H426" s="62">
        <v>0.62</v>
      </c>
      <c r="I426">
        <v>7</v>
      </c>
    </row>
    <row r="427" spans="1:9" x14ac:dyDescent="0.25">
      <c r="C427" t="s">
        <v>957</v>
      </c>
      <c r="H427" s="62"/>
    </row>
    <row r="428" spans="1:9" x14ac:dyDescent="0.25">
      <c r="A428" t="s">
        <v>4543</v>
      </c>
      <c r="B428" t="s">
        <v>992</v>
      </c>
      <c r="C428" t="s">
        <v>1380</v>
      </c>
      <c r="D428">
        <v>1513</v>
      </c>
      <c r="E428" t="s">
        <v>1003</v>
      </c>
      <c r="F428">
        <v>0</v>
      </c>
      <c r="G428">
        <f>1505</f>
        <v>1505</v>
      </c>
      <c r="H428" s="62">
        <v>0.44</v>
      </c>
      <c r="I428">
        <v>1</v>
      </c>
    </row>
    <row r="429" spans="1:9" x14ac:dyDescent="0.25">
      <c r="C429" t="s">
        <v>1381</v>
      </c>
      <c r="H429" s="62"/>
    </row>
    <row r="430" spans="1:9" x14ac:dyDescent="0.25">
      <c r="B430" t="s">
        <v>999</v>
      </c>
      <c r="C430" t="s">
        <v>1388</v>
      </c>
      <c r="D430">
        <v>1554</v>
      </c>
      <c r="E430" t="s">
        <v>4550</v>
      </c>
      <c r="F430">
        <v>24</v>
      </c>
      <c r="G430">
        <f>1547</f>
        <v>1547</v>
      </c>
      <c r="H430" s="62">
        <v>0.56000000000000005</v>
      </c>
      <c r="I430">
        <v>10</v>
      </c>
    </row>
    <row r="431" spans="1:9" x14ac:dyDescent="0.25">
      <c r="C431" t="s">
        <v>1389</v>
      </c>
      <c r="H431" s="62"/>
    </row>
    <row r="432" spans="1:9" x14ac:dyDescent="0.25">
      <c r="A432" t="s">
        <v>4542</v>
      </c>
      <c r="B432" t="s">
        <v>1019</v>
      </c>
      <c r="C432" t="s">
        <v>1093</v>
      </c>
      <c r="D432">
        <v>1515</v>
      </c>
      <c r="E432">
        <v>5</v>
      </c>
      <c r="F432">
        <v>0</v>
      </c>
      <c r="G432">
        <f>1520</f>
        <v>1520</v>
      </c>
      <c r="H432" s="62">
        <v>0.52</v>
      </c>
      <c r="I432">
        <v>4</v>
      </c>
    </row>
    <row r="433" spans="1:9" x14ac:dyDescent="0.25">
      <c r="C433" t="s">
        <v>1094</v>
      </c>
      <c r="H433" s="62"/>
    </row>
    <row r="434" spans="1:9" x14ac:dyDescent="0.25">
      <c r="B434" t="s">
        <v>963</v>
      </c>
      <c r="C434" t="s">
        <v>4532</v>
      </c>
      <c r="D434">
        <v>1465</v>
      </c>
      <c r="E434">
        <v>18</v>
      </c>
      <c r="F434">
        <v>24</v>
      </c>
      <c r="G434">
        <f>1507</f>
        <v>1507</v>
      </c>
      <c r="H434" s="62">
        <v>0.48</v>
      </c>
      <c r="I434">
        <v>6</v>
      </c>
    </row>
    <row r="435" spans="1:9" x14ac:dyDescent="0.25">
      <c r="C435" t="s">
        <v>4533</v>
      </c>
      <c r="H435" s="62"/>
    </row>
    <row r="436" spans="1:9" x14ac:dyDescent="0.25">
      <c r="A436" t="s">
        <v>4542</v>
      </c>
      <c r="B436" t="s">
        <v>968</v>
      </c>
      <c r="C436" t="s">
        <v>4100</v>
      </c>
      <c r="D436">
        <v>1480</v>
      </c>
      <c r="E436" t="s">
        <v>3652</v>
      </c>
      <c r="F436">
        <v>0</v>
      </c>
      <c r="G436">
        <f>1465</f>
        <v>1465</v>
      </c>
      <c r="H436" s="62">
        <v>0.28999999999999998</v>
      </c>
      <c r="I436">
        <v>4</v>
      </c>
    </row>
    <row r="437" spans="1:9" x14ac:dyDescent="0.25">
      <c r="C437" t="s">
        <v>4101</v>
      </c>
      <c r="H437" s="62"/>
    </row>
    <row r="438" spans="1:9" x14ac:dyDescent="0.25">
      <c r="B438" t="s">
        <v>986</v>
      </c>
      <c r="C438" t="s">
        <v>1051</v>
      </c>
      <c r="D438">
        <v>1587</v>
      </c>
      <c r="E438">
        <v>8</v>
      </c>
      <c r="F438">
        <v>24</v>
      </c>
      <c r="G438">
        <f>1619</f>
        <v>1619</v>
      </c>
      <c r="H438" s="62">
        <v>0.71</v>
      </c>
      <c r="I438">
        <v>7</v>
      </c>
    </row>
    <row r="439" spans="1:9" x14ac:dyDescent="0.25">
      <c r="C439" t="s">
        <v>1052</v>
      </c>
      <c r="H439" s="62"/>
    </row>
    <row r="440" spans="1:9" x14ac:dyDescent="0.25">
      <c r="A440" t="s">
        <v>4541</v>
      </c>
      <c r="B440" t="s">
        <v>1014</v>
      </c>
      <c r="C440" t="s">
        <v>1110</v>
      </c>
      <c r="D440">
        <v>1467</v>
      </c>
      <c r="E440">
        <v>40</v>
      </c>
      <c r="F440">
        <v>0</v>
      </c>
      <c r="G440">
        <f>1507</f>
        <v>1507</v>
      </c>
      <c r="H440" s="62">
        <v>0.39</v>
      </c>
      <c r="I440">
        <v>8</v>
      </c>
    </row>
    <row r="441" spans="1:9" x14ac:dyDescent="0.25">
      <c r="C441" t="s">
        <v>1111</v>
      </c>
      <c r="H441" s="62"/>
    </row>
    <row r="442" spans="1:9" x14ac:dyDescent="0.25">
      <c r="B442" t="s">
        <v>948</v>
      </c>
      <c r="C442" t="s">
        <v>959</v>
      </c>
      <c r="D442">
        <v>1564</v>
      </c>
      <c r="E442" t="s">
        <v>964</v>
      </c>
      <c r="F442">
        <v>24</v>
      </c>
      <c r="G442">
        <f>1587</f>
        <v>1587</v>
      </c>
      <c r="H442" s="62">
        <v>0.61</v>
      </c>
      <c r="I442">
        <v>3</v>
      </c>
    </row>
    <row r="443" spans="1:9" x14ac:dyDescent="0.25">
      <c r="C443" t="s">
        <v>960</v>
      </c>
      <c r="H443" s="62"/>
    </row>
    <row r="444" spans="1:9" x14ac:dyDescent="0.25">
      <c r="A444" t="s">
        <v>4540</v>
      </c>
      <c r="B444" t="s">
        <v>954</v>
      </c>
      <c r="C444" t="s">
        <v>1043</v>
      </c>
      <c r="D444">
        <v>1548</v>
      </c>
      <c r="E444" t="s">
        <v>964</v>
      </c>
      <c r="F444">
        <v>0</v>
      </c>
      <c r="G444">
        <f>1547</f>
        <v>1547</v>
      </c>
      <c r="H444" s="62">
        <v>0.45</v>
      </c>
      <c r="I444">
        <v>3</v>
      </c>
    </row>
    <row r="445" spans="1:9" x14ac:dyDescent="0.25">
      <c r="C445" t="s">
        <v>1044</v>
      </c>
      <c r="H445" s="62"/>
    </row>
    <row r="446" spans="1:9" x14ac:dyDescent="0.25">
      <c r="B446" t="s">
        <v>1026</v>
      </c>
      <c r="C446" t="s">
        <v>1099</v>
      </c>
      <c r="D446">
        <v>1536</v>
      </c>
      <c r="E446">
        <v>24</v>
      </c>
      <c r="F446">
        <v>24</v>
      </c>
      <c r="G446">
        <f>1584</f>
        <v>1584</v>
      </c>
      <c r="H446" s="62">
        <v>0.55000000000000004</v>
      </c>
      <c r="I446">
        <v>2</v>
      </c>
    </row>
    <row r="447" spans="1:9" x14ac:dyDescent="0.25">
      <c r="C447" t="s">
        <v>1100</v>
      </c>
      <c r="H447" s="62"/>
    </row>
    <row r="448" spans="1:9" x14ac:dyDescent="0.25">
      <c r="A448" t="s">
        <v>4539</v>
      </c>
      <c r="B448" t="s">
        <v>984</v>
      </c>
      <c r="C448" t="s">
        <v>4366</v>
      </c>
      <c r="D448">
        <v>1432</v>
      </c>
      <c r="E448" t="s">
        <v>1045</v>
      </c>
      <c r="F448">
        <v>0</v>
      </c>
      <c r="G448">
        <f>1419</f>
        <v>1419</v>
      </c>
      <c r="H448" s="62">
        <v>0.33</v>
      </c>
      <c r="I448">
        <v>8</v>
      </c>
    </row>
    <row r="449" spans="1:9" x14ac:dyDescent="0.25">
      <c r="C449" t="s">
        <v>1066</v>
      </c>
      <c r="H449" s="62"/>
    </row>
    <row r="450" spans="1:9" x14ac:dyDescent="0.25">
      <c r="B450" t="s">
        <v>975</v>
      </c>
      <c r="C450" t="s">
        <v>1047</v>
      </c>
      <c r="D450">
        <v>1540</v>
      </c>
      <c r="E450" t="s">
        <v>4359</v>
      </c>
      <c r="F450">
        <v>24</v>
      </c>
      <c r="G450">
        <f>1540</f>
        <v>1540</v>
      </c>
      <c r="H450" s="62">
        <v>0.67</v>
      </c>
      <c r="I450">
        <v>12</v>
      </c>
    </row>
    <row r="451" spans="1:9" x14ac:dyDescent="0.25">
      <c r="C451" t="s">
        <v>1048</v>
      </c>
      <c r="H451" s="62"/>
    </row>
    <row r="452" spans="1:9" x14ac:dyDescent="0.25">
      <c r="A452" t="s">
        <v>4539</v>
      </c>
      <c r="B452" t="s">
        <v>1011</v>
      </c>
      <c r="C452" t="s">
        <v>1384</v>
      </c>
      <c r="D452">
        <v>1464</v>
      </c>
      <c r="E452">
        <v>1</v>
      </c>
      <c r="F452">
        <v>0</v>
      </c>
      <c r="G452">
        <f>1465</f>
        <v>1465</v>
      </c>
      <c r="H452" s="62">
        <v>0.35</v>
      </c>
      <c r="I452">
        <v>3</v>
      </c>
    </row>
    <row r="453" spans="1:9" x14ac:dyDescent="0.25">
      <c r="C453" t="s">
        <v>1385</v>
      </c>
      <c r="H453" s="62"/>
    </row>
    <row r="454" spans="1:9" x14ac:dyDescent="0.25">
      <c r="B454" t="s">
        <v>969</v>
      </c>
      <c r="C454" t="s">
        <v>4786</v>
      </c>
      <c r="D454">
        <v>1527</v>
      </c>
      <c r="E454">
        <v>20</v>
      </c>
      <c r="F454">
        <v>24</v>
      </c>
      <c r="G454">
        <f>1571</f>
        <v>1571</v>
      </c>
      <c r="H454" s="62">
        <v>0.65</v>
      </c>
      <c r="I454">
        <v>4</v>
      </c>
    </row>
    <row r="455" spans="1:9" x14ac:dyDescent="0.25">
      <c r="C455" t="s">
        <v>4787</v>
      </c>
      <c r="H455" s="62"/>
    </row>
    <row r="456" spans="1:9" x14ac:dyDescent="0.25">
      <c r="A456" t="s">
        <v>4539</v>
      </c>
      <c r="B456" t="s">
        <v>1025</v>
      </c>
      <c r="C456" t="s">
        <v>4907</v>
      </c>
      <c r="D456">
        <v>1477</v>
      </c>
      <c r="E456">
        <v>3</v>
      </c>
      <c r="F456">
        <v>0</v>
      </c>
      <c r="G456">
        <f>1480</f>
        <v>1480</v>
      </c>
      <c r="H456" s="62">
        <v>0.26</v>
      </c>
      <c r="I456">
        <v>5</v>
      </c>
    </row>
    <row r="457" spans="1:9" x14ac:dyDescent="0.25">
      <c r="C457" t="s">
        <v>952</v>
      </c>
      <c r="H457" s="62"/>
    </row>
    <row r="458" spans="1:9" x14ac:dyDescent="0.25">
      <c r="B458" t="s">
        <v>972</v>
      </c>
      <c r="C458" t="s">
        <v>973</v>
      </c>
      <c r="D458">
        <v>1589</v>
      </c>
      <c r="E458">
        <v>48</v>
      </c>
      <c r="F458">
        <v>24</v>
      </c>
      <c r="G458">
        <f>1661</f>
        <v>1661</v>
      </c>
      <c r="H458" s="62">
        <v>0.74</v>
      </c>
      <c r="I458">
        <v>13</v>
      </c>
    </row>
    <row r="459" spans="1:9" x14ac:dyDescent="0.25">
      <c r="C459" t="s">
        <v>974</v>
      </c>
      <c r="H459" s="62"/>
    </row>
    <row r="460" spans="1:9" x14ac:dyDescent="0.25">
      <c r="A460" t="s">
        <v>1114</v>
      </c>
    </row>
    <row r="461" spans="1:9" x14ac:dyDescent="0.25">
      <c r="A461" t="s">
        <v>1116</v>
      </c>
      <c r="H461" s="62"/>
    </row>
    <row r="462" spans="1:9" x14ac:dyDescent="0.25">
      <c r="A462" t="s">
        <v>1117</v>
      </c>
    </row>
    <row r="463" spans="1:9" x14ac:dyDescent="0.25">
      <c r="A463" t="s">
        <v>1118</v>
      </c>
      <c r="H463" s="62"/>
    </row>
    <row r="465" spans="1:8" x14ac:dyDescent="0.25">
      <c r="A465" t="s">
        <v>1119</v>
      </c>
      <c r="H465" s="62"/>
    </row>
    <row r="467" spans="1:8" x14ac:dyDescent="0.25">
      <c r="A467" t="s">
        <v>1120</v>
      </c>
      <c r="H467" s="62"/>
    </row>
    <row r="469" spans="1:8" x14ac:dyDescent="0.25">
      <c r="A469" t="s">
        <v>1121</v>
      </c>
      <c r="H469" s="62"/>
    </row>
    <row r="471" spans="1:8" x14ac:dyDescent="0.25">
      <c r="A471" t="s">
        <v>1122</v>
      </c>
      <c r="H471" s="62"/>
    </row>
    <row r="472" spans="1:8" x14ac:dyDescent="0.25">
      <c r="A472" t="s">
        <v>1123</v>
      </c>
    </row>
    <row r="473" spans="1:8" x14ac:dyDescent="0.25">
      <c r="A473" t="s">
        <v>1124</v>
      </c>
      <c r="H473" s="62"/>
    </row>
    <row r="474" spans="1:8" x14ac:dyDescent="0.25">
      <c r="A474" t="s">
        <v>1125</v>
      </c>
    </row>
    <row r="475" spans="1:8" x14ac:dyDescent="0.25">
      <c r="A475" t="s">
        <v>1126</v>
      </c>
      <c r="H475" s="62"/>
    </row>
    <row r="476" spans="1:8" x14ac:dyDescent="0.25">
      <c r="A476" t="s">
        <v>1127</v>
      </c>
    </row>
    <row r="477" spans="1:8" x14ac:dyDescent="0.25">
      <c r="A477" t="s">
        <v>1128</v>
      </c>
      <c r="H477" s="62"/>
    </row>
    <row r="479" spans="1:8" x14ac:dyDescent="0.25">
      <c r="A479" t="s">
        <v>1129</v>
      </c>
      <c r="H479" s="62"/>
    </row>
    <row r="480" spans="1:8" x14ac:dyDescent="0.25">
      <c r="A480" t="s">
        <v>1130</v>
      </c>
    </row>
    <row r="481" spans="1:8" x14ac:dyDescent="0.25">
      <c r="A481" t="s">
        <v>1131</v>
      </c>
      <c r="H481" s="62"/>
    </row>
    <row r="482" spans="1:8" x14ac:dyDescent="0.25">
      <c r="A482" t="s">
        <v>1132</v>
      </c>
    </row>
    <row r="483" spans="1:8" x14ac:dyDescent="0.25">
      <c r="H483" s="62"/>
    </row>
    <row r="484" spans="1:8" x14ac:dyDescent="0.25">
      <c r="A484" t="s">
        <v>1133</v>
      </c>
    </row>
    <row r="485" spans="1:8" x14ac:dyDescent="0.25">
      <c r="A485" t="s">
        <v>1134</v>
      </c>
      <c r="H485" s="62"/>
    </row>
    <row r="486" spans="1:8" x14ac:dyDescent="0.25">
      <c r="A486" t="s">
        <v>1135</v>
      </c>
    </row>
    <row r="487" spans="1:8" x14ac:dyDescent="0.25">
      <c r="A487" t="s">
        <v>1136</v>
      </c>
      <c r="H487" s="62"/>
    </row>
    <row r="488" spans="1:8" x14ac:dyDescent="0.25">
      <c r="A488" t="s">
        <v>1137</v>
      </c>
    </row>
    <row r="489" spans="1:8" x14ac:dyDescent="0.25">
      <c r="A489" t="s">
        <v>1138</v>
      </c>
      <c r="H489" s="62"/>
    </row>
  </sheetData>
  <mergeCells count="17">
    <mergeCell ref="S31:S32"/>
    <mergeCell ref="S9:S10"/>
    <mergeCell ref="S11:S12"/>
    <mergeCell ref="S13:S14"/>
    <mergeCell ref="S15:S16"/>
    <mergeCell ref="S17:S18"/>
    <mergeCell ref="S19:S20"/>
    <mergeCell ref="S21:S22"/>
    <mergeCell ref="S23:S24"/>
    <mergeCell ref="S25:S26"/>
    <mergeCell ref="S27:S28"/>
    <mergeCell ref="S29:S30"/>
    <mergeCell ref="S33:S34"/>
    <mergeCell ref="S35:S36"/>
    <mergeCell ref="S37:S38"/>
    <mergeCell ref="S39:S40"/>
    <mergeCell ref="S41:S4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I876"/>
  <sheetViews>
    <sheetView zoomScaleNormal="100" workbookViewId="0">
      <pane ySplit="4" topLeftCell="A5" activePane="bottomLeft" state="frozen"/>
      <selection activeCell="AT3" sqref="AT3:BM32"/>
      <selection pane="bottomLeft" activeCell="E27" sqref="E27"/>
    </sheetView>
  </sheetViews>
  <sheetFormatPr defaultRowHeight="15" x14ac:dyDescent="0.25"/>
  <cols>
    <col min="1" max="1" width="22" bestFit="1" customWidth="1"/>
    <col min="22" max="22" width="20.5703125" customWidth="1"/>
    <col min="23" max="23" width="17.42578125" customWidth="1"/>
    <col min="24" max="25" width="11" customWidth="1"/>
    <col min="26" max="26" width="17.28515625" customWidth="1"/>
    <col min="29" max="29" width="14.42578125" bestFit="1" customWidth="1"/>
  </cols>
  <sheetData>
    <row r="1" spans="1:35" x14ac:dyDescent="0.25">
      <c r="A1" t="s">
        <v>783</v>
      </c>
      <c r="B1" s="12" t="s">
        <v>784</v>
      </c>
      <c r="G1" s="53" t="s">
        <v>1172</v>
      </c>
      <c r="T1" t="s">
        <v>859</v>
      </c>
      <c r="V1" s="61" t="s">
        <v>911</v>
      </c>
      <c r="W1" t="s">
        <v>912</v>
      </c>
    </row>
    <row r="2" spans="1:35" x14ac:dyDescent="0.25">
      <c r="T2">
        <f>AVERAGE(Pitchers[IP])</f>
        <v>49.449541284402734</v>
      </c>
      <c r="U2">
        <f>_xlfn.STDEV.P(Pitchers[IP])</f>
        <v>49.884706751464279</v>
      </c>
      <c r="V2">
        <f>T2+3*U2</f>
        <v>199.10366153879556</v>
      </c>
      <c r="W2">
        <f>MAX(Pitchers[IP])</f>
        <v>223</v>
      </c>
    </row>
    <row r="4" spans="1:35" x14ac:dyDescent="0.25">
      <c r="A4" t="s">
        <v>326</v>
      </c>
      <c r="B4" t="s">
        <v>33</v>
      </c>
      <c r="C4" t="s">
        <v>20</v>
      </c>
      <c r="D4" t="s">
        <v>21</v>
      </c>
      <c r="E4" t="s">
        <v>220</v>
      </c>
      <c r="F4" t="s">
        <v>221</v>
      </c>
      <c r="G4" t="s">
        <v>132</v>
      </c>
      <c r="H4" t="s">
        <v>252</v>
      </c>
      <c r="I4" t="s">
        <v>310</v>
      </c>
      <c r="J4" t="s">
        <v>327</v>
      </c>
      <c r="K4" t="s">
        <v>254</v>
      </c>
      <c r="L4" t="s">
        <v>253</v>
      </c>
      <c r="M4" t="s">
        <v>262</v>
      </c>
      <c r="N4" t="s">
        <v>263</v>
      </c>
      <c r="O4" t="s">
        <v>309</v>
      </c>
      <c r="P4" t="s">
        <v>328</v>
      </c>
      <c r="Q4" t="s">
        <v>329</v>
      </c>
      <c r="R4" t="s">
        <v>305</v>
      </c>
      <c r="S4" t="s">
        <v>316</v>
      </c>
      <c r="T4" t="s">
        <v>222</v>
      </c>
      <c r="U4" t="s">
        <v>774</v>
      </c>
      <c r="V4" t="s">
        <v>775</v>
      </c>
      <c r="W4" t="s">
        <v>779</v>
      </c>
      <c r="X4" t="s">
        <v>858</v>
      </c>
      <c r="Y4" t="s">
        <v>857</v>
      </c>
      <c r="Z4" t="s">
        <v>776</v>
      </c>
      <c r="AA4" t="s">
        <v>3457</v>
      </c>
    </row>
    <row r="5" spans="1:35" x14ac:dyDescent="0.25">
      <c r="A5" t="s">
        <v>347</v>
      </c>
      <c r="B5" t="s">
        <v>16</v>
      </c>
      <c r="C5">
        <v>34</v>
      </c>
      <c r="D5">
        <v>34</v>
      </c>
      <c r="E5">
        <v>2</v>
      </c>
      <c r="F5">
        <v>1</v>
      </c>
      <c r="G5">
        <v>223</v>
      </c>
      <c r="H5">
        <v>137</v>
      </c>
      <c r="I5">
        <v>64</v>
      </c>
      <c r="J5">
        <v>300</v>
      </c>
      <c r="K5">
        <v>42</v>
      </c>
      <c r="L5">
        <v>36</v>
      </c>
      <c r="M5">
        <v>21</v>
      </c>
      <c r="N5">
        <v>6</v>
      </c>
      <c r="O5">
        <v>0</v>
      </c>
      <c r="P5">
        <v>0</v>
      </c>
      <c r="Q5">
        <v>0</v>
      </c>
      <c r="R5">
        <v>2.58</v>
      </c>
      <c r="S5">
        <v>0.8</v>
      </c>
      <c r="T5">
        <f t="shared" ref="T5:T68" si="0">IF(D5=0,0,G5/D5)</f>
        <v>6.5588235294117645</v>
      </c>
      <c r="U5">
        <f t="shared" ref="U5:U68" si="1">IF(G5=0,0,I5/G5)</f>
        <v>0.28699551569506726</v>
      </c>
      <c r="V5" s="60">
        <f>U5-AVERAGEIFS(Pitchers[ER/IP],Pitchers[GS],"&gt;"&amp;0,Pitchers[IP],"&gt;"&amp;3)</f>
        <v>-0.28450507910425221</v>
      </c>
      <c r="W5" s="60">
        <f>IF(Pitchers[[#This Row],[IP/GS]]&lt;&gt;0,(Pitchers[[#This Row],[WHIP]]*$AH$5+$AI$5)/9*Pitchers[[#This Row],[IP/GS]],(Pitchers[[#This Row],[WHIP]]*$AH$5+$AI$5)/9*(Pitchers[[#This Row],[IP]]/Pitchers[[#This Row],[G]]))</f>
        <v>1.4083906803449919</v>
      </c>
      <c r="X5" s="60">
        <f>Pitchers[[#This Row],[Runs from WHIP]]-AVERAGEIFS(Pitchers[Runs from WHIP],Pitchers[GS],"&gt;"&amp;0,Pitchers[IP],"&gt;"&amp;3)</f>
        <v>-4.2775252257798675</v>
      </c>
      <c r="Y5" s="60">
        <f>IF(Pitchers[[#This Row],[IP/GS]]&lt;&gt;0,Pitchers[[#This Row],[ER/IP From Average]]*Pitchers[[#This Row],[IP/GS]],Pitchers[[#This Row],[ER/IP From Average]]*(Pitchers[[#This Row],[IP]]/Pitchers[[#This Row],[G]]))</f>
        <v>-1.8660186070661247</v>
      </c>
      <c r="Z5" s="60">
        <f t="shared" ref="Z5:Z68" si="2">AVERAGE(X5,X5,Y5,Y5,Y5)/1.5</f>
        <v>-1.8870808363677476</v>
      </c>
      <c r="AA5" s="32">
        <f>IF(Pitchers[[#This Row],[W]]=0,0,Pitchers[[#This Row],[W]]/(Pitchers[[#This Row],[W]]+Pitchers[[#This Row],[L]]))</f>
        <v>0.77777777777777779</v>
      </c>
      <c r="AB5" s="60"/>
      <c r="AC5" t="s">
        <v>860</v>
      </c>
      <c r="AD5">
        <f>MAX(Z5:Z876)</f>
        <v>10.815034733268051</v>
      </c>
      <c r="AH5">
        <f t="array" ref="AH5:AI10">LINEST($R$5:$R$476,$S$5:$S$476,1,1)</f>
        <v>4.6725739265040547</v>
      </c>
      <c r="AI5">
        <v>-1.8054692390258111</v>
      </c>
    </row>
    <row r="6" spans="1:35" x14ac:dyDescent="0.25">
      <c r="A6" t="s">
        <v>398</v>
      </c>
      <c r="B6" t="s">
        <v>3</v>
      </c>
      <c r="C6">
        <v>34</v>
      </c>
      <c r="D6">
        <v>33</v>
      </c>
      <c r="E6">
        <v>3</v>
      </c>
      <c r="F6">
        <v>2</v>
      </c>
      <c r="G6">
        <v>214.1</v>
      </c>
      <c r="H6">
        <v>186</v>
      </c>
      <c r="I6">
        <v>78</v>
      </c>
      <c r="J6">
        <v>259</v>
      </c>
      <c r="K6">
        <v>40</v>
      </c>
      <c r="L6">
        <v>31</v>
      </c>
      <c r="M6">
        <v>15</v>
      </c>
      <c r="N6">
        <v>8</v>
      </c>
      <c r="O6">
        <v>0</v>
      </c>
      <c r="P6">
        <v>0</v>
      </c>
      <c r="Q6">
        <v>0</v>
      </c>
      <c r="R6">
        <v>3.28</v>
      </c>
      <c r="S6">
        <v>1.05</v>
      </c>
      <c r="T6">
        <f t="shared" si="0"/>
        <v>6.4878787878787874</v>
      </c>
      <c r="U6">
        <f t="shared" si="1"/>
        <v>0.36431574030826719</v>
      </c>
      <c r="V6">
        <f>U6-AVERAGEIFS(Pitchers[ER/IP],Pitchers[GS],"&gt;"&amp;0,Pitchers[IP],"&gt;"&amp;3)</f>
        <v>-0.20718485449105228</v>
      </c>
      <c r="W6">
        <f>IF(Pitchers[[#This Row],[IP/GS]]&lt;&gt;0,(Pitchers[[#This Row],[WHIP]]*$AH$5+$AI$5)/9*Pitchers[[#This Row],[IP/GS]],(Pitchers[[#This Row],[WHIP]]*$AH$5+$AI$5)/9*(Pitchers[[#This Row],[IP]]/Pitchers[[#This Row],[G]]))</f>
        <v>2.2352424830717772</v>
      </c>
      <c r="X6">
        <f>Pitchers[[#This Row],[Runs from WHIP]]-AVERAGEIFS(Pitchers[Runs from WHIP],Pitchers[GS],"&gt;"&amp;0,Pitchers[IP],"&gt;"&amp;3)</f>
        <v>-3.450673423053082</v>
      </c>
      <c r="Y6">
        <f>IF(Pitchers[[#This Row],[IP/GS]]&lt;&gt;0,Pitchers[[#This Row],[ER/IP From Average]]*Pitchers[[#This Row],[IP/GS]],Pitchers[[#This Row],[ER/IP From Average]]*(Pitchers[[#This Row],[IP]]/Pitchers[[#This Row],[G]]))</f>
        <v>-1.3441902226222513</v>
      </c>
      <c r="Z6">
        <f t="shared" si="2"/>
        <v>-1.4578556685297224</v>
      </c>
      <c r="AA6" s="32">
        <f>IF(Pitchers[[#This Row],[W]]=0,0,Pitchers[[#This Row],[W]]/(Pitchers[[#This Row],[W]]+Pitchers[[#This Row],[L]]))</f>
        <v>0.65217391304347827</v>
      </c>
      <c r="AB6" s="60"/>
      <c r="AC6" t="s">
        <v>861</v>
      </c>
      <c r="AD6">
        <f>MIN(Z5:Z876)</f>
        <v>-4.4566855075100689</v>
      </c>
      <c r="AH6">
        <v>0.15427065761219372</v>
      </c>
      <c r="AI6">
        <v>0.20904479744808846</v>
      </c>
    </row>
    <row r="7" spans="1:35" x14ac:dyDescent="0.25">
      <c r="A7" t="s">
        <v>350</v>
      </c>
      <c r="B7" t="s">
        <v>16</v>
      </c>
      <c r="C7">
        <v>33</v>
      </c>
      <c r="D7">
        <v>33</v>
      </c>
      <c r="E7">
        <v>0</v>
      </c>
      <c r="F7">
        <v>0</v>
      </c>
      <c r="G7">
        <v>212.1</v>
      </c>
      <c r="H7">
        <v>142</v>
      </c>
      <c r="I7">
        <v>59</v>
      </c>
      <c r="J7">
        <v>326</v>
      </c>
      <c r="K7">
        <v>48</v>
      </c>
      <c r="L7">
        <v>29</v>
      </c>
      <c r="M7">
        <v>20</v>
      </c>
      <c r="N7">
        <v>5</v>
      </c>
      <c r="O7">
        <v>0</v>
      </c>
      <c r="P7">
        <v>0</v>
      </c>
      <c r="Q7">
        <v>0</v>
      </c>
      <c r="R7">
        <v>2.5</v>
      </c>
      <c r="S7">
        <v>0.89</v>
      </c>
      <c r="T7">
        <f t="shared" si="0"/>
        <v>6.4272727272727268</v>
      </c>
      <c r="U7">
        <f t="shared" si="1"/>
        <v>0.27817067421027819</v>
      </c>
      <c r="V7">
        <f>U7-AVERAGEIFS(Pitchers[ER/IP],Pitchers[GS],"&gt;"&amp;0,Pitchers[IP],"&gt;"&amp;3)</f>
        <v>-0.29332992058904128</v>
      </c>
      <c r="W7">
        <f>IF(Pitchers[[#This Row],[IP/GS]]&lt;&gt;0,(Pitchers[[#This Row],[WHIP]]*$AH$5+$AI$5)/9*Pitchers[[#This Row],[IP/GS]],(Pitchers[[#This Row],[WHIP]]*$AH$5+$AI$5)/9*(Pitchers[[#This Row],[IP]]/Pitchers[[#This Row],[G]]))</f>
        <v>1.6804615553362601</v>
      </c>
      <c r="X7">
        <f>Pitchers[[#This Row],[Runs from WHIP]]-AVERAGEIFS(Pitchers[Runs from WHIP],Pitchers[GS],"&gt;"&amp;0,Pitchers[IP],"&gt;"&amp;3)</f>
        <v>-4.0054543507885993</v>
      </c>
      <c r="Y7">
        <f>IF(Pitchers[[#This Row],[IP/GS]]&lt;&gt;0,Pitchers[[#This Row],[ER/IP From Average]]*Pitchers[[#This Row],[IP/GS]],Pitchers[[#This Row],[ER/IP From Average]]*(Pitchers[[#This Row],[IP]]/Pitchers[[#This Row],[G]]))</f>
        <v>-1.8853113986950198</v>
      </c>
      <c r="Z7">
        <f t="shared" si="2"/>
        <v>-1.8222457196883013</v>
      </c>
      <c r="AA7" s="32">
        <f>IF(Pitchers[[#This Row],[W]]=0,0,Pitchers[[#This Row],[W]]/(Pitchers[[#This Row],[W]]+Pitchers[[#This Row],[L]]))</f>
        <v>0.8</v>
      </c>
      <c r="AB7" s="60"/>
      <c r="AC7" t="s">
        <v>862</v>
      </c>
      <c r="AD7">
        <f>AVERAGE(Pitchers[Pitcher Run Adj.])</f>
        <v>-0.7799157958940548</v>
      </c>
      <c r="AH7">
        <v>0.66123012264515879</v>
      </c>
      <c r="AI7">
        <v>0.80647355425569622</v>
      </c>
    </row>
    <row r="8" spans="1:35" x14ac:dyDescent="0.25">
      <c r="A8" t="s">
        <v>344</v>
      </c>
      <c r="B8" t="s">
        <v>340</v>
      </c>
      <c r="C8">
        <v>33</v>
      </c>
      <c r="D8">
        <v>33</v>
      </c>
      <c r="E8">
        <v>0</v>
      </c>
      <c r="F8">
        <v>0</v>
      </c>
      <c r="G8">
        <v>209</v>
      </c>
      <c r="H8">
        <v>161</v>
      </c>
      <c r="I8">
        <v>77</v>
      </c>
      <c r="J8">
        <v>251</v>
      </c>
      <c r="K8">
        <v>56</v>
      </c>
      <c r="L8">
        <v>24</v>
      </c>
      <c r="M8">
        <v>18</v>
      </c>
      <c r="N8">
        <v>6</v>
      </c>
      <c r="O8">
        <v>0</v>
      </c>
      <c r="P8">
        <v>0</v>
      </c>
      <c r="Q8">
        <v>0</v>
      </c>
      <c r="R8">
        <v>3.32</v>
      </c>
      <c r="S8">
        <v>1.04</v>
      </c>
      <c r="T8">
        <f t="shared" si="0"/>
        <v>6.333333333333333</v>
      </c>
      <c r="U8">
        <f t="shared" si="1"/>
        <v>0.36842105263157893</v>
      </c>
      <c r="V8">
        <f>U8-AVERAGEIFS(Pitchers[ER/IP],Pitchers[GS],"&gt;"&amp;0,Pitchers[IP],"&gt;"&amp;3)</f>
        <v>-0.20307954216774055</v>
      </c>
      <c r="W8">
        <f>IF(Pitchers[[#This Row],[IP/GS]]&lt;&gt;0,(Pitchers[[#This Row],[WHIP]]*$AH$5+$AI$5)/9*Pitchers[[#This Row],[IP/GS]],(Pitchers[[#This Row],[WHIP]]*$AH$5+$AI$5)/9*(Pitchers[[#This Row],[IP]]/Pitchers[[#This Row],[G]]))</f>
        <v>2.1491164906011004</v>
      </c>
      <c r="X8">
        <f>Pitchers[[#This Row],[Runs from WHIP]]-AVERAGEIFS(Pitchers[Runs from WHIP],Pitchers[GS],"&gt;"&amp;0,Pitchers[IP],"&gt;"&amp;3)</f>
        <v>-3.5367994155237588</v>
      </c>
      <c r="Y8">
        <f>IF(Pitchers[[#This Row],[IP/GS]]&lt;&gt;0,Pitchers[[#This Row],[ER/IP From Average]]*Pitchers[[#This Row],[IP/GS]],Pitchers[[#This Row],[ER/IP From Average]]*(Pitchers[[#This Row],[IP]]/Pitchers[[#This Row],[G]]))</f>
        <v>-1.2861704337290234</v>
      </c>
      <c r="Z8">
        <f t="shared" si="2"/>
        <v>-1.4576146842979447</v>
      </c>
      <c r="AA8" s="32">
        <f>IF(Pitchers[[#This Row],[W]]=0,0,Pitchers[[#This Row],[W]]/(Pitchers[[#This Row],[W]]+Pitchers[[#This Row],[L]]))</f>
        <v>0.75</v>
      </c>
      <c r="AB8" s="60"/>
      <c r="AC8" t="s">
        <v>863</v>
      </c>
      <c r="AD8">
        <f>_xlfn.STDEV.P(Pitchers[Pitcher Run Adj.])</f>
        <v>1.3894350299294465</v>
      </c>
      <c r="AH8">
        <v>917.37246555042168</v>
      </c>
      <c r="AI8">
        <v>470</v>
      </c>
    </row>
    <row r="9" spans="1:35" x14ac:dyDescent="0.25">
      <c r="A9" t="s">
        <v>334</v>
      </c>
      <c r="B9" t="s">
        <v>19</v>
      </c>
      <c r="C9">
        <v>32</v>
      </c>
      <c r="D9">
        <v>32</v>
      </c>
      <c r="E9">
        <v>2</v>
      </c>
      <c r="F9">
        <v>1</v>
      </c>
      <c r="G9">
        <v>208.1</v>
      </c>
      <c r="H9">
        <v>190</v>
      </c>
      <c r="I9">
        <v>83</v>
      </c>
      <c r="J9">
        <v>200</v>
      </c>
      <c r="K9">
        <v>68</v>
      </c>
      <c r="L9">
        <v>30</v>
      </c>
      <c r="M9">
        <v>14</v>
      </c>
      <c r="N9">
        <v>10</v>
      </c>
      <c r="O9">
        <v>0</v>
      </c>
      <c r="P9">
        <v>0</v>
      </c>
      <c r="Q9">
        <v>0</v>
      </c>
      <c r="R9">
        <v>3.59</v>
      </c>
      <c r="S9">
        <v>1.24</v>
      </c>
      <c r="T9">
        <f t="shared" si="0"/>
        <v>6.5031249999999998</v>
      </c>
      <c r="U9">
        <f t="shared" si="1"/>
        <v>0.39884670831331093</v>
      </c>
      <c r="V9">
        <f>U9-AVERAGEIFS(Pitchers[ER/IP],Pitchers[GS],"&gt;"&amp;0,Pitchers[IP],"&gt;"&amp;3)</f>
        <v>-0.17265388648600855</v>
      </c>
      <c r="W9">
        <f>IF(Pitchers[[#This Row],[IP/GS]]&lt;&gt;0,(Pitchers[[#This Row],[WHIP]]*$AH$5+$AI$5)/9*Pitchers[[#This Row],[IP/GS]],(Pitchers[[#This Row],[WHIP]]*$AH$5+$AI$5)/9*(Pitchers[[#This Row],[IP]]/Pitchers[[#This Row],[G]]))</f>
        <v>2.8819844362831279</v>
      </c>
      <c r="X9">
        <f>Pitchers[[#This Row],[Runs from WHIP]]-AVERAGEIFS(Pitchers[Runs from WHIP],Pitchers[GS],"&gt;"&amp;0,Pitchers[IP],"&gt;"&amp;3)</f>
        <v>-2.8039314698417312</v>
      </c>
      <c r="Y9">
        <f>IF(Pitchers[[#This Row],[IP/GS]]&lt;&gt;0,Pitchers[[#This Row],[ER/IP From Average]]*Pitchers[[#This Row],[IP/GS]],Pitchers[[#This Row],[ER/IP From Average]]*(Pitchers[[#This Row],[IP]]/Pitchers[[#This Row],[G]]))</f>
        <v>-1.1227898055543244</v>
      </c>
      <c r="Z9">
        <f t="shared" si="2"/>
        <v>-1.1968309808461914</v>
      </c>
      <c r="AA9" s="32">
        <f>IF(Pitchers[[#This Row],[W]]=0,0,Pitchers[[#This Row],[W]]/(Pitchers[[#This Row],[W]]+Pitchers[[#This Row],[L]]))</f>
        <v>0.58333333333333337</v>
      </c>
      <c r="AB9" s="60"/>
      <c r="AH9">
        <v>596.65867887823538</v>
      </c>
      <c r="AI9">
        <v>305.68780904549322</v>
      </c>
    </row>
    <row r="10" spans="1:35" x14ac:dyDescent="0.25">
      <c r="A10" t="s">
        <v>295</v>
      </c>
      <c r="B10" t="s">
        <v>19</v>
      </c>
      <c r="C10">
        <v>33</v>
      </c>
      <c r="D10">
        <v>33</v>
      </c>
      <c r="E10">
        <v>0</v>
      </c>
      <c r="F10">
        <v>0</v>
      </c>
      <c r="G10">
        <v>208.1</v>
      </c>
      <c r="H10">
        <v>195</v>
      </c>
      <c r="I10">
        <v>85</v>
      </c>
      <c r="J10">
        <v>246</v>
      </c>
      <c r="K10">
        <v>59</v>
      </c>
      <c r="L10">
        <v>21</v>
      </c>
      <c r="M10">
        <v>16</v>
      </c>
      <c r="N10">
        <v>11</v>
      </c>
      <c r="O10">
        <v>0</v>
      </c>
      <c r="P10">
        <v>0</v>
      </c>
      <c r="Q10">
        <v>0</v>
      </c>
      <c r="R10">
        <v>3.67</v>
      </c>
      <c r="S10">
        <v>1.22</v>
      </c>
      <c r="T10">
        <f t="shared" si="0"/>
        <v>6.3060606060606057</v>
      </c>
      <c r="U10">
        <f t="shared" si="1"/>
        <v>0.40845747236905333</v>
      </c>
      <c r="V10">
        <f>U10-AVERAGEIFS(Pitchers[ER/IP],Pitchers[GS],"&gt;"&amp;0,Pitchers[IP],"&gt;"&amp;3)</f>
        <v>-0.16304312243026614</v>
      </c>
      <c r="W10">
        <f>IF(Pitchers[[#This Row],[IP/GS]]&lt;&gt;0,(Pitchers[[#This Row],[WHIP]]*$AH$5+$AI$5)/9*Pitchers[[#This Row],[IP/GS]],(Pitchers[[#This Row],[WHIP]]*$AH$5+$AI$5)/9*(Pitchers[[#This Row],[IP]]/Pitchers[[#This Row],[G]]))</f>
        <v>2.7291726093179496</v>
      </c>
      <c r="X10">
        <f>Pitchers[[#This Row],[Runs from WHIP]]-AVERAGEIFS(Pitchers[Runs from WHIP],Pitchers[GS],"&gt;"&amp;0,Pitchers[IP],"&gt;"&amp;3)</f>
        <v>-2.9567432968069096</v>
      </c>
      <c r="Y10">
        <f>IF(Pitchers[[#This Row],[IP/GS]]&lt;&gt;0,Pitchers[[#This Row],[ER/IP From Average]]*Pitchers[[#This Row],[IP/GS]],Pitchers[[#This Row],[ER/IP From Average]]*(Pitchers[[#This Row],[IP]]/Pitchers[[#This Row],[G]]))</f>
        <v>-1.0281598114466177</v>
      </c>
      <c r="Z10">
        <f t="shared" si="2"/>
        <v>-1.1997288037271565</v>
      </c>
      <c r="AA10" s="32">
        <f>IF(Pitchers[[#This Row],[W]]=0,0,Pitchers[[#This Row],[W]]/(Pitchers[[#This Row],[W]]+Pitchers[[#This Row],[L]]))</f>
        <v>0.59259259259259256</v>
      </c>
      <c r="AB10" s="60"/>
      <c r="AC10" t="s">
        <v>1220</v>
      </c>
      <c r="AD10">
        <f t="array" ref="AD10">IF(Pitchers[GS]&gt;0,MAX(Pitchers[Pitcher Run Adj.]))</f>
        <v>10.815034733268051</v>
      </c>
      <c r="AH10" t="e">
        <v>#N/A</v>
      </c>
      <c r="AI10" t="e">
        <v>#N/A</v>
      </c>
    </row>
    <row r="11" spans="1:35" x14ac:dyDescent="0.25">
      <c r="A11" t="s">
        <v>341</v>
      </c>
      <c r="B11" t="s">
        <v>219</v>
      </c>
      <c r="C11">
        <v>34</v>
      </c>
      <c r="D11">
        <v>34</v>
      </c>
      <c r="E11">
        <v>0</v>
      </c>
      <c r="F11">
        <v>0</v>
      </c>
      <c r="G11">
        <v>207.2</v>
      </c>
      <c r="H11">
        <v>191</v>
      </c>
      <c r="I11">
        <v>90</v>
      </c>
      <c r="J11">
        <v>203</v>
      </c>
      <c r="K11">
        <v>43</v>
      </c>
      <c r="L11">
        <v>30</v>
      </c>
      <c r="M11">
        <v>9</v>
      </c>
      <c r="N11">
        <v>9</v>
      </c>
      <c r="O11">
        <v>0</v>
      </c>
      <c r="P11">
        <v>0</v>
      </c>
      <c r="Q11">
        <v>0</v>
      </c>
      <c r="R11">
        <v>3.9</v>
      </c>
      <c r="S11">
        <v>1.1299999999999999</v>
      </c>
      <c r="T11">
        <f t="shared" si="0"/>
        <v>6.0941176470588232</v>
      </c>
      <c r="U11">
        <f t="shared" si="1"/>
        <v>0.43436293436293438</v>
      </c>
      <c r="V11">
        <f>U11-AVERAGEIFS(Pitchers[ER/IP],Pitchers[GS],"&gt;"&amp;0,Pitchers[IP],"&gt;"&amp;3)</f>
        <v>-0.13713766043638509</v>
      </c>
      <c r="W11">
        <f>IF(Pitchers[[#This Row],[IP/GS]]&lt;&gt;0,(Pitchers[[#This Row],[WHIP]]*$AH$5+$AI$5)/9*Pitchers[[#This Row],[IP/GS]],(Pitchers[[#This Row],[WHIP]]*$AH$5+$AI$5)/9*(Pitchers[[#This Row],[IP]]/Pitchers[[#This Row],[G]]))</f>
        <v>2.3526945834307358</v>
      </c>
      <c r="X11">
        <f>Pitchers[[#This Row],[Runs from WHIP]]-AVERAGEIFS(Pitchers[Runs from WHIP],Pitchers[GS],"&gt;"&amp;0,Pitchers[IP],"&gt;"&amp;3)</f>
        <v>-3.3332213226941234</v>
      </c>
      <c r="Y11">
        <f>IF(Pitchers[[#This Row],[IP/GS]]&lt;&gt;0,Pitchers[[#This Row],[ER/IP From Average]]*Pitchers[[#This Row],[IP/GS]],Pitchers[[#This Row],[ER/IP From Average]]*(Pitchers[[#This Row],[IP]]/Pitchers[[#This Row],[G]]))</f>
        <v>-0.83573303654173492</v>
      </c>
      <c r="Z11">
        <f t="shared" si="2"/>
        <v>-1.2231522340017935</v>
      </c>
      <c r="AA11" s="32">
        <f>IF(Pitchers[[#This Row],[W]]=0,0,Pitchers[[#This Row],[W]]/(Pitchers[[#This Row],[W]]+Pitchers[[#This Row],[L]]))</f>
        <v>0.5</v>
      </c>
      <c r="AB11" s="60"/>
      <c r="AC11" t="s">
        <v>1221</v>
      </c>
      <c r="AD11">
        <f t="array" ref="AD11">IF(Pitchers[GS]&gt;0,MIN(Pitchers[Pitcher Run Adj.]))</f>
        <v>-4.4566855075100689</v>
      </c>
    </row>
    <row r="12" spans="1:35" x14ac:dyDescent="0.25">
      <c r="A12" t="s">
        <v>407</v>
      </c>
      <c r="B12" t="s">
        <v>27</v>
      </c>
      <c r="C12">
        <v>32</v>
      </c>
      <c r="D12">
        <v>32</v>
      </c>
      <c r="E12">
        <v>0</v>
      </c>
      <c r="F12">
        <v>0</v>
      </c>
      <c r="G12">
        <v>204</v>
      </c>
      <c r="H12">
        <v>154</v>
      </c>
      <c r="I12">
        <v>55</v>
      </c>
      <c r="J12">
        <v>255</v>
      </c>
      <c r="K12">
        <v>44</v>
      </c>
      <c r="L12">
        <v>19</v>
      </c>
      <c r="M12">
        <v>11</v>
      </c>
      <c r="N12">
        <v>8</v>
      </c>
      <c r="O12">
        <v>0</v>
      </c>
      <c r="P12">
        <v>0</v>
      </c>
      <c r="Q12">
        <v>0</v>
      </c>
      <c r="R12">
        <v>2.4300000000000002</v>
      </c>
      <c r="S12">
        <v>0.97</v>
      </c>
      <c r="T12">
        <f t="shared" si="0"/>
        <v>6.375</v>
      </c>
      <c r="U12">
        <f t="shared" si="1"/>
        <v>0.26960784313725489</v>
      </c>
      <c r="V12" s="60">
        <f>U12-AVERAGEIFS(Pitchers[ER/IP],Pitchers[GS],"&gt;"&amp;0,Pitchers[IP],"&gt;"&amp;3)</f>
        <v>-0.30189275166206458</v>
      </c>
      <c r="W12" s="60">
        <f>IF(Pitchers[[#This Row],[IP/GS]]&lt;&gt;0,(Pitchers[[#This Row],[WHIP]]*$AH$5+$AI$5)/9*Pitchers[[#This Row],[IP/GS]],(Pitchers[[#This Row],[WHIP]]*$AH$5+$AI$5)/9*(Pitchers[[#This Row],[IP]]/Pitchers[[#This Row],[G]]))</f>
        <v>1.9315736243588777</v>
      </c>
      <c r="X12" s="60">
        <f>Pitchers[[#This Row],[Runs from WHIP]]-AVERAGEIFS(Pitchers[Runs from WHIP],Pitchers[GS],"&gt;"&amp;0,Pitchers[IP],"&gt;"&amp;3)</f>
        <v>-3.7543422817659815</v>
      </c>
      <c r="Y12" s="60">
        <f>IF(Pitchers[[#This Row],[IP/GS]]&lt;&gt;0,Pitchers[[#This Row],[ER/IP From Average]]*Pitchers[[#This Row],[IP/GS]],Pitchers[[#This Row],[ER/IP From Average]]*(Pitchers[[#This Row],[IP]]/Pitchers[[#This Row],[G]]))</f>
        <v>-1.9245662918456616</v>
      </c>
      <c r="Z12" s="60">
        <f t="shared" si="2"/>
        <v>-1.7709844585425261</v>
      </c>
      <c r="AA12" s="32">
        <f>IF(Pitchers[[#This Row],[W]]=0,0,Pitchers[[#This Row],[W]]/(Pitchers[[#This Row],[W]]+Pitchers[[#This Row],[L]]))</f>
        <v>0.57894736842105265</v>
      </c>
      <c r="AB12" s="60"/>
      <c r="AC12" t="s">
        <v>865</v>
      </c>
      <c r="AD12">
        <f>AVERAGEIF(Pitchers[GS],"&gt;"&amp;0,Pitchers[Pitcher Run Adj.])</f>
        <v>-0.13933069723404246</v>
      </c>
    </row>
    <row r="13" spans="1:35" x14ac:dyDescent="0.25">
      <c r="A13" t="s">
        <v>418</v>
      </c>
      <c r="B13" t="s">
        <v>9</v>
      </c>
      <c r="C13">
        <v>34</v>
      </c>
      <c r="D13">
        <v>34</v>
      </c>
      <c r="E13">
        <v>0</v>
      </c>
      <c r="F13">
        <v>0</v>
      </c>
      <c r="G13">
        <v>203.1</v>
      </c>
      <c r="H13">
        <v>195</v>
      </c>
      <c r="I13">
        <v>86</v>
      </c>
      <c r="J13">
        <v>213</v>
      </c>
      <c r="K13">
        <v>75</v>
      </c>
      <c r="L13">
        <v>24</v>
      </c>
      <c r="M13">
        <v>19</v>
      </c>
      <c r="N13">
        <v>6</v>
      </c>
      <c r="O13">
        <v>0</v>
      </c>
      <c r="P13">
        <v>0</v>
      </c>
      <c r="Q13">
        <v>0</v>
      </c>
      <c r="R13">
        <v>3.81</v>
      </c>
      <c r="S13">
        <v>1.33</v>
      </c>
      <c r="T13">
        <f t="shared" si="0"/>
        <v>5.973529411764706</v>
      </c>
      <c r="U13">
        <f t="shared" si="1"/>
        <v>0.42343673067454457</v>
      </c>
      <c r="V13">
        <f>U13-AVERAGEIFS(Pitchers[ER/IP],Pitchers[GS],"&gt;"&amp;0,Pitchers[IP],"&gt;"&amp;3)</f>
        <v>-0.1480638641247749</v>
      </c>
      <c r="W13">
        <f>IF(Pitchers[[#This Row],[IP/GS]]&lt;&gt;0,(Pitchers[[#This Row],[WHIP]]*$AH$5+$AI$5)/9*Pitchers[[#This Row],[IP/GS]],(Pitchers[[#This Row],[WHIP]]*$AH$5+$AI$5)/9*(Pitchers[[#This Row],[IP]]/Pitchers[[#This Row],[G]]))</f>
        <v>2.9264015826892571</v>
      </c>
      <c r="X13">
        <f>Pitchers[[#This Row],[Runs from WHIP]]-AVERAGEIFS(Pitchers[Runs from WHIP],Pitchers[GS],"&gt;"&amp;0,Pitchers[IP],"&gt;"&amp;3)</f>
        <v>-2.7595143234356021</v>
      </c>
      <c r="Y13">
        <f>IF(Pitchers[[#This Row],[IP/GS]]&lt;&gt;0,Pitchers[[#This Row],[ER/IP From Average]]*Pitchers[[#This Row],[IP/GS]],Pitchers[[#This Row],[ER/IP From Average]]*(Pitchers[[#This Row],[IP]]/Pitchers[[#This Row],[G]]))</f>
        <v>-0.88446384716887594</v>
      </c>
      <c r="Z13">
        <f t="shared" si="2"/>
        <v>-1.0896560251170442</v>
      </c>
      <c r="AA13" s="32">
        <f>IF(Pitchers[[#This Row],[W]]=0,0,Pitchers[[#This Row],[W]]/(Pitchers[[#This Row],[W]]+Pitchers[[#This Row],[L]]))</f>
        <v>0.76</v>
      </c>
      <c r="AB13" s="60"/>
      <c r="AC13" t="s">
        <v>864</v>
      </c>
      <c r="AD13">
        <f t="array" ref="AD13">_xlfn.STDEV.P(IF(Pitchers[GS]&gt;0,Pitchers[Pitcher Run Adj.]))</f>
        <v>1.8594290741546273</v>
      </c>
    </row>
    <row r="14" spans="1:35" x14ac:dyDescent="0.25">
      <c r="A14" t="s">
        <v>330</v>
      </c>
      <c r="B14" t="s">
        <v>1</v>
      </c>
      <c r="C14">
        <v>34</v>
      </c>
      <c r="D14">
        <v>34</v>
      </c>
      <c r="E14">
        <v>0</v>
      </c>
      <c r="F14">
        <v>0</v>
      </c>
      <c r="G14">
        <v>203</v>
      </c>
      <c r="H14">
        <v>210</v>
      </c>
      <c r="I14">
        <v>90</v>
      </c>
      <c r="J14">
        <v>147</v>
      </c>
      <c r="K14">
        <v>56</v>
      </c>
      <c r="L14">
        <v>23</v>
      </c>
      <c r="M14">
        <v>16</v>
      </c>
      <c r="N14">
        <v>13</v>
      </c>
      <c r="O14">
        <v>0</v>
      </c>
      <c r="P14">
        <v>0</v>
      </c>
      <c r="Q14">
        <v>0</v>
      </c>
      <c r="R14">
        <v>3.99</v>
      </c>
      <c r="S14">
        <v>1.31</v>
      </c>
      <c r="T14">
        <f t="shared" si="0"/>
        <v>5.9705882352941178</v>
      </c>
      <c r="U14">
        <f t="shared" si="1"/>
        <v>0.44334975369458129</v>
      </c>
      <c r="V14">
        <f>U14-AVERAGEIFS(Pitchers[ER/IP],Pitchers[GS],"&gt;"&amp;0,Pitchers[IP],"&gt;"&amp;3)</f>
        <v>-0.12815084110473818</v>
      </c>
      <c r="W14">
        <f>IF(Pitchers[[#This Row],[IP/GS]]&lt;&gt;0,(Pitchers[[#This Row],[WHIP]]*$AH$5+$AI$5)/9*Pitchers[[#This Row],[IP/GS]],(Pitchers[[#This Row],[WHIP]]*$AH$5+$AI$5)/9*(Pitchers[[#This Row],[IP]]/Pitchers[[#This Row],[G]]))</f>
        <v>2.8629651266437377</v>
      </c>
      <c r="X14">
        <f>Pitchers[[#This Row],[Runs from WHIP]]-AVERAGEIFS(Pitchers[Runs from WHIP],Pitchers[GS],"&gt;"&amp;0,Pitchers[IP],"&gt;"&amp;3)</f>
        <v>-2.8229507794811215</v>
      </c>
      <c r="Y14">
        <f>IF(Pitchers[[#This Row],[IP/GS]]&lt;&gt;0,Pitchers[[#This Row],[ER/IP From Average]]*Pitchers[[#This Row],[IP/GS]],Pitchers[[#This Row],[ER/IP From Average]]*(Pitchers[[#This Row],[IP]]/Pitchers[[#This Row],[G]]))</f>
        <v>-0.7651359042429956</v>
      </c>
      <c r="Z14">
        <f t="shared" si="2"/>
        <v>-1.0588412362254973</v>
      </c>
      <c r="AA14" s="32">
        <f>IF(Pitchers[[#This Row],[W]]=0,0,Pitchers[[#This Row],[W]]/(Pitchers[[#This Row],[W]]+Pitchers[[#This Row],[L]]))</f>
        <v>0.55172413793103448</v>
      </c>
      <c r="AB14" s="60"/>
    </row>
    <row r="15" spans="1:35" x14ac:dyDescent="0.25">
      <c r="A15" t="s">
        <v>389</v>
      </c>
      <c r="B15" t="s">
        <v>15</v>
      </c>
      <c r="C15">
        <v>34</v>
      </c>
      <c r="D15">
        <v>34</v>
      </c>
      <c r="E15">
        <v>0</v>
      </c>
      <c r="F15">
        <v>0</v>
      </c>
      <c r="G15">
        <v>202.1</v>
      </c>
      <c r="H15">
        <v>176</v>
      </c>
      <c r="I15">
        <v>87</v>
      </c>
      <c r="J15">
        <v>229</v>
      </c>
      <c r="K15">
        <v>80</v>
      </c>
      <c r="L15">
        <v>27</v>
      </c>
      <c r="M15">
        <v>12</v>
      </c>
      <c r="N15">
        <v>7</v>
      </c>
      <c r="O15">
        <v>0</v>
      </c>
      <c r="P15">
        <v>0</v>
      </c>
      <c r="Q15">
        <v>0</v>
      </c>
      <c r="R15">
        <v>3.87</v>
      </c>
      <c r="S15">
        <v>1.27</v>
      </c>
      <c r="T15">
        <f t="shared" si="0"/>
        <v>5.9441176470588237</v>
      </c>
      <c r="U15">
        <f t="shared" si="1"/>
        <v>0.43047996041563585</v>
      </c>
      <c r="V15">
        <f>U15-AVERAGEIFS(Pitchers[ER/IP],Pitchers[GS],"&gt;"&amp;0,Pitchers[IP],"&gt;"&amp;3)</f>
        <v>-0.14102063438368362</v>
      </c>
      <c r="W15">
        <f>IF(Pitchers[[#This Row],[IP/GS]]&lt;&gt;0,(Pitchers[[#This Row],[WHIP]]*$AH$5+$AI$5)/9*Pitchers[[#This Row],[IP/GS]],(Pitchers[[#This Row],[WHIP]]*$AH$5+$AI$5)/9*(Pitchers[[#This Row],[IP]]/Pitchers[[#This Row],[G]]))</f>
        <v>2.7268307149898687</v>
      </c>
      <c r="X15">
        <f>Pitchers[[#This Row],[Runs from WHIP]]-AVERAGEIFS(Pitchers[Runs from WHIP],Pitchers[GS],"&gt;"&amp;0,Pitchers[IP],"&gt;"&amp;3)</f>
        <v>-2.9590851911349905</v>
      </c>
      <c r="Y15">
        <f>IF(Pitchers[[#This Row],[IP/GS]]&lt;&gt;0,Pitchers[[#This Row],[ER/IP From Average]]*Pitchers[[#This Row],[IP/GS]],Pitchers[[#This Row],[ER/IP From Average]]*(Pitchers[[#This Row],[IP]]/Pitchers[[#This Row],[G]]))</f>
        <v>-0.83824324143948414</v>
      </c>
      <c r="Z15">
        <f t="shared" si="2"/>
        <v>-1.1243866808784577</v>
      </c>
      <c r="AA15" s="32">
        <f>IF(Pitchers[[#This Row],[W]]=0,0,Pitchers[[#This Row],[W]]/(Pitchers[[#This Row],[W]]+Pitchers[[#This Row],[L]]))</f>
        <v>0.63157894736842102</v>
      </c>
      <c r="AB15" s="60"/>
      <c r="AH15">
        <f t="array" ref="AH15:AI19">LINEST(I5:I876,Z5:Z876,1,1)</f>
        <v>1.6012761806219185</v>
      </c>
      <c r="AI15">
        <v>26.073401871259605</v>
      </c>
    </row>
    <row r="16" spans="1:35" x14ac:dyDescent="0.25">
      <c r="A16" t="s">
        <v>292</v>
      </c>
      <c r="B16" t="s">
        <v>340</v>
      </c>
      <c r="C16">
        <v>33</v>
      </c>
      <c r="D16">
        <v>33</v>
      </c>
      <c r="E16">
        <v>1</v>
      </c>
      <c r="F16">
        <v>1</v>
      </c>
      <c r="G16">
        <v>202</v>
      </c>
      <c r="H16">
        <v>169</v>
      </c>
      <c r="I16">
        <v>73</v>
      </c>
      <c r="J16">
        <v>238</v>
      </c>
      <c r="K16">
        <v>70</v>
      </c>
      <c r="L16">
        <v>24</v>
      </c>
      <c r="M16">
        <v>14</v>
      </c>
      <c r="N16">
        <v>7</v>
      </c>
      <c r="O16">
        <v>0</v>
      </c>
      <c r="P16">
        <v>0</v>
      </c>
      <c r="Q16">
        <v>0</v>
      </c>
      <c r="R16">
        <v>3.25</v>
      </c>
      <c r="S16">
        <v>1.18</v>
      </c>
      <c r="T16">
        <f t="shared" si="0"/>
        <v>6.1212121212121211</v>
      </c>
      <c r="U16">
        <f t="shared" si="1"/>
        <v>0.36138613861386137</v>
      </c>
      <c r="V16">
        <f>U16-AVERAGEIFS(Pitchers[ER/IP],Pitchers[GS],"&gt;"&amp;0,Pitchers[IP],"&gt;"&amp;3)</f>
        <v>-0.2101144561854581</v>
      </c>
      <c r="W16">
        <f>IF(Pitchers[[#This Row],[IP/GS]]&lt;&gt;0,(Pitchers[[#This Row],[WHIP]]*$AH$5+$AI$5)/9*Pitchers[[#This Row],[IP/GS]],(Pitchers[[#This Row],[WHIP]]*$AH$5+$AI$5)/9*(Pitchers[[#This Row],[IP]]/Pitchers[[#This Row],[G]]))</f>
        <v>2.5220536526541837</v>
      </c>
      <c r="X16">
        <f>Pitchers[[#This Row],[Runs from WHIP]]-AVERAGEIFS(Pitchers[Runs from WHIP],Pitchers[GS],"&gt;"&amp;0,Pitchers[IP],"&gt;"&amp;3)</f>
        <v>-3.1638622534706755</v>
      </c>
      <c r="Y16">
        <f>IF(Pitchers[[#This Row],[IP/GS]]&lt;&gt;0,Pitchers[[#This Row],[ER/IP From Average]]*Pitchers[[#This Row],[IP/GS]],Pitchers[[#This Row],[ER/IP From Average]]*(Pitchers[[#This Row],[IP]]/Pitchers[[#This Row],[G]]))</f>
        <v>-1.2861551560443192</v>
      </c>
      <c r="Z16">
        <f t="shared" si="2"/>
        <v>-1.3581586633432412</v>
      </c>
      <c r="AA16" s="32">
        <f>IF(Pitchers[[#This Row],[W]]=0,0,Pitchers[[#This Row],[W]]/(Pitchers[[#This Row],[W]]+Pitchers[[#This Row],[L]]))</f>
        <v>0.66666666666666663</v>
      </c>
      <c r="AB16" s="60"/>
      <c r="AH16">
        <v>0.56339655416373147</v>
      </c>
      <c r="AI16">
        <v>0.89769393336088632</v>
      </c>
    </row>
    <row r="17" spans="1:35" x14ac:dyDescent="0.25">
      <c r="A17" t="s">
        <v>335</v>
      </c>
      <c r="B17" t="s">
        <v>13</v>
      </c>
      <c r="C17">
        <v>32</v>
      </c>
      <c r="D17">
        <v>32</v>
      </c>
      <c r="E17">
        <v>1</v>
      </c>
      <c r="F17">
        <v>0</v>
      </c>
      <c r="G17">
        <v>200.1</v>
      </c>
      <c r="H17">
        <v>194</v>
      </c>
      <c r="I17">
        <v>82</v>
      </c>
      <c r="J17">
        <v>195</v>
      </c>
      <c r="K17">
        <v>51</v>
      </c>
      <c r="L17">
        <v>26</v>
      </c>
      <c r="M17">
        <v>14</v>
      </c>
      <c r="N17">
        <v>8</v>
      </c>
      <c r="O17">
        <v>0</v>
      </c>
      <c r="P17">
        <v>0</v>
      </c>
      <c r="Q17">
        <v>0</v>
      </c>
      <c r="R17">
        <v>3.68</v>
      </c>
      <c r="S17">
        <v>1.22</v>
      </c>
      <c r="T17">
        <f t="shared" si="0"/>
        <v>6.2531249999999998</v>
      </c>
      <c r="U17">
        <f t="shared" si="1"/>
        <v>0.40979510244877565</v>
      </c>
      <c r="V17">
        <f>U17-AVERAGEIFS(Pitchers[ER/IP],Pitchers[GS],"&gt;"&amp;0,Pitchers[IP],"&gt;"&amp;3)</f>
        <v>-0.16170549235054382</v>
      </c>
      <c r="W17">
        <f>IF(Pitchers[[#This Row],[IP/GS]]&lt;&gt;0,(Pitchers[[#This Row],[WHIP]]*$AH$5+$AI$5)/9*Pitchers[[#This Row],[IP/GS]],(Pitchers[[#This Row],[WHIP]]*$AH$5+$AI$5)/9*(Pitchers[[#This Row],[IP]]/Pitchers[[#This Row],[G]]))</f>
        <v>2.7062628380449927</v>
      </c>
      <c r="X17">
        <f>Pitchers[[#This Row],[Runs from WHIP]]-AVERAGEIFS(Pitchers[Runs from WHIP],Pitchers[GS],"&gt;"&amp;0,Pitchers[IP],"&gt;"&amp;3)</f>
        <v>-2.9796530680798665</v>
      </c>
      <c r="Y17">
        <f>IF(Pitchers[[#This Row],[IP/GS]]&lt;&gt;0,Pitchers[[#This Row],[ER/IP From Average]]*Pitchers[[#This Row],[IP/GS]],Pitchers[[#This Row],[ER/IP From Average]]*(Pitchers[[#This Row],[IP]]/Pitchers[[#This Row],[G]]))</f>
        <v>-1.0111646568544943</v>
      </c>
      <c r="Z17">
        <f t="shared" si="2"/>
        <v>-1.1990400142297621</v>
      </c>
      <c r="AA17" s="32">
        <f>IF(Pitchers[[#This Row],[W]]=0,0,Pitchers[[#This Row],[W]]/(Pitchers[[#This Row],[W]]+Pitchers[[#This Row],[L]]))</f>
        <v>0.63636363636363635</v>
      </c>
      <c r="AB17" s="60"/>
      <c r="AH17">
        <v>9.1996438673439297E-3</v>
      </c>
      <c r="AI17">
        <v>23.115892858165811</v>
      </c>
    </row>
    <row r="18" spans="1:35" x14ac:dyDescent="0.25">
      <c r="A18" t="s">
        <v>357</v>
      </c>
      <c r="B18" t="s">
        <v>27</v>
      </c>
      <c r="C18">
        <v>32</v>
      </c>
      <c r="D18">
        <v>32</v>
      </c>
      <c r="E18">
        <v>1</v>
      </c>
      <c r="F18">
        <v>1</v>
      </c>
      <c r="G18">
        <v>197.2</v>
      </c>
      <c r="H18">
        <v>194</v>
      </c>
      <c r="I18">
        <v>94</v>
      </c>
      <c r="J18">
        <v>202</v>
      </c>
      <c r="K18">
        <v>50</v>
      </c>
      <c r="L18">
        <v>24</v>
      </c>
      <c r="M18">
        <v>10</v>
      </c>
      <c r="N18">
        <v>8</v>
      </c>
      <c r="O18">
        <v>0</v>
      </c>
      <c r="P18">
        <v>0</v>
      </c>
      <c r="Q18">
        <v>0</v>
      </c>
      <c r="R18">
        <v>4.28</v>
      </c>
      <c r="S18">
        <v>1.23</v>
      </c>
      <c r="T18">
        <f t="shared" si="0"/>
        <v>6.1624999999999996</v>
      </c>
      <c r="U18">
        <f t="shared" si="1"/>
        <v>0.47667342799188644</v>
      </c>
      <c r="V18">
        <f>U18-AVERAGEIFS(Pitchers[ER/IP],Pitchers[GS],"&gt;"&amp;0,Pitchers[IP],"&gt;"&amp;3)</f>
        <v>-9.4827166807433028E-2</v>
      </c>
      <c r="W18">
        <f>IF(Pitchers[[#This Row],[IP/GS]]&lt;&gt;0,(Pitchers[[#This Row],[WHIP]]*$AH$5+$AI$5)/9*Pitchers[[#This Row],[IP/GS]],(Pitchers[[#This Row],[WHIP]]*$AH$5+$AI$5)/9*(Pitchers[[#This Row],[IP]]/Pitchers[[#This Row],[G]]))</f>
        <v>2.6990357895181507</v>
      </c>
      <c r="X18">
        <f>Pitchers[[#This Row],[Runs from WHIP]]-AVERAGEIFS(Pitchers[Runs from WHIP],Pitchers[GS],"&gt;"&amp;0,Pitchers[IP],"&gt;"&amp;3)</f>
        <v>-2.9868801166067085</v>
      </c>
      <c r="Y18">
        <f>IF(Pitchers[[#This Row],[IP/GS]]&lt;&gt;0,Pitchers[[#This Row],[ER/IP From Average]]*Pitchers[[#This Row],[IP/GS]],Pitchers[[#This Row],[ER/IP From Average]]*(Pitchers[[#This Row],[IP]]/Pitchers[[#This Row],[G]]))</f>
        <v>-0.58437241545080598</v>
      </c>
      <c r="Z18">
        <f t="shared" si="2"/>
        <v>-1.030250330608778</v>
      </c>
      <c r="AA18" s="32">
        <f>IF(Pitchers[[#This Row],[W]]=0,0,Pitchers[[#This Row],[W]]/(Pitchers[[#This Row],[W]]+Pitchers[[#This Row],[L]]))</f>
        <v>0.55555555555555558</v>
      </c>
      <c r="AB18" s="60"/>
      <c r="AH18">
        <v>8.0780049331326875</v>
      </c>
      <c r="AI18">
        <v>870</v>
      </c>
    </row>
    <row r="19" spans="1:35" x14ac:dyDescent="0.25">
      <c r="A19" t="s">
        <v>399</v>
      </c>
      <c r="B19" t="s">
        <v>5</v>
      </c>
      <c r="C19">
        <v>32</v>
      </c>
      <c r="D19">
        <v>32</v>
      </c>
      <c r="E19">
        <v>2</v>
      </c>
      <c r="F19">
        <v>2</v>
      </c>
      <c r="G19">
        <v>197.1</v>
      </c>
      <c r="H19">
        <v>179</v>
      </c>
      <c r="I19">
        <v>85</v>
      </c>
      <c r="J19">
        <v>151</v>
      </c>
      <c r="K19">
        <v>81</v>
      </c>
      <c r="L19">
        <v>23</v>
      </c>
      <c r="M19">
        <v>6</v>
      </c>
      <c r="N19">
        <v>14</v>
      </c>
      <c r="O19">
        <v>0</v>
      </c>
      <c r="P19">
        <v>0</v>
      </c>
      <c r="Q19">
        <v>0</v>
      </c>
      <c r="R19">
        <v>3.88</v>
      </c>
      <c r="S19">
        <v>1.32</v>
      </c>
      <c r="T19">
        <f t="shared" si="0"/>
        <v>6.1593749999999998</v>
      </c>
      <c r="U19">
        <f t="shared" si="1"/>
        <v>0.43125317097919841</v>
      </c>
      <c r="V19">
        <f>U19-AVERAGEIFS(Pitchers[ER/IP],Pitchers[GS],"&gt;"&amp;0,Pitchers[IP],"&gt;"&amp;3)</f>
        <v>-0.14024742382012106</v>
      </c>
      <c r="W19">
        <f>IF(Pitchers[[#This Row],[IP/GS]]&lt;&gt;0,(Pitchers[[#This Row],[WHIP]]*$AH$5+$AI$5)/9*Pitchers[[#This Row],[IP/GS]],(Pitchers[[#This Row],[WHIP]]*$AH$5+$AI$5)/9*(Pitchers[[#This Row],[IP]]/Pitchers[[#This Row],[G]]))</f>
        <v>2.9854684603973114</v>
      </c>
      <c r="X19">
        <f>Pitchers[[#This Row],[Runs from WHIP]]-AVERAGEIFS(Pitchers[Runs from WHIP],Pitchers[GS],"&gt;"&amp;0,Pitchers[IP],"&gt;"&amp;3)</f>
        <v>-2.7004474457275478</v>
      </c>
      <c r="Y19">
        <f>IF(Pitchers[[#This Row],[IP/GS]]&lt;&gt;0,Pitchers[[#This Row],[ER/IP From Average]]*Pitchers[[#This Row],[IP/GS]],Pitchers[[#This Row],[ER/IP From Average]]*(Pitchers[[#This Row],[IP]]/Pitchers[[#This Row],[G]]))</f>
        <v>-0.86383647609205816</v>
      </c>
      <c r="Z19">
        <f t="shared" si="2"/>
        <v>-1.0656539092975026</v>
      </c>
      <c r="AA19" s="32">
        <f>IF(Pitchers[[#This Row],[W]]=0,0,Pitchers[[#This Row],[W]]/(Pitchers[[#This Row],[W]]+Pitchers[[#This Row],[L]]))</f>
        <v>0.3</v>
      </c>
      <c r="AB19" s="60"/>
      <c r="AH19">
        <v>4316.4375282390974</v>
      </c>
      <c r="AI19">
        <v>464879.71728827507</v>
      </c>
    </row>
    <row r="20" spans="1:35" x14ac:dyDescent="0.25">
      <c r="A20" t="s">
        <v>393</v>
      </c>
      <c r="B20" t="s">
        <v>24</v>
      </c>
      <c r="C20">
        <v>33</v>
      </c>
      <c r="D20">
        <v>33</v>
      </c>
      <c r="E20">
        <v>0</v>
      </c>
      <c r="F20">
        <v>0</v>
      </c>
      <c r="G20">
        <v>196.1</v>
      </c>
      <c r="H20">
        <v>135</v>
      </c>
      <c r="I20">
        <v>60</v>
      </c>
      <c r="J20">
        <v>231</v>
      </c>
      <c r="K20">
        <v>55</v>
      </c>
      <c r="L20">
        <v>25</v>
      </c>
      <c r="M20">
        <v>11</v>
      </c>
      <c r="N20">
        <v>8</v>
      </c>
      <c r="O20">
        <v>0</v>
      </c>
      <c r="P20">
        <v>0</v>
      </c>
      <c r="Q20">
        <v>0</v>
      </c>
      <c r="R20">
        <v>2.75</v>
      </c>
      <c r="S20">
        <v>0.97</v>
      </c>
      <c r="T20">
        <f t="shared" si="0"/>
        <v>5.9424242424242424</v>
      </c>
      <c r="U20">
        <f t="shared" si="1"/>
        <v>0.30596634370219278</v>
      </c>
      <c r="V20">
        <f>U20-AVERAGEIFS(Pitchers[ER/IP],Pitchers[GS],"&gt;"&amp;0,Pitchers[IP],"&gt;"&amp;3)</f>
        <v>-0.26553425109712669</v>
      </c>
      <c r="W20">
        <f>IF(Pitchers[[#This Row],[IP/GS]]&lt;&gt;0,(Pitchers[[#This Row],[WHIP]]*$AH$5+$AI$5)/9*Pitchers[[#This Row],[IP/GS]],(Pitchers[[#This Row],[WHIP]]*$AH$5+$AI$5)/9*(Pitchers[[#This Row],[IP]]/Pitchers[[#This Row],[G]]))</f>
        <v>1.8005066559086198</v>
      </c>
      <c r="X20">
        <f>Pitchers[[#This Row],[Runs from WHIP]]-AVERAGEIFS(Pitchers[Runs from WHIP],Pitchers[GS],"&gt;"&amp;0,Pitchers[IP],"&gt;"&amp;3)</f>
        <v>-3.8854092502162394</v>
      </c>
      <c r="Y20">
        <f>IF(Pitchers[[#This Row],[IP/GS]]&lt;&gt;0,Pitchers[[#This Row],[ER/IP From Average]]*Pitchers[[#This Row],[IP/GS]],Pitchers[[#This Row],[ER/IP From Average]]*(Pitchers[[#This Row],[IP]]/Pitchers[[#This Row],[G]]))</f>
        <v>-1.5779171709135316</v>
      </c>
      <c r="Z20">
        <f t="shared" si="2"/>
        <v>-1.6672760017564097</v>
      </c>
      <c r="AA20" s="32">
        <f>IF(Pitchers[[#This Row],[W]]=0,0,Pitchers[[#This Row],[W]]/(Pitchers[[#This Row],[W]]+Pitchers[[#This Row],[L]]))</f>
        <v>0.57894736842105265</v>
      </c>
      <c r="AB20" s="60"/>
    </row>
    <row r="21" spans="1:35" x14ac:dyDescent="0.25">
      <c r="A21" t="s">
        <v>285</v>
      </c>
      <c r="B21" t="s">
        <v>27</v>
      </c>
      <c r="C21">
        <v>31</v>
      </c>
      <c r="D21">
        <v>31</v>
      </c>
      <c r="E21">
        <v>0</v>
      </c>
      <c r="F21">
        <v>0</v>
      </c>
      <c r="G21">
        <v>195.1</v>
      </c>
      <c r="H21">
        <v>196</v>
      </c>
      <c r="I21">
        <v>86</v>
      </c>
      <c r="J21">
        <v>195</v>
      </c>
      <c r="K21">
        <v>50</v>
      </c>
      <c r="L21">
        <v>22</v>
      </c>
      <c r="M21">
        <v>11</v>
      </c>
      <c r="N21">
        <v>8</v>
      </c>
      <c r="O21">
        <v>0</v>
      </c>
      <c r="P21">
        <v>0</v>
      </c>
      <c r="Q21">
        <v>0</v>
      </c>
      <c r="R21">
        <v>3.96</v>
      </c>
      <c r="S21">
        <v>1.26</v>
      </c>
      <c r="T21">
        <f t="shared" si="0"/>
        <v>6.2935483870967737</v>
      </c>
      <c r="U21">
        <f t="shared" si="1"/>
        <v>0.44079958995386981</v>
      </c>
      <c r="V21">
        <f>U21-AVERAGEIFS(Pitchers[ER/IP],Pitchers[GS],"&gt;"&amp;0,Pitchers[IP],"&gt;"&amp;3)</f>
        <v>-0.13070100484544966</v>
      </c>
      <c r="W21">
        <f>IF(Pitchers[[#This Row],[IP/GS]]&lt;&gt;0,(Pitchers[[#This Row],[WHIP]]*$AH$5+$AI$5)/9*Pitchers[[#This Row],[IP/GS]],(Pitchers[[#This Row],[WHIP]]*$AH$5+$AI$5)/9*(Pitchers[[#This Row],[IP]]/Pitchers[[#This Row],[G]]))</f>
        <v>2.854455589687634</v>
      </c>
      <c r="X21">
        <f>Pitchers[[#This Row],[Runs from WHIP]]-AVERAGEIFS(Pitchers[Runs from WHIP],Pitchers[GS],"&gt;"&amp;0,Pitchers[IP],"&gt;"&amp;3)</f>
        <v>-2.8314603164372252</v>
      </c>
      <c r="Y21">
        <f>IF(Pitchers[[#This Row],[IP/GS]]&lt;&gt;0,Pitchers[[#This Row],[ER/IP From Average]]*Pitchers[[#This Row],[IP/GS]],Pitchers[[#This Row],[ER/IP From Average]]*(Pitchers[[#This Row],[IP]]/Pitchers[[#This Row],[G]]))</f>
        <v>-0.82257309823700731</v>
      </c>
      <c r="Z21">
        <f t="shared" si="2"/>
        <v>-1.084085323678063</v>
      </c>
      <c r="AA21" s="32">
        <f>IF(Pitchers[[#This Row],[W]]=0,0,Pitchers[[#This Row],[W]]/(Pitchers[[#This Row],[W]]+Pitchers[[#This Row],[L]]))</f>
        <v>0.57894736842105265</v>
      </c>
      <c r="AB21" s="60"/>
    </row>
    <row r="22" spans="1:35" x14ac:dyDescent="0.25">
      <c r="A22" t="s">
        <v>374</v>
      </c>
      <c r="B22" t="s">
        <v>218</v>
      </c>
      <c r="C22">
        <v>33</v>
      </c>
      <c r="D22">
        <v>33</v>
      </c>
      <c r="E22">
        <v>0</v>
      </c>
      <c r="F22">
        <v>0</v>
      </c>
      <c r="G22">
        <v>194.2</v>
      </c>
      <c r="H22">
        <v>154</v>
      </c>
      <c r="I22">
        <v>66</v>
      </c>
      <c r="J22">
        <v>240</v>
      </c>
      <c r="K22">
        <v>57</v>
      </c>
      <c r="L22">
        <v>15</v>
      </c>
      <c r="M22">
        <v>16</v>
      </c>
      <c r="N22">
        <v>6</v>
      </c>
      <c r="O22">
        <v>0</v>
      </c>
      <c r="P22">
        <v>0</v>
      </c>
      <c r="Q22">
        <v>0</v>
      </c>
      <c r="R22">
        <v>3.05</v>
      </c>
      <c r="S22">
        <v>1.08</v>
      </c>
      <c r="T22">
        <f t="shared" si="0"/>
        <v>5.8848484848484848</v>
      </c>
      <c r="U22">
        <f t="shared" si="1"/>
        <v>0.33985581874356335</v>
      </c>
      <c r="V22">
        <f>U22-AVERAGEIFS(Pitchers[ER/IP],Pitchers[GS],"&gt;"&amp;0,Pitchers[IP],"&gt;"&amp;3)</f>
        <v>-0.23164477605575612</v>
      </c>
      <c r="W22">
        <f>IF(Pitchers[[#This Row],[IP/GS]]&lt;&gt;0,(Pitchers[[#This Row],[WHIP]]*$AH$5+$AI$5)/9*Pitchers[[#This Row],[IP/GS]],(Pitchers[[#This Row],[WHIP]]*$AH$5+$AI$5)/9*(Pitchers[[#This Row],[IP]]/Pitchers[[#This Row],[G]]))</f>
        <v>2.1191408714829691</v>
      </c>
      <c r="X22">
        <f>Pitchers[[#This Row],[Runs from WHIP]]-AVERAGEIFS(Pitchers[Runs from WHIP],Pitchers[GS],"&gt;"&amp;0,Pitchers[IP],"&gt;"&amp;3)</f>
        <v>-3.5667750346418901</v>
      </c>
      <c r="Y22">
        <f>IF(Pitchers[[#This Row],[IP/GS]]&lt;&gt;0,Pitchers[[#This Row],[ER/IP From Average]]*Pitchers[[#This Row],[IP/GS]],Pitchers[[#This Row],[ER/IP From Average]]*(Pitchers[[#This Row],[IP]]/Pitchers[[#This Row],[G]]))</f>
        <v>-1.363194409394783</v>
      </c>
      <c r="Z22">
        <f t="shared" si="2"/>
        <v>-1.4964177729957504</v>
      </c>
      <c r="AA22" s="32">
        <f>IF(Pitchers[[#This Row],[W]]=0,0,Pitchers[[#This Row],[W]]/(Pitchers[[#This Row],[W]]+Pitchers[[#This Row],[L]]))</f>
        <v>0.72727272727272729</v>
      </c>
      <c r="AB22" s="60"/>
    </row>
    <row r="23" spans="1:35" x14ac:dyDescent="0.25">
      <c r="A23" t="s">
        <v>343</v>
      </c>
      <c r="B23" t="s">
        <v>12</v>
      </c>
      <c r="C23">
        <v>32</v>
      </c>
      <c r="D23">
        <v>32</v>
      </c>
      <c r="E23">
        <v>0</v>
      </c>
      <c r="F23">
        <v>0</v>
      </c>
      <c r="G23">
        <v>190.2</v>
      </c>
      <c r="H23">
        <v>139</v>
      </c>
      <c r="I23">
        <v>72</v>
      </c>
      <c r="J23">
        <v>226</v>
      </c>
      <c r="K23">
        <v>79</v>
      </c>
      <c r="L23">
        <v>22</v>
      </c>
      <c r="M23">
        <v>15</v>
      </c>
      <c r="N23">
        <v>8</v>
      </c>
      <c r="O23">
        <v>0</v>
      </c>
      <c r="P23">
        <v>0</v>
      </c>
      <c r="Q23">
        <v>0</v>
      </c>
      <c r="R23">
        <v>3.4</v>
      </c>
      <c r="S23">
        <v>1.1399999999999999</v>
      </c>
      <c r="T23">
        <f t="shared" si="0"/>
        <v>5.9437499999999996</v>
      </c>
      <c r="U23">
        <f t="shared" si="1"/>
        <v>0.37854889589905366</v>
      </c>
      <c r="V23" s="60">
        <f>U23-AVERAGEIFS(Pitchers[ER/IP],Pitchers[GS],"&gt;"&amp;0,Pitchers[IP],"&gt;"&amp;3)</f>
        <v>-0.19295169890026581</v>
      </c>
      <c r="W23" s="60">
        <f>IF(Pitchers[[#This Row],[IP/GS]]&lt;&gt;0,(Pitchers[[#This Row],[WHIP]]*$AH$5+$AI$5)/9*Pitchers[[#This Row],[IP/GS]],(Pitchers[[#This Row],[WHIP]]*$AH$5+$AI$5)/9*(Pitchers[[#This Row],[IP]]/Pitchers[[#This Row],[G]]))</f>
        <v>2.3255021183101103</v>
      </c>
      <c r="X23" s="60">
        <f>Pitchers[[#This Row],[Runs from WHIP]]-AVERAGEIFS(Pitchers[Runs from WHIP],Pitchers[GS],"&gt;"&amp;0,Pitchers[IP],"&gt;"&amp;3)</f>
        <v>-3.3604137878147489</v>
      </c>
      <c r="Y23" s="60">
        <f>IF(Pitchers[[#This Row],[IP/GS]]&lt;&gt;0,Pitchers[[#This Row],[ER/IP From Average]]*Pitchers[[#This Row],[IP/GS]],Pitchers[[#This Row],[ER/IP From Average]]*(Pitchers[[#This Row],[IP]]/Pitchers[[#This Row],[G]]))</f>
        <v>-1.1468566603384549</v>
      </c>
      <c r="Z23" s="60">
        <f t="shared" si="2"/>
        <v>-1.3548530075526484</v>
      </c>
      <c r="AA23" s="32">
        <f>IF(Pitchers[[#This Row],[W]]=0,0,Pitchers[[#This Row],[W]]/(Pitchers[[#This Row],[W]]+Pitchers[[#This Row],[L]]))</f>
        <v>0.65217391304347827</v>
      </c>
      <c r="AB23" s="60"/>
    </row>
    <row r="24" spans="1:35" x14ac:dyDescent="0.25">
      <c r="A24" t="s">
        <v>273</v>
      </c>
      <c r="B24" t="s">
        <v>361</v>
      </c>
      <c r="C24">
        <v>34</v>
      </c>
      <c r="D24">
        <v>34</v>
      </c>
      <c r="E24">
        <v>2</v>
      </c>
      <c r="F24">
        <v>0</v>
      </c>
      <c r="G24">
        <v>187</v>
      </c>
      <c r="H24">
        <v>225</v>
      </c>
      <c r="I24">
        <v>98</v>
      </c>
      <c r="J24">
        <v>114</v>
      </c>
      <c r="K24">
        <v>47</v>
      </c>
      <c r="L24">
        <v>30</v>
      </c>
      <c r="M24">
        <v>11</v>
      </c>
      <c r="N24">
        <v>12</v>
      </c>
      <c r="O24">
        <v>0</v>
      </c>
      <c r="P24">
        <v>0</v>
      </c>
      <c r="Q24">
        <v>0</v>
      </c>
      <c r="R24">
        <v>4.72</v>
      </c>
      <c r="S24">
        <v>1.45</v>
      </c>
      <c r="T24">
        <f t="shared" si="0"/>
        <v>5.5</v>
      </c>
      <c r="U24">
        <f t="shared" si="1"/>
        <v>0.52406417112299464</v>
      </c>
      <c r="V24" s="60">
        <f>U24-AVERAGEIFS(Pitchers[ER/IP],Pitchers[GS],"&gt;"&amp;0,Pitchers[IP],"&gt;"&amp;3)</f>
        <v>-4.7436423676324835E-2</v>
      </c>
      <c r="W24" s="60">
        <f>IF(Pitchers[[#This Row],[IP/GS]]&lt;&gt;0,(Pitchers[[#This Row],[WHIP]]*$AH$5+$AI$5)/9*Pitchers[[#This Row],[IP/GS]],(Pitchers[[#This Row],[WHIP]]*$AH$5+$AI$5)/9*(Pitchers[[#This Row],[IP]]/Pitchers[[#This Row],[G]]))</f>
        <v>3.0370773610253199</v>
      </c>
      <c r="X24" s="60">
        <f>Pitchers[[#This Row],[Runs from WHIP]]-AVERAGEIFS(Pitchers[Runs from WHIP],Pitchers[GS],"&gt;"&amp;0,Pitchers[IP],"&gt;"&amp;3)</f>
        <v>-2.6488385450995393</v>
      </c>
      <c r="Y24" s="60">
        <f>IF(Pitchers[[#This Row],[IP/GS]]&lt;&gt;0,Pitchers[[#This Row],[ER/IP From Average]]*Pitchers[[#This Row],[IP/GS]],Pitchers[[#This Row],[ER/IP From Average]]*(Pitchers[[#This Row],[IP]]/Pitchers[[#This Row],[G]]))</f>
        <v>-0.26090033021978659</v>
      </c>
      <c r="Z24" s="60">
        <f t="shared" si="2"/>
        <v>-0.81071707744779198</v>
      </c>
      <c r="AA24" s="32">
        <f>IF(Pitchers[[#This Row],[W]]=0,0,Pitchers[[#This Row],[W]]/(Pitchers[[#This Row],[W]]+Pitchers[[#This Row],[L]]))</f>
        <v>0.47826086956521741</v>
      </c>
      <c r="AB24" s="60"/>
    </row>
    <row r="25" spans="1:35" x14ac:dyDescent="0.25">
      <c r="A25" t="s">
        <v>299</v>
      </c>
      <c r="B25" t="s">
        <v>2</v>
      </c>
      <c r="C25">
        <v>32</v>
      </c>
      <c r="D25">
        <v>32</v>
      </c>
      <c r="E25">
        <v>0</v>
      </c>
      <c r="F25">
        <v>0</v>
      </c>
      <c r="G25">
        <v>185.1</v>
      </c>
      <c r="H25">
        <v>178</v>
      </c>
      <c r="I25">
        <v>94</v>
      </c>
      <c r="J25">
        <v>238</v>
      </c>
      <c r="K25">
        <v>50</v>
      </c>
      <c r="L25">
        <v>39</v>
      </c>
      <c r="M25">
        <v>9</v>
      </c>
      <c r="N25">
        <v>12</v>
      </c>
      <c r="O25">
        <v>0</v>
      </c>
      <c r="P25">
        <v>0</v>
      </c>
      <c r="Q25">
        <v>0</v>
      </c>
      <c r="R25">
        <v>4.5599999999999996</v>
      </c>
      <c r="S25">
        <v>1.23</v>
      </c>
      <c r="T25">
        <f t="shared" si="0"/>
        <v>5.7843749999999998</v>
      </c>
      <c r="U25">
        <f t="shared" si="1"/>
        <v>0.50783360345759054</v>
      </c>
      <c r="V25">
        <f>U25-AVERAGEIFS(Pitchers[ER/IP],Pitchers[GS],"&gt;"&amp;0,Pitchers[IP],"&gt;"&amp;3)</f>
        <v>-6.3666991341728929E-2</v>
      </c>
      <c r="W25">
        <f>IF(Pitchers[[#This Row],[IP/GS]]&lt;&gt;0,(Pitchers[[#This Row],[WHIP]]*$AH$5+$AI$5)/9*Pitchers[[#This Row],[IP/GS]],(Pitchers[[#This Row],[WHIP]]*$AH$5+$AI$5)/9*(Pitchers[[#This Row],[IP]]/Pitchers[[#This Row],[G]]))</f>
        <v>2.5334255813377773</v>
      </c>
      <c r="X25">
        <f>Pitchers[[#This Row],[Runs from WHIP]]-AVERAGEIFS(Pitchers[Runs from WHIP],Pitchers[GS],"&gt;"&amp;0,Pitchers[IP],"&gt;"&amp;3)</f>
        <v>-3.1524903247870819</v>
      </c>
      <c r="Y25">
        <f>IF(Pitchers[[#This Row],[IP/GS]]&lt;&gt;0,Pitchers[[#This Row],[ER/IP From Average]]*Pitchers[[#This Row],[IP/GS]],Pitchers[[#This Row],[ER/IP From Average]]*(Pitchers[[#This Row],[IP]]/Pitchers[[#This Row],[G]]))</f>
        <v>-0.36827375304231325</v>
      </c>
      <c r="Z25">
        <f t="shared" si="2"/>
        <v>-0.98797358782681377</v>
      </c>
      <c r="AA25" s="32">
        <f>IF(Pitchers[[#This Row],[W]]=0,0,Pitchers[[#This Row],[W]]/(Pitchers[[#This Row],[W]]+Pitchers[[#This Row],[L]]))</f>
        <v>0.42857142857142855</v>
      </c>
      <c r="AB25" s="60"/>
    </row>
    <row r="26" spans="1:35" x14ac:dyDescent="0.25">
      <c r="A26" t="s">
        <v>390</v>
      </c>
      <c r="B26" t="s">
        <v>17</v>
      </c>
      <c r="C26">
        <v>33</v>
      </c>
      <c r="D26">
        <v>33</v>
      </c>
      <c r="E26">
        <v>1</v>
      </c>
      <c r="F26">
        <v>1</v>
      </c>
      <c r="G26">
        <v>184.2</v>
      </c>
      <c r="H26">
        <v>166</v>
      </c>
      <c r="I26">
        <v>80</v>
      </c>
      <c r="J26">
        <v>126</v>
      </c>
      <c r="K26">
        <v>53</v>
      </c>
      <c r="L26">
        <v>30</v>
      </c>
      <c r="M26">
        <v>15</v>
      </c>
      <c r="N26">
        <v>4</v>
      </c>
      <c r="O26">
        <v>0</v>
      </c>
      <c r="P26">
        <v>0</v>
      </c>
      <c r="Q26">
        <v>0</v>
      </c>
      <c r="R26">
        <v>3.9</v>
      </c>
      <c r="S26">
        <v>1.19</v>
      </c>
      <c r="T26">
        <f t="shared" si="0"/>
        <v>5.5818181818181811</v>
      </c>
      <c r="U26">
        <f t="shared" si="1"/>
        <v>0.43431053203040176</v>
      </c>
      <c r="V26">
        <f>U26-AVERAGEIFS(Pitchers[ER/IP],Pitchers[GS],"&gt;"&amp;0,Pitchers[IP],"&gt;"&amp;3)</f>
        <v>-0.13719006276891771</v>
      </c>
      <c r="W26">
        <f>IF(Pitchers[[#This Row],[IP/GS]]&lt;&gt;0,(Pitchers[[#This Row],[WHIP]]*$AH$5+$AI$5)/9*Pitchers[[#This Row],[IP/GS]],(Pitchers[[#This Row],[WHIP]]*$AH$5+$AI$5)/9*(Pitchers[[#This Row],[IP]]/Pitchers[[#This Row],[G]]))</f>
        <v>2.3287926791692972</v>
      </c>
      <c r="X26">
        <f>Pitchers[[#This Row],[Runs from WHIP]]-AVERAGEIFS(Pitchers[Runs from WHIP],Pitchers[GS],"&gt;"&amp;0,Pitchers[IP],"&gt;"&amp;3)</f>
        <v>-3.357123226955562</v>
      </c>
      <c r="Y26">
        <f>IF(Pitchers[[#This Row],[IP/GS]]&lt;&gt;0,Pitchers[[#This Row],[ER/IP From Average]]*Pitchers[[#This Row],[IP/GS]],Pitchers[[#This Row],[ER/IP From Average]]*(Pitchers[[#This Row],[IP]]/Pitchers[[#This Row],[G]]))</f>
        <v>-0.76576998672832242</v>
      </c>
      <c r="Z26">
        <f t="shared" si="2"/>
        <v>-1.2015408552128122</v>
      </c>
      <c r="AA26" s="32">
        <f>IF(Pitchers[[#This Row],[W]]=0,0,Pitchers[[#This Row],[W]]/(Pitchers[[#This Row],[W]]+Pitchers[[#This Row],[L]]))</f>
        <v>0.78947368421052633</v>
      </c>
      <c r="AB26" s="60"/>
    </row>
    <row r="27" spans="1:35" x14ac:dyDescent="0.25">
      <c r="A27" t="s">
        <v>387</v>
      </c>
      <c r="B27" t="s">
        <v>361</v>
      </c>
      <c r="C27">
        <v>33</v>
      </c>
      <c r="D27">
        <v>33</v>
      </c>
      <c r="E27">
        <v>1</v>
      </c>
      <c r="F27">
        <v>0</v>
      </c>
      <c r="G27">
        <v>184</v>
      </c>
      <c r="H27">
        <v>203</v>
      </c>
      <c r="I27">
        <v>110</v>
      </c>
      <c r="J27">
        <v>169</v>
      </c>
      <c r="K27">
        <v>65</v>
      </c>
      <c r="L27">
        <v>35</v>
      </c>
      <c r="M27">
        <v>10</v>
      </c>
      <c r="N27">
        <v>15</v>
      </c>
      <c r="O27">
        <v>0</v>
      </c>
      <c r="P27">
        <v>0</v>
      </c>
      <c r="Q27">
        <v>0</v>
      </c>
      <c r="R27">
        <v>5.38</v>
      </c>
      <c r="S27">
        <v>1.46</v>
      </c>
      <c r="T27">
        <f t="shared" si="0"/>
        <v>5.5757575757575761</v>
      </c>
      <c r="U27">
        <f t="shared" si="1"/>
        <v>0.59782608695652173</v>
      </c>
      <c r="V27">
        <f>U27-AVERAGEIFS(Pitchers[ER/IP],Pitchers[GS],"&gt;"&amp;0,Pitchers[IP],"&gt;"&amp;3)</f>
        <v>2.6325492157202257E-2</v>
      </c>
      <c r="W27">
        <f>IF(Pitchers[[#This Row],[IP/GS]]&lt;&gt;0,(Pitchers[[#This Row],[WHIP]]*$AH$5+$AI$5)/9*Pitchers[[#This Row],[IP/GS]],(Pitchers[[#This Row],[WHIP]]*$AH$5+$AI$5)/9*(Pitchers[[#This Row],[IP]]/Pitchers[[#This Row],[G]]))</f>
        <v>3.1078583152703709</v>
      </c>
      <c r="X27">
        <f>Pitchers[[#This Row],[Runs from WHIP]]-AVERAGEIFS(Pitchers[Runs from WHIP],Pitchers[GS],"&gt;"&amp;0,Pitchers[IP],"&gt;"&amp;3)</f>
        <v>-2.5780575908544883</v>
      </c>
      <c r="Y27">
        <f>IF(Pitchers[[#This Row],[IP/GS]]&lt;&gt;0,Pitchers[[#This Row],[ER/IP From Average]]*Pitchers[[#This Row],[IP/GS]],Pitchers[[#This Row],[ER/IP From Average]]*(Pitchers[[#This Row],[IP]]/Pitchers[[#This Row],[G]]))</f>
        <v>0.14678456233106715</v>
      </c>
      <c r="Z27">
        <f t="shared" si="2"/>
        <v>-0.62876819929543659</v>
      </c>
      <c r="AA27" s="32">
        <f>IF(Pitchers[[#This Row],[W]]=0,0,Pitchers[[#This Row],[W]]/(Pitchers[[#This Row],[W]]+Pitchers[[#This Row],[L]]))</f>
        <v>0.4</v>
      </c>
      <c r="AB27" s="60"/>
    </row>
    <row r="28" spans="1:35" x14ac:dyDescent="0.25">
      <c r="A28" t="s">
        <v>356</v>
      </c>
      <c r="B28" t="s">
        <v>24</v>
      </c>
      <c r="C28">
        <v>32</v>
      </c>
      <c r="D28">
        <v>32</v>
      </c>
      <c r="E28">
        <v>1</v>
      </c>
      <c r="F28">
        <v>1</v>
      </c>
      <c r="G28">
        <v>184</v>
      </c>
      <c r="H28">
        <v>193</v>
      </c>
      <c r="I28">
        <v>85</v>
      </c>
      <c r="J28">
        <v>144</v>
      </c>
      <c r="K28">
        <v>32</v>
      </c>
      <c r="L28">
        <v>27</v>
      </c>
      <c r="M28">
        <v>9</v>
      </c>
      <c r="N28">
        <v>14</v>
      </c>
      <c r="O28">
        <v>0</v>
      </c>
      <c r="P28">
        <v>0</v>
      </c>
      <c r="Q28">
        <v>0</v>
      </c>
      <c r="R28">
        <v>4.16</v>
      </c>
      <c r="S28">
        <v>1.22</v>
      </c>
      <c r="T28">
        <f t="shared" si="0"/>
        <v>5.75</v>
      </c>
      <c r="U28">
        <f t="shared" si="1"/>
        <v>0.46195652173913043</v>
      </c>
      <c r="V28">
        <f>U28-AVERAGEIFS(Pitchers[ER/IP],Pitchers[GS],"&gt;"&amp;0,Pitchers[IP],"&gt;"&amp;3)</f>
        <v>-0.10954407306018904</v>
      </c>
      <c r="W28">
        <f>IF(Pitchers[[#This Row],[IP/GS]]&lt;&gt;0,(Pitchers[[#This Row],[WHIP]]*$AH$5+$AI$5)/9*Pitchers[[#This Row],[IP/GS]],(Pitchers[[#This Row],[WHIP]]*$AH$5+$AI$5)/9*(Pitchers[[#This Row],[IP]]/Pitchers[[#This Row],[G]]))</f>
        <v>2.4885175522252809</v>
      </c>
      <c r="X28">
        <f>Pitchers[[#This Row],[Runs from WHIP]]-AVERAGEIFS(Pitchers[Runs from WHIP],Pitchers[GS],"&gt;"&amp;0,Pitchers[IP],"&gt;"&amp;3)</f>
        <v>-3.1973983538995783</v>
      </c>
      <c r="Y28">
        <f>IF(Pitchers[[#This Row],[IP/GS]]&lt;&gt;0,Pitchers[[#This Row],[ER/IP From Average]]*Pitchers[[#This Row],[IP/GS]],Pitchers[[#This Row],[ER/IP From Average]]*(Pitchers[[#This Row],[IP]]/Pitchers[[#This Row],[G]]))</f>
        <v>-0.62987842009608697</v>
      </c>
      <c r="Z28">
        <f t="shared" si="2"/>
        <v>-1.1045909290783225</v>
      </c>
      <c r="AA28" s="32">
        <f>IF(Pitchers[[#This Row],[W]]=0,0,Pitchers[[#This Row],[W]]/(Pitchers[[#This Row],[W]]+Pitchers[[#This Row],[L]]))</f>
        <v>0.39130434782608697</v>
      </c>
      <c r="AB28" s="60"/>
    </row>
    <row r="29" spans="1:35" x14ac:dyDescent="0.25">
      <c r="A29" t="s">
        <v>405</v>
      </c>
      <c r="B29" t="s">
        <v>4</v>
      </c>
      <c r="C29">
        <v>32</v>
      </c>
      <c r="D29">
        <v>32</v>
      </c>
      <c r="E29">
        <v>0</v>
      </c>
      <c r="F29">
        <v>0</v>
      </c>
      <c r="G29">
        <v>183.1</v>
      </c>
      <c r="H29">
        <v>184</v>
      </c>
      <c r="I29">
        <v>90</v>
      </c>
      <c r="J29">
        <v>158</v>
      </c>
      <c r="K29">
        <v>57</v>
      </c>
      <c r="L29">
        <v>29</v>
      </c>
      <c r="M29">
        <v>13</v>
      </c>
      <c r="N29">
        <v>14</v>
      </c>
      <c r="O29">
        <v>0</v>
      </c>
      <c r="P29">
        <v>0</v>
      </c>
      <c r="Q29">
        <v>0</v>
      </c>
      <c r="R29">
        <v>4.42</v>
      </c>
      <c r="S29">
        <v>1.31</v>
      </c>
      <c r="T29">
        <f t="shared" si="0"/>
        <v>5.7218749999999998</v>
      </c>
      <c r="U29">
        <f t="shared" si="1"/>
        <v>0.49153468050245769</v>
      </c>
      <c r="V29">
        <f>U29-AVERAGEIFS(Pitchers[ER/IP],Pitchers[GS],"&gt;"&amp;0,Pitchers[IP],"&gt;"&amp;3)</f>
        <v>-7.9965914296861784E-2</v>
      </c>
      <c r="W29">
        <f>IF(Pitchers[[#This Row],[IP/GS]]&lt;&gt;0,(Pitchers[[#This Row],[WHIP]]*$AH$5+$AI$5)/9*Pitchers[[#This Row],[IP/GS]],(Pitchers[[#This Row],[WHIP]]*$AH$5+$AI$5)/9*(Pitchers[[#This Row],[IP]]/Pitchers[[#This Row],[G]]))</f>
        <v>2.7437042948595942</v>
      </c>
      <c r="X29">
        <f>Pitchers[[#This Row],[Runs from WHIP]]-AVERAGEIFS(Pitchers[Runs from WHIP],Pitchers[GS],"&gt;"&amp;0,Pitchers[IP],"&gt;"&amp;3)</f>
        <v>-2.942211611265265</v>
      </c>
      <c r="Y29">
        <f>IF(Pitchers[[#This Row],[IP/GS]]&lt;&gt;0,Pitchers[[#This Row],[ER/IP From Average]]*Pitchers[[#This Row],[IP/GS]],Pitchers[[#This Row],[ER/IP From Average]]*(Pitchers[[#This Row],[IP]]/Pitchers[[#This Row],[G]]))</f>
        <v>-0.457554965867356</v>
      </c>
      <c r="Z29">
        <f t="shared" si="2"/>
        <v>-0.96761174935101302</v>
      </c>
      <c r="AA29" s="32">
        <f>IF(Pitchers[[#This Row],[W]]=0,0,Pitchers[[#This Row],[W]]/(Pitchers[[#This Row],[W]]+Pitchers[[#This Row],[L]]))</f>
        <v>0.48148148148148145</v>
      </c>
      <c r="AB29" s="60"/>
    </row>
    <row r="30" spans="1:35" x14ac:dyDescent="0.25">
      <c r="A30" t="s">
        <v>415</v>
      </c>
      <c r="B30" t="s">
        <v>29</v>
      </c>
      <c r="C30">
        <v>29</v>
      </c>
      <c r="D30">
        <v>29</v>
      </c>
      <c r="E30">
        <v>1</v>
      </c>
      <c r="F30">
        <v>1</v>
      </c>
      <c r="G30">
        <v>182.2</v>
      </c>
      <c r="H30">
        <v>160</v>
      </c>
      <c r="I30">
        <v>47</v>
      </c>
      <c r="J30">
        <v>163</v>
      </c>
      <c r="K30">
        <v>24</v>
      </c>
      <c r="L30">
        <v>17</v>
      </c>
      <c r="M30">
        <v>14</v>
      </c>
      <c r="N30">
        <v>5</v>
      </c>
      <c r="O30">
        <v>0</v>
      </c>
      <c r="P30">
        <v>0</v>
      </c>
      <c r="Q30">
        <v>0</v>
      </c>
      <c r="R30">
        <v>2.3199999999999998</v>
      </c>
      <c r="S30">
        <v>1.01</v>
      </c>
      <c r="T30">
        <f t="shared" si="0"/>
        <v>6.2827586206896546</v>
      </c>
      <c r="U30">
        <f t="shared" si="1"/>
        <v>0.25795828759604833</v>
      </c>
      <c r="V30">
        <f>U30-AVERAGEIFS(Pitchers[ER/IP],Pitchers[GS],"&gt;"&amp;0,Pitchers[IP],"&gt;"&amp;3)</f>
        <v>-0.31354230720327114</v>
      </c>
      <c r="W30">
        <f>IF(Pitchers[[#This Row],[IP/GS]]&lt;&gt;0,(Pitchers[[#This Row],[WHIP]]*$AH$5+$AI$5)/9*Pitchers[[#This Row],[IP/GS]],(Pitchers[[#This Row],[WHIP]]*$AH$5+$AI$5)/9*(Pitchers[[#This Row],[IP]]/Pitchers[[#This Row],[G]]))</f>
        <v>2.0340992480943538</v>
      </c>
      <c r="X30">
        <f>Pitchers[[#This Row],[Runs from WHIP]]-AVERAGEIFS(Pitchers[Runs from WHIP],Pitchers[GS],"&gt;"&amp;0,Pitchers[IP],"&gt;"&amp;3)</f>
        <v>-3.6518166580305054</v>
      </c>
      <c r="Y30">
        <f>IF(Pitchers[[#This Row],[IP/GS]]&lt;&gt;0,Pitchers[[#This Row],[ER/IP From Average]]*Pitchers[[#This Row],[IP/GS]],Pitchers[[#This Row],[ER/IP From Average]]*(Pitchers[[#This Row],[IP]]/Pitchers[[#This Row],[G]]))</f>
        <v>-1.9699106335322758</v>
      </c>
      <c r="Z30">
        <f t="shared" si="2"/>
        <v>-1.7617820288877117</v>
      </c>
      <c r="AA30" s="32">
        <f>IF(Pitchers[[#This Row],[W]]=0,0,Pitchers[[#This Row],[W]]/(Pitchers[[#This Row],[W]]+Pitchers[[#This Row],[L]]))</f>
        <v>0.73684210526315785</v>
      </c>
      <c r="AB30" s="60"/>
    </row>
    <row r="31" spans="1:35" x14ac:dyDescent="0.25">
      <c r="A31" t="s">
        <v>429</v>
      </c>
      <c r="B31" t="s">
        <v>29</v>
      </c>
      <c r="C31">
        <v>30</v>
      </c>
      <c r="D31">
        <v>30</v>
      </c>
      <c r="E31">
        <v>2</v>
      </c>
      <c r="F31">
        <v>0</v>
      </c>
      <c r="G31">
        <v>182.1</v>
      </c>
      <c r="H31">
        <v>153</v>
      </c>
      <c r="I31">
        <v>66</v>
      </c>
      <c r="J31">
        <v>215</v>
      </c>
      <c r="K31">
        <v>37</v>
      </c>
      <c r="L31">
        <v>20</v>
      </c>
      <c r="M31">
        <v>14</v>
      </c>
      <c r="N31">
        <v>4</v>
      </c>
      <c r="O31">
        <v>0</v>
      </c>
      <c r="P31">
        <v>0</v>
      </c>
      <c r="Q31">
        <v>0</v>
      </c>
      <c r="R31">
        <v>3.26</v>
      </c>
      <c r="S31">
        <v>1.04</v>
      </c>
      <c r="T31">
        <f t="shared" si="0"/>
        <v>6.0699999999999994</v>
      </c>
      <c r="U31">
        <f t="shared" si="1"/>
        <v>0.36243822075782539</v>
      </c>
      <c r="V31" s="60">
        <f>U31-AVERAGEIFS(Pitchers[ER/IP],Pitchers[GS],"&gt;"&amp;0,Pitchers[IP],"&gt;"&amp;3)</f>
        <v>-0.20906237404149408</v>
      </c>
      <c r="W31" s="60">
        <f>IF(Pitchers[[#This Row],[IP/GS]]&lt;&gt;0,(Pitchers[[#This Row],[WHIP]]*$AH$5+$AI$5)/9*Pitchers[[#This Row],[IP/GS]],(Pitchers[[#This Row],[WHIP]]*$AH$5+$AI$5)/9*(Pitchers[[#This Row],[IP]]/Pitchers[[#This Row],[G]]))</f>
        <v>2.0597584891497913</v>
      </c>
      <c r="X31" s="60">
        <f>Pitchers[[#This Row],[Runs from WHIP]]-AVERAGEIFS(Pitchers[Runs from WHIP],Pitchers[GS],"&gt;"&amp;0,Pitchers[IP],"&gt;"&amp;3)</f>
        <v>-3.6261574169750679</v>
      </c>
      <c r="Y31" s="60">
        <f>IF(Pitchers[[#This Row],[IP/GS]]&lt;&gt;0,Pitchers[[#This Row],[ER/IP From Average]]*Pitchers[[#This Row],[IP/GS]],Pitchers[[#This Row],[ER/IP From Average]]*(Pitchers[[#This Row],[IP]]/Pitchers[[#This Row],[G]]))</f>
        <v>-1.269008610431869</v>
      </c>
      <c r="Z31" s="60">
        <f t="shared" si="2"/>
        <v>-1.4745787553660989</v>
      </c>
      <c r="AA31" s="32">
        <f>IF(Pitchers[[#This Row],[W]]=0,0,Pitchers[[#This Row],[W]]/(Pitchers[[#This Row],[W]]+Pitchers[[#This Row],[L]]))</f>
        <v>0.77777777777777779</v>
      </c>
      <c r="AB31" s="60"/>
    </row>
    <row r="32" spans="1:35" x14ac:dyDescent="0.25">
      <c r="A32" t="s">
        <v>351</v>
      </c>
      <c r="B32" t="s">
        <v>28</v>
      </c>
      <c r="C32">
        <v>32</v>
      </c>
      <c r="D32">
        <v>31</v>
      </c>
      <c r="E32">
        <v>1</v>
      </c>
      <c r="F32">
        <v>1</v>
      </c>
      <c r="G32">
        <v>182</v>
      </c>
      <c r="H32">
        <v>186</v>
      </c>
      <c r="I32">
        <v>90</v>
      </c>
      <c r="J32">
        <v>149</v>
      </c>
      <c r="K32">
        <v>40</v>
      </c>
      <c r="L32">
        <v>28</v>
      </c>
      <c r="M32">
        <v>11</v>
      </c>
      <c r="N32">
        <v>9</v>
      </c>
      <c r="O32">
        <v>0</v>
      </c>
      <c r="P32">
        <v>0</v>
      </c>
      <c r="Q32">
        <v>0</v>
      </c>
      <c r="R32">
        <v>4.45</v>
      </c>
      <c r="S32">
        <v>1.24</v>
      </c>
      <c r="T32">
        <f t="shared" si="0"/>
        <v>5.870967741935484</v>
      </c>
      <c r="U32">
        <f t="shared" si="1"/>
        <v>0.49450549450549453</v>
      </c>
      <c r="V32">
        <f>U32-AVERAGEIFS(Pitchers[ER/IP],Pitchers[GS],"&gt;"&amp;0,Pitchers[IP],"&gt;"&amp;3)</f>
        <v>-7.6995100293824947E-2</v>
      </c>
      <c r="W32">
        <f>IF(Pitchers[[#This Row],[IP/GS]]&lt;&gt;0,(Pitchers[[#This Row],[WHIP]]*$AH$5+$AI$5)/9*Pitchers[[#This Row],[IP/GS]],(Pitchers[[#This Row],[WHIP]]*$AH$5+$AI$5)/9*(Pitchers[[#This Row],[IP]]/Pitchers[[#This Row],[G]]))</f>
        <v>2.6018318359524639</v>
      </c>
      <c r="X32">
        <f>Pitchers[[#This Row],[Runs from WHIP]]-AVERAGEIFS(Pitchers[Runs from WHIP],Pitchers[GS],"&gt;"&amp;0,Pitchers[IP],"&gt;"&amp;3)</f>
        <v>-3.0840840701723953</v>
      </c>
      <c r="Y32">
        <f>IF(Pitchers[[#This Row],[IP/GS]]&lt;&gt;0,Pitchers[[#This Row],[ER/IP From Average]]*Pitchers[[#This Row],[IP/GS]],Pitchers[[#This Row],[ER/IP From Average]]*(Pitchers[[#This Row],[IP]]/Pitchers[[#This Row],[G]]))</f>
        <v>-0.45203575011213359</v>
      </c>
      <c r="Z32">
        <f t="shared" si="2"/>
        <v>-1.0032367187574922</v>
      </c>
      <c r="AA32" s="32">
        <f>IF(Pitchers[[#This Row],[W]]=0,0,Pitchers[[#This Row],[W]]/(Pitchers[[#This Row],[W]]+Pitchers[[#This Row],[L]]))</f>
        <v>0.55000000000000004</v>
      </c>
      <c r="AB32" s="60"/>
    </row>
    <row r="33" spans="1:28" x14ac:dyDescent="0.25">
      <c r="A33" t="s">
        <v>279</v>
      </c>
      <c r="B33" t="s">
        <v>219</v>
      </c>
      <c r="C33">
        <v>32</v>
      </c>
      <c r="D33">
        <v>32</v>
      </c>
      <c r="E33">
        <v>0</v>
      </c>
      <c r="F33">
        <v>0</v>
      </c>
      <c r="G33">
        <v>181.1</v>
      </c>
      <c r="H33">
        <v>152</v>
      </c>
      <c r="I33">
        <v>71</v>
      </c>
      <c r="J33">
        <v>140</v>
      </c>
      <c r="K33">
        <v>49</v>
      </c>
      <c r="L33">
        <v>28</v>
      </c>
      <c r="M33">
        <v>11</v>
      </c>
      <c r="N33">
        <v>12</v>
      </c>
      <c r="O33">
        <v>0</v>
      </c>
      <c r="P33">
        <v>0</v>
      </c>
      <c r="Q33">
        <v>0</v>
      </c>
      <c r="R33">
        <v>3.52</v>
      </c>
      <c r="S33">
        <v>1.1100000000000001</v>
      </c>
      <c r="T33">
        <f t="shared" si="0"/>
        <v>5.6593749999999998</v>
      </c>
      <c r="U33">
        <f t="shared" si="1"/>
        <v>0.39204859193815572</v>
      </c>
      <c r="V33">
        <f>U33-AVERAGEIFS(Pitchers[ER/IP],Pitchers[GS],"&gt;"&amp;0,Pitchers[IP],"&gt;"&amp;3)</f>
        <v>-0.17945200286116375</v>
      </c>
      <c r="W33">
        <f>IF(Pitchers[[#This Row],[IP/GS]]&lt;&gt;0,(Pitchers[[#This Row],[WHIP]]*$AH$5+$AI$5)/9*Pitchers[[#This Row],[IP/GS]],(Pitchers[[#This Row],[WHIP]]*$AH$5+$AI$5)/9*(Pitchers[[#This Row],[IP]]/Pitchers[[#This Row],[G]]))</f>
        <v>2.1260937642090183</v>
      </c>
      <c r="X33">
        <f>Pitchers[[#This Row],[Runs from WHIP]]-AVERAGEIFS(Pitchers[Runs from WHIP],Pitchers[GS],"&gt;"&amp;0,Pitchers[IP],"&gt;"&amp;3)</f>
        <v>-3.5598221419158409</v>
      </c>
      <c r="Y33">
        <f>IF(Pitchers[[#This Row],[IP/GS]]&lt;&gt;0,Pitchers[[#This Row],[ER/IP From Average]]*Pitchers[[#This Row],[IP/GS]],Pitchers[[#This Row],[ER/IP From Average]]*(Pitchers[[#This Row],[IP]]/Pitchers[[#This Row],[G]]))</f>
        <v>-1.0155861786923985</v>
      </c>
      <c r="Z33">
        <f t="shared" si="2"/>
        <v>-1.3555203759878502</v>
      </c>
      <c r="AA33" s="32">
        <f>IF(Pitchers[[#This Row],[W]]=0,0,Pitchers[[#This Row],[W]]/(Pitchers[[#This Row],[W]]+Pitchers[[#This Row],[L]]))</f>
        <v>0.47826086956521741</v>
      </c>
      <c r="AB33" s="60"/>
    </row>
    <row r="34" spans="1:28" x14ac:dyDescent="0.25">
      <c r="A34" t="s">
        <v>403</v>
      </c>
      <c r="B34" t="s">
        <v>31</v>
      </c>
      <c r="C34">
        <v>31</v>
      </c>
      <c r="D34">
        <v>31</v>
      </c>
      <c r="E34">
        <v>0</v>
      </c>
      <c r="F34">
        <v>0</v>
      </c>
      <c r="G34">
        <v>178.2</v>
      </c>
      <c r="H34">
        <v>140</v>
      </c>
      <c r="I34">
        <v>79</v>
      </c>
      <c r="J34">
        <v>229</v>
      </c>
      <c r="K34">
        <v>56</v>
      </c>
      <c r="L34">
        <v>33</v>
      </c>
      <c r="M34">
        <v>6</v>
      </c>
      <c r="N34">
        <v>8</v>
      </c>
      <c r="O34">
        <v>0</v>
      </c>
      <c r="P34">
        <v>0</v>
      </c>
      <c r="Q34">
        <v>0</v>
      </c>
      <c r="R34">
        <v>3.98</v>
      </c>
      <c r="S34">
        <v>1.1000000000000001</v>
      </c>
      <c r="T34">
        <f t="shared" si="0"/>
        <v>5.7483870967741932</v>
      </c>
      <c r="U34">
        <f t="shared" si="1"/>
        <v>0.44332210998877669</v>
      </c>
      <c r="V34">
        <f>U34-AVERAGEIFS(Pitchers[ER/IP],Pitchers[GS],"&gt;"&amp;0,Pitchers[IP],"&gt;"&amp;3)</f>
        <v>-0.12817848481054278</v>
      </c>
      <c r="W34">
        <f>IF(Pitchers[[#This Row],[IP/GS]]&lt;&gt;0,(Pitchers[[#This Row],[WHIP]]*$AH$5+$AI$5)/9*Pitchers[[#This Row],[IP/GS]],(Pitchers[[#This Row],[WHIP]]*$AH$5+$AI$5)/9*(Pitchers[[#This Row],[IP]]/Pitchers[[#This Row],[G]]))</f>
        <v>2.1296893285982983</v>
      </c>
      <c r="X34">
        <f>Pitchers[[#This Row],[Runs from WHIP]]-AVERAGEIFS(Pitchers[Runs from WHIP],Pitchers[GS],"&gt;"&amp;0,Pitchers[IP],"&gt;"&amp;3)</f>
        <v>-3.5562265775265609</v>
      </c>
      <c r="Y34">
        <f>IF(Pitchers[[#This Row],[IP/GS]]&lt;&gt;0,Pitchers[[#This Row],[ER/IP From Average]]*Pitchers[[#This Row],[IP/GS]],Pitchers[[#This Row],[ER/IP From Average]]*(Pitchers[[#This Row],[IP]]/Pitchers[[#This Row],[G]]))</f>
        <v>-0.73681954816899109</v>
      </c>
      <c r="Z34">
        <f t="shared" si="2"/>
        <v>-1.2430549066080128</v>
      </c>
      <c r="AA34" s="32">
        <f>IF(Pitchers[[#This Row],[W]]=0,0,Pitchers[[#This Row],[W]]/(Pitchers[[#This Row],[W]]+Pitchers[[#This Row],[L]]))</f>
        <v>0.42857142857142855</v>
      </c>
      <c r="AB34" s="60"/>
    </row>
    <row r="35" spans="1:28" x14ac:dyDescent="0.25">
      <c r="A35" t="s">
        <v>468</v>
      </c>
      <c r="B35" t="s">
        <v>29</v>
      </c>
      <c r="C35">
        <v>29</v>
      </c>
      <c r="D35">
        <v>28</v>
      </c>
      <c r="E35">
        <v>0</v>
      </c>
      <c r="F35">
        <v>0</v>
      </c>
      <c r="G35">
        <v>178.1</v>
      </c>
      <c r="H35">
        <v>145</v>
      </c>
      <c r="I35">
        <v>60</v>
      </c>
      <c r="J35">
        <v>189</v>
      </c>
      <c r="K35">
        <v>41</v>
      </c>
      <c r="L35">
        <v>28</v>
      </c>
      <c r="M35">
        <v>16</v>
      </c>
      <c r="N35">
        <v>5</v>
      </c>
      <c r="O35">
        <v>0</v>
      </c>
      <c r="P35">
        <v>0</v>
      </c>
      <c r="Q35">
        <v>0</v>
      </c>
      <c r="R35">
        <v>3.03</v>
      </c>
      <c r="S35">
        <v>1.04</v>
      </c>
      <c r="T35">
        <f t="shared" si="0"/>
        <v>6.3607142857142858</v>
      </c>
      <c r="U35">
        <f t="shared" si="1"/>
        <v>0.33688938798427853</v>
      </c>
      <c r="V35">
        <f>U35-AVERAGEIFS(Pitchers[ER/IP],Pitchers[GS],"&gt;"&amp;0,Pitchers[IP],"&gt;"&amp;3)</f>
        <v>-0.23461120681504094</v>
      </c>
      <c r="W35">
        <f>IF(Pitchers[[#This Row],[IP/GS]]&lt;&gt;0,(Pitchers[[#This Row],[WHIP]]*$AH$5+$AI$5)/9*Pitchers[[#This Row],[IP/GS]],(Pitchers[[#This Row],[WHIP]]*$AH$5+$AI$5)/9*(Pitchers[[#This Row],[IP]]/Pitchers[[#This Row],[G]]))</f>
        <v>2.1584077836995639</v>
      </c>
      <c r="X35">
        <f>Pitchers[[#This Row],[Runs from WHIP]]-AVERAGEIFS(Pitchers[Runs from WHIP],Pitchers[GS],"&gt;"&amp;0,Pitchers[IP],"&gt;"&amp;3)</f>
        <v>-3.5275081224252953</v>
      </c>
      <c r="Y35">
        <f>IF(Pitchers[[#This Row],[IP/GS]]&lt;&gt;0,Pitchers[[#This Row],[ER/IP From Average]]*Pitchers[[#This Row],[IP/GS]],Pitchers[[#This Row],[ER/IP From Average]]*(Pitchers[[#This Row],[IP]]/Pitchers[[#This Row],[G]]))</f>
        <v>-1.4922948547770998</v>
      </c>
      <c r="Z35">
        <f t="shared" si="2"/>
        <v>-1.5375867745575853</v>
      </c>
      <c r="AA35" s="32">
        <f>IF(Pitchers[[#This Row],[W]]=0,0,Pitchers[[#This Row],[W]]/(Pitchers[[#This Row],[W]]+Pitchers[[#This Row],[L]]))</f>
        <v>0.76190476190476186</v>
      </c>
      <c r="AB35" s="60"/>
    </row>
    <row r="36" spans="1:28" x14ac:dyDescent="0.25">
      <c r="A36" t="s">
        <v>417</v>
      </c>
      <c r="B36" t="s">
        <v>31</v>
      </c>
      <c r="C36">
        <v>30</v>
      </c>
      <c r="D36">
        <v>30</v>
      </c>
      <c r="E36">
        <v>1</v>
      </c>
      <c r="F36">
        <v>1</v>
      </c>
      <c r="G36">
        <v>177</v>
      </c>
      <c r="H36">
        <v>168</v>
      </c>
      <c r="I36">
        <v>68</v>
      </c>
      <c r="J36">
        <v>150</v>
      </c>
      <c r="K36">
        <v>32</v>
      </c>
      <c r="L36">
        <v>19</v>
      </c>
      <c r="M36">
        <v>11</v>
      </c>
      <c r="N36">
        <v>10</v>
      </c>
      <c r="O36">
        <v>0</v>
      </c>
      <c r="P36">
        <v>0</v>
      </c>
      <c r="Q36">
        <v>0</v>
      </c>
      <c r="R36">
        <v>3.46</v>
      </c>
      <c r="S36">
        <v>1.1299999999999999</v>
      </c>
      <c r="T36">
        <f t="shared" si="0"/>
        <v>5.9</v>
      </c>
      <c r="U36">
        <f t="shared" si="1"/>
        <v>0.38418079096045199</v>
      </c>
      <c r="V36">
        <f>U36-AVERAGEIFS(Pitchers[ER/IP],Pitchers[GS],"&gt;"&amp;0,Pitchers[IP],"&gt;"&amp;3)</f>
        <v>-0.18731980383886748</v>
      </c>
      <c r="W36">
        <f>IF(Pitchers[[#This Row],[IP/GS]]&lt;&gt;0,(Pitchers[[#This Row],[WHIP]]*$AH$5+$AI$5)/9*Pitchers[[#This Row],[IP/GS]],(Pitchers[[#This Row],[WHIP]]*$AH$5+$AI$5)/9*(Pitchers[[#This Row],[IP]]/Pitchers[[#This Row],[G]]))</f>
        <v>2.277753539750027</v>
      </c>
      <c r="X36">
        <f>Pitchers[[#This Row],[Runs from WHIP]]-AVERAGEIFS(Pitchers[Runs from WHIP],Pitchers[GS],"&gt;"&amp;0,Pitchers[IP],"&gt;"&amp;3)</f>
        <v>-3.4081623663748322</v>
      </c>
      <c r="Y36">
        <f>IF(Pitchers[[#This Row],[IP/GS]]&lt;&gt;0,Pitchers[[#This Row],[ER/IP From Average]]*Pitchers[[#This Row],[IP/GS]],Pitchers[[#This Row],[ER/IP From Average]]*(Pitchers[[#This Row],[IP]]/Pitchers[[#This Row],[G]]))</f>
        <v>-1.1051868426493181</v>
      </c>
      <c r="Z36">
        <f t="shared" si="2"/>
        <v>-1.3509180347596825</v>
      </c>
      <c r="AA36" s="32">
        <f>IF(Pitchers[[#This Row],[W]]=0,0,Pitchers[[#This Row],[W]]/(Pitchers[[#This Row],[W]]+Pitchers[[#This Row],[L]]))</f>
        <v>0.52380952380952384</v>
      </c>
      <c r="AB36" s="60"/>
    </row>
    <row r="37" spans="1:28" x14ac:dyDescent="0.25">
      <c r="A37" t="s">
        <v>426</v>
      </c>
      <c r="B37" t="s">
        <v>361</v>
      </c>
      <c r="C37">
        <v>29</v>
      </c>
      <c r="D37">
        <v>29</v>
      </c>
      <c r="E37">
        <v>3</v>
      </c>
      <c r="F37">
        <v>2</v>
      </c>
      <c r="G37">
        <v>176.2</v>
      </c>
      <c r="H37">
        <v>131</v>
      </c>
      <c r="I37">
        <v>67</v>
      </c>
      <c r="J37">
        <v>228</v>
      </c>
      <c r="K37">
        <v>57</v>
      </c>
      <c r="L37">
        <v>24</v>
      </c>
      <c r="M37">
        <v>14</v>
      </c>
      <c r="N37">
        <v>9</v>
      </c>
      <c r="O37">
        <v>0</v>
      </c>
      <c r="P37">
        <v>0</v>
      </c>
      <c r="Q37">
        <v>0</v>
      </c>
      <c r="R37">
        <v>3.41</v>
      </c>
      <c r="S37">
        <v>1.06</v>
      </c>
      <c r="T37">
        <f t="shared" si="0"/>
        <v>6.0758620689655167</v>
      </c>
      <c r="U37">
        <f t="shared" si="1"/>
        <v>0.38024971623155507</v>
      </c>
      <c r="V37" s="60">
        <f>U37-AVERAGEIFS(Pitchers[ER/IP],Pitchers[GS],"&gt;"&amp;0,Pitchers[IP],"&gt;"&amp;3)</f>
        <v>-0.1912508785677644</v>
      </c>
      <c r="W37" s="60">
        <f>IF(Pitchers[[#This Row],[IP/GS]]&lt;&gt;0,(Pitchers[[#This Row],[WHIP]]*$AH$5+$AI$5)/9*Pitchers[[#This Row],[IP/GS]],(Pitchers[[#This Row],[WHIP]]*$AH$5+$AI$5)/9*(Pitchers[[#This Row],[IP]]/Pitchers[[#This Row],[G]]))</f>
        <v>2.1248363888301434</v>
      </c>
      <c r="X37" s="60">
        <f>Pitchers[[#This Row],[Runs from WHIP]]-AVERAGEIFS(Pitchers[Runs from WHIP],Pitchers[GS],"&gt;"&amp;0,Pitchers[IP],"&gt;"&amp;3)</f>
        <v>-3.5610795172947158</v>
      </c>
      <c r="Y37" s="60">
        <f>IF(Pitchers[[#This Row],[IP/GS]]&lt;&gt;0,Pitchers[[#This Row],[ER/IP From Average]]*Pitchers[[#This Row],[IP/GS]],Pitchers[[#This Row],[ER/IP From Average]]*(Pitchers[[#This Row],[IP]]/Pitchers[[#This Row],[G]]))</f>
        <v>-1.1620139587462099</v>
      </c>
      <c r="Z37" s="60">
        <f t="shared" si="2"/>
        <v>-1.414426788110408</v>
      </c>
      <c r="AA37" s="32">
        <f>IF(Pitchers[[#This Row],[W]]=0,0,Pitchers[[#This Row],[W]]/(Pitchers[[#This Row],[W]]+Pitchers[[#This Row],[L]]))</f>
        <v>0.60869565217391308</v>
      </c>
      <c r="AB37" s="60"/>
    </row>
    <row r="38" spans="1:28" x14ac:dyDescent="0.25">
      <c r="A38" t="s">
        <v>373</v>
      </c>
      <c r="B38" t="s">
        <v>17</v>
      </c>
      <c r="C38">
        <v>31</v>
      </c>
      <c r="D38">
        <v>31</v>
      </c>
      <c r="E38">
        <v>0</v>
      </c>
      <c r="F38">
        <v>0</v>
      </c>
      <c r="G38">
        <v>176</v>
      </c>
      <c r="H38">
        <v>181</v>
      </c>
      <c r="I38">
        <v>76</v>
      </c>
      <c r="J38">
        <v>90</v>
      </c>
      <c r="K38">
        <v>49</v>
      </c>
      <c r="L38">
        <v>20</v>
      </c>
      <c r="M38">
        <v>13</v>
      </c>
      <c r="N38">
        <v>9</v>
      </c>
      <c r="O38">
        <v>0</v>
      </c>
      <c r="P38">
        <v>0</v>
      </c>
      <c r="Q38">
        <v>0</v>
      </c>
      <c r="R38">
        <v>3.89</v>
      </c>
      <c r="S38">
        <v>1.31</v>
      </c>
      <c r="T38">
        <f t="shared" si="0"/>
        <v>5.67741935483871</v>
      </c>
      <c r="U38">
        <f t="shared" si="1"/>
        <v>0.43181818181818182</v>
      </c>
      <c r="V38">
        <f>U38-AVERAGEIFS(Pitchers[ER/IP],Pitchers[GS],"&gt;"&amp;0,Pitchers[IP],"&gt;"&amp;3)</f>
        <v>-0.13968241298113765</v>
      </c>
      <c r="W38">
        <f>IF(Pitchers[[#This Row],[IP/GS]]&lt;&gt;0,(Pitchers[[#This Row],[WHIP]]*$AH$5+$AI$5)/9*Pitchers[[#This Row],[IP/GS]],(Pitchers[[#This Row],[WHIP]]*$AH$5+$AI$5)/9*(Pitchers[[#This Row],[IP]]/Pitchers[[#This Row],[G]]))</f>
        <v>2.7223873061872124</v>
      </c>
      <c r="X38">
        <f>Pitchers[[#This Row],[Runs from WHIP]]-AVERAGEIFS(Pitchers[Runs from WHIP],Pitchers[GS],"&gt;"&amp;0,Pitchers[IP],"&gt;"&amp;3)</f>
        <v>-2.9635285999376468</v>
      </c>
      <c r="Y38">
        <f>IF(Pitchers[[#This Row],[IP/GS]]&lt;&gt;0,Pitchers[[#This Row],[ER/IP From Average]]*Pitchers[[#This Row],[IP/GS]],Pitchers[[#This Row],[ER/IP From Average]]*(Pitchers[[#This Row],[IP]]/Pitchers[[#This Row],[G]]))</f>
        <v>-0.79303563498968477</v>
      </c>
      <c r="Z38">
        <f t="shared" si="2"/>
        <v>-1.1074885473125795</v>
      </c>
      <c r="AA38" s="32">
        <f>IF(Pitchers[[#This Row],[W]]=0,0,Pitchers[[#This Row],[W]]/(Pitchers[[#This Row],[W]]+Pitchers[[#This Row],[L]]))</f>
        <v>0.59090909090909094</v>
      </c>
      <c r="AB38" s="60"/>
    </row>
    <row r="39" spans="1:28" x14ac:dyDescent="0.25">
      <c r="A39" t="s">
        <v>364</v>
      </c>
      <c r="B39" t="s">
        <v>332</v>
      </c>
      <c r="C39">
        <v>31</v>
      </c>
      <c r="D39">
        <v>31</v>
      </c>
      <c r="E39">
        <v>0</v>
      </c>
      <c r="F39">
        <v>0</v>
      </c>
      <c r="G39">
        <v>175.1</v>
      </c>
      <c r="H39">
        <v>192</v>
      </c>
      <c r="I39">
        <v>102</v>
      </c>
      <c r="J39">
        <v>164</v>
      </c>
      <c r="K39">
        <v>58</v>
      </c>
      <c r="L39">
        <v>31</v>
      </c>
      <c r="M39">
        <v>9</v>
      </c>
      <c r="N39">
        <v>14</v>
      </c>
      <c r="O39">
        <v>0</v>
      </c>
      <c r="P39">
        <v>0</v>
      </c>
      <c r="Q39">
        <v>0</v>
      </c>
      <c r="R39">
        <v>5.24</v>
      </c>
      <c r="S39">
        <v>1.43</v>
      </c>
      <c r="T39">
        <f t="shared" si="0"/>
        <v>5.6483870967741936</v>
      </c>
      <c r="U39">
        <f t="shared" si="1"/>
        <v>0.58252427184466027</v>
      </c>
      <c r="V39">
        <f>U39-AVERAGEIFS(Pitchers[ER/IP],Pitchers[GS],"&gt;"&amp;0,Pitchers[IP],"&gt;"&amp;3)</f>
        <v>1.1023677045340796E-2</v>
      </c>
      <c r="W39">
        <f>IF(Pitchers[[#This Row],[IP/GS]]&lt;&gt;0,(Pitchers[[#This Row],[WHIP]]*$AH$5+$AI$5)/9*Pitchers[[#This Row],[IP/GS]],(Pitchers[[#This Row],[WHIP]]*$AH$5+$AI$5)/9*(Pitchers[[#This Row],[IP]]/Pitchers[[#This Row],[G]]))</f>
        <v>3.0603660911315775</v>
      </c>
      <c r="X39">
        <f>Pitchers[[#This Row],[Runs from WHIP]]-AVERAGEIFS(Pitchers[Runs from WHIP],Pitchers[GS],"&gt;"&amp;0,Pitchers[IP],"&gt;"&amp;3)</f>
        <v>-2.6255498149932817</v>
      </c>
      <c r="Y39">
        <f>IF(Pitchers[[#This Row],[IP/GS]]&lt;&gt;0,Pitchers[[#This Row],[ER/IP From Average]]*Pitchers[[#This Row],[IP/GS]],Pitchers[[#This Row],[ER/IP From Average]]*(Pitchers[[#This Row],[IP]]/Pitchers[[#This Row],[G]]))</f>
        <v>6.2265995181908819E-2</v>
      </c>
      <c r="Z39">
        <f t="shared" si="2"/>
        <v>-0.67524021925877842</v>
      </c>
      <c r="AA39" s="32">
        <f>IF(Pitchers[[#This Row],[W]]=0,0,Pitchers[[#This Row],[W]]/(Pitchers[[#This Row],[W]]+Pitchers[[#This Row],[L]]))</f>
        <v>0.39130434782608697</v>
      </c>
      <c r="AB39" s="60"/>
    </row>
    <row r="40" spans="1:28" x14ac:dyDescent="0.25">
      <c r="A40" t="s">
        <v>278</v>
      </c>
      <c r="B40" t="s">
        <v>12</v>
      </c>
      <c r="C40">
        <v>31</v>
      </c>
      <c r="D40">
        <v>31</v>
      </c>
      <c r="E40">
        <v>0</v>
      </c>
      <c r="F40">
        <v>0</v>
      </c>
      <c r="G40">
        <v>175.1</v>
      </c>
      <c r="H40">
        <v>122</v>
      </c>
      <c r="I40">
        <v>56</v>
      </c>
      <c r="J40">
        <v>205</v>
      </c>
      <c r="K40">
        <v>68</v>
      </c>
      <c r="L40">
        <v>17</v>
      </c>
      <c r="M40">
        <v>11</v>
      </c>
      <c r="N40">
        <v>8</v>
      </c>
      <c r="O40">
        <v>0</v>
      </c>
      <c r="P40">
        <v>0</v>
      </c>
      <c r="Q40">
        <v>0</v>
      </c>
      <c r="R40">
        <v>2.87</v>
      </c>
      <c r="S40">
        <v>1.08</v>
      </c>
      <c r="T40">
        <f t="shared" si="0"/>
        <v>5.6483870967741936</v>
      </c>
      <c r="U40">
        <f t="shared" si="1"/>
        <v>0.31981724728726441</v>
      </c>
      <c r="V40">
        <f>U40-AVERAGEIFS(Pitchers[ER/IP],Pitchers[GS],"&gt;"&amp;0,Pitchers[IP],"&gt;"&amp;3)</f>
        <v>-0.25168334751205507</v>
      </c>
      <c r="W40">
        <f>IF(Pitchers[[#This Row],[IP/GS]]&lt;&gt;0,(Pitchers[[#This Row],[WHIP]]*$AH$5+$AI$5)/9*Pitchers[[#This Row],[IP/GS]],(Pitchers[[#This Row],[WHIP]]*$AH$5+$AI$5)/9*(Pitchers[[#This Row],[IP]]/Pitchers[[#This Row],[G]]))</f>
        <v>2.0339908470964487</v>
      </c>
      <c r="X40">
        <f>Pitchers[[#This Row],[Runs from WHIP]]-AVERAGEIFS(Pitchers[Runs from WHIP],Pitchers[GS],"&gt;"&amp;0,Pitchers[IP],"&gt;"&amp;3)</f>
        <v>-3.6519250590284105</v>
      </c>
      <c r="Y40">
        <f>IF(Pitchers[[#This Row],[IP/GS]]&lt;&gt;0,Pitchers[[#This Row],[ER/IP From Average]]*Pitchers[[#This Row],[IP/GS]],Pitchers[[#This Row],[ER/IP From Average]]*(Pitchers[[#This Row],[IP]]/Pitchers[[#This Row],[G]]))</f>
        <v>-1.4216049725600273</v>
      </c>
      <c r="Z40">
        <f t="shared" si="2"/>
        <v>-1.5424886714315871</v>
      </c>
      <c r="AA40" s="32">
        <f>IF(Pitchers[[#This Row],[W]]=0,0,Pitchers[[#This Row],[W]]/(Pitchers[[#This Row],[W]]+Pitchers[[#This Row],[L]]))</f>
        <v>0.57894736842105265</v>
      </c>
      <c r="AB40" s="60"/>
    </row>
    <row r="41" spans="1:28" x14ac:dyDescent="0.25">
      <c r="A41" t="s">
        <v>695</v>
      </c>
      <c r="B41" t="s">
        <v>10</v>
      </c>
      <c r="C41">
        <v>29</v>
      </c>
      <c r="D41">
        <v>29</v>
      </c>
      <c r="E41">
        <v>0</v>
      </c>
      <c r="F41">
        <v>0</v>
      </c>
      <c r="G41">
        <v>174.2</v>
      </c>
      <c r="H41">
        <v>153</v>
      </c>
      <c r="I41">
        <v>52</v>
      </c>
      <c r="J41">
        <v>142</v>
      </c>
      <c r="K41">
        <v>41</v>
      </c>
      <c r="L41">
        <v>14</v>
      </c>
      <c r="M41">
        <v>13</v>
      </c>
      <c r="N41">
        <v>4</v>
      </c>
      <c r="O41">
        <v>0</v>
      </c>
      <c r="P41">
        <v>0</v>
      </c>
      <c r="Q41">
        <v>0</v>
      </c>
      <c r="R41">
        <v>2.68</v>
      </c>
      <c r="S41">
        <v>1.1100000000000001</v>
      </c>
      <c r="T41">
        <f t="shared" si="0"/>
        <v>6.0068965517241377</v>
      </c>
      <c r="U41">
        <f t="shared" si="1"/>
        <v>0.29850746268656719</v>
      </c>
      <c r="V41" s="60">
        <f>U41-AVERAGEIFS(Pitchers[ER/IP],Pitchers[GS],"&gt;"&amp;0,Pitchers[IP],"&gt;"&amp;3)</f>
        <v>-0.27299313211275228</v>
      </c>
      <c r="W41" s="60">
        <f>IF(Pitchers[[#This Row],[IP/GS]]&lt;&gt;0,(Pitchers[[#This Row],[WHIP]]*$AH$5+$AI$5)/9*Pitchers[[#This Row],[IP/GS]],(Pitchers[[#This Row],[WHIP]]*$AH$5+$AI$5)/9*(Pitchers[[#This Row],[IP]]/Pitchers[[#This Row],[G]]))</f>
        <v>2.2566494181547156</v>
      </c>
      <c r="X41" s="60">
        <f>Pitchers[[#This Row],[Runs from WHIP]]-AVERAGEIFS(Pitchers[Runs from WHIP],Pitchers[GS],"&gt;"&amp;0,Pitchers[IP],"&gt;"&amp;3)</f>
        <v>-3.4292664879701436</v>
      </c>
      <c r="Y41" s="60">
        <f>IF(Pitchers[[#This Row],[IP/GS]]&lt;&gt;0,Pitchers[[#This Row],[ER/IP From Average]]*Pitchers[[#This Row],[IP/GS]],Pitchers[[#This Row],[ER/IP From Average]]*(Pitchers[[#This Row],[IP]]/Pitchers[[#This Row],[G]]))</f>
        <v>-1.6398415039324636</v>
      </c>
      <c r="Z41" s="60">
        <f t="shared" si="2"/>
        <v>-1.5704076650316907</v>
      </c>
      <c r="AA41" s="32">
        <f>IF(Pitchers[[#This Row],[W]]=0,0,Pitchers[[#This Row],[W]]/(Pitchers[[#This Row],[W]]+Pitchers[[#This Row],[L]]))</f>
        <v>0.76470588235294112</v>
      </c>
      <c r="AB41" s="60"/>
    </row>
    <row r="42" spans="1:28" x14ac:dyDescent="0.25">
      <c r="A42" t="s">
        <v>385</v>
      </c>
      <c r="B42" t="s">
        <v>10</v>
      </c>
      <c r="C42">
        <v>33</v>
      </c>
      <c r="D42">
        <v>33</v>
      </c>
      <c r="E42">
        <v>0</v>
      </c>
      <c r="F42">
        <v>0</v>
      </c>
      <c r="G42">
        <v>174.2</v>
      </c>
      <c r="H42">
        <v>148</v>
      </c>
      <c r="I42">
        <v>74</v>
      </c>
      <c r="J42">
        <v>162</v>
      </c>
      <c r="K42">
        <v>83</v>
      </c>
      <c r="L42">
        <v>22</v>
      </c>
      <c r="M42">
        <v>10</v>
      </c>
      <c r="N42">
        <v>11</v>
      </c>
      <c r="O42">
        <v>0</v>
      </c>
      <c r="P42">
        <v>0</v>
      </c>
      <c r="Q42">
        <v>0</v>
      </c>
      <c r="R42">
        <v>3.81</v>
      </c>
      <c r="S42">
        <v>1.32</v>
      </c>
      <c r="T42">
        <f t="shared" si="0"/>
        <v>5.2787878787878784</v>
      </c>
      <c r="U42">
        <f t="shared" si="1"/>
        <v>0.42479908151549944</v>
      </c>
      <c r="V42" s="60">
        <f>U42-AVERAGEIFS(Pitchers[ER/IP],Pitchers[GS],"&gt;"&amp;0,Pitchers[IP],"&gt;"&amp;3)</f>
        <v>-0.14670151328382003</v>
      </c>
      <c r="W42" s="60">
        <f>IF(Pitchers[[#This Row],[IP/GS]]&lt;&gt;0,(Pitchers[[#This Row],[WHIP]]*$AH$5+$AI$5)/9*Pitchers[[#This Row],[IP/GS]],(Pitchers[[#This Row],[WHIP]]*$AH$5+$AI$5)/9*(Pitchers[[#This Row],[IP]]/Pitchers[[#This Row],[G]]))</f>
        <v>2.5586451094873808</v>
      </c>
      <c r="X42" s="60">
        <f>Pitchers[[#This Row],[Runs from WHIP]]-AVERAGEIFS(Pitchers[Runs from WHIP],Pitchers[GS],"&gt;"&amp;0,Pitchers[IP],"&gt;"&amp;3)</f>
        <v>-3.1272707966374784</v>
      </c>
      <c r="Y42" s="60">
        <f>IF(Pitchers[[#This Row],[IP/GS]]&lt;&gt;0,Pitchers[[#This Row],[ER/IP From Average]]*Pitchers[[#This Row],[IP/GS]],Pitchers[[#This Row],[ER/IP From Average]]*(Pitchers[[#This Row],[IP]]/Pitchers[[#This Row],[G]]))</f>
        <v>-0.77440617012246804</v>
      </c>
      <c r="Z42" s="60">
        <f t="shared" si="2"/>
        <v>-1.143701347152315</v>
      </c>
      <c r="AA42" s="32">
        <f>IF(Pitchers[[#This Row],[W]]=0,0,Pitchers[[#This Row],[W]]/(Pitchers[[#This Row],[W]]+Pitchers[[#This Row],[L]]))</f>
        <v>0.47619047619047616</v>
      </c>
      <c r="AB42" s="60"/>
    </row>
    <row r="43" spans="1:28" x14ac:dyDescent="0.25">
      <c r="A43" t="s">
        <v>428</v>
      </c>
      <c r="B43" t="s">
        <v>24</v>
      </c>
      <c r="C43">
        <v>33</v>
      </c>
      <c r="D43">
        <v>32</v>
      </c>
      <c r="E43">
        <v>0</v>
      </c>
      <c r="F43">
        <v>0</v>
      </c>
      <c r="G43">
        <v>174.2</v>
      </c>
      <c r="H43">
        <v>160</v>
      </c>
      <c r="I43">
        <v>65</v>
      </c>
      <c r="J43">
        <v>136</v>
      </c>
      <c r="K43">
        <v>86</v>
      </c>
      <c r="L43">
        <v>22</v>
      </c>
      <c r="M43">
        <v>16</v>
      </c>
      <c r="N43">
        <v>7</v>
      </c>
      <c r="O43">
        <v>1</v>
      </c>
      <c r="P43">
        <v>0</v>
      </c>
      <c r="Q43">
        <v>0</v>
      </c>
      <c r="R43">
        <v>3.35</v>
      </c>
      <c r="S43">
        <v>1.41</v>
      </c>
      <c r="T43">
        <f t="shared" si="0"/>
        <v>5.4437499999999996</v>
      </c>
      <c r="U43">
        <f t="shared" si="1"/>
        <v>0.37313432835820898</v>
      </c>
      <c r="V43">
        <f>U43-AVERAGEIFS(Pitchers[ER/IP],Pitchers[GS],"&gt;"&amp;0,Pitchers[IP],"&gt;"&amp;3)</f>
        <v>-0.19836626644111049</v>
      </c>
      <c r="W43">
        <f>IF(Pitchers[[#This Row],[IP/GS]]&lt;&gt;0,(Pitchers[[#This Row],[WHIP]]*$AH$5+$AI$5)/9*Pitchers[[#This Row],[IP/GS]],(Pitchers[[#This Row],[WHIP]]*$AH$5+$AI$5)/9*(Pitchers[[#This Row],[IP]]/Pitchers[[#This Row],[G]]))</f>
        <v>2.8929660122829253</v>
      </c>
      <c r="X43">
        <f>Pitchers[[#This Row],[Runs from WHIP]]-AVERAGEIFS(Pitchers[Runs from WHIP],Pitchers[GS],"&gt;"&amp;0,Pitchers[IP],"&gt;"&amp;3)</f>
        <v>-2.7929498938419339</v>
      </c>
      <c r="Y43">
        <f>IF(Pitchers[[#This Row],[IP/GS]]&lt;&gt;0,Pitchers[[#This Row],[ER/IP From Average]]*Pitchers[[#This Row],[IP/GS]],Pitchers[[#This Row],[ER/IP From Average]]*(Pitchers[[#This Row],[IP]]/Pitchers[[#This Row],[G]]))</f>
        <v>-1.0798563629387952</v>
      </c>
      <c r="Z43">
        <f t="shared" si="2"/>
        <v>-1.1767291835333671</v>
      </c>
      <c r="AA43" s="32">
        <f>IF(Pitchers[[#This Row],[W]]=0,0,Pitchers[[#This Row],[W]]/(Pitchers[[#This Row],[W]]+Pitchers[[#This Row],[L]]))</f>
        <v>0.69565217391304346</v>
      </c>
      <c r="AB43" s="60"/>
    </row>
    <row r="44" spans="1:28" x14ac:dyDescent="0.25">
      <c r="A44" t="s">
        <v>365</v>
      </c>
      <c r="B44" t="s">
        <v>4</v>
      </c>
      <c r="C44">
        <v>33</v>
      </c>
      <c r="D44">
        <v>33</v>
      </c>
      <c r="E44">
        <v>0</v>
      </c>
      <c r="F44">
        <v>0</v>
      </c>
      <c r="G44">
        <v>174.1</v>
      </c>
      <c r="H44">
        <v>150</v>
      </c>
      <c r="I44">
        <v>84</v>
      </c>
      <c r="J44">
        <v>235</v>
      </c>
      <c r="K44">
        <v>84</v>
      </c>
      <c r="L44">
        <v>30</v>
      </c>
      <c r="M44">
        <v>12</v>
      </c>
      <c r="N44">
        <v>8</v>
      </c>
      <c r="O44">
        <v>0</v>
      </c>
      <c r="P44">
        <v>0</v>
      </c>
      <c r="Q44">
        <v>0</v>
      </c>
      <c r="R44">
        <v>4.34</v>
      </c>
      <c r="S44">
        <v>1.34</v>
      </c>
      <c r="T44">
        <f t="shared" si="0"/>
        <v>5.2757575757575754</v>
      </c>
      <c r="U44">
        <f t="shared" si="1"/>
        <v>0.48248133256748998</v>
      </c>
      <c r="V44">
        <f>U44-AVERAGEIFS(Pitchers[ER/IP],Pitchers[GS],"&gt;"&amp;0,Pitchers[IP],"&gt;"&amp;3)</f>
        <v>-8.9019262231829488E-2</v>
      </c>
      <c r="W44">
        <f>IF(Pitchers[[#This Row],[IP/GS]]&lt;&gt;0,(Pitchers[[#This Row],[WHIP]]*$AH$5+$AI$5)/9*Pitchers[[#This Row],[IP/GS]],(Pitchers[[#This Row],[WHIP]]*$AH$5+$AI$5)/9*(Pitchers[[#This Row],[IP]]/Pitchers[[#This Row],[G]]))</f>
        <v>2.6119571282674858</v>
      </c>
      <c r="X44">
        <f>Pitchers[[#This Row],[Runs from WHIP]]-AVERAGEIFS(Pitchers[Runs from WHIP],Pitchers[GS],"&gt;"&amp;0,Pitchers[IP],"&gt;"&amp;3)</f>
        <v>-3.0739587778573734</v>
      </c>
      <c r="Y44">
        <f>IF(Pitchers[[#This Row],[IP/GS]]&lt;&gt;0,Pitchers[[#This Row],[ER/IP From Average]]*Pitchers[[#This Row],[IP/GS]],Pitchers[[#This Row],[ER/IP From Average]]*(Pitchers[[#This Row],[IP]]/Pitchers[[#This Row],[G]]))</f>
        <v>-0.46964404710792462</v>
      </c>
      <c r="Z44">
        <f t="shared" si="2"/>
        <v>-1.007579959605136</v>
      </c>
      <c r="AA44" s="32">
        <f>IF(Pitchers[[#This Row],[W]]=0,0,Pitchers[[#This Row],[W]]/(Pitchers[[#This Row],[W]]+Pitchers[[#This Row],[L]]))</f>
        <v>0.6</v>
      </c>
      <c r="AB44" s="60"/>
    </row>
    <row r="45" spans="1:28" x14ac:dyDescent="0.25">
      <c r="A45" t="s">
        <v>437</v>
      </c>
      <c r="B45" t="s">
        <v>9</v>
      </c>
      <c r="C45">
        <v>32</v>
      </c>
      <c r="D45">
        <v>32</v>
      </c>
      <c r="E45">
        <v>0</v>
      </c>
      <c r="F45">
        <v>0</v>
      </c>
      <c r="G45">
        <v>174.1</v>
      </c>
      <c r="H45">
        <v>198</v>
      </c>
      <c r="I45">
        <v>107</v>
      </c>
      <c r="J45">
        <v>143</v>
      </c>
      <c r="K45">
        <v>45</v>
      </c>
      <c r="L45">
        <v>31</v>
      </c>
      <c r="M45">
        <v>14</v>
      </c>
      <c r="N45">
        <v>12</v>
      </c>
      <c r="O45">
        <v>0</v>
      </c>
      <c r="P45">
        <v>0</v>
      </c>
      <c r="Q45">
        <v>0</v>
      </c>
      <c r="R45">
        <v>5.52</v>
      </c>
      <c r="S45">
        <v>1.39</v>
      </c>
      <c r="T45">
        <f t="shared" si="0"/>
        <v>5.4406249999999998</v>
      </c>
      <c r="U45">
        <f t="shared" si="1"/>
        <v>0.61458931648477888</v>
      </c>
      <c r="V45">
        <f>U45-AVERAGEIFS(Pitchers[ER/IP],Pitchers[GS],"&gt;"&amp;0,Pitchers[IP],"&gt;"&amp;3)</f>
        <v>4.3088721685459408E-2</v>
      </c>
      <c r="W45">
        <f>IF(Pitchers[[#This Row],[IP/GS]]&lt;&gt;0,(Pitchers[[#This Row],[WHIP]]*$AH$5+$AI$5)/9*Pitchers[[#This Row],[IP/GS]],(Pitchers[[#This Row],[WHIP]]*$AH$5+$AI$5)/9*(Pitchers[[#This Row],[IP]]/Pitchers[[#This Row],[G]]))</f>
        <v>2.8348125802974335</v>
      </c>
      <c r="X45">
        <f>Pitchers[[#This Row],[Runs from WHIP]]-AVERAGEIFS(Pitchers[Runs from WHIP],Pitchers[GS],"&gt;"&amp;0,Pitchers[IP],"&gt;"&amp;3)</f>
        <v>-2.8511033258274256</v>
      </c>
      <c r="Y45">
        <f>IF(Pitchers[[#This Row],[IP/GS]]&lt;&gt;0,Pitchers[[#This Row],[ER/IP From Average]]*Pitchers[[#This Row],[IP/GS]],Pitchers[[#This Row],[ER/IP From Average]]*(Pitchers[[#This Row],[IP]]/Pitchers[[#This Row],[G]]))</f>
        <v>0.23442957641995257</v>
      </c>
      <c r="Z45">
        <f t="shared" si="2"/>
        <v>-0.66652238965266597</v>
      </c>
      <c r="AA45" s="32">
        <f>IF(Pitchers[[#This Row],[W]]=0,0,Pitchers[[#This Row],[W]]/(Pitchers[[#This Row],[W]]+Pitchers[[#This Row],[L]]))</f>
        <v>0.53846153846153844</v>
      </c>
      <c r="AB45" s="60"/>
    </row>
    <row r="46" spans="1:28" x14ac:dyDescent="0.25">
      <c r="A46" t="s">
        <v>342</v>
      </c>
      <c r="B46" t="s">
        <v>11</v>
      </c>
      <c r="C46">
        <v>28</v>
      </c>
      <c r="D46">
        <v>28</v>
      </c>
      <c r="E46">
        <v>1</v>
      </c>
      <c r="F46">
        <v>1</v>
      </c>
      <c r="G46">
        <v>174</v>
      </c>
      <c r="H46">
        <v>174</v>
      </c>
      <c r="I46">
        <v>92</v>
      </c>
      <c r="J46">
        <v>175</v>
      </c>
      <c r="K46">
        <v>35</v>
      </c>
      <c r="L46">
        <v>29</v>
      </c>
      <c r="M46">
        <v>12</v>
      </c>
      <c r="N46">
        <v>5</v>
      </c>
      <c r="O46">
        <v>0</v>
      </c>
      <c r="P46">
        <v>0</v>
      </c>
      <c r="Q46">
        <v>0</v>
      </c>
      <c r="R46">
        <v>4.76</v>
      </c>
      <c r="S46">
        <v>1.2</v>
      </c>
      <c r="T46">
        <f t="shared" si="0"/>
        <v>6.2142857142857144</v>
      </c>
      <c r="U46">
        <f t="shared" si="1"/>
        <v>0.52873563218390807</v>
      </c>
      <c r="V46">
        <f>U46-AVERAGEIFS(Pitchers[ER/IP],Pitchers[GS],"&gt;"&amp;0,Pitchers[IP],"&gt;"&amp;3)</f>
        <v>-4.2764962615411406E-2</v>
      </c>
      <c r="W46">
        <f>IF(Pitchers[[#This Row],[IP/GS]]&lt;&gt;0,(Pitchers[[#This Row],[WHIP]]*$AH$5+$AI$5)/9*Pitchers[[#This Row],[IP/GS]],(Pitchers[[#This Row],[WHIP]]*$AH$5+$AI$5)/9*(Pitchers[[#This Row],[IP]]/Pitchers[[#This Row],[G]]))</f>
        <v>2.6249277312045853</v>
      </c>
      <c r="X46">
        <f>Pitchers[[#This Row],[Runs from WHIP]]-AVERAGEIFS(Pitchers[Runs from WHIP],Pitchers[GS],"&gt;"&amp;0,Pitchers[IP],"&gt;"&amp;3)</f>
        <v>-3.0609881749202739</v>
      </c>
      <c r="Y46">
        <f>IF(Pitchers[[#This Row],[IP/GS]]&lt;&gt;0,Pitchers[[#This Row],[ER/IP From Average]]*Pitchers[[#This Row],[IP/GS]],Pitchers[[#This Row],[ER/IP From Average]]*(Pitchers[[#This Row],[IP]]/Pitchers[[#This Row],[G]]))</f>
        <v>-0.26575369625291373</v>
      </c>
      <c r="Z46">
        <f t="shared" si="2"/>
        <v>-0.9225649918132387</v>
      </c>
      <c r="AA46" s="32">
        <f>IF(Pitchers[[#This Row],[W]]=0,0,Pitchers[[#This Row],[W]]/(Pitchers[[#This Row],[W]]+Pitchers[[#This Row],[L]]))</f>
        <v>0.70588235294117652</v>
      </c>
      <c r="AB46" s="60"/>
    </row>
    <row r="47" spans="1:28" x14ac:dyDescent="0.25">
      <c r="A47" t="s">
        <v>339</v>
      </c>
      <c r="B47" t="s">
        <v>340</v>
      </c>
      <c r="C47">
        <v>27</v>
      </c>
      <c r="D47">
        <v>27</v>
      </c>
      <c r="E47">
        <v>0</v>
      </c>
      <c r="F47">
        <v>0</v>
      </c>
      <c r="G47">
        <v>172.1</v>
      </c>
      <c r="H47">
        <v>144</v>
      </c>
      <c r="I47">
        <v>56</v>
      </c>
      <c r="J47">
        <v>243</v>
      </c>
      <c r="K47">
        <v>33</v>
      </c>
      <c r="L47">
        <v>18</v>
      </c>
      <c r="M47">
        <v>11</v>
      </c>
      <c r="N47">
        <v>7</v>
      </c>
      <c r="O47">
        <v>0</v>
      </c>
      <c r="P47">
        <v>0</v>
      </c>
      <c r="Q47">
        <v>0</v>
      </c>
      <c r="R47">
        <v>2.92</v>
      </c>
      <c r="S47">
        <v>1.03</v>
      </c>
      <c r="T47">
        <f t="shared" si="0"/>
        <v>6.3740740740740742</v>
      </c>
      <c r="U47">
        <f t="shared" si="1"/>
        <v>0.32539221382916911</v>
      </c>
      <c r="V47" s="60">
        <f>U47-AVERAGEIFS(Pitchers[ER/IP],Pitchers[GS],"&gt;"&amp;0,Pitchers[IP],"&gt;"&amp;3)</f>
        <v>-0.24610838097015036</v>
      </c>
      <c r="W47" s="60">
        <f>IF(Pitchers[[#This Row],[IP/GS]]&lt;&gt;0,(Pitchers[[#This Row],[WHIP]]*$AH$5+$AI$5)/9*Pitchers[[#This Row],[IP/GS]],(Pitchers[[#This Row],[WHIP]]*$AH$5+$AI$5)/9*(Pitchers[[#This Row],[IP]]/Pitchers[[#This Row],[G]]))</f>
        <v>2.1298486250927828</v>
      </c>
      <c r="X47" s="60">
        <f>Pitchers[[#This Row],[Runs from WHIP]]-AVERAGEIFS(Pitchers[Runs from WHIP],Pitchers[GS],"&gt;"&amp;0,Pitchers[IP],"&gt;"&amp;3)</f>
        <v>-3.5560672810320764</v>
      </c>
      <c r="Y47" s="60">
        <f>IF(Pitchers[[#This Row],[IP/GS]]&lt;&gt;0,Pitchers[[#This Row],[ER/IP From Average]]*Pitchers[[#This Row],[IP/GS]],Pitchers[[#This Row],[ER/IP From Average]]*(Pitchers[[#This Row],[IP]]/Pitchers[[#This Row],[G]]))</f>
        <v>-1.5687130505541806</v>
      </c>
      <c r="Z47" s="60">
        <f t="shared" si="2"/>
        <v>-1.5757698284968924</v>
      </c>
      <c r="AA47" s="32">
        <f>IF(Pitchers[[#This Row],[W]]=0,0,Pitchers[[#This Row],[W]]/(Pitchers[[#This Row],[W]]+Pitchers[[#This Row],[L]]))</f>
        <v>0.61111111111111116</v>
      </c>
      <c r="AB47" s="60"/>
    </row>
    <row r="48" spans="1:28" x14ac:dyDescent="0.25">
      <c r="A48" t="s">
        <v>423</v>
      </c>
      <c r="B48" t="s">
        <v>24</v>
      </c>
      <c r="C48">
        <v>31</v>
      </c>
      <c r="D48">
        <v>31</v>
      </c>
      <c r="E48">
        <v>0</v>
      </c>
      <c r="F48">
        <v>0</v>
      </c>
      <c r="G48">
        <v>171.2</v>
      </c>
      <c r="H48">
        <v>181</v>
      </c>
      <c r="I48">
        <v>80</v>
      </c>
      <c r="J48">
        <v>153</v>
      </c>
      <c r="K48">
        <v>64</v>
      </c>
      <c r="L48">
        <v>22</v>
      </c>
      <c r="M48">
        <v>14</v>
      </c>
      <c r="N48">
        <v>10</v>
      </c>
      <c r="O48">
        <v>0</v>
      </c>
      <c r="P48">
        <v>0</v>
      </c>
      <c r="Q48">
        <v>0</v>
      </c>
      <c r="R48">
        <v>4.1900000000000004</v>
      </c>
      <c r="S48">
        <v>1.43</v>
      </c>
      <c r="T48">
        <f t="shared" si="0"/>
        <v>5.5225806451612902</v>
      </c>
      <c r="U48">
        <f t="shared" si="1"/>
        <v>0.46728971962616828</v>
      </c>
      <c r="V48">
        <f>U48-AVERAGEIFS(Pitchers[ER/IP],Pitchers[GS],"&gt;"&amp;0,Pitchers[IP],"&gt;"&amp;3)</f>
        <v>-0.1042108751731512</v>
      </c>
      <c r="W48">
        <f>IF(Pitchers[[#This Row],[IP/GS]]&lt;&gt;0,(Pitchers[[#This Row],[WHIP]]*$AH$5+$AI$5)/9*Pitchers[[#This Row],[IP/GS]],(Pitchers[[#This Row],[WHIP]]*$AH$5+$AI$5)/9*(Pitchers[[#This Row],[IP]]/Pitchers[[#This Row],[G]]))</f>
        <v>2.9922025973827875</v>
      </c>
      <c r="X48">
        <f>Pitchers[[#This Row],[Runs from WHIP]]-AVERAGEIFS(Pitchers[Runs from WHIP],Pitchers[GS],"&gt;"&amp;0,Pitchers[IP],"&gt;"&amp;3)</f>
        <v>-2.6937133087420717</v>
      </c>
      <c r="Y48">
        <f>IF(Pitchers[[#This Row],[IP/GS]]&lt;&gt;0,Pitchers[[#This Row],[ER/IP From Average]]*Pitchers[[#This Row],[IP/GS]],Pitchers[[#This Row],[ER/IP From Average]]*(Pitchers[[#This Row],[IP]]/Pitchers[[#This Row],[G]]))</f>
        <v>-0.57551296224656401</v>
      </c>
      <c r="Z48">
        <f t="shared" si="2"/>
        <v>-0.94852873389651149</v>
      </c>
      <c r="AA48" s="32">
        <f>IF(Pitchers[[#This Row],[W]]=0,0,Pitchers[[#This Row],[W]]/(Pitchers[[#This Row],[W]]+Pitchers[[#This Row],[L]]))</f>
        <v>0.58333333333333337</v>
      </c>
      <c r="AB48" s="60"/>
    </row>
    <row r="49" spans="1:28" x14ac:dyDescent="0.25">
      <c r="A49" t="s">
        <v>455</v>
      </c>
      <c r="B49" t="s">
        <v>31</v>
      </c>
      <c r="C49">
        <v>31</v>
      </c>
      <c r="D49">
        <v>31</v>
      </c>
      <c r="E49">
        <v>0</v>
      </c>
      <c r="F49">
        <v>0</v>
      </c>
      <c r="G49">
        <v>171.2</v>
      </c>
      <c r="H49">
        <v>205</v>
      </c>
      <c r="I49">
        <v>85</v>
      </c>
      <c r="J49">
        <v>165</v>
      </c>
      <c r="K49">
        <v>52</v>
      </c>
      <c r="L49">
        <v>26</v>
      </c>
      <c r="M49">
        <v>13</v>
      </c>
      <c r="N49">
        <v>10</v>
      </c>
      <c r="O49">
        <v>0</v>
      </c>
      <c r="P49">
        <v>0</v>
      </c>
      <c r="Q49">
        <v>0</v>
      </c>
      <c r="R49">
        <v>4.46</v>
      </c>
      <c r="S49">
        <v>1.5</v>
      </c>
      <c r="T49">
        <f t="shared" si="0"/>
        <v>5.5225806451612902</v>
      </c>
      <c r="U49">
        <f t="shared" si="1"/>
        <v>0.49649532710280375</v>
      </c>
      <c r="V49">
        <f>U49-AVERAGEIFS(Pitchers[ER/IP],Pitchers[GS],"&gt;"&amp;0,Pitchers[IP],"&gt;"&amp;3)</f>
        <v>-7.5005267696515721E-2</v>
      </c>
      <c r="W49">
        <f>IF(Pitchers[[#This Row],[IP/GS]]&lt;&gt;0,(Pitchers[[#This Row],[WHIP]]*$AH$5+$AI$5)/9*Pitchers[[#This Row],[IP/GS]],(Pitchers[[#This Row],[WHIP]]*$AH$5+$AI$5)/9*(Pitchers[[#This Row],[IP]]/Pitchers[[#This Row],[G]]))</f>
        <v>3.1929055577240946</v>
      </c>
      <c r="X49">
        <f>Pitchers[[#This Row],[Runs from WHIP]]-AVERAGEIFS(Pitchers[Runs from WHIP],Pitchers[GS],"&gt;"&amp;0,Pitchers[IP],"&gt;"&amp;3)</f>
        <v>-2.4930103484007646</v>
      </c>
      <c r="Y49">
        <f>IF(Pitchers[[#This Row],[IP/GS]]&lt;&gt;0,Pitchers[[#This Row],[ER/IP From Average]]*Pitchers[[#This Row],[IP/GS]],Pitchers[[#This Row],[ER/IP From Average]]*(Pitchers[[#This Row],[IP]]/Pitchers[[#This Row],[G]]))</f>
        <v>-0.41422263966591905</v>
      </c>
      <c r="Z49">
        <f t="shared" si="2"/>
        <v>-0.8304918154399048</v>
      </c>
      <c r="AA49" s="32">
        <f>IF(Pitchers[[#This Row],[W]]=0,0,Pitchers[[#This Row],[W]]/(Pitchers[[#This Row],[W]]+Pitchers[[#This Row],[L]]))</f>
        <v>0.56521739130434778</v>
      </c>
      <c r="AB49" s="60"/>
    </row>
    <row r="50" spans="1:28" x14ac:dyDescent="0.25">
      <c r="A50" t="s">
        <v>288</v>
      </c>
      <c r="B50" t="s">
        <v>31</v>
      </c>
      <c r="C50">
        <v>32</v>
      </c>
      <c r="D50">
        <v>31</v>
      </c>
      <c r="E50">
        <v>0</v>
      </c>
      <c r="F50">
        <v>0</v>
      </c>
      <c r="G50">
        <v>171</v>
      </c>
      <c r="H50">
        <v>191</v>
      </c>
      <c r="I50">
        <v>89</v>
      </c>
      <c r="J50">
        <v>152</v>
      </c>
      <c r="K50">
        <v>46</v>
      </c>
      <c r="L50">
        <v>20</v>
      </c>
      <c r="M50">
        <v>13</v>
      </c>
      <c r="N50">
        <v>9</v>
      </c>
      <c r="O50">
        <v>0</v>
      </c>
      <c r="P50">
        <v>0</v>
      </c>
      <c r="Q50">
        <v>0</v>
      </c>
      <c r="R50">
        <v>4.68</v>
      </c>
      <c r="S50">
        <v>1.39</v>
      </c>
      <c r="T50">
        <f t="shared" si="0"/>
        <v>5.5161290322580649</v>
      </c>
      <c r="U50">
        <f t="shared" si="1"/>
        <v>0.52046783625730997</v>
      </c>
      <c r="V50">
        <f>U50-AVERAGEIFS(Pitchers[ER/IP],Pitchers[GS],"&gt;"&amp;0,Pitchers[IP],"&gt;"&amp;3)</f>
        <v>-5.1032758542009504E-2</v>
      </c>
      <c r="W50">
        <f>IF(Pitchers[[#This Row],[IP/GS]]&lt;&gt;0,(Pitchers[[#This Row],[WHIP]]*$AH$5+$AI$5)/9*Pitchers[[#This Row],[IP/GS]],(Pitchers[[#This Row],[WHIP]]*$AH$5+$AI$5)/9*(Pitchers[[#This Row],[IP]]/Pitchers[[#This Row],[G]]))</f>
        <v>2.8741536083058601</v>
      </c>
      <c r="X50">
        <f>Pitchers[[#This Row],[Runs from WHIP]]-AVERAGEIFS(Pitchers[Runs from WHIP],Pitchers[GS],"&gt;"&amp;0,Pitchers[IP],"&gt;"&amp;3)</f>
        <v>-2.8117622978189991</v>
      </c>
      <c r="Y50">
        <f>IF(Pitchers[[#This Row],[IP/GS]]&lt;&gt;0,Pitchers[[#This Row],[ER/IP From Average]]*Pitchers[[#This Row],[IP/GS]],Pitchers[[#This Row],[ER/IP From Average]]*(Pitchers[[#This Row],[IP]]/Pitchers[[#This Row],[G]]))</f>
        <v>-0.28150328098979438</v>
      </c>
      <c r="Z50">
        <f t="shared" si="2"/>
        <v>-0.86240459181431739</v>
      </c>
      <c r="AA50" s="32">
        <f>IF(Pitchers[[#This Row],[W]]=0,0,Pitchers[[#This Row],[W]]/(Pitchers[[#This Row],[W]]+Pitchers[[#This Row],[L]]))</f>
        <v>0.59090909090909094</v>
      </c>
      <c r="AB50" s="60"/>
    </row>
    <row r="51" spans="1:28" x14ac:dyDescent="0.25">
      <c r="A51" t="s">
        <v>359</v>
      </c>
      <c r="B51" t="s">
        <v>14</v>
      </c>
      <c r="C51">
        <v>32</v>
      </c>
      <c r="D51">
        <v>31</v>
      </c>
      <c r="E51">
        <v>0</v>
      </c>
      <c r="F51">
        <v>0</v>
      </c>
      <c r="G51">
        <v>170.1</v>
      </c>
      <c r="H51">
        <v>168</v>
      </c>
      <c r="I51">
        <v>84</v>
      </c>
      <c r="J51">
        <v>157</v>
      </c>
      <c r="K51">
        <v>39</v>
      </c>
      <c r="L51">
        <v>21</v>
      </c>
      <c r="M51">
        <v>11</v>
      </c>
      <c r="N51">
        <v>12</v>
      </c>
      <c r="O51">
        <v>0</v>
      </c>
      <c r="P51">
        <v>0</v>
      </c>
      <c r="Q51">
        <v>1</v>
      </c>
      <c r="R51">
        <v>4.4400000000000004</v>
      </c>
      <c r="S51">
        <v>1.22</v>
      </c>
      <c r="T51">
        <f t="shared" si="0"/>
        <v>5.4870967741935486</v>
      </c>
      <c r="U51">
        <f t="shared" si="1"/>
        <v>0.49382716049382719</v>
      </c>
      <c r="V51">
        <f>U51-AVERAGEIFS(Pitchers[ER/IP],Pitchers[GS],"&gt;"&amp;0,Pitchers[IP],"&gt;"&amp;3)</f>
        <v>-7.7673434305492284E-2</v>
      </c>
      <c r="W51">
        <f>IF(Pitchers[[#This Row],[IP/GS]]&lt;&gt;0,(Pitchers[[#This Row],[WHIP]]*$AH$5+$AI$5)/9*Pitchers[[#This Row],[IP/GS]],(Pitchers[[#This Row],[WHIP]]*$AH$5+$AI$5)/9*(Pitchers[[#This Row],[IP]]/Pitchers[[#This Row],[G]]))</f>
        <v>2.3747368057981504</v>
      </c>
      <c r="X51">
        <f>Pitchers[[#This Row],[Runs from WHIP]]-AVERAGEIFS(Pitchers[Runs from WHIP],Pitchers[GS],"&gt;"&amp;0,Pitchers[IP],"&gt;"&amp;3)</f>
        <v>-3.3111791003267088</v>
      </c>
      <c r="Y51">
        <f>IF(Pitchers[[#This Row],[IP/GS]]&lt;&gt;0,Pitchers[[#This Row],[ER/IP From Average]]*Pitchers[[#This Row],[IP/GS]],Pitchers[[#This Row],[ER/IP From Average]]*(Pitchers[[#This Row],[IP]]/Pitchers[[#This Row],[G]]))</f>
        <v>-0.42620165081820122</v>
      </c>
      <c r="Z51">
        <f t="shared" si="2"/>
        <v>-1.053461753747736</v>
      </c>
      <c r="AA51" s="32">
        <f>IF(Pitchers[[#This Row],[W]]=0,0,Pitchers[[#This Row],[W]]/(Pitchers[[#This Row],[W]]+Pitchers[[#This Row],[L]]))</f>
        <v>0.47826086956521741</v>
      </c>
      <c r="AB51" s="60"/>
    </row>
    <row r="52" spans="1:28" x14ac:dyDescent="0.25">
      <c r="A52" t="s">
        <v>290</v>
      </c>
      <c r="B52" t="s">
        <v>16</v>
      </c>
      <c r="C52">
        <v>33</v>
      </c>
      <c r="D52">
        <v>33</v>
      </c>
      <c r="E52">
        <v>0</v>
      </c>
      <c r="F52">
        <v>0</v>
      </c>
      <c r="G52">
        <v>167.1</v>
      </c>
      <c r="H52">
        <v>164</v>
      </c>
      <c r="I52">
        <v>74</v>
      </c>
      <c r="J52">
        <v>140</v>
      </c>
      <c r="K52">
        <v>61</v>
      </c>
      <c r="L52">
        <v>23</v>
      </c>
      <c r="M52">
        <v>14</v>
      </c>
      <c r="N52">
        <v>6</v>
      </c>
      <c r="O52">
        <v>0</v>
      </c>
      <c r="P52">
        <v>0</v>
      </c>
      <c r="Q52">
        <v>0</v>
      </c>
      <c r="R52">
        <v>3.98</v>
      </c>
      <c r="S52">
        <v>1.34</v>
      </c>
      <c r="T52">
        <f t="shared" si="0"/>
        <v>5.0636363636363635</v>
      </c>
      <c r="U52">
        <f t="shared" si="1"/>
        <v>0.44284859365649315</v>
      </c>
      <c r="V52">
        <f>U52-AVERAGEIFS(Pitchers[ER/IP],Pitchers[GS],"&gt;"&amp;0,Pitchers[IP],"&gt;"&amp;3)</f>
        <v>-0.12865200114282632</v>
      </c>
      <c r="W52">
        <f>IF(Pitchers[[#This Row],[IP/GS]]&lt;&gt;0,(Pitchers[[#This Row],[WHIP]]*$AH$5+$AI$5)/9*Pitchers[[#This Row],[IP/GS]],(Pitchers[[#This Row],[WHIP]]*$AH$5+$AI$5)/9*(Pitchers[[#This Row],[IP]]/Pitchers[[#This Row],[G]]))</f>
        <v>2.506938748612848</v>
      </c>
      <c r="X52">
        <f>Pitchers[[#This Row],[Runs from WHIP]]-AVERAGEIFS(Pitchers[Runs from WHIP],Pitchers[GS],"&gt;"&amp;0,Pitchers[IP],"&gt;"&amp;3)</f>
        <v>-3.1789771575120112</v>
      </c>
      <c r="Y52">
        <f>IF(Pitchers[[#This Row],[IP/GS]]&lt;&gt;0,Pitchers[[#This Row],[ER/IP From Average]]*Pitchers[[#This Row],[IP/GS]],Pitchers[[#This Row],[ER/IP From Average]]*(Pitchers[[#This Row],[IP]]/Pitchers[[#This Row],[G]]))</f>
        <v>-0.65144695124140239</v>
      </c>
      <c r="Z52">
        <f t="shared" si="2"/>
        <v>-1.1083060224997638</v>
      </c>
      <c r="AA52" s="32">
        <f>IF(Pitchers[[#This Row],[W]]=0,0,Pitchers[[#This Row],[W]]/(Pitchers[[#This Row],[W]]+Pitchers[[#This Row],[L]]))</f>
        <v>0.7</v>
      </c>
      <c r="AB52" s="60"/>
    </row>
    <row r="53" spans="1:28" x14ac:dyDescent="0.25">
      <c r="A53" t="s">
        <v>422</v>
      </c>
      <c r="B53" t="s">
        <v>12</v>
      </c>
      <c r="C53">
        <v>31</v>
      </c>
      <c r="D53">
        <v>31</v>
      </c>
      <c r="E53">
        <v>0</v>
      </c>
      <c r="F53">
        <v>0</v>
      </c>
      <c r="G53">
        <v>166.2</v>
      </c>
      <c r="H53">
        <v>151</v>
      </c>
      <c r="I53">
        <v>72</v>
      </c>
      <c r="J53">
        <v>167</v>
      </c>
      <c r="K53">
        <v>49</v>
      </c>
      <c r="L53">
        <v>29</v>
      </c>
      <c r="M53">
        <v>9</v>
      </c>
      <c r="N53">
        <v>9</v>
      </c>
      <c r="O53">
        <v>0</v>
      </c>
      <c r="P53">
        <v>0</v>
      </c>
      <c r="Q53">
        <v>0</v>
      </c>
      <c r="R53">
        <v>3.89</v>
      </c>
      <c r="S53">
        <v>1.2</v>
      </c>
      <c r="T53">
        <f t="shared" si="0"/>
        <v>5.3612903225806452</v>
      </c>
      <c r="U53">
        <f t="shared" si="1"/>
        <v>0.43321299638989175</v>
      </c>
      <c r="V53">
        <f>U53-AVERAGEIFS(Pitchers[ER/IP],Pitchers[GS],"&gt;"&amp;0,Pitchers[IP],"&gt;"&amp;3)</f>
        <v>-0.13828759840942773</v>
      </c>
      <c r="W53">
        <f>IF(Pitchers[[#This Row],[IP/GS]]&lt;&gt;0,(Pitchers[[#This Row],[WHIP]]*$AH$5+$AI$5)/9*Pitchers[[#This Row],[IP/GS]],(Pitchers[[#This Row],[WHIP]]*$AH$5+$AI$5)/9*(Pitchers[[#This Row],[IP]]/Pitchers[[#This Row],[G]]))</f>
        <v>2.2646206321716091</v>
      </c>
      <c r="X53">
        <f>Pitchers[[#This Row],[Runs from WHIP]]-AVERAGEIFS(Pitchers[Runs from WHIP],Pitchers[GS],"&gt;"&amp;0,Pitchers[IP],"&gt;"&amp;3)</f>
        <v>-3.4212952739532501</v>
      </c>
      <c r="Y53">
        <f>IF(Pitchers[[#This Row],[IP/GS]]&lt;&gt;0,Pitchers[[#This Row],[ER/IP From Average]]*Pitchers[[#This Row],[IP/GS]],Pitchers[[#This Row],[ER/IP From Average]]*(Pitchers[[#This Row],[IP]]/Pitchers[[#This Row],[G]]))</f>
        <v>-0.74139996308538347</v>
      </c>
      <c r="Z53">
        <f t="shared" si="2"/>
        <v>-1.2089053916216868</v>
      </c>
      <c r="AA53" s="32">
        <f>IF(Pitchers[[#This Row],[W]]=0,0,Pitchers[[#This Row],[W]]/(Pitchers[[#This Row],[W]]+Pitchers[[#This Row],[L]]))</f>
        <v>0.5</v>
      </c>
      <c r="AB53" s="60"/>
    </row>
    <row r="54" spans="1:28" x14ac:dyDescent="0.25">
      <c r="A54" t="s">
        <v>408</v>
      </c>
      <c r="B54" t="s">
        <v>340</v>
      </c>
      <c r="C54">
        <v>30</v>
      </c>
      <c r="D54">
        <v>30</v>
      </c>
      <c r="E54">
        <v>0</v>
      </c>
      <c r="F54">
        <v>0</v>
      </c>
      <c r="G54">
        <v>166</v>
      </c>
      <c r="H54">
        <v>153</v>
      </c>
      <c r="I54">
        <v>71</v>
      </c>
      <c r="J54">
        <v>134</v>
      </c>
      <c r="K54">
        <v>58</v>
      </c>
      <c r="L54">
        <v>22</v>
      </c>
      <c r="M54">
        <v>11</v>
      </c>
      <c r="N54">
        <v>8</v>
      </c>
      <c r="O54">
        <v>0</v>
      </c>
      <c r="P54">
        <v>0</v>
      </c>
      <c r="Q54">
        <v>0</v>
      </c>
      <c r="R54">
        <v>3.85</v>
      </c>
      <c r="S54">
        <v>1.27</v>
      </c>
      <c r="T54">
        <f t="shared" si="0"/>
        <v>5.5333333333333332</v>
      </c>
      <c r="U54">
        <f t="shared" si="1"/>
        <v>0.42771084337349397</v>
      </c>
      <c r="V54">
        <f>U54-AVERAGEIFS(Pitchers[ER/IP],Pitchers[GS],"&gt;"&amp;0,Pitchers[IP],"&gt;"&amp;3)</f>
        <v>-0.14378975142582551</v>
      </c>
      <c r="W54">
        <f>IF(Pitchers[[#This Row],[IP/GS]]&lt;&gt;0,(Pitchers[[#This Row],[WHIP]]*$AH$5+$AI$5)/9*Pitchers[[#This Row],[IP/GS]],(Pitchers[[#This Row],[WHIP]]*$AH$5+$AI$5)/9*(Pitchers[[#This Row],[IP]]/Pitchers[[#This Row],[G]]))</f>
        <v>2.5383857092862967</v>
      </c>
      <c r="X54">
        <f>Pitchers[[#This Row],[Runs from WHIP]]-AVERAGEIFS(Pitchers[Runs from WHIP],Pitchers[GS],"&gt;"&amp;0,Pitchers[IP],"&gt;"&amp;3)</f>
        <v>-3.1475301968385625</v>
      </c>
      <c r="Y54">
        <f>IF(Pitchers[[#This Row],[IP/GS]]&lt;&gt;0,Pitchers[[#This Row],[ER/IP From Average]]*Pitchers[[#This Row],[IP/GS]],Pitchers[[#This Row],[ER/IP From Average]]*(Pitchers[[#This Row],[IP]]/Pitchers[[#This Row],[G]]))</f>
        <v>-0.79563662455623441</v>
      </c>
      <c r="Z54">
        <f t="shared" si="2"/>
        <v>-1.1575960356461106</v>
      </c>
      <c r="AA54" s="32">
        <f>IF(Pitchers[[#This Row],[W]]=0,0,Pitchers[[#This Row],[W]]/(Pitchers[[#This Row],[W]]+Pitchers[[#This Row],[L]]))</f>
        <v>0.57894736842105265</v>
      </c>
      <c r="AB54" s="60"/>
    </row>
    <row r="55" spans="1:28" x14ac:dyDescent="0.25">
      <c r="A55" t="s">
        <v>378</v>
      </c>
      <c r="B55" t="s">
        <v>10</v>
      </c>
      <c r="C55">
        <v>33</v>
      </c>
      <c r="D55">
        <v>30</v>
      </c>
      <c r="E55">
        <v>1</v>
      </c>
      <c r="F55">
        <v>0</v>
      </c>
      <c r="G55">
        <v>165.2</v>
      </c>
      <c r="H55">
        <v>174</v>
      </c>
      <c r="I55">
        <v>74</v>
      </c>
      <c r="J55">
        <v>173</v>
      </c>
      <c r="K55">
        <v>47</v>
      </c>
      <c r="L55">
        <v>21</v>
      </c>
      <c r="M55">
        <v>17</v>
      </c>
      <c r="N55">
        <v>6</v>
      </c>
      <c r="O55">
        <v>0</v>
      </c>
      <c r="P55">
        <v>0</v>
      </c>
      <c r="Q55">
        <v>0</v>
      </c>
      <c r="R55">
        <v>4.0199999999999996</v>
      </c>
      <c r="S55">
        <v>1.33</v>
      </c>
      <c r="T55">
        <f t="shared" si="0"/>
        <v>5.5066666666666659</v>
      </c>
      <c r="U55">
        <f t="shared" si="1"/>
        <v>0.44794188861985473</v>
      </c>
      <c r="V55">
        <f>U55-AVERAGEIFS(Pitchers[ER/IP],Pitchers[GS],"&gt;"&amp;0,Pitchers[IP],"&gt;"&amp;3)</f>
        <v>-0.12355870617946474</v>
      </c>
      <c r="W55">
        <f>IF(Pitchers[[#This Row],[IP/GS]]&lt;&gt;0,(Pitchers[[#This Row],[WHIP]]*$AH$5+$AI$5)/9*Pitchers[[#This Row],[IP/GS]],(Pitchers[[#This Row],[WHIP]]*$AH$5+$AI$5)/9*(Pitchers[[#This Row],[IP]]/Pitchers[[#This Row],[G]]))</f>
        <v>2.6976879057359291</v>
      </c>
      <c r="X55">
        <f>Pitchers[[#This Row],[Runs from WHIP]]-AVERAGEIFS(Pitchers[Runs from WHIP],Pitchers[GS],"&gt;"&amp;0,Pitchers[IP],"&gt;"&amp;3)</f>
        <v>-2.9882280003889301</v>
      </c>
      <c r="Y55">
        <f>IF(Pitchers[[#This Row],[IP/GS]]&lt;&gt;0,Pitchers[[#This Row],[ER/IP From Average]]*Pitchers[[#This Row],[IP/GS]],Pitchers[[#This Row],[ER/IP From Average]]*(Pitchers[[#This Row],[IP]]/Pitchers[[#This Row],[G]]))</f>
        <v>-0.68039660869491903</v>
      </c>
      <c r="Z55">
        <f t="shared" si="2"/>
        <v>-1.0690194435816822</v>
      </c>
      <c r="AA55" s="32">
        <f>IF(Pitchers[[#This Row],[W]]=0,0,Pitchers[[#This Row],[W]]/(Pitchers[[#This Row],[W]]+Pitchers[[#This Row],[L]]))</f>
        <v>0.73913043478260865</v>
      </c>
      <c r="AB55" s="60"/>
    </row>
    <row r="56" spans="1:28" x14ac:dyDescent="0.25">
      <c r="A56" t="s">
        <v>331</v>
      </c>
      <c r="B56" t="s">
        <v>332</v>
      </c>
      <c r="C56">
        <v>28</v>
      </c>
      <c r="D56">
        <v>28</v>
      </c>
      <c r="E56">
        <v>0</v>
      </c>
      <c r="F56">
        <v>0</v>
      </c>
      <c r="G56">
        <v>165.1</v>
      </c>
      <c r="H56">
        <v>154</v>
      </c>
      <c r="I56">
        <v>77</v>
      </c>
      <c r="J56">
        <v>122</v>
      </c>
      <c r="K56">
        <v>70</v>
      </c>
      <c r="L56">
        <v>15</v>
      </c>
      <c r="M56">
        <v>7</v>
      </c>
      <c r="N56">
        <v>14</v>
      </c>
      <c r="O56">
        <v>0</v>
      </c>
      <c r="P56">
        <v>0</v>
      </c>
      <c r="Q56">
        <v>0</v>
      </c>
      <c r="R56">
        <v>4.1900000000000004</v>
      </c>
      <c r="S56">
        <v>1.35</v>
      </c>
      <c r="T56">
        <f t="shared" si="0"/>
        <v>5.8964285714285714</v>
      </c>
      <c r="U56">
        <f t="shared" si="1"/>
        <v>0.46638400969109634</v>
      </c>
      <c r="V56">
        <f>U56-AVERAGEIFS(Pitchers[ER/IP],Pitchers[GS],"&gt;"&amp;0,Pitchers[IP],"&gt;"&amp;3)</f>
        <v>-0.10511658510822314</v>
      </c>
      <c r="W56">
        <f>IF(Pitchers[[#This Row],[IP/GS]]&lt;&gt;0,(Pitchers[[#This Row],[WHIP]]*$AH$5+$AI$5)/9*Pitchers[[#This Row],[IP/GS]],(Pitchers[[#This Row],[WHIP]]*$AH$5+$AI$5)/9*(Pitchers[[#This Row],[IP]]/Pitchers[[#This Row],[G]]))</f>
        <v>2.9498558263718051</v>
      </c>
      <c r="X56">
        <f>Pitchers[[#This Row],[Runs from WHIP]]-AVERAGEIFS(Pitchers[Runs from WHIP],Pitchers[GS],"&gt;"&amp;0,Pitchers[IP],"&gt;"&amp;3)</f>
        <v>-2.7360600797530541</v>
      </c>
      <c r="Y56">
        <f>IF(Pitchers[[#This Row],[IP/GS]]&lt;&gt;0,Pitchers[[#This Row],[ER/IP From Average]]*Pitchers[[#This Row],[IP/GS]],Pitchers[[#This Row],[ER/IP From Average]]*(Pitchers[[#This Row],[IP]]/Pitchers[[#This Row],[G]]))</f>
        <v>-0.61981243576312994</v>
      </c>
      <c r="Z56">
        <f t="shared" si="2"/>
        <v>-0.97754099557273311</v>
      </c>
      <c r="AA56" s="32">
        <f>IF(Pitchers[[#This Row],[W]]=0,0,Pitchers[[#This Row],[W]]/(Pitchers[[#This Row],[W]]+Pitchers[[#This Row],[L]]))</f>
        <v>0.33333333333333331</v>
      </c>
      <c r="AB56" s="60"/>
    </row>
    <row r="57" spans="1:28" x14ac:dyDescent="0.25">
      <c r="A57" t="s">
        <v>416</v>
      </c>
      <c r="B57" t="s">
        <v>13</v>
      </c>
      <c r="C57">
        <v>32</v>
      </c>
      <c r="D57">
        <v>29</v>
      </c>
      <c r="E57">
        <v>0</v>
      </c>
      <c r="F57">
        <v>0</v>
      </c>
      <c r="G57">
        <v>165.1</v>
      </c>
      <c r="H57">
        <v>184</v>
      </c>
      <c r="I57">
        <v>94</v>
      </c>
      <c r="J57">
        <v>135</v>
      </c>
      <c r="K57">
        <v>67</v>
      </c>
      <c r="L57">
        <v>23</v>
      </c>
      <c r="M57">
        <v>10</v>
      </c>
      <c r="N57">
        <v>7</v>
      </c>
      <c r="O57">
        <v>0</v>
      </c>
      <c r="P57">
        <v>0</v>
      </c>
      <c r="Q57">
        <v>0</v>
      </c>
      <c r="R57">
        <v>5.12</v>
      </c>
      <c r="S57">
        <v>1.52</v>
      </c>
      <c r="T57">
        <f t="shared" si="0"/>
        <v>5.6931034482758616</v>
      </c>
      <c r="U57">
        <f t="shared" si="1"/>
        <v>0.56935190793458512</v>
      </c>
      <c r="V57">
        <f>U57-AVERAGEIFS(Pitchers[ER/IP],Pitchers[GS],"&gt;"&amp;0,Pitchers[IP],"&gt;"&amp;3)</f>
        <v>-2.1486868647343504E-3</v>
      </c>
      <c r="W57">
        <f>IF(Pitchers[[#This Row],[IP/GS]]&lt;&gt;0,(Pitchers[[#This Row],[WHIP]]*$AH$5+$AI$5)/9*Pitchers[[#This Row],[IP/GS]],(Pitchers[[#This Row],[WHIP]]*$AH$5+$AI$5)/9*(Pitchers[[#This Row],[IP]]/Pitchers[[#This Row],[G]]))</f>
        <v>3.3506084315742677</v>
      </c>
      <c r="X57">
        <f>Pitchers[[#This Row],[Runs from WHIP]]-AVERAGEIFS(Pitchers[Runs from WHIP],Pitchers[GS],"&gt;"&amp;0,Pitchers[IP],"&gt;"&amp;3)</f>
        <v>-2.3353074745505915</v>
      </c>
      <c r="Y57">
        <f>IF(Pitchers[[#This Row],[IP/GS]]&lt;&gt;0,Pitchers[[#This Row],[ER/IP From Average]]*Pitchers[[#This Row],[IP/GS]],Pitchers[[#This Row],[ER/IP From Average]]*(Pitchers[[#This Row],[IP]]/Pitchers[[#This Row],[G]]))</f>
        <v>-1.223269659888418E-2</v>
      </c>
      <c r="Z57">
        <f t="shared" si="2"/>
        <v>-0.6276417385197115</v>
      </c>
      <c r="AA57" s="32">
        <f>IF(Pitchers[[#This Row],[W]]=0,0,Pitchers[[#This Row],[W]]/(Pitchers[[#This Row],[W]]+Pitchers[[#This Row],[L]]))</f>
        <v>0.58823529411764708</v>
      </c>
      <c r="AB57" s="60"/>
    </row>
    <row r="58" spans="1:28" x14ac:dyDescent="0.25">
      <c r="A58" t="s">
        <v>371</v>
      </c>
      <c r="B58" t="s">
        <v>370</v>
      </c>
      <c r="C58">
        <v>30</v>
      </c>
      <c r="D58">
        <v>30</v>
      </c>
      <c r="E58">
        <v>0</v>
      </c>
      <c r="F58">
        <v>0</v>
      </c>
      <c r="G58">
        <v>163.19999999999999</v>
      </c>
      <c r="H58">
        <v>144</v>
      </c>
      <c r="I58">
        <v>76</v>
      </c>
      <c r="J58">
        <v>158</v>
      </c>
      <c r="K58">
        <v>56</v>
      </c>
      <c r="L58">
        <v>23</v>
      </c>
      <c r="M58">
        <v>10</v>
      </c>
      <c r="N58">
        <v>10</v>
      </c>
      <c r="O58">
        <v>0</v>
      </c>
      <c r="P58">
        <v>0</v>
      </c>
      <c r="Q58">
        <v>0</v>
      </c>
      <c r="R58">
        <v>4.18</v>
      </c>
      <c r="S58">
        <v>1.22</v>
      </c>
      <c r="T58">
        <f t="shared" si="0"/>
        <v>5.4399999999999995</v>
      </c>
      <c r="U58">
        <f t="shared" si="1"/>
        <v>0.46568627450980393</v>
      </c>
      <c r="V58">
        <f>U58-AVERAGEIFS(Pitchers[ER/IP],Pitchers[GS],"&gt;"&amp;0,Pitchers[IP],"&gt;"&amp;3)</f>
        <v>-0.10581432028951554</v>
      </c>
      <c r="W58">
        <f>IF(Pitchers[[#This Row],[IP/GS]]&lt;&gt;0,(Pitchers[[#This Row],[WHIP]]*$AH$5+$AI$5)/9*Pitchers[[#This Row],[IP/GS]],(Pitchers[[#This Row],[WHIP]]*$AH$5+$AI$5)/9*(Pitchers[[#This Row],[IP]]/Pitchers[[#This Row],[G]]))</f>
        <v>2.3543539972357439</v>
      </c>
      <c r="X58">
        <f>Pitchers[[#This Row],[Runs from WHIP]]-AVERAGEIFS(Pitchers[Runs from WHIP],Pitchers[GS],"&gt;"&amp;0,Pitchers[IP],"&gt;"&amp;3)</f>
        <v>-3.3315619088891153</v>
      </c>
      <c r="Y58">
        <f>IF(Pitchers[[#This Row],[IP/GS]]&lt;&gt;0,Pitchers[[#This Row],[ER/IP From Average]]*Pitchers[[#This Row],[IP/GS]],Pitchers[[#This Row],[ER/IP From Average]]*(Pitchers[[#This Row],[IP]]/Pitchers[[#This Row],[G]]))</f>
        <v>-0.57562990237496447</v>
      </c>
      <c r="Z58">
        <f t="shared" si="2"/>
        <v>-1.1186684699870832</v>
      </c>
      <c r="AA58" s="32">
        <f>IF(Pitchers[[#This Row],[W]]=0,0,Pitchers[[#This Row],[W]]/(Pitchers[[#This Row],[W]]+Pitchers[[#This Row],[L]]))</f>
        <v>0.5</v>
      </c>
      <c r="AB58" s="60"/>
    </row>
    <row r="59" spans="1:28" x14ac:dyDescent="0.25">
      <c r="A59" t="s">
        <v>284</v>
      </c>
      <c r="B59" t="s">
        <v>15</v>
      </c>
      <c r="C59">
        <v>32</v>
      </c>
      <c r="D59">
        <v>28</v>
      </c>
      <c r="E59">
        <v>2</v>
      </c>
      <c r="F59">
        <v>1</v>
      </c>
      <c r="G59">
        <v>163.1</v>
      </c>
      <c r="H59">
        <v>172</v>
      </c>
      <c r="I59">
        <v>75</v>
      </c>
      <c r="J59">
        <v>129</v>
      </c>
      <c r="K59">
        <v>48</v>
      </c>
      <c r="L59">
        <v>28</v>
      </c>
      <c r="M59">
        <v>10</v>
      </c>
      <c r="N59">
        <v>13</v>
      </c>
      <c r="O59">
        <v>0</v>
      </c>
      <c r="P59">
        <v>0</v>
      </c>
      <c r="Q59">
        <v>0</v>
      </c>
      <c r="R59">
        <v>4.13</v>
      </c>
      <c r="S59">
        <v>1.35</v>
      </c>
      <c r="T59">
        <f t="shared" si="0"/>
        <v>5.8250000000000002</v>
      </c>
      <c r="U59">
        <f t="shared" si="1"/>
        <v>0.45984058859595339</v>
      </c>
      <c r="V59">
        <f>U59-AVERAGEIFS(Pitchers[ER/IP],Pitchers[GS],"&gt;"&amp;0,Pitchers[IP],"&gt;"&amp;3)</f>
        <v>-0.11166000620336608</v>
      </c>
      <c r="W59">
        <f>IF(Pitchers[[#This Row],[IP/GS]]&lt;&gt;0,(Pitchers[[#This Row],[WHIP]]*$AH$5+$AI$5)/9*Pitchers[[#This Row],[IP/GS]],(Pitchers[[#This Row],[WHIP]]*$AH$5+$AI$5)/9*(Pitchers[[#This Row],[IP]]/Pitchers[[#This Row],[G]]))</f>
        <v>2.9141216552467681</v>
      </c>
      <c r="X59">
        <f>Pitchers[[#This Row],[Runs from WHIP]]-AVERAGEIFS(Pitchers[Runs from WHIP],Pitchers[GS],"&gt;"&amp;0,Pitchers[IP],"&gt;"&amp;3)</f>
        <v>-2.7717942508780911</v>
      </c>
      <c r="Y59">
        <f>IF(Pitchers[[#This Row],[IP/GS]]&lt;&gt;0,Pitchers[[#This Row],[ER/IP From Average]]*Pitchers[[#This Row],[IP/GS]],Pitchers[[#This Row],[ER/IP From Average]]*(Pitchers[[#This Row],[IP]]/Pitchers[[#This Row],[G]]))</f>
        <v>-0.65041953613460746</v>
      </c>
      <c r="Z59">
        <f t="shared" si="2"/>
        <v>-0.99931294802133375</v>
      </c>
      <c r="AA59" s="32">
        <f>IF(Pitchers[[#This Row],[W]]=0,0,Pitchers[[#This Row],[W]]/(Pitchers[[#This Row],[W]]+Pitchers[[#This Row],[L]]))</f>
        <v>0.43478260869565216</v>
      </c>
      <c r="AB59" s="60"/>
    </row>
    <row r="60" spans="1:28" x14ac:dyDescent="0.25">
      <c r="A60" t="s">
        <v>337</v>
      </c>
      <c r="B60" t="s">
        <v>1</v>
      </c>
      <c r="C60">
        <v>32</v>
      </c>
      <c r="D60">
        <v>32</v>
      </c>
      <c r="E60">
        <v>1</v>
      </c>
      <c r="F60">
        <v>1</v>
      </c>
      <c r="G60">
        <v>161.19999999999999</v>
      </c>
      <c r="H60">
        <v>195</v>
      </c>
      <c r="I60">
        <v>98</v>
      </c>
      <c r="J60">
        <v>116</v>
      </c>
      <c r="K60">
        <v>50</v>
      </c>
      <c r="L60">
        <v>36</v>
      </c>
      <c r="M60">
        <v>6</v>
      </c>
      <c r="N60">
        <v>11</v>
      </c>
      <c r="O60">
        <v>0</v>
      </c>
      <c r="P60">
        <v>0</v>
      </c>
      <c r="Q60">
        <v>0</v>
      </c>
      <c r="R60">
        <v>5.46</v>
      </c>
      <c r="S60">
        <v>1.52</v>
      </c>
      <c r="T60">
        <f t="shared" si="0"/>
        <v>5.0374999999999996</v>
      </c>
      <c r="U60">
        <f t="shared" si="1"/>
        <v>0.60794044665012414</v>
      </c>
      <c r="V60">
        <f>U60-AVERAGEIFS(Pitchers[ER/IP],Pitchers[GS],"&gt;"&amp;0,Pitchers[IP],"&gt;"&amp;3)</f>
        <v>3.6439851850804672E-2</v>
      </c>
      <c r="W60">
        <f>IF(Pitchers[[#This Row],[IP/GS]]&lt;&gt;0,(Pitchers[[#This Row],[WHIP]]*$AH$5+$AI$5)/9*Pitchers[[#This Row],[IP/GS]],(Pitchers[[#This Row],[WHIP]]*$AH$5+$AI$5)/9*(Pitchers[[#This Row],[IP]]/Pitchers[[#This Row],[G]]))</f>
        <v>2.9647608070721132</v>
      </c>
      <c r="X60">
        <f>Pitchers[[#This Row],[Runs from WHIP]]-AVERAGEIFS(Pitchers[Runs from WHIP],Pitchers[GS],"&gt;"&amp;0,Pitchers[IP],"&gt;"&amp;3)</f>
        <v>-2.721155099052746</v>
      </c>
      <c r="Y60">
        <f>IF(Pitchers[[#This Row],[IP/GS]]&lt;&gt;0,Pitchers[[#This Row],[ER/IP From Average]]*Pitchers[[#This Row],[IP/GS]],Pitchers[[#This Row],[ER/IP From Average]]*(Pitchers[[#This Row],[IP]]/Pitchers[[#This Row],[G]]))</f>
        <v>0.18356575369842854</v>
      </c>
      <c r="Z60">
        <f t="shared" si="2"/>
        <v>-0.65221505826802739</v>
      </c>
      <c r="AA60" s="32">
        <f>IF(Pitchers[[#This Row],[W]]=0,0,Pitchers[[#This Row],[W]]/(Pitchers[[#This Row],[W]]+Pitchers[[#This Row],[L]]))</f>
        <v>0.35294117647058826</v>
      </c>
      <c r="AB60" s="60"/>
    </row>
    <row r="61" spans="1:28" x14ac:dyDescent="0.25">
      <c r="A61" t="s">
        <v>397</v>
      </c>
      <c r="B61" t="s">
        <v>8</v>
      </c>
      <c r="C61">
        <v>30</v>
      </c>
      <c r="D61">
        <v>30</v>
      </c>
      <c r="E61">
        <v>0</v>
      </c>
      <c r="F61">
        <v>0</v>
      </c>
      <c r="G61">
        <v>161.19999999999999</v>
      </c>
      <c r="H61">
        <v>161</v>
      </c>
      <c r="I61">
        <v>86</v>
      </c>
      <c r="J61">
        <v>162</v>
      </c>
      <c r="K61">
        <v>58</v>
      </c>
      <c r="L61">
        <v>29</v>
      </c>
      <c r="M61">
        <v>7</v>
      </c>
      <c r="N61">
        <v>14</v>
      </c>
      <c r="O61">
        <v>0</v>
      </c>
      <c r="P61">
        <v>0</v>
      </c>
      <c r="Q61">
        <v>0</v>
      </c>
      <c r="R61">
        <v>4.79</v>
      </c>
      <c r="S61">
        <v>1.35</v>
      </c>
      <c r="T61">
        <f t="shared" si="0"/>
        <v>5.3733333333333331</v>
      </c>
      <c r="U61">
        <f t="shared" si="1"/>
        <v>0.53349875930521096</v>
      </c>
      <c r="V61" s="60">
        <f>U61-AVERAGEIFS(Pitchers[ER/IP],Pitchers[GS],"&gt;"&amp;0,Pitchers[IP],"&gt;"&amp;3)</f>
        <v>-3.8001835494108516E-2</v>
      </c>
      <c r="W61" s="60">
        <f>IF(Pitchers[[#This Row],[IP/GS]]&lt;&gt;0,(Pitchers[[#This Row],[WHIP]]*$AH$5+$AI$5)/9*Pitchers[[#This Row],[IP/GS]],(Pitchers[[#This Row],[WHIP]]*$AH$5+$AI$5)/9*(Pitchers[[#This Row],[IP]]/Pitchers[[#This Row],[G]]))</f>
        <v>2.6881625798327842</v>
      </c>
      <c r="X61" s="60">
        <f>Pitchers[[#This Row],[Runs from WHIP]]-AVERAGEIFS(Pitchers[Runs from WHIP],Pitchers[GS],"&gt;"&amp;0,Pitchers[IP],"&gt;"&amp;3)</f>
        <v>-2.997753326292075</v>
      </c>
      <c r="Y61" s="60">
        <f>IF(Pitchers[[#This Row],[IP/GS]]&lt;&gt;0,Pitchers[[#This Row],[ER/IP From Average]]*Pitchers[[#This Row],[IP/GS]],Pitchers[[#This Row],[ER/IP From Average]]*(Pitchers[[#This Row],[IP]]/Pitchers[[#This Row],[G]]))</f>
        <v>-0.20419652938834307</v>
      </c>
      <c r="Z61" s="60">
        <f t="shared" si="2"/>
        <v>-0.88107949876655745</v>
      </c>
      <c r="AA61" s="32">
        <f>IF(Pitchers[[#This Row],[W]]=0,0,Pitchers[[#This Row],[W]]/(Pitchers[[#This Row],[W]]+Pitchers[[#This Row],[L]]))</f>
        <v>0.33333333333333331</v>
      </c>
      <c r="AB61" s="60"/>
    </row>
    <row r="62" spans="1:28" x14ac:dyDescent="0.25">
      <c r="A62" t="s">
        <v>384</v>
      </c>
      <c r="B62" t="s">
        <v>28</v>
      </c>
      <c r="C62">
        <v>31</v>
      </c>
      <c r="D62">
        <v>30</v>
      </c>
      <c r="E62">
        <v>0</v>
      </c>
      <c r="F62">
        <v>0</v>
      </c>
      <c r="G62">
        <v>161.1</v>
      </c>
      <c r="H62">
        <v>160</v>
      </c>
      <c r="I62">
        <v>88</v>
      </c>
      <c r="J62">
        <v>140</v>
      </c>
      <c r="K62">
        <v>49</v>
      </c>
      <c r="L62">
        <v>34</v>
      </c>
      <c r="M62">
        <v>12</v>
      </c>
      <c r="N62">
        <v>8</v>
      </c>
      <c r="O62">
        <v>0</v>
      </c>
      <c r="P62">
        <v>0</v>
      </c>
      <c r="Q62">
        <v>0</v>
      </c>
      <c r="R62">
        <v>4.91</v>
      </c>
      <c r="S62">
        <v>1.3</v>
      </c>
      <c r="T62">
        <f t="shared" si="0"/>
        <v>5.37</v>
      </c>
      <c r="U62">
        <f t="shared" si="1"/>
        <v>0.54624456859093729</v>
      </c>
      <c r="V62">
        <f>U62-AVERAGEIFS(Pitchers[ER/IP],Pitchers[GS],"&gt;"&amp;0,Pitchers[IP],"&gt;"&amp;3)</f>
        <v>-2.5256026208382187E-2</v>
      </c>
      <c r="W62">
        <f>IF(Pitchers[[#This Row],[IP/GS]]&lt;&gt;0,(Pitchers[[#This Row],[WHIP]]*$AH$5+$AI$5)/9*Pitchers[[#This Row],[IP/GS]],(Pitchers[[#This Row],[WHIP]]*$AH$5+$AI$5)/9*(Pitchers[[#This Row],[IP]]/Pitchers[[#This Row],[G]]))</f>
        <v>2.5470965297062444</v>
      </c>
      <c r="X62">
        <f>Pitchers[[#This Row],[Runs from WHIP]]-AVERAGEIFS(Pitchers[Runs from WHIP],Pitchers[GS],"&gt;"&amp;0,Pitchers[IP],"&gt;"&amp;3)</f>
        <v>-3.1388193764186147</v>
      </c>
      <c r="Y62">
        <f>IF(Pitchers[[#This Row],[IP/GS]]&lt;&gt;0,Pitchers[[#This Row],[ER/IP From Average]]*Pitchers[[#This Row],[IP/GS]],Pitchers[[#This Row],[ER/IP From Average]]*(Pitchers[[#This Row],[IP]]/Pitchers[[#This Row],[G]]))</f>
        <v>-0.13562486073901234</v>
      </c>
      <c r="Z62">
        <f t="shared" si="2"/>
        <v>-0.89126844467390232</v>
      </c>
      <c r="AA62" s="32">
        <f>IF(Pitchers[[#This Row],[W]]=0,0,Pitchers[[#This Row],[W]]/(Pitchers[[#This Row],[W]]+Pitchers[[#This Row],[L]]))</f>
        <v>0.6</v>
      </c>
      <c r="AB62" s="60"/>
    </row>
    <row r="63" spans="1:28" x14ac:dyDescent="0.25">
      <c r="A63" t="s">
        <v>406</v>
      </c>
      <c r="B63" t="s">
        <v>27</v>
      </c>
      <c r="C63">
        <v>32</v>
      </c>
      <c r="D63">
        <v>30</v>
      </c>
      <c r="E63">
        <v>1</v>
      </c>
      <c r="F63">
        <v>1</v>
      </c>
      <c r="G63">
        <v>160.1</v>
      </c>
      <c r="H63">
        <v>163</v>
      </c>
      <c r="I63">
        <v>75</v>
      </c>
      <c r="J63">
        <v>153</v>
      </c>
      <c r="K63">
        <v>52</v>
      </c>
      <c r="L63">
        <v>27</v>
      </c>
      <c r="M63">
        <v>11</v>
      </c>
      <c r="N63">
        <v>10</v>
      </c>
      <c r="O63">
        <v>0</v>
      </c>
      <c r="P63">
        <v>0</v>
      </c>
      <c r="Q63">
        <v>1</v>
      </c>
      <c r="R63">
        <v>4.21</v>
      </c>
      <c r="S63">
        <v>1.34</v>
      </c>
      <c r="T63">
        <f t="shared" si="0"/>
        <v>5.3366666666666669</v>
      </c>
      <c r="U63">
        <f t="shared" si="1"/>
        <v>0.46845721424109932</v>
      </c>
      <c r="V63">
        <f>U63-AVERAGEIFS(Pitchers[ER/IP],Pitchers[GS],"&gt;"&amp;0,Pitchers[IP],"&gt;"&amp;3)</f>
        <v>-0.10304338055822015</v>
      </c>
      <c r="W63">
        <f>IF(Pitchers[[#This Row],[IP/GS]]&lt;&gt;0,(Pitchers[[#This Row],[WHIP]]*$AH$5+$AI$5)/9*Pitchers[[#This Row],[IP/GS]],(Pitchers[[#This Row],[WHIP]]*$AH$5+$AI$5)/9*(Pitchers[[#This Row],[IP]]/Pitchers[[#This Row],[G]]))</f>
        <v>2.6421124058540317</v>
      </c>
      <c r="X63">
        <f>Pitchers[[#This Row],[Runs from WHIP]]-AVERAGEIFS(Pitchers[Runs from WHIP],Pitchers[GS],"&gt;"&amp;0,Pitchers[IP],"&gt;"&amp;3)</f>
        <v>-3.0438035002708275</v>
      </c>
      <c r="Y63">
        <f>IF(Pitchers[[#This Row],[IP/GS]]&lt;&gt;0,Pitchers[[#This Row],[ER/IP From Average]]*Pitchers[[#This Row],[IP/GS]],Pitchers[[#This Row],[ER/IP From Average]]*(Pitchers[[#This Row],[IP]]/Pitchers[[#This Row],[G]]))</f>
        <v>-0.5499081742457016</v>
      </c>
      <c r="Z63">
        <f t="shared" si="2"/>
        <v>-1.0316442031038346</v>
      </c>
      <c r="AA63" s="32">
        <f>IF(Pitchers[[#This Row],[W]]=0,0,Pitchers[[#This Row],[W]]/(Pitchers[[#This Row],[W]]+Pitchers[[#This Row],[L]]))</f>
        <v>0.52380952380952384</v>
      </c>
      <c r="AB63" s="60"/>
    </row>
    <row r="64" spans="1:28" x14ac:dyDescent="0.25">
      <c r="A64" t="s">
        <v>413</v>
      </c>
      <c r="B64" t="s">
        <v>13</v>
      </c>
      <c r="C64">
        <v>34</v>
      </c>
      <c r="D64">
        <v>29</v>
      </c>
      <c r="E64">
        <v>0</v>
      </c>
      <c r="F64">
        <v>0</v>
      </c>
      <c r="G64">
        <v>160</v>
      </c>
      <c r="H64">
        <v>175</v>
      </c>
      <c r="I64">
        <v>86</v>
      </c>
      <c r="J64">
        <v>160</v>
      </c>
      <c r="K64">
        <v>56</v>
      </c>
      <c r="L64">
        <v>23</v>
      </c>
      <c r="M64">
        <v>13</v>
      </c>
      <c r="N64">
        <v>7</v>
      </c>
      <c r="O64">
        <v>0</v>
      </c>
      <c r="P64">
        <v>1</v>
      </c>
      <c r="Q64">
        <v>2</v>
      </c>
      <c r="R64">
        <v>4.84</v>
      </c>
      <c r="S64">
        <v>1.44</v>
      </c>
      <c r="T64">
        <f t="shared" si="0"/>
        <v>5.5172413793103452</v>
      </c>
      <c r="U64">
        <f t="shared" si="1"/>
        <v>0.53749999999999998</v>
      </c>
      <c r="V64">
        <f>U64-AVERAGEIFS(Pitchers[ER/IP],Pitchers[GS],"&gt;"&amp;0,Pitchers[IP],"&gt;"&amp;3)</f>
        <v>-3.4000594799319495E-2</v>
      </c>
      <c r="W64">
        <f>IF(Pitchers[[#This Row],[IP/GS]]&lt;&gt;0,(Pitchers[[#This Row],[WHIP]]*$AH$5+$AI$5)/9*Pitchers[[#This Row],[IP/GS]],(Pitchers[[#This Row],[WHIP]]*$AH$5+$AI$5)/9*(Pitchers[[#This Row],[IP]]/Pitchers[[#This Row],[G]]))</f>
        <v>3.0179538483617026</v>
      </c>
      <c r="X64">
        <f>Pitchers[[#This Row],[Runs from WHIP]]-AVERAGEIFS(Pitchers[Runs from WHIP],Pitchers[GS],"&gt;"&amp;0,Pitchers[IP],"&gt;"&amp;3)</f>
        <v>-2.6679620577631566</v>
      </c>
      <c r="Y64">
        <f>IF(Pitchers[[#This Row],[IP/GS]]&lt;&gt;0,Pitchers[[#This Row],[ER/IP From Average]]*Pitchers[[#This Row],[IP/GS]],Pitchers[[#This Row],[ER/IP From Average]]*(Pitchers[[#This Row],[IP]]/Pitchers[[#This Row],[G]]))</f>
        <v>-0.18758948854796964</v>
      </c>
      <c r="Z64">
        <f t="shared" si="2"/>
        <v>-0.78649234415602953</v>
      </c>
      <c r="AA64" s="32">
        <f>IF(Pitchers[[#This Row],[W]]=0,0,Pitchers[[#This Row],[W]]/(Pitchers[[#This Row],[W]]+Pitchers[[#This Row],[L]]))</f>
        <v>0.65</v>
      </c>
      <c r="AB64" s="60"/>
    </row>
    <row r="65" spans="1:28" x14ac:dyDescent="0.25">
      <c r="A65" t="s">
        <v>286</v>
      </c>
      <c r="B65" t="s">
        <v>6</v>
      </c>
      <c r="C65">
        <v>31</v>
      </c>
      <c r="D65">
        <v>31</v>
      </c>
      <c r="E65">
        <v>0</v>
      </c>
      <c r="F65">
        <v>0</v>
      </c>
      <c r="G65">
        <v>159.19999999999999</v>
      </c>
      <c r="H65">
        <v>155</v>
      </c>
      <c r="I65">
        <v>63</v>
      </c>
      <c r="J65">
        <v>102</v>
      </c>
      <c r="K65">
        <v>51</v>
      </c>
      <c r="L65">
        <v>20</v>
      </c>
      <c r="M65">
        <v>10</v>
      </c>
      <c r="N65">
        <v>7</v>
      </c>
      <c r="O65">
        <v>0</v>
      </c>
      <c r="P65">
        <v>0</v>
      </c>
      <c r="Q65">
        <v>0</v>
      </c>
      <c r="R65">
        <v>3.55</v>
      </c>
      <c r="S65">
        <v>1.29</v>
      </c>
      <c r="T65">
        <f t="shared" si="0"/>
        <v>5.1354838709677413</v>
      </c>
      <c r="U65">
        <f t="shared" si="1"/>
        <v>0.39572864321608042</v>
      </c>
      <c r="V65">
        <f>U65-AVERAGEIFS(Pitchers[ER/IP],Pitchers[GS],"&gt;"&amp;0,Pitchers[IP],"&gt;"&amp;3)</f>
        <v>-0.17577195158323905</v>
      </c>
      <c r="W65">
        <f>IF(Pitchers[[#This Row],[IP/GS]]&lt;&gt;0,(Pitchers[[#This Row],[WHIP]]*$AH$5+$AI$5)/9*Pitchers[[#This Row],[IP/GS]],(Pitchers[[#This Row],[WHIP]]*$AH$5+$AI$5)/9*(Pitchers[[#This Row],[IP]]/Pitchers[[#This Row],[G]]))</f>
        <v>2.4091987788006288</v>
      </c>
      <c r="X65">
        <f>Pitchers[[#This Row],[Runs from WHIP]]-AVERAGEIFS(Pitchers[Runs from WHIP],Pitchers[GS],"&gt;"&amp;0,Pitchers[IP],"&gt;"&amp;3)</f>
        <v>-3.2767171273242304</v>
      </c>
      <c r="Y65">
        <f>IF(Pitchers[[#This Row],[IP/GS]]&lt;&gt;0,Pitchers[[#This Row],[ER/IP From Average]]*Pitchers[[#This Row],[IP/GS]],Pitchers[[#This Row],[ER/IP From Average]]*(Pitchers[[#This Row],[IP]]/Pitchers[[#This Row],[G]]))</f>
        <v>-0.90267402232424687</v>
      </c>
      <c r="Z65">
        <f t="shared" si="2"/>
        <v>-1.2348608428828269</v>
      </c>
      <c r="AA65" s="32">
        <f>IF(Pitchers[[#This Row],[W]]=0,0,Pitchers[[#This Row],[W]]/(Pitchers[[#This Row],[W]]+Pitchers[[#This Row],[L]]))</f>
        <v>0.58823529411764708</v>
      </c>
      <c r="AB65" s="60"/>
    </row>
    <row r="66" spans="1:28" x14ac:dyDescent="0.25">
      <c r="A66" t="s">
        <v>404</v>
      </c>
      <c r="B66" t="s">
        <v>13</v>
      </c>
      <c r="C66">
        <v>30</v>
      </c>
      <c r="D66">
        <v>30</v>
      </c>
      <c r="E66">
        <v>0</v>
      </c>
      <c r="F66">
        <v>0</v>
      </c>
      <c r="G66">
        <v>159</v>
      </c>
      <c r="H66">
        <v>139</v>
      </c>
      <c r="I66">
        <v>62</v>
      </c>
      <c r="J66">
        <v>178</v>
      </c>
      <c r="K66">
        <v>53</v>
      </c>
      <c r="L66">
        <v>16</v>
      </c>
      <c r="M66">
        <v>15</v>
      </c>
      <c r="N66">
        <v>7</v>
      </c>
      <c r="O66">
        <v>0</v>
      </c>
      <c r="P66">
        <v>0</v>
      </c>
      <c r="Q66">
        <v>0</v>
      </c>
      <c r="R66">
        <v>3.51</v>
      </c>
      <c r="S66">
        <v>1.21</v>
      </c>
      <c r="T66">
        <f t="shared" si="0"/>
        <v>5.3</v>
      </c>
      <c r="U66">
        <f t="shared" si="1"/>
        <v>0.38993710691823902</v>
      </c>
      <c r="V66">
        <f>U66-AVERAGEIFS(Pitchers[ER/IP],Pitchers[GS],"&gt;"&amp;0,Pitchers[IP],"&gt;"&amp;3)</f>
        <v>-0.18156348788108045</v>
      </c>
      <c r="W66">
        <f>IF(Pitchers[[#This Row],[IP/GS]]&lt;&gt;0,(Pitchers[[#This Row],[WHIP]]*$AH$5+$AI$5)/9*Pitchers[[#This Row],[IP/GS]],(Pitchers[[#This Row],[WHIP]]*$AH$5+$AI$5)/9*(Pitchers[[#This Row],[IP]]/Pitchers[[#This Row],[G]]))</f>
        <v>2.2662477359815227</v>
      </c>
      <c r="X66">
        <f>Pitchers[[#This Row],[Runs from WHIP]]-AVERAGEIFS(Pitchers[Runs from WHIP],Pitchers[GS],"&gt;"&amp;0,Pitchers[IP],"&gt;"&amp;3)</f>
        <v>-3.4196681701433365</v>
      </c>
      <c r="Y66">
        <f>IF(Pitchers[[#This Row],[IP/GS]]&lt;&gt;0,Pitchers[[#This Row],[ER/IP From Average]]*Pitchers[[#This Row],[IP/GS]],Pitchers[[#This Row],[ER/IP From Average]]*(Pitchers[[#This Row],[IP]]/Pitchers[[#This Row],[G]]))</f>
        <v>-0.96228648576972642</v>
      </c>
      <c r="Z66">
        <f t="shared" si="2"/>
        <v>-1.2968261063461137</v>
      </c>
      <c r="AA66" s="32">
        <f>IF(Pitchers[[#This Row],[W]]=0,0,Pitchers[[#This Row],[W]]/(Pitchers[[#This Row],[W]]+Pitchers[[#This Row],[L]]))</f>
        <v>0.68181818181818177</v>
      </c>
      <c r="AB66" s="60"/>
    </row>
    <row r="67" spans="1:28" x14ac:dyDescent="0.25">
      <c r="A67" t="s">
        <v>336</v>
      </c>
      <c r="B67" t="s">
        <v>3</v>
      </c>
      <c r="C67">
        <v>24</v>
      </c>
      <c r="D67">
        <v>24</v>
      </c>
      <c r="E67">
        <v>1</v>
      </c>
      <c r="F67">
        <v>1</v>
      </c>
      <c r="G67">
        <v>156.19999999999999</v>
      </c>
      <c r="H67">
        <v>127</v>
      </c>
      <c r="I67">
        <v>66</v>
      </c>
      <c r="J67">
        <v>185</v>
      </c>
      <c r="K67">
        <v>63</v>
      </c>
      <c r="L67">
        <v>22</v>
      </c>
      <c r="M67">
        <v>9</v>
      </c>
      <c r="N67">
        <v>8</v>
      </c>
      <c r="O67">
        <v>0</v>
      </c>
      <c r="P67">
        <v>0</v>
      </c>
      <c r="Q67">
        <v>0</v>
      </c>
      <c r="R67">
        <v>3.79</v>
      </c>
      <c r="S67">
        <v>1.21</v>
      </c>
      <c r="T67">
        <f t="shared" si="0"/>
        <v>6.5083333333333329</v>
      </c>
      <c r="U67">
        <f t="shared" si="1"/>
        <v>0.42253521126760568</v>
      </c>
      <c r="V67">
        <f>U67-AVERAGEIFS(Pitchers[ER/IP],Pitchers[GS],"&gt;"&amp;0,Pitchers[IP],"&gt;"&amp;3)</f>
        <v>-0.14896538353171379</v>
      </c>
      <c r="W67">
        <f>IF(Pitchers[[#This Row],[IP/GS]]&lt;&gt;0,(Pitchers[[#This Row],[WHIP]]*$AH$5+$AI$5)/9*Pitchers[[#This Row],[IP/GS]],(Pitchers[[#This Row],[WHIP]]*$AH$5+$AI$5)/9*(Pitchers[[#This Row],[IP]]/Pitchers[[#This Row],[G]]))</f>
        <v>2.7829237135244798</v>
      </c>
      <c r="X67">
        <f>Pitchers[[#This Row],[Runs from WHIP]]-AVERAGEIFS(Pitchers[Runs from WHIP],Pitchers[GS],"&gt;"&amp;0,Pitchers[IP],"&gt;"&amp;3)</f>
        <v>-2.9029921926003794</v>
      </c>
      <c r="Y67">
        <f>IF(Pitchers[[#This Row],[IP/GS]]&lt;&gt;0,Pitchers[[#This Row],[ER/IP From Average]]*Pitchers[[#This Row],[IP/GS]],Pitchers[[#This Row],[ER/IP From Average]]*(Pitchers[[#This Row],[IP]]/Pitchers[[#This Row],[G]]))</f>
        <v>-0.96951637115223721</v>
      </c>
      <c r="Z67">
        <f t="shared" si="2"/>
        <v>-1.1619377998209961</v>
      </c>
      <c r="AA67" s="32">
        <f>IF(Pitchers[[#This Row],[W]]=0,0,Pitchers[[#This Row],[W]]/(Pitchers[[#This Row],[W]]+Pitchers[[#This Row],[L]]))</f>
        <v>0.52941176470588236</v>
      </c>
      <c r="AB67" s="60"/>
    </row>
    <row r="68" spans="1:28" x14ac:dyDescent="0.25">
      <c r="A68" t="s">
        <v>440</v>
      </c>
      <c r="B68" t="s">
        <v>8</v>
      </c>
      <c r="C68">
        <v>31</v>
      </c>
      <c r="D68">
        <v>27</v>
      </c>
      <c r="E68">
        <v>0</v>
      </c>
      <c r="F68">
        <v>0</v>
      </c>
      <c r="G68">
        <v>155</v>
      </c>
      <c r="H68">
        <v>138</v>
      </c>
      <c r="I68">
        <v>62</v>
      </c>
      <c r="J68">
        <v>121</v>
      </c>
      <c r="K68">
        <v>38</v>
      </c>
      <c r="L68">
        <v>23</v>
      </c>
      <c r="M68">
        <v>12</v>
      </c>
      <c r="N68">
        <v>11</v>
      </c>
      <c r="O68">
        <v>0</v>
      </c>
      <c r="P68">
        <v>0</v>
      </c>
      <c r="Q68">
        <v>0</v>
      </c>
      <c r="R68">
        <v>3.6</v>
      </c>
      <c r="S68">
        <v>1.1399999999999999</v>
      </c>
      <c r="T68">
        <f t="shared" si="0"/>
        <v>5.7407407407407405</v>
      </c>
      <c r="U68">
        <f t="shared" si="1"/>
        <v>0.4</v>
      </c>
      <c r="V68">
        <f>U68-AVERAGEIFS(Pitchers[ER/IP],Pitchers[GS],"&gt;"&amp;0,Pitchers[IP],"&gt;"&amp;3)</f>
        <v>-0.17150059479931945</v>
      </c>
      <c r="W68">
        <f>IF(Pitchers[[#This Row],[IP/GS]]&lt;&gt;0,(Pitchers[[#This Row],[WHIP]]*$AH$5+$AI$5)/9*Pitchers[[#This Row],[IP/GS]],(Pitchers[[#This Row],[WHIP]]*$AH$5+$AI$5)/9*(Pitchers[[#This Row],[IP]]/Pitchers[[#This Row],[G]]))</f>
        <v>2.2460744064373075</v>
      </c>
      <c r="X68">
        <f>Pitchers[[#This Row],[Runs from WHIP]]-AVERAGEIFS(Pitchers[Runs from WHIP],Pitchers[GS],"&gt;"&amp;0,Pitchers[IP],"&gt;"&amp;3)</f>
        <v>-3.4398414996875517</v>
      </c>
      <c r="Y68">
        <f>IF(Pitchers[[#This Row],[IP/GS]]&lt;&gt;0,Pitchers[[#This Row],[ER/IP From Average]]*Pitchers[[#This Row],[IP/GS]],Pitchers[[#This Row],[ER/IP From Average]]*(Pitchers[[#This Row],[IP]]/Pitchers[[#This Row],[G]]))</f>
        <v>-0.98454045162572268</v>
      </c>
      <c r="Z68">
        <f t="shared" si="2"/>
        <v>-1.3111072472336363</v>
      </c>
      <c r="AA68" s="32">
        <f>IF(Pitchers[[#This Row],[W]]=0,0,Pitchers[[#This Row],[W]]/(Pitchers[[#This Row],[W]]+Pitchers[[#This Row],[L]]))</f>
        <v>0.52173913043478259</v>
      </c>
      <c r="AB68" s="60"/>
    </row>
    <row r="69" spans="1:28" x14ac:dyDescent="0.25">
      <c r="A69" t="s">
        <v>430</v>
      </c>
      <c r="B69" t="s">
        <v>18</v>
      </c>
      <c r="C69">
        <v>32</v>
      </c>
      <c r="D69">
        <v>29</v>
      </c>
      <c r="E69">
        <v>0</v>
      </c>
      <c r="F69">
        <v>0</v>
      </c>
      <c r="G69">
        <v>154.1</v>
      </c>
      <c r="H69">
        <v>156</v>
      </c>
      <c r="I69">
        <v>83</v>
      </c>
      <c r="J69">
        <v>149</v>
      </c>
      <c r="K69">
        <v>61</v>
      </c>
      <c r="L69">
        <v>24</v>
      </c>
      <c r="M69">
        <v>6</v>
      </c>
      <c r="N69">
        <v>9</v>
      </c>
      <c r="O69">
        <v>0</v>
      </c>
      <c r="P69">
        <v>0</v>
      </c>
      <c r="Q69">
        <v>0</v>
      </c>
      <c r="R69">
        <v>4.84</v>
      </c>
      <c r="S69">
        <v>1.41</v>
      </c>
      <c r="T69">
        <f t="shared" ref="T69:T132" si="3">IF(D69=0,0,G69/D69)</f>
        <v>5.3137931034482753</v>
      </c>
      <c r="U69">
        <f t="shared" ref="U69:U132" si="4">IF(G69=0,0,I69/G69)</f>
        <v>0.5386112913692408</v>
      </c>
      <c r="V69">
        <f>U69-AVERAGEIFS(Pitchers[ER/IP],Pitchers[GS],"&gt;"&amp;0,Pitchers[IP],"&gt;"&amp;3)</f>
        <v>-3.2889303430078676E-2</v>
      </c>
      <c r="W69">
        <f>IF(Pitchers[[#This Row],[IP/GS]]&lt;&gt;0,(Pitchers[[#This Row],[WHIP]]*$AH$5+$AI$5)/9*Pitchers[[#This Row],[IP/GS]],(Pitchers[[#This Row],[WHIP]]*$AH$5+$AI$5)/9*(Pitchers[[#This Row],[IP]]/Pitchers[[#This Row],[G]]))</f>
        <v>2.8239031631833327</v>
      </c>
      <c r="X69">
        <f>Pitchers[[#This Row],[Runs from WHIP]]-AVERAGEIFS(Pitchers[Runs from WHIP],Pitchers[GS],"&gt;"&amp;0,Pitchers[IP],"&gt;"&amp;3)</f>
        <v>-2.8620127429415265</v>
      </c>
      <c r="Y69">
        <f>IF(Pitchers[[#This Row],[IP/GS]]&lt;&gt;0,Pitchers[[#This Row],[ER/IP From Average]]*Pitchers[[#This Row],[IP/GS]],Pitchers[[#This Row],[ER/IP From Average]]*(Pitchers[[#This Row],[IP]]/Pitchers[[#This Row],[G]]))</f>
        <v>-0.17476695374396978</v>
      </c>
      <c r="Z69">
        <f t="shared" ref="Z69:Z132" si="5">AVERAGE(X69,X69,Y69,Y69,Y69)/1.5</f>
        <v>-0.83311017961532841</v>
      </c>
      <c r="AA69" s="32">
        <f>IF(Pitchers[[#This Row],[W]]=0,0,Pitchers[[#This Row],[W]]/(Pitchers[[#This Row],[W]]+Pitchers[[#This Row],[L]]))</f>
        <v>0.4</v>
      </c>
      <c r="AB69" s="60"/>
    </row>
    <row r="70" spans="1:28" x14ac:dyDescent="0.25">
      <c r="A70" t="s">
        <v>287</v>
      </c>
      <c r="B70" t="s">
        <v>29</v>
      </c>
      <c r="C70">
        <v>37</v>
      </c>
      <c r="D70">
        <v>26</v>
      </c>
      <c r="E70">
        <v>0</v>
      </c>
      <c r="F70">
        <v>0</v>
      </c>
      <c r="G70">
        <v>153.19999999999999</v>
      </c>
      <c r="H70">
        <v>114</v>
      </c>
      <c r="I70">
        <v>69</v>
      </c>
      <c r="J70">
        <v>169</v>
      </c>
      <c r="K70">
        <v>51</v>
      </c>
      <c r="L70">
        <v>22</v>
      </c>
      <c r="M70">
        <v>10</v>
      </c>
      <c r="N70">
        <v>8</v>
      </c>
      <c r="O70">
        <v>3</v>
      </c>
      <c r="P70">
        <v>0</v>
      </c>
      <c r="Q70">
        <v>4</v>
      </c>
      <c r="R70">
        <v>4.04</v>
      </c>
      <c r="S70">
        <v>1.07</v>
      </c>
      <c r="T70">
        <f t="shared" si="3"/>
        <v>5.8923076923076918</v>
      </c>
      <c r="U70">
        <f t="shared" si="4"/>
        <v>0.45039164490861622</v>
      </c>
      <c r="V70">
        <f>U70-AVERAGEIFS(Pitchers[ER/IP],Pitchers[GS],"&gt;"&amp;0,Pitchers[IP],"&gt;"&amp;3)</f>
        <v>-0.12110894989070325</v>
      </c>
      <c r="W70">
        <f>IF(Pitchers[[#This Row],[IP/GS]]&lt;&gt;0,(Pitchers[[#This Row],[WHIP]]*$AH$5+$AI$5)/9*Pitchers[[#This Row],[IP/GS]],(Pitchers[[#This Row],[WHIP]]*$AH$5+$AI$5)/9*(Pitchers[[#This Row],[IP]]/Pitchers[[#This Row],[G]]))</f>
        <v>2.0912355594422927</v>
      </c>
      <c r="X70">
        <f>Pitchers[[#This Row],[Runs from WHIP]]-AVERAGEIFS(Pitchers[Runs from WHIP],Pitchers[GS],"&gt;"&amp;0,Pitchers[IP],"&gt;"&amp;3)</f>
        <v>-3.5946803466825665</v>
      </c>
      <c r="Y70">
        <f>IF(Pitchers[[#This Row],[IP/GS]]&lt;&gt;0,Pitchers[[#This Row],[ER/IP From Average]]*Pitchers[[#This Row],[IP/GS]],Pitchers[[#This Row],[ER/IP From Average]]*(Pitchers[[#This Row],[IP]]/Pitchers[[#This Row],[G]]))</f>
        <v>-0.71361119704829756</v>
      </c>
      <c r="Z70">
        <f t="shared" si="5"/>
        <v>-1.2440259046013369</v>
      </c>
      <c r="AA70" s="32">
        <f>IF(Pitchers[[#This Row],[W]]=0,0,Pitchers[[#This Row],[W]]/(Pitchers[[#This Row],[W]]+Pitchers[[#This Row],[L]]))</f>
        <v>0.55555555555555558</v>
      </c>
      <c r="AB70" s="60"/>
    </row>
    <row r="71" spans="1:28" x14ac:dyDescent="0.25">
      <c r="A71" t="s">
        <v>400</v>
      </c>
      <c r="B71" t="s">
        <v>5</v>
      </c>
      <c r="C71">
        <v>28</v>
      </c>
      <c r="D71">
        <v>28</v>
      </c>
      <c r="E71">
        <v>0</v>
      </c>
      <c r="F71">
        <v>0</v>
      </c>
      <c r="G71">
        <v>153.1</v>
      </c>
      <c r="H71">
        <v>128</v>
      </c>
      <c r="I71">
        <v>77</v>
      </c>
      <c r="J71">
        <v>168</v>
      </c>
      <c r="K71">
        <v>60</v>
      </c>
      <c r="L71">
        <v>33</v>
      </c>
      <c r="M71">
        <v>10</v>
      </c>
      <c r="N71">
        <v>11</v>
      </c>
      <c r="O71">
        <v>0</v>
      </c>
      <c r="P71">
        <v>0</v>
      </c>
      <c r="Q71">
        <v>0</v>
      </c>
      <c r="R71">
        <v>4.5199999999999996</v>
      </c>
      <c r="S71">
        <v>1.23</v>
      </c>
      <c r="T71">
        <f t="shared" si="3"/>
        <v>5.4678571428571425</v>
      </c>
      <c r="U71">
        <f t="shared" si="4"/>
        <v>0.50293925538863493</v>
      </c>
      <c r="V71">
        <f>U71-AVERAGEIFS(Pitchers[ER/IP],Pitchers[GS],"&gt;"&amp;0,Pitchers[IP],"&gt;"&amp;3)</f>
        <v>-6.8561339410684541E-2</v>
      </c>
      <c r="W71">
        <f>IF(Pitchers[[#This Row],[IP/GS]]&lt;&gt;0,(Pitchers[[#This Row],[WHIP]]*$AH$5+$AI$5)/9*Pitchers[[#This Row],[IP/GS]],(Pitchers[[#This Row],[WHIP]]*$AH$5+$AI$5)/9*(Pitchers[[#This Row],[IP]]/Pitchers[[#This Row],[G]]))</f>
        <v>2.3947979100274059</v>
      </c>
      <c r="X71">
        <f>Pitchers[[#This Row],[Runs from WHIP]]-AVERAGEIFS(Pitchers[Runs from WHIP],Pitchers[GS],"&gt;"&amp;0,Pitchers[IP],"&gt;"&amp;3)</f>
        <v>-3.2911179960974533</v>
      </c>
      <c r="Y71">
        <f>IF(Pitchers[[#This Row],[IP/GS]]&lt;&gt;0,Pitchers[[#This Row],[ER/IP From Average]]*Pitchers[[#This Row],[IP/GS]],Pitchers[[#This Row],[ER/IP From Average]]*(Pitchers[[#This Row],[IP]]/Pitchers[[#This Row],[G]]))</f>
        <v>-0.37488360942056437</v>
      </c>
      <c r="Z71">
        <f t="shared" si="5"/>
        <v>-1.0275849093942133</v>
      </c>
      <c r="AA71" s="32">
        <f>IF(Pitchers[[#This Row],[W]]=0,0,Pitchers[[#This Row],[W]]/(Pitchers[[#This Row],[W]]+Pitchers[[#This Row],[L]]))</f>
        <v>0.47619047619047616</v>
      </c>
      <c r="AB71" s="60"/>
    </row>
    <row r="72" spans="1:28" x14ac:dyDescent="0.25">
      <c r="A72" t="s">
        <v>355</v>
      </c>
      <c r="B72" t="s">
        <v>28</v>
      </c>
      <c r="C72">
        <v>29</v>
      </c>
      <c r="D72">
        <v>29</v>
      </c>
      <c r="E72">
        <v>0</v>
      </c>
      <c r="F72">
        <v>0</v>
      </c>
      <c r="G72">
        <v>150.19999999999999</v>
      </c>
      <c r="H72">
        <v>138</v>
      </c>
      <c r="I72">
        <v>64</v>
      </c>
      <c r="J72">
        <v>186</v>
      </c>
      <c r="K72">
        <v>55</v>
      </c>
      <c r="L72">
        <v>23</v>
      </c>
      <c r="M72">
        <v>15</v>
      </c>
      <c r="N72">
        <v>6</v>
      </c>
      <c r="O72">
        <v>0</v>
      </c>
      <c r="P72">
        <v>0</v>
      </c>
      <c r="Q72">
        <v>0</v>
      </c>
      <c r="R72">
        <v>3.82</v>
      </c>
      <c r="S72">
        <v>1.28</v>
      </c>
      <c r="T72">
        <f t="shared" si="3"/>
        <v>5.1793103448275861</v>
      </c>
      <c r="U72">
        <f t="shared" si="4"/>
        <v>0.426098535286285</v>
      </c>
      <c r="V72">
        <f>U72-AVERAGEIFS(Pitchers[ER/IP],Pitchers[GS],"&gt;"&amp;0,Pitchers[IP],"&gt;"&amp;3)</f>
        <v>-0.14540205951303448</v>
      </c>
      <c r="W72">
        <f>IF(Pitchers[[#This Row],[IP/GS]]&lt;&gt;0,(Pitchers[[#This Row],[WHIP]]*$AH$5+$AI$5)/9*Pitchers[[#This Row],[IP/GS]],(Pitchers[[#This Row],[WHIP]]*$AH$5+$AI$5)/9*(Pitchers[[#This Row],[IP]]/Pitchers[[#This Row],[G]]))</f>
        <v>2.4028693222692978</v>
      </c>
      <c r="X72">
        <f>Pitchers[[#This Row],[Runs from WHIP]]-AVERAGEIFS(Pitchers[Runs from WHIP],Pitchers[GS],"&gt;"&amp;0,Pitchers[IP],"&gt;"&amp;3)</f>
        <v>-3.2830465838555614</v>
      </c>
      <c r="Y72">
        <f>IF(Pitchers[[#This Row],[IP/GS]]&lt;&gt;0,Pitchers[[#This Row],[ER/IP From Average]]*Pitchers[[#This Row],[IP/GS]],Pitchers[[#This Row],[ER/IP From Average]]*(Pitchers[[#This Row],[IP]]/Pitchers[[#This Row],[G]]))</f>
        <v>-0.75308239099509577</v>
      </c>
      <c r="Z72">
        <f t="shared" si="5"/>
        <v>-1.1767120454261877</v>
      </c>
      <c r="AA72" s="32">
        <f>IF(Pitchers[[#This Row],[W]]=0,0,Pitchers[[#This Row],[W]]/(Pitchers[[#This Row],[W]]+Pitchers[[#This Row],[L]]))</f>
        <v>0.7142857142857143</v>
      </c>
      <c r="AB72" s="60"/>
    </row>
    <row r="73" spans="1:28" x14ac:dyDescent="0.25">
      <c r="A73" t="s">
        <v>338</v>
      </c>
      <c r="B73" t="s">
        <v>11</v>
      </c>
      <c r="C73">
        <v>26</v>
      </c>
      <c r="D73">
        <v>25</v>
      </c>
      <c r="E73">
        <v>0</v>
      </c>
      <c r="F73">
        <v>0</v>
      </c>
      <c r="G73">
        <v>150</v>
      </c>
      <c r="H73">
        <v>147</v>
      </c>
      <c r="I73">
        <v>64</v>
      </c>
      <c r="J73">
        <v>150</v>
      </c>
      <c r="K73">
        <v>56</v>
      </c>
      <c r="L73">
        <v>19</v>
      </c>
      <c r="M73">
        <v>11</v>
      </c>
      <c r="N73">
        <v>8</v>
      </c>
      <c r="O73">
        <v>0</v>
      </c>
      <c r="P73">
        <v>0</v>
      </c>
      <c r="Q73">
        <v>0</v>
      </c>
      <c r="R73">
        <v>3.84</v>
      </c>
      <c r="S73">
        <v>1.35</v>
      </c>
      <c r="T73">
        <f t="shared" si="3"/>
        <v>6</v>
      </c>
      <c r="U73">
        <f t="shared" si="4"/>
        <v>0.42666666666666669</v>
      </c>
      <c r="V73" s="60">
        <f>U73-AVERAGEIFS(Pitchers[ER/IP],Pitchers[GS],"&gt;"&amp;0,Pitchers[IP],"&gt;"&amp;3)</f>
        <v>-0.14483392813265278</v>
      </c>
      <c r="W73" s="60">
        <f>IF(Pitchers[[#This Row],[IP/GS]]&lt;&gt;0,(Pitchers[[#This Row],[WHIP]]*$AH$5+$AI$5)/9*Pitchers[[#This Row],[IP/GS]],(Pitchers[[#This Row],[WHIP]]*$AH$5+$AI$5)/9*(Pitchers[[#This Row],[IP]]/Pitchers[[#This Row],[G]]))</f>
        <v>3.0016703745031088</v>
      </c>
      <c r="X73" s="60">
        <f>Pitchers[[#This Row],[Runs from WHIP]]-AVERAGEIFS(Pitchers[Runs from WHIP],Pitchers[GS],"&gt;"&amp;0,Pitchers[IP],"&gt;"&amp;3)</f>
        <v>-2.6842455316217504</v>
      </c>
      <c r="Y73" s="60">
        <f>IF(Pitchers[[#This Row],[IP/GS]]&lt;&gt;0,Pitchers[[#This Row],[ER/IP From Average]]*Pitchers[[#This Row],[IP/GS]],Pitchers[[#This Row],[ER/IP From Average]]*(Pitchers[[#This Row],[IP]]/Pitchers[[#This Row],[G]]))</f>
        <v>-0.86900356879591667</v>
      </c>
      <c r="Z73" s="60">
        <f t="shared" si="5"/>
        <v>-1.0634002359508334</v>
      </c>
      <c r="AA73" s="32">
        <f>IF(Pitchers[[#This Row],[W]]=0,0,Pitchers[[#This Row],[W]]/(Pitchers[[#This Row],[W]]+Pitchers[[#This Row],[L]]))</f>
        <v>0.57894736842105265</v>
      </c>
      <c r="AB73" s="60"/>
    </row>
    <row r="74" spans="1:28" x14ac:dyDescent="0.25">
      <c r="A74" t="s">
        <v>369</v>
      </c>
      <c r="B74" t="s">
        <v>370</v>
      </c>
      <c r="C74">
        <v>30</v>
      </c>
      <c r="D74">
        <v>29</v>
      </c>
      <c r="E74">
        <v>0</v>
      </c>
      <c r="F74">
        <v>0</v>
      </c>
      <c r="G74">
        <v>149.19999999999999</v>
      </c>
      <c r="H74">
        <v>158</v>
      </c>
      <c r="I74">
        <v>74</v>
      </c>
      <c r="J74">
        <v>138</v>
      </c>
      <c r="K74">
        <v>51</v>
      </c>
      <c r="L74">
        <v>20</v>
      </c>
      <c r="M74">
        <v>8</v>
      </c>
      <c r="N74">
        <v>10</v>
      </c>
      <c r="O74">
        <v>0</v>
      </c>
      <c r="P74">
        <v>0</v>
      </c>
      <c r="Q74">
        <v>0</v>
      </c>
      <c r="R74">
        <v>4.45</v>
      </c>
      <c r="S74">
        <v>1.4</v>
      </c>
      <c r="T74">
        <f t="shared" si="3"/>
        <v>5.1448275862068957</v>
      </c>
      <c r="U74">
        <f t="shared" si="4"/>
        <v>0.49597855227882043</v>
      </c>
      <c r="V74">
        <f>U74-AVERAGEIFS(Pitchers[ER/IP],Pitchers[GS],"&gt;"&amp;0,Pitchers[IP],"&gt;"&amp;3)</f>
        <v>-7.5522042520499044E-2</v>
      </c>
      <c r="W74">
        <f>IF(Pitchers[[#This Row],[IP/GS]]&lt;&gt;0,(Pitchers[[#This Row],[WHIP]]*$AH$5+$AI$5)/9*Pitchers[[#This Row],[IP/GS]],(Pitchers[[#This Row],[WHIP]]*$AH$5+$AI$5)/9*(Pitchers[[#This Row],[IP]]/Pitchers[[#This Row],[G]]))</f>
        <v>2.7073993536609797</v>
      </c>
      <c r="X74">
        <f>Pitchers[[#This Row],[Runs from WHIP]]-AVERAGEIFS(Pitchers[Runs from WHIP],Pitchers[GS],"&gt;"&amp;0,Pitchers[IP],"&gt;"&amp;3)</f>
        <v>-2.9785165524638795</v>
      </c>
      <c r="Y74">
        <f>IF(Pitchers[[#This Row],[IP/GS]]&lt;&gt;0,Pitchers[[#This Row],[ER/IP From Average]]*Pitchers[[#This Row],[IP/GS]],Pitchers[[#This Row],[ER/IP From Average]]*(Pitchers[[#This Row],[IP]]/Pitchers[[#This Row],[G]]))</f>
        <v>-0.38854788772615362</v>
      </c>
      <c r="Z74">
        <f t="shared" si="5"/>
        <v>-0.94969023574749611</v>
      </c>
      <c r="AA74" s="32">
        <f>IF(Pitchers[[#This Row],[W]]=0,0,Pitchers[[#This Row],[W]]/(Pitchers[[#This Row],[W]]+Pitchers[[#This Row],[L]]))</f>
        <v>0.44444444444444442</v>
      </c>
      <c r="AB74" s="60"/>
    </row>
    <row r="75" spans="1:28" x14ac:dyDescent="0.25">
      <c r="A75" t="s">
        <v>282</v>
      </c>
      <c r="B75" t="s">
        <v>2</v>
      </c>
      <c r="C75">
        <v>30</v>
      </c>
      <c r="D75">
        <v>30</v>
      </c>
      <c r="E75">
        <v>0</v>
      </c>
      <c r="F75">
        <v>0</v>
      </c>
      <c r="G75">
        <v>148.1</v>
      </c>
      <c r="H75">
        <v>154</v>
      </c>
      <c r="I75">
        <v>76</v>
      </c>
      <c r="J75">
        <v>146</v>
      </c>
      <c r="K75">
        <v>59</v>
      </c>
      <c r="L75">
        <v>14</v>
      </c>
      <c r="M75">
        <v>3</v>
      </c>
      <c r="N75">
        <v>17</v>
      </c>
      <c r="O75">
        <v>0</v>
      </c>
      <c r="P75">
        <v>0</v>
      </c>
      <c r="Q75">
        <v>0</v>
      </c>
      <c r="R75">
        <v>4.6100000000000003</v>
      </c>
      <c r="S75">
        <v>1.44</v>
      </c>
      <c r="T75">
        <f t="shared" si="3"/>
        <v>4.9366666666666665</v>
      </c>
      <c r="U75">
        <f t="shared" si="4"/>
        <v>0.51316677920324105</v>
      </c>
      <c r="V75">
        <f>U75-AVERAGEIFS(Pitchers[ER/IP],Pitchers[GS],"&gt;"&amp;0,Pitchers[IP],"&gt;"&amp;3)</f>
        <v>-5.833381559607842E-2</v>
      </c>
      <c r="W75">
        <f>IF(Pitchers[[#This Row],[IP/GS]]&lt;&gt;0,(Pitchers[[#This Row],[WHIP]]*$AH$5+$AI$5)/9*Pitchers[[#This Row],[IP/GS]],(Pitchers[[#This Row],[WHIP]]*$AH$5+$AI$5)/9*(Pitchers[[#This Row],[IP]]/Pitchers[[#This Row],[G]]))</f>
        <v>2.7003770798601407</v>
      </c>
      <c r="X75">
        <f>Pitchers[[#This Row],[Runs from WHIP]]-AVERAGEIFS(Pitchers[Runs from WHIP],Pitchers[GS],"&gt;"&amp;0,Pitchers[IP],"&gt;"&amp;3)</f>
        <v>-2.9855388262647184</v>
      </c>
      <c r="Y75">
        <f>IF(Pitchers[[#This Row],[IP/GS]]&lt;&gt;0,Pitchers[[#This Row],[ER/IP From Average]]*Pitchers[[#This Row],[IP/GS]],Pitchers[[#This Row],[ER/IP From Average]]*(Pitchers[[#This Row],[IP]]/Pitchers[[#This Row],[G]]))</f>
        <v>-0.28797460299264044</v>
      </c>
      <c r="Z75">
        <f t="shared" si="5"/>
        <v>-0.91133352820098112</v>
      </c>
      <c r="AA75" s="32">
        <f>IF(Pitchers[[#This Row],[W]]=0,0,Pitchers[[#This Row],[W]]/(Pitchers[[#This Row],[W]]+Pitchers[[#This Row],[L]]))</f>
        <v>0.15</v>
      </c>
      <c r="AB75" s="60"/>
    </row>
    <row r="76" spans="1:28" x14ac:dyDescent="0.25">
      <c r="A76" t="s">
        <v>270</v>
      </c>
      <c r="B76" t="s">
        <v>9</v>
      </c>
      <c r="C76">
        <v>25</v>
      </c>
      <c r="D76">
        <v>25</v>
      </c>
      <c r="E76">
        <v>1</v>
      </c>
      <c r="F76">
        <v>1</v>
      </c>
      <c r="G76">
        <v>147.1</v>
      </c>
      <c r="H76">
        <v>123</v>
      </c>
      <c r="I76">
        <v>72</v>
      </c>
      <c r="J76">
        <v>218</v>
      </c>
      <c r="K76">
        <v>37</v>
      </c>
      <c r="L76">
        <v>24</v>
      </c>
      <c r="M76">
        <v>6</v>
      </c>
      <c r="N76">
        <v>11</v>
      </c>
      <c r="O76">
        <v>0</v>
      </c>
      <c r="P76">
        <v>0</v>
      </c>
      <c r="Q76">
        <v>0</v>
      </c>
      <c r="R76">
        <v>4.4000000000000004</v>
      </c>
      <c r="S76">
        <v>1.0900000000000001</v>
      </c>
      <c r="T76">
        <f t="shared" si="3"/>
        <v>5.8839999999999995</v>
      </c>
      <c r="U76">
        <f t="shared" si="4"/>
        <v>0.48946295037389531</v>
      </c>
      <c r="V76">
        <f>U76-AVERAGEIFS(Pitchers[ER/IP],Pitchers[GS],"&gt;"&amp;0,Pitchers[IP],"&gt;"&amp;3)</f>
        <v>-8.2037644425424161E-2</v>
      </c>
      <c r="W76">
        <f>IF(Pitchers[[#This Row],[IP/GS]]&lt;&gt;0,(Pitchers[[#This Row],[WHIP]]*$AH$5+$AI$5)/9*Pitchers[[#This Row],[IP/GS]],(Pitchers[[#This Row],[WHIP]]*$AH$5+$AI$5)/9*(Pitchers[[#This Row],[IP]]/Pitchers[[#This Row],[G]]))</f>
        <v>2.1493835810712745</v>
      </c>
      <c r="X76">
        <f>Pitchers[[#This Row],[Runs from WHIP]]-AVERAGEIFS(Pitchers[Runs from WHIP],Pitchers[GS],"&gt;"&amp;0,Pitchers[IP],"&gt;"&amp;3)</f>
        <v>-3.5365323250535847</v>
      </c>
      <c r="Y76">
        <f>IF(Pitchers[[#This Row],[IP/GS]]&lt;&gt;0,Pitchers[[#This Row],[ER/IP From Average]]*Pitchers[[#This Row],[IP/GS]],Pitchers[[#This Row],[ER/IP From Average]]*(Pitchers[[#This Row],[IP]]/Pitchers[[#This Row],[G]]))</f>
        <v>-0.4827094997991957</v>
      </c>
      <c r="Z76">
        <f t="shared" si="5"/>
        <v>-1.1361590866006344</v>
      </c>
      <c r="AA76" s="32">
        <f>IF(Pitchers[[#This Row],[W]]=0,0,Pitchers[[#This Row],[W]]/(Pitchers[[#This Row],[W]]+Pitchers[[#This Row],[L]]))</f>
        <v>0.35294117647058826</v>
      </c>
      <c r="AB76" s="60"/>
    </row>
    <row r="77" spans="1:28" x14ac:dyDescent="0.25">
      <c r="A77" t="s">
        <v>348</v>
      </c>
      <c r="B77" t="s">
        <v>4</v>
      </c>
      <c r="C77">
        <v>23</v>
      </c>
      <c r="D77">
        <v>23</v>
      </c>
      <c r="E77">
        <v>0</v>
      </c>
      <c r="F77">
        <v>0</v>
      </c>
      <c r="G77">
        <v>146</v>
      </c>
      <c r="H77">
        <v>117</v>
      </c>
      <c r="I77">
        <v>47</v>
      </c>
      <c r="J77">
        <v>135</v>
      </c>
      <c r="K77">
        <v>21</v>
      </c>
      <c r="L77">
        <v>15</v>
      </c>
      <c r="M77">
        <v>10</v>
      </c>
      <c r="N77">
        <v>4</v>
      </c>
      <c r="O77">
        <v>0</v>
      </c>
      <c r="P77">
        <v>0</v>
      </c>
      <c r="Q77">
        <v>0</v>
      </c>
      <c r="R77">
        <v>2.9</v>
      </c>
      <c r="S77">
        <v>0.95</v>
      </c>
      <c r="T77">
        <f t="shared" si="3"/>
        <v>6.3478260869565215</v>
      </c>
      <c r="U77">
        <f t="shared" si="4"/>
        <v>0.32191780821917809</v>
      </c>
      <c r="V77" s="60">
        <f>U77-AVERAGEIFS(Pitchers[ER/IP],Pitchers[GS],"&gt;"&amp;0,Pitchers[IP],"&gt;"&amp;3)</f>
        <v>-0.24958278658014138</v>
      </c>
      <c r="W77" s="60">
        <f>IF(Pitchers[[#This Row],[IP/GS]]&lt;&gt;0,(Pitchers[[#This Row],[WHIP]]*$AH$5+$AI$5)/9*Pitchers[[#This Row],[IP/GS]],(Pitchers[[#This Row],[WHIP]]*$AH$5+$AI$5)/9*(Pitchers[[#This Row],[IP]]/Pitchers[[#This Row],[G]]))</f>
        <v>1.857427510668328</v>
      </c>
      <c r="X77" s="60">
        <f>Pitchers[[#This Row],[Runs from WHIP]]-AVERAGEIFS(Pitchers[Runs from WHIP],Pitchers[GS],"&gt;"&amp;0,Pitchers[IP],"&gt;"&amp;3)</f>
        <v>-3.8284883954565312</v>
      </c>
      <c r="Y77" s="60">
        <f>IF(Pitchers[[#This Row],[IP/GS]]&lt;&gt;0,Pitchers[[#This Row],[ER/IP From Average]]*Pitchers[[#This Row],[IP/GS]],Pitchers[[#This Row],[ER/IP From Average]]*(Pitchers[[#This Row],[IP]]/Pitchers[[#This Row],[G]]))</f>
        <v>-1.5843081235087235</v>
      </c>
      <c r="Z77" s="60">
        <f t="shared" si="5"/>
        <v>-1.6546534881918979</v>
      </c>
      <c r="AA77" s="32">
        <f>IF(Pitchers[[#This Row],[W]]=0,0,Pitchers[[#This Row],[W]]/(Pitchers[[#This Row],[W]]+Pitchers[[#This Row],[L]]))</f>
        <v>0.7142857142857143</v>
      </c>
      <c r="AB77" s="60"/>
    </row>
    <row r="78" spans="1:28" x14ac:dyDescent="0.25">
      <c r="A78" t="s">
        <v>289</v>
      </c>
      <c r="B78" t="s">
        <v>13</v>
      </c>
      <c r="C78">
        <v>26</v>
      </c>
      <c r="D78">
        <v>26</v>
      </c>
      <c r="E78">
        <v>0</v>
      </c>
      <c r="F78">
        <v>0</v>
      </c>
      <c r="G78">
        <v>146</v>
      </c>
      <c r="H78">
        <v>141</v>
      </c>
      <c r="I78">
        <v>65</v>
      </c>
      <c r="J78">
        <v>140</v>
      </c>
      <c r="K78">
        <v>28</v>
      </c>
      <c r="L78">
        <v>23</v>
      </c>
      <c r="M78">
        <v>11</v>
      </c>
      <c r="N78">
        <v>5</v>
      </c>
      <c r="O78">
        <v>0</v>
      </c>
      <c r="P78">
        <v>0</v>
      </c>
      <c r="Q78">
        <v>0</v>
      </c>
      <c r="R78">
        <v>4.01</v>
      </c>
      <c r="S78">
        <v>1.1599999999999999</v>
      </c>
      <c r="T78">
        <f t="shared" si="3"/>
        <v>5.615384615384615</v>
      </c>
      <c r="U78">
        <f t="shared" si="4"/>
        <v>0.4452054794520548</v>
      </c>
      <c r="V78">
        <f>U78-AVERAGEIFS(Pitchers[ER/IP],Pitchers[GS],"&gt;"&amp;0,Pitchers[IP],"&gt;"&amp;3)</f>
        <v>-0.12629511534726467</v>
      </c>
      <c r="W78">
        <f>IF(Pitchers[[#This Row],[IP/GS]]&lt;&gt;0,(Pitchers[[#This Row],[WHIP]]*$AH$5+$AI$5)/9*Pitchers[[#This Row],[IP/GS]],(Pitchers[[#This Row],[WHIP]]*$AH$5+$AI$5)/9*(Pitchers[[#This Row],[IP]]/Pitchers[[#This Row],[G]]))</f>
        <v>2.2553359457049496</v>
      </c>
      <c r="X78">
        <f>Pitchers[[#This Row],[Runs from WHIP]]-AVERAGEIFS(Pitchers[Runs from WHIP],Pitchers[GS],"&gt;"&amp;0,Pitchers[IP],"&gt;"&amp;3)</f>
        <v>-3.4305799604199096</v>
      </c>
      <c r="Y78">
        <f>IF(Pitchers[[#This Row],[IP/GS]]&lt;&gt;0,Pitchers[[#This Row],[ER/IP From Average]]*Pitchers[[#This Row],[IP/GS]],Pitchers[[#This Row],[ER/IP From Average]]*(Pitchers[[#This Row],[IP]]/Pitchers[[#This Row],[G]]))</f>
        <v>-0.70919564771925547</v>
      </c>
      <c r="Z78">
        <f t="shared" si="5"/>
        <v>-1.1984995818663446</v>
      </c>
      <c r="AA78" s="32">
        <f>IF(Pitchers[[#This Row],[W]]=0,0,Pitchers[[#This Row],[W]]/(Pitchers[[#This Row],[W]]+Pitchers[[#This Row],[L]]))</f>
        <v>0.6875</v>
      </c>
      <c r="AB78" s="60"/>
    </row>
    <row r="79" spans="1:28" x14ac:dyDescent="0.25">
      <c r="A79" t="s">
        <v>276</v>
      </c>
      <c r="B79" t="s">
        <v>14</v>
      </c>
      <c r="C79">
        <v>26</v>
      </c>
      <c r="D79">
        <v>26</v>
      </c>
      <c r="E79">
        <v>0</v>
      </c>
      <c r="F79">
        <v>0</v>
      </c>
      <c r="G79">
        <v>145.19999999999999</v>
      </c>
      <c r="H79">
        <v>162</v>
      </c>
      <c r="I79">
        <v>87</v>
      </c>
      <c r="J79">
        <v>113</v>
      </c>
      <c r="K79">
        <v>44</v>
      </c>
      <c r="L79">
        <v>27</v>
      </c>
      <c r="M79">
        <v>7</v>
      </c>
      <c r="N79">
        <v>9</v>
      </c>
      <c r="O79">
        <v>0</v>
      </c>
      <c r="P79">
        <v>0</v>
      </c>
      <c r="Q79">
        <v>0</v>
      </c>
      <c r="R79">
        <v>5.38</v>
      </c>
      <c r="S79">
        <v>1.41</v>
      </c>
      <c r="T79">
        <f t="shared" si="3"/>
        <v>5.5846153846153843</v>
      </c>
      <c r="U79">
        <f t="shared" si="4"/>
        <v>0.59917355371900827</v>
      </c>
      <c r="V79">
        <f>U79-AVERAGEIFS(Pitchers[ER/IP],Pitchers[GS],"&gt;"&amp;0,Pitchers[IP],"&gt;"&amp;3)</f>
        <v>2.7672958919688795E-2</v>
      </c>
      <c r="W79">
        <f>IF(Pitchers[[#This Row],[IP/GS]]&lt;&gt;0,(Pitchers[[#This Row],[WHIP]]*$AH$5+$AI$5)/9*Pitchers[[#This Row],[IP/GS]],(Pitchers[[#This Row],[WHIP]]*$AH$5+$AI$5)/9*(Pitchers[[#This Row],[IP]]/Pitchers[[#This Row],[G]]))</f>
        <v>2.9678259470704282</v>
      </c>
      <c r="X79">
        <f>Pitchers[[#This Row],[Runs from WHIP]]-AVERAGEIFS(Pitchers[Runs from WHIP],Pitchers[GS],"&gt;"&amp;0,Pitchers[IP],"&gt;"&amp;3)</f>
        <v>-2.718089959054431</v>
      </c>
      <c r="Y79">
        <f>IF(Pitchers[[#This Row],[IP/GS]]&lt;&gt;0,Pitchers[[#This Row],[ER/IP From Average]]*Pitchers[[#This Row],[IP/GS]],Pitchers[[#This Row],[ER/IP From Average]]*(Pitchers[[#This Row],[IP]]/Pitchers[[#This Row],[G]]))</f>
        <v>0.15454283212072356</v>
      </c>
      <c r="Z79">
        <f t="shared" si="5"/>
        <v>-0.66300685623289213</v>
      </c>
      <c r="AA79" s="32">
        <f>IF(Pitchers[[#This Row],[W]]=0,0,Pitchers[[#This Row],[W]]/(Pitchers[[#This Row],[W]]+Pitchers[[#This Row],[L]]))</f>
        <v>0.4375</v>
      </c>
      <c r="AB79" s="60"/>
    </row>
    <row r="80" spans="1:28" x14ac:dyDescent="0.25">
      <c r="A80" t="s">
        <v>463</v>
      </c>
      <c r="B80" t="s">
        <v>2</v>
      </c>
      <c r="C80">
        <v>32</v>
      </c>
      <c r="D80">
        <v>29</v>
      </c>
      <c r="E80">
        <v>0</v>
      </c>
      <c r="F80">
        <v>0</v>
      </c>
      <c r="G80">
        <v>144.1</v>
      </c>
      <c r="H80">
        <v>154</v>
      </c>
      <c r="I80">
        <v>72</v>
      </c>
      <c r="J80">
        <v>125</v>
      </c>
      <c r="K80">
        <v>38</v>
      </c>
      <c r="L80">
        <v>25</v>
      </c>
      <c r="M80">
        <v>3</v>
      </c>
      <c r="N80">
        <v>13</v>
      </c>
      <c r="O80">
        <v>0</v>
      </c>
      <c r="P80">
        <v>0</v>
      </c>
      <c r="Q80">
        <v>0</v>
      </c>
      <c r="R80">
        <v>4.49</v>
      </c>
      <c r="S80">
        <v>1.33</v>
      </c>
      <c r="T80">
        <f t="shared" si="3"/>
        <v>4.9689655172413794</v>
      </c>
      <c r="U80">
        <f t="shared" si="4"/>
        <v>0.4996530187369882</v>
      </c>
      <c r="V80" s="60">
        <f>U80-AVERAGEIFS(Pitchers[ER/IP],Pitchers[GS],"&gt;"&amp;0,Pitchers[IP],"&gt;"&amp;3)</f>
        <v>-7.1847576062331275E-2</v>
      </c>
      <c r="W80" s="60">
        <f>IF(Pitchers[[#This Row],[IP/GS]]&lt;&gt;0,(Pitchers[[#This Row],[WHIP]]*$AH$5+$AI$5)/9*Pitchers[[#This Row],[IP/GS]],(Pitchers[[#This Row],[WHIP]]*$AH$5+$AI$5)/9*(Pitchers[[#This Row],[IP]]/Pitchers[[#This Row],[G]]))</f>
        <v>2.4342708559105835</v>
      </c>
      <c r="X80" s="60">
        <f>Pitchers[[#This Row],[Runs from WHIP]]-AVERAGEIFS(Pitchers[Runs from WHIP],Pitchers[GS],"&gt;"&amp;0,Pitchers[IP],"&gt;"&amp;3)</f>
        <v>-3.2516450502142757</v>
      </c>
      <c r="Y80" s="60">
        <f>IF(Pitchers[[#This Row],[IP/GS]]&lt;&gt;0,Pitchers[[#This Row],[ER/IP From Average]]*Pitchers[[#This Row],[IP/GS]],Pitchers[[#This Row],[ER/IP From Average]]*(Pitchers[[#This Row],[IP]]/Pitchers[[#This Row],[G]]))</f>
        <v>-0.35700812795110126</v>
      </c>
      <c r="Z80" s="60">
        <f t="shared" si="5"/>
        <v>-1.0099085979042473</v>
      </c>
      <c r="AA80" s="32">
        <f>IF(Pitchers[[#This Row],[W]]=0,0,Pitchers[[#This Row],[W]]/(Pitchers[[#This Row],[W]]+Pitchers[[#This Row],[L]]))</f>
        <v>0.1875</v>
      </c>
      <c r="AB80" s="60"/>
    </row>
    <row r="81" spans="1:28" x14ac:dyDescent="0.25">
      <c r="A81" t="s">
        <v>694</v>
      </c>
      <c r="B81" t="s">
        <v>17</v>
      </c>
      <c r="C81">
        <v>28</v>
      </c>
      <c r="D81">
        <v>25</v>
      </c>
      <c r="E81">
        <v>0</v>
      </c>
      <c r="F81">
        <v>0</v>
      </c>
      <c r="G81">
        <v>144</v>
      </c>
      <c r="H81">
        <v>125</v>
      </c>
      <c r="I81">
        <v>61</v>
      </c>
      <c r="J81">
        <v>141</v>
      </c>
      <c r="K81">
        <v>47</v>
      </c>
      <c r="L81">
        <v>21</v>
      </c>
      <c r="M81">
        <v>10</v>
      </c>
      <c r="N81">
        <v>5</v>
      </c>
      <c r="O81">
        <v>0</v>
      </c>
      <c r="P81">
        <v>0</v>
      </c>
      <c r="Q81">
        <v>0</v>
      </c>
      <c r="R81">
        <v>3.81</v>
      </c>
      <c r="S81">
        <v>1.19</v>
      </c>
      <c r="T81">
        <f t="shared" si="3"/>
        <v>5.76</v>
      </c>
      <c r="U81">
        <f t="shared" si="4"/>
        <v>0.4236111111111111</v>
      </c>
      <c r="V81">
        <f>U81-AVERAGEIFS(Pitchers[ER/IP],Pitchers[GS],"&gt;"&amp;0,Pitchers[IP],"&gt;"&amp;3)</f>
        <v>-0.14788948368820837</v>
      </c>
      <c r="W81">
        <f>IF(Pitchers[[#This Row],[IP/GS]]&lt;&gt;0,(Pitchers[[#This Row],[WHIP]]*$AH$5+$AI$5)/9*Pitchers[[#This Row],[IP/GS]],(Pitchers[[#This Row],[WHIP]]*$AH$5+$AI$5)/9*(Pitchers[[#This Row],[IP]]/Pitchers[[#This Row],[G]]))</f>
        <v>2.4031319894489691</v>
      </c>
      <c r="X81">
        <f>Pitchers[[#This Row],[Runs from WHIP]]-AVERAGEIFS(Pitchers[Runs from WHIP],Pitchers[GS],"&gt;"&amp;0,Pitchers[IP],"&gt;"&amp;3)</f>
        <v>-3.2827839166758901</v>
      </c>
      <c r="Y81">
        <f>IF(Pitchers[[#This Row],[IP/GS]]&lt;&gt;0,Pitchers[[#This Row],[ER/IP From Average]]*Pitchers[[#This Row],[IP/GS]],Pitchers[[#This Row],[ER/IP From Average]]*(Pitchers[[#This Row],[IP]]/Pitchers[[#This Row],[G]]))</f>
        <v>-0.85184342604408014</v>
      </c>
      <c r="Z81">
        <f t="shared" si="5"/>
        <v>-1.2161464148645362</v>
      </c>
      <c r="AA81" s="32">
        <f>IF(Pitchers[[#This Row],[W]]=0,0,Pitchers[[#This Row],[W]]/(Pitchers[[#This Row],[W]]+Pitchers[[#This Row],[L]]))</f>
        <v>0.66666666666666663</v>
      </c>
      <c r="AB81" s="60"/>
    </row>
    <row r="82" spans="1:28" x14ac:dyDescent="0.25">
      <c r="A82" t="s">
        <v>293</v>
      </c>
      <c r="B82" t="s">
        <v>28</v>
      </c>
      <c r="C82">
        <v>27</v>
      </c>
      <c r="D82">
        <v>24</v>
      </c>
      <c r="E82">
        <v>0</v>
      </c>
      <c r="F82">
        <v>0</v>
      </c>
      <c r="G82">
        <v>143</v>
      </c>
      <c r="H82">
        <v>125</v>
      </c>
      <c r="I82">
        <v>64</v>
      </c>
      <c r="J82">
        <v>153</v>
      </c>
      <c r="K82">
        <v>39</v>
      </c>
      <c r="L82">
        <v>30</v>
      </c>
      <c r="M82">
        <v>18</v>
      </c>
      <c r="N82">
        <v>4</v>
      </c>
      <c r="O82">
        <v>0</v>
      </c>
      <c r="P82">
        <v>0</v>
      </c>
      <c r="Q82">
        <v>0</v>
      </c>
      <c r="R82">
        <v>4.03</v>
      </c>
      <c r="S82">
        <v>1.1499999999999999</v>
      </c>
      <c r="T82">
        <f t="shared" si="3"/>
        <v>5.958333333333333</v>
      </c>
      <c r="U82">
        <f t="shared" si="4"/>
        <v>0.44755244755244755</v>
      </c>
      <c r="V82">
        <f>U82-AVERAGEIFS(Pitchers[ER/IP],Pitchers[GS],"&gt;"&amp;0,Pitchers[IP],"&gt;"&amp;3)</f>
        <v>-0.12394814724687192</v>
      </c>
      <c r="W82">
        <f>IF(Pitchers[[#This Row],[IP/GS]]&lt;&gt;0,(Pitchers[[#This Row],[WHIP]]*$AH$5+$AI$5)/9*Pitchers[[#This Row],[IP/GS]],(Pitchers[[#This Row],[WHIP]]*$AH$5+$AI$5)/9*(Pitchers[[#This Row],[IP]]/Pitchers[[#This Row],[G]]))</f>
        <v>2.3621420418189851</v>
      </c>
      <c r="X82">
        <f>Pitchers[[#This Row],[Runs from WHIP]]-AVERAGEIFS(Pitchers[Runs from WHIP],Pitchers[GS],"&gt;"&amp;0,Pitchers[IP],"&gt;"&amp;3)</f>
        <v>-3.3237738643058741</v>
      </c>
      <c r="Y82">
        <f>IF(Pitchers[[#This Row],[IP/GS]]&lt;&gt;0,Pitchers[[#This Row],[ER/IP From Average]]*Pitchers[[#This Row],[IP/GS]],Pitchers[[#This Row],[ER/IP From Average]]*(Pitchers[[#This Row],[IP]]/Pitchers[[#This Row],[G]]))</f>
        <v>-0.73852437734594512</v>
      </c>
      <c r="Z82">
        <f t="shared" si="5"/>
        <v>-1.1817494480866111</v>
      </c>
      <c r="AA82" s="32">
        <f>IF(Pitchers[[#This Row],[W]]=0,0,Pitchers[[#This Row],[W]]/(Pitchers[[#This Row],[W]]+Pitchers[[#This Row],[L]]))</f>
        <v>0.81818181818181823</v>
      </c>
      <c r="AB82" s="60"/>
    </row>
    <row r="83" spans="1:28" x14ac:dyDescent="0.25">
      <c r="A83" t="s">
        <v>381</v>
      </c>
      <c r="B83" t="s">
        <v>31</v>
      </c>
      <c r="C83">
        <v>27</v>
      </c>
      <c r="D83">
        <v>27</v>
      </c>
      <c r="E83">
        <v>0</v>
      </c>
      <c r="F83">
        <v>0</v>
      </c>
      <c r="G83">
        <v>141.19999999999999</v>
      </c>
      <c r="H83">
        <v>141</v>
      </c>
      <c r="I83">
        <v>60</v>
      </c>
      <c r="J83">
        <v>143</v>
      </c>
      <c r="K83">
        <v>56</v>
      </c>
      <c r="L83">
        <v>17</v>
      </c>
      <c r="M83">
        <v>7</v>
      </c>
      <c r="N83">
        <v>7</v>
      </c>
      <c r="O83">
        <v>0</v>
      </c>
      <c r="P83">
        <v>0</v>
      </c>
      <c r="Q83">
        <v>0</v>
      </c>
      <c r="R83">
        <v>3.81</v>
      </c>
      <c r="S83">
        <v>1.39</v>
      </c>
      <c r="T83">
        <f t="shared" si="3"/>
        <v>5.2296296296296294</v>
      </c>
      <c r="U83">
        <f t="shared" si="4"/>
        <v>0.42492917847025496</v>
      </c>
      <c r="V83">
        <f>U83-AVERAGEIFS(Pitchers[ER/IP],Pitchers[GS],"&gt;"&amp;0,Pitchers[IP],"&gt;"&amp;3)</f>
        <v>-0.14657141632906451</v>
      </c>
      <c r="W83">
        <f>IF(Pitchers[[#This Row],[IP/GS]]&lt;&gt;0,(Pitchers[[#This Row],[WHIP]]*$AH$5+$AI$5)/9*Pitchers[[#This Row],[IP/GS]],(Pitchers[[#This Row],[WHIP]]*$AH$5+$AI$5)/9*(Pitchers[[#This Row],[IP]]/Pitchers[[#This Row],[G]]))</f>
        <v>2.7248744150479554</v>
      </c>
      <c r="X83">
        <f>Pitchers[[#This Row],[Runs from WHIP]]-AVERAGEIFS(Pitchers[Runs from WHIP],Pitchers[GS],"&gt;"&amp;0,Pitchers[IP],"&gt;"&amp;3)</f>
        <v>-2.9610414910769038</v>
      </c>
      <c r="Y83">
        <f>IF(Pitchers[[#This Row],[IP/GS]]&lt;&gt;0,Pitchers[[#This Row],[ER/IP From Average]]*Pitchers[[#This Row],[IP/GS]],Pitchers[[#This Row],[ER/IP From Average]]*(Pitchers[[#This Row],[IP]]/Pitchers[[#This Row],[G]]))</f>
        <v>-0.76651422169125583</v>
      </c>
      <c r="Z83">
        <f t="shared" si="5"/>
        <v>-1.0962167529636766</v>
      </c>
      <c r="AA83" s="32">
        <f>IF(Pitchers[[#This Row],[W]]=0,0,Pitchers[[#This Row],[W]]/(Pitchers[[#This Row],[W]]+Pitchers[[#This Row],[L]]))</f>
        <v>0.5</v>
      </c>
      <c r="AB83" s="60"/>
    </row>
    <row r="84" spans="1:28" x14ac:dyDescent="0.25">
      <c r="A84" t="s">
        <v>481</v>
      </c>
      <c r="B84" t="s">
        <v>218</v>
      </c>
      <c r="C84">
        <v>28</v>
      </c>
      <c r="D84">
        <v>14</v>
      </c>
      <c r="E84">
        <v>0</v>
      </c>
      <c r="F84">
        <v>0</v>
      </c>
      <c r="G84">
        <v>141.19999999999999</v>
      </c>
      <c r="H84">
        <v>121</v>
      </c>
      <c r="I84">
        <v>65</v>
      </c>
      <c r="J84">
        <v>117</v>
      </c>
      <c r="K84">
        <v>20</v>
      </c>
      <c r="L84">
        <v>15</v>
      </c>
      <c r="M84">
        <v>11</v>
      </c>
      <c r="N84">
        <v>6</v>
      </c>
      <c r="O84">
        <v>0</v>
      </c>
      <c r="P84">
        <v>0</v>
      </c>
      <c r="Q84">
        <v>0</v>
      </c>
      <c r="R84">
        <v>4.13</v>
      </c>
      <c r="S84">
        <v>1</v>
      </c>
      <c r="T84">
        <f t="shared" si="3"/>
        <v>10.085714285714285</v>
      </c>
      <c r="U84">
        <f t="shared" si="4"/>
        <v>0.46033994334277623</v>
      </c>
      <c r="V84">
        <f>U84-AVERAGEIFS(Pitchers[ER/IP],Pitchers[GS],"&gt;"&amp;0,Pitchers[IP],"&gt;"&amp;3)</f>
        <v>-0.11116065145654325</v>
      </c>
      <c r="W84">
        <f>IF(Pitchers[[#This Row],[IP/GS]]&lt;&gt;0,(Pitchers[[#This Row],[WHIP]]*$AH$5+$AI$5)/9*Pitchers[[#This Row],[IP/GS]],(Pitchers[[#This Row],[WHIP]]*$AH$5+$AI$5)/9*(Pitchers[[#This Row],[IP]]/Pitchers[[#This Row],[G]]))</f>
        <v>3.2129776339041904</v>
      </c>
      <c r="X84">
        <f>Pitchers[[#This Row],[Runs from WHIP]]-AVERAGEIFS(Pitchers[Runs from WHIP],Pitchers[GS],"&gt;"&amp;0,Pitchers[IP],"&gt;"&amp;3)</f>
        <v>-2.4729382722206688</v>
      </c>
      <c r="Y84">
        <f>IF(Pitchers[[#This Row],[IP/GS]]&lt;&gt;0,Pitchers[[#This Row],[ER/IP From Average]]*Pitchers[[#This Row],[IP/GS]],Pitchers[[#This Row],[ER/IP From Average]]*(Pitchers[[#This Row],[IP]]/Pitchers[[#This Row],[G]]))</f>
        <v>-1.1211345704045648</v>
      </c>
      <c r="Z84">
        <f t="shared" si="5"/>
        <v>-1.1079040340873376</v>
      </c>
      <c r="AA84" s="32">
        <f>IF(Pitchers[[#This Row],[W]]=0,0,Pitchers[[#This Row],[W]]/(Pitchers[[#This Row],[W]]+Pitchers[[#This Row],[L]]))</f>
        <v>0.6470588235294118</v>
      </c>
      <c r="AB84" s="60"/>
    </row>
    <row r="85" spans="1:28" x14ac:dyDescent="0.25">
      <c r="A85" t="s">
        <v>420</v>
      </c>
      <c r="B85" t="s">
        <v>370</v>
      </c>
      <c r="C85">
        <v>26</v>
      </c>
      <c r="D85">
        <v>26</v>
      </c>
      <c r="E85">
        <v>0</v>
      </c>
      <c r="F85">
        <v>0</v>
      </c>
      <c r="G85">
        <v>140.19999999999999</v>
      </c>
      <c r="H85">
        <v>107</v>
      </c>
      <c r="I85">
        <v>52</v>
      </c>
      <c r="J85">
        <v>153</v>
      </c>
      <c r="K85">
        <v>31</v>
      </c>
      <c r="L85">
        <v>23</v>
      </c>
      <c r="M85">
        <v>9</v>
      </c>
      <c r="N85">
        <v>7</v>
      </c>
      <c r="O85">
        <v>0</v>
      </c>
      <c r="P85">
        <v>0</v>
      </c>
      <c r="Q85">
        <v>0</v>
      </c>
      <c r="R85">
        <v>3.33</v>
      </c>
      <c r="S85">
        <v>0.98</v>
      </c>
      <c r="T85">
        <f t="shared" si="3"/>
        <v>5.3923076923076918</v>
      </c>
      <c r="U85">
        <f t="shared" si="4"/>
        <v>0.37089871611982883</v>
      </c>
      <c r="V85">
        <f>U85-AVERAGEIFS(Pitchers[ER/IP],Pitchers[GS],"&gt;"&amp;0,Pitchers[IP],"&gt;"&amp;3)</f>
        <v>-0.20060187867949064</v>
      </c>
      <c r="W85">
        <f>IF(Pitchers[[#This Row],[IP/GS]]&lt;&gt;0,(Pitchers[[#This Row],[WHIP]]*$AH$5+$AI$5)/9*Pitchers[[#This Row],[IP/GS]],(Pitchers[[#This Row],[WHIP]]*$AH$5+$AI$5)/9*(Pitchers[[#This Row],[IP]]/Pitchers[[#This Row],[G]]))</f>
        <v>1.6618212816005655</v>
      </c>
      <c r="X85">
        <f>Pitchers[[#This Row],[Runs from WHIP]]-AVERAGEIFS(Pitchers[Runs from WHIP],Pitchers[GS],"&gt;"&amp;0,Pitchers[IP],"&gt;"&amp;3)</f>
        <v>-4.0240946245242935</v>
      </c>
      <c r="Y85">
        <f>IF(Pitchers[[#This Row],[IP/GS]]&lt;&gt;0,Pitchers[[#This Row],[ER/IP From Average]]*Pitchers[[#This Row],[IP/GS]],Pitchers[[#This Row],[ER/IP From Average]]*(Pitchers[[#This Row],[IP]]/Pitchers[[#This Row],[G]]))</f>
        <v>-1.0817070534947917</v>
      </c>
      <c r="Z85">
        <f t="shared" si="5"/>
        <v>-1.5057747212710619</v>
      </c>
      <c r="AA85" s="32">
        <f>IF(Pitchers[[#This Row],[W]]=0,0,Pitchers[[#This Row],[W]]/(Pitchers[[#This Row],[W]]+Pitchers[[#This Row],[L]]))</f>
        <v>0.5625</v>
      </c>
      <c r="AB85" s="60"/>
    </row>
    <row r="86" spans="1:28" x14ac:dyDescent="0.25">
      <c r="A86" t="s">
        <v>444</v>
      </c>
      <c r="B86" t="s">
        <v>6</v>
      </c>
      <c r="C86">
        <v>32</v>
      </c>
      <c r="D86">
        <v>27</v>
      </c>
      <c r="E86">
        <v>0</v>
      </c>
      <c r="F86">
        <v>0</v>
      </c>
      <c r="G86">
        <v>139</v>
      </c>
      <c r="H86">
        <v>126</v>
      </c>
      <c r="I86">
        <v>65</v>
      </c>
      <c r="J86">
        <v>124</v>
      </c>
      <c r="K86">
        <v>50</v>
      </c>
      <c r="L86">
        <v>23</v>
      </c>
      <c r="M86">
        <v>8</v>
      </c>
      <c r="N86">
        <v>4</v>
      </c>
      <c r="O86">
        <v>0</v>
      </c>
      <c r="P86">
        <v>0</v>
      </c>
      <c r="Q86">
        <v>0</v>
      </c>
      <c r="R86">
        <v>4.21</v>
      </c>
      <c r="S86">
        <v>1.27</v>
      </c>
      <c r="T86">
        <f t="shared" si="3"/>
        <v>5.1481481481481479</v>
      </c>
      <c r="U86">
        <f t="shared" si="4"/>
        <v>0.46762589928057552</v>
      </c>
      <c r="V86">
        <f>U86-AVERAGEIFS(Pitchers[ER/IP],Pitchers[GS],"&gt;"&amp;0,Pitchers[IP],"&gt;"&amp;3)</f>
        <v>-0.10387469551874395</v>
      </c>
      <c r="W86">
        <f>IF(Pitchers[[#This Row],[IP/GS]]&lt;&gt;0,(Pitchers[[#This Row],[WHIP]]*$AH$5+$AI$5)/9*Pitchers[[#This Row],[IP/GS]],(Pitchers[[#This Row],[WHIP]]*$AH$5+$AI$5)/9*(Pitchers[[#This Row],[IP]]/Pitchers[[#This Row],[G]]))</f>
        <v>2.3616841605809591</v>
      </c>
      <c r="X86">
        <f>Pitchers[[#This Row],[Runs from WHIP]]-AVERAGEIFS(Pitchers[Runs from WHIP],Pitchers[GS],"&gt;"&amp;0,Pitchers[IP],"&gt;"&amp;3)</f>
        <v>-3.3242317455439001</v>
      </c>
      <c r="Y86">
        <f>IF(Pitchers[[#This Row],[IP/GS]]&lt;&gt;0,Pitchers[[#This Row],[ER/IP From Average]]*Pitchers[[#This Row],[IP/GS]],Pitchers[[#This Row],[ER/IP From Average]]*(Pitchers[[#This Row],[IP]]/Pitchers[[#This Row],[G]]))</f>
        <v>-0.53476232137427437</v>
      </c>
      <c r="Z86">
        <f t="shared" si="5"/>
        <v>-1.1003667273614164</v>
      </c>
      <c r="AA86" s="32">
        <f>IF(Pitchers[[#This Row],[W]]=0,0,Pitchers[[#This Row],[W]]/(Pitchers[[#This Row],[W]]+Pitchers[[#This Row],[L]]))</f>
        <v>0.66666666666666663</v>
      </c>
      <c r="AB86" s="60"/>
    </row>
    <row r="87" spans="1:28" x14ac:dyDescent="0.25">
      <c r="A87" t="s">
        <v>349</v>
      </c>
      <c r="B87" t="s">
        <v>1</v>
      </c>
      <c r="C87">
        <v>22</v>
      </c>
      <c r="D87">
        <v>22</v>
      </c>
      <c r="E87">
        <v>2</v>
      </c>
      <c r="F87">
        <v>1</v>
      </c>
      <c r="G87">
        <v>137</v>
      </c>
      <c r="H87">
        <v>153</v>
      </c>
      <c r="I87">
        <v>65</v>
      </c>
      <c r="J87">
        <v>100</v>
      </c>
      <c r="K87">
        <v>19</v>
      </c>
      <c r="L87">
        <v>26</v>
      </c>
      <c r="M87">
        <v>9</v>
      </c>
      <c r="N87">
        <v>8</v>
      </c>
      <c r="O87">
        <v>0</v>
      </c>
      <c r="P87">
        <v>0</v>
      </c>
      <c r="Q87">
        <v>0</v>
      </c>
      <c r="R87">
        <v>4.2699999999999996</v>
      </c>
      <c r="S87">
        <v>1.26</v>
      </c>
      <c r="T87">
        <f t="shared" si="3"/>
        <v>6.2272727272727275</v>
      </c>
      <c r="U87">
        <f t="shared" si="4"/>
        <v>0.47445255474452552</v>
      </c>
      <c r="V87">
        <f>U87-AVERAGEIFS(Pitchers[ER/IP],Pitchers[GS],"&gt;"&amp;0,Pitchers[IP],"&gt;"&amp;3)</f>
        <v>-9.7048040054793949E-2</v>
      </c>
      <c r="W87">
        <f>IF(Pitchers[[#This Row],[IP/GS]]&lt;&gt;0,(Pitchers[[#This Row],[WHIP]]*$AH$5+$AI$5)/9*Pitchers[[#This Row],[IP/GS]],(Pitchers[[#This Row],[WHIP]]*$AH$5+$AI$5)/9*(Pitchers[[#This Row],[IP]]/Pitchers[[#This Row],[G]]))</f>
        <v>2.8243960881141099</v>
      </c>
      <c r="X87">
        <f>Pitchers[[#This Row],[Runs from WHIP]]-AVERAGEIFS(Pitchers[Runs from WHIP],Pitchers[GS],"&gt;"&amp;0,Pitchers[IP],"&gt;"&amp;3)</f>
        <v>-2.8615198180107493</v>
      </c>
      <c r="Y87">
        <f>IF(Pitchers[[#This Row],[IP/GS]]&lt;&gt;0,Pitchers[[#This Row],[ER/IP From Average]]*Pitchers[[#This Row],[IP/GS]],Pitchers[[#This Row],[ER/IP From Average]]*(Pitchers[[#This Row],[IP]]/Pitchers[[#This Row],[G]]))</f>
        <v>-0.60434461306848963</v>
      </c>
      <c r="Z87">
        <f t="shared" si="5"/>
        <v>-1.0048097966969289</v>
      </c>
      <c r="AA87" s="32">
        <f>IF(Pitchers[[#This Row],[W]]=0,0,Pitchers[[#This Row],[W]]/(Pitchers[[#This Row],[W]]+Pitchers[[#This Row],[L]]))</f>
        <v>0.52941176470588236</v>
      </c>
      <c r="AB87" s="60"/>
    </row>
    <row r="88" spans="1:28" x14ac:dyDescent="0.25">
      <c r="A88" t="s">
        <v>654</v>
      </c>
      <c r="B88" t="s">
        <v>332</v>
      </c>
      <c r="C88">
        <v>31</v>
      </c>
      <c r="D88">
        <v>23</v>
      </c>
      <c r="E88">
        <v>1</v>
      </c>
      <c r="F88">
        <v>1</v>
      </c>
      <c r="G88">
        <v>136</v>
      </c>
      <c r="H88">
        <v>164</v>
      </c>
      <c r="I88">
        <v>91</v>
      </c>
      <c r="J88">
        <v>81</v>
      </c>
      <c r="K88">
        <v>41</v>
      </c>
      <c r="L88">
        <v>30</v>
      </c>
      <c r="M88">
        <v>4</v>
      </c>
      <c r="N88">
        <v>11</v>
      </c>
      <c r="O88">
        <v>0</v>
      </c>
      <c r="P88">
        <v>0</v>
      </c>
      <c r="Q88">
        <v>0</v>
      </c>
      <c r="R88">
        <v>6.02</v>
      </c>
      <c r="S88">
        <v>1.51</v>
      </c>
      <c r="T88">
        <f t="shared" si="3"/>
        <v>5.9130434782608692</v>
      </c>
      <c r="U88">
        <f t="shared" si="4"/>
        <v>0.66911764705882348</v>
      </c>
      <c r="V88">
        <f>U88-AVERAGEIFS(Pitchers[ER/IP],Pitchers[GS],"&gt;"&amp;0,Pitchers[IP],"&gt;"&amp;3)</f>
        <v>9.7617052259504011E-2</v>
      </c>
      <c r="W88">
        <f>IF(Pitchers[[#This Row],[IP/GS]]&lt;&gt;0,(Pitchers[[#This Row],[WHIP]]*$AH$5+$AI$5)/9*Pitchers[[#This Row],[IP/GS]],(Pitchers[[#This Row],[WHIP]]*$AH$5+$AI$5)/9*(Pitchers[[#This Row],[IP]]/Pitchers[[#This Row],[G]]))</f>
        <v>3.449352488112861</v>
      </c>
      <c r="X88">
        <f>Pitchers[[#This Row],[Runs from WHIP]]-AVERAGEIFS(Pitchers[Runs from WHIP],Pitchers[GS],"&gt;"&amp;0,Pitchers[IP],"&gt;"&amp;3)</f>
        <v>-2.2365634180119982</v>
      </c>
      <c r="Y88">
        <f>IF(Pitchers[[#This Row],[IP/GS]]&lt;&gt;0,Pitchers[[#This Row],[ER/IP From Average]]*Pitchers[[#This Row],[IP/GS]],Pitchers[[#This Row],[ER/IP From Average]]*(Pitchers[[#This Row],[IP]]/Pitchers[[#This Row],[G]]))</f>
        <v>0.57721387423011061</v>
      </c>
      <c r="Z88">
        <f t="shared" si="5"/>
        <v>-0.36553136177782197</v>
      </c>
      <c r="AA88" s="32">
        <f>IF(Pitchers[[#This Row],[W]]=0,0,Pitchers[[#This Row],[W]]/(Pitchers[[#This Row],[W]]+Pitchers[[#This Row],[L]]))</f>
        <v>0.26666666666666666</v>
      </c>
      <c r="AB88" s="60"/>
    </row>
    <row r="89" spans="1:28" x14ac:dyDescent="0.25">
      <c r="A89" t="s">
        <v>333</v>
      </c>
      <c r="B89" t="s">
        <v>15</v>
      </c>
      <c r="C89">
        <v>24</v>
      </c>
      <c r="D89">
        <v>24</v>
      </c>
      <c r="E89">
        <v>0</v>
      </c>
      <c r="F89">
        <v>0</v>
      </c>
      <c r="G89">
        <v>135.19999999999999</v>
      </c>
      <c r="H89">
        <v>149</v>
      </c>
      <c r="I89">
        <v>70</v>
      </c>
      <c r="J89">
        <v>110</v>
      </c>
      <c r="K89">
        <v>51</v>
      </c>
      <c r="L89">
        <v>21</v>
      </c>
      <c r="M89">
        <v>8</v>
      </c>
      <c r="N89">
        <v>8</v>
      </c>
      <c r="O89">
        <v>0</v>
      </c>
      <c r="P89">
        <v>0</v>
      </c>
      <c r="Q89">
        <v>0</v>
      </c>
      <c r="R89">
        <v>4.6399999999999997</v>
      </c>
      <c r="S89">
        <v>1.47</v>
      </c>
      <c r="T89">
        <f t="shared" si="3"/>
        <v>5.6333333333333329</v>
      </c>
      <c r="U89">
        <f t="shared" si="4"/>
        <v>0.51775147928994092</v>
      </c>
      <c r="V89">
        <f>U89-AVERAGEIFS(Pitchers[ER/IP],Pitchers[GS],"&gt;"&amp;0,Pitchers[IP],"&gt;"&amp;3)</f>
        <v>-5.3749115509378553E-2</v>
      </c>
      <c r="W89">
        <f>IF(Pitchers[[#This Row],[IP/GS]]&lt;&gt;0,(Pitchers[[#This Row],[WHIP]]*$AH$5+$AI$5)/9*Pitchers[[#This Row],[IP/GS]],(Pitchers[[#This Row],[WHIP]]*$AH$5+$AI$5)/9*(Pitchers[[#This Row],[IP]]/Pitchers[[#This Row],[G]]))</f>
        <v>3.1691971820964451</v>
      </c>
      <c r="X89">
        <f>Pitchers[[#This Row],[Runs from WHIP]]-AVERAGEIFS(Pitchers[Runs from WHIP],Pitchers[GS],"&gt;"&amp;0,Pitchers[IP],"&gt;"&amp;3)</f>
        <v>-2.5167187240284141</v>
      </c>
      <c r="Y89">
        <f>IF(Pitchers[[#This Row],[IP/GS]]&lt;&gt;0,Pitchers[[#This Row],[ER/IP From Average]]*Pitchers[[#This Row],[IP/GS]],Pitchers[[#This Row],[ER/IP From Average]]*(Pitchers[[#This Row],[IP]]/Pitchers[[#This Row],[G]]))</f>
        <v>-0.30278668403616582</v>
      </c>
      <c r="Z89">
        <f t="shared" si="5"/>
        <v>-0.79223966668871004</v>
      </c>
      <c r="AA89" s="32">
        <f>IF(Pitchers[[#This Row],[W]]=0,0,Pitchers[[#This Row],[W]]/(Pitchers[[#This Row],[W]]+Pitchers[[#This Row],[L]]))</f>
        <v>0.5</v>
      </c>
      <c r="AB89" s="60"/>
    </row>
    <row r="90" spans="1:28" x14ac:dyDescent="0.25">
      <c r="A90" t="s">
        <v>386</v>
      </c>
      <c r="B90" t="s">
        <v>218</v>
      </c>
      <c r="C90">
        <v>26</v>
      </c>
      <c r="D90">
        <v>18</v>
      </c>
      <c r="E90">
        <v>0</v>
      </c>
      <c r="F90">
        <v>0</v>
      </c>
      <c r="G90">
        <v>133.1</v>
      </c>
      <c r="H90">
        <v>112</v>
      </c>
      <c r="I90">
        <v>57</v>
      </c>
      <c r="J90">
        <v>114</v>
      </c>
      <c r="K90">
        <v>28</v>
      </c>
      <c r="L90">
        <v>23</v>
      </c>
      <c r="M90">
        <v>9</v>
      </c>
      <c r="N90">
        <v>5</v>
      </c>
      <c r="O90">
        <v>0</v>
      </c>
      <c r="P90">
        <v>0</v>
      </c>
      <c r="Q90">
        <v>0</v>
      </c>
      <c r="R90">
        <v>3.85</v>
      </c>
      <c r="S90">
        <v>1.05</v>
      </c>
      <c r="T90">
        <f t="shared" si="3"/>
        <v>7.3944444444444439</v>
      </c>
      <c r="U90">
        <f t="shared" si="4"/>
        <v>0.42824943651389935</v>
      </c>
      <c r="V90">
        <f>U90-AVERAGEIFS(Pitchers[ER/IP],Pitchers[GS],"&gt;"&amp;0,Pitchers[IP],"&gt;"&amp;3)</f>
        <v>-0.14325115828542012</v>
      </c>
      <c r="W90">
        <f>IF(Pitchers[[#This Row],[IP/GS]]&lt;&gt;0,(Pitchers[[#This Row],[WHIP]]*$AH$5+$AI$5)/9*Pitchers[[#This Row],[IP/GS]],(Pitchers[[#This Row],[WHIP]]*$AH$5+$AI$5)/9*(Pitchers[[#This Row],[IP]]/Pitchers[[#This Row],[G]]))</f>
        <v>2.5475778603965353</v>
      </c>
      <c r="X90">
        <f>Pitchers[[#This Row],[Runs from WHIP]]-AVERAGEIFS(Pitchers[Runs from WHIP],Pitchers[GS],"&gt;"&amp;0,Pitchers[IP],"&gt;"&amp;3)</f>
        <v>-3.1383380457283239</v>
      </c>
      <c r="Y90">
        <f>IF(Pitchers[[#This Row],[IP/GS]]&lt;&gt;0,Pitchers[[#This Row],[ER/IP From Average]]*Pitchers[[#This Row],[IP/GS]],Pitchers[[#This Row],[ER/IP From Average]]*(Pitchers[[#This Row],[IP]]/Pitchers[[#This Row],[G]]))</f>
        <v>-1.0592627315438565</v>
      </c>
      <c r="Z90">
        <f t="shared" si="5"/>
        <v>-1.2605952381450958</v>
      </c>
      <c r="AA90" s="32">
        <f>IF(Pitchers[[#This Row],[W]]=0,0,Pitchers[[#This Row],[W]]/(Pitchers[[#This Row],[W]]+Pitchers[[#This Row],[L]]))</f>
        <v>0.6428571428571429</v>
      </c>
      <c r="AB90" s="60"/>
    </row>
    <row r="91" spans="1:28" x14ac:dyDescent="0.25">
      <c r="A91" t="s">
        <v>892</v>
      </c>
      <c r="B91" t="s">
        <v>332</v>
      </c>
      <c r="C91">
        <v>23</v>
      </c>
      <c r="D91">
        <v>23</v>
      </c>
      <c r="E91">
        <v>0</v>
      </c>
      <c r="F91">
        <v>0</v>
      </c>
      <c r="G91">
        <v>130.19999999999999</v>
      </c>
      <c r="H91">
        <v>125</v>
      </c>
      <c r="I91">
        <v>63</v>
      </c>
      <c r="J91">
        <v>115</v>
      </c>
      <c r="K91">
        <v>46</v>
      </c>
      <c r="L91">
        <v>21</v>
      </c>
      <c r="M91">
        <v>7</v>
      </c>
      <c r="N91">
        <v>6</v>
      </c>
      <c r="O91">
        <v>0</v>
      </c>
      <c r="P91">
        <v>0</v>
      </c>
      <c r="Q91">
        <v>0</v>
      </c>
      <c r="R91">
        <v>4.34</v>
      </c>
      <c r="S91">
        <v>1.31</v>
      </c>
      <c r="T91">
        <f t="shared" si="3"/>
        <v>5.660869565217391</v>
      </c>
      <c r="U91">
        <f t="shared" si="4"/>
        <v>0.48387096774193555</v>
      </c>
      <c r="V91">
        <f>U91-AVERAGEIFS(Pitchers[ER/IP],Pitchers[GS],"&gt;"&amp;0,Pitchers[IP],"&gt;"&amp;3)</f>
        <v>-8.7629627057383919E-2</v>
      </c>
      <c r="W91">
        <f>IF(Pitchers[[#This Row],[IP/GS]]&lt;&gt;0,(Pitchers[[#This Row],[WHIP]]*$AH$5+$AI$5)/9*Pitchers[[#This Row],[IP/GS]],(Pitchers[[#This Row],[WHIP]]*$AH$5+$AI$5)/9*(Pitchers[[#This Row],[IP]]/Pitchers[[#This Row],[G]]))</f>
        <v>2.7144514933875556</v>
      </c>
      <c r="X91">
        <f>Pitchers[[#This Row],[Runs from WHIP]]-AVERAGEIFS(Pitchers[Runs from WHIP],Pitchers[GS],"&gt;"&amp;0,Pitchers[IP],"&gt;"&amp;3)</f>
        <v>-2.9714644127373036</v>
      </c>
      <c r="Y91">
        <f>IF(Pitchers[[#This Row],[IP/GS]]&lt;&gt;0,Pitchers[[#This Row],[ER/IP From Average]]*Pitchers[[#This Row],[IP/GS]],Pitchers[[#This Row],[ER/IP From Average]]*(Pitchers[[#This Row],[IP]]/Pitchers[[#This Row],[G]]))</f>
        <v>-0.49605988882049501</v>
      </c>
      <c r="Z91">
        <f t="shared" si="5"/>
        <v>-0.99081446559147901</v>
      </c>
      <c r="AA91" s="32">
        <f>IF(Pitchers[[#This Row],[W]]=0,0,Pitchers[[#This Row],[W]]/(Pitchers[[#This Row],[W]]+Pitchers[[#This Row],[L]]))</f>
        <v>0.53846153846153844</v>
      </c>
      <c r="AB91" s="60"/>
    </row>
    <row r="92" spans="1:28" x14ac:dyDescent="0.25">
      <c r="A92" t="s">
        <v>401</v>
      </c>
      <c r="B92" t="s">
        <v>12</v>
      </c>
      <c r="C92">
        <v>25</v>
      </c>
      <c r="D92">
        <v>25</v>
      </c>
      <c r="E92">
        <v>0</v>
      </c>
      <c r="F92">
        <v>0</v>
      </c>
      <c r="G92">
        <v>129.19999999999999</v>
      </c>
      <c r="H92">
        <v>136</v>
      </c>
      <c r="I92">
        <v>74</v>
      </c>
      <c r="J92">
        <v>129</v>
      </c>
      <c r="K92">
        <v>34</v>
      </c>
      <c r="L92">
        <v>25</v>
      </c>
      <c r="M92">
        <v>3</v>
      </c>
      <c r="N92">
        <v>12</v>
      </c>
      <c r="O92">
        <v>0</v>
      </c>
      <c r="P92">
        <v>0</v>
      </c>
      <c r="Q92">
        <v>0</v>
      </c>
      <c r="R92">
        <v>5.14</v>
      </c>
      <c r="S92">
        <v>1.31</v>
      </c>
      <c r="T92">
        <f t="shared" si="3"/>
        <v>5.1679999999999993</v>
      </c>
      <c r="U92">
        <f t="shared" si="4"/>
        <v>0.57275541795665641</v>
      </c>
      <c r="V92">
        <f>U92-AVERAGEIFS(Pitchers[ER/IP],Pitchers[GS],"&gt;"&amp;0,Pitchers[IP],"&gt;"&amp;3)</f>
        <v>1.2548231573369373E-3</v>
      </c>
      <c r="W92">
        <f>IF(Pitchers[[#This Row],[IP/GS]]&lt;&gt;0,(Pitchers[[#This Row],[WHIP]]*$AH$5+$AI$5)/9*Pitchers[[#This Row],[IP/GS]],(Pitchers[[#This Row],[WHIP]]*$AH$5+$AI$5)/9*(Pitchers[[#This Row],[IP]]/Pitchers[[#This Row],[G]]))</f>
        <v>2.4781149178956863</v>
      </c>
      <c r="X92">
        <f>Pitchers[[#This Row],[Runs from WHIP]]-AVERAGEIFS(Pitchers[Runs from WHIP],Pitchers[GS],"&gt;"&amp;0,Pitchers[IP],"&gt;"&amp;3)</f>
        <v>-3.2078009882291729</v>
      </c>
      <c r="Y92">
        <f>IF(Pitchers[[#This Row],[IP/GS]]&lt;&gt;0,Pitchers[[#This Row],[ER/IP From Average]]*Pitchers[[#This Row],[IP/GS]],Pitchers[[#This Row],[ER/IP From Average]]*(Pitchers[[#This Row],[IP]]/Pitchers[[#This Row],[G]]))</f>
        <v>6.4849260771172911E-3</v>
      </c>
      <c r="Z92">
        <f t="shared" si="5"/>
        <v>-0.85281962643026576</v>
      </c>
      <c r="AA92" s="32">
        <f>IF(Pitchers[[#This Row],[W]]=0,0,Pitchers[[#This Row],[W]]/(Pitchers[[#This Row],[W]]+Pitchers[[#This Row],[L]]))</f>
        <v>0.2</v>
      </c>
      <c r="AB92" s="60"/>
    </row>
    <row r="93" spans="1:28" x14ac:dyDescent="0.25">
      <c r="A93" t="s">
        <v>410</v>
      </c>
      <c r="B93" t="s">
        <v>24</v>
      </c>
      <c r="C93">
        <v>29</v>
      </c>
      <c r="D93">
        <v>24</v>
      </c>
      <c r="E93">
        <v>0</v>
      </c>
      <c r="F93">
        <v>0</v>
      </c>
      <c r="G93">
        <v>126.2</v>
      </c>
      <c r="H93">
        <v>143</v>
      </c>
      <c r="I93">
        <v>67</v>
      </c>
      <c r="J93">
        <v>104</v>
      </c>
      <c r="K93">
        <v>55</v>
      </c>
      <c r="L93">
        <v>26</v>
      </c>
      <c r="M93">
        <v>6</v>
      </c>
      <c r="N93">
        <v>7</v>
      </c>
      <c r="O93">
        <v>0</v>
      </c>
      <c r="P93">
        <v>0</v>
      </c>
      <c r="Q93">
        <v>0</v>
      </c>
      <c r="R93">
        <v>4.76</v>
      </c>
      <c r="S93">
        <v>1.56</v>
      </c>
      <c r="T93">
        <f t="shared" si="3"/>
        <v>5.2583333333333337</v>
      </c>
      <c r="U93">
        <f t="shared" si="4"/>
        <v>0.53090332805071316</v>
      </c>
      <c r="V93">
        <f>U93-AVERAGEIFS(Pitchers[ER/IP],Pitchers[GS],"&gt;"&amp;0,Pitchers[IP],"&gt;"&amp;3)</f>
        <v>-4.0597266748606309E-2</v>
      </c>
      <c r="W93">
        <f>IF(Pitchers[[#This Row],[IP/GS]]&lt;&gt;0,(Pitchers[[#This Row],[WHIP]]*$AH$5+$AI$5)/9*Pitchers[[#This Row],[IP/GS]],(Pitchers[[#This Row],[WHIP]]*$AH$5+$AI$5)/9*(Pitchers[[#This Row],[IP]]/Pitchers[[#This Row],[G]]))</f>
        <v>3.203929426359486</v>
      </c>
      <c r="X93">
        <f>Pitchers[[#This Row],[Runs from WHIP]]-AVERAGEIFS(Pitchers[Runs from WHIP],Pitchers[GS],"&gt;"&amp;0,Pitchers[IP],"&gt;"&amp;3)</f>
        <v>-2.4819864797653732</v>
      </c>
      <c r="Y93">
        <f>IF(Pitchers[[#This Row],[IP/GS]]&lt;&gt;0,Pitchers[[#This Row],[ER/IP From Average]]*Pitchers[[#This Row],[IP/GS]],Pitchers[[#This Row],[ER/IP From Average]]*(Pitchers[[#This Row],[IP]]/Pitchers[[#This Row],[G]]))</f>
        <v>-0.21347396098642152</v>
      </c>
      <c r="Z93">
        <f t="shared" si="5"/>
        <v>-0.74725264566533489</v>
      </c>
      <c r="AA93" s="32">
        <f>IF(Pitchers[[#This Row],[W]]=0,0,Pitchers[[#This Row],[W]]/(Pitchers[[#This Row],[W]]+Pitchers[[#This Row],[L]]))</f>
        <v>0.46153846153846156</v>
      </c>
      <c r="AB93" s="60"/>
    </row>
    <row r="94" spans="1:28" x14ac:dyDescent="0.25">
      <c r="A94" t="s">
        <v>485</v>
      </c>
      <c r="B94" t="s">
        <v>3</v>
      </c>
      <c r="C94">
        <v>21</v>
      </c>
      <c r="D94">
        <v>21</v>
      </c>
      <c r="E94">
        <v>0</v>
      </c>
      <c r="F94">
        <v>0</v>
      </c>
      <c r="G94">
        <v>126</v>
      </c>
      <c r="H94">
        <v>96</v>
      </c>
      <c r="I94">
        <v>38</v>
      </c>
      <c r="J94">
        <v>169</v>
      </c>
      <c r="K94">
        <v>37</v>
      </c>
      <c r="L94">
        <v>10</v>
      </c>
      <c r="M94">
        <v>13</v>
      </c>
      <c r="N94">
        <v>4</v>
      </c>
      <c r="O94">
        <v>0</v>
      </c>
      <c r="P94">
        <v>0</v>
      </c>
      <c r="Q94">
        <v>0</v>
      </c>
      <c r="R94">
        <v>2.71</v>
      </c>
      <c r="S94">
        <v>1.06</v>
      </c>
      <c r="T94">
        <f t="shared" si="3"/>
        <v>6</v>
      </c>
      <c r="U94">
        <f t="shared" si="4"/>
        <v>0.30158730158730157</v>
      </c>
      <c r="V94">
        <f>U94-AVERAGEIFS(Pitchers[ER/IP],Pitchers[GS],"&gt;"&amp;0,Pitchers[IP],"&gt;"&amp;3)</f>
        <v>-0.2699132932120179</v>
      </c>
      <c r="W94">
        <f>IF(Pitchers[[#This Row],[IP/GS]]&lt;&gt;0,(Pitchers[[#This Row],[WHIP]]*$AH$5+$AI$5)/9*Pitchers[[#This Row],[IP/GS]],(Pitchers[[#This Row],[WHIP]]*$AH$5+$AI$5)/9*(Pitchers[[#This Row],[IP]]/Pitchers[[#This Row],[G]]))</f>
        <v>2.0983060820456583</v>
      </c>
      <c r="X94">
        <f>Pitchers[[#This Row],[Runs from WHIP]]-AVERAGEIFS(Pitchers[Runs from WHIP],Pitchers[GS],"&gt;"&amp;0,Pitchers[IP],"&gt;"&amp;3)</f>
        <v>-3.5876098240792009</v>
      </c>
      <c r="Y94">
        <f>IF(Pitchers[[#This Row],[IP/GS]]&lt;&gt;0,Pitchers[[#This Row],[ER/IP From Average]]*Pitchers[[#This Row],[IP/GS]],Pitchers[[#This Row],[ER/IP From Average]]*(Pitchers[[#This Row],[IP]]/Pitchers[[#This Row],[G]]))</f>
        <v>-1.6194797592721075</v>
      </c>
      <c r="Z94">
        <f t="shared" si="5"/>
        <v>-1.6044878567966299</v>
      </c>
      <c r="AA94" s="32">
        <f>IF(Pitchers[[#This Row],[W]]=0,0,Pitchers[[#This Row],[W]]/(Pitchers[[#This Row],[W]]+Pitchers[[#This Row],[L]]))</f>
        <v>0.76470588235294112</v>
      </c>
      <c r="AB94" s="60"/>
    </row>
    <row r="95" spans="1:28" x14ac:dyDescent="0.25">
      <c r="A95" t="s">
        <v>432</v>
      </c>
      <c r="B95" t="s">
        <v>19</v>
      </c>
      <c r="C95">
        <v>35</v>
      </c>
      <c r="D95">
        <v>15</v>
      </c>
      <c r="E95">
        <v>1</v>
      </c>
      <c r="F95">
        <v>0</v>
      </c>
      <c r="G95">
        <v>125.1</v>
      </c>
      <c r="H95">
        <v>156</v>
      </c>
      <c r="I95">
        <v>82</v>
      </c>
      <c r="J95">
        <v>101</v>
      </c>
      <c r="K95">
        <v>36</v>
      </c>
      <c r="L95">
        <v>29</v>
      </c>
      <c r="M95">
        <v>6</v>
      </c>
      <c r="N95">
        <v>8</v>
      </c>
      <c r="O95">
        <v>0</v>
      </c>
      <c r="P95">
        <v>0</v>
      </c>
      <c r="Q95">
        <v>0</v>
      </c>
      <c r="R95">
        <v>5.89</v>
      </c>
      <c r="S95">
        <v>1.53</v>
      </c>
      <c r="T95">
        <f t="shared" si="3"/>
        <v>8.34</v>
      </c>
      <c r="U95">
        <f t="shared" si="4"/>
        <v>0.65547561950439648</v>
      </c>
      <c r="V95">
        <f>U95-AVERAGEIFS(Pitchers[ER/IP],Pitchers[GS],"&gt;"&amp;0,Pitchers[IP],"&gt;"&amp;3)</f>
        <v>8.3975024705077006E-2</v>
      </c>
      <c r="W95">
        <f>IF(Pitchers[[#This Row],[IP/GS]]&lt;&gt;0,(Pitchers[[#This Row],[WHIP]]*$AH$5+$AI$5)/9*Pitchers[[#This Row],[IP/GS]],(Pitchers[[#This Row],[WHIP]]*$AH$5+$AI$5)/9*(Pitchers[[#This Row],[IP]]/Pitchers[[#This Row],[G]]))</f>
        <v>4.9517071515001971</v>
      </c>
      <c r="X95">
        <f>Pitchers[[#This Row],[Runs from WHIP]]-AVERAGEIFS(Pitchers[Runs from WHIP],Pitchers[GS],"&gt;"&amp;0,Pitchers[IP],"&gt;"&amp;3)</f>
        <v>-0.73420875462466206</v>
      </c>
      <c r="Y95">
        <f>IF(Pitchers[[#This Row],[IP/GS]]&lt;&gt;0,Pitchers[[#This Row],[ER/IP From Average]]*Pitchers[[#This Row],[IP/GS]],Pitchers[[#This Row],[ER/IP From Average]]*(Pitchers[[#This Row],[IP]]/Pitchers[[#This Row],[G]]))</f>
        <v>0.70035170604034225</v>
      </c>
      <c r="Z95">
        <f t="shared" si="5"/>
        <v>8.435168118289367E-2</v>
      </c>
      <c r="AA95" s="32">
        <f>IF(Pitchers[[#This Row],[W]]=0,0,Pitchers[[#This Row],[W]]/(Pitchers[[#This Row],[W]]+Pitchers[[#This Row],[L]]))</f>
        <v>0.42857142857142855</v>
      </c>
      <c r="AB95" s="60"/>
    </row>
    <row r="96" spans="1:28" x14ac:dyDescent="0.25">
      <c r="A96" t="s">
        <v>478</v>
      </c>
      <c r="B96" t="s">
        <v>11</v>
      </c>
      <c r="C96">
        <v>25</v>
      </c>
      <c r="D96">
        <v>25</v>
      </c>
      <c r="E96">
        <v>0</v>
      </c>
      <c r="F96">
        <v>0</v>
      </c>
      <c r="G96">
        <v>124.2</v>
      </c>
      <c r="H96">
        <v>161</v>
      </c>
      <c r="I96">
        <v>93</v>
      </c>
      <c r="J96">
        <v>76</v>
      </c>
      <c r="K96">
        <v>57</v>
      </c>
      <c r="L96">
        <v>19</v>
      </c>
      <c r="M96">
        <v>11</v>
      </c>
      <c r="N96">
        <v>11</v>
      </c>
      <c r="O96">
        <v>0</v>
      </c>
      <c r="P96">
        <v>0</v>
      </c>
      <c r="Q96">
        <v>0</v>
      </c>
      <c r="R96">
        <v>6.71</v>
      </c>
      <c r="S96">
        <v>1.75</v>
      </c>
      <c r="T96">
        <f t="shared" si="3"/>
        <v>4.968</v>
      </c>
      <c r="U96">
        <f t="shared" si="4"/>
        <v>0.74879227053140096</v>
      </c>
      <c r="V96">
        <f>U96-AVERAGEIFS(Pitchers[ER/IP],Pitchers[GS],"&gt;"&amp;0,Pitchers[IP],"&gt;"&amp;3)</f>
        <v>0.17729167573208149</v>
      </c>
      <c r="W96">
        <f>IF(Pitchers[[#This Row],[IP/GS]]&lt;&gt;0,(Pitchers[[#This Row],[WHIP]]*$AH$5+$AI$5)/9*Pitchers[[#This Row],[IP/GS]],(Pitchers[[#This Row],[WHIP]]*$AH$5+$AI$5)/9*(Pitchers[[#This Row],[IP]]/Pitchers[[#This Row],[G]]))</f>
        <v>3.5170873930606685</v>
      </c>
      <c r="X96">
        <f>Pitchers[[#This Row],[Runs from WHIP]]-AVERAGEIFS(Pitchers[Runs from WHIP],Pitchers[GS],"&gt;"&amp;0,Pitchers[IP],"&gt;"&amp;3)</f>
        <v>-2.1688285130641907</v>
      </c>
      <c r="Y96">
        <f>IF(Pitchers[[#This Row],[IP/GS]]&lt;&gt;0,Pitchers[[#This Row],[ER/IP From Average]]*Pitchers[[#This Row],[IP/GS]],Pitchers[[#This Row],[ER/IP From Average]]*(Pitchers[[#This Row],[IP]]/Pitchers[[#This Row],[G]]))</f>
        <v>0.88078504503698085</v>
      </c>
      <c r="Z96">
        <f t="shared" si="5"/>
        <v>-0.22604025213565856</v>
      </c>
      <c r="AA96" s="32">
        <f>IF(Pitchers[[#This Row],[W]]=0,0,Pitchers[[#This Row],[W]]/(Pitchers[[#This Row],[W]]+Pitchers[[#This Row],[L]]))</f>
        <v>0.5</v>
      </c>
      <c r="AB96" s="60"/>
    </row>
    <row r="97" spans="1:28" x14ac:dyDescent="0.25">
      <c r="A97" t="s">
        <v>345</v>
      </c>
      <c r="B97" t="s">
        <v>18</v>
      </c>
      <c r="C97">
        <v>21</v>
      </c>
      <c r="D97">
        <v>21</v>
      </c>
      <c r="E97">
        <v>0</v>
      </c>
      <c r="F97">
        <v>0</v>
      </c>
      <c r="G97">
        <v>124.2</v>
      </c>
      <c r="H97">
        <v>118</v>
      </c>
      <c r="I97">
        <v>41</v>
      </c>
      <c r="J97">
        <v>99</v>
      </c>
      <c r="K97">
        <v>35</v>
      </c>
      <c r="L97">
        <v>10</v>
      </c>
      <c r="M97">
        <v>6</v>
      </c>
      <c r="N97">
        <v>11</v>
      </c>
      <c r="O97">
        <v>0</v>
      </c>
      <c r="P97">
        <v>0</v>
      </c>
      <c r="Q97">
        <v>0</v>
      </c>
      <c r="R97">
        <v>2.96</v>
      </c>
      <c r="S97">
        <v>1.23</v>
      </c>
      <c r="T97">
        <f t="shared" si="3"/>
        <v>5.9142857142857146</v>
      </c>
      <c r="U97">
        <f t="shared" si="4"/>
        <v>0.33011272141706921</v>
      </c>
      <c r="V97" s="60">
        <f>U97-AVERAGEIFS(Pitchers[ER/IP],Pitchers[GS],"&gt;"&amp;0,Pitchers[IP],"&gt;"&amp;3)</f>
        <v>-0.24138787338225026</v>
      </c>
      <c r="W97" s="60">
        <f>IF(Pitchers[[#This Row],[IP/GS]]&lt;&gt;0,(Pitchers[[#This Row],[WHIP]]*$AH$5+$AI$5)/9*Pitchers[[#This Row],[IP/GS]],(Pitchers[[#This Row],[WHIP]]*$AH$5+$AI$5)/9*(Pitchers[[#This Row],[IP]]/Pitchers[[#This Row],[G]]))</f>
        <v>2.5903235395201727</v>
      </c>
      <c r="X97" s="60">
        <f>Pitchers[[#This Row],[Runs from WHIP]]-AVERAGEIFS(Pitchers[Runs from WHIP],Pitchers[GS],"&gt;"&amp;0,Pitchers[IP],"&gt;"&amp;3)</f>
        <v>-3.0955923666046865</v>
      </c>
      <c r="Y97" s="60">
        <f>IF(Pitchers[[#This Row],[IP/GS]]&lt;&gt;0,Pitchers[[#This Row],[ER/IP From Average]]*Pitchers[[#This Row],[IP/GS]],Pitchers[[#This Row],[ER/IP From Average]]*(Pitchers[[#This Row],[IP]]/Pitchers[[#This Row],[G]]))</f>
        <v>-1.4276368511464517</v>
      </c>
      <c r="Z97" s="60">
        <f t="shared" si="5"/>
        <v>-1.3965460382198307</v>
      </c>
      <c r="AA97" s="32">
        <f>IF(Pitchers[[#This Row],[W]]=0,0,Pitchers[[#This Row],[W]]/(Pitchers[[#This Row],[W]]+Pitchers[[#This Row],[L]]))</f>
        <v>0.35294117647058826</v>
      </c>
      <c r="AB97" s="60"/>
    </row>
    <row r="98" spans="1:28" x14ac:dyDescent="0.25">
      <c r="A98" t="s">
        <v>346</v>
      </c>
      <c r="B98" t="s">
        <v>332</v>
      </c>
      <c r="C98">
        <v>39</v>
      </c>
      <c r="D98">
        <v>18</v>
      </c>
      <c r="E98">
        <v>0</v>
      </c>
      <c r="F98">
        <v>0</v>
      </c>
      <c r="G98">
        <v>123.2</v>
      </c>
      <c r="H98">
        <v>140</v>
      </c>
      <c r="I98">
        <v>87</v>
      </c>
      <c r="J98">
        <v>109</v>
      </c>
      <c r="K98">
        <v>42</v>
      </c>
      <c r="L98">
        <v>27</v>
      </c>
      <c r="M98">
        <v>4</v>
      </c>
      <c r="N98">
        <v>9</v>
      </c>
      <c r="O98">
        <v>1</v>
      </c>
      <c r="P98">
        <v>1</v>
      </c>
      <c r="Q98">
        <v>0</v>
      </c>
      <c r="R98">
        <v>6.33</v>
      </c>
      <c r="S98">
        <v>1.47</v>
      </c>
      <c r="T98">
        <f t="shared" si="3"/>
        <v>6.844444444444445</v>
      </c>
      <c r="U98">
        <f t="shared" si="4"/>
        <v>0.70616883116883111</v>
      </c>
      <c r="V98">
        <f>U98-AVERAGEIFS(Pitchers[ER/IP],Pitchers[GS],"&gt;"&amp;0,Pitchers[IP],"&gt;"&amp;3)</f>
        <v>0.13466823636951164</v>
      </c>
      <c r="W98">
        <f>IF(Pitchers[[#This Row],[IP/GS]]&lt;&gt;0,(Pitchers[[#This Row],[WHIP]]*$AH$5+$AI$5)/9*Pitchers[[#This Row],[IP/GS]],(Pitchers[[#This Row],[WHIP]]*$AH$5+$AI$5)/9*(Pitchers[[#This Row],[IP]]/Pitchers[[#This Row],[G]]))</f>
        <v>3.8505433218371019</v>
      </c>
      <c r="X98">
        <f>Pitchers[[#This Row],[Runs from WHIP]]-AVERAGEIFS(Pitchers[Runs from WHIP],Pitchers[GS],"&gt;"&amp;0,Pitchers[IP],"&gt;"&amp;3)</f>
        <v>-1.8353725842877573</v>
      </c>
      <c r="Y98">
        <f>IF(Pitchers[[#This Row],[IP/GS]]&lt;&gt;0,Pitchers[[#This Row],[ER/IP From Average]]*Pitchers[[#This Row],[IP/GS]],Pitchers[[#This Row],[ER/IP From Average]]*(Pitchers[[#This Row],[IP]]/Pitchers[[#This Row],[G]]))</f>
        <v>0.92172926226243534</v>
      </c>
      <c r="Z98">
        <f t="shared" si="5"/>
        <v>-0.12074098423842781</v>
      </c>
      <c r="AA98" s="32">
        <f>IF(Pitchers[[#This Row],[W]]=0,0,Pitchers[[#This Row],[W]]/(Pitchers[[#This Row],[W]]+Pitchers[[#This Row],[L]]))</f>
        <v>0.30769230769230771</v>
      </c>
      <c r="AB98" s="60"/>
    </row>
    <row r="99" spans="1:28" x14ac:dyDescent="0.25">
      <c r="A99" t="s">
        <v>918</v>
      </c>
      <c r="B99" t="s">
        <v>19</v>
      </c>
      <c r="C99">
        <v>32</v>
      </c>
      <c r="D99">
        <v>18</v>
      </c>
      <c r="E99">
        <v>1</v>
      </c>
      <c r="F99">
        <v>0</v>
      </c>
      <c r="G99">
        <v>122.1</v>
      </c>
      <c r="H99">
        <v>148</v>
      </c>
      <c r="I99">
        <v>79</v>
      </c>
      <c r="J99">
        <v>81</v>
      </c>
      <c r="K99">
        <v>36</v>
      </c>
      <c r="L99">
        <v>21</v>
      </c>
      <c r="M99">
        <v>7</v>
      </c>
      <c r="N99">
        <v>11</v>
      </c>
      <c r="O99">
        <v>0</v>
      </c>
      <c r="P99">
        <v>0</v>
      </c>
      <c r="Q99">
        <v>1</v>
      </c>
      <c r="R99">
        <v>5.81</v>
      </c>
      <c r="S99">
        <v>1.5</v>
      </c>
      <c r="T99">
        <f t="shared" si="3"/>
        <v>6.7833333333333332</v>
      </c>
      <c r="U99">
        <f t="shared" si="4"/>
        <v>0.64701064701064703</v>
      </c>
      <c r="V99">
        <f>U99-AVERAGEIFS(Pitchers[ER/IP],Pitchers[GS],"&gt;"&amp;0,Pitchers[IP],"&gt;"&amp;3)</f>
        <v>7.5510052211327561E-2</v>
      </c>
      <c r="W99">
        <f>IF(Pitchers[[#This Row],[IP/GS]]&lt;&gt;0,(Pitchers[[#This Row],[WHIP]]*$AH$5+$AI$5)/9*Pitchers[[#This Row],[IP/GS]],(Pitchers[[#This Row],[WHIP]]*$AH$5+$AI$5)/9*(Pitchers[[#This Row],[IP]]/Pitchers[[#This Row],[G]]))</f>
        <v>3.9218155589763342</v>
      </c>
      <c r="X99">
        <f>Pitchers[[#This Row],[Runs from WHIP]]-AVERAGEIFS(Pitchers[Runs from WHIP],Pitchers[GS],"&gt;"&amp;0,Pitchers[IP],"&gt;"&amp;3)</f>
        <v>-1.764100347148525</v>
      </c>
      <c r="Y99">
        <f>IF(Pitchers[[#This Row],[IP/GS]]&lt;&gt;0,Pitchers[[#This Row],[ER/IP From Average]]*Pitchers[[#This Row],[IP/GS]],Pitchers[[#This Row],[ER/IP From Average]]*(Pitchers[[#This Row],[IP]]/Pitchers[[#This Row],[G]]))</f>
        <v>0.51220985416683862</v>
      </c>
      <c r="Z99">
        <f t="shared" si="5"/>
        <v>-0.26554281757287129</v>
      </c>
      <c r="AA99" s="32">
        <f>IF(Pitchers[[#This Row],[W]]=0,0,Pitchers[[#This Row],[W]]/(Pitchers[[#This Row],[W]]+Pitchers[[#This Row],[L]]))</f>
        <v>0.3888888888888889</v>
      </c>
      <c r="AB99" s="60"/>
    </row>
    <row r="100" spans="1:28" x14ac:dyDescent="0.25">
      <c r="A100" t="s">
        <v>377</v>
      </c>
      <c r="B100" t="s">
        <v>6</v>
      </c>
      <c r="C100">
        <v>22</v>
      </c>
      <c r="D100">
        <v>22</v>
      </c>
      <c r="E100">
        <v>0</v>
      </c>
      <c r="F100">
        <v>0</v>
      </c>
      <c r="G100">
        <v>121.2</v>
      </c>
      <c r="H100">
        <v>109</v>
      </c>
      <c r="I100">
        <v>49</v>
      </c>
      <c r="J100">
        <v>143</v>
      </c>
      <c r="K100">
        <v>30</v>
      </c>
      <c r="L100">
        <v>12</v>
      </c>
      <c r="M100">
        <v>11</v>
      </c>
      <c r="N100">
        <v>3</v>
      </c>
      <c r="O100">
        <v>0</v>
      </c>
      <c r="P100">
        <v>0</v>
      </c>
      <c r="Q100">
        <v>0</v>
      </c>
      <c r="R100">
        <v>3.62</v>
      </c>
      <c r="S100">
        <v>1.1399999999999999</v>
      </c>
      <c r="T100">
        <f t="shared" si="3"/>
        <v>5.5090909090909088</v>
      </c>
      <c r="U100">
        <f t="shared" si="4"/>
        <v>0.4042904290429043</v>
      </c>
      <c r="V100">
        <f>U100-AVERAGEIFS(Pitchers[ER/IP],Pitchers[GS],"&gt;"&amp;0,Pitchers[IP],"&gt;"&amp;3)</f>
        <v>-0.16721016575641517</v>
      </c>
      <c r="W100">
        <f>IF(Pitchers[[#This Row],[IP/GS]]&lt;&gt;0,(Pitchers[[#This Row],[WHIP]]*$AH$5+$AI$5)/9*Pitchers[[#This Row],[IP/GS]],(Pitchers[[#This Row],[WHIP]]*$AH$5+$AI$5)/9*(Pitchers[[#This Row],[IP]]/Pitchers[[#This Row],[G]]))</f>
        <v>2.1554410227640601</v>
      </c>
      <c r="X100">
        <f>Pitchers[[#This Row],[Runs from WHIP]]-AVERAGEIFS(Pitchers[Runs from WHIP],Pitchers[GS],"&gt;"&amp;0,Pitchers[IP],"&gt;"&amp;3)</f>
        <v>-3.5304748833607991</v>
      </c>
      <c r="Y100">
        <f>IF(Pitchers[[#This Row],[IP/GS]]&lt;&gt;0,Pitchers[[#This Row],[ER/IP From Average]]*Pitchers[[#This Row],[IP/GS]],Pitchers[[#This Row],[ER/IP From Average]]*(Pitchers[[#This Row],[IP]]/Pitchers[[#This Row],[G]]))</f>
        <v>-0.92117600407625078</v>
      </c>
      <c r="Z100">
        <f t="shared" si="5"/>
        <v>-1.3099303705267136</v>
      </c>
      <c r="AA100" s="32">
        <f>IF(Pitchers[[#This Row],[W]]=0,0,Pitchers[[#This Row],[W]]/(Pitchers[[#This Row],[W]]+Pitchers[[#This Row],[L]]))</f>
        <v>0.7857142857142857</v>
      </c>
      <c r="AB100" s="60"/>
    </row>
    <row r="101" spans="1:28" x14ac:dyDescent="0.25">
      <c r="A101" t="s">
        <v>439</v>
      </c>
      <c r="B101" t="s">
        <v>1</v>
      </c>
      <c r="C101">
        <v>26</v>
      </c>
      <c r="D101">
        <v>8</v>
      </c>
      <c r="E101">
        <v>0</v>
      </c>
      <c r="F101">
        <v>0</v>
      </c>
      <c r="G101">
        <v>121.1</v>
      </c>
      <c r="H101">
        <v>145</v>
      </c>
      <c r="I101">
        <v>77</v>
      </c>
      <c r="J101">
        <v>92</v>
      </c>
      <c r="K101">
        <v>31</v>
      </c>
      <c r="L101">
        <v>28</v>
      </c>
      <c r="M101">
        <v>6</v>
      </c>
      <c r="N101">
        <v>7</v>
      </c>
      <c r="O101">
        <v>0</v>
      </c>
      <c r="P101">
        <v>0</v>
      </c>
      <c r="Q101">
        <v>0</v>
      </c>
      <c r="R101">
        <v>5.71</v>
      </c>
      <c r="S101">
        <v>1.45</v>
      </c>
      <c r="T101">
        <f t="shared" si="3"/>
        <v>15.137499999999999</v>
      </c>
      <c r="U101">
        <f t="shared" si="4"/>
        <v>0.63583815028901736</v>
      </c>
      <c r="V101" s="60">
        <f>U101-AVERAGEIFS(Pitchers[ER/IP],Pitchers[GS],"&gt;"&amp;0,Pitchers[IP],"&gt;"&amp;3)</f>
        <v>6.4337555489697884E-2</v>
      </c>
      <c r="W101" s="60">
        <f>IF(Pitchers[[#This Row],[IP/GS]]&lt;&gt;0,(Pitchers[[#This Row],[WHIP]]*$AH$5+$AI$5)/9*Pitchers[[#This Row],[IP/GS]],(Pitchers[[#This Row],[WHIP]]*$AH$5+$AI$5)/9*(Pitchers[[#This Row],[IP]]/Pitchers[[#This Row],[G]]))</f>
        <v>8.3588651913674141</v>
      </c>
      <c r="X101" s="60">
        <f>Pitchers[[#This Row],[Runs from WHIP]]-AVERAGEIFS(Pitchers[Runs from WHIP],Pitchers[GS],"&gt;"&amp;0,Pitchers[IP],"&gt;"&amp;3)</f>
        <v>2.6729492852425549</v>
      </c>
      <c r="Y101" s="60">
        <f>IF(Pitchers[[#This Row],[IP/GS]]&lt;&gt;0,Pitchers[[#This Row],[ER/IP From Average]]*Pitchers[[#This Row],[IP/GS]],Pitchers[[#This Row],[ER/IP From Average]]*(Pitchers[[#This Row],[IP]]/Pitchers[[#This Row],[G]]))</f>
        <v>0.97390974622530169</v>
      </c>
      <c r="Z101" s="60">
        <f t="shared" si="5"/>
        <v>1.102350374554802</v>
      </c>
      <c r="AA101" s="32">
        <f>IF(Pitchers[[#This Row],[W]]=0,0,Pitchers[[#This Row],[W]]/(Pitchers[[#This Row],[W]]+Pitchers[[#This Row],[L]]))</f>
        <v>0.46153846153846156</v>
      </c>
      <c r="AB101" s="60"/>
    </row>
    <row r="102" spans="1:28" x14ac:dyDescent="0.25">
      <c r="A102" t="s">
        <v>402</v>
      </c>
      <c r="B102" t="s">
        <v>14</v>
      </c>
      <c r="C102">
        <v>23</v>
      </c>
      <c r="D102">
        <v>23</v>
      </c>
      <c r="E102">
        <v>0</v>
      </c>
      <c r="F102">
        <v>0</v>
      </c>
      <c r="G102">
        <v>119.2</v>
      </c>
      <c r="H102">
        <v>114</v>
      </c>
      <c r="I102">
        <v>69</v>
      </c>
      <c r="J102">
        <v>143</v>
      </c>
      <c r="K102">
        <v>55</v>
      </c>
      <c r="L102">
        <v>25</v>
      </c>
      <c r="M102">
        <v>3</v>
      </c>
      <c r="N102">
        <v>9</v>
      </c>
      <c r="O102">
        <v>0</v>
      </c>
      <c r="P102">
        <v>0</v>
      </c>
      <c r="Q102">
        <v>0</v>
      </c>
      <c r="R102">
        <v>5.19</v>
      </c>
      <c r="S102">
        <v>1.41</v>
      </c>
      <c r="T102">
        <f t="shared" si="3"/>
        <v>5.1826086956521742</v>
      </c>
      <c r="U102">
        <f t="shared" si="4"/>
        <v>0.57885906040268453</v>
      </c>
      <c r="V102">
        <f>U102-AVERAGEIFS(Pitchers[ER/IP],Pitchers[GS],"&gt;"&amp;0,Pitchers[IP],"&gt;"&amp;3)</f>
        <v>7.3584656033650608E-3</v>
      </c>
      <c r="W102">
        <f>IF(Pitchers[[#This Row],[IP/GS]]&lt;&gt;0,(Pitchers[[#This Row],[WHIP]]*$AH$5+$AI$5)/9*Pitchers[[#This Row],[IP/GS]],(Pitchers[[#This Row],[WHIP]]*$AH$5+$AI$5)/9*(Pitchers[[#This Row],[IP]]/Pitchers[[#This Row],[G]]))</f>
        <v>2.7541879791474044</v>
      </c>
      <c r="X102">
        <f>Pitchers[[#This Row],[Runs from WHIP]]-AVERAGEIFS(Pitchers[Runs from WHIP],Pitchers[GS],"&gt;"&amp;0,Pitchers[IP],"&gt;"&amp;3)</f>
        <v>-2.9317279269774548</v>
      </c>
      <c r="Y102">
        <f>IF(Pitchers[[#This Row],[IP/GS]]&lt;&gt;0,Pitchers[[#This Row],[ER/IP From Average]]*Pitchers[[#This Row],[IP/GS]],Pitchers[[#This Row],[ER/IP From Average]]*(Pitchers[[#This Row],[IP]]/Pitchers[[#This Row],[G]]))</f>
        <v>3.8136047822657185E-2</v>
      </c>
      <c r="Z102">
        <f t="shared" si="5"/>
        <v>-0.76653969473159156</v>
      </c>
      <c r="AA102" s="32">
        <f>IF(Pitchers[[#This Row],[W]]=0,0,Pitchers[[#This Row],[W]]/(Pitchers[[#This Row],[W]]+Pitchers[[#This Row],[L]]))</f>
        <v>0.25</v>
      </c>
      <c r="AB102" s="60"/>
    </row>
    <row r="103" spans="1:28" x14ac:dyDescent="0.25">
      <c r="A103" t="s">
        <v>435</v>
      </c>
      <c r="B103" t="s">
        <v>15</v>
      </c>
      <c r="C103">
        <v>33</v>
      </c>
      <c r="D103">
        <v>23</v>
      </c>
      <c r="E103">
        <v>0</v>
      </c>
      <c r="F103">
        <v>0</v>
      </c>
      <c r="G103">
        <v>117.1</v>
      </c>
      <c r="H103">
        <v>120</v>
      </c>
      <c r="I103">
        <v>64</v>
      </c>
      <c r="J103">
        <v>130</v>
      </c>
      <c r="K103">
        <v>43</v>
      </c>
      <c r="L103">
        <v>26</v>
      </c>
      <c r="M103">
        <v>7</v>
      </c>
      <c r="N103">
        <v>8</v>
      </c>
      <c r="O103">
        <v>0</v>
      </c>
      <c r="P103">
        <v>0</v>
      </c>
      <c r="Q103">
        <v>2</v>
      </c>
      <c r="R103">
        <v>4.91</v>
      </c>
      <c r="S103">
        <v>1.39</v>
      </c>
      <c r="T103">
        <f t="shared" si="3"/>
        <v>5.0913043478260871</v>
      </c>
      <c r="U103">
        <f t="shared" si="4"/>
        <v>0.54654141759180186</v>
      </c>
      <c r="V103">
        <f>U103-AVERAGEIFS(Pitchers[ER/IP],Pitchers[GS],"&gt;"&amp;0,Pitchers[IP],"&gt;"&amp;3)</f>
        <v>-2.4959177207517613E-2</v>
      </c>
      <c r="W103">
        <f>IF(Pitchers[[#This Row],[IP/GS]]&lt;&gt;0,(Pitchers[[#This Row],[WHIP]]*$AH$5+$AI$5)/9*Pitchers[[#This Row],[IP/GS]],(Pitchers[[#This Row],[WHIP]]*$AH$5+$AI$5)/9*(Pitchers[[#This Row],[IP]]/Pitchers[[#This Row],[G]]))</f>
        <v>2.6528006645082898</v>
      </c>
      <c r="X103">
        <f>Pitchers[[#This Row],[Runs from WHIP]]-AVERAGEIFS(Pitchers[Runs from WHIP],Pitchers[GS],"&gt;"&amp;0,Pitchers[IP],"&gt;"&amp;3)</f>
        <v>-3.0331152416165694</v>
      </c>
      <c r="Y103">
        <f>IF(Pitchers[[#This Row],[IP/GS]]&lt;&gt;0,Pitchers[[#This Row],[ER/IP From Average]]*Pitchers[[#This Row],[IP/GS]],Pitchers[[#This Row],[ER/IP From Average]]*(Pitchers[[#This Row],[IP]]/Pitchers[[#This Row],[G]]))</f>
        <v>-0.1270747674347962</v>
      </c>
      <c r="Z103">
        <f t="shared" si="5"/>
        <v>-0.85966063807167037</v>
      </c>
      <c r="AA103" s="32">
        <f>IF(Pitchers[[#This Row],[W]]=0,0,Pitchers[[#This Row],[W]]/(Pitchers[[#This Row],[W]]+Pitchers[[#This Row],[L]]))</f>
        <v>0.46666666666666667</v>
      </c>
      <c r="AB103" s="60"/>
    </row>
    <row r="104" spans="1:28" x14ac:dyDescent="0.25">
      <c r="A104" t="s">
        <v>1194</v>
      </c>
      <c r="B104" t="s">
        <v>219</v>
      </c>
      <c r="C104">
        <v>24</v>
      </c>
      <c r="D104">
        <v>22</v>
      </c>
      <c r="E104">
        <v>0</v>
      </c>
      <c r="F104">
        <v>0</v>
      </c>
      <c r="G104">
        <v>117</v>
      </c>
      <c r="H104">
        <v>127</v>
      </c>
      <c r="I104">
        <v>66</v>
      </c>
      <c r="J104">
        <v>113</v>
      </c>
      <c r="K104">
        <v>46</v>
      </c>
      <c r="L104">
        <v>22</v>
      </c>
      <c r="M104">
        <v>5</v>
      </c>
      <c r="N104">
        <v>10</v>
      </c>
      <c r="O104">
        <v>0</v>
      </c>
      <c r="P104">
        <v>0</v>
      </c>
      <c r="Q104">
        <v>0</v>
      </c>
      <c r="R104">
        <v>5.08</v>
      </c>
      <c r="S104">
        <v>1.48</v>
      </c>
      <c r="T104">
        <f t="shared" si="3"/>
        <v>5.3181818181818183</v>
      </c>
      <c r="U104">
        <f t="shared" si="4"/>
        <v>0.5641025641025641</v>
      </c>
      <c r="V104">
        <f>U104-AVERAGEIFS(Pitchers[ER/IP],Pitchers[GS],"&gt;"&amp;0,Pitchers[IP],"&gt;"&amp;3)</f>
        <v>-7.3980306967553755E-3</v>
      </c>
      <c r="W104">
        <f>IF(Pitchers[[#This Row],[IP/GS]]&lt;&gt;0,(Pitchers[[#This Row],[WHIP]]*$AH$5+$AI$5)/9*Pitchers[[#This Row],[IP/GS]],(Pitchers[[#This Row],[WHIP]]*$AH$5+$AI$5)/9*(Pitchers[[#This Row],[IP]]/Pitchers[[#This Row],[G]]))</f>
        <v>3.0195101017546579</v>
      </c>
      <c r="X104">
        <f>Pitchers[[#This Row],[Runs from WHIP]]-AVERAGEIFS(Pitchers[Runs from WHIP],Pitchers[GS],"&gt;"&amp;0,Pitchers[IP],"&gt;"&amp;3)</f>
        <v>-2.6664058043702012</v>
      </c>
      <c r="Y104">
        <f>IF(Pitchers[[#This Row],[IP/GS]]&lt;&gt;0,Pitchers[[#This Row],[ER/IP From Average]]*Pitchers[[#This Row],[IP/GS]],Pitchers[[#This Row],[ER/IP From Average]]*(Pitchers[[#This Row],[IP]]/Pitchers[[#This Row],[G]]))</f>
        <v>-3.9344072341835408E-2</v>
      </c>
      <c r="Z104">
        <f t="shared" si="5"/>
        <v>-0.72677917676878778</v>
      </c>
      <c r="AA104" s="32">
        <f>IF(Pitchers[[#This Row],[W]]=0,0,Pitchers[[#This Row],[W]]/(Pitchers[[#This Row],[W]]+Pitchers[[#This Row],[L]]))</f>
        <v>0.33333333333333331</v>
      </c>
      <c r="AB104" s="60"/>
    </row>
    <row r="105" spans="1:28" x14ac:dyDescent="0.25">
      <c r="A105" t="s">
        <v>914</v>
      </c>
      <c r="B105" t="s">
        <v>10</v>
      </c>
      <c r="C105">
        <v>21</v>
      </c>
      <c r="D105">
        <v>21</v>
      </c>
      <c r="E105">
        <v>0</v>
      </c>
      <c r="F105">
        <v>0</v>
      </c>
      <c r="G105">
        <v>117</v>
      </c>
      <c r="H105">
        <v>109</v>
      </c>
      <c r="I105">
        <v>59</v>
      </c>
      <c r="J105">
        <v>105</v>
      </c>
      <c r="K105">
        <v>37</v>
      </c>
      <c r="L105">
        <v>23</v>
      </c>
      <c r="M105">
        <v>8</v>
      </c>
      <c r="N105">
        <v>6</v>
      </c>
      <c r="O105">
        <v>0</v>
      </c>
      <c r="P105">
        <v>0</v>
      </c>
      <c r="Q105">
        <v>0</v>
      </c>
      <c r="R105">
        <v>4.54</v>
      </c>
      <c r="S105">
        <v>1.25</v>
      </c>
      <c r="T105">
        <f t="shared" si="3"/>
        <v>5.5714285714285712</v>
      </c>
      <c r="U105">
        <f t="shared" si="4"/>
        <v>0.50427350427350426</v>
      </c>
      <c r="V105">
        <f>U105-AVERAGEIFS(Pitchers[ER/IP],Pitchers[GS],"&gt;"&amp;0,Pitchers[IP],"&gt;"&amp;3)</f>
        <v>-6.7227090525815214E-2</v>
      </c>
      <c r="W105">
        <f>IF(Pitchers[[#This Row],[IP/GS]]&lt;&gt;0,(Pitchers[[#This Row],[WHIP]]*$AH$5+$AI$5)/9*Pitchers[[#This Row],[IP/GS]],(Pitchers[[#This Row],[WHIP]]*$AH$5+$AI$5)/9*(Pitchers[[#This Row],[IP]]/Pitchers[[#This Row],[G]]))</f>
        <v>2.4980107713502542</v>
      </c>
      <c r="X105">
        <f>Pitchers[[#This Row],[Runs from WHIP]]-AVERAGEIFS(Pitchers[Runs from WHIP],Pitchers[GS],"&gt;"&amp;0,Pitchers[IP],"&gt;"&amp;3)</f>
        <v>-3.187905134774605</v>
      </c>
      <c r="Y105">
        <f>IF(Pitchers[[#This Row],[IP/GS]]&lt;&gt;0,Pitchers[[#This Row],[ER/IP From Average]]*Pitchers[[#This Row],[IP/GS]],Pitchers[[#This Row],[ER/IP From Average]]*(Pitchers[[#This Row],[IP]]/Pitchers[[#This Row],[G]]))</f>
        <v>-0.37455093292954189</v>
      </c>
      <c r="Z105">
        <f t="shared" si="5"/>
        <v>-0.99992840911171132</v>
      </c>
      <c r="AA105" s="32">
        <f>IF(Pitchers[[#This Row],[W]]=0,0,Pitchers[[#This Row],[W]]/(Pitchers[[#This Row],[W]]+Pitchers[[#This Row],[L]]))</f>
        <v>0.5714285714285714</v>
      </c>
      <c r="AB105" s="60"/>
    </row>
    <row r="106" spans="1:28" x14ac:dyDescent="0.25">
      <c r="A106" t="s">
        <v>1332</v>
      </c>
      <c r="B106" t="s">
        <v>3</v>
      </c>
      <c r="C106">
        <v>21</v>
      </c>
      <c r="D106">
        <v>21</v>
      </c>
      <c r="E106">
        <v>1</v>
      </c>
      <c r="F106">
        <v>1</v>
      </c>
      <c r="G106">
        <v>115.2</v>
      </c>
      <c r="H106">
        <v>102</v>
      </c>
      <c r="I106">
        <v>49</v>
      </c>
      <c r="J106">
        <v>88</v>
      </c>
      <c r="K106">
        <v>40</v>
      </c>
      <c r="L106">
        <v>19</v>
      </c>
      <c r="M106">
        <v>8</v>
      </c>
      <c r="N106">
        <v>6</v>
      </c>
      <c r="O106">
        <v>0</v>
      </c>
      <c r="P106">
        <v>0</v>
      </c>
      <c r="Q106">
        <v>0</v>
      </c>
      <c r="R106">
        <v>3.81</v>
      </c>
      <c r="S106">
        <v>1.23</v>
      </c>
      <c r="T106">
        <f t="shared" si="3"/>
        <v>5.4857142857142858</v>
      </c>
      <c r="U106">
        <f t="shared" si="4"/>
        <v>0.42534722222222221</v>
      </c>
      <c r="V106">
        <f>U106-AVERAGEIFS(Pitchers[ER/IP],Pitchers[GS],"&gt;"&amp;0,Pitchers[IP],"&gt;"&amp;3)</f>
        <v>-0.14615337257709726</v>
      </c>
      <c r="W106">
        <f>IF(Pitchers[[#This Row],[IP/GS]]&lt;&gt;0,(Pitchers[[#This Row],[WHIP]]*$AH$5+$AI$5)/9*Pitchers[[#This Row],[IP/GS]],(Pitchers[[#This Row],[WHIP]]*$AH$5+$AI$5)/9*(Pitchers[[#This Row],[IP]]/Pitchers[[#This Row],[G]]))</f>
        <v>2.4026189352071166</v>
      </c>
      <c r="X106">
        <f>Pitchers[[#This Row],[Runs from WHIP]]-AVERAGEIFS(Pitchers[Runs from WHIP],Pitchers[GS],"&gt;"&amp;0,Pitchers[IP],"&gt;"&amp;3)</f>
        <v>-3.2832969709177426</v>
      </c>
      <c r="Y106">
        <f>IF(Pitchers[[#This Row],[IP/GS]]&lt;&gt;0,Pitchers[[#This Row],[ER/IP From Average]]*Pitchers[[#This Row],[IP/GS]],Pitchers[[#This Row],[ER/IP From Average]]*(Pitchers[[#This Row],[IP]]/Pitchers[[#This Row],[G]]))</f>
        <v>-0.801755643851505</v>
      </c>
      <c r="Z106">
        <f t="shared" si="5"/>
        <v>-1.1962481164520002</v>
      </c>
      <c r="AA106" s="32">
        <f>IF(Pitchers[[#This Row],[W]]=0,0,Pitchers[[#This Row],[W]]/(Pitchers[[#This Row],[W]]+Pitchers[[#This Row],[L]]))</f>
        <v>0.5714285714285714</v>
      </c>
      <c r="AB106" s="60"/>
    </row>
    <row r="107" spans="1:28" x14ac:dyDescent="0.25">
      <c r="A107" t="s">
        <v>414</v>
      </c>
      <c r="B107" t="s">
        <v>370</v>
      </c>
      <c r="C107">
        <v>46</v>
      </c>
      <c r="D107">
        <v>16</v>
      </c>
      <c r="E107">
        <v>0</v>
      </c>
      <c r="F107">
        <v>0</v>
      </c>
      <c r="G107">
        <v>114.2</v>
      </c>
      <c r="H107">
        <v>121</v>
      </c>
      <c r="I107">
        <v>60</v>
      </c>
      <c r="J107">
        <v>118</v>
      </c>
      <c r="K107">
        <v>22</v>
      </c>
      <c r="L107">
        <v>22</v>
      </c>
      <c r="M107">
        <v>6</v>
      </c>
      <c r="N107">
        <v>11</v>
      </c>
      <c r="O107">
        <v>0</v>
      </c>
      <c r="P107">
        <v>1</v>
      </c>
      <c r="Q107">
        <v>6</v>
      </c>
      <c r="R107">
        <v>4.71</v>
      </c>
      <c r="S107">
        <v>1.25</v>
      </c>
      <c r="T107">
        <f t="shared" si="3"/>
        <v>7.1375000000000002</v>
      </c>
      <c r="U107">
        <f t="shared" si="4"/>
        <v>0.52539404553415059</v>
      </c>
      <c r="V107" s="60">
        <f>U107-AVERAGEIFS(Pitchers[ER/IP],Pitchers[GS],"&gt;"&amp;0,Pitchers[IP],"&gt;"&amp;3)</f>
        <v>-4.6106549265168884E-2</v>
      </c>
      <c r="W107" s="60">
        <f>IF(Pitchers[[#This Row],[IP/GS]]&lt;&gt;0,(Pitchers[[#This Row],[WHIP]]*$AH$5+$AI$5)/9*Pitchers[[#This Row],[IP/GS]],(Pitchers[[#This Row],[WHIP]]*$AH$5+$AI$5)/9*(Pitchers[[#This Row],[IP]]/Pitchers[[#This Row],[G]]))</f>
        <v>3.2001759785535149</v>
      </c>
      <c r="X107" s="60">
        <f>Pitchers[[#This Row],[Runs from WHIP]]-AVERAGEIFS(Pitchers[Runs from WHIP],Pitchers[GS],"&gt;"&amp;0,Pitchers[IP],"&gt;"&amp;3)</f>
        <v>-2.4857399275713443</v>
      </c>
      <c r="Y107" s="60">
        <f>IF(Pitchers[[#This Row],[IP/GS]]&lt;&gt;0,Pitchers[[#This Row],[ER/IP From Average]]*Pitchers[[#This Row],[IP/GS]],Pitchers[[#This Row],[ER/IP From Average]]*(Pitchers[[#This Row],[IP]]/Pitchers[[#This Row],[G]]))</f>
        <v>-0.32908549538014292</v>
      </c>
      <c r="Z107" s="60">
        <f t="shared" si="5"/>
        <v>-0.79449817883774909</v>
      </c>
      <c r="AA107" s="32">
        <f>IF(Pitchers[[#This Row],[W]]=0,0,Pitchers[[#This Row],[W]]/(Pitchers[[#This Row],[W]]+Pitchers[[#This Row],[L]]))</f>
        <v>0.35294117647058826</v>
      </c>
      <c r="AB107" s="60"/>
    </row>
    <row r="108" spans="1:28" x14ac:dyDescent="0.25">
      <c r="A108" t="s">
        <v>700</v>
      </c>
      <c r="B108" t="s">
        <v>14</v>
      </c>
      <c r="C108">
        <v>25</v>
      </c>
      <c r="D108">
        <v>19</v>
      </c>
      <c r="E108">
        <v>0</v>
      </c>
      <c r="F108">
        <v>0</v>
      </c>
      <c r="G108">
        <v>113.1</v>
      </c>
      <c r="H108">
        <v>117</v>
      </c>
      <c r="I108">
        <v>65</v>
      </c>
      <c r="J108">
        <v>100</v>
      </c>
      <c r="K108">
        <v>53</v>
      </c>
      <c r="L108">
        <v>15</v>
      </c>
      <c r="M108">
        <v>4</v>
      </c>
      <c r="N108">
        <v>6</v>
      </c>
      <c r="O108">
        <v>0</v>
      </c>
      <c r="P108">
        <v>0</v>
      </c>
      <c r="Q108">
        <v>0</v>
      </c>
      <c r="R108">
        <v>5.16</v>
      </c>
      <c r="S108">
        <v>1.5</v>
      </c>
      <c r="T108">
        <f t="shared" si="3"/>
        <v>5.9526315789473685</v>
      </c>
      <c r="U108">
        <f t="shared" si="4"/>
        <v>0.57471264367816099</v>
      </c>
      <c r="V108">
        <f>U108-AVERAGEIFS(Pitchers[ER/IP],Pitchers[GS],"&gt;"&amp;0,Pitchers[IP],"&gt;"&amp;3)</f>
        <v>3.2120488788415225E-3</v>
      </c>
      <c r="W108">
        <f>IF(Pitchers[[#This Row],[IP/GS]]&lt;&gt;0,(Pitchers[[#This Row],[WHIP]]*$AH$5+$AI$5)/9*Pitchers[[#This Row],[IP/GS]],(Pitchers[[#This Row],[WHIP]]*$AH$5+$AI$5)/9*(Pitchers[[#This Row],[IP]]/Pitchers[[#This Row],[G]]))</f>
        <v>3.4415414953075656</v>
      </c>
      <c r="X108">
        <f>Pitchers[[#This Row],[Runs from WHIP]]-AVERAGEIFS(Pitchers[Runs from WHIP],Pitchers[GS],"&gt;"&amp;0,Pitchers[IP],"&gt;"&amp;3)</f>
        <v>-2.2443744108172936</v>
      </c>
      <c r="Y108">
        <f>IF(Pitchers[[#This Row],[IP/GS]]&lt;&gt;0,Pitchers[[#This Row],[ER/IP From Average]]*Pitchers[[#This Row],[IP/GS]],Pitchers[[#This Row],[ER/IP From Average]]*(Pitchers[[#This Row],[IP]]/Pitchers[[#This Row],[G]]))</f>
        <v>1.9120143589314537E-2</v>
      </c>
      <c r="Z108">
        <f t="shared" si="5"/>
        <v>-0.59085178544888572</v>
      </c>
      <c r="AA108" s="32">
        <f>IF(Pitchers[[#This Row],[W]]=0,0,Pitchers[[#This Row],[W]]/(Pitchers[[#This Row],[W]]+Pitchers[[#This Row],[L]]))</f>
        <v>0.4</v>
      </c>
      <c r="AB108" s="60"/>
    </row>
    <row r="109" spans="1:28" x14ac:dyDescent="0.25">
      <c r="A109" t="s">
        <v>1400</v>
      </c>
      <c r="B109" t="s">
        <v>10</v>
      </c>
      <c r="C109">
        <v>19</v>
      </c>
      <c r="D109">
        <v>19</v>
      </c>
      <c r="E109">
        <v>0</v>
      </c>
      <c r="F109">
        <v>0</v>
      </c>
      <c r="G109">
        <v>112.2</v>
      </c>
      <c r="H109">
        <v>115</v>
      </c>
      <c r="I109">
        <v>47</v>
      </c>
      <c r="J109">
        <v>91</v>
      </c>
      <c r="K109">
        <v>39</v>
      </c>
      <c r="L109">
        <v>16</v>
      </c>
      <c r="M109">
        <v>8</v>
      </c>
      <c r="N109">
        <v>8</v>
      </c>
      <c r="O109">
        <v>0</v>
      </c>
      <c r="P109">
        <v>0</v>
      </c>
      <c r="Q109">
        <v>0</v>
      </c>
      <c r="R109">
        <v>3.75</v>
      </c>
      <c r="S109">
        <v>1.37</v>
      </c>
      <c r="T109">
        <f t="shared" si="3"/>
        <v>5.905263157894737</v>
      </c>
      <c r="U109">
        <f t="shared" si="4"/>
        <v>0.41889483065953653</v>
      </c>
      <c r="V109">
        <f>U109-AVERAGEIFS(Pitchers[ER/IP],Pitchers[GS],"&gt;"&amp;0,Pitchers[IP],"&gt;"&amp;3)</f>
        <v>-0.15260576413978294</v>
      </c>
      <c r="W109">
        <f>IF(Pitchers[[#This Row],[IP/GS]]&lt;&gt;0,(Pitchers[[#This Row],[WHIP]]*$AH$5+$AI$5)/9*Pitchers[[#This Row],[IP/GS]],(Pitchers[[#This Row],[WHIP]]*$AH$5+$AI$5)/9*(Pitchers[[#This Row],[IP]]/Pitchers[[#This Row],[G]]))</f>
        <v>3.0155928650289376</v>
      </c>
      <c r="X109">
        <f>Pitchers[[#This Row],[Runs from WHIP]]-AVERAGEIFS(Pitchers[Runs from WHIP],Pitchers[GS],"&gt;"&amp;0,Pitchers[IP],"&gt;"&amp;3)</f>
        <v>-2.6703230410959216</v>
      </c>
      <c r="Y109">
        <f>IF(Pitchers[[#This Row],[IP/GS]]&lt;&gt;0,Pitchers[[#This Row],[ER/IP From Average]]*Pitchers[[#This Row],[IP/GS]],Pitchers[[#This Row],[ER/IP From Average]]*(Pitchers[[#This Row],[IP]]/Pitchers[[#This Row],[G]]))</f>
        <v>-0.901177196657034</v>
      </c>
      <c r="Z109">
        <f t="shared" si="5"/>
        <v>-1.0725570229550594</v>
      </c>
      <c r="AA109" s="32">
        <f>IF(Pitchers[[#This Row],[W]]=0,0,Pitchers[[#This Row],[W]]/(Pitchers[[#This Row],[W]]+Pitchers[[#This Row],[L]]))</f>
        <v>0.5</v>
      </c>
      <c r="AB109" s="60"/>
    </row>
    <row r="110" spans="1:28" x14ac:dyDescent="0.25">
      <c r="A110" t="s">
        <v>383</v>
      </c>
      <c r="B110" t="s">
        <v>18</v>
      </c>
      <c r="C110">
        <v>23</v>
      </c>
      <c r="D110">
        <v>23</v>
      </c>
      <c r="E110">
        <v>0</v>
      </c>
      <c r="F110">
        <v>0</v>
      </c>
      <c r="G110">
        <v>112.2</v>
      </c>
      <c r="H110">
        <v>131</v>
      </c>
      <c r="I110">
        <v>76</v>
      </c>
      <c r="J110">
        <v>99</v>
      </c>
      <c r="K110">
        <v>59</v>
      </c>
      <c r="L110">
        <v>15</v>
      </c>
      <c r="M110">
        <v>3</v>
      </c>
      <c r="N110">
        <v>14</v>
      </c>
      <c r="O110">
        <v>0</v>
      </c>
      <c r="P110">
        <v>0</v>
      </c>
      <c r="Q110">
        <v>0</v>
      </c>
      <c r="R110">
        <v>6.07</v>
      </c>
      <c r="S110">
        <v>1.69</v>
      </c>
      <c r="T110">
        <f t="shared" si="3"/>
        <v>4.8782608695652172</v>
      </c>
      <c r="U110">
        <f t="shared" si="4"/>
        <v>0.67736185383244207</v>
      </c>
      <c r="V110">
        <f>U110-AVERAGEIFS(Pitchers[ER/IP],Pitchers[GS],"&gt;"&amp;0,Pitchers[IP],"&gt;"&amp;3)</f>
        <v>0.1058612590331226</v>
      </c>
      <c r="W110">
        <f>IF(Pitchers[[#This Row],[IP/GS]]&lt;&gt;0,(Pitchers[[#This Row],[WHIP]]*$AH$5+$AI$5)/9*Pitchers[[#This Row],[IP/GS]],(Pitchers[[#This Row],[WHIP]]*$AH$5+$AI$5)/9*(Pitchers[[#This Row],[IP]]/Pitchers[[#This Row],[G]]))</f>
        <v>3.3015964936094195</v>
      </c>
      <c r="X110">
        <f>Pitchers[[#This Row],[Runs from WHIP]]-AVERAGEIFS(Pitchers[Runs from WHIP],Pitchers[GS],"&gt;"&amp;0,Pitchers[IP],"&gt;"&amp;3)</f>
        <v>-2.3843194125154397</v>
      </c>
      <c r="Y110">
        <f>IF(Pitchers[[#This Row],[IP/GS]]&lt;&gt;0,Pitchers[[#This Row],[ER/IP From Average]]*Pitchers[[#This Row],[IP/GS]],Pitchers[[#This Row],[ER/IP From Average]]*(Pitchers[[#This Row],[IP]]/Pitchers[[#This Row],[G]]))</f>
        <v>0.51641883754418938</v>
      </c>
      <c r="Z110">
        <f t="shared" si="5"/>
        <v>-0.42925097498644149</v>
      </c>
      <c r="AA110" s="32">
        <f>IF(Pitchers[[#This Row],[W]]=0,0,Pitchers[[#This Row],[W]]/(Pitchers[[#This Row],[W]]+Pitchers[[#This Row],[L]]))</f>
        <v>0.17647058823529413</v>
      </c>
      <c r="AB110" s="60"/>
    </row>
    <row r="111" spans="1:28" x14ac:dyDescent="0.25">
      <c r="A111" t="s">
        <v>366</v>
      </c>
      <c r="B111" t="s">
        <v>2</v>
      </c>
      <c r="C111">
        <v>23</v>
      </c>
      <c r="D111">
        <v>23</v>
      </c>
      <c r="E111">
        <v>0</v>
      </c>
      <c r="F111">
        <v>0</v>
      </c>
      <c r="G111">
        <v>112</v>
      </c>
      <c r="H111">
        <v>145</v>
      </c>
      <c r="I111">
        <v>86</v>
      </c>
      <c r="J111">
        <v>82</v>
      </c>
      <c r="K111">
        <v>25</v>
      </c>
      <c r="L111">
        <v>19</v>
      </c>
      <c r="M111">
        <v>1</v>
      </c>
      <c r="N111">
        <v>13</v>
      </c>
      <c r="O111">
        <v>0</v>
      </c>
      <c r="P111">
        <v>0</v>
      </c>
      <c r="Q111">
        <v>0</v>
      </c>
      <c r="R111">
        <v>6.91</v>
      </c>
      <c r="S111">
        <v>1.52</v>
      </c>
      <c r="T111">
        <f t="shared" si="3"/>
        <v>4.8695652173913047</v>
      </c>
      <c r="U111">
        <f t="shared" si="4"/>
        <v>0.7678571428571429</v>
      </c>
      <c r="V111" s="60">
        <f>U111-AVERAGEIFS(Pitchers[ER/IP],Pitchers[GS],"&gt;"&amp;0,Pitchers[IP],"&gt;"&amp;3)</f>
        <v>0.19635654805782343</v>
      </c>
      <c r="W111" s="60">
        <f>IF(Pitchers[[#This Row],[IP/GS]]&lt;&gt;0,(Pitchers[[#This Row],[WHIP]]*$AH$5+$AI$5)/9*Pitchers[[#This Row],[IP/GS]],(Pitchers[[#This Row],[WHIP]]*$AH$5+$AI$5)/9*(Pitchers[[#This Row],[IP]]/Pitchers[[#This Row],[G]]))</f>
        <v>2.8659247849138136</v>
      </c>
      <c r="X111" s="60">
        <f>Pitchers[[#This Row],[Runs from WHIP]]-AVERAGEIFS(Pitchers[Runs from WHIP],Pitchers[GS],"&gt;"&amp;0,Pitchers[IP],"&gt;"&amp;3)</f>
        <v>-2.8199911212110456</v>
      </c>
      <c r="Y111" s="60">
        <f>IF(Pitchers[[#This Row],[IP/GS]]&lt;&gt;0,Pitchers[[#This Row],[ER/IP From Average]]*Pitchers[[#This Row],[IP/GS]],Pitchers[[#This Row],[ER/IP From Average]]*(Pitchers[[#This Row],[IP]]/Pitchers[[#This Row],[G]]))</f>
        <v>0.95617101662940107</v>
      </c>
      <c r="Z111" s="60">
        <f t="shared" si="5"/>
        <v>-0.36952922567118501</v>
      </c>
      <c r="AA111" s="32">
        <f>IF(Pitchers[[#This Row],[W]]=0,0,Pitchers[[#This Row],[W]]/(Pitchers[[#This Row],[W]]+Pitchers[[#This Row],[L]]))</f>
        <v>7.1428571428571425E-2</v>
      </c>
      <c r="AB111" s="60"/>
    </row>
    <row r="112" spans="1:28" x14ac:dyDescent="0.25">
      <c r="A112" t="s">
        <v>354</v>
      </c>
      <c r="B112" t="s">
        <v>5</v>
      </c>
      <c r="C112">
        <v>23</v>
      </c>
      <c r="D112">
        <v>20</v>
      </c>
      <c r="E112">
        <v>0</v>
      </c>
      <c r="F112">
        <v>0</v>
      </c>
      <c r="G112">
        <v>112</v>
      </c>
      <c r="H112">
        <v>104</v>
      </c>
      <c r="I112">
        <v>56</v>
      </c>
      <c r="J112">
        <v>103</v>
      </c>
      <c r="K112">
        <v>51</v>
      </c>
      <c r="L112">
        <v>16</v>
      </c>
      <c r="M112">
        <v>3</v>
      </c>
      <c r="N112">
        <v>12</v>
      </c>
      <c r="O112">
        <v>0</v>
      </c>
      <c r="P112">
        <v>0</v>
      </c>
      <c r="Q112">
        <v>1</v>
      </c>
      <c r="R112">
        <v>4.5</v>
      </c>
      <c r="S112">
        <v>1.38</v>
      </c>
      <c r="T112">
        <f t="shared" si="3"/>
        <v>5.6</v>
      </c>
      <c r="U112">
        <f t="shared" si="4"/>
        <v>0.5</v>
      </c>
      <c r="V112">
        <f>U112-AVERAGEIFS(Pitchers[ER/IP],Pitchers[GS],"&gt;"&amp;0,Pitchers[IP],"&gt;"&amp;3)</f>
        <v>-7.1500594799319472E-2</v>
      </c>
      <c r="W112">
        <f>IF(Pitchers[[#This Row],[IP/GS]]&lt;&gt;0,(Pitchers[[#This Row],[WHIP]]*$AH$5+$AI$5)/9*Pitchers[[#This Row],[IP/GS]],(Pitchers[[#This Row],[WHIP]]*$AH$5+$AI$5)/9*(Pitchers[[#This Row],[IP]]/Pitchers[[#This Row],[G]]))</f>
        <v>2.8887803961643099</v>
      </c>
      <c r="X112">
        <f>Pitchers[[#This Row],[Runs from WHIP]]-AVERAGEIFS(Pitchers[Runs from WHIP],Pitchers[GS],"&gt;"&amp;0,Pitchers[IP],"&gt;"&amp;3)</f>
        <v>-2.7971355099605493</v>
      </c>
      <c r="Y112">
        <f>IF(Pitchers[[#This Row],[IP/GS]]&lt;&gt;0,Pitchers[[#This Row],[ER/IP From Average]]*Pitchers[[#This Row],[IP/GS]],Pitchers[[#This Row],[ER/IP From Average]]*(Pitchers[[#This Row],[IP]]/Pitchers[[#This Row],[G]]))</f>
        <v>-0.40040333087618901</v>
      </c>
      <c r="Z112">
        <f t="shared" si="5"/>
        <v>-0.9060641350066222</v>
      </c>
      <c r="AA112" s="32">
        <f>IF(Pitchers[[#This Row],[W]]=0,0,Pitchers[[#This Row],[W]]/(Pitchers[[#This Row],[W]]+Pitchers[[#This Row],[L]]))</f>
        <v>0.2</v>
      </c>
      <c r="AB112" s="60"/>
    </row>
    <row r="113" spans="1:28" x14ac:dyDescent="0.25">
      <c r="A113" t="s">
        <v>1270</v>
      </c>
      <c r="B113" t="s">
        <v>1</v>
      </c>
      <c r="C113">
        <v>23</v>
      </c>
      <c r="D113">
        <v>6</v>
      </c>
      <c r="E113">
        <v>0</v>
      </c>
      <c r="F113">
        <v>0</v>
      </c>
      <c r="G113">
        <v>111.2</v>
      </c>
      <c r="H113">
        <v>102</v>
      </c>
      <c r="I113">
        <v>59</v>
      </c>
      <c r="J113">
        <v>94</v>
      </c>
      <c r="K113">
        <v>23</v>
      </c>
      <c r="L113">
        <v>24</v>
      </c>
      <c r="M113">
        <v>4</v>
      </c>
      <c r="N113">
        <v>10</v>
      </c>
      <c r="O113">
        <v>0</v>
      </c>
      <c r="P113">
        <v>0</v>
      </c>
      <c r="Q113">
        <v>0</v>
      </c>
      <c r="R113">
        <v>4.76</v>
      </c>
      <c r="S113">
        <v>1.1200000000000001</v>
      </c>
      <c r="T113">
        <f t="shared" si="3"/>
        <v>18.533333333333335</v>
      </c>
      <c r="U113">
        <f t="shared" si="4"/>
        <v>0.53057553956834536</v>
      </c>
      <c r="V113">
        <f>U113-AVERAGEIFS(Pitchers[ER/IP],Pitchers[GS],"&gt;"&amp;0,Pitchers[IP],"&gt;"&amp;3)</f>
        <v>-4.0925055230974117E-2</v>
      </c>
      <c r="W113">
        <f>IF(Pitchers[[#This Row],[IP/GS]]&lt;&gt;0,(Pitchers[[#This Row],[WHIP]]*$AH$5+$AI$5)/9*Pitchers[[#This Row],[IP/GS]],(Pitchers[[#This Row],[WHIP]]*$AH$5+$AI$5)/9*(Pitchers[[#This Row],[IP]]/Pitchers[[#This Row],[G]]))</f>
        <v>7.0587568096824231</v>
      </c>
      <c r="X113">
        <f>Pitchers[[#This Row],[Runs from WHIP]]-AVERAGEIFS(Pitchers[Runs from WHIP],Pitchers[GS],"&gt;"&amp;0,Pitchers[IP],"&gt;"&amp;3)</f>
        <v>1.3728409035575639</v>
      </c>
      <c r="Y113">
        <f>IF(Pitchers[[#This Row],[IP/GS]]&lt;&gt;0,Pitchers[[#This Row],[ER/IP From Average]]*Pitchers[[#This Row],[IP/GS]],Pitchers[[#This Row],[ER/IP From Average]]*(Pitchers[[#This Row],[IP]]/Pitchers[[#This Row],[G]]))</f>
        <v>-0.75847769028072032</v>
      </c>
      <c r="Z113">
        <f t="shared" si="5"/>
        <v>6.2699831503062284E-2</v>
      </c>
      <c r="AA113" s="32">
        <f>IF(Pitchers[[#This Row],[W]]=0,0,Pitchers[[#This Row],[W]]/(Pitchers[[#This Row],[W]]+Pitchers[[#This Row],[L]]))</f>
        <v>0.2857142857142857</v>
      </c>
      <c r="AB113" s="60"/>
    </row>
    <row r="114" spans="1:28" x14ac:dyDescent="0.25">
      <c r="A114" t="s">
        <v>271</v>
      </c>
      <c r="B114" t="s">
        <v>5</v>
      </c>
      <c r="C114">
        <v>21</v>
      </c>
      <c r="D114">
        <v>21</v>
      </c>
      <c r="E114">
        <v>0</v>
      </c>
      <c r="F114">
        <v>0</v>
      </c>
      <c r="G114">
        <v>111.1</v>
      </c>
      <c r="H114">
        <v>111</v>
      </c>
      <c r="I114">
        <v>63</v>
      </c>
      <c r="J114">
        <v>95</v>
      </c>
      <c r="K114">
        <v>27</v>
      </c>
      <c r="L114">
        <v>15</v>
      </c>
      <c r="M114">
        <v>5</v>
      </c>
      <c r="N114">
        <v>8</v>
      </c>
      <c r="O114">
        <v>0</v>
      </c>
      <c r="P114">
        <v>0</v>
      </c>
      <c r="Q114">
        <v>0</v>
      </c>
      <c r="R114">
        <v>5.09</v>
      </c>
      <c r="S114">
        <v>1.24</v>
      </c>
      <c r="T114">
        <f t="shared" si="3"/>
        <v>5.2904761904761903</v>
      </c>
      <c r="U114">
        <f t="shared" si="4"/>
        <v>0.5670567056705671</v>
      </c>
      <c r="V114">
        <f>U114-AVERAGEIFS(Pitchers[ER/IP],Pitchers[GS],"&gt;"&amp;0,Pitchers[IP],"&gt;"&amp;3)</f>
        <v>-4.4438891287523763E-3</v>
      </c>
      <c r="W114">
        <f>IF(Pitchers[[#This Row],[IP/GS]]&lt;&gt;0,(Pitchers[[#This Row],[WHIP]]*$AH$5+$AI$5)/9*Pitchers[[#This Row],[IP/GS]],(Pitchers[[#This Row],[WHIP]]*$AH$5+$AI$5)/9*(Pitchers[[#This Row],[IP]]/Pitchers[[#This Row],[G]]))</f>
        <v>2.344575883360513</v>
      </c>
      <c r="X114">
        <f>Pitchers[[#This Row],[Runs from WHIP]]-AVERAGEIFS(Pitchers[Runs from WHIP],Pitchers[GS],"&gt;"&amp;0,Pitchers[IP],"&gt;"&amp;3)</f>
        <v>-3.3413400227643462</v>
      </c>
      <c r="Y114">
        <f>IF(Pitchers[[#This Row],[IP/GS]]&lt;&gt;0,Pitchers[[#This Row],[ER/IP From Average]]*Pitchers[[#This Row],[IP/GS]],Pitchers[[#This Row],[ER/IP From Average]]*(Pitchers[[#This Row],[IP]]/Pitchers[[#This Row],[G]]))</f>
        <v>-2.3510289628780427E-2</v>
      </c>
      <c r="Z114">
        <f t="shared" si="5"/>
        <v>-0.90042812192200439</v>
      </c>
      <c r="AA114" s="32">
        <f>IF(Pitchers[[#This Row],[W]]=0,0,Pitchers[[#This Row],[W]]/(Pitchers[[#This Row],[W]]+Pitchers[[#This Row],[L]]))</f>
        <v>0.38461538461538464</v>
      </c>
      <c r="AB114" s="60"/>
    </row>
    <row r="115" spans="1:28" x14ac:dyDescent="0.25">
      <c r="A115" t="s">
        <v>717</v>
      </c>
      <c r="B115" t="s">
        <v>6</v>
      </c>
      <c r="C115">
        <v>35</v>
      </c>
      <c r="D115">
        <v>18</v>
      </c>
      <c r="E115">
        <v>0</v>
      </c>
      <c r="F115">
        <v>0</v>
      </c>
      <c r="G115">
        <v>111.1</v>
      </c>
      <c r="H115">
        <v>101</v>
      </c>
      <c r="I115">
        <v>46</v>
      </c>
      <c r="J115">
        <v>117</v>
      </c>
      <c r="K115">
        <v>37</v>
      </c>
      <c r="L115">
        <v>14</v>
      </c>
      <c r="M115">
        <v>6</v>
      </c>
      <c r="N115">
        <v>7</v>
      </c>
      <c r="O115">
        <v>0</v>
      </c>
      <c r="P115">
        <v>0</v>
      </c>
      <c r="Q115">
        <v>1</v>
      </c>
      <c r="R115">
        <v>3.72</v>
      </c>
      <c r="S115">
        <v>1.24</v>
      </c>
      <c r="T115">
        <f t="shared" si="3"/>
        <v>6.1722222222222216</v>
      </c>
      <c r="U115">
        <f t="shared" si="4"/>
        <v>0.41404140414041407</v>
      </c>
      <c r="V115" s="60">
        <f>U115-AVERAGEIFS(Pitchers[ER/IP],Pitchers[GS],"&gt;"&amp;0,Pitchers[IP],"&gt;"&amp;3)</f>
        <v>-0.1574591906589054</v>
      </c>
      <c r="W115" s="60">
        <f>IF(Pitchers[[#This Row],[IP/GS]]&lt;&gt;0,(Pitchers[[#This Row],[WHIP]]*$AH$5+$AI$5)/9*Pitchers[[#This Row],[IP/GS]],(Pitchers[[#This Row],[WHIP]]*$AH$5+$AI$5)/9*(Pitchers[[#This Row],[IP]]/Pitchers[[#This Row],[G]]))</f>
        <v>2.7353385305872648</v>
      </c>
      <c r="X115" s="60">
        <f>Pitchers[[#This Row],[Runs from WHIP]]-AVERAGEIFS(Pitchers[Runs from WHIP],Pitchers[GS],"&gt;"&amp;0,Pitchers[IP],"&gt;"&amp;3)</f>
        <v>-2.9505773755375944</v>
      </c>
      <c r="Y115" s="60">
        <f>IF(Pitchers[[#This Row],[IP/GS]]&lt;&gt;0,Pitchers[[#This Row],[ER/IP From Average]]*Pitchers[[#This Row],[IP/GS]],Pitchers[[#This Row],[ER/IP From Average]]*(Pitchers[[#This Row],[IP]]/Pitchers[[#This Row],[G]]))</f>
        <v>-0.97187311567802159</v>
      </c>
      <c r="Z115" s="60">
        <f t="shared" si="5"/>
        <v>-1.1755698797479004</v>
      </c>
      <c r="AA115" s="32">
        <f>IF(Pitchers[[#This Row],[W]]=0,0,Pitchers[[#This Row],[W]]/(Pitchers[[#This Row],[W]]+Pitchers[[#This Row],[L]]))</f>
        <v>0.46153846153846156</v>
      </c>
      <c r="AB115" s="60"/>
    </row>
    <row r="116" spans="1:28" x14ac:dyDescent="0.25">
      <c r="A116" t="s">
        <v>766</v>
      </c>
      <c r="B116" t="s">
        <v>8</v>
      </c>
      <c r="C116">
        <v>36</v>
      </c>
      <c r="D116">
        <v>13</v>
      </c>
      <c r="E116">
        <v>0</v>
      </c>
      <c r="F116">
        <v>0</v>
      </c>
      <c r="G116">
        <v>110.2</v>
      </c>
      <c r="H116">
        <v>126</v>
      </c>
      <c r="I116">
        <v>69</v>
      </c>
      <c r="J116">
        <v>67</v>
      </c>
      <c r="K116">
        <v>26</v>
      </c>
      <c r="L116">
        <v>29</v>
      </c>
      <c r="M116">
        <v>1</v>
      </c>
      <c r="N116">
        <v>10</v>
      </c>
      <c r="O116">
        <v>0</v>
      </c>
      <c r="P116">
        <v>0</v>
      </c>
      <c r="Q116">
        <v>0</v>
      </c>
      <c r="R116">
        <v>5.61</v>
      </c>
      <c r="S116">
        <v>1.37</v>
      </c>
      <c r="T116">
        <f t="shared" si="3"/>
        <v>8.476923076923077</v>
      </c>
      <c r="U116">
        <f t="shared" si="4"/>
        <v>0.62613430127041736</v>
      </c>
      <c r="V116">
        <f>U116-AVERAGEIFS(Pitchers[ER/IP],Pitchers[GS],"&gt;"&amp;0,Pitchers[IP],"&gt;"&amp;3)</f>
        <v>5.4633706471097887E-2</v>
      </c>
      <c r="W116">
        <f>IF(Pitchers[[#This Row],[IP/GS]]&lt;&gt;0,(Pitchers[[#This Row],[WHIP]]*$AH$5+$AI$5)/9*Pitchers[[#This Row],[IP/GS]],(Pitchers[[#This Row],[WHIP]]*$AH$5+$AI$5)/9*(Pitchers[[#This Row],[IP]]/Pitchers[[#This Row],[G]]))</f>
        <v>4.3288415883707589</v>
      </c>
      <c r="X116">
        <f>Pitchers[[#This Row],[Runs from WHIP]]-AVERAGEIFS(Pitchers[Runs from WHIP],Pitchers[GS],"&gt;"&amp;0,Pitchers[IP],"&gt;"&amp;3)</f>
        <v>-1.3570743177541003</v>
      </c>
      <c r="Y116">
        <f>IF(Pitchers[[#This Row],[IP/GS]]&lt;&gt;0,Pitchers[[#This Row],[ER/IP From Average]]*Pitchers[[#This Row],[IP/GS]],Pitchers[[#This Row],[ER/IP From Average]]*(Pitchers[[#This Row],[IP]]/Pitchers[[#This Row],[G]]))</f>
        <v>0.46312572716269135</v>
      </c>
      <c r="Z116">
        <f t="shared" si="5"/>
        <v>-0.17663619386935023</v>
      </c>
      <c r="AA116" s="32">
        <f>IF(Pitchers[[#This Row],[W]]=0,0,Pitchers[[#This Row],[W]]/(Pitchers[[#This Row],[W]]+Pitchers[[#This Row],[L]]))</f>
        <v>9.0909090909090912E-2</v>
      </c>
      <c r="AB116" s="60"/>
    </row>
    <row r="117" spans="1:28" x14ac:dyDescent="0.25">
      <c r="A117" t="s">
        <v>419</v>
      </c>
      <c r="B117" t="s">
        <v>12</v>
      </c>
      <c r="C117">
        <v>21</v>
      </c>
      <c r="D117">
        <v>21</v>
      </c>
      <c r="E117">
        <v>0</v>
      </c>
      <c r="F117">
        <v>0</v>
      </c>
      <c r="G117">
        <v>110.1</v>
      </c>
      <c r="H117">
        <v>119</v>
      </c>
      <c r="I117">
        <v>52</v>
      </c>
      <c r="J117">
        <v>108</v>
      </c>
      <c r="K117">
        <v>38</v>
      </c>
      <c r="L117">
        <v>14</v>
      </c>
      <c r="M117">
        <v>6</v>
      </c>
      <c r="N117">
        <v>7</v>
      </c>
      <c r="O117">
        <v>0</v>
      </c>
      <c r="P117">
        <v>0</v>
      </c>
      <c r="Q117">
        <v>0</v>
      </c>
      <c r="R117">
        <v>4.24</v>
      </c>
      <c r="S117">
        <v>1.42</v>
      </c>
      <c r="T117">
        <f t="shared" si="3"/>
        <v>5.2428571428571429</v>
      </c>
      <c r="U117">
        <f t="shared" si="4"/>
        <v>0.47229791099000912</v>
      </c>
      <c r="V117">
        <f>U117-AVERAGEIFS(Pitchers[ER/IP],Pitchers[GS],"&gt;"&amp;0,Pitchers[IP],"&gt;"&amp;3)</f>
        <v>-9.9202683809310355E-2</v>
      </c>
      <c r="W117">
        <f>IF(Pitchers[[#This Row],[IP/GS]]&lt;&gt;0,(Pitchers[[#This Row],[WHIP]]*$AH$5+$AI$5)/9*Pitchers[[#This Row],[IP/GS]],(Pitchers[[#This Row],[WHIP]]*$AH$5+$AI$5)/9*(Pitchers[[#This Row],[IP]]/Pitchers[[#This Row],[G]]))</f>
        <v>2.8134253418029367</v>
      </c>
      <c r="X117">
        <f>Pitchers[[#This Row],[Runs from WHIP]]-AVERAGEIFS(Pitchers[Runs from WHIP],Pitchers[GS],"&gt;"&amp;0,Pitchers[IP],"&gt;"&amp;3)</f>
        <v>-2.8724905643219225</v>
      </c>
      <c r="Y117">
        <f>IF(Pitchers[[#This Row],[IP/GS]]&lt;&gt;0,Pitchers[[#This Row],[ER/IP From Average]]*Pitchers[[#This Row],[IP/GS]],Pitchers[[#This Row],[ER/IP From Average]]*(Pitchers[[#This Row],[IP]]/Pitchers[[#This Row],[G]]))</f>
        <v>-0.52010549940024142</v>
      </c>
      <c r="Z117">
        <f t="shared" si="5"/>
        <v>-0.97403968357927584</v>
      </c>
      <c r="AA117" s="32">
        <f>IF(Pitchers[[#This Row],[W]]=0,0,Pitchers[[#This Row],[W]]/(Pitchers[[#This Row],[W]]+Pitchers[[#This Row],[L]]))</f>
        <v>0.46153846153846156</v>
      </c>
      <c r="AB117" s="60"/>
    </row>
    <row r="118" spans="1:28" x14ac:dyDescent="0.25">
      <c r="A118" t="s">
        <v>1272</v>
      </c>
      <c r="B118" t="s">
        <v>3</v>
      </c>
      <c r="C118">
        <v>21</v>
      </c>
      <c r="D118">
        <v>20</v>
      </c>
      <c r="E118">
        <v>0</v>
      </c>
      <c r="F118">
        <v>0</v>
      </c>
      <c r="G118">
        <v>109.1</v>
      </c>
      <c r="H118">
        <v>115</v>
      </c>
      <c r="I118">
        <v>59</v>
      </c>
      <c r="J118">
        <v>78</v>
      </c>
      <c r="K118">
        <v>26</v>
      </c>
      <c r="L118">
        <v>22</v>
      </c>
      <c r="M118">
        <v>7</v>
      </c>
      <c r="N118">
        <v>5</v>
      </c>
      <c r="O118">
        <v>0</v>
      </c>
      <c r="P118">
        <v>0</v>
      </c>
      <c r="Q118">
        <v>0</v>
      </c>
      <c r="R118">
        <v>4.8600000000000003</v>
      </c>
      <c r="S118">
        <v>1.29</v>
      </c>
      <c r="T118">
        <f t="shared" si="3"/>
        <v>5.4550000000000001</v>
      </c>
      <c r="U118">
        <f t="shared" si="4"/>
        <v>0.54078826764436305</v>
      </c>
      <c r="V118">
        <f>U118-AVERAGEIFS(Pitchers[ER/IP],Pitchers[GS],"&gt;"&amp;0,Pitchers[IP],"&gt;"&amp;3)</f>
        <v>-3.071232715495642E-2</v>
      </c>
      <c r="W118">
        <f>IF(Pitchers[[#This Row],[IP/GS]]&lt;&gt;0,(Pitchers[[#This Row],[WHIP]]*$AH$5+$AI$5)/9*Pitchers[[#This Row],[IP/GS]],(Pitchers[[#This Row],[WHIP]]*$AH$5+$AI$5)/9*(Pitchers[[#This Row],[IP]]/Pitchers[[#This Row],[G]]))</f>
        <v>2.5590927103585455</v>
      </c>
      <c r="X118">
        <f>Pitchers[[#This Row],[Runs from WHIP]]-AVERAGEIFS(Pitchers[Runs from WHIP],Pitchers[GS],"&gt;"&amp;0,Pitchers[IP],"&gt;"&amp;3)</f>
        <v>-3.1268231957663137</v>
      </c>
      <c r="Y118">
        <f>IF(Pitchers[[#This Row],[IP/GS]]&lt;&gt;0,Pitchers[[#This Row],[ER/IP From Average]]*Pitchers[[#This Row],[IP/GS]],Pitchers[[#This Row],[ER/IP From Average]]*(Pitchers[[#This Row],[IP]]/Pitchers[[#This Row],[G]]))</f>
        <v>-0.16753574463028728</v>
      </c>
      <c r="Z118">
        <f t="shared" si="5"/>
        <v>-0.9008338167231319</v>
      </c>
      <c r="AA118" s="32">
        <f>IF(Pitchers[[#This Row],[W]]=0,0,Pitchers[[#This Row],[W]]/(Pitchers[[#This Row],[W]]+Pitchers[[#This Row],[L]]))</f>
        <v>0.58333333333333337</v>
      </c>
      <c r="AB118" s="60"/>
    </row>
    <row r="119" spans="1:28" x14ac:dyDescent="0.25">
      <c r="A119" t="s">
        <v>395</v>
      </c>
      <c r="B119" t="s">
        <v>9</v>
      </c>
      <c r="C119">
        <v>22</v>
      </c>
      <c r="D119">
        <v>22</v>
      </c>
      <c r="E119">
        <v>0</v>
      </c>
      <c r="F119">
        <v>0</v>
      </c>
      <c r="G119">
        <v>107.1</v>
      </c>
      <c r="H119">
        <v>109</v>
      </c>
      <c r="I119">
        <v>51</v>
      </c>
      <c r="J119">
        <v>128</v>
      </c>
      <c r="K119">
        <v>32</v>
      </c>
      <c r="L119">
        <v>15</v>
      </c>
      <c r="M119">
        <v>7</v>
      </c>
      <c r="N119">
        <v>5</v>
      </c>
      <c r="O119">
        <v>0</v>
      </c>
      <c r="P119">
        <v>0</v>
      </c>
      <c r="Q119">
        <v>0</v>
      </c>
      <c r="R119">
        <v>4.28</v>
      </c>
      <c r="S119">
        <v>1.31</v>
      </c>
      <c r="T119">
        <f t="shared" si="3"/>
        <v>4.8681818181818182</v>
      </c>
      <c r="U119">
        <f t="shared" si="4"/>
        <v>0.47619047619047622</v>
      </c>
      <c r="V119">
        <f>U119-AVERAGEIFS(Pitchers[ER/IP],Pitchers[GS],"&gt;"&amp;0,Pitchers[IP],"&gt;"&amp;3)</f>
        <v>-9.5310118608843253E-2</v>
      </c>
      <c r="W119">
        <f>IF(Pitchers[[#This Row],[IP/GS]]&lt;&gt;0,(Pitchers[[#This Row],[WHIP]]*$AH$5+$AI$5)/9*Pitchers[[#This Row],[IP/GS]],(Pitchers[[#This Row],[WHIP]]*$AH$5+$AI$5)/9*(Pitchers[[#This Row],[IP]]/Pitchers[[#This Row],[G]]))</f>
        <v>2.3343486816302073</v>
      </c>
      <c r="X119">
        <f>Pitchers[[#This Row],[Runs from WHIP]]-AVERAGEIFS(Pitchers[Runs from WHIP],Pitchers[GS],"&gt;"&amp;0,Pitchers[IP],"&gt;"&amp;3)</f>
        <v>-3.3515672244946519</v>
      </c>
      <c r="Y119">
        <f>IF(Pitchers[[#This Row],[IP/GS]]&lt;&gt;0,Pitchers[[#This Row],[ER/IP From Average]]*Pitchers[[#This Row],[IP/GS]],Pitchers[[#This Row],[ER/IP From Average]]*(Pitchers[[#This Row],[IP]]/Pitchers[[#This Row],[G]]))</f>
        <v>-0.46398698650032327</v>
      </c>
      <c r="Z119">
        <f t="shared" si="5"/>
        <v>-1.0793460544653699</v>
      </c>
      <c r="AA119" s="32">
        <f>IF(Pitchers[[#This Row],[W]]=0,0,Pitchers[[#This Row],[W]]/(Pitchers[[#This Row],[W]]+Pitchers[[#This Row],[L]]))</f>
        <v>0.58333333333333337</v>
      </c>
      <c r="AB119" s="60"/>
    </row>
    <row r="120" spans="1:28" x14ac:dyDescent="0.25">
      <c r="A120" t="s">
        <v>265</v>
      </c>
      <c r="B120" t="s">
        <v>28</v>
      </c>
      <c r="C120">
        <v>23</v>
      </c>
      <c r="D120">
        <v>22</v>
      </c>
      <c r="E120">
        <v>0</v>
      </c>
      <c r="F120">
        <v>0</v>
      </c>
      <c r="G120">
        <v>107.1</v>
      </c>
      <c r="H120">
        <v>112</v>
      </c>
      <c r="I120">
        <v>59</v>
      </c>
      <c r="J120">
        <v>107</v>
      </c>
      <c r="K120">
        <v>39</v>
      </c>
      <c r="L120">
        <v>27</v>
      </c>
      <c r="M120">
        <v>5</v>
      </c>
      <c r="N120">
        <v>8</v>
      </c>
      <c r="O120">
        <v>0</v>
      </c>
      <c r="P120">
        <v>0</v>
      </c>
      <c r="Q120">
        <v>0</v>
      </c>
      <c r="R120">
        <v>4.95</v>
      </c>
      <c r="S120">
        <v>1.41</v>
      </c>
      <c r="T120">
        <f t="shared" si="3"/>
        <v>4.8681818181818182</v>
      </c>
      <c r="U120">
        <f t="shared" si="4"/>
        <v>0.55088702147525681</v>
      </c>
      <c r="V120">
        <f>U120-AVERAGEIFS(Pitchers[ER/IP],Pitchers[GS],"&gt;"&amp;0,Pitchers[IP],"&gt;"&amp;3)</f>
        <v>-2.0613573324062662E-2</v>
      </c>
      <c r="W120">
        <f>IF(Pitchers[[#This Row],[IP/GS]]&lt;&gt;0,(Pitchers[[#This Row],[WHIP]]*$AH$5+$AI$5)/9*Pitchers[[#This Row],[IP/GS]],(Pitchers[[#This Row],[WHIP]]*$AH$5+$AI$5)/9*(Pitchers[[#This Row],[IP]]/Pitchers[[#This Row],[G]]))</f>
        <v>2.5870924531092898</v>
      </c>
      <c r="X120">
        <f>Pitchers[[#This Row],[Runs from WHIP]]-AVERAGEIFS(Pitchers[Runs from WHIP],Pitchers[GS],"&gt;"&amp;0,Pitchers[IP],"&gt;"&amp;3)</f>
        <v>-3.0988234530155694</v>
      </c>
      <c r="Y120">
        <f>IF(Pitchers[[#This Row],[IP/GS]]&lt;&gt;0,Pitchers[[#This Row],[ER/IP From Average]]*Pitchers[[#This Row],[IP/GS]],Pitchers[[#This Row],[ER/IP From Average]]*(Pitchers[[#This Row],[IP]]/Pitchers[[#This Row],[G]]))</f>
        <v>-0.1003506228639596</v>
      </c>
      <c r="Z120">
        <f t="shared" si="5"/>
        <v>-0.86649316994973546</v>
      </c>
      <c r="AA120" s="32">
        <f>IF(Pitchers[[#This Row],[W]]=0,0,Pitchers[[#This Row],[W]]/(Pitchers[[#This Row],[W]]+Pitchers[[#This Row],[L]]))</f>
        <v>0.38461538461538464</v>
      </c>
      <c r="AB120" s="60"/>
    </row>
    <row r="121" spans="1:28" x14ac:dyDescent="0.25">
      <c r="A121" t="s">
        <v>388</v>
      </c>
      <c r="B121" t="s">
        <v>218</v>
      </c>
      <c r="C121">
        <v>23</v>
      </c>
      <c r="D121">
        <v>23</v>
      </c>
      <c r="E121">
        <v>0</v>
      </c>
      <c r="F121">
        <v>0</v>
      </c>
      <c r="G121">
        <v>107</v>
      </c>
      <c r="H121">
        <v>96</v>
      </c>
      <c r="I121">
        <v>51</v>
      </c>
      <c r="J121">
        <v>147</v>
      </c>
      <c r="K121">
        <v>40</v>
      </c>
      <c r="L121">
        <v>14</v>
      </c>
      <c r="M121">
        <v>6</v>
      </c>
      <c r="N121">
        <v>8</v>
      </c>
      <c r="O121">
        <v>0</v>
      </c>
      <c r="P121">
        <v>0</v>
      </c>
      <c r="Q121">
        <v>0</v>
      </c>
      <c r="R121">
        <v>4.29</v>
      </c>
      <c r="S121">
        <v>1.27</v>
      </c>
      <c r="T121">
        <f t="shared" si="3"/>
        <v>4.6521739130434785</v>
      </c>
      <c r="U121">
        <f t="shared" si="4"/>
        <v>0.47663551401869159</v>
      </c>
      <c r="V121">
        <f>U121-AVERAGEIFS(Pitchers[ER/IP],Pitchers[GS],"&gt;"&amp;0,Pitchers[IP],"&gt;"&amp;3)</f>
        <v>-9.4865080780627886E-2</v>
      </c>
      <c r="W121">
        <f>IF(Pitchers[[#This Row],[IP/GS]]&lt;&gt;0,(Pitchers[[#This Row],[WHIP]]*$AH$5+$AI$5)/9*Pitchers[[#This Row],[IP/GS]],(Pitchers[[#This Row],[WHIP]]*$AH$5+$AI$5)/9*(Pitchers[[#This Row],[IP]]/Pitchers[[#This Row],[G]]))</f>
        <v>2.1341587550573635</v>
      </c>
      <c r="X121">
        <f>Pitchers[[#This Row],[Runs from WHIP]]-AVERAGEIFS(Pitchers[Runs from WHIP],Pitchers[GS],"&gt;"&amp;0,Pitchers[IP],"&gt;"&amp;3)</f>
        <v>-3.5517571510674957</v>
      </c>
      <c r="Y121">
        <f>IF(Pitchers[[#This Row],[IP/GS]]&lt;&gt;0,Pitchers[[#This Row],[ER/IP From Average]]*Pitchers[[#This Row],[IP/GS]],Pitchers[[#This Row],[ER/IP From Average]]*(Pitchers[[#This Row],[IP]]/Pitchers[[#This Row],[G]]))</f>
        <v>-0.44132885406639932</v>
      </c>
      <c r="Z121">
        <f t="shared" si="5"/>
        <v>-1.1236667819112252</v>
      </c>
      <c r="AA121" s="32">
        <f>IF(Pitchers[[#This Row],[W]]=0,0,Pitchers[[#This Row],[W]]/(Pitchers[[#This Row],[W]]+Pitchers[[#This Row],[L]]))</f>
        <v>0.42857142857142855</v>
      </c>
      <c r="AB121" s="60"/>
    </row>
    <row r="122" spans="1:28" x14ac:dyDescent="0.25">
      <c r="A122" t="s">
        <v>451</v>
      </c>
      <c r="B122" t="s">
        <v>218</v>
      </c>
      <c r="C122">
        <v>33</v>
      </c>
      <c r="D122">
        <v>3</v>
      </c>
      <c r="E122">
        <v>0</v>
      </c>
      <c r="F122">
        <v>0</v>
      </c>
      <c r="G122">
        <v>104.1</v>
      </c>
      <c r="H122">
        <v>115</v>
      </c>
      <c r="I122">
        <v>50</v>
      </c>
      <c r="J122">
        <v>89</v>
      </c>
      <c r="K122">
        <v>40</v>
      </c>
      <c r="L122">
        <v>12</v>
      </c>
      <c r="M122">
        <v>6</v>
      </c>
      <c r="N122">
        <v>3</v>
      </c>
      <c r="O122">
        <v>1</v>
      </c>
      <c r="P122">
        <v>0</v>
      </c>
      <c r="Q122">
        <v>2</v>
      </c>
      <c r="R122">
        <v>4.3099999999999996</v>
      </c>
      <c r="S122">
        <v>1.49</v>
      </c>
      <c r="T122">
        <f t="shared" si="3"/>
        <v>34.699999999999996</v>
      </c>
      <c r="U122">
        <f t="shared" si="4"/>
        <v>0.48030739673390971</v>
      </c>
      <c r="V122">
        <f>U122-AVERAGEIFS(Pitchers[ER/IP],Pitchers[GS],"&gt;"&amp;0,Pitchers[IP],"&gt;"&amp;3)</f>
        <v>-9.1193198065409764E-2</v>
      </c>
      <c r="W122">
        <f>IF(Pitchers[[#This Row],[IP/GS]]&lt;&gt;0,(Pitchers[[#This Row],[WHIP]]*$AH$5+$AI$5)/9*Pitchers[[#This Row],[IP/GS]],(Pitchers[[#This Row],[WHIP]]*$AH$5+$AI$5)/9*(Pitchers[[#This Row],[IP]]/Pitchers[[#This Row],[G]]))</f>
        <v>19.88181190309372</v>
      </c>
      <c r="X122">
        <f>Pitchers[[#This Row],[Runs from WHIP]]-AVERAGEIFS(Pitchers[Runs from WHIP],Pitchers[GS],"&gt;"&amp;0,Pitchers[IP],"&gt;"&amp;3)</f>
        <v>14.195895996968861</v>
      </c>
      <c r="Y122">
        <f>IF(Pitchers[[#This Row],[IP/GS]]&lt;&gt;0,Pitchers[[#This Row],[ER/IP From Average]]*Pitchers[[#This Row],[IP/GS]],Pitchers[[#This Row],[ER/IP From Average]]*(Pitchers[[#This Row],[IP]]/Pitchers[[#This Row],[G]]))</f>
        <v>-3.1644039728697186</v>
      </c>
      <c r="Z122">
        <f t="shared" si="5"/>
        <v>2.5198106767104762</v>
      </c>
      <c r="AA122" s="32">
        <f>IF(Pitchers[[#This Row],[W]]=0,0,Pitchers[[#This Row],[W]]/(Pitchers[[#This Row],[W]]+Pitchers[[#This Row],[L]]))</f>
        <v>0.66666666666666663</v>
      </c>
      <c r="AB122" s="60"/>
    </row>
    <row r="123" spans="1:28" x14ac:dyDescent="0.25">
      <c r="A123" t="s">
        <v>363</v>
      </c>
      <c r="B123" t="s">
        <v>11</v>
      </c>
      <c r="C123">
        <v>22</v>
      </c>
      <c r="D123">
        <v>22</v>
      </c>
      <c r="E123">
        <v>0</v>
      </c>
      <c r="F123">
        <v>0</v>
      </c>
      <c r="G123">
        <v>104.1</v>
      </c>
      <c r="H123">
        <v>126</v>
      </c>
      <c r="I123">
        <v>78</v>
      </c>
      <c r="J123">
        <v>79</v>
      </c>
      <c r="K123">
        <v>39</v>
      </c>
      <c r="L123">
        <v>25</v>
      </c>
      <c r="M123">
        <v>3</v>
      </c>
      <c r="N123">
        <v>11</v>
      </c>
      <c r="O123">
        <v>0</v>
      </c>
      <c r="P123">
        <v>0</v>
      </c>
      <c r="Q123">
        <v>0</v>
      </c>
      <c r="R123">
        <v>6.73</v>
      </c>
      <c r="S123">
        <v>1.58</v>
      </c>
      <c r="T123">
        <f t="shared" si="3"/>
        <v>4.7318181818181815</v>
      </c>
      <c r="U123">
        <f t="shared" si="4"/>
        <v>0.74927953890489918</v>
      </c>
      <c r="V123">
        <f>U123-AVERAGEIFS(Pitchers[ER/IP],Pitchers[GS],"&gt;"&amp;0,Pitchers[IP],"&gt;"&amp;3)</f>
        <v>0.17777894410557971</v>
      </c>
      <c r="W123">
        <f>IF(Pitchers[[#This Row],[IP/GS]]&lt;&gt;0,(Pitchers[[#This Row],[WHIP]]*$AH$5+$AI$5)/9*Pitchers[[#This Row],[IP/GS]],(Pitchers[[#This Row],[WHIP]]*$AH$5+$AI$5)/9*(Pitchers[[#This Row],[IP]]/Pitchers[[#This Row],[G]]))</f>
        <v>2.9322538712169037</v>
      </c>
      <c r="X123">
        <f>Pitchers[[#This Row],[Runs from WHIP]]-AVERAGEIFS(Pitchers[Runs from WHIP],Pitchers[GS],"&gt;"&amp;0,Pitchers[IP],"&gt;"&amp;3)</f>
        <v>-2.7536620349079555</v>
      </c>
      <c r="Y123">
        <f>IF(Pitchers[[#This Row],[IP/GS]]&lt;&gt;0,Pitchers[[#This Row],[ER/IP From Average]]*Pitchers[[#This Row],[IP/GS]],Pitchers[[#This Row],[ER/IP From Average]]*(Pitchers[[#This Row],[IP]]/Pitchers[[#This Row],[G]]))</f>
        <v>0.84121764006322031</v>
      </c>
      <c r="Z123">
        <f t="shared" si="5"/>
        <v>-0.39782281995016655</v>
      </c>
      <c r="AA123" s="32">
        <f>IF(Pitchers[[#This Row],[W]]=0,0,Pitchers[[#This Row],[W]]/(Pitchers[[#This Row],[W]]+Pitchers[[#This Row],[L]]))</f>
        <v>0.21428571428571427</v>
      </c>
      <c r="AB123" s="60"/>
    </row>
    <row r="124" spans="1:28" x14ac:dyDescent="0.25">
      <c r="A124" t="s">
        <v>1160</v>
      </c>
      <c r="B124" t="s">
        <v>370</v>
      </c>
      <c r="C124">
        <v>23</v>
      </c>
      <c r="D124">
        <v>18</v>
      </c>
      <c r="E124">
        <v>0</v>
      </c>
      <c r="F124">
        <v>0</v>
      </c>
      <c r="G124">
        <v>103</v>
      </c>
      <c r="H124">
        <v>106</v>
      </c>
      <c r="I124">
        <v>59</v>
      </c>
      <c r="J124">
        <v>89</v>
      </c>
      <c r="K124">
        <v>28</v>
      </c>
      <c r="L124">
        <v>15</v>
      </c>
      <c r="M124">
        <v>6</v>
      </c>
      <c r="N124">
        <v>8</v>
      </c>
      <c r="O124">
        <v>0</v>
      </c>
      <c r="P124">
        <v>0</v>
      </c>
      <c r="Q124">
        <v>1</v>
      </c>
      <c r="R124">
        <v>5.16</v>
      </c>
      <c r="S124">
        <v>1.3</v>
      </c>
      <c r="T124">
        <f t="shared" si="3"/>
        <v>5.7222222222222223</v>
      </c>
      <c r="U124">
        <f t="shared" si="4"/>
        <v>0.57281553398058249</v>
      </c>
      <c r="V124">
        <f>U124-AVERAGEIFS(Pitchers[ER/IP],Pitchers[GS],"&gt;"&amp;0,Pitchers[IP],"&gt;"&amp;3)</f>
        <v>1.3149391812630196E-3</v>
      </c>
      <c r="W124">
        <f>IF(Pitchers[[#This Row],[IP/GS]]&lt;&gt;0,(Pitchers[[#This Row],[WHIP]]*$AH$5+$AI$5)/9*Pitchers[[#This Row],[IP/GS]],(Pitchers[[#This Row],[WHIP]]*$AH$5+$AI$5)/9*(Pitchers[[#This Row],[IP]]/Pitchers[[#This Row],[G]]))</f>
        <v>2.7141624514767555</v>
      </c>
      <c r="X124">
        <f>Pitchers[[#This Row],[Runs from WHIP]]-AVERAGEIFS(Pitchers[Runs from WHIP],Pitchers[GS],"&gt;"&amp;0,Pitchers[IP],"&gt;"&amp;3)</f>
        <v>-2.9717534546481037</v>
      </c>
      <c r="Y124">
        <f>IF(Pitchers[[#This Row],[IP/GS]]&lt;&gt;0,Pitchers[[#This Row],[ER/IP From Average]]*Pitchers[[#This Row],[IP/GS]],Pitchers[[#This Row],[ER/IP From Average]]*(Pitchers[[#This Row],[IP]]/Pitchers[[#This Row],[G]]))</f>
        <v>7.5243742038939455E-3</v>
      </c>
      <c r="Z124">
        <f t="shared" si="5"/>
        <v>-0.78945783822460347</v>
      </c>
      <c r="AA124" s="32">
        <f>IF(Pitchers[[#This Row],[W]]=0,0,Pitchers[[#This Row],[W]]/(Pitchers[[#This Row],[W]]+Pitchers[[#This Row],[L]]))</f>
        <v>0.42857142857142855</v>
      </c>
      <c r="AB124" s="60"/>
    </row>
    <row r="125" spans="1:28" x14ac:dyDescent="0.25">
      <c r="A125" t="s">
        <v>375</v>
      </c>
      <c r="B125" t="s">
        <v>7</v>
      </c>
      <c r="C125">
        <v>37</v>
      </c>
      <c r="D125">
        <v>11</v>
      </c>
      <c r="E125">
        <v>0</v>
      </c>
      <c r="F125">
        <v>0</v>
      </c>
      <c r="G125">
        <v>102.1</v>
      </c>
      <c r="H125">
        <v>111</v>
      </c>
      <c r="I125">
        <v>68</v>
      </c>
      <c r="J125">
        <v>81</v>
      </c>
      <c r="K125">
        <v>39</v>
      </c>
      <c r="L125">
        <v>25</v>
      </c>
      <c r="M125">
        <v>4</v>
      </c>
      <c r="N125">
        <v>9</v>
      </c>
      <c r="O125">
        <v>0</v>
      </c>
      <c r="P125">
        <v>0</v>
      </c>
      <c r="Q125">
        <v>0</v>
      </c>
      <c r="R125">
        <v>5.98</v>
      </c>
      <c r="S125">
        <v>1.47</v>
      </c>
      <c r="T125">
        <f t="shared" si="3"/>
        <v>9.2818181818181813</v>
      </c>
      <c r="U125">
        <f t="shared" si="4"/>
        <v>0.66601371204701276</v>
      </c>
      <c r="V125">
        <f>U125-AVERAGEIFS(Pitchers[ER/IP],Pitchers[GS],"&gt;"&amp;0,Pitchers[IP],"&gt;"&amp;3)</f>
        <v>9.451311724769329E-2</v>
      </c>
      <c r="W125">
        <f>IF(Pitchers[[#This Row],[IP/GS]]&lt;&gt;0,(Pitchers[[#This Row],[WHIP]]*$AH$5+$AI$5)/9*Pitchers[[#This Row],[IP/GS]],(Pitchers[[#This Row],[WHIP]]*$AH$5+$AI$5)/9*(Pitchers[[#This Row],[IP]]/Pitchers[[#This Row],[G]]))</f>
        <v>5.2217595313401892</v>
      </c>
      <c r="X125">
        <f>Pitchers[[#This Row],[Runs from WHIP]]-AVERAGEIFS(Pitchers[Runs from WHIP],Pitchers[GS],"&gt;"&amp;0,Pitchers[IP],"&gt;"&amp;3)</f>
        <v>-0.46415637478466998</v>
      </c>
      <c r="Y125">
        <f>IF(Pitchers[[#This Row],[IP/GS]]&lt;&gt;0,Pitchers[[#This Row],[ER/IP From Average]]*Pitchers[[#This Row],[IP/GS]],Pitchers[[#This Row],[ER/IP From Average]]*(Pitchers[[#This Row],[IP]]/Pitchers[[#This Row],[G]]))</f>
        <v>0.87725357008995308</v>
      </c>
      <c r="Z125">
        <f t="shared" si="5"/>
        <v>0.22712639476006924</v>
      </c>
      <c r="AA125" s="32">
        <f>IF(Pitchers[[#This Row],[W]]=0,0,Pitchers[[#This Row],[W]]/(Pitchers[[#This Row],[W]]+Pitchers[[#This Row],[L]]))</f>
        <v>0.30769230769230771</v>
      </c>
      <c r="AB125" s="60"/>
    </row>
    <row r="126" spans="1:28" x14ac:dyDescent="0.25">
      <c r="A126" t="s">
        <v>362</v>
      </c>
      <c r="B126" t="s">
        <v>219</v>
      </c>
      <c r="C126">
        <v>28</v>
      </c>
      <c r="D126">
        <v>16</v>
      </c>
      <c r="E126">
        <v>0</v>
      </c>
      <c r="F126">
        <v>0</v>
      </c>
      <c r="G126">
        <v>99</v>
      </c>
      <c r="H126">
        <v>108</v>
      </c>
      <c r="I126">
        <v>62</v>
      </c>
      <c r="J126">
        <v>71</v>
      </c>
      <c r="K126">
        <v>36</v>
      </c>
      <c r="L126">
        <v>21</v>
      </c>
      <c r="M126">
        <v>6</v>
      </c>
      <c r="N126">
        <v>11</v>
      </c>
      <c r="O126">
        <v>0</v>
      </c>
      <c r="P126">
        <v>0</v>
      </c>
      <c r="Q126">
        <v>0</v>
      </c>
      <c r="R126">
        <v>5.64</v>
      </c>
      <c r="S126">
        <v>1.45</v>
      </c>
      <c r="T126">
        <f t="shared" si="3"/>
        <v>6.1875</v>
      </c>
      <c r="U126">
        <f t="shared" si="4"/>
        <v>0.6262626262626263</v>
      </c>
      <c r="V126">
        <f>U126-AVERAGEIFS(Pitchers[ER/IP],Pitchers[GS],"&gt;"&amp;0,Pitchers[IP],"&gt;"&amp;3)</f>
        <v>5.4762031463306826E-2</v>
      </c>
      <c r="W126">
        <f>IF(Pitchers[[#This Row],[IP/GS]]&lt;&gt;0,(Pitchers[[#This Row],[WHIP]]*$AH$5+$AI$5)/9*Pitchers[[#This Row],[IP/GS]],(Pitchers[[#This Row],[WHIP]]*$AH$5+$AI$5)/9*(Pitchers[[#This Row],[IP]]/Pitchers[[#This Row],[G]]))</f>
        <v>3.4167120311534847</v>
      </c>
      <c r="X126">
        <f>Pitchers[[#This Row],[Runs from WHIP]]-AVERAGEIFS(Pitchers[Runs from WHIP],Pitchers[GS],"&gt;"&amp;0,Pitchers[IP],"&gt;"&amp;3)</f>
        <v>-2.2692038749713745</v>
      </c>
      <c r="Y126">
        <f>IF(Pitchers[[#This Row],[IP/GS]]&lt;&gt;0,Pitchers[[#This Row],[ER/IP From Average]]*Pitchers[[#This Row],[IP/GS]],Pitchers[[#This Row],[ER/IP From Average]]*(Pitchers[[#This Row],[IP]]/Pitchers[[#This Row],[G]]))</f>
        <v>0.33884006967921099</v>
      </c>
      <c r="Z126">
        <f t="shared" si="5"/>
        <v>-0.46958500545401544</v>
      </c>
      <c r="AA126" s="32">
        <f>IF(Pitchers[[#This Row],[W]]=0,0,Pitchers[[#This Row],[W]]/(Pitchers[[#This Row],[W]]+Pitchers[[#This Row],[L]]))</f>
        <v>0.35294117647058826</v>
      </c>
      <c r="AB126" s="60"/>
    </row>
    <row r="127" spans="1:28" x14ac:dyDescent="0.25">
      <c r="A127" t="s">
        <v>436</v>
      </c>
      <c r="B127" t="s">
        <v>7</v>
      </c>
      <c r="C127">
        <v>22</v>
      </c>
      <c r="D127">
        <v>7</v>
      </c>
      <c r="E127">
        <v>0</v>
      </c>
      <c r="F127">
        <v>0</v>
      </c>
      <c r="G127">
        <v>96.1</v>
      </c>
      <c r="H127">
        <v>80</v>
      </c>
      <c r="I127">
        <v>49</v>
      </c>
      <c r="J127">
        <v>101</v>
      </c>
      <c r="K127">
        <v>34</v>
      </c>
      <c r="L127">
        <v>16</v>
      </c>
      <c r="M127">
        <v>8</v>
      </c>
      <c r="N127">
        <v>3</v>
      </c>
      <c r="O127">
        <v>0</v>
      </c>
      <c r="P127">
        <v>0</v>
      </c>
      <c r="Q127">
        <v>1</v>
      </c>
      <c r="R127">
        <v>4.58</v>
      </c>
      <c r="S127">
        <v>1.18</v>
      </c>
      <c r="T127">
        <f t="shared" si="3"/>
        <v>13.728571428571428</v>
      </c>
      <c r="U127">
        <f t="shared" si="4"/>
        <v>0.5098855359001041</v>
      </c>
      <c r="V127">
        <f>U127-AVERAGEIFS(Pitchers[ER/IP],Pitchers[GS],"&gt;"&amp;0,Pitchers[IP],"&gt;"&amp;3)</f>
        <v>-6.1615058899215369E-2</v>
      </c>
      <c r="W127">
        <f>IF(Pitchers[[#This Row],[IP/GS]]&lt;&gt;0,(Pitchers[[#This Row],[WHIP]]*$AH$5+$AI$5)/9*Pitchers[[#This Row],[IP/GS]],(Pitchers[[#This Row],[WHIP]]*$AH$5+$AI$5)/9*(Pitchers[[#This Row],[IP]]/Pitchers[[#This Row],[G]]))</f>
        <v>5.6564276864654968</v>
      </c>
      <c r="X127">
        <f>Pitchers[[#This Row],[Runs from WHIP]]-AVERAGEIFS(Pitchers[Runs from WHIP],Pitchers[GS],"&gt;"&amp;0,Pitchers[IP],"&gt;"&amp;3)</f>
        <v>-2.9488219659362436E-2</v>
      </c>
      <c r="Y127">
        <f>IF(Pitchers[[#This Row],[IP/GS]]&lt;&gt;0,Pitchers[[#This Row],[ER/IP From Average]]*Pitchers[[#This Row],[IP/GS]],Pitchers[[#This Row],[ER/IP From Average]]*(Pitchers[[#This Row],[IP]]/Pitchers[[#This Row],[G]]))</f>
        <v>-0.84588673717351381</v>
      </c>
      <c r="Z127">
        <f t="shared" si="5"/>
        <v>-0.34621822011190218</v>
      </c>
      <c r="AA127" s="32">
        <f>IF(Pitchers[[#This Row],[W]]=0,0,Pitchers[[#This Row],[W]]/(Pitchers[[#This Row],[W]]+Pitchers[[#This Row],[L]]))</f>
        <v>0.72727272727272729</v>
      </c>
      <c r="AB127" s="60"/>
    </row>
    <row r="128" spans="1:28" x14ac:dyDescent="0.25">
      <c r="A128" t="s">
        <v>274</v>
      </c>
      <c r="B128" t="s">
        <v>8</v>
      </c>
      <c r="C128">
        <v>17</v>
      </c>
      <c r="D128">
        <v>17</v>
      </c>
      <c r="E128">
        <v>0</v>
      </c>
      <c r="F128">
        <v>0</v>
      </c>
      <c r="G128">
        <v>96.1</v>
      </c>
      <c r="H128">
        <v>86</v>
      </c>
      <c r="I128">
        <v>41</v>
      </c>
      <c r="J128">
        <v>66</v>
      </c>
      <c r="K128">
        <v>29</v>
      </c>
      <c r="L128">
        <v>11</v>
      </c>
      <c r="M128">
        <v>9</v>
      </c>
      <c r="N128">
        <v>3</v>
      </c>
      <c r="O128">
        <v>0</v>
      </c>
      <c r="P128">
        <v>0</v>
      </c>
      <c r="Q128">
        <v>0</v>
      </c>
      <c r="R128">
        <v>3.83</v>
      </c>
      <c r="S128">
        <v>1.19</v>
      </c>
      <c r="T128">
        <f t="shared" si="3"/>
        <v>5.6529411764705877</v>
      </c>
      <c r="U128">
        <f t="shared" si="4"/>
        <v>0.42663891779396462</v>
      </c>
      <c r="V128">
        <f>U128-AVERAGEIFS(Pitchers[ER/IP],Pitchers[GS],"&gt;"&amp;0,Pitchers[IP],"&gt;"&amp;3)</f>
        <v>-0.14486167700535485</v>
      </c>
      <c r="W128">
        <f>IF(Pitchers[[#This Row],[IP/GS]]&lt;&gt;0,(Pitchers[[#This Row],[WHIP]]*$AH$5+$AI$5)/9*Pitchers[[#This Row],[IP/GS]],(Pitchers[[#This Row],[WHIP]]*$AH$5+$AI$5)/9*(Pitchers[[#This Row],[IP]]/Pitchers[[#This Row],[G]]))</f>
        <v>2.3584659332725275</v>
      </c>
      <c r="X128">
        <f>Pitchers[[#This Row],[Runs from WHIP]]-AVERAGEIFS(Pitchers[Runs from WHIP],Pitchers[GS],"&gt;"&amp;0,Pitchers[IP],"&gt;"&amp;3)</f>
        <v>-3.3274499728523317</v>
      </c>
      <c r="Y128">
        <f>IF(Pitchers[[#This Row],[IP/GS]]&lt;&gt;0,Pitchers[[#This Row],[ER/IP From Average]]*Pitchers[[#This Row],[IP/GS]],Pitchers[[#This Row],[ER/IP From Average]]*(Pitchers[[#This Row],[IP]]/Pitchers[[#This Row],[G]]))</f>
        <v>-0.81889453883615293</v>
      </c>
      <c r="Z128">
        <f t="shared" si="5"/>
        <v>-1.2148778082950829</v>
      </c>
      <c r="AA128" s="32">
        <f>IF(Pitchers[[#This Row],[W]]=0,0,Pitchers[[#This Row],[W]]/(Pitchers[[#This Row],[W]]+Pitchers[[#This Row],[L]]))</f>
        <v>0.75</v>
      </c>
      <c r="AB128" s="60"/>
    </row>
    <row r="129" spans="1:28" x14ac:dyDescent="0.25">
      <c r="A129" t="s">
        <v>296</v>
      </c>
      <c r="B129" t="s">
        <v>17</v>
      </c>
      <c r="C129">
        <v>16</v>
      </c>
      <c r="D129">
        <v>16</v>
      </c>
      <c r="E129">
        <v>0</v>
      </c>
      <c r="F129">
        <v>0</v>
      </c>
      <c r="G129">
        <v>96</v>
      </c>
      <c r="H129">
        <v>84</v>
      </c>
      <c r="I129">
        <v>28</v>
      </c>
      <c r="J129">
        <v>103</v>
      </c>
      <c r="K129">
        <v>23</v>
      </c>
      <c r="L129">
        <v>8</v>
      </c>
      <c r="M129">
        <v>9</v>
      </c>
      <c r="N129">
        <v>2</v>
      </c>
      <c r="O129">
        <v>0</v>
      </c>
      <c r="P129">
        <v>0</v>
      </c>
      <c r="Q129">
        <v>0</v>
      </c>
      <c r="R129">
        <v>2.63</v>
      </c>
      <c r="S129">
        <v>1.1100000000000001</v>
      </c>
      <c r="T129">
        <f t="shared" si="3"/>
        <v>6</v>
      </c>
      <c r="U129">
        <f t="shared" si="4"/>
        <v>0.29166666666666669</v>
      </c>
      <c r="V129">
        <f>U129-AVERAGEIFS(Pitchers[ER/IP],Pitchers[GS],"&gt;"&amp;0,Pitchers[IP],"&gt;"&amp;3)</f>
        <v>-0.27983392813265279</v>
      </c>
      <c r="W129">
        <f>IF(Pitchers[[#This Row],[IP/GS]]&lt;&gt;0,(Pitchers[[#This Row],[WHIP]]*$AH$5+$AI$5)/9*Pitchers[[#This Row],[IP/GS]],(Pitchers[[#This Row],[WHIP]]*$AH$5+$AI$5)/9*(Pitchers[[#This Row],[IP]]/Pitchers[[#This Row],[G]]))</f>
        <v>2.2540585462624598</v>
      </c>
      <c r="X129">
        <f>Pitchers[[#This Row],[Runs from WHIP]]-AVERAGEIFS(Pitchers[Runs from WHIP],Pitchers[GS],"&gt;"&amp;0,Pitchers[IP],"&gt;"&amp;3)</f>
        <v>-3.4318573598623994</v>
      </c>
      <c r="Y129">
        <f>IF(Pitchers[[#This Row],[IP/GS]]&lt;&gt;0,Pitchers[[#This Row],[ER/IP From Average]]*Pitchers[[#This Row],[IP/GS]],Pitchers[[#This Row],[ER/IP From Average]]*(Pitchers[[#This Row],[IP]]/Pitchers[[#This Row],[G]]))</f>
        <v>-1.6790035687959168</v>
      </c>
      <c r="Z129">
        <f t="shared" si="5"/>
        <v>-1.5867633901483398</v>
      </c>
      <c r="AA129" s="32">
        <f>IF(Pitchers[[#This Row],[W]]=0,0,Pitchers[[#This Row],[W]]/(Pitchers[[#This Row],[W]]+Pitchers[[#This Row],[L]]))</f>
        <v>0.81818181818181823</v>
      </c>
      <c r="AB129" s="60"/>
    </row>
    <row r="130" spans="1:28" x14ac:dyDescent="0.25">
      <c r="A130" t="s">
        <v>1260</v>
      </c>
      <c r="B130" t="s">
        <v>219</v>
      </c>
      <c r="C130">
        <v>28</v>
      </c>
      <c r="D130">
        <v>16</v>
      </c>
      <c r="E130">
        <v>0</v>
      </c>
      <c r="F130">
        <v>0</v>
      </c>
      <c r="G130">
        <v>96</v>
      </c>
      <c r="H130">
        <v>111</v>
      </c>
      <c r="I130">
        <v>58</v>
      </c>
      <c r="J130">
        <v>70</v>
      </c>
      <c r="K130">
        <v>38</v>
      </c>
      <c r="L130">
        <v>13</v>
      </c>
      <c r="M130">
        <v>3</v>
      </c>
      <c r="N130">
        <v>5</v>
      </c>
      <c r="O130">
        <v>2</v>
      </c>
      <c r="P130">
        <v>0</v>
      </c>
      <c r="Q130">
        <v>1</v>
      </c>
      <c r="R130">
        <v>5.44</v>
      </c>
      <c r="S130">
        <v>1.55</v>
      </c>
      <c r="T130">
        <f t="shared" si="3"/>
        <v>6</v>
      </c>
      <c r="U130">
        <f t="shared" si="4"/>
        <v>0.60416666666666663</v>
      </c>
      <c r="V130">
        <f>U130-AVERAGEIFS(Pitchers[ER/IP],Pitchers[GS],"&gt;"&amp;0,Pitchers[IP],"&gt;"&amp;3)</f>
        <v>3.2666071867347157E-2</v>
      </c>
      <c r="W130">
        <f>IF(Pitchers[[#This Row],[IP/GS]]&lt;&gt;0,(Pitchers[[#This Row],[WHIP]]*$AH$5+$AI$5)/9*Pitchers[[#This Row],[IP/GS]],(Pitchers[[#This Row],[WHIP]]*$AH$5+$AI$5)/9*(Pitchers[[#This Row],[IP]]/Pitchers[[#This Row],[G]]))</f>
        <v>3.6246802313703159</v>
      </c>
      <c r="X130">
        <f>Pitchers[[#This Row],[Runs from WHIP]]-AVERAGEIFS(Pitchers[Runs from WHIP],Pitchers[GS],"&gt;"&amp;0,Pitchers[IP],"&gt;"&amp;3)</f>
        <v>-2.0612356747545433</v>
      </c>
      <c r="Y130">
        <f>IF(Pitchers[[#This Row],[IP/GS]]&lt;&gt;0,Pitchers[[#This Row],[ER/IP From Average]]*Pitchers[[#This Row],[IP/GS]],Pitchers[[#This Row],[ER/IP From Average]]*(Pitchers[[#This Row],[IP]]/Pitchers[[#This Row],[G]]))</f>
        <v>0.19599643120408294</v>
      </c>
      <c r="Z130">
        <f t="shared" si="5"/>
        <v>-0.47126427411957827</v>
      </c>
      <c r="AA130" s="32">
        <f>IF(Pitchers[[#This Row],[W]]=0,0,Pitchers[[#This Row],[W]]/(Pitchers[[#This Row],[W]]+Pitchers[[#This Row],[L]]))</f>
        <v>0.375</v>
      </c>
      <c r="AB130" s="60"/>
    </row>
    <row r="131" spans="1:28" x14ac:dyDescent="0.25">
      <c r="A131" t="s">
        <v>446</v>
      </c>
      <c r="B131" t="s">
        <v>18</v>
      </c>
      <c r="C131">
        <v>52</v>
      </c>
      <c r="D131">
        <v>0</v>
      </c>
      <c r="E131">
        <v>0</v>
      </c>
      <c r="F131">
        <v>0</v>
      </c>
      <c r="G131">
        <v>95.2</v>
      </c>
      <c r="H131">
        <v>85</v>
      </c>
      <c r="I131">
        <v>49</v>
      </c>
      <c r="J131">
        <v>88</v>
      </c>
      <c r="K131">
        <v>22</v>
      </c>
      <c r="L131">
        <v>18</v>
      </c>
      <c r="M131">
        <v>4</v>
      </c>
      <c r="N131">
        <v>2</v>
      </c>
      <c r="O131">
        <v>0</v>
      </c>
      <c r="P131">
        <v>0</v>
      </c>
      <c r="Q131">
        <v>3</v>
      </c>
      <c r="R131">
        <v>4.6100000000000003</v>
      </c>
      <c r="S131">
        <v>1.1200000000000001</v>
      </c>
      <c r="T131">
        <f t="shared" si="3"/>
        <v>0</v>
      </c>
      <c r="U131">
        <f t="shared" si="4"/>
        <v>0.51470588235294112</v>
      </c>
      <c r="V131">
        <f>U131-AVERAGEIFS(Pitchers[ER/IP],Pitchers[GS],"&gt;"&amp;0,Pitchers[IP],"&gt;"&amp;3)</f>
        <v>-5.6794712446378348E-2</v>
      </c>
      <c r="W131">
        <f>IF(Pitchers[[#This Row],[IP/GS]]&lt;&gt;0,(Pitchers[[#This Row],[WHIP]]*$AH$5+$AI$5)/9*Pitchers[[#This Row],[IP/GS]],(Pitchers[[#This Row],[WHIP]]*$AH$5+$AI$5)/9*(Pitchers[[#This Row],[IP]]/Pitchers[[#This Row],[G]]))</f>
        <v>0.69728173244510938</v>
      </c>
      <c r="X131">
        <f>Pitchers[[#This Row],[Runs from WHIP]]-AVERAGEIFS(Pitchers[Runs from WHIP],Pitchers[GS],"&gt;"&amp;0,Pitchers[IP],"&gt;"&amp;3)</f>
        <v>-4.9886341736797499</v>
      </c>
      <c r="Y131">
        <f>IF(Pitchers[[#This Row],[IP/GS]]&lt;&gt;0,Pitchers[[#This Row],[ER/IP From Average]]*Pitchers[[#This Row],[IP/GS]],Pitchers[[#This Row],[ER/IP From Average]]*(Pitchers[[#This Row],[IP]]/Pitchers[[#This Row],[G]]))</f>
        <v>-0.10397801201721575</v>
      </c>
      <c r="Z131">
        <f t="shared" si="5"/>
        <v>-1.3718936511214863</v>
      </c>
      <c r="AA131" s="32">
        <f>IF(Pitchers[[#This Row],[W]]=0,0,Pitchers[[#This Row],[W]]/(Pitchers[[#This Row],[W]]+Pitchers[[#This Row],[L]]))</f>
        <v>0.66666666666666663</v>
      </c>
      <c r="AB131" s="60"/>
    </row>
    <row r="132" spans="1:28" x14ac:dyDescent="0.25">
      <c r="A132" t="s">
        <v>1315</v>
      </c>
      <c r="B132" t="s">
        <v>7</v>
      </c>
      <c r="C132">
        <v>18</v>
      </c>
      <c r="D132">
        <v>18</v>
      </c>
      <c r="E132">
        <v>0</v>
      </c>
      <c r="F132">
        <v>0</v>
      </c>
      <c r="G132">
        <v>95.1</v>
      </c>
      <c r="H132">
        <v>93</v>
      </c>
      <c r="I132">
        <v>52</v>
      </c>
      <c r="J132">
        <v>118</v>
      </c>
      <c r="K132">
        <v>30</v>
      </c>
      <c r="L132">
        <v>20</v>
      </c>
      <c r="M132">
        <v>4</v>
      </c>
      <c r="N132">
        <v>6</v>
      </c>
      <c r="O132">
        <v>0</v>
      </c>
      <c r="P132">
        <v>0</v>
      </c>
      <c r="Q132">
        <v>0</v>
      </c>
      <c r="R132">
        <v>4.91</v>
      </c>
      <c r="S132">
        <v>1.29</v>
      </c>
      <c r="T132">
        <f t="shared" si="3"/>
        <v>5.2833333333333332</v>
      </c>
      <c r="U132">
        <f t="shared" si="4"/>
        <v>0.54679284963196639</v>
      </c>
      <c r="V132">
        <f>U132-AVERAGEIFS(Pitchers[ER/IP],Pitchers[GS],"&gt;"&amp;0,Pitchers[IP],"&gt;"&amp;3)</f>
        <v>-2.4707745167353079E-2</v>
      </c>
      <c r="W132">
        <f>IF(Pitchers[[#This Row],[IP/GS]]&lt;&gt;0,(Pitchers[[#This Row],[WHIP]]*$AH$5+$AI$5)/9*Pitchers[[#This Row],[IP/GS]],(Pitchers[[#This Row],[WHIP]]*$AH$5+$AI$5)/9*(Pitchers[[#This Row],[IP]]/Pitchers[[#This Row],[G]]))</f>
        <v>2.47855908702615</v>
      </c>
      <c r="X132">
        <f>Pitchers[[#This Row],[Runs from WHIP]]-AVERAGEIFS(Pitchers[Runs from WHIP],Pitchers[GS],"&gt;"&amp;0,Pitchers[IP],"&gt;"&amp;3)</f>
        <v>-3.2073568190987092</v>
      </c>
      <c r="Y132">
        <f>IF(Pitchers[[#This Row],[IP/GS]]&lt;&gt;0,Pitchers[[#This Row],[ER/IP From Average]]*Pitchers[[#This Row],[IP/GS]],Pitchers[[#This Row],[ER/IP From Average]]*(Pitchers[[#This Row],[IP]]/Pitchers[[#This Row],[G]]))</f>
        <v>-0.13053925363418209</v>
      </c>
      <c r="Z132">
        <f t="shared" si="5"/>
        <v>-0.90751085321332858</v>
      </c>
      <c r="AA132" s="32">
        <f>IF(Pitchers[[#This Row],[W]]=0,0,Pitchers[[#This Row],[W]]/(Pitchers[[#This Row],[W]]+Pitchers[[#This Row],[L]]))</f>
        <v>0.4</v>
      </c>
      <c r="AB132" s="60"/>
    </row>
    <row r="133" spans="1:28" x14ac:dyDescent="0.25">
      <c r="A133" t="s">
        <v>526</v>
      </c>
      <c r="B133" t="s">
        <v>27</v>
      </c>
      <c r="C133">
        <v>19</v>
      </c>
      <c r="D133">
        <v>18</v>
      </c>
      <c r="E133">
        <v>1</v>
      </c>
      <c r="F133">
        <v>1</v>
      </c>
      <c r="G133">
        <v>94.1</v>
      </c>
      <c r="H133">
        <v>81</v>
      </c>
      <c r="I133">
        <v>42</v>
      </c>
      <c r="J133">
        <v>81</v>
      </c>
      <c r="K133">
        <v>39</v>
      </c>
      <c r="L133">
        <v>14</v>
      </c>
      <c r="M133">
        <v>6</v>
      </c>
      <c r="N133">
        <v>5</v>
      </c>
      <c r="O133">
        <v>0</v>
      </c>
      <c r="P133">
        <v>0</v>
      </c>
      <c r="Q133">
        <v>0</v>
      </c>
      <c r="R133">
        <v>4.01</v>
      </c>
      <c r="S133">
        <v>1.27</v>
      </c>
      <c r="T133">
        <f t="shared" ref="T133:T196" si="6">IF(D133=0,0,G133/D133)</f>
        <v>5.2277777777777779</v>
      </c>
      <c r="U133">
        <f t="shared" ref="U133:U196" si="7">IF(G133=0,0,I133/G133)</f>
        <v>0.44633368756641872</v>
      </c>
      <c r="V133">
        <f>U133-AVERAGEIFS(Pitchers[ER/IP],Pitchers[GS],"&gt;"&amp;0,Pitchers[IP],"&gt;"&amp;3)</f>
        <v>-0.12516690723290075</v>
      </c>
      <c r="W133">
        <f>IF(Pitchers[[#This Row],[IP/GS]]&lt;&gt;0,(Pitchers[[#This Row],[WHIP]]*$AH$5+$AI$5)/9*Pitchers[[#This Row],[IP/GS]],(Pitchers[[#This Row],[WHIP]]*$AH$5+$AI$5)/9*(Pitchers[[#This Row],[IP]]/Pitchers[[#This Row],[G]]))</f>
        <v>2.398213807669082</v>
      </c>
      <c r="X133">
        <f>Pitchers[[#This Row],[Runs from WHIP]]-AVERAGEIFS(Pitchers[Runs from WHIP],Pitchers[GS],"&gt;"&amp;0,Pitchers[IP],"&gt;"&amp;3)</f>
        <v>-3.2877020984557772</v>
      </c>
      <c r="Y133">
        <f>IF(Pitchers[[#This Row],[IP/GS]]&lt;&gt;0,Pitchers[[#This Row],[ER/IP From Average]]*Pitchers[[#This Row],[IP/GS]],Pitchers[[#This Row],[ER/IP From Average]]*(Pitchers[[#This Row],[IP]]/Pitchers[[#This Row],[G]]))</f>
        <v>-0.65434477614533115</v>
      </c>
      <c r="Z133">
        <f t="shared" ref="Z133:Z196" si="8">AVERAGE(X133,X133,Y133,Y133,Y133)/1.5</f>
        <v>-1.1384584700463398</v>
      </c>
      <c r="AA133" s="32">
        <f>IF(Pitchers[[#This Row],[W]]=0,0,Pitchers[[#This Row],[W]]/(Pitchers[[#This Row],[W]]+Pitchers[[#This Row],[L]]))</f>
        <v>0.54545454545454541</v>
      </c>
      <c r="AB133" s="60"/>
    </row>
    <row r="134" spans="1:28" x14ac:dyDescent="0.25">
      <c r="A134" t="s">
        <v>427</v>
      </c>
      <c r="B134" t="s">
        <v>15</v>
      </c>
      <c r="C134">
        <v>30</v>
      </c>
      <c r="D134">
        <v>13</v>
      </c>
      <c r="E134">
        <v>1</v>
      </c>
      <c r="F134">
        <v>0</v>
      </c>
      <c r="G134">
        <v>93.2</v>
      </c>
      <c r="H134">
        <v>103</v>
      </c>
      <c r="I134">
        <v>56</v>
      </c>
      <c r="J134">
        <v>89</v>
      </c>
      <c r="K134">
        <v>39</v>
      </c>
      <c r="L134">
        <v>20</v>
      </c>
      <c r="M134">
        <v>4</v>
      </c>
      <c r="N134">
        <v>6</v>
      </c>
      <c r="O134">
        <v>1</v>
      </c>
      <c r="P134">
        <v>0</v>
      </c>
      <c r="Q134">
        <v>1</v>
      </c>
      <c r="R134">
        <v>5.38</v>
      </c>
      <c r="S134">
        <v>1.52</v>
      </c>
      <c r="T134">
        <f t="shared" si="6"/>
        <v>7.1692307692307695</v>
      </c>
      <c r="U134">
        <f t="shared" si="7"/>
        <v>0.60085836909871237</v>
      </c>
      <c r="V134" s="60">
        <f>U134-AVERAGEIFS(Pitchers[ER/IP],Pitchers[GS],"&gt;"&amp;0,Pitchers[IP],"&gt;"&amp;3)</f>
        <v>2.9357774299392903E-2</v>
      </c>
      <c r="W134" s="60">
        <f>IF(Pitchers[[#This Row],[IP/GS]]&lt;&gt;0,(Pitchers[[#This Row],[WHIP]]*$AH$5+$AI$5)/9*Pitchers[[#This Row],[IP/GS]],(Pitchers[[#This Row],[WHIP]]*$AH$5+$AI$5)/9*(Pitchers[[#This Row],[IP]]/Pitchers[[#This Row],[G]]))</f>
        <v>4.2193656380091005</v>
      </c>
      <c r="X134" s="60">
        <f>Pitchers[[#This Row],[Runs from WHIP]]-AVERAGEIFS(Pitchers[Runs from WHIP],Pitchers[GS],"&gt;"&amp;0,Pitchers[IP],"&gt;"&amp;3)</f>
        <v>-1.4665502681157587</v>
      </c>
      <c r="Y134" s="60">
        <f>IF(Pitchers[[#This Row],[IP/GS]]&lt;&gt;0,Pitchers[[#This Row],[ER/IP From Average]]*Pitchers[[#This Row],[IP/GS]],Pitchers[[#This Row],[ER/IP From Average]]*(Pitchers[[#This Row],[IP]]/Pitchers[[#This Row],[G]]))</f>
        <v>0.2104726588233399</v>
      </c>
      <c r="Z134" s="60">
        <f t="shared" si="8"/>
        <v>-0.30689100796819963</v>
      </c>
      <c r="AA134" s="32">
        <f>IF(Pitchers[[#This Row],[W]]=0,0,Pitchers[[#This Row],[W]]/(Pitchers[[#This Row],[W]]+Pitchers[[#This Row],[L]]))</f>
        <v>0.4</v>
      </c>
      <c r="AB134" s="60"/>
    </row>
    <row r="135" spans="1:28" x14ac:dyDescent="0.25">
      <c r="A135" t="s">
        <v>412</v>
      </c>
      <c r="B135" t="s">
        <v>16</v>
      </c>
      <c r="C135">
        <v>23</v>
      </c>
      <c r="D135">
        <v>15</v>
      </c>
      <c r="E135">
        <v>0</v>
      </c>
      <c r="F135">
        <v>0</v>
      </c>
      <c r="G135">
        <v>91.2</v>
      </c>
      <c r="H135">
        <v>78</v>
      </c>
      <c r="I135">
        <v>42</v>
      </c>
      <c r="J135">
        <v>96</v>
      </c>
      <c r="K135">
        <v>31</v>
      </c>
      <c r="L135">
        <v>15</v>
      </c>
      <c r="M135">
        <v>7</v>
      </c>
      <c r="N135">
        <v>6</v>
      </c>
      <c r="O135">
        <v>0</v>
      </c>
      <c r="P135">
        <v>0</v>
      </c>
      <c r="Q135">
        <v>0</v>
      </c>
      <c r="R135">
        <v>4.12</v>
      </c>
      <c r="S135">
        <v>1.19</v>
      </c>
      <c r="T135">
        <f t="shared" si="6"/>
        <v>6.08</v>
      </c>
      <c r="U135">
        <f t="shared" si="7"/>
        <v>0.46052631578947367</v>
      </c>
      <c r="V135">
        <f>U135-AVERAGEIFS(Pitchers[ER/IP],Pitchers[GS],"&gt;"&amp;0,Pitchers[IP],"&gt;"&amp;3)</f>
        <v>-0.1109742790098458</v>
      </c>
      <c r="W135">
        <f>IF(Pitchers[[#This Row],[IP/GS]]&lt;&gt;0,(Pitchers[[#This Row],[WHIP]]*$AH$5+$AI$5)/9*Pitchers[[#This Row],[IP/GS]],(Pitchers[[#This Row],[WHIP]]*$AH$5+$AI$5)/9*(Pitchers[[#This Row],[IP]]/Pitchers[[#This Row],[G]]))</f>
        <v>2.5366393221961339</v>
      </c>
      <c r="X135">
        <f>Pitchers[[#This Row],[Runs from WHIP]]-AVERAGEIFS(Pitchers[Runs from WHIP],Pitchers[GS],"&gt;"&amp;0,Pitchers[IP],"&gt;"&amp;3)</f>
        <v>-3.1492765839287253</v>
      </c>
      <c r="Y135">
        <f>IF(Pitchers[[#This Row],[IP/GS]]&lt;&gt;0,Pitchers[[#This Row],[ER/IP From Average]]*Pitchers[[#This Row],[IP/GS]],Pitchers[[#This Row],[ER/IP From Average]]*(Pitchers[[#This Row],[IP]]/Pitchers[[#This Row],[G]]))</f>
        <v>-0.67472361637986245</v>
      </c>
      <c r="Z135">
        <f t="shared" si="8"/>
        <v>-1.1096965355996053</v>
      </c>
      <c r="AA135" s="32">
        <f>IF(Pitchers[[#This Row],[W]]=0,0,Pitchers[[#This Row],[W]]/(Pitchers[[#This Row],[W]]+Pitchers[[#This Row],[L]]))</f>
        <v>0.53846153846153844</v>
      </c>
      <c r="AB135" s="60"/>
    </row>
    <row r="136" spans="1:28" x14ac:dyDescent="0.25">
      <c r="A136" t="s">
        <v>353</v>
      </c>
      <c r="B136" t="s">
        <v>29</v>
      </c>
      <c r="C136">
        <v>32</v>
      </c>
      <c r="D136">
        <v>15</v>
      </c>
      <c r="E136">
        <v>0</v>
      </c>
      <c r="F136">
        <v>0</v>
      </c>
      <c r="G136">
        <v>90.2</v>
      </c>
      <c r="H136">
        <v>84</v>
      </c>
      <c r="I136">
        <v>35</v>
      </c>
      <c r="J136">
        <v>93</v>
      </c>
      <c r="K136">
        <v>20</v>
      </c>
      <c r="L136">
        <v>11</v>
      </c>
      <c r="M136">
        <v>4</v>
      </c>
      <c r="N136">
        <v>4</v>
      </c>
      <c r="O136">
        <v>0</v>
      </c>
      <c r="P136">
        <v>0</v>
      </c>
      <c r="Q136">
        <v>3</v>
      </c>
      <c r="R136">
        <v>3.47</v>
      </c>
      <c r="S136">
        <v>1.1499999999999999</v>
      </c>
      <c r="T136">
        <f t="shared" si="6"/>
        <v>6.0133333333333336</v>
      </c>
      <c r="U136">
        <f t="shared" si="7"/>
        <v>0.38802660753880264</v>
      </c>
      <c r="V136">
        <f>U136-AVERAGEIFS(Pitchers[ER/IP],Pitchers[GS],"&gt;"&amp;0,Pitchers[IP],"&gt;"&amp;3)</f>
        <v>-0.18347398726051684</v>
      </c>
      <c r="W136">
        <f>IF(Pitchers[[#This Row],[IP/GS]]&lt;&gt;0,(Pitchers[[#This Row],[WHIP]]*$AH$5+$AI$5)/9*Pitchers[[#This Row],[IP/GS]],(Pitchers[[#This Row],[WHIP]]*$AH$5+$AI$5)/9*(Pitchers[[#This Row],[IP]]/Pitchers[[#This Row],[G]]))</f>
        <v>2.3839464298973141</v>
      </c>
      <c r="X136">
        <f>Pitchers[[#This Row],[Runs from WHIP]]-AVERAGEIFS(Pitchers[Runs from WHIP],Pitchers[GS],"&gt;"&amp;0,Pitchers[IP],"&gt;"&amp;3)</f>
        <v>-3.3019694762275451</v>
      </c>
      <c r="Y136">
        <f>IF(Pitchers[[#This Row],[IP/GS]]&lt;&gt;0,Pitchers[[#This Row],[ER/IP From Average]]*Pitchers[[#This Row],[IP/GS]],Pitchers[[#This Row],[ER/IP From Average]]*(Pitchers[[#This Row],[IP]]/Pitchers[[#This Row],[G]]))</f>
        <v>-1.1032902433932412</v>
      </c>
      <c r="Z136">
        <f t="shared" si="8"/>
        <v>-1.3218412910179751</v>
      </c>
      <c r="AA136" s="32">
        <f>IF(Pitchers[[#This Row],[W]]=0,0,Pitchers[[#This Row],[W]]/(Pitchers[[#This Row],[W]]+Pitchers[[#This Row],[L]]))</f>
        <v>0.5</v>
      </c>
      <c r="AB136" s="60"/>
    </row>
    <row r="137" spans="1:28" x14ac:dyDescent="0.25">
      <c r="A137" t="s">
        <v>1146</v>
      </c>
      <c r="B137" t="s">
        <v>7</v>
      </c>
      <c r="C137">
        <v>18</v>
      </c>
      <c r="D137">
        <v>17</v>
      </c>
      <c r="E137">
        <v>0</v>
      </c>
      <c r="F137">
        <v>0</v>
      </c>
      <c r="G137">
        <v>90.1</v>
      </c>
      <c r="H137">
        <v>80</v>
      </c>
      <c r="I137">
        <v>46</v>
      </c>
      <c r="J137">
        <v>96</v>
      </c>
      <c r="K137">
        <v>30</v>
      </c>
      <c r="L137">
        <v>14</v>
      </c>
      <c r="M137">
        <v>5</v>
      </c>
      <c r="N137">
        <v>6</v>
      </c>
      <c r="O137">
        <v>0</v>
      </c>
      <c r="P137">
        <v>0</v>
      </c>
      <c r="Q137">
        <v>0</v>
      </c>
      <c r="R137">
        <v>4.58</v>
      </c>
      <c r="S137">
        <v>1.22</v>
      </c>
      <c r="T137">
        <f t="shared" si="6"/>
        <v>5.3</v>
      </c>
      <c r="U137">
        <f t="shared" si="7"/>
        <v>0.51054384017758048</v>
      </c>
      <c r="V137" s="60">
        <f>U137-AVERAGEIFS(Pitchers[ER/IP],Pitchers[GS],"&gt;"&amp;0,Pitchers[IP],"&gt;"&amp;3)</f>
        <v>-6.0956754621738996E-2</v>
      </c>
      <c r="W137" s="60">
        <f>IF(Pitchers[[#This Row],[IP/GS]]&lt;&gt;0,(Pitchers[[#This Row],[WHIP]]*$AH$5+$AI$5)/9*Pitchers[[#This Row],[IP/GS]],(Pitchers[[#This Row],[WHIP]]*$AH$5+$AI$5)/9*(Pitchers[[#This Row],[IP]]/Pitchers[[#This Row],[G]]))</f>
        <v>2.293764004659824</v>
      </c>
      <c r="X137" s="60">
        <f>Pitchers[[#This Row],[Runs from WHIP]]-AVERAGEIFS(Pitchers[Runs from WHIP],Pitchers[GS],"&gt;"&amp;0,Pitchers[IP],"&gt;"&amp;3)</f>
        <v>-3.3921519014650352</v>
      </c>
      <c r="Y137" s="60">
        <f>IF(Pitchers[[#This Row],[IP/GS]]&lt;&gt;0,Pitchers[[#This Row],[ER/IP From Average]]*Pitchers[[#This Row],[IP/GS]],Pitchers[[#This Row],[ER/IP From Average]]*(Pitchers[[#This Row],[IP]]/Pitchers[[#This Row],[G]]))</f>
        <v>-0.32307079949521667</v>
      </c>
      <c r="Z137" s="60">
        <f t="shared" si="8"/>
        <v>-1.0338021601887626</v>
      </c>
      <c r="AA137" s="32">
        <f>IF(Pitchers[[#This Row],[W]]=0,0,Pitchers[[#This Row],[W]]/(Pitchers[[#This Row],[W]]+Pitchers[[#This Row],[L]]))</f>
        <v>0.45454545454545453</v>
      </c>
      <c r="AB137" s="60"/>
    </row>
    <row r="138" spans="1:28" x14ac:dyDescent="0.25">
      <c r="A138" t="s">
        <v>280</v>
      </c>
      <c r="B138" t="s">
        <v>332</v>
      </c>
      <c r="C138">
        <v>18</v>
      </c>
      <c r="D138">
        <v>18</v>
      </c>
      <c r="E138">
        <v>0</v>
      </c>
      <c r="F138">
        <v>0</v>
      </c>
      <c r="G138">
        <v>90</v>
      </c>
      <c r="H138">
        <v>89</v>
      </c>
      <c r="I138">
        <v>48</v>
      </c>
      <c r="J138">
        <v>81</v>
      </c>
      <c r="K138">
        <v>38</v>
      </c>
      <c r="L138">
        <v>12</v>
      </c>
      <c r="M138">
        <v>7</v>
      </c>
      <c r="N138">
        <v>6</v>
      </c>
      <c r="O138">
        <v>0</v>
      </c>
      <c r="P138">
        <v>0</v>
      </c>
      <c r="Q138">
        <v>0</v>
      </c>
      <c r="R138">
        <v>4.8</v>
      </c>
      <c r="S138">
        <v>1.41</v>
      </c>
      <c r="T138">
        <f t="shared" si="6"/>
        <v>5</v>
      </c>
      <c r="U138">
        <f t="shared" si="7"/>
        <v>0.53333333333333333</v>
      </c>
      <c r="V138" s="60">
        <f>U138-AVERAGEIFS(Pitchers[ER/IP],Pitchers[GS],"&gt;"&amp;0,Pitchers[IP],"&gt;"&amp;3)</f>
        <v>-3.8167261465986146E-2</v>
      </c>
      <c r="W138" s="60">
        <f>IF(Pitchers[[#This Row],[IP/GS]]&lt;&gt;0,(Pitchers[[#This Row],[WHIP]]*$AH$5+$AI$5)/9*Pitchers[[#This Row],[IP/GS]],(Pitchers[[#This Row],[WHIP]]*$AH$5+$AI$5)/9*(Pitchers[[#This Row],[IP]]/Pitchers[[#This Row],[G]]))</f>
        <v>2.657144442969392</v>
      </c>
      <c r="X138" s="60">
        <f>Pitchers[[#This Row],[Runs from WHIP]]-AVERAGEIFS(Pitchers[Runs from WHIP],Pitchers[GS],"&gt;"&amp;0,Pitchers[IP],"&gt;"&amp;3)</f>
        <v>-3.0287714631554672</v>
      </c>
      <c r="Y138" s="60">
        <f>IF(Pitchers[[#This Row],[IP/GS]]&lt;&gt;0,Pitchers[[#This Row],[ER/IP From Average]]*Pitchers[[#This Row],[IP/GS]],Pitchers[[#This Row],[ER/IP From Average]]*(Pitchers[[#This Row],[IP]]/Pitchers[[#This Row],[G]]))</f>
        <v>-0.19083630732993073</v>
      </c>
      <c r="Z138" s="60">
        <f t="shared" si="8"/>
        <v>-0.88400691310676338</v>
      </c>
      <c r="AA138" s="32">
        <f>IF(Pitchers[[#This Row],[W]]=0,0,Pitchers[[#This Row],[W]]/(Pitchers[[#This Row],[W]]+Pitchers[[#This Row],[L]]))</f>
        <v>0.53846153846153844</v>
      </c>
      <c r="AB138" s="60"/>
    </row>
    <row r="139" spans="1:28" x14ac:dyDescent="0.25">
      <c r="A139" t="s">
        <v>1392</v>
      </c>
      <c r="B139" t="s">
        <v>11</v>
      </c>
      <c r="C139">
        <v>19</v>
      </c>
      <c r="D139">
        <v>19</v>
      </c>
      <c r="E139">
        <v>0</v>
      </c>
      <c r="F139">
        <v>0</v>
      </c>
      <c r="G139">
        <v>89.1</v>
      </c>
      <c r="H139">
        <v>119</v>
      </c>
      <c r="I139">
        <v>72</v>
      </c>
      <c r="J139">
        <v>57</v>
      </c>
      <c r="K139">
        <v>36</v>
      </c>
      <c r="L139">
        <v>18</v>
      </c>
      <c r="M139">
        <v>3</v>
      </c>
      <c r="N139">
        <v>7</v>
      </c>
      <c r="O139">
        <v>0</v>
      </c>
      <c r="P139">
        <v>0</v>
      </c>
      <c r="Q139">
        <v>0</v>
      </c>
      <c r="R139">
        <v>7.25</v>
      </c>
      <c r="S139">
        <v>1.74</v>
      </c>
      <c r="T139">
        <f t="shared" si="6"/>
        <v>4.689473684210526</v>
      </c>
      <c r="U139">
        <f t="shared" si="7"/>
        <v>0.80808080808080818</v>
      </c>
      <c r="V139">
        <f>U139-AVERAGEIFS(Pitchers[ER/IP],Pitchers[GS],"&gt;"&amp;0,Pitchers[IP],"&gt;"&amp;3)</f>
        <v>0.2365802132814887</v>
      </c>
      <c r="W139">
        <f>IF(Pitchers[[#This Row],[IP/GS]]&lt;&gt;0,(Pitchers[[#This Row],[WHIP]]*$AH$5+$AI$5)/9*Pitchers[[#This Row],[IP/GS]],(Pitchers[[#This Row],[WHIP]]*$AH$5+$AI$5)/9*(Pitchers[[#This Row],[IP]]/Pitchers[[#This Row],[G]]))</f>
        <v>3.2955585785054371</v>
      </c>
      <c r="X139">
        <f>Pitchers[[#This Row],[Runs from WHIP]]-AVERAGEIFS(Pitchers[Runs from WHIP],Pitchers[GS],"&gt;"&amp;0,Pitchers[IP],"&gt;"&amp;3)</f>
        <v>-2.3903573276194221</v>
      </c>
      <c r="Y139">
        <f>IF(Pitchers[[#This Row],[IP/GS]]&lt;&gt;0,Pitchers[[#This Row],[ER/IP From Average]]*Pitchers[[#This Row],[IP/GS]],Pitchers[[#This Row],[ER/IP From Average]]*(Pitchers[[#This Row],[IP]]/Pitchers[[#This Row],[G]]))</f>
        <v>1.1094366843884549</v>
      </c>
      <c r="Z139">
        <f t="shared" si="8"/>
        <v>-0.19365394694313062</v>
      </c>
      <c r="AA139" s="32">
        <f>IF(Pitchers[[#This Row],[W]]=0,0,Pitchers[[#This Row],[W]]/(Pitchers[[#This Row],[W]]+Pitchers[[#This Row],[L]]))</f>
        <v>0.3</v>
      </c>
      <c r="AB139" s="60"/>
    </row>
    <row r="140" spans="1:28" x14ac:dyDescent="0.25">
      <c r="A140" t="s">
        <v>392</v>
      </c>
      <c r="B140" t="s">
        <v>6</v>
      </c>
      <c r="C140">
        <v>19</v>
      </c>
      <c r="D140">
        <v>19</v>
      </c>
      <c r="E140">
        <v>0</v>
      </c>
      <c r="F140">
        <v>0</v>
      </c>
      <c r="G140">
        <v>88.2</v>
      </c>
      <c r="H140">
        <v>99</v>
      </c>
      <c r="I140">
        <v>57</v>
      </c>
      <c r="J140">
        <v>80</v>
      </c>
      <c r="K140">
        <v>39</v>
      </c>
      <c r="L140">
        <v>19</v>
      </c>
      <c r="M140">
        <v>3</v>
      </c>
      <c r="N140">
        <v>10</v>
      </c>
      <c r="O140">
        <v>0</v>
      </c>
      <c r="P140">
        <v>0</v>
      </c>
      <c r="Q140">
        <v>0</v>
      </c>
      <c r="R140">
        <v>5.79</v>
      </c>
      <c r="S140">
        <v>1.56</v>
      </c>
      <c r="T140">
        <f t="shared" si="6"/>
        <v>4.6421052631578945</v>
      </c>
      <c r="U140">
        <f t="shared" si="7"/>
        <v>0.64625850340136048</v>
      </c>
      <c r="V140">
        <f>U140-AVERAGEIFS(Pitchers[ER/IP],Pitchers[GS],"&gt;"&amp;0,Pitchers[IP],"&gt;"&amp;3)</f>
        <v>7.4757908602041012E-2</v>
      </c>
      <c r="W140">
        <f>IF(Pitchers[[#This Row],[IP/GS]]&lt;&gt;0,(Pitchers[[#This Row],[WHIP]]*$AH$5+$AI$5)/9*Pitchers[[#This Row],[IP/GS]],(Pitchers[[#This Row],[WHIP]]*$AH$5+$AI$5)/9*(Pitchers[[#This Row],[IP]]/Pitchers[[#This Row],[G]]))</f>
        <v>2.8284585076811073</v>
      </c>
      <c r="X140">
        <f>Pitchers[[#This Row],[Runs from WHIP]]-AVERAGEIFS(Pitchers[Runs from WHIP],Pitchers[GS],"&gt;"&amp;0,Pitchers[IP],"&gt;"&amp;3)</f>
        <v>-2.8574573984437519</v>
      </c>
      <c r="Y140">
        <f>IF(Pitchers[[#This Row],[IP/GS]]&lt;&gt;0,Pitchers[[#This Row],[ER/IP From Average]]*Pitchers[[#This Row],[IP/GS]],Pitchers[[#This Row],[ER/IP From Average]]*(Pitchers[[#This Row],[IP]]/Pitchers[[#This Row],[G]]))</f>
        <v>0.3470340809842114</v>
      </c>
      <c r="Z140">
        <f t="shared" si="8"/>
        <v>-0.62317500719131602</v>
      </c>
      <c r="AA140" s="32">
        <f>IF(Pitchers[[#This Row],[W]]=0,0,Pitchers[[#This Row],[W]]/(Pitchers[[#This Row],[W]]+Pitchers[[#This Row],[L]]))</f>
        <v>0.23076923076923078</v>
      </c>
      <c r="AB140" s="60"/>
    </row>
    <row r="141" spans="1:28" x14ac:dyDescent="0.25">
      <c r="A141" t="s">
        <v>915</v>
      </c>
      <c r="B141" t="s">
        <v>6</v>
      </c>
      <c r="C141">
        <v>19</v>
      </c>
      <c r="D141">
        <v>17</v>
      </c>
      <c r="E141">
        <v>0</v>
      </c>
      <c r="F141">
        <v>0</v>
      </c>
      <c r="G141">
        <v>87.1</v>
      </c>
      <c r="H141">
        <v>76</v>
      </c>
      <c r="I141">
        <v>34</v>
      </c>
      <c r="J141">
        <v>78</v>
      </c>
      <c r="K141">
        <v>37</v>
      </c>
      <c r="L141">
        <v>9</v>
      </c>
      <c r="M141">
        <v>3</v>
      </c>
      <c r="N141">
        <v>2</v>
      </c>
      <c r="O141">
        <v>0</v>
      </c>
      <c r="P141">
        <v>0</v>
      </c>
      <c r="Q141">
        <v>0</v>
      </c>
      <c r="R141">
        <v>3.5</v>
      </c>
      <c r="S141">
        <v>1.29</v>
      </c>
      <c r="T141">
        <f t="shared" si="6"/>
        <v>5.1235294117647054</v>
      </c>
      <c r="U141">
        <f t="shared" si="7"/>
        <v>0.39035591274397247</v>
      </c>
      <c r="V141" s="60">
        <f>U141-AVERAGEIFS(Pitchers[ER/IP],Pitchers[GS],"&gt;"&amp;0,Pitchers[IP],"&gt;"&amp;3)</f>
        <v>-0.18114468205534701</v>
      </c>
      <c r="W141" s="60">
        <f>IF(Pitchers[[#This Row],[IP/GS]]&lt;&gt;0,(Pitchers[[#This Row],[WHIP]]*$AH$5+$AI$5)/9*Pitchers[[#This Row],[IP/GS]],(Pitchers[[#This Row],[WHIP]]*$AH$5+$AI$5)/9*(Pitchers[[#This Row],[IP]]/Pitchers[[#This Row],[G]]))</f>
        <v>2.4035906084243197</v>
      </c>
      <c r="X141" s="60">
        <f>Pitchers[[#This Row],[Runs from WHIP]]-AVERAGEIFS(Pitchers[Runs from WHIP],Pitchers[GS],"&gt;"&amp;0,Pitchers[IP],"&gt;"&amp;3)</f>
        <v>-3.2823252977005395</v>
      </c>
      <c r="Y141" s="60">
        <f>IF(Pitchers[[#This Row],[IP/GS]]&lt;&gt;0,Pitchers[[#This Row],[ER/IP From Average]]*Pitchers[[#This Row],[IP/GS]],Pitchers[[#This Row],[ER/IP From Average]]*(Pitchers[[#This Row],[IP]]/Pitchers[[#This Row],[G]]))</f>
        <v>-0.92810010629533668</v>
      </c>
      <c r="Z141" s="60">
        <f t="shared" si="8"/>
        <v>-1.2465267885716116</v>
      </c>
      <c r="AA141" s="32">
        <f>IF(Pitchers[[#This Row],[W]]=0,0,Pitchers[[#This Row],[W]]/(Pitchers[[#This Row],[W]]+Pitchers[[#This Row],[L]]))</f>
        <v>0.6</v>
      </c>
      <c r="AB141" s="60"/>
    </row>
    <row r="142" spans="1:28" x14ac:dyDescent="0.25">
      <c r="A142" t="s">
        <v>465</v>
      </c>
      <c r="B142" t="s">
        <v>17</v>
      </c>
      <c r="C142">
        <v>75</v>
      </c>
      <c r="D142">
        <v>2</v>
      </c>
      <c r="E142">
        <v>0</v>
      </c>
      <c r="F142">
        <v>0</v>
      </c>
      <c r="G142">
        <v>85</v>
      </c>
      <c r="H142">
        <v>61</v>
      </c>
      <c r="I142">
        <v>17</v>
      </c>
      <c r="J142">
        <v>124</v>
      </c>
      <c r="K142">
        <v>21</v>
      </c>
      <c r="L142">
        <v>5</v>
      </c>
      <c r="M142">
        <v>4</v>
      </c>
      <c r="N142">
        <v>4</v>
      </c>
      <c r="O142">
        <v>25</v>
      </c>
      <c r="P142">
        <v>7</v>
      </c>
      <c r="Q142">
        <v>8</v>
      </c>
      <c r="R142">
        <v>1.8</v>
      </c>
      <c r="S142">
        <v>0.96</v>
      </c>
      <c r="T142">
        <f t="shared" si="6"/>
        <v>42.5</v>
      </c>
      <c r="U142">
        <f t="shared" si="7"/>
        <v>0.2</v>
      </c>
      <c r="V142" s="60">
        <f>U142-AVERAGEIFS(Pitchers[ER/IP],Pitchers[GS],"&gt;"&amp;0,Pitchers[IP],"&gt;"&amp;3)</f>
        <v>-0.37150059479931946</v>
      </c>
      <c r="W142" s="60">
        <f>IF(Pitchers[[#This Row],[IP/GS]]&lt;&gt;0,(Pitchers[[#This Row],[WHIP]]*$AH$5+$AI$5)/9*Pitchers[[#This Row],[IP/GS]],(Pitchers[[#This Row],[WHIP]]*$AH$5+$AI$5)/9*(Pitchers[[#This Row],[IP]]/Pitchers[[#This Row],[G]]))</f>
        <v>12.656508171418716</v>
      </c>
      <c r="X142" s="60">
        <f>Pitchers[[#This Row],[Runs from WHIP]]-AVERAGEIFS(Pitchers[Runs from WHIP],Pitchers[GS],"&gt;"&amp;0,Pitchers[IP],"&gt;"&amp;3)</f>
        <v>6.970592265293857</v>
      </c>
      <c r="Y142" s="60">
        <f>IF(Pitchers[[#This Row],[IP/GS]]&lt;&gt;0,Pitchers[[#This Row],[ER/IP From Average]]*Pitchers[[#This Row],[IP/GS]],Pitchers[[#This Row],[ER/IP From Average]]*(Pitchers[[#This Row],[IP]]/Pitchers[[#This Row],[G]]))</f>
        <v>-15.788775278971077</v>
      </c>
      <c r="Z142" s="60">
        <f t="shared" si="8"/>
        <v>-4.4566855075100689</v>
      </c>
      <c r="AA142" s="32">
        <f>IF(Pitchers[[#This Row],[W]]=0,0,Pitchers[[#This Row],[W]]/(Pitchers[[#This Row],[W]]+Pitchers[[#This Row],[L]]))</f>
        <v>0.5</v>
      </c>
      <c r="AB142" s="60"/>
    </row>
    <row r="143" spans="1:28" x14ac:dyDescent="0.25">
      <c r="A143" t="s">
        <v>433</v>
      </c>
      <c r="B143" t="s">
        <v>6</v>
      </c>
      <c r="C143">
        <v>39</v>
      </c>
      <c r="D143">
        <v>8</v>
      </c>
      <c r="E143">
        <v>0</v>
      </c>
      <c r="F143">
        <v>0</v>
      </c>
      <c r="G143">
        <v>85</v>
      </c>
      <c r="H143">
        <v>87</v>
      </c>
      <c r="I143">
        <v>50</v>
      </c>
      <c r="J143">
        <v>115</v>
      </c>
      <c r="K143">
        <v>37</v>
      </c>
      <c r="L143">
        <v>15</v>
      </c>
      <c r="M143">
        <v>7</v>
      </c>
      <c r="N143">
        <v>3</v>
      </c>
      <c r="O143">
        <v>1</v>
      </c>
      <c r="P143">
        <v>1</v>
      </c>
      <c r="Q143">
        <v>6</v>
      </c>
      <c r="R143">
        <v>5.29</v>
      </c>
      <c r="S143">
        <v>1.46</v>
      </c>
      <c r="T143">
        <f t="shared" si="6"/>
        <v>10.625</v>
      </c>
      <c r="U143">
        <f t="shared" si="7"/>
        <v>0.58823529411764708</v>
      </c>
      <c r="V143" s="60">
        <f>U143-AVERAGEIFS(Pitchers[ER/IP],Pitchers[GS],"&gt;"&amp;0,Pitchers[IP],"&gt;"&amp;3)</f>
        <v>1.6734699318327606E-2</v>
      </c>
      <c r="W143" s="60">
        <f>IF(Pitchers[[#This Row],[IP/GS]]&lt;&gt;0,(Pitchers[[#This Row],[WHIP]]*$AH$5+$AI$5)/9*Pitchers[[#This Row],[IP/GS]],(Pitchers[[#This Row],[WHIP]]*$AH$5+$AI$5)/9*(Pitchers[[#This Row],[IP]]/Pitchers[[#This Row],[G]]))</f>
        <v>5.9222435966938791</v>
      </c>
      <c r="X143" s="60">
        <f>Pitchers[[#This Row],[Runs from WHIP]]-AVERAGEIFS(Pitchers[Runs from WHIP],Pitchers[GS],"&gt;"&amp;0,Pitchers[IP],"&gt;"&amp;3)</f>
        <v>0.23632769056901992</v>
      </c>
      <c r="Y143" s="60">
        <f>IF(Pitchers[[#This Row],[IP/GS]]&lt;&gt;0,Pitchers[[#This Row],[ER/IP From Average]]*Pitchers[[#This Row],[IP/GS]],Pitchers[[#This Row],[ER/IP From Average]]*(Pitchers[[#This Row],[IP]]/Pitchers[[#This Row],[G]]))</f>
        <v>0.17780618025723083</v>
      </c>
      <c r="Z143" s="60">
        <f t="shared" si="8"/>
        <v>0.13414318958796431</v>
      </c>
      <c r="AA143" s="32">
        <f>IF(Pitchers[[#This Row],[W]]=0,0,Pitchers[[#This Row],[W]]/(Pitchers[[#This Row],[W]]+Pitchers[[#This Row],[L]]))</f>
        <v>0.7</v>
      </c>
      <c r="AB143" s="60"/>
    </row>
    <row r="144" spans="1:28" x14ac:dyDescent="0.25">
      <c r="A144" t="s">
        <v>372</v>
      </c>
      <c r="B144" t="s">
        <v>5</v>
      </c>
      <c r="C144">
        <v>24</v>
      </c>
      <c r="D144">
        <v>13</v>
      </c>
      <c r="E144">
        <v>0</v>
      </c>
      <c r="F144">
        <v>0</v>
      </c>
      <c r="G144">
        <v>84.2</v>
      </c>
      <c r="H144">
        <v>99</v>
      </c>
      <c r="I144">
        <v>49</v>
      </c>
      <c r="J144">
        <v>62</v>
      </c>
      <c r="K144">
        <v>26</v>
      </c>
      <c r="L144">
        <v>13</v>
      </c>
      <c r="M144">
        <v>4</v>
      </c>
      <c r="N144">
        <v>10</v>
      </c>
      <c r="O144">
        <v>3</v>
      </c>
      <c r="P144">
        <v>2</v>
      </c>
      <c r="Q144">
        <v>0</v>
      </c>
      <c r="R144">
        <v>5.21</v>
      </c>
      <c r="S144">
        <v>1.48</v>
      </c>
      <c r="T144">
        <f t="shared" si="6"/>
        <v>6.476923076923077</v>
      </c>
      <c r="U144">
        <f t="shared" si="7"/>
        <v>0.58194774346793343</v>
      </c>
      <c r="V144">
        <f>U144-AVERAGEIFS(Pitchers[ER/IP],Pitchers[GS],"&gt;"&amp;0,Pitchers[IP],"&gt;"&amp;3)</f>
        <v>1.0447148668613959E-2</v>
      </c>
      <c r="W144">
        <f>IF(Pitchers[[#This Row],[IP/GS]]&lt;&gt;0,(Pitchers[[#This Row],[WHIP]]*$AH$5+$AI$5)/9*Pitchers[[#This Row],[IP/GS]],(Pitchers[[#This Row],[WHIP]]*$AH$5+$AI$5)/9*(Pitchers[[#This Row],[IP]]/Pitchers[[#This Row],[G]]))</f>
        <v>3.677409935891077</v>
      </c>
      <c r="X144">
        <f>Pitchers[[#This Row],[Runs from WHIP]]-AVERAGEIFS(Pitchers[Runs from WHIP],Pitchers[GS],"&gt;"&amp;0,Pitchers[IP],"&gt;"&amp;3)</f>
        <v>-2.0085059702337822</v>
      </c>
      <c r="Y144">
        <f>IF(Pitchers[[#This Row],[IP/GS]]&lt;&gt;0,Pitchers[[#This Row],[ER/IP From Average]]*Pitchers[[#This Row],[IP/GS]],Pitchers[[#This Row],[ER/IP From Average]]*(Pitchers[[#This Row],[IP]]/Pitchers[[#This Row],[G]]))</f>
        <v>6.7665378299791953E-2</v>
      </c>
      <c r="Z144">
        <f t="shared" si="8"/>
        <v>-0.50853544074242518</v>
      </c>
      <c r="AA144" s="32">
        <f>IF(Pitchers[[#This Row],[W]]=0,0,Pitchers[[#This Row],[W]]/(Pitchers[[#This Row],[W]]+Pitchers[[#This Row],[L]]))</f>
        <v>0.2857142857142857</v>
      </c>
      <c r="AB144" s="60"/>
    </row>
    <row r="145" spans="1:28" x14ac:dyDescent="0.25">
      <c r="A145" t="s">
        <v>728</v>
      </c>
      <c r="B145" t="s">
        <v>4</v>
      </c>
      <c r="C145">
        <v>23</v>
      </c>
      <c r="D145">
        <v>15</v>
      </c>
      <c r="E145">
        <v>0</v>
      </c>
      <c r="F145">
        <v>0</v>
      </c>
      <c r="G145">
        <v>84.2</v>
      </c>
      <c r="H145">
        <v>86</v>
      </c>
      <c r="I145">
        <v>50</v>
      </c>
      <c r="J145">
        <v>68</v>
      </c>
      <c r="K145">
        <v>30</v>
      </c>
      <c r="L145">
        <v>23</v>
      </c>
      <c r="M145">
        <v>5</v>
      </c>
      <c r="N145">
        <v>5</v>
      </c>
      <c r="O145">
        <v>1</v>
      </c>
      <c r="P145">
        <v>0</v>
      </c>
      <c r="Q145">
        <v>0</v>
      </c>
      <c r="R145">
        <v>5.31</v>
      </c>
      <c r="S145">
        <v>1.37</v>
      </c>
      <c r="T145">
        <f t="shared" si="6"/>
        <v>5.6133333333333333</v>
      </c>
      <c r="U145">
        <f t="shared" si="7"/>
        <v>0.59382422802850354</v>
      </c>
      <c r="V145">
        <f>U145-AVERAGEIFS(Pitchers[ER/IP],Pitchers[GS],"&gt;"&amp;0,Pitchers[IP],"&gt;"&amp;3)</f>
        <v>2.232363322918407E-2</v>
      </c>
      <c r="W145">
        <f>IF(Pitchers[[#This Row],[IP/GS]]&lt;&gt;0,(Pitchers[[#This Row],[WHIP]]*$AH$5+$AI$5)/9*Pitchers[[#This Row],[IP/GS]],(Pitchers[[#This Row],[WHIP]]*$AH$5+$AI$5)/9*(Pitchers[[#This Row],[IP]]/Pitchers[[#This Row],[G]]))</f>
        <v>2.8665154280887073</v>
      </c>
      <c r="X145">
        <f>Pitchers[[#This Row],[Runs from WHIP]]-AVERAGEIFS(Pitchers[Runs from WHIP],Pitchers[GS],"&gt;"&amp;0,Pitchers[IP],"&gt;"&amp;3)</f>
        <v>-2.8194004780361519</v>
      </c>
      <c r="Y145">
        <f>IF(Pitchers[[#This Row],[IP/GS]]&lt;&gt;0,Pitchers[[#This Row],[ER/IP From Average]]*Pitchers[[#This Row],[IP/GS]],Pitchers[[#This Row],[ER/IP From Average]]*(Pitchers[[#This Row],[IP]]/Pitchers[[#This Row],[G]]))</f>
        <v>0.12530999452648658</v>
      </c>
      <c r="Z145">
        <f t="shared" si="8"/>
        <v>-0.70171612966571251</v>
      </c>
      <c r="AA145" s="32">
        <f>IF(Pitchers[[#This Row],[W]]=0,0,Pitchers[[#This Row],[W]]/(Pitchers[[#This Row],[W]]+Pitchers[[#This Row],[L]]))</f>
        <v>0.5</v>
      </c>
      <c r="AB145" s="60"/>
    </row>
    <row r="146" spans="1:28" x14ac:dyDescent="0.25">
      <c r="A146" t="s">
        <v>466</v>
      </c>
      <c r="B146" t="s">
        <v>6</v>
      </c>
      <c r="C146">
        <v>72</v>
      </c>
      <c r="D146">
        <v>0</v>
      </c>
      <c r="E146">
        <v>0</v>
      </c>
      <c r="F146">
        <v>0</v>
      </c>
      <c r="G146">
        <v>83.2</v>
      </c>
      <c r="H146">
        <v>58</v>
      </c>
      <c r="I146">
        <v>33</v>
      </c>
      <c r="J146">
        <v>77</v>
      </c>
      <c r="K146">
        <v>36</v>
      </c>
      <c r="L146">
        <v>11</v>
      </c>
      <c r="M146">
        <v>9</v>
      </c>
      <c r="N146">
        <v>5</v>
      </c>
      <c r="O146">
        <v>3</v>
      </c>
      <c r="P146">
        <v>8</v>
      </c>
      <c r="Q146">
        <v>21</v>
      </c>
      <c r="R146">
        <v>3.55</v>
      </c>
      <c r="S146">
        <v>1.1200000000000001</v>
      </c>
      <c r="T146">
        <f t="shared" si="6"/>
        <v>0</v>
      </c>
      <c r="U146">
        <f t="shared" si="7"/>
        <v>0.39663461538461536</v>
      </c>
      <c r="V146">
        <f>U146-AVERAGEIFS(Pitchers[ER/IP],Pitchers[GS],"&gt;"&amp;0,Pitchers[IP],"&gt;"&amp;3)</f>
        <v>-0.17486597941470411</v>
      </c>
      <c r="W146">
        <f>IF(Pitchers[[#This Row],[IP/GS]]&lt;&gt;0,(Pitchers[[#This Row],[WHIP]]*$AH$5+$AI$5)/9*Pitchers[[#This Row],[IP/GS]],(Pitchers[[#This Row],[WHIP]]*$AH$5+$AI$5)/9*(Pitchers[[#This Row],[IP]]/Pitchers[[#This Row],[G]]))</f>
        <v>0.44011433345741729</v>
      </c>
      <c r="X146">
        <f>Pitchers[[#This Row],[Runs from WHIP]]-AVERAGEIFS(Pitchers[Runs from WHIP],Pitchers[GS],"&gt;"&amp;0,Pitchers[IP],"&gt;"&amp;3)</f>
        <v>-5.2458015726674416</v>
      </c>
      <c r="Y146">
        <f>IF(Pitchers[[#This Row],[IP/GS]]&lt;&gt;0,Pitchers[[#This Row],[ER/IP From Average]]*Pitchers[[#This Row],[IP/GS]],Pitchers[[#This Row],[ER/IP From Average]]*(Pitchers[[#This Row],[IP]]/Pitchers[[#This Row],[G]]))</f>
        <v>-0.20206735399032477</v>
      </c>
      <c r="Z146">
        <f t="shared" si="8"/>
        <v>-1.4797073609741143</v>
      </c>
      <c r="AA146" s="32">
        <f>IF(Pitchers[[#This Row],[W]]=0,0,Pitchers[[#This Row],[W]]/(Pitchers[[#This Row],[W]]+Pitchers[[#This Row],[L]]))</f>
        <v>0.6428571428571429</v>
      </c>
      <c r="AB146" s="60"/>
    </row>
    <row r="147" spans="1:28" x14ac:dyDescent="0.25">
      <c r="A147" t="s">
        <v>1442</v>
      </c>
      <c r="B147" t="s">
        <v>4</v>
      </c>
      <c r="C147">
        <v>17</v>
      </c>
      <c r="D147">
        <v>15</v>
      </c>
      <c r="E147">
        <v>0</v>
      </c>
      <c r="F147">
        <v>0</v>
      </c>
      <c r="G147">
        <v>83.1</v>
      </c>
      <c r="H147">
        <v>72</v>
      </c>
      <c r="I147">
        <v>33</v>
      </c>
      <c r="J147">
        <v>71</v>
      </c>
      <c r="K147">
        <v>27</v>
      </c>
      <c r="L147">
        <v>14</v>
      </c>
      <c r="M147">
        <v>7</v>
      </c>
      <c r="N147">
        <v>5</v>
      </c>
      <c r="O147">
        <v>0</v>
      </c>
      <c r="P147">
        <v>0</v>
      </c>
      <c r="Q147">
        <v>0</v>
      </c>
      <c r="R147">
        <v>3.56</v>
      </c>
      <c r="S147">
        <v>1.19</v>
      </c>
      <c r="T147">
        <f t="shared" si="6"/>
        <v>5.54</v>
      </c>
      <c r="U147">
        <f t="shared" si="7"/>
        <v>0.39711191335740076</v>
      </c>
      <c r="V147">
        <f>U147-AVERAGEIFS(Pitchers[ER/IP],Pitchers[GS],"&gt;"&amp;0,Pitchers[IP],"&gt;"&amp;3)</f>
        <v>-0.17438868144191871</v>
      </c>
      <c r="W147">
        <f>IF(Pitchers[[#This Row],[IP/GS]]&lt;&gt;0,(Pitchers[[#This Row],[WHIP]]*$AH$5+$AI$5)/9*Pitchers[[#This Row],[IP/GS]],(Pitchers[[#This Row],[WHIP]]*$AH$5+$AI$5)/9*(Pitchers[[#This Row],[IP]]/Pitchers[[#This Row],[G]]))</f>
        <v>2.3113456981852933</v>
      </c>
      <c r="X147">
        <f>Pitchers[[#This Row],[Runs from WHIP]]-AVERAGEIFS(Pitchers[Runs from WHIP],Pitchers[GS],"&gt;"&amp;0,Pitchers[IP],"&gt;"&amp;3)</f>
        <v>-3.3745702079395659</v>
      </c>
      <c r="Y147">
        <f>IF(Pitchers[[#This Row],[IP/GS]]&lt;&gt;0,Pitchers[[#This Row],[ER/IP From Average]]*Pitchers[[#This Row],[IP/GS]],Pitchers[[#This Row],[ER/IP From Average]]*(Pitchers[[#This Row],[IP]]/Pitchers[[#This Row],[G]]))</f>
        <v>-0.96611329518822964</v>
      </c>
      <c r="Z147">
        <f t="shared" si="8"/>
        <v>-1.2863307068591761</v>
      </c>
      <c r="AA147" s="32">
        <f>IF(Pitchers[[#This Row],[W]]=0,0,Pitchers[[#This Row],[W]]/(Pitchers[[#This Row],[W]]+Pitchers[[#This Row],[L]]))</f>
        <v>0.58333333333333337</v>
      </c>
      <c r="AB147" s="60"/>
    </row>
    <row r="148" spans="1:28" x14ac:dyDescent="0.25">
      <c r="A148" t="s">
        <v>523</v>
      </c>
      <c r="B148" t="s">
        <v>12</v>
      </c>
      <c r="C148">
        <v>73</v>
      </c>
      <c r="D148">
        <v>0</v>
      </c>
      <c r="E148">
        <v>0</v>
      </c>
      <c r="F148">
        <v>0</v>
      </c>
      <c r="G148">
        <v>83.1</v>
      </c>
      <c r="H148">
        <v>68</v>
      </c>
      <c r="I148">
        <v>27</v>
      </c>
      <c r="J148">
        <v>85</v>
      </c>
      <c r="K148">
        <v>28</v>
      </c>
      <c r="L148">
        <v>9</v>
      </c>
      <c r="M148">
        <v>1</v>
      </c>
      <c r="N148">
        <v>4</v>
      </c>
      <c r="O148">
        <v>7</v>
      </c>
      <c r="P148">
        <v>4</v>
      </c>
      <c r="Q148">
        <v>21</v>
      </c>
      <c r="R148">
        <v>2.92</v>
      </c>
      <c r="S148">
        <v>1.1499999999999999</v>
      </c>
      <c r="T148">
        <f t="shared" si="6"/>
        <v>0</v>
      </c>
      <c r="U148">
        <f t="shared" si="7"/>
        <v>0.32490974729241878</v>
      </c>
      <c r="V148" s="60">
        <f>U148-AVERAGEIFS(Pitchers[ER/IP],Pitchers[GS],"&gt;"&amp;0,Pitchers[IP],"&gt;"&amp;3)</f>
        <v>-0.24659084750690069</v>
      </c>
      <c r="W148" s="60">
        <f>IF(Pitchers[[#This Row],[IP/GS]]&lt;&gt;0,(Pitchers[[#This Row],[WHIP]]*$AH$5+$AI$5)/9*Pitchers[[#This Row],[IP/GS]],(Pitchers[[#This Row],[WHIP]]*$AH$5+$AI$5)/9*(Pitchers[[#This Row],[IP]]/Pitchers[[#This Row],[G]]))</f>
        <v>0.45129381053777023</v>
      </c>
      <c r="X148" s="60">
        <f>Pitchers[[#This Row],[Runs from WHIP]]-AVERAGEIFS(Pitchers[Runs from WHIP],Pitchers[GS],"&gt;"&amp;0,Pitchers[IP],"&gt;"&amp;3)</f>
        <v>-5.2346220955870892</v>
      </c>
      <c r="Y148" s="60">
        <f>IF(Pitchers[[#This Row],[IP/GS]]&lt;&gt;0,Pitchers[[#This Row],[ER/IP From Average]]*Pitchers[[#This Row],[IP/GS]],Pitchers[[#This Row],[ER/IP From Average]]*(Pitchers[[#This Row],[IP]]/Pitchers[[#This Row],[G]]))</f>
        <v>-0.2807082113400472</v>
      </c>
      <c r="Z148" s="60">
        <f t="shared" si="8"/>
        <v>-1.5081825100259092</v>
      </c>
      <c r="AA148" s="32">
        <f>IF(Pitchers[[#This Row],[W]]=0,0,Pitchers[[#This Row],[W]]/(Pitchers[[#This Row],[W]]+Pitchers[[#This Row],[L]]))</f>
        <v>0.2</v>
      </c>
      <c r="AB148" s="60"/>
    </row>
    <row r="149" spans="1:28" x14ac:dyDescent="0.25">
      <c r="A149" t="s">
        <v>480</v>
      </c>
      <c r="B149" t="s">
        <v>17</v>
      </c>
      <c r="C149">
        <v>80</v>
      </c>
      <c r="D149">
        <v>0</v>
      </c>
      <c r="E149">
        <v>0</v>
      </c>
      <c r="F149">
        <v>0</v>
      </c>
      <c r="G149">
        <v>83</v>
      </c>
      <c r="H149">
        <v>57</v>
      </c>
      <c r="I149">
        <v>25</v>
      </c>
      <c r="J149">
        <v>71</v>
      </c>
      <c r="K149">
        <v>10</v>
      </c>
      <c r="L149">
        <v>11</v>
      </c>
      <c r="M149">
        <v>5</v>
      </c>
      <c r="N149">
        <v>3</v>
      </c>
      <c r="O149">
        <v>0</v>
      </c>
      <c r="P149">
        <v>1</v>
      </c>
      <c r="Q149">
        <v>29</v>
      </c>
      <c r="R149">
        <v>2.71</v>
      </c>
      <c r="S149">
        <v>0.81</v>
      </c>
      <c r="T149">
        <f t="shared" si="6"/>
        <v>0</v>
      </c>
      <c r="U149">
        <f t="shared" si="7"/>
        <v>0.30120481927710846</v>
      </c>
      <c r="V149" s="60">
        <f>U149-AVERAGEIFS(Pitchers[ER/IP],Pitchers[GS],"&gt;"&amp;0,Pitchers[IP],"&gt;"&amp;3)</f>
        <v>-0.27029577552221101</v>
      </c>
      <c r="W149" s="60">
        <f>IF(Pitchers[[#This Row],[IP/GS]]&lt;&gt;0,(Pitchers[[#This Row],[WHIP]]*$AH$5+$AI$5)/9*Pitchers[[#This Row],[IP/GS]],(Pitchers[[#This Row],[WHIP]]*$AH$5+$AI$5)/9*(Pitchers[[#This Row],[IP]]/Pitchers[[#This Row],[G]]))</f>
        <v>0.22817110866628515</v>
      </c>
      <c r="X149" s="60">
        <f>Pitchers[[#This Row],[Runs from WHIP]]-AVERAGEIFS(Pitchers[Runs from WHIP],Pitchers[GS],"&gt;"&amp;0,Pitchers[IP],"&gt;"&amp;3)</f>
        <v>-5.4577447974585738</v>
      </c>
      <c r="Y149" s="60">
        <f>IF(Pitchers[[#This Row],[IP/GS]]&lt;&gt;0,Pitchers[[#This Row],[ER/IP From Average]]*Pitchers[[#This Row],[IP/GS]],Pitchers[[#This Row],[ER/IP From Average]]*(Pitchers[[#This Row],[IP]]/Pitchers[[#This Row],[G]]))</f>
        <v>-0.28043186710429396</v>
      </c>
      <c r="Z149" s="60">
        <f t="shared" si="8"/>
        <v>-1.5675713594973375</v>
      </c>
      <c r="AA149" s="32">
        <f>IF(Pitchers[[#This Row],[W]]=0,0,Pitchers[[#This Row],[W]]/(Pitchers[[#This Row],[W]]+Pitchers[[#This Row],[L]]))</f>
        <v>0.625</v>
      </c>
      <c r="AB149" s="60"/>
    </row>
    <row r="150" spans="1:28" x14ac:dyDescent="0.25">
      <c r="A150" t="s">
        <v>473</v>
      </c>
      <c r="B150" t="s">
        <v>7</v>
      </c>
      <c r="C150">
        <v>19</v>
      </c>
      <c r="D150">
        <v>13</v>
      </c>
      <c r="E150">
        <v>0</v>
      </c>
      <c r="F150">
        <v>0</v>
      </c>
      <c r="G150">
        <v>82.2</v>
      </c>
      <c r="H150">
        <v>92</v>
      </c>
      <c r="I150">
        <v>59</v>
      </c>
      <c r="J150">
        <v>75</v>
      </c>
      <c r="K150">
        <v>27</v>
      </c>
      <c r="L150">
        <v>24</v>
      </c>
      <c r="M150">
        <v>4</v>
      </c>
      <c r="N150">
        <v>10</v>
      </c>
      <c r="O150">
        <v>0</v>
      </c>
      <c r="P150">
        <v>0</v>
      </c>
      <c r="Q150">
        <v>0</v>
      </c>
      <c r="R150">
        <v>6.42</v>
      </c>
      <c r="S150">
        <v>1.44</v>
      </c>
      <c r="T150">
        <f t="shared" si="6"/>
        <v>6.3230769230769237</v>
      </c>
      <c r="U150">
        <f t="shared" si="7"/>
        <v>0.71776155717761558</v>
      </c>
      <c r="V150">
        <f>U150-AVERAGEIFS(Pitchers[ER/IP],Pitchers[GS],"&gt;"&amp;0,Pitchers[IP],"&gt;"&amp;3)</f>
        <v>0.14626096237829611</v>
      </c>
      <c r="W150">
        <f>IF(Pitchers[[#This Row],[IP/GS]]&lt;&gt;0,(Pitchers[[#This Row],[WHIP]]*$AH$5+$AI$5)/9*Pitchers[[#This Row],[IP/GS]],(Pitchers[[#This Row],[WHIP]]*$AH$5+$AI$5)/9*(Pitchers[[#This Row],[IP]]/Pitchers[[#This Row],[G]]))</f>
        <v>3.4587492229445322</v>
      </c>
      <c r="X150">
        <f>Pitchers[[#This Row],[Runs from WHIP]]-AVERAGEIFS(Pitchers[Runs from WHIP],Pitchers[GS],"&gt;"&amp;0,Pitchers[IP],"&gt;"&amp;3)</f>
        <v>-2.227166683180327</v>
      </c>
      <c r="Y150">
        <f>IF(Pitchers[[#This Row],[IP/GS]]&lt;&gt;0,Pitchers[[#This Row],[ER/IP From Average]]*Pitchers[[#This Row],[IP/GS]],Pitchers[[#This Row],[ER/IP From Average]]*(Pitchers[[#This Row],[IP]]/Pitchers[[#This Row],[G]]))</f>
        <v>0.92481931596122624</v>
      </c>
      <c r="Z150">
        <f t="shared" si="8"/>
        <v>-0.22398338913026331</v>
      </c>
      <c r="AA150" s="32">
        <f>IF(Pitchers[[#This Row],[W]]=0,0,Pitchers[[#This Row],[W]]/(Pitchers[[#This Row],[W]]+Pitchers[[#This Row],[L]]))</f>
        <v>0.2857142857142857</v>
      </c>
      <c r="AB150" s="60"/>
    </row>
    <row r="151" spans="1:28" x14ac:dyDescent="0.25">
      <c r="A151" t="s">
        <v>1475</v>
      </c>
      <c r="B151" t="s">
        <v>8</v>
      </c>
      <c r="C151">
        <v>17</v>
      </c>
      <c r="D151">
        <v>16</v>
      </c>
      <c r="E151">
        <v>0</v>
      </c>
      <c r="F151">
        <v>0</v>
      </c>
      <c r="G151">
        <v>82.1</v>
      </c>
      <c r="H151">
        <v>80</v>
      </c>
      <c r="I151">
        <v>45</v>
      </c>
      <c r="J151">
        <v>80</v>
      </c>
      <c r="K151">
        <v>28</v>
      </c>
      <c r="L151">
        <v>17</v>
      </c>
      <c r="M151">
        <v>4</v>
      </c>
      <c r="N151">
        <v>8</v>
      </c>
      <c r="O151">
        <v>0</v>
      </c>
      <c r="P151">
        <v>0</v>
      </c>
      <c r="Q151">
        <v>0</v>
      </c>
      <c r="R151">
        <v>4.92</v>
      </c>
      <c r="S151">
        <v>1.31</v>
      </c>
      <c r="T151">
        <f t="shared" si="6"/>
        <v>5.1312499999999996</v>
      </c>
      <c r="U151">
        <f t="shared" si="7"/>
        <v>0.54811205846528632</v>
      </c>
      <c r="V151">
        <f>U151-AVERAGEIFS(Pitchers[ER/IP],Pitchers[GS],"&gt;"&amp;0,Pitchers[IP],"&gt;"&amp;3)</f>
        <v>-2.338853633403315E-2</v>
      </c>
      <c r="W151">
        <f>IF(Pitchers[[#This Row],[IP/GS]]&lt;&gt;0,(Pitchers[[#This Row],[WHIP]]*$AH$5+$AI$5)/9*Pitchers[[#This Row],[IP/GS]],(Pitchers[[#This Row],[WHIP]]*$AH$5+$AI$5)/9*(Pitchers[[#This Row],[IP]]/Pitchers[[#This Row],[G]]))</f>
        <v>2.4604928739265173</v>
      </c>
      <c r="X151">
        <f>Pitchers[[#This Row],[Runs from WHIP]]-AVERAGEIFS(Pitchers[Runs from WHIP],Pitchers[GS],"&gt;"&amp;0,Pitchers[IP],"&gt;"&amp;3)</f>
        <v>-3.2254230321983419</v>
      </c>
      <c r="Y151">
        <f>IF(Pitchers[[#This Row],[IP/GS]]&lt;&gt;0,Pitchers[[#This Row],[ER/IP From Average]]*Pitchers[[#This Row],[IP/GS]],Pitchers[[#This Row],[ER/IP From Average]]*(Pitchers[[#This Row],[IP]]/Pitchers[[#This Row],[G]]))</f>
        <v>-0.1200124270640076</v>
      </c>
      <c r="Z151">
        <f t="shared" si="8"/>
        <v>-0.90811777941182736</v>
      </c>
      <c r="AA151" s="32">
        <f>IF(Pitchers[[#This Row],[W]]=0,0,Pitchers[[#This Row],[W]]/(Pitchers[[#This Row],[W]]+Pitchers[[#This Row],[L]]))</f>
        <v>0.33333333333333331</v>
      </c>
      <c r="AB151" s="60"/>
    </row>
    <row r="152" spans="1:28" x14ac:dyDescent="0.25">
      <c r="A152" t="s">
        <v>438</v>
      </c>
      <c r="B152" t="s">
        <v>14</v>
      </c>
      <c r="C152">
        <v>17</v>
      </c>
      <c r="D152">
        <v>17</v>
      </c>
      <c r="E152">
        <v>0</v>
      </c>
      <c r="F152">
        <v>0</v>
      </c>
      <c r="G152">
        <v>82.1</v>
      </c>
      <c r="H152">
        <v>88</v>
      </c>
      <c r="I152">
        <v>49</v>
      </c>
      <c r="J152">
        <v>90</v>
      </c>
      <c r="K152">
        <v>33</v>
      </c>
      <c r="L152">
        <v>16</v>
      </c>
      <c r="M152">
        <v>5</v>
      </c>
      <c r="N152">
        <v>7</v>
      </c>
      <c r="O152">
        <v>0</v>
      </c>
      <c r="P152">
        <v>0</v>
      </c>
      <c r="Q152">
        <v>0</v>
      </c>
      <c r="R152">
        <v>5.36</v>
      </c>
      <c r="S152">
        <v>1.47</v>
      </c>
      <c r="T152">
        <f t="shared" si="6"/>
        <v>4.8294117647058821</v>
      </c>
      <c r="U152">
        <f t="shared" si="7"/>
        <v>0.59683313032886731</v>
      </c>
      <c r="V152">
        <f>U152-AVERAGEIFS(Pitchers[ER/IP],Pitchers[GS],"&gt;"&amp;0,Pitchers[IP],"&gt;"&amp;3)</f>
        <v>2.5332535529547839E-2</v>
      </c>
      <c r="W152">
        <f>IF(Pitchers[[#This Row],[IP/GS]]&lt;&gt;0,(Pitchers[[#This Row],[WHIP]]*$AH$5+$AI$5)/9*Pitchers[[#This Row],[IP/GS]],(Pitchers[[#This Row],[WHIP]]*$AH$5+$AI$5)/9*(Pitchers[[#This Row],[IP]]/Pitchers[[#This Row],[G]]))</f>
        <v>2.7169274832939592</v>
      </c>
      <c r="X152">
        <f>Pitchers[[#This Row],[Runs from WHIP]]-AVERAGEIFS(Pitchers[Runs from WHIP],Pitchers[GS],"&gt;"&amp;0,Pitchers[IP],"&gt;"&amp;3)</f>
        <v>-2.9689884228309</v>
      </c>
      <c r="Y152">
        <f>IF(Pitchers[[#This Row],[IP/GS]]&lt;&gt;0,Pitchers[[#This Row],[ER/IP From Average]]*Pitchers[[#This Row],[IP/GS]],Pitchers[[#This Row],[ER/IP From Average]]*(Pitchers[[#This Row],[IP]]/Pitchers[[#This Row],[G]]))</f>
        <v>0.12234124511622808</v>
      </c>
      <c r="Z152">
        <f t="shared" si="8"/>
        <v>-0.74279374804174869</v>
      </c>
      <c r="AA152" s="32">
        <f>IF(Pitchers[[#This Row],[W]]=0,0,Pitchers[[#This Row],[W]]/(Pitchers[[#This Row],[W]]+Pitchers[[#This Row],[L]]))</f>
        <v>0.41666666666666669</v>
      </c>
      <c r="AB152" s="60"/>
    </row>
    <row r="153" spans="1:28" x14ac:dyDescent="0.25">
      <c r="A153" t="s">
        <v>1355</v>
      </c>
      <c r="B153" t="s">
        <v>5</v>
      </c>
      <c r="C153">
        <v>21</v>
      </c>
      <c r="D153">
        <v>15</v>
      </c>
      <c r="E153">
        <v>0</v>
      </c>
      <c r="F153">
        <v>0</v>
      </c>
      <c r="G153">
        <v>82.1</v>
      </c>
      <c r="H153">
        <v>76</v>
      </c>
      <c r="I153">
        <v>46</v>
      </c>
      <c r="J153">
        <v>85</v>
      </c>
      <c r="K153">
        <v>26</v>
      </c>
      <c r="L153">
        <v>20</v>
      </c>
      <c r="M153">
        <v>3</v>
      </c>
      <c r="N153">
        <v>5</v>
      </c>
      <c r="O153">
        <v>0</v>
      </c>
      <c r="P153">
        <v>0</v>
      </c>
      <c r="Q153">
        <v>0</v>
      </c>
      <c r="R153">
        <v>5.03</v>
      </c>
      <c r="S153">
        <v>1.24</v>
      </c>
      <c r="T153">
        <f t="shared" si="6"/>
        <v>5.4733333333333327</v>
      </c>
      <c r="U153">
        <f t="shared" si="7"/>
        <v>0.56029232643118154</v>
      </c>
      <c r="V153" s="60">
        <f>U153-AVERAGEIFS(Pitchers[ER/IP],Pitchers[GS],"&gt;"&amp;0,Pitchers[IP],"&gt;"&amp;3)</f>
        <v>-1.120826836813793E-2</v>
      </c>
      <c r="W153" s="60">
        <f>IF(Pitchers[[#This Row],[IP/GS]]&lt;&gt;0,(Pitchers[[#This Row],[WHIP]]*$AH$5+$AI$5)/9*Pitchers[[#This Row],[IP/GS]],(Pitchers[[#This Row],[WHIP]]*$AH$5+$AI$5)/9*(Pitchers[[#This Row],[IP]]/Pitchers[[#This Row],[G]]))</f>
        <v>2.4256125295540714</v>
      </c>
      <c r="X153" s="60">
        <f>Pitchers[[#This Row],[Runs from WHIP]]-AVERAGEIFS(Pitchers[Runs from WHIP],Pitchers[GS],"&gt;"&amp;0,Pitchers[IP],"&gt;"&amp;3)</f>
        <v>-3.2603033765707878</v>
      </c>
      <c r="Y153" s="60">
        <f>IF(Pitchers[[#This Row],[IP/GS]]&lt;&gt;0,Pitchers[[#This Row],[ER/IP From Average]]*Pitchers[[#This Row],[IP/GS]],Pitchers[[#This Row],[ER/IP From Average]]*(Pitchers[[#This Row],[IP]]/Pitchers[[#This Row],[G]]))</f>
        <v>-6.1346588868274932E-2</v>
      </c>
      <c r="Z153" s="60">
        <f t="shared" si="8"/>
        <v>-0.89395286929952011</v>
      </c>
      <c r="AA153" s="32">
        <f>IF(Pitchers[[#This Row],[W]]=0,0,Pitchers[[#This Row],[W]]/(Pitchers[[#This Row],[W]]+Pitchers[[#This Row],[L]]))</f>
        <v>0.375</v>
      </c>
      <c r="AB153" s="60"/>
    </row>
    <row r="154" spans="1:28" x14ac:dyDescent="0.25">
      <c r="A154" t="s">
        <v>467</v>
      </c>
      <c r="B154" t="s">
        <v>370</v>
      </c>
      <c r="C154">
        <v>76</v>
      </c>
      <c r="D154">
        <v>0</v>
      </c>
      <c r="E154">
        <v>0</v>
      </c>
      <c r="F154">
        <v>0</v>
      </c>
      <c r="G154">
        <v>82</v>
      </c>
      <c r="H154">
        <v>80</v>
      </c>
      <c r="I154">
        <v>30</v>
      </c>
      <c r="J154">
        <v>73</v>
      </c>
      <c r="K154">
        <v>15</v>
      </c>
      <c r="L154">
        <v>13</v>
      </c>
      <c r="M154">
        <v>8</v>
      </c>
      <c r="N154">
        <v>7</v>
      </c>
      <c r="O154">
        <v>4</v>
      </c>
      <c r="P154">
        <v>9</v>
      </c>
      <c r="Q154">
        <v>31</v>
      </c>
      <c r="R154">
        <v>3.29</v>
      </c>
      <c r="S154">
        <v>1.1599999999999999</v>
      </c>
      <c r="T154">
        <f t="shared" si="6"/>
        <v>0</v>
      </c>
      <c r="U154">
        <f t="shared" si="7"/>
        <v>0.36585365853658536</v>
      </c>
      <c r="V154" s="60">
        <f>U154-AVERAGEIFS(Pitchers[ER/IP],Pitchers[GS],"&gt;"&amp;0,Pitchers[IP],"&gt;"&amp;3)</f>
        <v>-0.20564693626273411</v>
      </c>
      <c r="W154" s="60">
        <f>IF(Pitchers[[#This Row],[IP/GS]]&lt;&gt;0,(Pitchers[[#This Row],[WHIP]]*$AH$5+$AI$5)/9*Pitchers[[#This Row],[IP/GS]],(Pitchers[[#This Row],[WHIP]]*$AH$5+$AI$5)/9*(Pitchers[[#This Row],[IP]]/Pitchers[[#This Row],[G]]))</f>
        <v>0.43334320802477949</v>
      </c>
      <c r="X154" s="60">
        <f>Pitchers[[#This Row],[Runs from WHIP]]-AVERAGEIFS(Pitchers[Runs from WHIP],Pitchers[GS],"&gt;"&amp;0,Pitchers[IP],"&gt;"&amp;3)</f>
        <v>-5.2525726981000798</v>
      </c>
      <c r="Y154" s="60">
        <f>IF(Pitchers[[#This Row],[IP/GS]]&lt;&gt;0,Pitchers[[#This Row],[ER/IP From Average]]*Pitchers[[#This Row],[IP/GS]],Pitchers[[#This Row],[ER/IP From Average]]*(Pitchers[[#This Row],[IP]]/Pitchers[[#This Row],[G]]))</f>
        <v>-0.22188222070452893</v>
      </c>
      <c r="Z154" s="60">
        <f t="shared" si="8"/>
        <v>-1.4894389411084996</v>
      </c>
      <c r="AA154" s="32">
        <f>IF(Pitchers[[#This Row],[W]]=0,0,Pitchers[[#This Row],[W]]/(Pitchers[[#This Row],[W]]+Pitchers[[#This Row],[L]]))</f>
        <v>0.53333333333333333</v>
      </c>
      <c r="AB154" s="60"/>
    </row>
    <row r="155" spans="1:28" x14ac:dyDescent="0.25">
      <c r="A155" t="s">
        <v>520</v>
      </c>
      <c r="B155" t="s">
        <v>28</v>
      </c>
      <c r="C155">
        <v>43</v>
      </c>
      <c r="D155">
        <v>0</v>
      </c>
      <c r="E155">
        <v>0</v>
      </c>
      <c r="F155">
        <v>0</v>
      </c>
      <c r="G155">
        <v>81</v>
      </c>
      <c r="H155">
        <v>75</v>
      </c>
      <c r="I155">
        <v>37</v>
      </c>
      <c r="J155">
        <v>75</v>
      </c>
      <c r="K155">
        <v>31</v>
      </c>
      <c r="L155">
        <v>14</v>
      </c>
      <c r="M155">
        <v>2</v>
      </c>
      <c r="N155">
        <v>1</v>
      </c>
      <c r="O155">
        <v>1</v>
      </c>
      <c r="P155">
        <v>0</v>
      </c>
      <c r="Q155">
        <v>4</v>
      </c>
      <c r="R155">
        <v>4.1100000000000003</v>
      </c>
      <c r="S155">
        <v>1.31</v>
      </c>
      <c r="T155">
        <f t="shared" si="6"/>
        <v>0</v>
      </c>
      <c r="U155">
        <f t="shared" si="7"/>
        <v>0.4567901234567901</v>
      </c>
      <c r="V155" s="60">
        <f>U155-AVERAGEIFS(Pitchers[ER/IP],Pitchers[GS],"&gt;"&amp;0,Pitchers[IP],"&gt;"&amp;3)</f>
        <v>-0.11471047134252937</v>
      </c>
      <c r="W155" s="60">
        <f>IF(Pitchers[[#This Row],[IP/GS]]&lt;&gt;0,(Pitchers[[#This Row],[WHIP]]*$AH$5+$AI$5)/9*Pitchers[[#This Row],[IP/GS]],(Pitchers[[#This Row],[WHIP]]*$AH$5+$AI$5)/9*(Pitchers[[#This Row],[IP]]/Pitchers[[#This Row],[G]]))</f>
        <v>0.90326566144768627</v>
      </c>
      <c r="X155" s="60">
        <f>Pitchers[[#This Row],[Runs from WHIP]]-AVERAGEIFS(Pitchers[Runs from WHIP],Pitchers[GS],"&gt;"&amp;0,Pitchers[IP],"&gt;"&amp;3)</f>
        <v>-4.782650244677173</v>
      </c>
      <c r="Y155" s="60">
        <f>IF(Pitchers[[#This Row],[IP/GS]]&lt;&gt;0,Pitchers[[#This Row],[ER/IP From Average]]*Pitchers[[#This Row],[IP/GS]],Pitchers[[#This Row],[ER/IP From Average]]*(Pitchers[[#This Row],[IP]]/Pitchers[[#This Row],[G]]))</f>
        <v>-0.21608251578476464</v>
      </c>
      <c r="Z155" s="60">
        <f t="shared" si="8"/>
        <v>-1.3618064048944853</v>
      </c>
      <c r="AA155" s="32">
        <f>IF(Pitchers[[#This Row],[W]]=0,0,Pitchers[[#This Row],[W]]/(Pitchers[[#This Row],[W]]+Pitchers[[#This Row],[L]]))</f>
        <v>0.66666666666666663</v>
      </c>
      <c r="AB155" s="60"/>
    </row>
    <row r="156" spans="1:28" x14ac:dyDescent="0.25">
      <c r="A156" t="s">
        <v>1370</v>
      </c>
      <c r="B156" t="s">
        <v>7</v>
      </c>
      <c r="C156">
        <v>19</v>
      </c>
      <c r="D156">
        <v>15</v>
      </c>
      <c r="E156">
        <v>0</v>
      </c>
      <c r="F156">
        <v>0</v>
      </c>
      <c r="G156">
        <v>81</v>
      </c>
      <c r="H156">
        <v>100</v>
      </c>
      <c r="I156">
        <v>64</v>
      </c>
      <c r="J156">
        <v>72</v>
      </c>
      <c r="K156">
        <v>33</v>
      </c>
      <c r="L156">
        <v>23</v>
      </c>
      <c r="M156">
        <v>2</v>
      </c>
      <c r="N156">
        <v>6</v>
      </c>
      <c r="O156">
        <v>0</v>
      </c>
      <c r="P156">
        <v>0</v>
      </c>
      <c r="Q156">
        <v>0</v>
      </c>
      <c r="R156">
        <v>7.11</v>
      </c>
      <c r="S156">
        <v>1.64</v>
      </c>
      <c r="T156">
        <f t="shared" si="6"/>
        <v>5.4</v>
      </c>
      <c r="U156">
        <f t="shared" si="7"/>
        <v>0.79012345679012341</v>
      </c>
      <c r="V156">
        <f>U156-AVERAGEIFS(Pitchers[ER/IP],Pitchers[GS],"&gt;"&amp;0,Pitchers[IP],"&gt;"&amp;3)</f>
        <v>0.21862286199080394</v>
      </c>
      <c r="W156">
        <f>IF(Pitchers[[#This Row],[IP/GS]]&lt;&gt;0,(Pitchers[[#This Row],[WHIP]]*$AH$5+$AI$5)/9*Pitchers[[#This Row],[IP/GS]],(Pitchers[[#This Row],[WHIP]]*$AH$5+$AI$5)/9*(Pitchers[[#This Row],[IP]]/Pitchers[[#This Row],[G]]))</f>
        <v>3.5145312002645031</v>
      </c>
      <c r="X156">
        <f>Pitchers[[#This Row],[Runs from WHIP]]-AVERAGEIFS(Pitchers[Runs from WHIP],Pitchers[GS],"&gt;"&amp;0,Pitchers[IP],"&gt;"&amp;3)</f>
        <v>-2.1713847058603561</v>
      </c>
      <c r="Y156">
        <f>IF(Pitchers[[#This Row],[IP/GS]]&lt;&gt;0,Pitchers[[#This Row],[ER/IP From Average]]*Pitchers[[#This Row],[IP/GS]],Pitchers[[#This Row],[ER/IP From Average]]*(Pitchers[[#This Row],[IP]]/Pitchers[[#This Row],[G]]))</f>
        <v>1.1805634547503414</v>
      </c>
      <c r="Z156">
        <f t="shared" si="8"/>
        <v>-0.10681053966262505</v>
      </c>
      <c r="AA156" s="32">
        <f>IF(Pitchers[[#This Row],[W]]=0,0,Pitchers[[#This Row],[W]]/(Pitchers[[#This Row],[W]]+Pitchers[[#This Row],[L]]))</f>
        <v>0.25</v>
      </c>
      <c r="AB156" s="60"/>
    </row>
    <row r="157" spans="1:28" x14ac:dyDescent="0.25">
      <c r="A157" t="s">
        <v>379</v>
      </c>
      <c r="B157" t="s">
        <v>8</v>
      </c>
      <c r="C157">
        <v>23</v>
      </c>
      <c r="D157">
        <v>14</v>
      </c>
      <c r="E157">
        <v>0</v>
      </c>
      <c r="F157">
        <v>0</v>
      </c>
      <c r="G157">
        <v>80</v>
      </c>
      <c r="H157">
        <v>94</v>
      </c>
      <c r="I157">
        <v>63</v>
      </c>
      <c r="J157">
        <v>68</v>
      </c>
      <c r="K157">
        <v>30</v>
      </c>
      <c r="L157">
        <v>28</v>
      </c>
      <c r="M157">
        <v>1</v>
      </c>
      <c r="N157">
        <v>10</v>
      </c>
      <c r="O157">
        <v>0</v>
      </c>
      <c r="P157">
        <v>0</v>
      </c>
      <c r="Q157">
        <v>0</v>
      </c>
      <c r="R157">
        <v>7.09</v>
      </c>
      <c r="S157">
        <v>1.55</v>
      </c>
      <c r="T157">
        <f t="shared" si="6"/>
        <v>5.7142857142857144</v>
      </c>
      <c r="U157">
        <f t="shared" si="7"/>
        <v>0.78749999999999998</v>
      </c>
      <c r="V157">
        <f>U157-AVERAGEIFS(Pitchers[ER/IP],Pitchers[GS],"&gt;"&amp;0,Pitchers[IP],"&gt;"&amp;3)</f>
        <v>0.21599940520068051</v>
      </c>
      <c r="W157">
        <f>IF(Pitchers[[#This Row],[IP/GS]]&lt;&gt;0,(Pitchers[[#This Row],[WHIP]]*$AH$5+$AI$5)/9*Pitchers[[#This Row],[IP/GS]],(Pitchers[[#This Row],[WHIP]]*$AH$5+$AI$5)/9*(Pitchers[[#This Row],[IP]]/Pitchers[[#This Row],[G]]))</f>
        <v>3.4520764108288722</v>
      </c>
      <c r="X157">
        <f>Pitchers[[#This Row],[Runs from WHIP]]-AVERAGEIFS(Pitchers[Runs from WHIP],Pitchers[GS],"&gt;"&amp;0,Pitchers[IP],"&gt;"&amp;3)</f>
        <v>-2.233839495295987</v>
      </c>
      <c r="Y157">
        <f>IF(Pitchers[[#This Row],[IP/GS]]&lt;&gt;0,Pitchers[[#This Row],[ER/IP From Average]]*Pitchers[[#This Row],[IP/GS]],Pitchers[[#This Row],[ER/IP From Average]]*(Pitchers[[#This Row],[IP]]/Pitchers[[#This Row],[G]]))</f>
        <v>1.23428231543246</v>
      </c>
      <c r="Z157">
        <f t="shared" si="8"/>
        <v>-0.10197760590594586</v>
      </c>
      <c r="AA157" s="32">
        <f>IF(Pitchers[[#This Row],[W]]=0,0,Pitchers[[#This Row],[W]]/(Pitchers[[#This Row],[W]]+Pitchers[[#This Row],[L]]))</f>
        <v>9.0909090909090912E-2</v>
      </c>
      <c r="AB157" s="60"/>
    </row>
    <row r="158" spans="1:28" x14ac:dyDescent="0.25">
      <c r="A158" t="s">
        <v>277</v>
      </c>
      <c r="B158" t="s">
        <v>10</v>
      </c>
      <c r="C158">
        <v>16</v>
      </c>
      <c r="D158">
        <v>16</v>
      </c>
      <c r="E158">
        <v>0</v>
      </c>
      <c r="F158">
        <v>0</v>
      </c>
      <c r="G158">
        <v>80</v>
      </c>
      <c r="H158">
        <v>92</v>
      </c>
      <c r="I158">
        <v>55</v>
      </c>
      <c r="J158">
        <v>85</v>
      </c>
      <c r="K158">
        <v>27</v>
      </c>
      <c r="L158">
        <v>12</v>
      </c>
      <c r="M158">
        <v>3</v>
      </c>
      <c r="N158">
        <v>7</v>
      </c>
      <c r="O158">
        <v>0</v>
      </c>
      <c r="P158">
        <v>0</v>
      </c>
      <c r="Q158">
        <v>0</v>
      </c>
      <c r="R158">
        <v>6.19</v>
      </c>
      <c r="S158">
        <v>1.49</v>
      </c>
      <c r="T158">
        <f t="shared" si="6"/>
        <v>5</v>
      </c>
      <c r="U158">
        <f t="shared" si="7"/>
        <v>0.6875</v>
      </c>
      <c r="V158">
        <f>U158-AVERAGEIFS(Pitchers[ER/IP],Pitchers[GS],"&gt;"&amp;0,Pitchers[IP],"&gt;"&amp;3)</f>
        <v>0.11599940520068053</v>
      </c>
      <c r="W158">
        <f>IF(Pitchers[[#This Row],[IP/GS]]&lt;&gt;0,(Pitchers[[#This Row],[WHIP]]*$AH$5+$AI$5)/9*Pitchers[[#This Row],[IP/GS]],(Pitchers[[#This Row],[WHIP]]*$AH$5+$AI$5)/9*(Pitchers[[#This Row],[IP]]/Pitchers[[#This Row],[G]]))</f>
        <v>2.8648143952584615</v>
      </c>
      <c r="X158">
        <f>Pitchers[[#This Row],[Runs from WHIP]]-AVERAGEIFS(Pitchers[Runs from WHIP],Pitchers[GS],"&gt;"&amp;0,Pitchers[IP],"&gt;"&amp;3)</f>
        <v>-2.8211015108663977</v>
      </c>
      <c r="Y158">
        <f>IF(Pitchers[[#This Row],[IP/GS]]&lt;&gt;0,Pitchers[[#This Row],[ER/IP From Average]]*Pitchers[[#This Row],[IP/GS]],Pitchers[[#This Row],[ER/IP From Average]]*(Pitchers[[#This Row],[IP]]/Pitchers[[#This Row],[G]]))</f>
        <v>0.57999702600340264</v>
      </c>
      <c r="Z158">
        <f t="shared" si="8"/>
        <v>-0.5202949258296784</v>
      </c>
      <c r="AA158" s="32">
        <f>IF(Pitchers[[#This Row],[W]]=0,0,Pitchers[[#This Row],[W]]/(Pitchers[[#This Row],[W]]+Pitchers[[#This Row],[L]]))</f>
        <v>0.3</v>
      </c>
      <c r="AB158" s="60"/>
    </row>
    <row r="159" spans="1:28" x14ac:dyDescent="0.25">
      <c r="A159" t="s">
        <v>272</v>
      </c>
      <c r="B159" t="s">
        <v>3</v>
      </c>
      <c r="C159">
        <v>23</v>
      </c>
      <c r="D159">
        <v>12</v>
      </c>
      <c r="E159">
        <v>1</v>
      </c>
      <c r="F159">
        <v>1</v>
      </c>
      <c r="G159">
        <v>80</v>
      </c>
      <c r="H159">
        <v>92</v>
      </c>
      <c r="I159">
        <v>47</v>
      </c>
      <c r="J159">
        <v>96</v>
      </c>
      <c r="K159">
        <v>16</v>
      </c>
      <c r="L159">
        <v>18</v>
      </c>
      <c r="M159">
        <v>6</v>
      </c>
      <c r="N159">
        <v>7</v>
      </c>
      <c r="O159">
        <v>1</v>
      </c>
      <c r="P159">
        <v>1</v>
      </c>
      <c r="Q159">
        <v>0</v>
      </c>
      <c r="R159">
        <v>5.29</v>
      </c>
      <c r="S159">
        <v>1.35</v>
      </c>
      <c r="T159">
        <f t="shared" si="6"/>
        <v>6.666666666666667</v>
      </c>
      <c r="U159">
        <f t="shared" si="7"/>
        <v>0.58750000000000002</v>
      </c>
      <c r="V159">
        <f>U159-AVERAGEIFS(Pitchers[ER/IP],Pitchers[GS],"&gt;"&amp;0,Pitchers[IP],"&gt;"&amp;3)</f>
        <v>1.599940520068055E-2</v>
      </c>
      <c r="W159">
        <f>IF(Pitchers[[#This Row],[IP/GS]]&lt;&gt;0,(Pitchers[[#This Row],[WHIP]]*$AH$5+$AI$5)/9*Pitchers[[#This Row],[IP/GS]],(Pitchers[[#This Row],[WHIP]]*$AH$5+$AI$5)/9*(Pitchers[[#This Row],[IP]]/Pitchers[[#This Row],[G]]))</f>
        <v>3.3351893050034542</v>
      </c>
      <c r="X159">
        <f>Pitchers[[#This Row],[Runs from WHIP]]-AVERAGEIFS(Pitchers[Runs from WHIP],Pitchers[GS],"&gt;"&amp;0,Pitchers[IP],"&gt;"&amp;3)</f>
        <v>-2.350726601121405</v>
      </c>
      <c r="Y159">
        <f>IF(Pitchers[[#This Row],[IP/GS]]&lt;&gt;0,Pitchers[[#This Row],[ER/IP From Average]]*Pitchers[[#This Row],[IP/GS]],Pitchers[[#This Row],[ER/IP From Average]]*(Pitchers[[#This Row],[IP]]/Pitchers[[#This Row],[G]]))</f>
        <v>0.10666270133787034</v>
      </c>
      <c r="Z159">
        <f t="shared" si="8"/>
        <v>-0.58419534643055981</v>
      </c>
      <c r="AA159" s="32">
        <f>IF(Pitchers[[#This Row],[W]]=0,0,Pitchers[[#This Row],[W]]/(Pitchers[[#This Row],[W]]+Pitchers[[#This Row],[L]]))</f>
        <v>0.46153846153846156</v>
      </c>
      <c r="AB159" s="60"/>
    </row>
    <row r="160" spans="1:28" x14ac:dyDescent="0.25">
      <c r="A160" t="s">
        <v>458</v>
      </c>
      <c r="B160" t="s">
        <v>27</v>
      </c>
      <c r="C160">
        <v>61</v>
      </c>
      <c r="D160">
        <v>0</v>
      </c>
      <c r="E160">
        <v>0</v>
      </c>
      <c r="F160">
        <v>0</v>
      </c>
      <c r="G160">
        <v>80</v>
      </c>
      <c r="H160">
        <v>56</v>
      </c>
      <c r="I160">
        <v>24</v>
      </c>
      <c r="J160">
        <v>104</v>
      </c>
      <c r="K160">
        <v>16</v>
      </c>
      <c r="L160">
        <v>8</v>
      </c>
      <c r="M160">
        <v>7</v>
      </c>
      <c r="N160">
        <v>4</v>
      </c>
      <c r="O160">
        <v>6</v>
      </c>
      <c r="P160">
        <v>5</v>
      </c>
      <c r="Q160">
        <v>21</v>
      </c>
      <c r="R160">
        <v>2.7</v>
      </c>
      <c r="S160">
        <v>0.9</v>
      </c>
      <c r="T160">
        <f t="shared" si="6"/>
        <v>0</v>
      </c>
      <c r="U160">
        <f t="shared" si="7"/>
        <v>0.3</v>
      </c>
      <c r="V160">
        <f>U160-AVERAGEIFS(Pitchers[ER/IP],Pitchers[GS],"&gt;"&amp;0,Pitchers[IP],"&gt;"&amp;3)</f>
        <v>-0.27150059479931948</v>
      </c>
      <c r="W160">
        <f>IF(Pitchers[[#This Row],[IP/GS]]&lt;&gt;0,(Pitchers[[#This Row],[WHIP]]*$AH$5+$AI$5)/9*Pitchers[[#This Row],[IP/GS]],(Pitchers[[#This Row],[WHIP]]*$AH$5+$AI$5)/9*(Pitchers[[#This Row],[IP]]/Pitchers[[#This Row],[G]]))</f>
        <v>0.34970452383647915</v>
      </c>
      <c r="X160">
        <f>Pitchers[[#This Row],[Runs from WHIP]]-AVERAGEIFS(Pitchers[Runs from WHIP],Pitchers[GS],"&gt;"&amp;0,Pitchers[IP],"&gt;"&amp;3)</f>
        <v>-5.3362113822883801</v>
      </c>
      <c r="Y160">
        <f>IF(Pitchers[[#This Row],[IP/GS]]&lt;&gt;0,Pitchers[[#This Row],[ER/IP From Average]]*Pitchers[[#This Row],[IP/GS]],Pitchers[[#This Row],[ER/IP From Average]]*(Pitchers[[#This Row],[IP]]/Pitchers[[#This Row],[G]]))</f>
        <v>-0.35606635383517304</v>
      </c>
      <c r="Z160">
        <f t="shared" si="8"/>
        <v>-1.5654162434776371</v>
      </c>
      <c r="AA160" s="32">
        <f>IF(Pitchers[[#This Row],[W]]=0,0,Pitchers[[#This Row],[W]]/(Pitchers[[#This Row],[W]]+Pitchers[[#This Row],[L]]))</f>
        <v>0.63636363636363635</v>
      </c>
      <c r="AB160" s="60"/>
    </row>
    <row r="161" spans="1:28" x14ac:dyDescent="0.25">
      <c r="A161" t="s">
        <v>421</v>
      </c>
      <c r="B161" t="s">
        <v>29</v>
      </c>
      <c r="C161">
        <v>37</v>
      </c>
      <c r="D161">
        <v>8</v>
      </c>
      <c r="E161">
        <v>0</v>
      </c>
      <c r="F161">
        <v>0</v>
      </c>
      <c r="G161">
        <v>79.2</v>
      </c>
      <c r="H161">
        <v>59</v>
      </c>
      <c r="I161">
        <v>22</v>
      </c>
      <c r="J161">
        <v>85</v>
      </c>
      <c r="K161">
        <v>27</v>
      </c>
      <c r="L161">
        <v>7</v>
      </c>
      <c r="M161">
        <v>4</v>
      </c>
      <c r="N161">
        <v>3</v>
      </c>
      <c r="O161">
        <v>4</v>
      </c>
      <c r="P161">
        <v>1</v>
      </c>
      <c r="Q161">
        <v>5</v>
      </c>
      <c r="R161">
        <v>2.4900000000000002</v>
      </c>
      <c r="S161">
        <v>1.08</v>
      </c>
      <c r="T161">
        <f t="shared" si="6"/>
        <v>9.9</v>
      </c>
      <c r="U161">
        <f t="shared" si="7"/>
        <v>0.27777777777777779</v>
      </c>
      <c r="V161">
        <f>U161-AVERAGEIFS(Pitchers[ER/IP],Pitchers[GS],"&gt;"&amp;0,Pitchers[IP],"&gt;"&amp;3)</f>
        <v>-0.29372281702154168</v>
      </c>
      <c r="W161">
        <f>IF(Pitchers[[#This Row],[IP/GS]]&lt;&gt;0,(Pitchers[[#This Row],[WHIP]]*$AH$5+$AI$5)/9*Pitchers[[#This Row],[IP/GS]],(Pitchers[[#This Row],[WHIP]]*$AH$5+$AI$5)/9*(Pitchers[[#This Row],[IP]]/Pitchers[[#This Row],[G]]))</f>
        <v>3.5650016617584246</v>
      </c>
      <c r="X161">
        <f>Pitchers[[#This Row],[Runs from WHIP]]-AVERAGEIFS(Pitchers[Runs from WHIP],Pitchers[GS],"&gt;"&amp;0,Pitchers[IP],"&gt;"&amp;3)</f>
        <v>-2.1209142443664346</v>
      </c>
      <c r="Y161">
        <f>IF(Pitchers[[#This Row],[IP/GS]]&lt;&gt;0,Pitchers[[#This Row],[ER/IP From Average]]*Pitchers[[#This Row],[IP/GS]],Pitchers[[#This Row],[ER/IP From Average]]*(Pitchers[[#This Row],[IP]]/Pitchers[[#This Row],[G]]))</f>
        <v>-2.9078558885132626</v>
      </c>
      <c r="Z161">
        <f t="shared" si="8"/>
        <v>-1.7287194872363543</v>
      </c>
      <c r="AA161" s="32">
        <f>IF(Pitchers[[#This Row],[W]]=0,0,Pitchers[[#This Row],[W]]/(Pitchers[[#This Row],[W]]+Pitchers[[#This Row],[L]]))</f>
        <v>0.5714285714285714</v>
      </c>
      <c r="AB161" s="60"/>
    </row>
    <row r="162" spans="1:28" x14ac:dyDescent="0.25">
      <c r="A162" t="s">
        <v>1235</v>
      </c>
      <c r="B162" t="s">
        <v>2</v>
      </c>
      <c r="C162">
        <v>46</v>
      </c>
      <c r="D162">
        <v>0</v>
      </c>
      <c r="E162">
        <v>0</v>
      </c>
      <c r="F162">
        <v>0</v>
      </c>
      <c r="G162">
        <v>79.2</v>
      </c>
      <c r="H162">
        <v>76</v>
      </c>
      <c r="I162">
        <v>36</v>
      </c>
      <c r="J162">
        <v>74</v>
      </c>
      <c r="K162">
        <v>35</v>
      </c>
      <c r="L162">
        <v>11</v>
      </c>
      <c r="M162">
        <v>5</v>
      </c>
      <c r="N162">
        <v>4</v>
      </c>
      <c r="O162">
        <v>0</v>
      </c>
      <c r="P162">
        <v>1</v>
      </c>
      <c r="Q162">
        <v>1</v>
      </c>
      <c r="R162">
        <v>4.07</v>
      </c>
      <c r="S162">
        <v>1.39</v>
      </c>
      <c r="T162">
        <f t="shared" si="6"/>
        <v>0</v>
      </c>
      <c r="U162">
        <f t="shared" si="7"/>
        <v>0.45454545454545453</v>
      </c>
      <c r="V162">
        <f>U162-AVERAGEIFS(Pitchers[ER/IP],Pitchers[GS],"&gt;"&amp;0,Pitchers[IP],"&gt;"&amp;3)</f>
        <v>-0.11695514025386494</v>
      </c>
      <c r="W162">
        <f>IF(Pitchers[[#This Row],[IP/GS]]&lt;&gt;0,(Pitchers[[#This Row],[WHIP]]*$AH$5+$AI$5)/9*Pitchers[[#This Row],[IP/GS]],(Pitchers[[#This Row],[WHIP]]*$AH$5+$AI$5)/9*(Pitchers[[#This Row],[IP]]/Pitchers[[#This Row],[G]]))</f>
        <v>0.8971042383819664</v>
      </c>
      <c r="X162">
        <f>Pitchers[[#This Row],[Runs from WHIP]]-AVERAGEIFS(Pitchers[Runs from WHIP],Pitchers[GS],"&gt;"&amp;0,Pitchers[IP],"&gt;"&amp;3)</f>
        <v>-4.7888116677428929</v>
      </c>
      <c r="Y162">
        <f>IF(Pitchers[[#This Row],[IP/GS]]&lt;&gt;0,Pitchers[[#This Row],[ER/IP From Average]]*Pitchers[[#This Row],[IP/GS]],Pitchers[[#This Row],[ER/IP From Average]]*(Pitchers[[#This Row],[IP]]/Pitchers[[#This Row],[G]]))</f>
        <v>-0.20136624148056748</v>
      </c>
      <c r="Z162">
        <f t="shared" si="8"/>
        <v>-1.357562941323665</v>
      </c>
      <c r="AA162" s="32">
        <f>IF(Pitchers[[#This Row],[W]]=0,0,Pitchers[[#This Row],[W]]/(Pitchers[[#This Row],[W]]+Pitchers[[#This Row],[L]]))</f>
        <v>0.55555555555555558</v>
      </c>
      <c r="AB162" s="60"/>
    </row>
    <row r="163" spans="1:28" x14ac:dyDescent="0.25">
      <c r="A163" t="s">
        <v>443</v>
      </c>
      <c r="B163" t="s">
        <v>7</v>
      </c>
      <c r="C163">
        <v>15</v>
      </c>
      <c r="D163">
        <v>15</v>
      </c>
      <c r="E163">
        <v>0</v>
      </c>
      <c r="F163">
        <v>0</v>
      </c>
      <c r="G163">
        <v>79.2</v>
      </c>
      <c r="H163">
        <v>73</v>
      </c>
      <c r="I163">
        <v>38</v>
      </c>
      <c r="J163">
        <v>78</v>
      </c>
      <c r="K163">
        <v>28</v>
      </c>
      <c r="L163">
        <v>9</v>
      </c>
      <c r="M163">
        <v>7</v>
      </c>
      <c r="N163">
        <v>7</v>
      </c>
      <c r="O163">
        <v>0</v>
      </c>
      <c r="P163">
        <v>0</v>
      </c>
      <c r="Q163">
        <v>0</v>
      </c>
      <c r="R163">
        <v>4.29</v>
      </c>
      <c r="S163">
        <v>1.27</v>
      </c>
      <c r="T163">
        <f t="shared" si="6"/>
        <v>5.28</v>
      </c>
      <c r="U163">
        <f t="shared" si="7"/>
        <v>0.47979797979797978</v>
      </c>
      <c r="V163">
        <f>U163-AVERAGEIFS(Pitchers[ER/IP],Pitchers[GS],"&gt;"&amp;0,Pitchers[IP],"&gt;"&amp;3)</f>
        <v>-9.1702615001339693E-2</v>
      </c>
      <c r="W163">
        <f>IF(Pitchers[[#This Row],[IP/GS]]&lt;&gt;0,(Pitchers[[#This Row],[WHIP]]*$AH$5+$AI$5)/9*Pitchers[[#This Row],[IP/GS]],(Pitchers[[#This Row],[WHIP]]*$AH$5+$AI$5)/9*(Pitchers[[#This Row],[IP]]/Pitchers[[#This Row],[G]]))</f>
        <v>2.4221704599454785</v>
      </c>
      <c r="X163">
        <f>Pitchers[[#This Row],[Runs from WHIP]]-AVERAGEIFS(Pitchers[Runs from WHIP],Pitchers[GS],"&gt;"&amp;0,Pitchers[IP],"&gt;"&amp;3)</f>
        <v>-3.2637454461793807</v>
      </c>
      <c r="Y163">
        <f>IF(Pitchers[[#This Row],[IP/GS]]&lt;&gt;0,Pitchers[[#This Row],[ER/IP From Average]]*Pitchers[[#This Row],[IP/GS]],Pitchers[[#This Row],[ER/IP From Average]]*(Pitchers[[#This Row],[IP]]/Pitchers[[#This Row],[G]]))</f>
        <v>-0.48418980720707361</v>
      </c>
      <c r="Z163">
        <f t="shared" si="8"/>
        <v>-1.0640080418639977</v>
      </c>
      <c r="AA163" s="32">
        <f>IF(Pitchers[[#This Row],[W]]=0,0,Pitchers[[#This Row],[W]]/(Pitchers[[#This Row],[W]]+Pitchers[[#This Row],[L]]))</f>
        <v>0.5</v>
      </c>
      <c r="AB163" s="60"/>
    </row>
    <row r="164" spans="1:28" x14ac:dyDescent="0.25">
      <c r="A164" t="s">
        <v>593</v>
      </c>
      <c r="B164" t="s">
        <v>10</v>
      </c>
      <c r="C164">
        <v>51</v>
      </c>
      <c r="D164">
        <v>1</v>
      </c>
      <c r="E164">
        <v>0</v>
      </c>
      <c r="F164">
        <v>0</v>
      </c>
      <c r="G164">
        <v>79.099999999999994</v>
      </c>
      <c r="H164">
        <v>82</v>
      </c>
      <c r="I164">
        <v>33</v>
      </c>
      <c r="J164">
        <v>51</v>
      </c>
      <c r="K164">
        <v>7</v>
      </c>
      <c r="L164">
        <v>14</v>
      </c>
      <c r="M164">
        <v>2</v>
      </c>
      <c r="N164">
        <v>1</v>
      </c>
      <c r="O164">
        <v>2</v>
      </c>
      <c r="P164">
        <v>2</v>
      </c>
      <c r="Q164">
        <v>7</v>
      </c>
      <c r="R164">
        <v>3.74</v>
      </c>
      <c r="S164">
        <v>1.1200000000000001</v>
      </c>
      <c r="T164">
        <f t="shared" si="6"/>
        <v>79.099999999999994</v>
      </c>
      <c r="U164">
        <f t="shared" si="7"/>
        <v>0.4171934260429836</v>
      </c>
      <c r="V164">
        <f>U164-AVERAGEIFS(Pitchers[ER/IP],Pitchers[GS],"&gt;"&amp;0,Pitchers[IP],"&gt;"&amp;3)</f>
        <v>-0.15430716875633588</v>
      </c>
      <c r="W164">
        <f>IF(Pitchers[[#This Row],[IP/GS]]&lt;&gt;0,(Pitchers[[#This Row],[WHIP]]*$AH$5+$AI$5)/9*Pitchers[[#This Row],[IP/GS]],(Pitchers[[#This Row],[WHIP]]*$AH$5+$AI$5)/9*(Pitchers[[#This Row],[IP]]/Pitchers[[#This Row],[G]]))</f>
        <v>30.126672498878396</v>
      </c>
      <c r="X164">
        <f>Pitchers[[#This Row],[Runs from WHIP]]-AVERAGEIFS(Pitchers[Runs from WHIP],Pitchers[GS],"&gt;"&amp;0,Pitchers[IP],"&gt;"&amp;3)</f>
        <v>24.440756592753537</v>
      </c>
      <c r="Y164">
        <f>IF(Pitchers[[#This Row],[IP/GS]]&lt;&gt;0,Pitchers[[#This Row],[ER/IP From Average]]*Pitchers[[#This Row],[IP/GS]],Pitchers[[#This Row],[ER/IP From Average]]*(Pitchers[[#This Row],[IP]]/Pitchers[[#This Row],[G]]))</f>
        <v>-12.205697048626167</v>
      </c>
      <c r="Z164">
        <f t="shared" si="8"/>
        <v>1.6352562719504771</v>
      </c>
      <c r="AA164" s="32">
        <f>IF(Pitchers[[#This Row],[W]]=0,0,Pitchers[[#This Row],[W]]/(Pitchers[[#This Row],[W]]+Pitchers[[#This Row],[L]]))</f>
        <v>0.66666666666666663</v>
      </c>
      <c r="AB164" s="60"/>
    </row>
    <row r="165" spans="1:28" x14ac:dyDescent="0.25">
      <c r="A165" t="s">
        <v>1393</v>
      </c>
      <c r="B165" t="s">
        <v>5</v>
      </c>
      <c r="C165">
        <v>15</v>
      </c>
      <c r="D165">
        <v>15</v>
      </c>
      <c r="E165">
        <v>0</v>
      </c>
      <c r="F165">
        <v>0</v>
      </c>
      <c r="G165">
        <v>78.2</v>
      </c>
      <c r="H165">
        <v>54</v>
      </c>
      <c r="I165">
        <v>39</v>
      </c>
      <c r="J165">
        <v>82</v>
      </c>
      <c r="K165">
        <v>36</v>
      </c>
      <c r="L165">
        <v>11</v>
      </c>
      <c r="M165">
        <v>4</v>
      </c>
      <c r="N165">
        <v>5</v>
      </c>
      <c r="O165">
        <v>0</v>
      </c>
      <c r="P165">
        <v>0</v>
      </c>
      <c r="Q165">
        <v>0</v>
      </c>
      <c r="R165">
        <v>4.46</v>
      </c>
      <c r="S165">
        <v>1.1399999999999999</v>
      </c>
      <c r="T165">
        <f t="shared" si="6"/>
        <v>5.2133333333333338</v>
      </c>
      <c r="U165">
        <f t="shared" si="7"/>
        <v>0.49872122762148335</v>
      </c>
      <c r="V165">
        <f>U165-AVERAGEIFS(Pitchers[ER/IP],Pitchers[GS],"&gt;"&amp;0,Pitchers[IP],"&gt;"&amp;3)</f>
        <v>-7.2779367177836118E-2</v>
      </c>
      <c r="W165">
        <f>IF(Pitchers[[#This Row],[IP/GS]]&lt;&gt;0,(Pitchers[[#This Row],[WHIP]]*$AH$5+$AI$5)/9*Pitchers[[#This Row],[IP/GS]],(Pitchers[[#This Row],[WHIP]]*$AH$5+$AI$5)/9*(Pitchers[[#This Row],[IP]]/Pitchers[[#This Row],[G]]))</f>
        <v>2.0397253770975188</v>
      </c>
      <c r="X165">
        <f>Pitchers[[#This Row],[Runs from WHIP]]-AVERAGEIFS(Pitchers[Runs from WHIP],Pitchers[GS],"&gt;"&amp;0,Pitchers[IP],"&gt;"&amp;3)</f>
        <v>-3.6461905290273404</v>
      </c>
      <c r="Y165">
        <f>IF(Pitchers[[#This Row],[IP/GS]]&lt;&gt;0,Pitchers[[#This Row],[ER/IP From Average]]*Pitchers[[#This Row],[IP/GS]],Pitchers[[#This Row],[ER/IP From Average]]*(Pitchers[[#This Row],[IP]]/Pitchers[[#This Row],[G]]))</f>
        <v>-0.379423100887119</v>
      </c>
      <c r="Z165">
        <f t="shared" si="8"/>
        <v>-1.1240867147621383</v>
      </c>
      <c r="AA165" s="32">
        <f>IF(Pitchers[[#This Row],[W]]=0,0,Pitchers[[#This Row],[W]]/(Pitchers[[#This Row],[W]]+Pitchers[[#This Row],[L]]))</f>
        <v>0.44444444444444442</v>
      </c>
      <c r="AB165" s="60"/>
    </row>
    <row r="166" spans="1:28" x14ac:dyDescent="0.25">
      <c r="A166" t="s">
        <v>515</v>
      </c>
      <c r="B166" t="s">
        <v>9</v>
      </c>
      <c r="C166">
        <v>70</v>
      </c>
      <c r="D166">
        <v>0</v>
      </c>
      <c r="E166">
        <v>0</v>
      </c>
      <c r="F166">
        <v>0</v>
      </c>
      <c r="G166">
        <v>78</v>
      </c>
      <c r="H166">
        <v>61</v>
      </c>
      <c r="I166">
        <v>33</v>
      </c>
      <c r="J166">
        <v>76</v>
      </c>
      <c r="K166">
        <v>32</v>
      </c>
      <c r="L166">
        <v>6</v>
      </c>
      <c r="M166">
        <v>9</v>
      </c>
      <c r="N166">
        <v>2</v>
      </c>
      <c r="O166">
        <v>2</v>
      </c>
      <c r="P166">
        <v>4</v>
      </c>
      <c r="Q166">
        <v>6</v>
      </c>
      <c r="R166">
        <v>3.81</v>
      </c>
      <c r="S166">
        <v>1.19</v>
      </c>
      <c r="T166">
        <f t="shared" si="6"/>
        <v>0</v>
      </c>
      <c r="U166">
        <f t="shared" si="7"/>
        <v>0.42307692307692307</v>
      </c>
      <c r="V166">
        <f>U166-AVERAGEIFS(Pitchers[ER/IP],Pitchers[GS],"&gt;"&amp;0,Pitchers[IP],"&gt;"&amp;3)</f>
        <v>-0.1484236717223964</v>
      </c>
      <c r="W166">
        <f>IF(Pitchers[[#This Row],[IP/GS]]&lt;&gt;0,(Pitchers[[#This Row],[WHIP]]*$AH$5+$AI$5)/9*Pitchers[[#This Row],[IP/GS]],(Pitchers[[#This Row],[WHIP]]*$AH$5+$AI$5)/9*(Pitchers[[#This Row],[IP]]/Pitchers[[#This Row],[G]]))</f>
        <v>0.46489160510173511</v>
      </c>
      <c r="X166">
        <f>Pitchers[[#This Row],[Runs from WHIP]]-AVERAGEIFS(Pitchers[Runs from WHIP],Pitchers[GS],"&gt;"&amp;0,Pitchers[IP],"&gt;"&amp;3)</f>
        <v>-5.2210243010231245</v>
      </c>
      <c r="Y166">
        <f>IF(Pitchers[[#This Row],[IP/GS]]&lt;&gt;0,Pitchers[[#This Row],[ER/IP From Average]]*Pitchers[[#This Row],[IP/GS]],Pitchers[[#This Row],[ER/IP From Average]]*(Pitchers[[#This Row],[IP]]/Pitchers[[#This Row],[G]]))</f>
        <v>-0.16538637706209885</v>
      </c>
      <c r="Z166">
        <f t="shared" si="8"/>
        <v>-1.4584276977643393</v>
      </c>
      <c r="AA166" s="32">
        <f>IF(Pitchers[[#This Row],[W]]=0,0,Pitchers[[#This Row],[W]]/(Pitchers[[#This Row],[W]]+Pitchers[[#This Row],[L]]))</f>
        <v>0.81818181818181823</v>
      </c>
      <c r="AB166" s="60"/>
    </row>
    <row r="167" spans="1:28" x14ac:dyDescent="0.25">
      <c r="A167" t="s">
        <v>1317</v>
      </c>
      <c r="B167" t="s">
        <v>18</v>
      </c>
      <c r="C167">
        <v>16</v>
      </c>
      <c r="D167">
        <v>13</v>
      </c>
      <c r="E167">
        <v>0</v>
      </c>
      <c r="F167">
        <v>0</v>
      </c>
      <c r="G167">
        <v>78</v>
      </c>
      <c r="H167">
        <v>75</v>
      </c>
      <c r="I167">
        <v>38</v>
      </c>
      <c r="J167">
        <v>63</v>
      </c>
      <c r="K167">
        <v>29</v>
      </c>
      <c r="L167">
        <v>12</v>
      </c>
      <c r="M167">
        <v>5</v>
      </c>
      <c r="N167">
        <v>5</v>
      </c>
      <c r="O167">
        <v>0</v>
      </c>
      <c r="P167">
        <v>0</v>
      </c>
      <c r="Q167">
        <v>0</v>
      </c>
      <c r="R167">
        <v>4.38</v>
      </c>
      <c r="S167">
        <v>1.33</v>
      </c>
      <c r="T167">
        <f t="shared" si="6"/>
        <v>6</v>
      </c>
      <c r="U167">
        <f t="shared" si="7"/>
        <v>0.48717948717948717</v>
      </c>
      <c r="V167">
        <f>U167-AVERAGEIFS(Pitchers[ER/IP],Pitchers[GS],"&gt;"&amp;0,Pitchers[IP],"&gt;"&amp;3)</f>
        <v>-8.4321107619832303E-2</v>
      </c>
      <c r="W167">
        <f>IF(Pitchers[[#This Row],[IP/GS]]&lt;&gt;0,(Pitchers[[#This Row],[WHIP]]*$AH$5+$AI$5)/9*Pitchers[[#This Row],[IP/GS]],(Pitchers[[#This Row],[WHIP]]*$AH$5+$AI$5)/9*(Pitchers[[#This Row],[IP]]/Pitchers[[#This Row],[G]]))</f>
        <v>2.9393693888163881</v>
      </c>
      <c r="X167">
        <f>Pitchers[[#This Row],[Runs from WHIP]]-AVERAGEIFS(Pitchers[Runs from WHIP],Pitchers[GS],"&gt;"&amp;0,Pitchers[IP],"&gt;"&amp;3)</f>
        <v>-2.7465465173084711</v>
      </c>
      <c r="Y167">
        <f>IF(Pitchers[[#This Row],[IP/GS]]&lt;&gt;0,Pitchers[[#This Row],[ER/IP From Average]]*Pitchers[[#This Row],[IP/GS]],Pitchers[[#This Row],[ER/IP From Average]]*(Pitchers[[#This Row],[IP]]/Pitchers[[#This Row],[G]]))</f>
        <v>-0.50592664571899382</v>
      </c>
      <c r="Z167">
        <f t="shared" si="8"/>
        <v>-0.93478306290318969</v>
      </c>
      <c r="AA167" s="32">
        <f>IF(Pitchers[[#This Row],[W]]=0,0,Pitchers[[#This Row],[W]]/(Pitchers[[#This Row],[W]]+Pitchers[[#This Row],[L]]))</f>
        <v>0.5</v>
      </c>
      <c r="AB167" s="60"/>
    </row>
    <row r="168" spans="1:28" x14ac:dyDescent="0.25">
      <c r="A168" t="s">
        <v>554</v>
      </c>
      <c r="B168" t="s">
        <v>19</v>
      </c>
      <c r="C168">
        <v>48</v>
      </c>
      <c r="D168">
        <v>9</v>
      </c>
      <c r="E168">
        <v>0</v>
      </c>
      <c r="F168">
        <v>0</v>
      </c>
      <c r="G168">
        <v>78</v>
      </c>
      <c r="H168">
        <v>82</v>
      </c>
      <c r="I168">
        <v>42</v>
      </c>
      <c r="J168">
        <v>72</v>
      </c>
      <c r="K168">
        <v>22</v>
      </c>
      <c r="L168">
        <v>12</v>
      </c>
      <c r="M168">
        <v>3</v>
      </c>
      <c r="N168">
        <v>5</v>
      </c>
      <c r="O168">
        <v>1</v>
      </c>
      <c r="P168">
        <v>1</v>
      </c>
      <c r="Q168">
        <v>8</v>
      </c>
      <c r="R168">
        <v>4.8499999999999996</v>
      </c>
      <c r="S168">
        <v>1.33</v>
      </c>
      <c r="T168">
        <f t="shared" si="6"/>
        <v>8.6666666666666661</v>
      </c>
      <c r="U168">
        <f t="shared" si="7"/>
        <v>0.53846153846153844</v>
      </c>
      <c r="V168">
        <f>U168-AVERAGEIFS(Pitchers[ER/IP],Pitchers[GS],"&gt;"&amp;0,Pitchers[IP],"&gt;"&amp;3)</f>
        <v>-3.3039056337781036E-2</v>
      </c>
      <c r="W168">
        <f>IF(Pitchers[[#This Row],[IP/GS]]&lt;&gt;0,(Pitchers[[#This Row],[WHIP]]*$AH$5+$AI$5)/9*Pitchers[[#This Row],[IP/GS]],(Pitchers[[#This Row],[WHIP]]*$AH$5+$AI$5)/9*(Pitchers[[#This Row],[IP]]/Pitchers[[#This Row],[G]]))</f>
        <v>4.2457557838458939</v>
      </c>
      <c r="X168">
        <f>Pitchers[[#This Row],[Runs from WHIP]]-AVERAGEIFS(Pitchers[Runs from WHIP],Pitchers[GS],"&gt;"&amp;0,Pitchers[IP],"&gt;"&amp;3)</f>
        <v>-1.4401601222789653</v>
      </c>
      <c r="Y168">
        <f>IF(Pitchers[[#This Row],[IP/GS]]&lt;&gt;0,Pitchers[[#This Row],[ER/IP From Average]]*Pitchers[[#This Row],[IP/GS]],Pitchers[[#This Row],[ER/IP From Average]]*(Pitchers[[#This Row],[IP]]/Pitchers[[#This Row],[G]]))</f>
        <v>-0.28633848826076896</v>
      </c>
      <c r="Z168">
        <f t="shared" si="8"/>
        <v>-0.49857809457869834</v>
      </c>
      <c r="AA168" s="32">
        <f>IF(Pitchers[[#This Row],[W]]=0,0,Pitchers[[#This Row],[W]]/(Pitchers[[#This Row],[W]]+Pitchers[[#This Row],[L]]))</f>
        <v>0.375</v>
      </c>
      <c r="AB168" s="60"/>
    </row>
    <row r="169" spans="1:28" x14ac:dyDescent="0.25">
      <c r="A169" t="s">
        <v>916</v>
      </c>
      <c r="B169" t="s">
        <v>340</v>
      </c>
      <c r="C169">
        <v>21</v>
      </c>
      <c r="D169">
        <v>12</v>
      </c>
      <c r="E169">
        <v>0</v>
      </c>
      <c r="F169">
        <v>0</v>
      </c>
      <c r="G169">
        <v>78</v>
      </c>
      <c r="H169">
        <v>81</v>
      </c>
      <c r="I169">
        <v>39</v>
      </c>
      <c r="J169">
        <v>41</v>
      </c>
      <c r="K169">
        <v>33</v>
      </c>
      <c r="L169">
        <v>11</v>
      </c>
      <c r="M169">
        <v>4</v>
      </c>
      <c r="N169">
        <v>2</v>
      </c>
      <c r="O169">
        <v>0</v>
      </c>
      <c r="P169">
        <v>0</v>
      </c>
      <c r="Q169">
        <v>0</v>
      </c>
      <c r="R169">
        <v>4.5</v>
      </c>
      <c r="S169">
        <v>1.46</v>
      </c>
      <c r="T169">
        <f t="shared" si="6"/>
        <v>6.5</v>
      </c>
      <c r="U169">
        <f t="shared" si="7"/>
        <v>0.5</v>
      </c>
      <c r="V169">
        <f>U169-AVERAGEIFS(Pitchers[ER/IP],Pitchers[GS],"&gt;"&amp;0,Pitchers[IP],"&gt;"&amp;3)</f>
        <v>-7.1500594799319472E-2</v>
      </c>
      <c r="W169">
        <f>IF(Pitchers[[#This Row],[IP/GS]]&lt;&gt;0,(Pitchers[[#This Row],[WHIP]]*$AH$5+$AI$5)/9*Pitchers[[#This Row],[IP/GS]],(Pitchers[[#This Row],[WHIP]]*$AH$5+$AI$5)/9*(Pitchers[[#This Row],[IP]]/Pitchers[[#This Row],[G]]))</f>
        <v>3.6230196120950788</v>
      </c>
      <c r="X169">
        <f>Pitchers[[#This Row],[Runs from WHIP]]-AVERAGEIFS(Pitchers[Runs from WHIP],Pitchers[GS],"&gt;"&amp;0,Pitchers[IP],"&gt;"&amp;3)</f>
        <v>-2.0628962940297804</v>
      </c>
      <c r="Y169">
        <f>IF(Pitchers[[#This Row],[IP/GS]]&lt;&gt;0,Pitchers[[#This Row],[ER/IP From Average]]*Pitchers[[#This Row],[IP/GS]],Pitchers[[#This Row],[ER/IP From Average]]*(Pitchers[[#This Row],[IP]]/Pitchers[[#This Row],[G]]))</f>
        <v>-0.46475386619557657</v>
      </c>
      <c r="Z169">
        <f t="shared" si="8"/>
        <v>-0.7360072248861721</v>
      </c>
      <c r="AA169" s="32">
        <f>IF(Pitchers[[#This Row],[W]]=0,0,Pitchers[[#This Row],[W]]/(Pitchers[[#This Row],[W]]+Pitchers[[#This Row],[L]]))</f>
        <v>0.66666666666666663</v>
      </c>
      <c r="AB169" s="60"/>
    </row>
    <row r="170" spans="1:28" x14ac:dyDescent="0.25">
      <c r="A170" t="s">
        <v>425</v>
      </c>
      <c r="B170" t="s">
        <v>219</v>
      </c>
      <c r="C170">
        <v>21</v>
      </c>
      <c r="D170">
        <v>17</v>
      </c>
      <c r="E170">
        <v>0</v>
      </c>
      <c r="F170">
        <v>0</v>
      </c>
      <c r="G170">
        <v>77.2</v>
      </c>
      <c r="H170">
        <v>89</v>
      </c>
      <c r="I170">
        <v>49</v>
      </c>
      <c r="J170">
        <v>92</v>
      </c>
      <c r="K170">
        <v>36</v>
      </c>
      <c r="L170">
        <v>17</v>
      </c>
      <c r="M170">
        <v>2</v>
      </c>
      <c r="N170">
        <v>9</v>
      </c>
      <c r="O170">
        <v>0</v>
      </c>
      <c r="P170">
        <v>0</v>
      </c>
      <c r="Q170">
        <v>0</v>
      </c>
      <c r="R170">
        <v>5.68</v>
      </c>
      <c r="S170">
        <v>1.61</v>
      </c>
      <c r="T170">
        <f t="shared" si="6"/>
        <v>4.5411764705882351</v>
      </c>
      <c r="U170">
        <f t="shared" si="7"/>
        <v>0.63471502590673567</v>
      </c>
      <c r="V170">
        <f>U170-AVERAGEIFS(Pitchers[ER/IP],Pitchers[GS],"&gt;"&amp;0,Pitchers[IP],"&gt;"&amp;3)</f>
        <v>6.3214431107416202E-2</v>
      </c>
      <c r="W170">
        <f>IF(Pitchers[[#This Row],[IP/GS]]&lt;&gt;0,(Pitchers[[#This Row],[WHIP]]*$AH$5+$AI$5)/9*Pitchers[[#This Row],[IP/GS]],(Pitchers[[#This Row],[WHIP]]*$AH$5+$AI$5)/9*(Pitchers[[#This Row],[IP]]/Pitchers[[#This Row],[G]]))</f>
        <v>2.8848453151650282</v>
      </c>
      <c r="X170">
        <f>Pitchers[[#This Row],[Runs from WHIP]]-AVERAGEIFS(Pitchers[Runs from WHIP],Pitchers[GS],"&gt;"&amp;0,Pitchers[IP],"&gt;"&amp;3)</f>
        <v>-2.801070590959831</v>
      </c>
      <c r="Y170">
        <f>IF(Pitchers[[#This Row],[IP/GS]]&lt;&gt;0,Pitchers[[#This Row],[ER/IP From Average]]*Pitchers[[#This Row],[IP/GS]],Pitchers[[#This Row],[ER/IP From Average]]*(Pitchers[[#This Row],[IP]]/Pitchers[[#This Row],[G]]))</f>
        <v>0.28706788714661946</v>
      </c>
      <c r="Z170">
        <f t="shared" si="8"/>
        <v>-0.63212500273064043</v>
      </c>
      <c r="AA170" s="32">
        <f>IF(Pitchers[[#This Row],[W]]=0,0,Pitchers[[#This Row],[W]]/(Pitchers[[#This Row],[W]]+Pitchers[[#This Row],[L]]))</f>
        <v>0.18181818181818182</v>
      </c>
      <c r="AB170" s="60"/>
    </row>
    <row r="171" spans="1:28" x14ac:dyDescent="0.25">
      <c r="A171" t="s">
        <v>490</v>
      </c>
      <c r="B171" t="s">
        <v>31</v>
      </c>
      <c r="C171">
        <v>38</v>
      </c>
      <c r="D171">
        <v>5</v>
      </c>
      <c r="E171">
        <v>0</v>
      </c>
      <c r="F171">
        <v>0</v>
      </c>
      <c r="G171">
        <v>76.2</v>
      </c>
      <c r="H171">
        <v>65</v>
      </c>
      <c r="I171">
        <v>32</v>
      </c>
      <c r="J171">
        <v>74</v>
      </c>
      <c r="K171">
        <v>37</v>
      </c>
      <c r="L171">
        <v>8</v>
      </c>
      <c r="M171">
        <v>5</v>
      </c>
      <c r="N171">
        <v>3</v>
      </c>
      <c r="O171">
        <v>2</v>
      </c>
      <c r="P171">
        <v>2</v>
      </c>
      <c r="Q171">
        <v>3</v>
      </c>
      <c r="R171">
        <v>3.76</v>
      </c>
      <c r="S171">
        <v>1.33</v>
      </c>
      <c r="T171">
        <f t="shared" si="6"/>
        <v>15.24</v>
      </c>
      <c r="U171">
        <f t="shared" si="7"/>
        <v>0.41994750656167978</v>
      </c>
      <c r="V171">
        <f>U171-AVERAGEIFS(Pitchers[ER/IP],Pitchers[GS],"&gt;"&amp;0,Pitchers[IP],"&gt;"&amp;3)</f>
        <v>-0.15155308823763969</v>
      </c>
      <c r="W171">
        <f>IF(Pitchers[[#This Row],[IP/GS]]&lt;&gt;0,(Pitchers[[#This Row],[WHIP]]*$AH$5+$AI$5)/9*Pitchers[[#This Row],[IP/GS]],(Pitchers[[#This Row],[WHIP]]*$AH$5+$AI$5)/9*(Pitchers[[#This Row],[IP]]/Pitchers[[#This Row],[G]]))</f>
        <v>7.4659982475936255</v>
      </c>
      <c r="X171">
        <f>Pitchers[[#This Row],[Runs from WHIP]]-AVERAGEIFS(Pitchers[Runs from WHIP],Pitchers[GS],"&gt;"&amp;0,Pitchers[IP],"&gt;"&amp;3)</f>
        <v>1.7800823414687663</v>
      </c>
      <c r="Y171">
        <f>IF(Pitchers[[#This Row],[IP/GS]]&lt;&gt;0,Pitchers[[#This Row],[ER/IP From Average]]*Pitchers[[#This Row],[IP/GS]],Pitchers[[#This Row],[ER/IP From Average]]*(Pitchers[[#This Row],[IP]]/Pitchers[[#This Row],[G]]))</f>
        <v>-2.3096690647416289</v>
      </c>
      <c r="Z171">
        <f t="shared" si="8"/>
        <v>-0.44917900150498058</v>
      </c>
      <c r="AA171" s="32">
        <f>IF(Pitchers[[#This Row],[W]]=0,0,Pitchers[[#This Row],[W]]/(Pitchers[[#This Row],[W]]+Pitchers[[#This Row],[L]]))</f>
        <v>0.625</v>
      </c>
      <c r="AB171" s="60"/>
    </row>
    <row r="172" spans="1:28" x14ac:dyDescent="0.25">
      <c r="A172" t="s">
        <v>368</v>
      </c>
      <c r="B172" t="s">
        <v>4</v>
      </c>
      <c r="C172">
        <v>27</v>
      </c>
      <c r="D172">
        <v>9</v>
      </c>
      <c r="E172">
        <v>0</v>
      </c>
      <c r="F172">
        <v>0</v>
      </c>
      <c r="G172">
        <v>76</v>
      </c>
      <c r="H172">
        <v>81</v>
      </c>
      <c r="I172">
        <v>54</v>
      </c>
      <c r="J172">
        <v>58</v>
      </c>
      <c r="K172">
        <v>35</v>
      </c>
      <c r="L172">
        <v>12</v>
      </c>
      <c r="M172">
        <v>3</v>
      </c>
      <c r="N172">
        <v>5</v>
      </c>
      <c r="O172">
        <v>2</v>
      </c>
      <c r="P172">
        <v>0</v>
      </c>
      <c r="Q172">
        <v>0</v>
      </c>
      <c r="R172">
        <v>6.39</v>
      </c>
      <c r="S172">
        <v>1.53</v>
      </c>
      <c r="T172">
        <f t="shared" si="6"/>
        <v>8.4444444444444446</v>
      </c>
      <c r="U172">
        <f t="shared" si="7"/>
        <v>0.71052631578947367</v>
      </c>
      <c r="V172">
        <f>U172-AVERAGEIFS(Pitchers[ER/IP],Pitchers[GS],"&gt;"&amp;0,Pitchers[IP],"&gt;"&amp;3)</f>
        <v>0.1390257209901542</v>
      </c>
      <c r="W172">
        <f>IF(Pitchers[[#This Row],[IP/GS]]&lt;&gt;0,(Pitchers[[#This Row],[WHIP]]*$AH$5+$AI$5)/9*Pitchers[[#This Row],[IP/GS]],(Pitchers[[#This Row],[WHIP]]*$AH$5+$AI$5)/9*(Pitchers[[#This Row],[IP]]/Pitchers[[#This Row],[G]]))</f>
        <v>5.0137189383695047</v>
      </c>
      <c r="X172">
        <f>Pitchers[[#This Row],[Runs from WHIP]]-AVERAGEIFS(Pitchers[Runs from WHIP],Pitchers[GS],"&gt;"&amp;0,Pitchers[IP],"&gt;"&amp;3)</f>
        <v>-0.67219696775535454</v>
      </c>
      <c r="Y172">
        <f>IF(Pitchers[[#This Row],[IP/GS]]&lt;&gt;0,Pitchers[[#This Row],[ER/IP From Average]]*Pitchers[[#This Row],[IP/GS]],Pitchers[[#This Row],[ER/IP From Average]]*(Pitchers[[#This Row],[IP]]/Pitchers[[#This Row],[G]]))</f>
        <v>1.173994977250191</v>
      </c>
      <c r="Z172">
        <f t="shared" si="8"/>
        <v>0.29034546616531515</v>
      </c>
      <c r="AA172" s="32">
        <f>IF(Pitchers[[#This Row],[W]]=0,0,Pitchers[[#This Row],[W]]/(Pitchers[[#This Row],[W]]+Pitchers[[#This Row],[L]]))</f>
        <v>0.375</v>
      </c>
      <c r="AB172" s="60"/>
    </row>
    <row r="173" spans="1:28" x14ac:dyDescent="0.25">
      <c r="A173" t="s">
        <v>484</v>
      </c>
      <c r="B173" t="s">
        <v>6</v>
      </c>
      <c r="C173">
        <v>61</v>
      </c>
      <c r="D173">
        <v>0</v>
      </c>
      <c r="E173">
        <v>0</v>
      </c>
      <c r="F173">
        <v>0</v>
      </c>
      <c r="G173">
        <v>75.2</v>
      </c>
      <c r="H173">
        <v>41</v>
      </c>
      <c r="I173">
        <v>22</v>
      </c>
      <c r="J173">
        <v>138</v>
      </c>
      <c r="K173">
        <v>20</v>
      </c>
      <c r="L173">
        <v>15</v>
      </c>
      <c r="M173">
        <v>3</v>
      </c>
      <c r="N173">
        <v>5</v>
      </c>
      <c r="O173">
        <v>37</v>
      </c>
      <c r="P173">
        <v>7</v>
      </c>
      <c r="Q173">
        <v>6</v>
      </c>
      <c r="R173">
        <v>2.62</v>
      </c>
      <c r="S173">
        <v>0.81</v>
      </c>
      <c r="T173">
        <f t="shared" si="6"/>
        <v>0</v>
      </c>
      <c r="U173">
        <f t="shared" si="7"/>
        <v>0.29255319148936171</v>
      </c>
      <c r="V173">
        <f>U173-AVERAGEIFS(Pitchers[ER/IP],Pitchers[GS],"&gt;"&amp;0,Pitchers[IP],"&gt;"&amp;3)</f>
        <v>-0.27894740330995776</v>
      </c>
      <c r="W173">
        <f>IF(Pitchers[[#This Row],[IP/GS]]&lt;&gt;0,(Pitchers[[#This Row],[WHIP]]*$AH$5+$AI$5)/9*Pitchers[[#This Row],[IP/GS]],(Pitchers[[#This Row],[WHIP]]*$AH$5+$AI$5)/9*(Pitchers[[#This Row],[IP]]/Pitchers[[#This Row],[G]]))</f>
        <v>0.27111937383692897</v>
      </c>
      <c r="X173">
        <f>Pitchers[[#This Row],[Runs from WHIP]]-AVERAGEIFS(Pitchers[Runs from WHIP],Pitchers[GS],"&gt;"&amp;0,Pitchers[IP],"&gt;"&amp;3)</f>
        <v>-5.4147965322879301</v>
      </c>
      <c r="Y173">
        <f>IF(Pitchers[[#This Row],[IP/GS]]&lt;&gt;0,Pitchers[[#This Row],[ER/IP From Average]]*Pitchers[[#This Row],[IP/GS]],Pitchers[[#This Row],[ER/IP From Average]]*(Pitchers[[#This Row],[IP]]/Pitchers[[#This Row],[G]]))</f>
        <v>-0.34388270047391517</v>
      </c>
      <c r="Z173">
        <f t="shared" si="8"/>
        <v>-1.5814988221330146</v>
      </c>
      <c r="AA173" s="32">
        <f>IF(Pitchers[[#This Row],[W]]=0,0,Pitchers[[#This Row],[W]]/(Pitchers[[#This Row],[W]]+Pitchers[[#This Row],[L]]))</f>
        <v>0.375</v>
      </c>
      <c r="AB173" s="60"/>
    </row>
    <row r="174" spans="1:28" x14ac:dyDescent="0.25">
      <c r="A174" t="s">
        <v>376</v>
      </c>
      <c r="B174" t="s">
        <v>16</v>
      </c>
      <c r="C174">
        <v>35</v>
      </c>
      <c r="D174">
        <v>8</v>
      </c>
      <c r="E174">
        <v>0</v>
      </c>
      <c r="F174">
        <v>0</v>
      </c>
      <c r="G174">
        <v>74.2</v>
      </c>
      <c r="H174">
        <v>62</v>
      </c>
      <c r="I174">
        <v>39</v>
      </c>
      <c r="J174">
        <v>82</v>
      </c>
      <c r="K174">
        <v>30</v>
      </c>
      <c r="L174">
        <v>12</v>
      </c>
      <c r="M174">
        <v>4</v>
      </c>
      <c r="N174">
        <v>5</v>
      </c>
      <c r="O174">
        <v>0</v>
      </c>
      <c r="P174">
        <v>0</v>
      </c>
      <c r="Q174">
        <v>4</v>
      </c>
      <c r="R174">
        <v>4.7</v>
      </c>
      <c r="S174">
        <v>1.23</v>
      </c>
      <c r="T174">
        <f t="shared" si="6"/>
        <v>9.2750000000000004</v>
      </c>
      <c r="U174">
        <f t="shared" si="7"/>
        <v>0.52560646900269536</v>
      </c>
      <c r="V174">
        <f>U174-AVERAGEIFS(Pitchers[ER/IP],Pitchers[GS],"&gt;"&amp;0,Pitchers[IP],"&gt;"&amp;3)</f>
        <v>-4.5894125796624108E-2</v>
      </c>
      <c r="W174">
        <f>IF(Pitchers[[#This Row],[IP/GS]]&lt;&gt;0,(Pitchers[[#This Row],[WHIP]]*$AH$5+$AI$5)/9*Pitchers[[#This Row],[IP/GS]],(Pitchers[[#This Row],[WHIP]]*$AH$5+$AI$5)/9*(Pitchers[[#This Row],[IP]]/Pitchers[[#This Row],[G]]))</f>
        <v>4.0622404783417201</v>
      </c>
      <c r="X174">
        <f>Pitchers[[#This Row],[Runs from WHIP]]-AVERAGEIFS(Pitchers[Runs from WHIP],Pitchers[GS],"&gt;"&amp;0,Pitchers[IP],"&gt;"&amp;3)</f>
        <v>-1.6236754277831391</v>
      </c>
      <c r="Y174">
        <f>IF(Pitchers[[#This Row],[IP/GS]]&lt;&gt;0,Pitchers[[#This Row],[ER/IP From Average]]*Pitchers[[#This Row],[IP/GS]],Pitchers[[#This Row],[ER/IP From Average]]*(Pitchers[[#This Row],[IP]]/Pitchers[[#This Row],[G]]))</f>
        <v>-0.42566801676368859</v>
      </c>
      <c r="Z174">
        <f t="shared" si="8"/>
        <v>-0.60324732078097909</v>
      </c>
      <c r="AA174" s="32">
        <f>IF(Pitchers[[#This Row],[W]]=0,0,Pitchers[[#This Row],[W]]/(Pitchers[[#This Row],[W]]+Pitchers[[#This Row],[L]]))</f>
        <v>0.44444444444444442</v>
      </c>
      <c r="AB174" s="60"/>
    </row>
    <row r="175" spans="1:28" x14ac:dyDescent="0.25">
      <c r="A175" t="s">
        <v>655</v>
      </c>
      <c r="B175" t="s">
        <v>24</v>
      </c>
      <c r="C175">
        <v>66</v>
      </c>
      <c r="D175">
        <v>0</v>
      </c>
      <c r="E175">
        <v>0</v>
      </c>
      <c r="F175">
        <v>0</v>
      </c>
      <c r="G175">
        <v>74</v>
      </c>
      <c r="H175">
        <v>44</v>
      </c>
      <c r="I175">
        <v>19</v>
      </c>
      <c r="J175">
        <v>93</v>
      </c>
      <c r="K175">
        <v>16</v>
      </c>
      <c r="L175">
        <v>9</v>
      </c>
      <c r="M175">
        <v>3</v>
      </c>
      <c r="N175">
        <v>2</v>
      </c>
      <c r="O175">
        <v>1</v>
      </c>
      <c r="P175">
        <v>3</v>
      </c>
      <c r="Q175">
        <v>19</v>
      </c>
      <c r="R175">
        <v>2.31</v>
      </c>
      <c r="S175">
        <v>0.81</v>
      </c>
      <c r="T175">
        <f t="shared" si="6"/>
        <v>0</v>
      </c>
      <c r="U175">
        <f t="shared" si="7"/>
        <v>0.25675675675675674</v>
      </c>
      <c r="V175">
        <f>U175-AVERAGEIFS(Pitchers[ER/IP],Pitchers[GS],"&gt;"&amp;0,Pitchers[IP],"&gt;"&amp;3)</f>
        <v>-0.31474383804256273</v>
      </c>
      <c r="W175">
        <f>IF(Pitchers[[#This Row],[IP/GS]]&lt;&gt;0,(Pitchers[[#This Row],[WHIP]]*$AH$5+$AI$5)/9*Pitchers[[#This Row],[IP/GS]],(Pitchers[[#This Row],[WHIP]]*$AH$5+$AI$5)/9*(Pitchers[[#This Row],[IP]]/Pitchers[[#This Row],[G]]))</f>
        <v>0.24658140987667174</v>
      </c>
      <c r="X175">
        <f>Pitchers[[#This Row],[Runs from WHIP]]-AVERAGEIFS(Pitchers[Runs from WHIP],Pitchers[GS],"&gt;"&amp;0,Pitchers[IP],"&gt;"&amp;3)</f>
        <v>-5.4393344962481871</v>
      </c>
      <c r="Y175">
        <f>IF(Pitchers[[#This Row],[IP/GS]]&lt;&gt;0,Pitchers[[#This Row],[ER/IP From Average]]*Pitchers[[#This Row],[IP/GS]],Pitchers[[#This Row],[ER/IP From Average]]*(Pitchers[[#This Row],[IP]]/Pitchers[[#This Row],[G]]))</f>
        <v>-0.35289460629014607</v>
      </c>
      <c r="Z175">
        <f t="shared" si="8"/>
        <v>-1.591647041515575</v>
      </c>
      <c r="AA175" s="32">
        <f>IF(Pitchers[[#This Row],[W]]=0,0,Pitchers[[#This Row],[W]]/(Pitchers[[#This Row],[W]]+Pitchers[[#This Row],[L]]))</f>
        <v>0.6</v>
      </c>
      <c r="AB175" s="60"/>
    </row>
    <row r="176" spans="1:28" x14ac:dyDescent="0.25">
      <c r="A176" t="s">
        <v>1402</v>
      </c>
      <c r="B176" t="s">
        <v>14</v>
      </c>
      <c r="C176">
        <v>15</v>
      </c>
      <c r="D176">
        <v>14</v>
      </c>
      <c r="E176">
        <v>0</v>
      </c>
      <c r="F176">
        <v>0</v>
      </c>
      <c r="G176">
        <v>73.099999999999994</v>
      </c>
      <c r="H176">
        <v>82</v>
      </c>
      <c r="I176">
        <v>40</v>
      </c>
      <c r="J176">
        <v>41</v>
      </c>
      <c r="K176">
        <v>18</v>
      </c>
      <c r="L176">
        <v>15</v>
      </c>
      <c r="M176">
        <v>4</v>
      </c>
      <c r="N176">
        <v>5</v>
      </c>
      <c r="O176">
        <v>0</v>
      </c>
      <c r="P176">
        <v>0</v>
      </c>
      <c r="Q176">
        <v>0</v>
      </c>
      <c r="R176">
        <v>4.91</v>
      </c>
      <c r="S176">
        <v>1.36</v>
      </c>
      <c r="T176">
        <f t="shared" si="6"/>
        <v>5.2214285714285706</v>
      </c>
      <c r="U176">
        <f t="shared" si="7"/>
        <v>0.54719562243502051</v>
      </c>
      <c r="V176">
        <f>U176-AVERAGEIFS(Pitchers[ER/IP],Pitchers[GS],"&gt;"&amp;0,Pitchers[IP],"&gt;"&amp;3)</f>
        <v>-2.430497236429896E-2</v>
      </c>
      <c r="W176">
        <f>IF(Pitchers[[#This Row],[IP/GS]]&lt;&gt;0,(Pitchers[[#This Row],[WHIP]]*$AH$5+$AI$5)/9*Pitchers[[#This Row],[IP/GS]],(Pitchers[[#This Row],[WHIP]]*$AH$5+$AI$5)/9*(Pitchers[[#This Row],[IP]]/Pitchers[[#This Row],[G]]))</f>
        <v>2.6392762547979389</v>
      </c>
      <c r="X176">
        <f>Pitchers[[#This Row],[Runs from WHIP]]-AVERAGEIFS(Pitchers[Runs from WHIP],Pitchers[GS],"&gt;"&amp;0,Pitchers[IP],"&gt;"&amp;3)</f>
        <v>-3.0466396513269203</v>
      </c>
      <c r="Y176">
        <f>IF(Pitchers[[#This Row],[IP/GS]]&lt;&gt;0,Pitchers[[#This Row],[ER/IP From Average]]*Pitchers[[#This Row],[IP/GS]],Pitchers[[#This Row],[ER/IP From Average]]*(Pitchers[[#This Row],[IP]]/Pitchers[[#This Row],[G]]))</f>
        <v>-0.12690667713073242</v>
      </c>
      <c r="Z176">
        <f t="shared" si="8"/>
        <v>-0.86319991120613848</v>
      </c>
      <c r="AA176" s="32">
        <f>IF(Pitchers[[#This Row],[W]]=0,0,Pitchers[[#This Row],[W]]/(Pitchers[[#This Row],[W]]+Pitchers[[#This Row],[L]]))</f>
        <v>0.44444444444444442</v>
      </c>
      <c r="AB176" s="60"/>
    </row>
    <row r="177" spans="1:28" x14ac:dyDescent="0.25">
      <c r="A177" t="s">
        <v>280</v>
      </c>
      <c r="B177" t="s">
        <v>17</v>
      </c>
      <c r="C177">
        <v>13</v>
      </c>
      <c r="D177">
        <v>13</v>
      </c>
      <c r="E177">
        <v>0</v>
      </c>
      <c r="F177">
        <v>0</v>
      </c>
      <c r="G177">
        <v>73.099999999999994</v>
      </c>
      <c r="H177">
        <v>73</v>
      </c>
      <c r="I177">
        <v>35</v>
      </c>
      <c r="J177">
        <v>68</v>
      </c>
      <c r="K177">
        <v>15</v>
      </c>
      <c r="L177">
        <v>9</v>
      </c>
      <c r="M177">
        <v>6</v>
      </c>
      <c r="N177">
        <v>3</v>
      </c>
      <c r="O177">
        <v>0</v>
      </c>
      <c r="P177">
        <v>0</v>
      </c>
      <c r="Q177">
        <v>0</v>
      </c>
      <c r="R177">
        <v>4.3</v>
      </c>
      <c r="S177">
        <v>1.2</v>
      </c>
      <c r="T177">
        <f t="shared" si="6"/>
        <v>5.6230769230769226</v>
      </c>
      <c r="U177">
        <f t="shared" si="7"/>
        <v>0.47879616963064298</v>
      </c>
      <c r="V177">
        <f>U177-AVERAGEIFS(Pitchers[ER/IP],Pitchers[GS],"&gt;"&amp;0,Pitchers[IP],"&gt;"&amp;3)</f>
        <v>-9.2704425168676496E-2</v>
      </c>
      <c r="W177">
        <f>IF(Pitchers[[#This Row],[IP/GS]]&lt;&gt;0,(Pitchers[[#This Row],[WHIP]]*$AH$5+$AI$5)/9*Pitchers[[#This Row],[IP/GS]],(Pitchers[[#This Row],[WHIP]]*$AH$5+$AI$5)/9*(Pitchers[[#This Row],[IP]]/Pitchers[[#This Row],[G]]))</f>
        <v>2.375199858633751</v>
      </c>
      <c r="X177">
        <f>Pitchers[[#This Row],[Runs from WHIP]]-AVERAGEIFS(Pitchers[Runs from WHIP],Pitchers[GS],"&gt;"&amp;0,Pitchers[IP],"&gt;"&amp;3)</f>
        <v>-3.3107160474911081</v>
      </c>
      <c r="Y177">
        <f>IF(Pitchers[[#This Row],[IP/GS]]&lt;&gt;0,Pitchers[[#This Row],[ER/IP From Average]]*Pitchers[[#This Row],[IP/GS]],Pitchers[[#This Row],[ER/IP From Average]]*(Pitchers[[#This Row],[IP]]/Pitchers[[#This Row],[G]]))</f>
        <v>-0.52128411383309625</v>
      </c>
      <c r="Z177">
        <f t="shared" si="8"/>
        <v>-1.0913712581975339</v>
      </c>
      <c r="AA177" s="32">
        <f>IF(Pitchers[[#This Row],[W]]=0,0,Pitchers[[#This Row],[W]]/(Pitchers[[#This Row],[W]]+Pitchers[[#This Row],[L]]))</f>
        <v>0.66666666666666663</v>
      </c>
      <c r="AB177" s="60"/>
    </row>
    <row r="178" spans="1:28" x14ac:dyDescent="0.25">
      <c r="A178" t="s">
        <v>496</v>
      </c>
      <c r="B178" t="s">
        <v>8</v>
      </c>
      <c r="C178">
        <v>65</v>
      </c>
      <c r="D178">
        <v>0</v>
      </c>
      <c r="E178">
        <v>0</v>
      </c>
      <c r="F178">
        <v>0</v>
      </c>
      <c r="G178">
        <v>73.099999999999994</v>
      </c>
      <c r="H178">
        <v>63</v>
      </c>
      <c r="I178">
        <v>38</v>
      </c>
      <c r="J178">
        <v>71</v>
      </c>
      <c r="K178">
        <v>41</v>
      </c>
      <c r="L178">
        <v>10</v>
      </c>
      <c r="M178">
        <v>1</v>
      </c>
      <c r="N178">
        <v>3</v>
      </c>
      <c r="O178">
        <v>2</v>
      </c>
      <c r="P178">
        <v>3</v>
      </c>
      <c r="Q178">
        <v>9</v>
      </c>
      <c r="R178">
        <v>4.66</v>
      </c>
      <c r="S178">
        <v>1.42</v>
      </c>
      <c r="T178">
        <f t="shared" si="6"/>
        <v>0</v>
      </c>
      <c r="U178">
        <f t="shared" si="7"/>
        <v>0.51983584131326954</v>
      </c>
      <c r="V178">
        <f>U178-AVERAGEIFS(Pitchers[ER/IP],Pitchers[GS],"&gt;"&amp;0,Pitchers[IP],"&gt;"&amp;3)</f>
        <v>-5.166475348604993E-2</v>
      </c>
      <c r="W178">
        <f>IF(Pitchers[[#This Row],[IP/GS]]&lt;&gt;0,(Pitchers[[#This Row],[WHIP]]*$AH$5+$AI$5)/9*Pitchers[[#This Row],[IP/GS]],(Pitchers[[#This Row],[WHIP]]*$AH$5+$AI$5)/9*(Pitchers[[#This Row],[IP]]/Pitchers[[#This Row],[G]]))</f>
        <v>0.60349182452339667</v>
      </c>
      <c r="X178">
        <f>Pitchers[[#This Row],[Runs from WHIP]]-AVERAGEIFS(Pitchers[Runs from WHIP],Pitchers[GS],"&gt;"&amp;0,Pitchers[IP],"&gt;"&amp;3)</f>
        <v>-5.082424081601463</v>
      </c>
      <c r="Y178">
        <f>IF(Pitchers[[#This Row],[IP/GS]]&lt;&gt;0,Pitchers[[#This Row],[ER/IP From Average]]*Pitchers[[#This Row],[IP/GS]],Pitchers[[#This Row],[ER/IP From Average]]*(Pitchers[[#This Row],[IP]]/Pitchers[[#This Row],[G]]))</f>
        <v>-5.8102976612773076E-2</v>
      </c>
      <c r="Z178">
        <f t="shared" si="8"/>
        <v>-1.3785542790721659</v>
      </c>
      <c r="AA178" s="32">
        <f>IF(Pitchers[[#This Row],[W]]=0,0,Pitchers[[#This Row],[W]]/(Pitchers[[#This Row],[W]]+Pitchers[[#This Row],[L]]))</f>
        <v>0.25</v>
      </c>
      <c r="AB178" s="60"/>
    </row>
    <row r="179" spans="1:28" x14ac:dyDescent="0.25">
      <c r="A179" t="s">
        <v>1478</v>
      </c>
      <c r="B179" t="s">
        <v>361</v>
      </c>
      <c r="C179">
        <v>14</v>
      </c>
      <c r="D179">
        <v>14</v>
      </c>
      <c r="E179">
        <v>0</v>
      </c>
      <c r="F179">
        <v>0</v>
      </c>
      <c r="G179">
        <v>73</v>
      </c>
      <c r="H179">
        <v>78</v>
      </c>
      <c r="I179">
        <v>47</v>
      </c>
      <c r="J179">
        <v>81</v>
      </c>
      <c r="K179">
        <v>35</v>
      </c>
      <c r="L179">
        <v>15</v>
      </c>
      <c r="M179">
        <v>4</v>
      </c>
      <c r="N179">
        <v>7</v>
      </c>
      <c r="O179">
        <v>0</v>
      </c>
      <c r="P179">
        <v>0</v>
      </c>
      <c r="Q179">
        <v>0</v>
      </c>
      <c r="R179">
        <v>5.79</v>
      </c>
      <c r="S179">
        <v>1.55</v>
      </c>
      <c r="T179">
        <f t="shared" si="6"/>
        <v>5.2142857142857144</v>
      </c>
      <c r="U179">
        <f t="shared" si="7"/>
        <v>0.64383561643835618</v>
      </c>
      <c r="V179">
        <f>U179-AVERAGEIFS(Pitchers[ER/IP],Pitchers[GS],"&gt;"&amp;0,Pitchers[IP],"&gt;"&amp;3)</f>
        <v>7.2335021639036712E-2</v>
      </c>
      <c r="W179">
        <f>IF(Pitchers[[#This Row],[IP/GS]]&lt;&gt;0,(Pitchers[[#This Row],[WHIP]]*$AH$5+$AI$5)/9*Pitchers[[#This Row],[IP/GS]],(Pitchers[[#This Row],[WHIP]]*$AH$5+$AI$5)/9*(Pitchers[[#This Row],[IP]]/Pitchers[[#This Row],[G]]))</f>
        <v>3.150019724881346</v>
      </c>
      <c r="X179">
        <f>Pitchers[[#This Row],[Runs from WHIP]]-AVERAGEIFS(Pitchers[Runs from WHIP],Pitchers[GS],"&gt;"&amp;0,Pitchers[IP],"&gt;"&amp;3)</f>
        <v>-2.5358961812435132</v>
      </c>
      <c r="Y179">
        <f>IF(Pitchers[[#This Row],[IP/GS]]&lt;&gt;0,Pitchers[[#This Row],[ER/IP From Average]]*Pitchers[[#This Row],[IP/GS]],Pitchers[[#This Row],[ER/IP From Average]]*(Pitchers[[#This Row],[IP]]/Pitchers[[#This Row],[G]]))</f>
        <v>0.37717546997497714</v>
      </c>
      <c r="Z179">
        <f t="shared" si="8"/>
        <v>-0.52536879367494593</v>
      </c>
      <c r="AA179" s="32">
        <f>IF(Pitchers[[#This Row],[W]]=0,0,Pitchers[[#This Row],[W]]/(Pitchers[[#This Row],[W]]+Pitchers[[#This Row],[L]]))</f>
        <v>0.36363636363636365</v>
      </c>
      <c r="AB179" s="60"/>
    </row>
    <row r="180" spans="1:28" x14ac:dyDescent="0.25">
      <c r="A180" t="s">
        <v>1476</v>
      </c>
      <c r="B180" t="s">
        <v>370</v>
      </c>
      <c r="C180">
        <v>14</v>
      </c>
      <c r="D180">
        <v>14</v>
      </c>
      <c r="E180">
        <v>0</v>
      </c>
      <c r="F180">
        <v>0</v>
      </c>
      <c r="G180">
        <v>73</v>
      </c>
      <c r="H180">
        <v>62</v>
      </c>
      <c r="I180">
        <v>33</v>
      </c>
      <c r="J180">
        <v>105</v>
      </c>
      <c r="K180">
        <v>30</v>
      </c>
      <c r="L180">
        <v>12</v>
      </c>
      <c r="M180">
        <v>3</v>
      </c>
      <c r="N180">
        <v>5</v>
      </c>
      <c r="O180">
        <v>0</v>
      </c>
      <c r="P180">
        <v>0</v>
      </c>
      <c r="Q180">
        <v>0</v>
      </c>
      <c r="R180">
        <v>4.07</v>
      </c>
      <c r="S180">
        <v>1.26</v>
      </c>
      <c r="T180">
        <f t="shared" si="6"/>
        <v>5.2142857142857144</v>
      </c>
      <c r="U180">
        <f t="shared" si="7"/>
        <v>0.45205479452054792</v>
      </c>
      <c r="V180">
        <f>U180-AVERAGEIFS(Pitchers[ER/IP],Pitchers[GS],"&gt;"&amp;0,Pitchers[IP],"&gt;"&amp;3)</f>
        <v>-0.11944580027877155</v>
      </c>
      <c r="W180">
        <f>IF(Pitchers[[#This Row],[IP/GS]]&lt;&gt;0,(Pitchers[[#This Row],[WHIP]]*$AH$5+$AI$5)/9*Pitchers[[#This Row],[IP/GS]],(Pitchers[[#This Row],[WHIP]]*$AH$5+$AI$5)/9*(Pitchers[[#This Row],[IP]]/Pitchers[[#This Row],[G]]))</f>
        <v>2.3649531373885613</v>
      </c>
      <c r="X180">
        <f>Pitchers[[#This Row],[Runs from WHIP]]-AVERAGEIFS(Pitchers[Runs from WHIP],Pitchers[GS],"&gt;"&amp;0,Pitchers[IP],"&gt;"&amp;3)</f>
        <v>-3.3209627687362979</v>
      </c>
      <c r="Y180">
        <f>IF(Pitchers[[#This Row],[IP/GS]]&lt;&gt;0,Pitchers[[#This Row],[ER/IP From Average]]*Pitchers[[#This Row],[IP/GS]],Pitchers[[#This Row],[ER/IP From Average]]*(Pitchers[[#This Row],[IP]]/Pitchers[[#This Row],[G]]))</f>
        <v>-0.62282453002502314</v>
      </c>
      <c r="Z180">
        <f t="shared" si="8"/>
        <v>-1.1347198836730221</v>
      </c>
      <c r="AA180" s="32">
        <f>IF(Pitchers[[#This Row],[W]]=0,0,Pitchers[[#This Row],[W]]/(Pitchers[[#This Row],[W]]+Pitchers[[#This Row],[L]]))</f>
        <v>0.375</v>
      </c>
      <c r="AB180" s="60"/>
    </row>
    <row r="181" spans="1:28" x14ac:dyDescent="0.25">
      <c r="A181" t="s">
        <v>476</v>
      </c>
      <c r="B181" t="s">
        <v>18</v>
      </c>
      <c r="C181">
        <v>37</v>
      </c>
      <c r="D181">
        <v>7</v>
      </c>
      <c r="E181">
        <v>0</v>
      </c>
      <c r="F181">
        <v>0</v>
      </c>
      <c r="G181">
        <v>73</v>
      </c>
      <c r="H181">
        <v>73</v>
      </c>
      <c r="I181">
        <v>50</v>
      </c>
      <c r="J181">
        <v>69</v>
      </c>
      <c r="K181">
        <v>31</v>
      </c>
      <c r="L181">
        <v>13</v>
      </c>
      <c r="M181">
        <v>3</v>
      </c>
      <c r="N181">
        <v>6</v>
      </c>
      <c r="O181">
        <v>0</v>
      </c>
      <c r="P181">
        <v>0</v>
      </c>
      <c r="Q181">
        <v>1</v>
      </c>
      <c r="R181">
        <v>6.16</v>
      </c>
      <c r="S181">
        <v>1.42</v>
      </c>
      <c r="T181">
        <f t="shared" si="6"/>
        <v>10.428571428571429</v>
      </c>
      <c r="U181">
        <f t="shared" si="7"/>
        <v>0.68493150684931503</v>
      </c>
      <c r="V181">
        <f>U181-AVERAGEIFS(Pitchers[ER/IP],Pitchers[GS],"&gt;"&amp;0,Pitchers[IP],"&gt;"&amp;3)</f>
        <v>0.11343091204999556</v>
      </c>
      <c r="W181">
        <f>IF(Pitchers[[#This Row],[IP/GS]]&lt;&gt;0,(Pitchers[[#This Row],[WHIP]]*$AH$5+$AI$5)/9*Pitchers[[#This Row],[IP/GS]],(Pitchers[[#This Row],[WHIP]]*$AH$5+$AI$5)/9*(Pitchers[[#This Row],[IP]]/Pitchers[[#This Row],[G]]))</f>
        <v>5.5961866471829538</v>
      </c>
      <c r="X181">
        <f>Pitchers[[#This Row],[Runs from WHIP]]-AVERAGEIFS(Pitchers[Runs from WHIP],Pitchers[GS],"&gt;"&amp;0,Pitchers[IP],"&gt;"&amp;3)</f>
        <v>-8.9729258941905421E-2</v>
      </c>
      <c r="Y181">
        <f>IF(Pitchers[[#This Row],[IP/GS]]&lt;&gt;0,Pitchers[[#This Row],[ER/IP From Average]]*Pitchers[[#This Row],[IP/GS]],Pitchers[[#This Row],[ER/IP From Average]]*(Pitchers[[#This Row],[IP]]/Pitchers[[#This Row],[G]]))</f>
        <v>1.1829223685213823</v>
      </c>
      <c r="Z181">
        <f t="shared" si="8"/>
        <v>0.44924114502404483</v>
      </c>
      <c r="AA181" s="32">
        <f>IF(Pitchers[[#This Row],[W]]=0,0,Pitchers[[#This Row],[W]]/(Pitchers[[#This Row],[W]]+Pitchers[[#This Row],[L]]))</f>
        <v>0.33333333333333331</v>
      </c>
      <c r="AB181" s="60"/>
    </row>
    <row r="182" spans="1:28" x14ac:dyDescent="0.25">
      <c r="A182" t="s">
        <v>462</v>
      </c>
      <c r="B182" t="s">
        <v>24</v>
      </c>
      <c r="C182">
        <v>66</v>
      </c>
      <c r="D182">
        <v>0</v>
      </c>
      <c r="E182">
        <v>0</v>
      </c>
      <c r="F182">
        <v>0</v>
      </c>
      <c r="G182">
        <v>72.2</v>
      </c>
      <c r="H182">
        <v>59</v>
      </c>
      <c r="I182">
        <v>29</v>
      </c>
      <c r="J182">
        <v>87</v>
      </c>
      <c r="K182">
        <v>27</v>
      </c>
      <c r="L182">
        <v>6</v>
      </c>
      <c r="M182">
        <v>3</v>
      </c>
      <c r="N182">
        <v>4</v>
      </c>
      <c r="O182">
        <v>0</v>
      </c>
      <c r="P182">
        <v>1</v>
      </c>
      <c r="Q182">
        <v>12</v>
      </c>
      <c r="R182">
        <v>3.59</v>
      </c>
      <c r="S182">
        <v>1.18</v>
      </c>
      <c r="T182">
        <f t="shared" si="6"/>
        <v>0</v>
      </c>
      <c r="U182">
        <f t="shared" si="7"/>
        <v>0.40166204986149584</v>
      </c>
      <c r="V182">
        <f>U182-AVERAGEIFS(Pitchers[ER/IP],Pitchers[GS],"&gt;"&amp;0,Pitchers[IP],"&gt;"&amp;3)</f>
        <v>-0.16983854493782363</v>
      </c>
      <c r="W182">
        <f>IF(Pitchers[[#This Row],[IP/GS]]&lt;&gt;0,(Pitchers[[#This Row],[WHIP]]*$AH$5+$AI$5)/9*Pitchers[[#This Row],[IP/GS]],(Pitchers[[#This Row],[WHIP]]*$AH$5+$AI$5)/9*(Pitchers[[#This Row],[IP]]/Pitchers[[#This Row],[G]]))</f>
        <v>0.45072344980601997</v>
      </c>
      <c r="X182">
        <f>Pitchers[[#This Row],[Runs from WHIP]]-AVERAGEIFS(Pitchers[Runs from WHIP],Pitchers[GS],"&gt;"&amp;0,Pitchers[IP],"&gt;"&amp;3)</f>
        <v>-5.2351924563188392</v>
      </c>
      <c r="Y182">
        <f>IF(Pitchers[[#This Row],[IP/GS]]&lt;&gt;0,Pitchers[[#This Row],[ER/IP From Average]]*Pitchers[[#This Row],[IP/GS]],Pitchers[[#This Row],[ER/IP From Average]]*(Pitchers[[#This Row],[IP]]/Pitchers[[#This Row],[G]]))</f>
        <v>-0.18579307491683131</v>
      </c>
      <c r="Z182">
        <f t="shared" si="8"/>
        <v>-1.4703685516517566</v>
      </c>
      <c r="AA182" s="32">
        <f>IF(Pitchers[[#This Row],[W]]=0,0,Pitchers[[#This Row],[W]]/(Pitchers[[#This Row],[W]]+Pitchers[[#This Row],[L]]))</f>
        <v>0.42857142857142855</v>
      </c>
      <c r="AB182" s="60"/>
    </row>
    <row r="183" spans="1:28" x14ac:dyDescent="0.25">
      <c r="A183" t="s">
        <v>521</v>
      </c>
      <c r="B183" t="s">
        <v>10</v>
      </c>
      <c r="C183">
        <v>70</v>
      </c>
      <c r="D183">
        <v>0</v>
      </c>
      <c r="E183">
        <v>0</v>
      </c>
      <c r="F183">
        <v>0</v>
      </c>
      <c r="G183">
        <v>72.2</v>
      </c>
      <c r="H183">
        <v>76</v>
      </c>
      <c r="I183">
        <v>31</v>
      </c>
      <c r="J183">
        <v>106</v>
      </c>
      <c r="K183">
        <v>26</v>
      </c>
      <c r="L183">
        <v>10</v>
      </c>
      <c r="M183">
        <v>9</v>
      </c>
      <c r="N183">
        <v>2</v>
      </c>
      <c r="O183">
        <v>18</v>
      </c>
      <c r="P183">
        <v>7</v>
      </c>
      <c r="Q183">
        <v>9</v>
      </c>
      <c r="R183">
        <v>3.84</v>
      </c>
      <c r="S183">
        <v>1.4</v>
      </c>
      <c r="T183">
        <f t="shared" si="6"/>
        <v>0</v>
      </c>
      <c r="U183">
        <f t="shared" si="7"/>
        <v>0.4293628808864266</v>
      </c>
      <c r="V183" s="60">
        <f>U183-AVERAGEIFS(Pitchers[ER/IP],Pitchers[GS],"&gt;"&amp;0,Pitchers[IP],"&gt;"&amp;3)</f>
        <v>-0.14213771391289287</v>
      </c>
      <c r="W183" s="60">
        <f>IF(Pitchers[[#This Row],[IP/GS]]&lt;&gt;0,(Pitchers[[#This Row],[WHIP]]*$AH$5+$AI$5)/9*Pitchers[[#This Row],[IP/GS]],(Pitchers[[#This Row],[WHIP]]*$AH$5+$AI$5)/9*(Pitchers[[#This Row],[IP]]/Pitchers[[#This Row],[G]]))</f>
        <v>0.54277602132280356</v>
      </c>
      <c r="X183" s="60">
        <f>Pitchers[[#This Row],[Runs from WHIP]]-AVERAGEIFS(Pitchers[Runs from WHIP],Pitchers[GS],"&gt;"&amp;0,Pitchers[IP],"&gt;"&amp;3)</f>
        <v>-5.1431398848020553</v>
      </c>
      <c r="Y183" s="60">
        <f>IF(Pitchers[[#This Row],[IP/GS]]&lt;&gt;0,Pitchers[[#This Row],[ER/IP From Average]]*Pitchers[[#This Row],[IP/GS]],Pitchers[[#This Row],[ER/IP From Average]]*(Pitchers[[#This Row],[IP]]/Pitchers[[#This Row],[G]]))</f>
        <v>-0.14660489920729808</v>
      </c>
      <c r="Z183" s="60">
        <f t="shared" si="8"/>
        <v>-1.4301459289634675</v>
      </c>
      <c r="AA183" s="32">
        <f>IF(Pitchers[[#This Row],[W]]=0,0,Pitchers[[#This Row],[W]]/(Pitchers[[#This Row],[W]]+Pitchers[[#This Row],[L]]))</f>
        <v>0.81818181818181823</v>
      </c>
      <c r="AB183" s="60"/>
    </row>
    <row r="184" spans="1:28" x14ac:dyDescent="0.25">
      <c r="A184" t="s">
        <v>505</v>
      </c>
      <c r="B184" t="s">
        <v>7</v>
      </c>
      <c r="C184">
        <v>71</v>
      </c>
      <c r="D184">
        <v>1</v>
      </c>
      <c r="E184">
        <v>0</v>
      </c>
      <c r="F184">
        <v>0</v>
      </c>
      <c r="G184">
        <v>72.2</v>
      </c>
      <c r="H184">
        <v>58</v>
      </c>
      <c r="I184">
        <v>20</v>
      </c>
      <c r="J184">
        <v>75</v>
      </c>
      <c r="K184">
        <v>16</v>
      </c>
      <c r="L184">
        <v>6</v>
      </c>
      <c r="M184">
        <v>5</v>
      </c>
      <c r="N184">
        <v>1</v>
      </c>
      <c r="O184">
        <v>23</v>
      </c>
      <c r="P184">
        <v>4</v>
      </c>
      <c r="Q184">
        <v>2</v>
      </c>
      <c r="R184">
        <v>2.48</v>
      </c>
      <c r="S184">
        <v>1.02</v>
      </c>
      <c r="T184">
        <f t="shared" si="6"/>
        <v>72.2</v>
      </c>
      <c r="U184">
        <f t="shared" si="7"/>
        <v>0.27700831024930744</v>
      </c>
      <c r="V184" s="60">
        <f>U184-AVERAGEIFS(Pitchers[ER/IP],Pitchers[GS],"&gt;"&amp;0,Pitchers[IP],"&gt;"&amp;3)</f>
        <v>-0.29449228455001203</v>
      </c>
      <c r="W184" s="60">
        <f>IF(Pitchers[[#This Row],[IP/GS]]&lt;&gt;0,(Pitchers[[#This Row],[WHIP]]*$AH$5+$AI$5)/9*Pitchers[[#This Row],[IP/GS]],(Pitchers[[#This Row],[WHIP]]*$AH$5+$AI$5)/9*(Pitchers[[#This Row],[IP]]/Pitchers[[#This Row],[G]]))</f>
        <v>23.750239465089006</v>
      </c>
      <c r="X184" s="60">
        <f>Pitchers[[#This Row],[Runs from WHIP]]-AVERAGEIFS(Pitchers[Runs from WHIP],Pitchers[GS],"&gt;"&amp;0,Pitchers[IP],"&gt;"&amp;3)</f>
        <v>18.064323558964148</v>
      </c>
      <c r="Y184" s="60">
        <f>IF(Pitchers[[#This Row],[IP/GS]]&lt;&gt;0,Pitchers[[#This Row],[ER/IP From Average]]*Pitchers[[#This Row],[IP/GS]],Pitchers[[#This Row],[ER/IP From Average]]*(Pitchers[[#This Row],[IP]]/Pitchers[[#This Row],[G]]))</f>
        <v>-21.26234294451087</v>
      </c>
      <c r="Z184" s="60">
        <f t="shared" si="8"/>
        <v>-3.6877842287472418</v>
      </c>
      <c r="AA184" s="32">
        <f>IF(Pitchers[[#This Row],[W]]=0,0,Pitchers[[#This Row],[W]]/(Pitchers[[#This Row],[W]]+Pitchers[[#This Row],[L]]))</f>
        <v>0.83333333333333337</v>
      </c>
      <c r="AB184" s="60"/>
    </row>
    <row r="185" spans="1:28" x14ac:dyDescent="0.25">
      <c r="A185" t="s">
        <v>558</v>
      </c>
      <c r="B185" t="s">
        <v>7</v>
      </c>
      <c r="C185">
        <v>72</v>
      </c>
      <c r="D185">
        <v>0</v>
      </c>
      <c r="E185">
        <v>0</v>
      </c>
      <c r="F185">
        <v>0</v>
      </c>
      <c r="G185">
        <v>72.099999999999994</v>
      </c>
      <c r="H185">
        <v>69</v>
      </c>
      <c r="I185">
        <v>32</v>
      </c>
      <c r="J185">
        <v>84</v>
      </c>
      <c r="K185">
        <v>23</v>
      </c>
      <c r="L185">
        <v>8</v>
      </c>
      <c r="M185">
        <v>6</v>
      </c>
      <c r="N185">
        <v>7</v>
      </c>
      <c r="O185">
        <v>2</v>
      </c>
      <c r="P185">
        <v>4</v>
      </c>
      <c r="Q185">
        <v>26</v>
      </c>
      <c r="R185">
        <v>3.98</v>
      </c>
      <c r="S185">
        <v>1.27</v>
      </c>
      <c r="T185">
        <f t="shared" si="6"/>
        <v>0</v>
      </c>
      <c r="U185">
        <f t="shared" si="7"/>
        <v>0.44382801664355065</v>
      </c>
      <c r="V185" s="60">
        <f>U185-AVERAGEIFS(Pitchers[ER/IP],Pitchers[GS],"&gt;"&amp;0,Pitchers[IP],"&gt;"&amp;3)</f>
        <v>-0.12767257815576882</v>
      </c>
      <c r="W185" s="60">
        <f>IF(Pitchers[[#This Row],[IP/GS]]&lt;&gt;0,(Pitchers[[#This Row],[WHIP]]*$AH$5+$AI$5)/9*Pitchers[[#This Row],[IP/GS]],(Pitchers[[#This Row],[WHIP]]*$AH$5+$AI$5)/9*(Pitchers[[#This Row],[IP]]/Pitchers[[#This Row],[G]]))</f>
        <v>0.45938155030005523</v>
      </c>
      <c r="X185" s="60">
        <f>Pitchers[[#This Row],[Runs from WHIP]]-AVERAGEIFS(Pitchers[Runs from WHIP],Pitchers[GS],"&gt;"&amp;0,Pitchers[IP],"&gt;"&amp;3)</f>
        <v>-5.2265343558248043</v>
      </c>
      <c r="Y185" s="60">
        <f>IF(Pitchers[[#This Row],[IP/GS]]&lt;&gt;0,Pitchers[[#This Row],[ER/IP From Average]]*Pitchers[[#This Row],[IP/GS]],Pitchers[[#This Row],[ER/IP From Average]]*(Pitchers[[#This Row],[IP]]/Pitchers[[#This Row],[G]]))</f>
        <v>-0.12784990118098516</v>
      </c>
      <c r="Z185" s="60">
        <f t="shared" si="8"/>
        <v>-1.4448824553590087</v>
      </c>
      <c r="AA185" s="32">
        <f>IF(Pitchers[[#This Row],[W]]=0,0,Pitchers[[#This Row],[W]]/(Pitchers[[#This Row],[W]]+Pitchers[[#This Row],[L]]))</f>
        <v>0.46153846153846156</v>
      </c>
      <c r="AB185" s="60"/>
    </row>
    <row r="186" spans="1:28" x14ac:dyDescent="0.25">
      <c r="A186" t="s">
        <v>730</v>
      </c>
      <c r="B186" t="s">
        <v>7</v>
      </c>
      <c r="C186">
        <v>17</v>
      </c>
      <c r="D186">
        <v>12</v>
      </c>
      <c r="E186">
        <v>0</v>
      </c>
      <c r="F186">
        <v>0</v>
      </c>
      <c r="G186">
        <v>72</v>
      </c>
      <c r="H186">
        <v>85</v>
      </c>
      <c r="I186">
        <v>43</v>
      </c>
      <c r="J186">
        <v>55</v>
      </c>
      <c r="K186">
        <v>26</v>
      </c>
      <c r="L186">
        <v>18</v>
      </c>
      <c r="M186">
        <v>4</v>
      </c>
      <c r="N186">
        <v>4</v>
      </c>
      <c r="O186">
        <v>0</v>
      </c>
      <c r="P186">
        <v>0</v>
      </c>
      <c r="Q186">
        <v>0</v>
      </c>
      <c r="R186">
        <v>5.38</v>
      </c>
      <c r="S186">
        <v>1.54</v>
      </c>
      <c r="T186">
        <f t="shared" si="6"/>
        <v>6</v>
      </c>
      <c r="U186">
        <f t="shared" si="7"/>
        <v>0.59722222222222221</v>
      </c>
      <c r="V186">
        <f>U186-AVERAGEIFS(Pitchers[ER/IP],Pitchers[GS],"&gt;"&amp;0,Pitchers[IP],"&gt;"&amp;3)</f>
        <v>2.5721627422902738E-2</v>
      </c>
      <c r="W186">
        <f>IF(Pitchers[[#This Row],[IP/GS]]&lt;&gt;0,(Pitchers[[#This Row],[WHIP]]*$AH$5+$AI$5)/9*Pitchers[[#This Row],[IP/GS]],(Pitchers[[#This Row],[WHIP]]*$AH$5+$AI$5)/9*(Pitchers[[#This Row],[IP]]/Pitchers[[#This Row],[G]]))</f>
        <v>3.5935297385269553</v>
      </c>
      <c r="X186">
        <f>Pitchers[[#This Row],[Runs from WHIP]]-AVERAGEIFS(Pitchers[Runs from WHIP],Pitchers[GS],"&gt;"&amp;0,Pitchers[IP],"&gt;"&amp;3)</f>
        <v>-2.0923861675979039</v>
      </c>
      <c r="Y186">
        <f>IF(Pitchers[[#This Row],[IP/GS]]&lt;&gt;0,Pitchers[[#This Row],[ER/IP From Average]]*Pitchers[[#This Row],[IP/GS]],Pitchers[[#This Row],[ER/IP From Average]]*(Pitchers[[#This Row],[IP]]/Pitchers[[#This Row],[G]]))</f>
        <v>0.15432976453741643</v>
      </c>
      <c r="Z186">
        <f t="shared" si="8"/>
        <v>-0.49623773887780787</v>
      </c>
      <c r="AA186" s="32">
        <f>IF(Pitchers[[#This Row],[W]]=0,0,Pitchers[[#This Row],[W]]/(Pitchers[[#This Row],[W]]+Pitchers[[#This Row],[L]]))</f>
        <v>0.5</v>
      </c>
      <c r="AB186" s="60"/>
    </row>
    <row r="187" spans="1:28" x14ac:dyDescent="0.25">
      <c r="A187" t="s">
        <v>513</v>
      </c>
      <c r="B187" t="s">
        <v>11</v>
      </c>
      <c r="C187">
        <v>71</v>
      </c>
      <c r="D187">
        <v>0</v>
      </c>
      <c r="E187">
        <v>0</v>
      </c>
      <c r="F187">
        <v>0</v>
      </c>
      <c r="G187">
        <v>72</v>
      </c>
      <c r="H187">
        <v>70</v>
      </c>
      <c r="I187">
        <v>30</v>
      </c>
      <c r="J187">
        <v>81</v>
      </c>
      <c r="K187">
        <v>23</v>
      </c>
      <c r="L187">
        <v>12</v>
      </c>
      <c r="M187">
        <v>2</v>
      </c>
      <c r="N187">
        <v>2</v>
      </c>
      <c r="O187">
        <v>0</v>
      </c>
      <c r="P187">
        <v>2</v>
      </c>
      <c r="Q187">
        <v>11</v>
      </c>
      <c r="R187">
        <v>3.75</v>
      </c>
      <c r="S187">
        <v>1.29</v>
      </c>
      <c r="T187">
        <f t="shared" si="6"/>
        <v>0</v>
      </c>
      <c r="U187">
        <f t="shared" si="7"/>
        <v>0.41666666666666669</v>
      </c>
      <c r="V187">
        <f>U187-AVERAGEIFS(Pitchers[ER/IP],Pitchers[GS],"&gt;"&amp;0,Pitchers[IP],"&gt;"&amp;3)</f>
        <v>-0.15483392813265279</v>
      </c>
      <c r="W187">
        <f>IF(Pitchers[[#This Row],[IP/GS]]&lt;&gt;0,(Pitchers[[#This Row],[WHIP]]*$AH$5+$AI$5)/9*Pitchers[[#This Row],[IP/GS]],(Pitchers[[#This Row],[WHIP]]*$AH$5+$AI$5)/9*(Pitchers[[#This Row],[IP]]/Pitchers[[#This Row],[G]]))</f>
        <v>0.47573533815937119</v>
      </c>
      <c r="X187">
        <f>Pitchers[[#This Row],[Runs from WHIP]]-AVERAGEIFS(Pitchers[Runs from WHIP],Pitchers[GS],"&gt;"&amp;0,Pitchers[IP],"&gt;"&amp;3)</f>
        <v>-5.2101805679654882</v>
      </c>
      <c r="Y187">
        <f>IF(Pitchers[[#This Row],[IP/GS]]&lt;&gt;0,Pitchers[[#This Row],[ER/IP From Average]]*Pitchers[[#This Row],[IP/GS]],Pitchers[[#This Row],[ER/IP From Average]]*(Pitchers[[#This Row],[IP]]/Pitchers[[#This Row],[G]]))</f>
        <v>-0.15701468768381691</v>
      </c>
      <c r="Z187">
        <f t="shared" si="8"/>
        <v>-1.4521873598643238</v>
      </c>
      <c r="AA187" s="32">
        <f>IF(Pitchers[[#This Row],[W]]=0,0,Pitchers[[#This Row],[W]]/(Pitchers[[#This Row],[W]]+Pitchers[[#This Row],[L]]))</f>
        <v>0.5</v>
      </c>
      <c r="AB187" s="60"/>
    </row>
    <row r="188" spans="1:28" x14ac:dyDescent="0.25">
      <c r="A188" t="s">
        <v>489</v>
      </c>
      <c r="B188" t="s">
        <v>11</v>
      </c>
      <c r="C188">
        <v>70</v>
      </c>
      <c r="D188">
        <v>0</v>
      </c>
      <c r="E188">
        <v>0</v>
      </c>
      <c r="F188">
        <v>0</v>
      </c>
      <c r="G188">
        <v>72</v>
      </c>
      <c r="H188">
        <v>69</v>
      </c>
      <c r="I188">
        <v>43</v>
      </c>
      <c r="J188">
        <v>58</v>
      </c>
      <c r="K188">
        <v>29</v>
      </c>
      <c r="L188">
        <v>12</v>
      </c>
      <c r="M188">
        <v>3</v>
      </c>
      <c r="N188">
        <v>2</v>
      </c>
      <c r="O188">
        <v>1</v>
      </c>
      <c r="P188">
        <v>5</v>
      </c>
      <c r="Q188">
        <v>12</v>
      </c>
      <c r="R188">
        <v>5.38</v>
      </c>
      <c r="S188">
        <v>1.36</v>
      </c>
      <c r="T188">
        <f t="shared" si="6"/>
        <v>0</v>
      </c>
      <c r="U188">
        <f t="shared" si="7"/>
        <v>0.59722222222222221</v>
      </c>
      <c r="V188">
        <f>U188-AVERAGEIFS(Pitchers[ER/IP],Pitchers[GS],"&gt;"&amp;0,Pitchers[IP],"&gt;"&amp;3)</f>
        <v>2.5721627422902738E-2</v>
      </c>
      <c r="W188">
        <f>IF(Pitchers[[#This Row],[IP/GS]]&lt;&gt;0,(Pitchers[[#This Row],[WHIP]]*$AH$5+$AI$5)/9*Pitchers[[#This Row],[IP/GS]],(Pitchers[[#This Row],[WHIP]]*$AH$5+$AI$5)/9*(Pitchers[[#This Row],[IP]]/Pitchers[[#This Row],[G]]))</f>
        <v>0.51991214868796609</v>
      </c>
      <c r="X188">
        <f>Pitchers[[#This Row],[Runs from WHIP]]-AVERAGEIFS(Pitchers[Runs from WHIP],Pitchers[GS],"&gt;"&amp;0,Pitchers[IP],"&gt;"&amp;3)</f>
        <v>-5.1660037574368936</v>
      </c>
      <c r="Y188">
        <f>IF(Pitchers[[#This Row],[IP/GS]]&lt;&gt;0,Pitchers[[#This Row],[ER/IP From Average]]*Pitchers[[#This Row],[IP/GS]],Pitchers[[#This Row],[ER/IP From Average]]*(Pitchers[[#This Row],[IP]]/Pitchers[[#This Row],[G]]))</f>
        <v>2.6456531063557099E-2</v>
      </c>
      <c r="Z188">
        <f t="shared" si="8"/>
        <v>-1.3670183895577488</v>
      </c>
      <c r="AA188" s="32">
        <f>IF(Pitchers[[#This Row],[W]]=0,0,Pitchers[[#This Row],[W]]/(Pitchers[[#This Row],[W]]+Pitchers[[#This Row],[L]]))</f>
        <v>0.6</v>
      </c>
      <c r="AB188" s="60"/>
    </row>
    <row r="189" spans="1:28" x14ac:dyDescent="0.25">
      <c r="A189" t="s">
        <v>756</v>
      </c>
      <c r="B189" t="s">
        <v>370</v>
      </c>
      <c r="C189">
        <v>47</v>
      </c>
      <c r="D189">
        <v>1</v>
      </c>
      <c r="E189">
        <v>0</v>
      </c>
      <c r="F189">
        <v>0</v>
      </c>
      <c r="G189">
        <v>72</v>
      </c>
      <c r="H189">
        <v>69</v>
      </c>
      <c r="I189">
        <v>32</v>
      </c>
      <c r="J189">
        <v>55</v>
      </c>
      <c r="K189">
        <v>18</v>
      </c>
      <c r="L189">
        <v>6</v>
      </c>
      <c r="M189">
        <v>2</v>
      </c>
      <c r="N189">
        <v>4</v>
      </c>
      <c r="O189">
        <v>0</v>
      </c>
      <c r="P189">
        <v>1</v>
      </c>
      <c r="Q189">
        <v>7</v>
      </c>
      <c r="R189">
        <v>4</v>
      </c>
      <c r="S189">
        <v>1.21</v>
      </c>
      <c r="T189">
        <f t="shared" si="6"/>
        <v>72</v>
      </c>
      <c r="U189">
        <f t="shared" si="7"/>
        <v>0.44444444444444442</v>
      </c>
      <c r="V189">
        <f>U189-AVERAGEIFS(Pitchers[ER/IP],Pitchers[GS],"&gt;"&amp;0,Pitchers[IP],"&gt;"&amp;3)</f>
        <v>-0.12705615035487505</v>
      </c>
      <c r="W189">
        <f>IF(Pitchers[[#This Row],[IP/GS]]&lt;&gt;0,(Pitchers[[#This Row],[WHIP]]*$AH$5+$AI$5)/9*Pitchers[[#This Row],[IP/GS]],(Pitchers[[#This Row],[WHIP]]*$AH$5+$AI$5)/9*(Pitchers[[#This Row],[IP]]/Pitchers[[#This Row],[G]]))</f>
        <v>30.786761696352762</v>
      </c>
      <c r="X189">
        <f>Pitchers[[#This Row],[Runs from WHIP]]-AVERAGEIFS(Pitchers[Runs from WHIP],Pitchers[GS],"&gt;"&amp;0,Pitchers[IP],"&gt;"&amp;3)</f>
        <v>25.100845790227904</v>
      </c>
      <c r="Y189">
        <f>IF(Pitchers[[#This Row],[IP/GS]]&lt;&gt;0,Pitchers[[#This Row],[ER/IP From Average]]*Pitchers[[#This Row],[IP/GS]],Pitchers[[#This Row],[ER/IP From Average]]*(Pitchers[[#This Row],[IP]]/Pitchers[[#This Row],[G]]))</f>
        <v>-9.1480428255510038</v>
      </c>
      <c r="Z189">
        <f t="shared" si="8"/>
        <v>3.0343417471737069</v>
      </c>
      <c r="AA189" s="32">
        <f>IF(Pitchers[[#This Row],[W]]=0,0,Pitchers[[#This Row],[W]]/(Pitchers[[#This Row],[W]]+Pitchers[[#This Row],[L]]))</f>
        <v>0.33333333333333331</v>
      </c>
      <c r="AB189" s="60"/>
    </row>
    <row r="190" spans="1:28" x14ac:dyDescent="0.25">
      <c r="A190" t="s">
        <v>431</v>
      </c>
      <c r="B190" t="s">
        <v>1</v>
      </c>
      <c r="C190">
        <v>15</v>
      </c>
      <c r="D190">
        <v>15</v>
      </c>
      <c r="E190">
        <v>0</v>
      </c>
      <c r="F190">
        <v>0</v>
      </c>
      <c r="G190">
        <v>71.2</v>
      </c>
      <c r="H190">
        <v>85</v>
      </c>
      <c r="I190">
        <v>51</v>
      </c>
      <c r="J190">
        <v>57</v>
      </c>
      <c r="K190">
        <v>25</v>
      </c>
      <c r="L190">
        <v>17</v>
      </c>
      <c r="M190">
        <v>1</v>
      </c>
      <c r="N190">
        <v>8</v>
      </c>
      <c r="O190">
        <v>0</v>
      </c>
      <c r="P190">
        <v>0</v>
      </c>
      <c r="Q190">
        <v>0</v>
      </c>
      <c r="R190">
        <v>6.4</v>
      </c>
      <c r="S190">
        <v>1.53</v>
      </c>
      <c r="T190">
        <f t="shared" si="6"/>
        <v>4.746666666666667</v>
      </c>
      <c r="U190">
        <f t="shared" si="7"/>
        <v>0.71629213483146059</v>
      </c>
      <c r="V190">
        <f>U190-AVERAGEIFS(Pitchers[ER/IP],Pitchers[GS],"&gt;"&amp;0,Pitchers[IP],"&gt;"&amp;3)</f>
        <v>0.14479154003214112</v>
      </c>
      <c r="W190">
        <f>IF(Pitchers[[#This Row],[IP/GS]]&lt;&gt;0,(Pitchers[[#This Row],[WHIP]]*$AH$5+$AI$5)/9*Pitchers[[#This Row],[IP/GS]],(Pitchers[[#This Row],[WHIP]]*$AH$5+$AI$5)/9*(Pitchers[[#This Row],[IP]]/Pitchers[[#This Row],[G]]))</f>
        <v>2.8182378032519111</v>
      </c>
      <c r="X190">
        <f>Pitchers[[#This Row],[Runs from WHIP]]-AVERAGEIFS(Pitchers[Runs from WHIP],Pitchers[GS],"&gt;"&amp;0,Pitchers[IP],"&gt;"&amp;3)</f>
        <v>-2.8676781028729481</v>
      </c>
      <c r="Y190">
        <f>IF(Pitchers[[#This Row],[IP/GS]]&lt;&gt;0,Pitchers[[#This Row],[ER/IP From Average]]*Pitchers[[#This Row],[IP/GS]],Pitchers[[#This Row],[ER/IP From Average]]*(Pitchers[[#This Row],[IP]]/Pitchers[[#This Row],[G]]))</f>
        <v>0.68727717668589661</v>
      </c>
      <c r="Z190">
        <f t="shared" si="8"/>
        <v>-0.48980329009176077</v>
      </c>
      <c r="AA190" s="32">
        <f>IF(Pitchers[[#This Row],[W]]=0,0,Pitchers[[#This Row],[W]]/(Pitchers[[#This Row],[W]]+Pitchers[[#This Row],[L]]))</f>
        <v>0.1111111111111111</v>
      </c>
      <c r="AB190" s="60"/>
    </row>
    <row r="191" spans="1:28" x14ac:dyDescent="0.25">
      <c r="A191" t="s">
        <v>524</v>
      </c>
      <c r="B191" t="s">
        <v>9</v>
      </c>
      <c r="C191">
        <v>73</v>
      </c>
      <c r="D191">
        <v>0</v>
      </c>
      <c r="E191">
        <v>0</v>
      </c>
      <c r="F191">
        <v>0</v>
      </c>
      <c r="G191">
        <v>71.2</v>
      </c>
      <c r="H191">
        <v>29</v>
      </c>
      <c r="I191">
        <v>15</v>
      </c>
      <c r="J191">
        <v>104</v>
      </c>
      <c r="K191">
        <v>45</v>
      </c>
      <c r="L191">
        <v>1</v>
      </c>
      <c r="M191">
        <v>10</v>
      </c>
      <c r="N191">
        <v>1</v>
      </c>
      <c r="O191">
        <v>16</v>
      </c>
      <c r="P191">
        <v>6</v>
      </c>
      <c r="Q191">
        <v>15</v>
      </c>
      <c r="R191">
        <v>1.88</v>
      </c>
      <c r="S191">
        <v>1.03</v>
      </c>
      <c r="T191">
        <f t="shared" si="6"/>
        <v>0</v>
      </c>
      <c r="U191">
        <f t="shared" si="7"/>
        <v>0.21067415730337077</v>
      </c>
      <c r="V191">
        <f>U191-AVERAGEIFS(Pitchers[ER/IP],Pitchers[GS],"&gt;"&amp;0,Pitchers[IP],"&gt;"&amp;3)</f>
        <v>-0.36082643749594867</v>
      </c>
      <c r="W191">
        <f>IF(Pitchers[[#This Row],[IP/GS]]&lt;&gt;0,(Pitchers[[#This Row],[WHIP]]*$AH$5+$AI$5)/9*Pitchers[[#This Row],[IP/GS]],(Pitchers[[#This Row],[WHIP]]*$AH$5+$AI$5)/9*(Pitchers[[#This Row],[IP]]/Pitchers[[#This Row],[G]]))</f>
        <v>0.32590330541166457</v>
      </c>
      <c r="X191">
        <f>Pitchers[[#This Row],[Runs from WHIP]]-AVERAGEIFS(Pitchers[Runs from WHIP],Pitchers[GS],"&gt;"&amp;0,Pitchers[IP],"&gt;"&amp;3)</f>
        <v>-5.360012600713195</v>
      </c>
      <c r="Y191">
        <f>IF(Pitchers[[#This Row],[IP/GS]]&lt;&gt;0,Pitchers[[#This Row],[ER/IP From Average]]*Pitchers[[#This Row],[IP/GS]],Pitchers[[#This Row],[ER/IP From Average]]*(Pitchers[[#This Row],[IP]]/Pitchers[[#This Row],[G]]))</f>
        <v>-0.35192934725632252</v>
      </c>
      <c r="Z191">
        <f t="shared" si="8"/>
        <v>-1.5701084324260479</v>
      </c>
      <c r="AA191" s="32">
        <f>IF(Pitchers[[#This Row],[W]]=0,0,Pitchers[[#This Row],[W]]/(Pitchers[[#This Row],[W]]+Pitchers[[#This Row],[L]]))</f>
        <v>0.90909090909090906</v>
      </c>
      <c r="AB191" s="60"/>
    </row>
    <row r="192" spans="1:28" x14ac:dyDescent="0.25">
      <c r="A192" t="s">
        <v>572</v>
      </c>
      <c r="B192" t="s">
        <v>4</v>
      </c>
      <c r="C192">
        <v>66</v>
      </c>
      <c r="D192">
        <v>1</v>
      </c>
      <c r="E192">
        <v>0</v>
      </c>
      <c r="F192">
        <v>0</v>
      </c>
      <c r="G192">
        <v>71.2</v>
      </c>
      <c r="H192">
        <v>67</v>
      </c>
      <c r="I192">
        <v>28</v>
      </c>
      <c r="J192">
        <v>87</v>
      </c>
      <c r="K192">
        <v>36</v>
      </c>
      <c r="L192">
        <v>5</v>
      </c>
      <c r="M192">
        <v>4</v>
      </c>
      <c r="N192">
        <v>5</v>
      </c>
      <c r="O192">
        <v>18</v>
      </c>
      <c r="P192">
        <v>3</v>
      </c>
      <c r="Q192">
        <v>7</v>
      </c>
      <c r="R192">
        <v>3.52</v>
      </c>
      <c r="S192">
        <v>1.44</v>
      </c>
      <c r="T192">
        <f t="shared" si="6"/>
        <v>71.2</v>
      </c>
      <c r="U192">
        <f t="shared" si="7"/>
        <v>0.3932584269662921</v>
      </c>
      <c r="V192">
        <f>U192-AVERAGEIFS(Pitchers[ER/IP],Pitchers[GS],"&gt;"&amp;0,Pitchers[IP],"&gt;"&amp;3)</f>
        <v>-0.17824216783302738</v>
      </c>
      <c r="W192">
        <f>IF(Pitchers[[#This Row],[IP/GS]]&lt;&gt;0,(Pitchers[[#This Row],[WHIP]]*$AH$5+$AI$5)/9*Pitchers[[#This Row],[IP/GS]],(Pitchers[[#This Row],[WHIP]]*$AH$5+$AI$5)/9*(Pitchers[[#This Row],[IP]]/Pitchers[[#This Row],[G]]))</f>
        <v>38.946694413107771</v>
      </c>
      <c r="X192">
        <f>Pitchers[[#This Row],[Runs from WHIP]]-AVERAGEIFS(Pitchers[Runs from WHIP],Pitchers[GS],"&gt;"&amp;0,Pitchers[IP],"&gt;"&amp;3)</f>
        <v>33.260778506982909</v>
      </c>
      <c r="Y192">
        <f>IF(Pitchers[[#This Row],[IP/GS]]&lt;&gt;0,Pitchers[[#This Row],[ER/IP From Average]]*Pitchers[[#This Row],[IP/GS]],Pitchers[[#This Row],[ER/IP From Average]]*(Pitchers[[#This Row],[IP]]/Pitchers[[#This Row],[G]]))</f>
        <v>-12.69084234971155</v>
      </c>
      <c r="Z192">
        <f t="shared" si="8"/>
        <v>3.7932039953108219</v>
      </c>
      <c r="AA192" s="32">
        <f>IF(Pitchers[[#This Row],[W]]=0,0,Pitchers[[#This Row],[W]]/(Pitchers[[#This Row],[W]]+Pitchers[[#This Row],[L]]))</f>
        <v>0.44444444444444442</v>
      </c>
      <c r="AB192" s="60"/>
    </row>
    <row r="193" spans="1:28" x14ac:dyDescent="0.25">
      <c r="A193" t="s">
        <v>563</v>
      </c>
      <c r="B193" t="s">
        <v>340</v>
      </c>
      <c r="C193">
        <v>78</v>
      </c>
      <c r="D193">
        <v>0</v>
      </c>
      <c r="E193">
        <v>0</v>
      </c>
      <c r="F193">
        <v>0</v>
      </c>
      <c r="G193">
        <v>71.099999999999994</v>
      </c>
      <c r="H193">
        <v>64</v>
      </c>
      <c r="I193">
        <v>36</v>
      </c>
      <c r="J193">
        <v>81</v>
      </c>
      <c r="K193">
        <v>26</v>
      </c>
      <c r="L193">
        <v>5</v>
      </c>
      <c r="M193">
        <v>6</v>
      </c>
      <c r="N193">
        <v>9</v>
      </c>
      <c r="O193">
        <v>1</v>
      </c>
      <c r="P193">
        <v>6</v>
      </c>
      <c r="Q193">
        <v>19</v>
      </c>
      <c r="R193">
        <v>4.54</v>
      </c>
      <c r="S193">
        <v>1.26</v>
      </c>
      <c r="T193">
        <f t="shared" si="6"/>
        <v>0</v>
      </c>
      <c r="U193">
        <f t="shared" si="7"/>
        <v>0.50632911392405067</v>
      </c>
      <c r="V193">
        <f>U193-AVERAGEIFS(Pitchers[ER/IP],Pitchers[GS],"&gt;"&amp;0,Pitchers[IP],"&gt;"&amp;3)</f>
        <v>-6.5171480875268806E-2</v>
      </c>
      <c r="W193">
        <f>IF(Pitchers[[#This Row],[IP/GS]]&lt;&gt;0,(Pitchers[[#This Row],[WHIP]]*$AH$5+$AI$5)/9*Pitchers[[#This Row],[IP/GS]],(Pitchers[[#This Row],[WHIP]]*$AH$5+$AI$5)/9*(Pitchers[[#This Row],[IP]]/Pitchers[[#This Row],[G]]))</f>
        <v>0.41343069071945449</v>
      </c>
      <c r="X193">
        <f>Pitchers[[#This Row],[Runs from WHIP]]-AVERAGEIFS(Pitchers[Runs from WHIP],Pitchers[GS],"&gt;"&amp;0,Pitchers[IP],"&gt;"&amp;3)</f>
        <v>-5.2724852154054052</v>
      </c>
      <c r="Y193">
        <f>IF(Pitchers[[#This Row],[IP/GS]]&lt;&gt;0,Pitchers[[#This Row],[ER/IP From Average]]*Pitchers[[#This Row],[IP/GS]],Pitchers[[#This Row],[ER/IP From Average]]*(Pitchers[[#This Row],[IP]]/Pitchers[[#This Row],[G]]))</f>
        <v>-5.9406311413225797E-2</v>
      </c>
      <c r="Z193">
        <f t="shared" si="8"/>
        <v>-1.4297585820067313</v>
      </c>
      <c r="AA193" s="32">
        <f>IF(Pitchers[[#This Row],[W]]=0,0,Pitchers[[#This Row],[W]]/(Pitchers[[#This Row],[W]]+Pitchers[[#This Row],[L]]))</f>
        <v>0.4</v>
      </c>
      <c r="AB193" s="60"/>
    </row>
    <row r="194" spans="1:28" x14ac:dyDescent="0.25">
      <c r="A194" t="s">
        <v>457</v>
      </c>
      <c r="B194" t="s">
        <v>4</v>
      </c>
      <c r="C194">
        <v>54</v>
      </c>
      <c r="D194">
        <v>0</v>
      </c>
      <c r="E194">
        <v>0</v>
      </c>
      <c r="F194">
        <v>0</v>
      </c>
      <c r="G194">
        <v>70.2</v>
      </c>
      <c r="H194">
        <v>72</v>
      </c>
      <c r="I194">
        <v>37</v>
      </c>
      <c r="J194">
        <v>79</v>
      </c>
      <c r="K194">
        <v>27</v>
      </c>
      <c r="L194">
        <v>8</v>
      </c>
      <c r="M194">
        <v>5</v>
      </c>
      <c r="N194">
        <v>5</v>
      </c>
      <c r="O194">
        <v>1</v>
      </c>
      <c r="P194">
        <v>3</v>
      </c>
      <c r="Q194">
        <v>4</v>
      </c>
      <c r="R194">
        <v>4.71</v>
      </c>
      <c r="S194">
        <v>1.4</v>
      </c>
      <c r="T194">
        <f t="shared" si="6"/>
        <v>0</v>
      </c>
      <c r="U194">
        <f t="shared" si="7"/>
        <v>0.52706552706552701</v>
      </c>
      <c r="V194">
        <f>U194-AVERAGEIFS(Pitchers[ER/IP],Pitchers[GS],"&gt;"&amp;0,Pitchers[IP],"&gt;"&amp;3)</f>
        <v>-4.4435067733792466E-2</v>
      </c>
      <c r="W194">
        <f>IF(Pitchers[[#This Row],[IP/GS]]&lt;&gt;0,(Pitchers[[#This Row],[WHIP]]*$AH$5+$AI$5)/9*Pitchers[[#This Row],[IP/GS]],(Pitchers[[#This Row],[WHIP]]*$AH$5+$AI$5)/9*(Pitchers[[#This Row],[IP]]/Pitchers[[#This Row],[G]]))</f>
        <v>0.68410828172264715</v>
      </c>
      <c r="X194">
        <f>Pitchers[[#This Row],[Runs from WHIP]]-AVERAGEIFS(Pitchers[Runs from WHIP],Pitchers[GS],"&gt;"&amp;0,Pitchers[IP],"&gt;"&amp;3)</f>
        <v>-5.001807624402212</v>
      </c>
      <c r="Y194">
        <f>IF(Pitchers[[#This Row],[IP/GS]]&lt;&gt;0,Pitchers[[#This Row],[ER/IP From Average]]*Pitchers[[#This Row],[IP/GS]],Pitchers[[#This Row],[ER/IP From Average]]*(Pitchers[[#This Row],[IP]]/Pitchers[[#This Row],[G]]))</f>
        <v>-5.7765588053930207E-2</v>
      </c>
      <c r="Z194">
        <f t="shared" si="8"/>
        <v>-1.356921601728829</v>
      </c>
      <c r="AA194" s="32">
        <f>IF(Pitchers[[#This Row],[W]]=0,0,Pitchers[[#This Row],[W]]/(Pitchers[[#This Row],[W]]+Pitchers[[#This Row],[L]]))</f>
        <v>0.5</v>
      </c>
      <c r="AB194" s="60"/>
    </row>
    <row r="195" spans="1:28" x14ac:dyDescent="0.25">
      <c r="A195" t="s">
        <v>679</v>
      </c>
      <c r="B195" t="s">
        <v>16</v>
      </c>
      <c r="C195">
        <v>26</v>
      </c>
      <c r="D195">
        <v>8</v>
      </c>
      <c r="E195">
        <v>0</v>
      </c>
      <c r="F195">
        <v>0</v>
      </c>
      <c r="G195">
        <v>70.2</v>
      </c>
      <c r="H195">
        <v>74</v>
      </c>
      <c r="I195">
        <v>46</v>
      </c>
      <c r="J195">
        <v>68</v>
      </c>
      <c r="K195">
        <v>44</v>
      </c>
      <c r="L195">
        <v>9</v>
      </c>
      <c r="M195">
        <v>4</v>
      </c>
      <c r="N195">
        <v>7</v>
      </c>
      <c r="O195">
        <v>0</v>
      </c>
      <c r="P195">
        <v>0</v>
      </c>
      <c r="Q195">
        <v>0</v>
      </c>
      <c r="R195">
        <v>5.86</v>
      </c>
      <c r="S195">
        <v>1.67</v>
      </c>
      <c r="T195">
        <f t="shared" si="6"/>
        <v>8.7750000000000004</v>
      </c>
      <c r="U195">
        <f t="shared" si="7"/>
        <v>0.6552706552706552</v>
      </c>
      <c r="V195">
        <f>U195-AVERAGEIFS(Pitchers[ER/IP],Pitchers[GS],"&gt;"&amp;0,Pitchers[IP],"&gt;"&amp;3)</f>
        <v>8.3770060471335728E-2</v>
      </c>
      <c r="W195">
        <f>IF(Pitchers[[#This Row],[IP/GS]]&lt;&gt;0,(Pitchers[[#This Row],[WHIP]]*$AH$5+$AI$5)/9*Pitchers[[#This Row],[IP/GS]],(Pitchers[[#This Row],[WHIP]]*$AH$5+$AI$5)/9*(Pitchers[[#This Row],[IP]]/Pitchers[[#This Row],[G]]))</f>
        <v>5.8477859877800604</v>
      </c>
      <c r="X195">
        <f>Pitchers[[#This Row],[Runs from WHIP]]-AVERAGEIFS(Pitchers[Runs from WHIP],Pitchers[GS],"&gt;"&amp;0,Pitchers[IP],"&gt;"&amp;3)</f>
        <v>0.16187008165520123</v>
      </c>
      <c r="Y195">
        <f>IF(Pitchers[[#This Row],[IP/GS]]&lt;&gt;0,Pitchers[[#This Row],[ER/IP From Average]]*Pitchers[[#This Row],[IP/GS]],Pitchers[[#This Row],[ER/IP From Average]]*(Pitchers[[#This Row],[IP]]/Pitchers[[#This Row],[G]]))</f>
        <v>0.73508228063597103</v>
      </c>
      <c r="Z195">
        <f t="shared" si="8"/>
        <v>0.33719826736244213</v>
      </c>
      <c r="AA195" s="32">
        <f>IF(Pitchers[[#This Row],[W]]=0,0,Pitchers[[#This Row],[W]]/(Pitchers[[#This Row],[W]]+Pitchers[[#This Row],[L]]))</f>
        <v>0.36363636363636365</v>
      </c>
      <c r="AB195" s="60"/>
    </row>
    <row r="196" spans="1:28" x14ac:dyDescent="0.25">
      <c r="A196" t="s">
        <v>529</v>
      </c>
      <c r="B196" t="s">
        <v>332</v>
      </c>
      <c r="C196">
        <v>61</v>
      </c>
      <c r="D196">
        <v>0</v>
      </c>
      <c r="E196">
        <v>0</v>
      </c>
      <c r="F196">
        <v>0</v>
      </c>
      <c r="G196">
        <v>70.099999999999994</v>
      </c>
      <c r="H196">
        <v>64</v>
      </c>
      <c r="I196">
        <v>33</v>
      </c>
      <c r="J196">
        <v>92</v>
      </c>
      <c r="K196">
        <v>37</v>
      </c>
      <c r="L196">
        <v>6</v>
      </c>
      <c r="M196">
        <v>3</v>
      </c>
      <c r="N196">
        <v>3</v>
      </c>
      <c r="O196">
        <v>1</v>
      </c>
      <c r="P196">
        <v>2</v>
      </c>
      <c r="Q196">
        <v>14</v>
      </c>
      <c r="R196">
        <v>4.22</v>
      </c>
      <c r="S196">
        <v>1.44</v>
      </c>
      <c r="T196">
        <f t="shared" si="6"/>
        <v>0</v>
      </c>
      <c r="U196">
        <f t="shared" si="7"/>
        <v>0.47075606276747506</v>
      </c>
      <c r="V196">
        <f>U196-AVERAGEIFS(Pitchers[ER/IP],Pitchers[GS],"&gt;"&amp;0,Pitchers[IP],"&gt;"&amp;3)</f>
        <v>-0.10074453203184441</v>
      </c>
      <c r="W196">
        <f>IF(Pitchers[[#This Row],[IP/GS]]&lt;&gt;0,(Pitchers[[#This Row],[WHIP]]*$AH$5+$AI$5)/9*Pitchers[[#This Row],[IP/GS]],(Pitchers[[#This Row],[WHIP]]*$AH$5+$AI$5)/9*(Pitchers[[#This Row],[IP]]/Pitchers[[#This Row],[G]]))</f>
        <v>0.6286063912227976</v>
      </c>
      <c r="X196">
        <f>Pitchers[[#This Row],[Runs from WHIP]]-AVERAGEIFS(Pitchers[Runs from WHIP],Pitchers[GS],"&gt;"&amp;0,Pitchers[IP],"&gt;"&amp;3)</f>
        <v>-5.0573095149020615</v>
      </c>
      <c r="Y196">
        <f>IF(Pitchers[[#This Row],[IP/GS]]&lt;&gt;0,Pitchers[[#This Row],[ER/IP From Average]]*Pitchers[[#This Row],[IP/GS]],Pitchers[[#This Row],[ER/IP From Average]]*(Pitchers[[#This Row],[IP]]/Pitchers[[#This Row],[G]]))</f>
        <v>-0.11577363435134906</v>
      </c>
      <c r="Z196">
        <f t="shared" si="8"/>
        <v>-1.3949253243810895</v>
      </c>
      <c r="AA196" s="32">
        <f>IF(Pitchers[[#This Row],[W]]=0,0,Pitchers[[#This Row],[W]]/(Pitchers[[#This Row],[W]]+Pitchers[[#This Row],[L]]))</f>
        <v>0.5</v>
      </c>
      <c r="AB196" s="60"/>
    </row>
    <row r="197" spans="1:28" x14ac:dyDescent="0.25">
      <c r="A197" t="s">
        <v>848</v>
      </c>
      <c r="B197" t="s">
        <v>11</v>
      </c>
      <c r="C197">
        <v>15</v>
      </c>
      <c r="D197">
        <v>15</v>
      </c>
      <c r="E197">
        <v>0</v>
      </c>
      <c r="F197">
        <v>0</v>
      </c>
      <c r="G197">
        <v>70</v>
      </c>
      <c r="H197">
        <v>77</v>
      </c>
      <c r="I197">
        <v>51</v>
      </c>
      <c r="J197">
        <v>68</v>
      </c>
      <c r="K197">
        <v>34</v>
      </c>
      <c r="L197">
        <v>21</v>
      </c>
      <c r="M197">
        <v>2</v>
      </c>
      <c r="N197">
        <v>6</v>
      </c>
      <c r="O197">
        <v>0</v>
      </c>
      <c r="P197">
        <v>0</v>
      </c>
      <c r="Q197">
        <v>0</v>
      </c>
      <c r="R197">
        <v>6.56</v>
      </c>
      <c r="S197">
        <v>1.59</v>
      </c>
      <c r="T197">
        <f t="shared" ref="T197:T260" si="9">IF(D197=0,0,G197/D197)</f>
        <v>4.666666666666667</v>
      </c>
      <c r="U197">
        <f t="shared" ref="U197:U260" si="10">IF(G197=0,0,I197/G197)</f>
        <v>0.72857142857142854</v>
      </c>
      <c r="V197" s="60">
        <f>U197-AVERAGEIFS(Pitchers[ER/IP],Pitchers[GS],"&gt;"&amp;0,Pitchers[IP],"&gt;"&amp;3)</f>
        <v>0.15707083377210906</v>
      </c>
      <c r="W197" s="60">
        <f>IF(Pitchers[[#This Row],[IP/GS]]&lt;&gt;0,(Pitchers[[#This Row],[WHIP]]*$AH$5+$AI$5)/9*Pitchers[[#This Row],[IP/GS]],(Pitchers[[#This Row],[WHIP]]*$AH$5+$AI$5)/9*(Pitchers[[#This Row],[IP]]/Pitchers[[#This Row],[G]]))</f>
        <v>2.9161083799118113</v>
      </c>
      <c r="X197" s="60">
        <f>Pitchers[[#This Row],[Runs from WHIP]]-AVERAGEIFS(Pitchers[Runs from WHIP],Pitchers[GS],"&gt;"&amp;0,Pitchers[IP],"&gt;"&amp;3)</f>
        <v>-2.7698075262130479</v>
      </c>
      <c r="Y197" s="60">
        <f>IF(Pitchers[[#This Row],[IP/GS]]&lt;&gt;0,Pitchers[[#This Row],[ER/IP From Average]]*Pitchers[[#This Row],[IP/GS]],Pitchers[[#This Row],[ER/IP From Average]]*(Pitchers[[#This Row],[IP]]/Pitchers[[#This Row],[G]]))</f>
        <v>0.73299722426984237</v>
      </c>
      <c r="Z197" s="60">
        <f t="shared" ref="Z197:Z260" si="11">AVERAGE(X197,X197,Y197,Y197,Y197)/1.5</f>
        <v>-0.44541645061554247</v>
      </c>
      <c r="AA197" s="32">
        <f>IF(Pitchers[[#This Row],[W]]=0,0,Pitchers[[#This Row],[W]]/(Pitchers[[#This Row],[W]]+Pitchers[[#This Row],[L]]))</f>
        <v>0.25</v>
      </c>
      <c r="AB197" s="60"/>
    </row>
    <row r="198" spans="1:28" x14ac:dyDescent="0.25">
      <c r="A198" t="s">
        <v>640</v>
      </c>
      <c r="B198" t="s">
        <v>14</v>
      </c>
      <c r="C198">
        <v>69</v>
      </c>
      <c r="D198">
        <v>0</v>
      </c>
      <c r="E198">
        <v>0</v>
      </c>
      <c r="F198">
        <v>0</v>
      </c>
      <c r="G198">
        <v>70</v>
      </c>
      <c r="H198">
        <v>60</v>
      </c>
      <c r="I198">
        <v>27</v>
      </c>
      <c r="J198">
        <v>63</v>
      </c>
      <c r="K198">
        <v>35</v>
      </c>
      <c r="L198">
        <v>8</v>
      </c>
      <c r="M198">
        <v>5</v>
      </c>
      <c r="N198">
        <v>3</v>
      </c>
      <c r="O198">
        <v>0</v>
      </c>
      <c r="P198">
        <v>4</v>
      </c>
      <c r="Q198">
        <v>12</v>
      </c>
      <c r="R198">
        <v>3.47</v>
      </c>
      <c r="S198">
        <v>1.36</v>
      </c>
      <c r="T198">
        <f t="shared" si="9"/>
        <v>0</v>
      </c>
      <c r="U198">
        <f t="shared" si="10"/>
        <v>0.38571428571428573</v>
      </c>
      <c r="V198" s="60">
        <f>U198-AVERAGEIFS(Pitchers[ER/IP],Pitchers[GS],"&gt;"&amp;0,Pitchers[IP],"&gt;"&amp;3)</f>
        <v>-0.18578630908503374</v>
      </c>
      <c r="W198" s="60">
        <f>IF(Pitchers[[#This Row],[IP/GS]]&lt;&gt;0,(Pitchers[[#This Row],[WHIP]]*$AH$5+$AI$5)/9*Pitchers[[#This Row],[IP/GS]],(Pitchers[[#This Row],[WHIP]]*$AH$5+$AI$5)/9*(Pitchers[[#This Row],[IP]]/Pitchers[[#This Row],[G]]))</f>
        <v>0.51279579882669768</v>
      </c>
      <c r="X198" s="60">
        <f>Pitchers[[#This Row],[Runs from WHIP]]-AVERAGEIFS(Pitchers[Runs from WHIP],Pitchers[GS],"&gt;"&amp;0,Pitchers[IP],"&gt;"&amp;3)</f>
        <v>-5.1731201072981614</v>
      </c>
      <c r="Y198" s="60">
        <f>IF(Pitchers[[#This Row],[IP/GS]]&lt;&gt;0,Pitchers[[#This Row],[ER/IP From Average]]*Pitchers[[#This Row],[IP/GS]],Pitchers[[#This Row],[ER/IP From Average]]*(Pitchers[[#This Row],[IP]]/Pitchers[[#This Row],[G]]))</f>
        <v>-0.18847886428916469</v>
      </c>
      <c r="Z198" s="60">
        <f t="shared" si="11"/>
        <v>-1.4548902409951756</v>
      </c>
      <c r="AA198" s="32">
        <f>IF(Pitchers[[#This Row],[W]]=0,0,Pitchers[[#This Row],[W]]/(Pitchers[[#This Row],[W]]+Pitchers[[#This Row],[L]]))</f>
        <v>0.625</v>
      </c>
      <c r="AB198" s="60"/>
    </row>
    <row r="199" spans="1:28" x14ac:dyDescent="0.25">
      <c r="A199" t="s">
        <v>691</v>
      </c>
      <c r="B199" t="s">
        <v>218</v>
      </c>
      <c r="C199">
        <v>66</v>
      </c>
      <c r="D199">
        <v>0</v>
      </c>
      <c r="E199">
        <v>0</v>
      </c>
      <c r="F199">
        <v>0</v>
      </c>
      <c r="G199">
        <v>70</v>
      </c>
      <c r="H199">
        <v>45</v>
      </c>
      <c r="I199">
        <v>18</v>
      </c>
      <c r="J199">
        <v>96</v>
      </c>
      <c r="K199">
        <v>13</v>
      </c>
      <c r="L199">
        <v>12</v>
      </c>
      <c r="M199">
        <v>4</v>
      </c>
      <c r="N199">
        <v>2</v>
      </c>
      <c r="O199">
        <v>20</v>
      </c>
      <c r="P199">
        <v>8</v>
      </c>
      <c r="Q199">
        <v>7</v>
      </c>
      <c r="R199">
        <v>2.31</v>
      </c>
      <c r="S199">
        <v>0.83</v>
      </c>
      <c r="T199">
        <f t="shared" si="9"/>
        <v>0</v>
      </c>
      <c r="U199">
        <f t="shared" si="10"/>
        <v>0.25714285714285712</v>
      </c>
      <c r="V199">
        <f>U199-AVERAGEIFS(Pitchers[ER/IP],Pitchers[GS],"&gt;"&amp;0,Pitchers[IP],"&gt;"&amp;3)</f>
        <v>-0.31435773765646235</v>
      </c>
      <c r="W199">
        <f>IF(Pitchers[[#This Row],[IP/GS]]&lt;&gt;0,(Pitchers[[#This Row],[WHIP]]*$AH$5+$AI$5)/9*Pitchers[[#This Row],[IP/GS]],(Pitchers[[#This Row],[WHIP]]*$AH$5+$AI$5)/9*(Pitchers[[#This Row],[IP]]/Pitchers[[#This Row],[G]]))</f>
        <v>0.24426548551865113</v>
      </c>
      <c r="X199">
        <f>Pitchers[[#This Row],[Runs from WHIP]]-AVERAGEIFS(Pitchers[Runs from WHIP],Pitchers[GS],"&gt;"&amp;0,Pitchers[IP],"&gt;"&amp;3)</f>
        <v>-5.4416504206062077</v>
      </c>
      <c r="Y199">
        <f>IF(Pitchers[[#This Row],[IP/GS]]&lt;&gt;0,Pitchers[[#This Row],[ER/IP From Average]]*Pitchers[[#This Row],[IP/GS]],Pitchers[[#This Row],[ER/IP From Average]]*(Pitchers[[#This Row],[IP]]/Pitchers[[#This Row],[G]]))</f>
        <v>-0.33340972175685402</v>
      </c>
      <c r="Z199">
        <f t="shared" si="11"/>
        <v>-1.584470667531064</v>
      </c>
      <c r="AA199" s="32">
        <f>IF(Pitchers[[#This Row],[W]]=0,0,Pitchers[[#This Row],[W]]/(Pitchers[[#This Row],[W]]+Pitchers[[#This Row],[L]]))</f>
        <v>0.66666666666666663</v>
      </c>
      <c r="AB199" s="60"/>
    </row>
    <row r="200" spans="1:28" x14ac:dyDescent="0.25">
      <c r="A200" t="s">
        <v>456</v>
      </c>
      <c r="B200" t="s">
        <v>29</v>
      </c>
      <c r="C200">
        <v>71</v>
      </c>
      <c r="D200">
        <v>0</v>
      </c>
      <c r="E200">
        <v>0</v>
      </c>
      <c r="F200">
        <v>0</v>
      </c>
      <c r="G200">
        <v>69.2</v>
      </c>
      <c r="H200">
        <v>43</v>
      </c>
      <c r="I200">
        <v>24</v>
      </c>
      <c r="J200">
        <v>69</v>
      </c>
      <c r="K200">
        <v>23</v>
      </c>
      <c r="L200">
        <v>6</v>
      </c>
      <c r="M200">
        <v>7</v>
      </c>
      <c r="N200">
        <v>2</v>
      </c>
      <c r="O200">
        <v>1</v>
      </c>
      <c r="P200">
        <v>6</v>
      </c>
      <c r="Q200">
        <v>25</v>
      </c>
      <c r="R200">
        <v>3.1</v>
      </c>
      <c r="S200">
        <v>0.95</v>
      </c>
      <c r="T200">
        <f t="shared" si="9"/>
        <v>0</v>
      </c>
      <c r="U200">
        <f t="shared" si="10"/>
        <v>0.34682080924855491</v>
      </c>
      <c r="V200">
        <f>U200-AVERAGEIFS(Pitchers[ER/IP],Pitchers[GS],"&gt;"&amp;0,Pitchers[IP],"&gt;"&amp;3)</f>
        <v>-0.22467978555076457</v>
      </c>
      <c r="W200">
        <f>IF(Pitchers[[#This Row],[IP/GS]]&lt;&gt;0,(Pitchers[[#This Row],[WHIP]]*$AH$5+$AI$5)/9*Pitchers[[#This Row],[IP/GS]],(Pitchers[[#This Row],[WHIP]]*$AH$5+$AI$5)/9*(Pitchers[[#This Row],[IP]]/Pitchers[[#This Row],[G]]))</f>
        <v>0.28519020123284883</v>
      </c>
      <c r="X200">
        <f>Pitchers[[#This Row],[Runs from WHIP]]-AVERAGEIFS(Pitchers[Runs from WHIP],Pitchers[GS],"&gt;"&amp;0,Pitchers[IP],"&gt;"&amp;3)</f>
        <v>-5.4007257048920101</v>
      </c>
      <c r="Y200">
        <f>IF(Pitchers[[#This Row],[IP/GS]]&lt;&gt;0,Pitchers[[#This Row],[ER/IP From Average]]*Pitchers[[#This Row],[IP/GS]],Pitchers[[#This Row],[ER/IP From Average]]*(Pitchers[[#This Row],[IP]]/Pitchers[[#This Row],[G]]))</f>
        <v>-0.21898367831144941</v>
      </c>
      <c r="Z200">
        <f t="shared" si="11"/>
        <v>-1.5277869926291157</v>
      </c>
      <c r="AA200" s="32">
        <f>IF(Pitchers[[#This Row],[W]]=0,0,Pitchers[[#This Row],[W]]/(Pitchers[[#This Row],[W]]+Pitchers[[#This Row],[L]]))</f>
        <v>0.77777777777777779</v>
      </c>
      <c r="AB200" s="60"/>
    </row>
    <row r="201" spans="1:28" x14ac:dyDescent="0.25">
      <c r="A201" t="s">
        <v>1458</v>
      </c>
      <c r="B201" t="s">
        <v>361</v>
      </c>
      <c r="C201">
        <v>18</v>
      </c>
      <c r="D201">
        <v>12</v>
      </c>
      <c r="E201">
        <v>0</v>
      </c>
      <c r="F201">
        <v>0</v>
      </c>
      <c r="G201">
        <v>69.2</v>
      </c>
      <c r="H201">
        <v>86</v>
      </c>
      <c r="I201">
        <v>51</v>
      </c>
      <c r="J201">
        <v>46</v>
      </c>
      <c r="K201">
        <v>27</v>
      </c>
      <c r="L201">
        <v>20</v>
      </c>
      <c r="M201">
        <v>3</v>
      </c>
      <c r="N201">
        <v>5</v>
      </c>
      <c r="O201">
        <v>0</v>
      </c>
      <c r="P201">
        <v>0</v>
      </c>
      <c r="Q201">
        <v>0</v>
      </c>
      <c r="R201">
        <v>6.59</v>
      </c>
      <c r="S201">
        <v>1.62</v>
      </c>
      <c r="T201">
        <f t="shared" si="9"/>
        <v>5.7666666666666666</v>
      </c>
      <c r="U201">
        <f t="shared" si="10"/>
        <v>0.73699421965317913</v>
      </c>
      <c r="V201" s="60">
        <f>U201-AVERAGEIFS(Pitchers[ER/IP],Pitchers[GS],"&gt;"&amp;0,Pitchers[IP],"&gt;"&amp;3)</f>
        <v>0.16549362485385966</v>
      </c>
      <c r="W201" s="60">
        <f>IF(Pitchers[[#This Row],[IP/GS]]&lt;&gt;0,(Pitchers[[#This Row],[WHIP]]*$AH$5+$AI$5)/9*Pitchers[[#This Row],[IP/GS]],(Pitchers[[#This Row],[WHIP]]*$AH$5+$AI$5)/9*(Pitchers[[#This Row],[IP]]/Pitchers[[#This Row],[G]]))</f>
        <v>3.6932940381131898</v>
      </c>
      <c r="X201" s="60">
        <f>Pitchers[[#This Row],[Runs from WHIP]]-AVERAGEIFS(Pitchers[Runs from WHIP],Pitchers[GS],"&gt;"&amp;0,Pitchers[IP],"&gt;"&amp;3)</f>
        <v>-1.9926218680116694</v>
      </c>
      <c r="Y201" s="60">
        <f>IF(Pitchers[[#This Row],[IP/GS]]&lt;&gt;0,Pitchers[[#This Row],[ER/IP From Average]]*Pitchers[[#This Row],[IP/GS]],Pitchers[[#This Row],[ER/IP From Average]]*(Pitchers[[#This Row],[IP]]/Pitchers[[#This Row],[G]]))</f>
        <v>0.95434656999059064</v>
      </c>
      <c r="Z201" s="60">
        <f t="shared" si="11"/>
        <v>-0.14962720347354219</v>
      </c>
      <c r="AA201" s="32">
        <f>IF(Pitchers[[#This Row],[W]]=0,0,Pitchers[[#This Row],[W]]/(Pitchers[[#This Row],[W]]+Pitchers[[#This Row],[L]]))</f>
        <v>0.375</v>
      </c>
      <c r="AB201" s="60"/>
    </row>
    <row r="202" spans="1:28" x14ac:dyDescent="0.25">
      <c r="A202" t="s">
        <v>586</v>
      </c>
      <c r="B202" t="s">
        <v>16</v>
      </c>
      <c r="C202">
        <v>61</v>
      </c>
      <c r="D202">
        <v>1</v>
      </c>
      <c r="E202">
        <v>0</v>
      </c>
      <c r="F202">
        <v>0</v>
      </c>
      <c r="G202">
        <v>69</v>
      </c>
      <c r="H202">
        <v>69</v>
      </c>
      <c r="I202">
        <v>37</v>
      </c>
      <c r="J202">
        <v>72</v>
      </c>
      <c r="K202">
        <v>21</v>
      </c>
      <c r="L202">
        <v>13</v>
      </c>
      <c r="M202">
        <v>2</v>
      </c>
      <c r="N202">
        <v>3</v>
      </c>
      <c r="O202">
        <v>0</v>
      </c>
      <c r="P202">
        <v>1</v>
      </c>
      <c r="Q202">
        <v>7</v>
      </c>
      <c r="R202">
        <v>4.83</v>
      </c>
      <c r="S202">
        <v>1.3</v>
      </c>
      <c r="T202">
        <f t="shared" si="9"/>
        <v>69</v>
      </c>
      <c r="U202">
        <f t="shared" si="10"/>
        <v>0.53623188405797106</v>
      </c>
      <c r="V202">
        <f>U202-AVERAGEIFS(Pitchers[ER/IP],Pitchers[GS],"&gt;"&amp;0,Pitchers[IP],"&gt;"&amp;3)</f>
        <v>-3.5268710741348408E-2</v>
      </c>
      <c r="W202">
        <f>IF(Pitchers[[#This Row],[IP/GS]]&lt;&gt;0,(Pitchers[[#This Row],[WHIP]]*$AH$5+$AI$5)/9*Pitchers[[#This Row],[IP/GS]],(Pitchers[[#This Row],[WHIP]]*$AH$5+$AI$5)/9*(Pitchers[[#This Row],[IP]]/Pitchers[[#This Row],[G]]))</f>
        <v>32.72805596829253</v>
      </c>
      <c r="X202">
        <f>Pitchers[[#This Row],[Runs from WHIP]]-AVERAGEIFS(Pitchers[Runs from WHIP],Pitchers[GS],"&gt;"&amp;0,Pitchers[IP],"&gt;"&amp;3)</f>
        <v>27.042140062167672</v>
      </c>
      <c r="Y202">
        <f>IF(Pitchers[[#This Row],[IP/GS]]&lt;&gt;0,Pitchers[[#This Row],[ER/IP From Average]]*Pitchers[[#This Row],[IP/GS]],Pitchers[[#This Row],[ER/IP From Average]]*(Pitchers[[#This Row],[IP]]/Pitchers[[#This Row],[G]]))</f>
        <v>-2.43354104115304</v>
      </c>
      <c r="Z202">
        <f t="shared" si="11"/>
        <v>6.2378209334501626</v>
      </c>
      <c r="AA202" s="32">
        <f>IF(Pitchers[[#This Row],[W]]=0,0,Pitchers[[#This Row],[W]]/(Pitchers[[#This Row],[W]]+Pitchers[[#This Row],[L]]))</f>
        <v>0.4</v>
      </c>
      <c r="AB202" s="60"/>
    </row>
    <row r="203" spans="1:28" x14ac:dyDescent="0.25">
      <c r="A203" t="s">
        <v>501</v>
      </c>
      <c r="B203" t="s">
        <v>17</v>
      </c>
      <c r="C203">
        <v>71</v>
      </c>
      <c r="D203">
        <v>1</v>
      </c>
      <c r="E203">
        <v>0</v>
      </c>
      <c r="F203">
        <v>0</v>
      </c>
      <c r="G203">
        <v>69</v>
      </c>
      <c r="H203">
        <v>51</v>
      </c>
      <c r="I203">
        <v>33</v>
      </c>
      <c r="J203">
        <v>79</v>
      </c>
      <c r="K203">
        <v>20</v>
      </c>
      <c r="L203">
        <v>9</v>
      </c>
      <c r="M203">
        <v>2</v>
      </c>
      <c r="N203">
        <v>4</v>
      </c>
      <c r="O203">
        <v>1</v>
      </c>
      <c r="P203">
        <v>5</v>
      </c>
      <c r="Q203">
        <v>21</v>
      </c>
      <c r="R203">
        <v>4.3</v>
      </c>
      <c r="S203">
        <v>1.03</v>
      </c>
      <c r="T203">
        <f t="shared" si="9"/>
        <v>69</v>
      </c>
      <c r="U203">
        <f t="shared" si="10"/>
        <v>0.47826086956521741</v>
      </c>
      <c r="V203">
        <f>U203-AVERAGEIFS(Pitchers[ER/IP],Pitchers[GS],"&gt;"&amp;0,Pitchers[IP],"&gt;"&amp;3)</f>
        <v>-9.3239725234102067E-2</v>
      </c>
      <c r="W203">
        <f>IF(Pitchers[[#This Row],[IP/GS]]&lt;&gt;0,(Pitchers[[#This Row],[WHIP]]*$AH$5+$AI$5)/9*Pitchers[[#This Row],[IP/GS]],(Pitchers[[#This Row],[WHIP]]*$AH$5+$AI$5)/9*(Pitchers[[#This Row],[IP]]/Pitchers[[#This Row],[G]]))</f>
        <v>23.055827940429136</v>
      </c>
      <c r="X203">
        <f>Pitchers[[#This Row],[Runs from WHIP]]-AVERAGEIFS(Pitchers[Runs from WHIP],Pitchers[GS],"&gt;"&amp;0,Pitchers[IP],"&gt;"&amp;3)</f>
        <v>17.369912034304278</v>
      </c>
      <c r="Y203">
        <f>IF(Pitchers[[#This Row],[IP/GS]]&lt;&gt;0,Pitchers[[#This Row],[ER/IP From Average]]*Pitchers[[#This Row],[IP/GS]],Pitchers[[#This Row],[ER/IP From Average]]*(Pitchers[[#This Row],[IP]]/Pitchers[[#This Row],[G]]))</f>
        <v>-6.4335410411530427</v>
      </c>
      <c r="Z203">
        <f t="shared" si="11"/>
        <v>2.0585601260199238</v>
      </c>
      <c r="AA203" s="32">
        <f>IF(Pitchers[[#This Row],[W]]=0,0,Pitchers[[#This Row],[W]]/(Pitchers[[#This Row],[W]]+Pitchers[[#This Row],[L]]))</f>
        <v>0.33333333333333331</v>
      </c>
      <c r="AB203" s="60"/>
    </row>
    <row r="204" spans="1:28" x14ac:dyDescent="0.25">
      <c r="A204" t="s">
        <v>492</v>
      </c>
      <c r="B204" t="s">
        <v>13</v>
      </c>
      <c r="C204">
        <v>60</v>
      </c>
      <c r="D204">
        <v>0</v>
      </c>
      <c r="E204">
        <v>0</v>
      </c>
      <c r="F204">
        <v>0</v>
      </c>
      <c r="G204">
        <v>69</v>
      </c>
      <c r="H204">
        <v>58</v>
      </c>
      <c r="I204">
        <v>20</v>
      </c>
      <c r="J204">
        <v>90</v>
      </c>
      <c r="K204">
        <v>11</v>
      </c>
      <c r="L204">
        <v>8</v>
      </c>
      <c r="M204">
        <v>2</v>
      </c>
      <c r="N204">
        <v>4</v>
      </c>
      <c r="O204">
        <v>30</v>
      </c>
      <c r="P204">
        <v>6</v>
      </c>
      <c r="Q204">
        <v>10</v>
      </c>
      <c r="R204">
        <v>2.61</v>
      </c>
      <c r="S204">
        <v>1</v>
      </c>
      <c r="T204">
        <f t="shared" si="9"/>
        <v>0</v>
      </c>
      <c r="U204">
        <f t="shared" si="10"/>
        <v>0.28985507246376813</v>
      </c>
      <c r="V204">
        <f>U204-AVERAGEIFS(Pitchers[ER/IP],Pitchers[GS],"&gt;"&amp;0,Pitchers[IP],"&gt;"&amp;3)</f>
        <v>-0.28164552233555135</v>
      </c>
      <c r="W204">
        <f>IF(Pitchers[[#This Row],[IP/GS]]&lt;&gt;0,(Pitchers[[#This Row],[WHIP]]*$AH$5+$AI$5)/9*Pitchers[[#This Row],[IP/GS]],(Pitchers[[#This Row],[WHIP]]*$AH$5+$AI$5)/9*(Pitchers[[#This Row],[IP]]/Pitchers[[#This Row],[G]]))</f>
        <v>0.36635226562221995</v>
      </c>
      <c r="X204">
        <f>Pitchers[[#This Row],[Runs from WHIP]]-AVERAGEIFS(Pitchers[Runs from WHIP],Pitchers[GS],"&gt;"&amp;0,Pitchers[IP],"&gt;"&amp;3)</f>
        <v>-5.319563640502639</v>
      </c>
      <c r="Y204">
        <f>IF(Pitchers[[#This Row],[IP/GS]]&lt;&gt;0,Pitchers[[#This Row],[ER/IP From Average]]*Pitchers[[#This Row],[IP/GS]],Pitchers[[#This Row],[ER/IP From Average]]*(Pitchers[[#This Row],[IP]]/Pitchers[[#This Row],[G]]))</f>
        <v>-0.32389235068588401</v>
      </c>
      <c r="Z204">
        <f t="shared" si="11"/>
        <v>-1.548107244408391</v>
      </c>
      <c r="AA204" s="32">
        <f>IF(Pitchers[[#This Row],[W]]=0,0,Pitchers[[#This Row],[W]]/(Pitchers[[#This Row],[W]]+Pitchers[[#This Row],[L]]))</f>
        <v>0.33333333333333331</v>
      </c>
      <c r="AB204" s="60"/>
    </row>
    <row r="205" spans="1:28" x14ac:dyDescent="0.25">
      <c r="A205" t="s">
        <v>642</v>
      </c>
      <c r="B205" t="s">
        <v>28</v>
      </c>
      <c r="C205">
        <v>54</v>
      </c>
      <c r="D205">
        <v>15</v>
      </c>
      <c r="E205">
        <v>0</v>
      </c>
      <c r="F205">
        <v>0</v>
      </c>
      <c r="G205">
        <v>69</v>
      </c>
      <c r="H205">
        <v>66</v>
      </c>
      <c r="I205">
        <v>32</v>
      </c>
      <c r="J205">
        <v>98</v>
      </c>
      <c r="K205">
        <v>19</v>
      </c>
      <c r="L205">
        <v>10</v>
      </c>
      <c r="M205">
        <v>4</v>
      </c>
      <c r="N205">
        <v>4</v>
      </c>
      <c r="O205">
        <v>2</v>
      </c>
      <c r="P205">
        <v>0</v>
      </c>
      <c r="Q205">
        <v>4</v>
      </c>
      <c r="R205">
        <v>4.17</v>
      </c>
      <c r="S205">
        <v>1.23</v>
      </c>
      <c r="T205">
        <f t="shared" si="9"/>
        <v>4.5999999999999996</v>
      </c>
      <c r="U205">
        <f t="shared" si="10"/>
        <v>0.46376811594202899</v>
      </c>
      <c r="V205">
        <f>U205-AVERAGEIFS(Pitchers[ER/IP],Pitchers[GS],"&gt;"&amp;0,Pitchers[IP],"&gt;"&amp;3)</f>
        <v>-0.10773247885729048</v>
      </c>
      <c r="W205">
        <f>IF(Pitchers[[#This Row],[IP/GS]]&lt;&gt;0,(Pitchers[[#This Row],[WHIP]]*$AH$5+$AI$5)/9*Pitchers[[#This Row],[IP/GS]],(Pitchers[[#This Row],[WHIP]]*$AH$5+$AI$5)/9*(Pitchers[[#This Row],[IP]]/Pitchers[[#This Row],[G]]))</f>
        <v>2.0146960862934673</v>
      </c>
      <c r="X205">
        <f>Pitchers[[#This Row],[Runs from WHIP]]-AVERAGEIFS(Pitchers[Runs from WHIP],Pitchers[GS],"&gt;"&amp;0,Pitchers[IP],"&gt;"&amp;3)</f>
        <v>-3.6712198198313919</v>
      </c>
      <c r="Y205">
        <f>IF(Pitchers[[#This Row],[IP/GS]]&lt;&gt;0,Pitchers[[#This Row],[ER/IP From Average]]*Pitchers[[#This Row],[IP/GS]],Pitchers[[#This Row],[ER/IP From Average]]*(Pitchers[[#This Row],[IP]]/Pitchers[[#This Row],[G]]))</f>
        <v>-0.49556940274353617</v>
      </c>
      <c r="Z205">
        <f t="shared" si="11"/>
        <v>-1.1772197130524522</v>
      </c>
      <c r="AA205" s="32">
        <f>IF(Pitchers[[#This Row],[W]]=0,0,Pitchers[[#This Row],[W]]/(Pitchers[[#This Row],[W]]+Pitchers[[#This Row],[L]]))</f>
        <v>0.5</v>
      </c>
      <c r="AB205" s="60"/>
    </row>
    <row r="206" spans="1:28" x14ac:dyDescent="0.25">
      <c r="A206" t="s">
        <v>367</v>
      </c>
      <c r="B206" t="s">
        <v>219</v>
      </c>
      <c r="C206">
        <v>31</v>
      </c>
      <c r="D206">
        <v>7</v>
      </c>
      <c r="E206">
        <v>1</v>
      </c>
      <c r="F206">
        <v>0</v>
      </c>
      <c r="G206">
        <v>68.2</v>
      </c>
      <c r="H206">
        <v>68</v>
      </c>
      <c r="I206">
        <v>45</v>
      </c>
      <c r="J206">
        <v>71</v>
      </c>
      <c r="K206">
        <v>35</v>
      </c>
      <c r="L206">
        <v>17</v>
      </c>
      <c r="M206">
        <v>2</v>
      </c>
      <c r="N206">
        <v>4</v>
      </c>
      <c r="O206">
        <v>0</v>
      </c>
      <c r="P206">
        <v>0</v>
      </c>
      <c r="Q206">
        <v>0</v>
      </c>
      <c r="R206">
        <v>5.9</v>
      </c>
      <c r="S206">
        <v>1.5</v>
      </c>
      <c r="T206">
        <f t="shared" si="9"/>
        <v>9.7428571428571438</v>
      </c>
      <c r="U206">
        <f t="shared" si="10"/>
        <v>0.65982404692082108</v>
      </c>
      <c r="V206">
        <f>U206-AVERAGEIFS(Pitchers[ER/IP],Pitchers[GS],"&gt;"&amp;0,Pitchers[IP],"&gt;"&amp;3)</f>
        <v>8.8323452121501611E-2</v>
      </c>
      <c r="W206">
        <f>IF(Pitchers[[#This Row],[IP/GS]]&lt;&gt;0,(Pitchers[[#This Row],[WHIP]]*$AH$5+$AI$5)/9*Pitchers[[#This Row],[IP/GS]],(Pitchers[[#This Row],[WHIP]]*$AH$5+$AI$5)/9*(Pitchers[[#This Row],[IP]]/Pitchers[[#This Row],[G]]))</f>
        <v>5.6328779457111828</v>
      </c>
      <c r="X206">
        <f>Pitchers[[#This Row],[Runs from WHIP]]-AVERAGEIFS(Pitchers[Runs from WHIP],Pitchers[GS],"&gt;"&amp;0,Pitchers[IP],"&gt;"&amp;3)</f>
        <v>-5.3037960413676366E-2</v>
      </c>
      <c r="Y206">
        <f>IF(Pitchers[[#This Row],[IP/GS]]&lt;&gt;0,Pitchers[[#This Row],[ER/IP From Average]]*Pitchers[[#This Row],[IP/GS]],Pitchers[[#This Row],[ER/IP From Average]]*(Pitchers[[#This Row],[IP]]/Pitchers[[#This Row],[G]]))</f>
        <v>0.86052277638377295</v>
      </c>
      <c r="Z206">
        <f t="shared" si="11"/>
        <v>0.33006565444319552</v>
      </c>
      <c r="AA206" s="32">
        <f>IF(Pitchers[[#This Row],[W]]=0,0,Pitchers[[#This Row],[W]]/(Pitchers[[#This Row],[W]]+Pitchers[[#This Row],[L]]))</f>
        <v>0.33333333333333331</v>
      </c>
      <c r="AB206" s="60"/>
    </row>
    <row r="207" spans="1:28" x14ac:dyDescent="0.25">
      <c r="A207" t="s">
        <v>471</v>
      </c>
      <c r="B207" t="s">
        <v>218</v>
      </c>
      <c r="C207">
        <v>65</v>
      </c>
      <c r="D207">
        <v>6</v>
      </c>
      <c r="E207">
        <v>0</v>
      </c>
      <c r="F207">
        <v>0</v>
      </c>
      <c r="G207">
        <v>68.2</v>
      </c>
      <c r="H207">
        <v>59</v>
      </c>
      <c r="I207">
        <v>26</v>
      </c>
      <c r="J207">
        <v>81</v>
      </c>
      <c r="K207">
        <v>26</v>
      </c>
      <c r="L207">
        <v>8</v>
      </c>
      <c r="M207">
        <v>5</v>
      </c>
      <c r="N207">
        <v>8</v>
      </c>
      <c r="O207">
        <v>8</v>
      </c>
      <c r="P207">
        <v>2</v>
      </c>
      <c r="Q207">
        <v>17</v>
      </c>
      <c r="R207">
        <v>3.41</v>
      </c>
      <c r="S207">
        <v>1.24</v>
      </c>
      <c r="T207">
        <f t="shared" si="9"/>
        <v>11.366666666666667</v>
      </c>
      <c r="U207">
        <f t="shared" si="10"/>
        <v>0.38123167155425219</v>
      </c>
      <c r="V207">
        <f>U207-AVERAGEIFS(Pitchers[ER/IP],Pitchers[GS],"&gt;"&amp;0,Pitchers[IP],"&gt;"&amp;3)</f>
        <v>-0.19026892324506728</v>
      </c>
      <c r="W207">
        <f>IF(Pitchers[[#This Row],[IP/GS]]&lt;&gt;0,(Pitchers[[#This Row],[WHIP]]*$AH$5+$AI$5)/9*Pitchers[[#This Row],[IP/GS]],(Pitchers[[#This Row],[WHIP]]*$AH$5+$AI$5)/9*(Pitchers[[#This Row],[IP]]/Pitchers[[#This Row],[G]]))</f>
        <v>5.0373561058339735</v>
      </c>
      <c r="X207">
        <f>Pitchers[[#This Row],[Runs from WHIP]]-AVERAGEIFS(Pitchers[Runs from WHIP],Pitchers[GS],"&gt;"&amp;0,Pitchers[IP],"&gt;"&amp;3)</f>
        <v>-0.64855980029088567</v>
      </c>
      <c r="Y207">
        <f>IF(Pitchers[[#This Row],[IP/GS]]&lt;&gt;0,Pitchers[[#This Row],[ER/IP From Average]]*Pitchers[[#This Row],[IP/GS]],Pitchers[[#This Row],[ER/IP From Average]]*(Pitchers[[#This Row],[IP]]/Pitchers[[#This Row],[G]]))</f>
        <v>-2.1627234275522649</v>
      </c>
      <c r="Z207">
        <f t="shared" si="11"/>
        <v>-1.0380386510984754</v>
      </c>
      <c r="AA207" s="32">
        <f>IF(Pitchers[[#This Row],[W]]=0,0,Pitchers[[#This Row],[W]]/(Pitchers[[#This Row],[W]]+Pitchers[[#This Row],[L]]))</f>
        <v>0.38461538461538464</v>
      </c>
      <c r="AB207" s="60"/>
    </row>
    <row r="208" spans="1:28" x14ac:dyDescent="0.25">
      <c r="A208" t="s">
        <v>617</v>
      </c>
      <c r="B208" t="s">
        <v>19</v>
      </c>
      <c r="C208">
        <v>70</v>
      </c>
      <c r="D208">
        <v>3</v>
      </c>
      <c r="E208">
        <v>0</v>
      </c>
      <c r="F208">
        <v>0</v>
      </c>
      <c r="G208">
        <v>68.2</v>
      </c>
      <c r="H208">
        <v>52</v>
      </c>
      <c r="I208">
        <v>33</v>
      </c>
      <c r="J208">
        <v>100</v>
      </c>
      <c r="K208">
        <v>39</v>
      </c>
      <c r="L208">
        <v>7</v>
      </c>
      <c r="M208">
        <v>2</v>
      </c>
      <c r="N208">
        <v>4</v>
      </c>
      <c r="O208">
        <v>14</v>
      </c>
      <c r="P208">
        <v>4</v>
      </c>
      <c r="Q208">
        <v>7</v>
      </c>
      <c r="R208">
        <v>4.33</v>
      </c>
      <c r="S208">
        <v>1.33</v>
      </c>
      <c r="T208">
        <f t="shared" si="9"/>
        <v>22.733333333333334</v>
      </c>
      <c r="U208">
        <f t="shared" si="10"/>
        <v>0.48387096774193544</v>
      </c>
      <c r="V208">
        <f>U208-AVERAGEIFS(Pitchers[ER/IP],Pitchers[GS],"&gt;"&amp;0,Pitchers[IP],"&gt;"&amp;3)</f>
        <v>-8.762962705738403E-2</v>
      </c>
      <c r="W208">
        <f>IF(Pitchers[[#This Row],[IP/GS]]&lt;&gt;0,(Pitchers[[#This Row],[WHIP]]*$AH$5+$AI$5)/9*Pitchers[[#This Row],[IP/GS]],(Pitchers[[#This Row],[WHIP]]*$AH$5+$AI$5)/9*(Pitchers[[#This Row],[IP]]/Pitchers[[#This Row],[G]]))</f>
        <v>11.136944017626538</v>
      </c>
      <c r="X208">
        <f>Pitchers[[#This Row],[Runs from WHIP]]-AVERAGEIFS(Pitchers[Runs from WHIP],Pitchers[GS],"&gt;"&amp;0,Pitchers[IP],"&gt;"&amp;3)</f>
        <v>5.451028111501679</v>
      </c>
      <c r="Y208">
        <f>IF(Pitchers[[#This Row],[IP/GS]]&lt;&gt;0,Pitchers[[#This Row],[ER/IP From Average]]*Pitchers[[#This Row],[IP/GS]],Pitchers[[#This Row],[ER/IP From Average]]*(Pitchers[[#This Row],[IP]]/Pitchers[[#This Row],[G]]))</f>
        <v>-1.9921135217711969</v>
      </c>
      <c r="Z208">
        <f t="shared" si="11"/>
        <v>0.65676208769196898</v>
      </c>
      <c r="AA208" s="32">
        <f>IF(Pitchers[[#This Row],[W]]=0,0,Pitchers[[#This Row],[W]]/(Pitchers[[#This Row],[W]]+Pitchers[[#This Row],[L]]))</f>
        <v>0.33333333333333331</v>
      </c>
      <c r="AB208" s="60"/>
    </row>
    <row r="209" spans="1:28" x14ac:dyDescent="0.25">
      <c r="A209" t="s">
        <v>482</v>
      </c>
      <c r="B209" t="s">
        <v>10</v>
      </c>
      <c r="C209">
        <v>55</v>
      </c>
      <c r="D209">
        <v>4</v>
      </c>
      <c r="E209">
        <v>0</v>
      </c>
      <c r="F209">
        <v>0</v>
      </c>
      <c r="G209">
        <v>68.099999999999994</v>
      </c>
      <c r="H209">
        <v>61</v>
      </c>
      <c r="I209">
        <v>24</v>
      </c>
      <c r="J209">
        <v>65</v>
      </c>
      <c r="K209">
        <v>29</v>
      </c>
      <c r="L209">
        <v>8</v>
      </c>
      <c r="M209">
        <v>6</v>
      </c>
      <c r="N209">
        <v>3</v>
      </c>
      <c r="O209">
        <v>1</v>
      </c>
      <c r="P209">
        <v>2</v>
      </c>
      <c r="Q209">
        <v>16</v>
      </c>
      <c r="R209">
        <v>3.16</v>
      </c>
      <c r="S209">
        <v>1.32</v>
      </c>
      <c r="T209">
        <f t="shared" si="9"/>
        <v>17.024999999999999</v>
      </c>
      <c r="U209">
        <f t="shared" si="10"/>
        <v>0.3524229074889868</v>
      </c>
      <c r="V209">
        <f>U209-AVERAGEIFS(Pitchers[ER/IP],Pitchers[GS],"&gt;"&amp;0,Pitchers[IP],"&gt;"&amp;3)</f>
        <v>-0.21907768731033267</v>
      </c>
      <c r="W209">
        <f>IF(Pitchers[[#This Row],[IP/GS]]&lt;&gt;0,(Pitchers[[#This Row],[WHIP]]*$AH$5+$AI$5)/9*Pitchers[[#This Row],[IP/GS]],(Pitchers[[#This Row],[WHIP]]*$AH$5+$AI$5)/9*(Pitchers[[#This Row],[IP]]/Pitchers[[#This Row],[G]]))</f>
        <v>8.2520711173234655</v>
      </c>
      <c r="X209">
        <f>Pitchers[[#This Row],[Runs from WHIP]]-AVERAGEIFS(Pitchers[Runs from WHIP],Pitchers[GS],"&gt;"&amp;0,Pitchers[IP],"&gt;"&amp;3)</f>
        <v>2.5661552111986063</v>
      </c>
      <c r="Y209">
        <f>IF(Pitchers[[#This Row],[IP/GS]]&lt;&gt;0,Pitchers[[#This Row],[ER/IP From Average]]*Pitchers[[#This Row],[IP/GS]],Pitchers[[#This Row],[ER/IP From Average]]*(Pitchers[[#This Row],[IP]]/Pitchers[[#This Row],[G]]))</f>
        <v>-3.7297976264584132</v>
      </c>
      <c r="Z209">
        <f t="shared" si="11"/>
        <v>-0.80761099426373695</v>
      </c>
      <c r="AA209" s="32">
        <f>IF(Pitchers[[#This Row],[W]]=0,0,Pitchers[[#This Row],[W]]/(Pitchers[[#This Row],[W]]+Pitchers[[#This Row],[L]]))</f>
        <v>0.66666666666666663</v>
      </c>
      <c r="AB209" s="60"/>
    </row>
    <row r="210" spans="1:28" x14ac:dyDescent="0.25">
      <c r="A210" t="s">
        <v>625</v>
      </c>
      <c r="B210" t="s">
        <v>5</v>
      </c>
      <c r="C210">
        <v>45</v>
      </c>
      <c r="D210">
        <v>0</v>
      </c>
      <c r="E210">
        <v>0</v>
      </c>
      <c r="F210">
        <v>0</v>
      </c>
      <c r="G210">
        <v>68.099999999999994</v>
      </c>
      <c r="H210">
        <v>87</v>
      </c>
      <c r="I210">
        <v>50</v>
      </c>
      <c r="J210">
        <v>63</v>
      </c>
      <c r="K210">
        <v>18</v>
      </c>
      <c r="L210">
        <v>15</v>
      </c>
      <c r="M210">
        <v>0</v>
      </c>
      <c r="N210">
        <v>1</v>
      </c>
      <c r="O210">
        <v>0</v>
      </c>
      <c r="P210">
        <v>0</v>
      </c>
      <c r="Q210">
        <v>3</v>
      </c>
      <c r="R210">
        <v>6.59</v>
      </c>
      <c r="S210">
        <v>1.54</v>
      </c>
      <c r="T210">
        <f t="shared" si="9"/>
        <v>0</v>
      </c>
      <c r="U210">
        <f t="shared" si="10"/>
        <v>0.73421439060205584</v>
      </c>
      <c r="V210" s="60">
        <f>U210-AVERAGEIFS(Pitchers[ER/IP],Pitchers[GS],"&gt;"&amp;0,Pitchers[IP],"&gt;"&amp;3)</f>
        <v>0.16271379580273637</v>
      </c>
      <c r="W210" s="60">
        <f>IF(Pitchers[[#This Row],[IP/GS]]&lt;&gt;0,(Pitchers[[#This Row],[WHIP]]*$AH$5+$AI$5)/9*Pitchers[[#This Row],[IP/GS]],(Pitchers[[#This Row],[WHIP]]*$AH$5+$AI$5)/9*(Pitchers[[#This Row],[IP]]/Pitchers[[#This Row],[G]]))</f>
        <v>0.90636805627290984</v>
      </c>
      <c r="X210" s="60">
        <f>Pitchers[[#This Row],[Runs from WHIP]]-AVERAGEIFS(Pitchers[Runs from WHIP],Pitchers[GS],"&gt;"&amp;0,Pitchers[IP],"&gt;"&amp;3)</f>
        <v>-4.7795478498519497</v>
      </c>
      <c r="Y210" s="60">
        <f>IF(Pitchers[[#This Row],[IP/GS]]&lt;&gt;0,Pitchers[[#This Row],[ER/IP From Average]]*Pitchers[[#This Row],[IP/GS]],Pitchers[[#This Row],[ER/IP From Average]]*(Pitchers[[#This Row],[IP]]/Pitchers[[#This Row],[G]]))</f>
        <v>0.24624021098147436</v>
      </c>
      <c r="Z210" s="60">
        <f t="shared" si="11"/>
        <v>-1.1760500089012635</v>
      </c>
      <c r="AA210" s="32">
        <f>IF(Pitchers[[#This Row],[W]]=0,0,Pitchers[[#This Row],[W]]/(Pitchers[[#This Row],[W]]+Pitchers[[#This Row],[L]]))</f>
        <v>0</v>
      </c>
      <c r="AB210" s="60"/>
    </row>
    <row r="211" spans="1:28" x14ac:dyDescent="0.25">
      <c r="A211" t="s">
        <v>661</v>
      </c>
      <c r="B211" t="s">
        <v>2</v>
      </c>
      <c r="C211">
        <v>73</v>
      </c>
      <c r="D211">
        <v>1</v>
      </c>
      <c r="E211">
        <v>0</v>
      </c>
      <c r="F211">
        <v>0</v>
      </c>
      <c r="G211">
        <v>67.2</v>
      </c>
      <c r="H211">
        <v>62</v>
      </c>
      <c r="I211">
        <v>28</v>
      </c>
      <c r="J211">
        <v>73</v>
      </c>
      <c r="K211">
        <v>24</v>
      </c>
      <c r="L211">
        <v>8</v>
      </c>
      <c r="M211">
        <v>6</v>
      </c>
      <c r="N211">
        <v>6</v>
      </c>
      <c r="O211">
        <v>0</v>
      </c>
      <c r="P211">
        <v>3</v>
      </c>
      <c r="Q211">
        <v>15</v>
      </c>
      <c r="R211">
        <v>3.72</v>
      </c>
      <c r="S211">
        <v>1.27</v>
      </c>
      <c r="T211">
        <f t="shared" si="9"/>
        <v>67.2</v>
      </c>
      <c r="U211">
        <f t="shared" si="10"/>
        <v>0.41666666666666663</v>
      </c>
      <c r="V211">
        <f>U211-AVERAGEIFS(Pitchers[ER/IP],Pitchers[GS],"&gt;"&amp;0,Pitchers[IP],"&gt;"&amp;3)</f>
        <v>-0.15483392813265284</v>
      </c>
      <c r="W211">
        <f>IF(Pitchers[[#This Row],[IP/GS]]&lt;&gt;0,(Pitchers[[#This Row],[WHIP]]*$AH$5+$AI$5)/9*Pitchers[[#This Row],[IP/GS]],(Pitchers[[#This Row],[WHIP]]*$AH$5+$AI$5)/9*(Pitchers[[#This Row],[IP]]/Pitchers[[#This Row],[G]]))</f>
        <v>30.827624035669729</v>
      </c>
      <c r="X211">
        <f>Pitchers[[#This Row],[Runs from WHIP]]-AVERAGEIFS(Pitchers[Runs from WHIP],Pitchers[GS],"&gt;"&amp;0,Pitchers[IP],"&gt;"&amp;3)</f>
        <v>25.14170812954487</v>
      </c>
      <c r="Y211">
        <f>IF(Pitchers[[#This Row],[IP/GS]]&lt;&gt;0,Pitchers[[#This Row],[ER/IP From Average]]*Pitchers[[#This Row],[IP/GS]],Pitchers[[#This Row],[ER/IP From Average]]*(Pitchers[[#This Row],[IP]]/Pitchers[[#This Row],[G]]))</f>
        <v>-10.404839970514271</v>
      </c>
      <c r="Z211">
        <f t="shared" si="11"/>
        <v>2.5425195130062579</v>
      </c>
      <c r="AA211" s="32">
        <f>IF(Pitchers[[#This Row],[W]]=0,0,Pitchers[[#This Row],[W]]/(Pitchers[[#This Row],[W]]+Pitchers[[#This Row],[L]]))</f>
        <v>0.5</v>
      </c>
      <c r="AB211" s="60"/>
    </row>
    <row r="212" spans="1:28" x14ac:dyDescent="0.25">
      <c r="A212" t="s">
        <v>527</v>
      </c>
      <c r="B212" t="s">
        <v>7</v>
      </c>
      <c r="C212">
        <v>51</v>
      </c>
      <c r="D212">
        <v>7</v>
      </c>
      <c r="E212">
        <v>0</v>
      </c>
      <c r="F212">
        <v>0</v>
      </c>
      <c r="G212">
        <v>67.2</v>
      </c>
      <c r="H212">
        <v>59</v>
      </c>
      <c r="I212">
        <v>30</v>
      </c>
      <c r="J212">
        <v>79</v>
      </c>
      <c r="K212">
        <v>20</v>
      </c>
      <c r="L212">
        <v>9</v>
      </c>
      <c r="M212">
        <v>5</v>
      </c>
      <c r="N212">
        <v>4</v>
      </c>
      <c r="O212">
        <v>0</v>
      </c>
      <c r="P212">
        <v>0</v>
      </c>
      <c r="Q212">
        <v>3</v>
      </c>
      <c r="R212">
        <v>3.99</v>
      </c>
      <c r="S212">
        <v>1.17</v>
      </c>
      <c r="T212">
        <f t="shared" si="9"/>
        <v>9.6</v>
      </c>
      <c r="U212">
        <f t="shared" si="10"/>
        <v>0.4464285714285714</v>
      </c>
      <c r="V212">
        <f>U212-AVERAGEIFS(Pitchers[ER/IP],Pitchers[GS],"&gt;"&amp;0,Pitchers[IP],"&gt;"&amp;3)</f>
        <v>-0.12507202337074808</v>
      </c>
      <c r="W212">
        <f>IF(Pitchers[[#This Row],[IP/GS]]&lt;&gt;0,(Pitchers[[#This Row],[WHIP]]*$AH$5+$AI$5)/9*Pitchers[[#This Row],[IP/GS]],(Pitchers[[#This Row],[WHIP]]*$AH$5+$AI$5)/9*(Pitchers[[#This Row],[IP]]/Pitchers[[#This Row],[G]]))</f>
        <v>3.9055384053161948</v>
      </c>
      <c r="X212">
        <f>Pitchers[[#This Row],[Runs from WHIP]]-AVERAGEIFS(Pitchers[Runs from WHIP],Pitchers[GS],"&gt;"&amp;0,Pitchers[IP],"&gt;"&amp;3)</f>
        <v>-1.7803775008086644</v>
      </c>
      <c r="Y212">
        <f>IF(Pitchers[[#This Row],[IP/GS]]&lt;&gt;0,Pitchers[[#This Row],[ER/IP From Average]]*Pitchers[[#This Row],[IP/GS]],Pitchers[[#This Row],[ER/IP From Average]]*(Pitchers[[#This Row],[IP]]/Pitchers[[#This Row],[G]]))</f>
        <v>-1.2006914243591815</v>
      </c>
      <c r="Z212">
        <f t="shared" si="11"/>
        <v>-0.95504390329264977</v>
      </c>
      <c r="AA212" s="32">
        <f>IF(Pitchers[[#This Row],[W]]=0,0,Pitchers[[#This Row],[W]]/(Pitchers[[#This Row],[W]]+Pitchers[[#This Row],[L]]))</f>
        <v>0.55555555555555558</v>
      </c>
      <c r="AB212" s="60"/>
    </row>
    <row r="213" spans="1:28" x14ac:dyDescent="0.25">
      <c r="A213" t="s">
        <v>1148</v>
      </c>
      <c r="B213" t="s">
        <v>361</v>
      </c>
      <c r="C213">
        <v>58</v>
      </c>
      <c r="D213">
        <v>0</v>
      </c>
      <c r="E213">
        <v>0</v>
      </c>
      <c r="F213">
        <v>0</v>
      </c>
      <c r="G213">
        <v>67.2</v>
      </c>
      <c r="H213">
        <v>43</v>
      </c>
      <c r="I213">
        <v>16</v>
      </c>
      <c r="J213">
        <v>60</v>
      </c>
      <c r="K213">
        <v>24</v>
      </c>
      <c r="L213">
        <v>4</v>
      </c>
      <c r="M213">
        <v>0</v>
      </c>
      <c r="N213">
        <v>0</v>
      </c>
      <c r="O213">
        <v>1</v>
      </c>
      <c r="P213">
        <v>2</v>
      </c>
      <c r="Q213">
        <v>27</v>
      </c>
      <c r="R213">
        <v>2.13</v>
      </c>
      <c r="S213">
        <v>0.99</v>
      </c>
      <c r="T213">
        <f t="shared" si="9"/>
        <v>0</v>
      </c>
      <c r="U213">
        <f t="shared" si="10"/>
        <v>0.23809523809523808</v>
      </c>
      <c r="V213">
        <f>U213-AVERAGEIFS(Pitchers[ER/IP],Pitchers[GS],"&gt;"&amp;0,Pitchers[IP],"&gt;"&amp;3)</f>
        <v>-0.33340535670408139</v>
      </c>
      <c r="W213">
        <f>IF(Pitchers[[#This Row],[IP/GS]]&lt;&gt;0,(Pitchers[[#This Row],[WHIP]]*$AH$5+$AI$5)/9*Pitchers[[#This Row],[IP/GS]],(Pitchers[[#This Row],[WHIP]]*$AH$5+$AI$5)/9*(Pitchers[[#This Row],[IP]]/Pitchers[[#This Row],[G]]))</f>
        <v>0.36308326689641235</v>
      </c>
      <c r="X213">
        <f>Pitchers[[#This Row],[Runs from WHIP]]-AVERAGEIFS(Pitchers[Runs from WHIP],Pitchers[GS],"&gt;"&amp;0,Pitchers[IP],"&gt;"&amp;3)</f>
        <v>-5.3228326392284471</v>
      </c>
      <c r="Y213">
        <f>IF(Pitchers[[#This Row],[IP/GS]]&lt;&gt;0,Pitchers[[#This Row],[ER/IP From Average]]*Pitchers[[#This Row],[IP/GS]],Pitchers[[#This Row],[ER/IP From Average]]*(Pitchers[[#This Row],[IP]]/Pitchers[[#This Row],[G]]))</f>
        <v>-0.38629034431921155</v>
      </c>
      <c r="Z213">
        <f t="shared" si="11"/>
        <v>-1.5739381748552708</v>
      </c>
      <c r="AA213" s="32">
        <f>IF(Pitchers[[#This Row],[W]]=0,0,Pitchers[[#This Row],[W]]/(Pitchers[[#This Row],[W]]+Pitchers[[#This Row],[L]]))</f>
        <v>0</v>
      </c>
      <c r="AB213" s="60"/>
    </row>
    <row r="214" spans="1:28" x14ac:dyDescent="0.25">
      <c r="A214" t="s">
        <v>737</v>
      </c>
      <c r="B214" t="s">
        <v>361</v>
      </c>
      <c r="C214">
        <v>57</v>
      </c>
      <c r="D214">
        <v>0</v>
      </c>
      <c r="E214">
        <v>0</v>
      </c>
      <c r="F214">
        <v>0</v>
      </c>
      <c r="G214">
        <v>67.2</v>
      </c>
      <c r="H214">
        <v>62</v>
      </c>
      <c r="I214">
        <v>35</v>
      </c>
      <c r="J214">
        <v>61</v>
      </c>
      <c r="K214">
        <v>15</v>
      </c>
      <c r="L214">
        <v>15</v>
      </c>
      <c r="M214">
        <v>4</v>
      </c>
      <c r="N214">
        <v>0</v>
      </c>
      <c r="O214">
        <v>0</v>
      </c>
      <c r="P214">
        <v>1</v>
      </c>
      <c r="Q214">
        <v>2</v>
      </c>
      <c r="R214">
        <v>4.66</v>
      </c>
      <c r="S214">
        <v>1.1399999999999999</v>
      </c>
      <c r="T214">
        <f t="shared" si="9"/>
        <v>0</v>
      </c>
      <c r="U214">
        <f t="shared" si="10"/>
        <v>0.52083333333333326</v>
      </c>
      <c r="V214">
        <f>U214-AVERAGEIFS(Pitchers[ER/IP],Pitchers[GS],"&gt;"&amp;0,Pitchers[IP],"&gt;"&amp;3)</f>
        <v>-5.0667261465986213E-2</v>
      </c>
      <c r="W214">
        <f>IF(Pitchers[[#This Row],[IP/GS]]&lt;&gt;0,(Pitchers[[#This Row],[WHIP]]*$AH$5+$AI$5)/9*Pitchers[[#This Row],[IP/GS]],(Pitchers[[#This Row],[WHIP]]*$AH$5+$AI$5)/9*(Pitchers[[#This Row],[IP]]/Pitchers[[#This Row],[G]]))</f>
        <v>0.46126512767853434</v>
      </c>
      <c r="X214">
        <f>Pitchers[[#This Row],[Runs from WHIP]]-AVERAGEIFS(Pitchers[Runs from WHIP],Pitchers[GS],"&gt;"&amp;0,Pitchers[IP],"&gt;"&amp;3)</f>
        <v>-5.2246507784463248</v>
      </c>
      <c r="Y214">
        <f>IF(Pitchers[[#This Row],[IP/GS]]&lt;&gt;0,Pitchers[[#This Row],[ER/IP From Average]]*Pitchers[[#This Row],[IP/GS]],Pitchers[[#This Row],[ER/IP From Average]]*(Pitchers[[#This Row],[IP]]/Pitchers[[#This Row],[G]]))</f>
        <v>-5.9734034570425858E-2</v>
      </c>
      <c r="Z214">
        <f t="shared" si="11"/>
        <v>-1.4171338214138567</v>
      </c>
      <c r="AA214" s="32">
        <f>IF(Pitchers[[#This Row],[W]]=0,0,Pitchers[[#This Row],[W]]/(Pitchers[[#This Row],[W]]+Pitchers[[#This Row],[L]]))</f>
        <v>1</v>
      </c>
      <c r="AB214" s="60"/>
    </row>
    <row r="215" spans="1:28" x14ac:dyDescent="0.25">
      <c r="A215" t="s">
        <v>411</v>
      </c>
      <c r="B215" t="s">
        <v>9</v>
      </c>
      <c r="C215">
        <v>23</v>
      </c>
      <c r="D215">
        <v>12</v>
      </c>
      <c r="E215">
        <v>0</v>
      </c>
      <c r="F215">
        <v>0</v>
      </c>
      <c r="G215">
        <v>67.2</v>
      </c>
      <c r="H215">
        <v>72</v>
      </c>
      <c r="I215">
        <v>45</v>
      </c>
      <c r="J215">
        <v>70</v>
      </c>
      <c r="K215">
        <v>35</v>
      </c>
      <c r="L215">
        <v>16</v>
      </c>
      <c r="M215">
        <v>2</v>
      </c>
      <c r="N215">
        <v>1</v>
      </c>
      <c r="O215">
        <v>0</v>
      </c>
      <c r="P215">
        <v>1</v>
      </c>
      <c r="Q215">
        <v>5</v>
      </c>
      <c r="R215">
        <v>5.99</v>
      </c>
      <c r="S215">
        <v>1.58</v>
      </c>
      <c r="T215">
        <f t="shared" si="9"/>
        <v>5.6000000000000005</v>
      </c>
      <c r="U215">
        <f t="shared" si="10"/>
        <v>0.6696428571428571</v>
      </c>
      <c r="V215">
        <f>U215-AVERAGEIFS(Pitchers[ER/IP],Pitchers[GS],"&gt;"&amp;0,Pitchers[IP],"&gt;"&amp;3)</f>
        <v>9.8142262343537623E-2</v>
      </c>
      <c r="W215">
        <f>IF(Pitchers[[#This Row],[IP/GS]]&lt;&gt;0,(Pitchers[[#This Row],[WHIP]]*$AH$5+$AI$5)/9*Pitchers[[#This Row],[IP/GS]],(Pitchers[[#This Row],[WHIP]]*$AH$5+$AI$5)/9*(Pitchers[[#This Row],[IP]]/Pitchers[[#This Row],[G]]))</f>
        <v>3.4702562625737041</v>
      </c>
      <c r="X215">
        <f>Pitchers[[#This Row],[Runs from WHIP]]-AVERAGEIFS(Pitchers[Runs from WHIP],Pitchers[GS],"&gt;"&amp;0,Pitchers[IP],"&gt;"&amp;3)</f>
        <v>-2.2156596435511551</v>
      </c>
      <c r="Y215">
        <f>IF(Pitchers[[#This Row],[IP/GS]]&lt;&gt;0,Pitchers[[#This Row],[ER/IP From Average]]*Pitchers[[#This Row],[IP/GS]],Pitchers[[#This Row],[ER/IP From Average]]*(Pitchers[[#This Row],[IP]]/Pitchers[[#This Row],[G]]))</f>
        <v>0.54959666912381078</v>
      </c>
      <c r="Z215">
        <f t="shared" si="11"/>
        <v>-0.37100390396411703</v>
      </c>
      <c r="AA215" s="32">
        <f>IF(Pitchers[[#This Row],[W]]=0,0,Pitchers[[#This Row],[W]]/(Pitchers[[#This Row],[W]]+Pitchers[[#This Row],[L]]))</f>
        <v>0.66666666666666663</v>
      </c>
      <c r="AB215" s="60"/>
    </row>
    <row r="216" spans="1:28" x14ac:dyDescent="0.25">
      <c r="A216" t="s">
        <v>546</v>
      </c>
      <c r="B216" t="s">
        <v>15</v>
      </c>
      <c r="C216">
        <v>68</v>
      </c>
      <c r="D216">
        <v>0</v>
      </c>
      <c r="E216">
        <v>0</v>
      </c>
      <c r="F216">
        <v>0</v>
      </c>
      <c r="G216">
        <v>67.2</v>
      </c>
      <c r="H216">
        <v>45</v>
      </c>
      <c r="I216">
        <v>22</v>
      </c>
      <c r="J216">
        <v>89</v>
      </c>
      <c r="K216">
        <v>24</v>
      </c>
      <c r="L216">
        <v>10</v>
      </c>
      <c r="M216">
        <v>3</v>
      </c>
      <c r="N216">
        <v>6</v>
      </c>
      <c r="O216">
        <v>28</v>
      </c>
      <c r="P216">
        <v>6</v>
      </c>
      <c r="Q216">
        <v>2</v>
      </c>
      <c r="R216">
        <v>2.93</v>
      </c>
      <c r="S216">
        <v>1.02</v>
      </c>
      <c r="T216">
        <f t="shared" si="9"/>
        <v>0</v>
      </c>
      <c r="U216">
        <f t="shared" si="10"/>
        <v>0.32738095238095238</v>
      </c>
      <c r="V216">
        <f>U216-AVERAGEIFS(Pitchers[ER/IP],Pitchers[GS],"&gt;"&amp;0,Pitchers[IP],"&gt;"&amp;3)</f>
        <v>-0.24411964241836709</v>
      </c>
      <c r="W216">
        <f>IF(Pitchers[[#This Row],[IP/GS]]&lt;&gt;0,(Pitchers[[#This Row],[WHIP]]*$AH$5+$AI$5)/9*Pitchers[[#This Row],[IP/GS]],(Pitchers[[#This Row],[WHIP]]*$AH$5+$AI$5)/9*(Pitchers[[#This Row],[IP]]/Pitchers[[#This Row],[G]]))</f>
        <v>0.32508067705189447</v>
      </c>
      <c r="X216">
        <f>Pitchers[[#This Row],[Runs from WHIP]]-AVERAGEIFS(Pitchers[Runs from WHIP],Pitchers[GS],"&gt;"&amp;0,Pitchers[IP],"&gt;"&amp;3)</f>
        <v>-5.3608352290729648</v>
      </c>
      <c r="Y216">
        <f>IF(Pitchers[[#This Row],[IP/GS]]&lt;&gt;0,Pitchers[[#This Row],[ER/IP From Average]]*Pitchers[[#This Row],[IP/GS]],Pitchers[[#This Row],[ER/IP From Average]]*(Pitchers[[#This Row],[IP]]/Pitchers[[#This Row],[G]]))</f>
        <v>-0.24124764662520984</v>
      </c>
      <c r="Z216">
        <f t="shared" si="11"/>
        <v>-1.526055119736208</v>
      </c>
      <c r="AA216" s="32">
        <f>IF(Pitchers[[#This Row],[W]]=0,0,Pitchers[[#This Row],[W]]/(Pitchers[[#This Row],[W]]+Pitchers[[#This Row],[L]]))</f>
        <v>0.33333333333333331</v>
      </c>
      <c r="AB216" s="60"/>
    </row>
    <row r="217" spans="1:28" x14ac:dyDescent="0.25">
      <c r="A217" t="s">
        <v>555</v>
      </c>
      <c r="B217" t="s">
        <v>12</v>
      </c>
      <c r="C217">
        <v>68</v>
      </c>
      <c r="D217">
        <v>0</v>
      </c>
      <c r="E217">
        <v>0</v>
      </c>
      <c r="F217">
        <v>0</v>
      </c>
      <c r="G217">
        <v>67</v>
      </c>
      <c r="H217">
        <v>61</v>
      </c>
      <c r="I217">
        <v>31</v>
      </c>
      <c r="J217">
        <v>89</v>
      </c>
      <c r="K217">
        <v>21</v>
      </c>
      <c r="L217">
        <v>12</v>
      </c>
      <c r="M217">
        <v>3</v>
      </c>
      <c r="N217">
        <v>12</v>
      </c>
      <c r="O217">
        <v>34</v>
      </c>
      <c r="P217">
        <v>6</v>
      </c>
      <c r="Q217">
        <v>3</v>
      </c>
      <c r="R217">
        <v>4.16</v>
      </c>
      <c r="S217">
        <v>1.22</v>
      </c>
      <c r="T217">
        <f t="shared" si="9"/>
        <v>0</v>
      </c>
      <c r="U217">
        <f t="shared" si="10"/>
        <v>0.46268656716417911</v>
      </c>
      <c r="V217">
        <f>U217-AVERAGEIFS(Pitchers[ER/IP],Pitchers[GS],"&gt;"&amp;0,Pitchers[IP],"&gt;"&amp;3)</f>
        <v>-0.10881402763514036</v>
      </c>
      <c r="W217">
        <f>IF(Pitchers[[#This Row],[IP/GS]]&lt;&gt;0,(Pitchers[[#This Row],[WHIP]]*$AH$5+$AI$5)/9*Pitchers[[#This Row],[IP/GS]],(Pitchers[[#This Row],[WHIP]]*$AH$5+$AI$5)/9*(Pitchers[[#This Row],[IP]]/Pitchers[[#This Row],[G]]))</f>
        <v>0.42642116623809162</v>
      </c>
      <c r="X217">
        <f>Pitchers[[#This Row],[Runs from WHIP]]-AVERAGEIFS(Pitchers[Runs from WHIP],Pitchers[GS],"&gt;"&amp;0,Pitchers[IP],"&gt;"&amp;3)</f>
        <v>-5.259494739886768</v>
      </c>
      <c r="Y217">
        <f>IF(Pitchers[[#This Row],[IP/GS]]&lt;&gt;0,Pitchers[[#This Row],[ER/IP From Average]]*Pitchers[[#This Row],[IP/GS]],Pitchers[[#This Row],[ER/IP From Average]]*(Pitchers[[#This Row],[IP]]/Pitchers[[#This Row],[G]]))</f>
        <v>-0.10721382134638831</v>
      </c>
      <c r="Z217">
        <f t="shared" si="11"/>
        <v>-1.4454174591750266</v>
      </c>
      <c r="AA217" s="32">
        <f>IF(Pitchers[[#This Row],[W]]=0,0,Pitchers[[#This Row],[W]]/(Pitchers[[#This Row],[W]]+Pitchers[[#This Row],[L]]))</f>
        <v>0.2</v>
      </c>
      <c r="AB217" s="60"/>
    </row>
    <row r="218" spans="1:28" x14ac:dyDescent="0.25">
      <c r="A218" t="s">
        <v>1236</v>
      </c>
      <c r="B218" t="s">
        <v>28</v>
      </c>
      <c r="C218">
        <v>33</v>
      </c>
      <c r="D218">
        <v>1</v>
      </c>
      <c r="E218">
        <v>0</v>
      </c>
      <c r="F218">
        <v>0</v>
      </c>
      <c r="G218">
        <v>66.2</v>
      </c>
      <c r="H218">
        <v>75</v>
      </c>
      <c r="I218">
        <v>42</v>
      </c>
      <c r="J218">
        <v>69</v>
      </c>
      <c r="K218">
        <v>28</v>
      </c>
      <c r="L218">
        <v>16</v>
      </c>
      <c r="M218">
        <v>5</v>
      </c>
      <c r="N218">
        <v>1</v>
      </c>
      <c r="O218">
        <v>0</v>
      </c>
      <c r="P218">
        <v>1</v>
      </c>
      <c r="Q218">
        <v>1</v>
      </c>
      <c r="R218">
        <v>5.67</v>
      </c>
      <c r="S218">
        <v>1.55</v>
      </c>
      <c r="T218">
        <f t="shared" si="9"/>
        <v>66.2</v>
      </c>
      <c r="U218">
        <f t="shared" si="10"/>
        <v>0.63444108761329299</v>
      </c>
      <c r="V218">
        <f>U218-AVERAGEIFS(Pitchers[ER/IP],Pitchers[GS],"&gt;"&amp;0,Pitchers[IP],"&gt;"&amp;3)</f>
        <v>6.2940492813973514E-2</v>
      </c>
      <c r="W218">
        <f>IF(Pitchers[[#This Row],[IP/GS]]&lt;&gt;0,(Pitchers[[#This Row],[WHIP]]*$AH$5+$AI$5)/9*Pitchers[[#This Row],[IP/GS]],(Pitchers[[#This Row],[WHIP]]*$AH$5+$AI$5)/9*(Pitchers[[#This Row],[IP]]/Pitchers[[#This Row],[G]]))</f>
        <v>39.99230521945249</v>
      </c>
      <c r="X218">
        <f>Pitchers[[#This Row],[Runs from WHIP]]-AVERAGEIFS(Pitchers[Runs from WHIP],Pitchers[GS],"&gt;"&amp;0,Pitchers[IP],"&gt;"&amp;3)</f>
        <v>34.306389313327628</v>
      </c>
      <c r="Y218">
        <f>IF(Pitchers[[#This Row],[IP/GS]]&lt;&gt;0,Pitchers[[#This Row],[ER/IP From Average]]*Pitchers[[#This Row],[IP/GS]],Pitchers[[#This Row],[ER/IP From Average]]*(Pitchers[[#This Row],[IP]]/Pitchers[[#This Row],[G]]))</f>
        <v>4.166660624285047</v>
      </c>
      <c r="Z218">
        <f t="shared" si="11"/>
        <v>10.815034733268051</v>
      </c>
      <c r="AA218" s="32">
        <f>IF(Pitchers[[#This Row],[W]]=0,0,Pitchers[[#This Row],[W]]/(Pitchers[[#This Row],[W]]+Pitchers[[#This Row],[L]]))</f>
        <v>0.83333333333333337</v>
      </c>
      <c r="AB218" s="60"/>
    </row>
    <row r="219" spans="1:28" x14ac:dyDescent="0.25">
      <c r="A219" t="s">
        <v>469</v>
      </c>
      <c r="B219" t="s">
        <v>28</v>
      </c>
      <c r="C219">
        <v>73</v>
      </c>
      <c r="D219">
        <v>0</v>
      </c>
      <c r="E219">
        <v>0</v>
      </c>
      <c r="F219">
        <v>0</v>
      </c>
      <c r="G219">
        <v>66.099999999999994</v>
      </c>
      <c r="H219">
        <v>47</v>
      </c>
      <c r="I219">
        <v>14</v>
      </c>
      <c r="J219">
        <v>88</v>
      </c>
      <c r="K219">
        <v>40</v>
      </c>
      <c r="L219">
        <v>5</v>
      </c>
      <c r="M219">
        <v>6</v>
      </c>
      <c r="N219">
        <v>5</v>
      </c>
      <c r="O219">
        <v>2</v>
      </c>
      <c r="P219">
        <v>7</v>
      </c>
      <c r="Q219">
        <v>28</v>
      </c>
      <c r="R219">
        <v>1.9</v>
      </c>
      <c r="S219">
        <v>1.31</v>
      </c>
      <c r="T219">
        <f t="shared" si="9"/>
        <v>0</v>
      </c>
      <c r="U219">
        <f t="shared" si="10"/>
        <v>0.21180030257186083</v>
      </c>
      <c r="V219">
        <f>U219-AVERAGEIFS(Pitchers[ER/IP],Pitchers[GS],"&gt;"&amp;0,Pitchers[IP],"&gt;"&amp;3)</f>
        <v>-0.35970029222745864</v>
      </c>
      <c r="W219">
        <f>IF(Pitchers[[#This Row],[IP/GS]]&lt;&gt;0,(Pitchers[[#This Row],[WHIP]]*$AH$5+$AI$5)/9*Pitchers[[#This Row],[IP/GS]],(Pitchers[[#This Row],[WHIP]]*$AH$5+$AI$5)/9*(Pitchers[[#This Row],[IP]]/Pitchers[[#This Row],[G]]))</f>
        <v>0.43418772019833557</v>
      </c>
      <c r="X219">
        <f>Pitchers[[#This Row],[Runs from WHIP]]-AVERAGEIFS(Pitchers[Runs from WHIP],Pitchers[GS],"&gt;"&amp;0,Pitchers[IP],"&gt;"&amp;3)</f>
        <v>-5.2517281859265239</v>
      </c>
      <c r="Y219">
        <f>IF(Pitchers[[#This Row],[IP/GS]]&lt;&gt;0,Pitchers[[#This Row],[ER/IP From Average]]*Pitchers[[#This Row],[IP/GS]],Pitchers[[#This Row],[ER/IP From Average]]*(Pitchers[[#This Row],[IP]]/Pitchers[[#This Row],[G]]))</f>
        <v>-0.32570122351006869</v>
      </c>
      <c r="Z219">
        <f t="shared" si="11"/>
        <v>-1.5307413389844342</v>
      </c>
      <c r="AA219" s="32">
        <f>IF(Pitchers[[#This Row],[W]]=0,0,Pitchers[[#This Row],[W]]/(Pitchers[[#This Row],[W]]+Pitchers[[#This Row],[L]]))</f>
        <v>0.54545454545454541</v>
      </c>
      <c r="AB219" s="60"/>
    </row>
    <row r="220" spans="1:28" x14ac:dyDescent="0.25">
      <c r="A220" t="s">
        <v>447</v>
      </c>
      <c r="B220" t="s">
        <v>24</v>
      </c>
      <c r="C220">
        <v>64</v>
      </c>
      <c r="D220">
        <v>0</v>
      </c>
      <c r="E220">
        <v>0</v>
      </c>
      <c r="F220">
        <v>0</v>
      </c>
      <c r="G220">
        <v>66.099999999999994</v>
      </c>
      <c r="H220">
        <v>51</v>
      </c>
      <c r="I220">
        <v>27</v>
      </c>
      <c r="J220">
        <v>60</v>
      </c>
      <c r="K220">
        <v>34</v>
      </c>
      <c r="L220">
        <v>4</v>
      </c>
      <c r="M220">
        <v>11</v>
      </c>
      <c r="N220">
        <v>1</v>
      </c>
      <c r="O220">
        <v>3</v>
      </c>
      <c r="P220">
        <v>3</v>
      </c>
      <c r="Q220">
        <v>18</v>
      </c>
      <c r="R220">
        <v>3.66</v>
      </c>
      <c r="S220">
        <v>1.28</v>
      </c>
      <c r="T220">
        <f t="shared" si="9"/>
        <v>0</v>
      </c>
      <c r="U220">
        <f t="shared" si="10"/>
        <v>0.40847201210287448</v>
      </c>
      <c r="V220">
        <f>U220-AVERAGEIFS(Pitchers[ER/IP],Pitchers[GS],"&gt;"&amp;0,Pitchers[IP],"&gt;"&amp;3)</f>
        <v>-0.16302858269644499</v>
      </c>
      <c r="W220">
        <f>IF(Pitchers[[#This Row],[IP/GS]]&lt;&gt;0,(Pitchers[[#This Row],[WHIP]]*$AH$5+$AI$5)/9*Pitchers[[#This Row],[IP/GS]],(Pitchers[[#This Row],[WHIP]]*$AH$5+$AI$5)/9*(Pitchers[[#This Row],[IP]]/Pitchers[[#This Row],[G]]))</f>
        <v>0.47915905915633494</v>
      </c>
      <c r="X220">
        <f>Pitchers[[#This Row],[Runs from WHIP]]-AVERAGEIFS(Pitchers[Runs from WHIP],Pitchers[GS],"&gt;"&amp;0,Pitchers[IP],"&gt;"&amp;3)</f>
        <v>-5.2067568469685241</v>
      </c>
      <c r="Y220">
        <f>IF(Pitchers[[#This Row],[IP/GS]]&lt;&gt;0,Pitchers[[#This Row],[ER/IP From Average]]*Pitchers[[#This Row],[IP/GS]],Pitchers[[#This Row],[ER/IP From Average]]*(Pitchers[[#This Row],[IP]]/Pitchers[[#This Row],[G]]))</f>
        <v>-0.16837795806617209</v>
      </c>
      <c r="Z220">
        <f t="shared" si="11"/>
        <v>-1.4558196757514086</v>
      </c>
      <c r="AA220" s="32">
        <f>IF(Pitchers[[#This Row],[W]]=0,0,Pitchers[[#This Row],[W]]/(Pitchers[[#This Row],[W]]+Pitchers[[#This Row],[L]]))</f>
        <v>0.91666666666666663</v>
      </c>
      <c r="AB220" s="60"/>
    </row>
    <row r="221" spans="1:28" x14ac:dyDescent="0.25">
      <c r="A221" t="s">
        <v>541</v>
      </c>
      <c r="B221" t="s">
        <v>14</v>
      </c>
      <c r="C221">
        <v>72</v>
      </c>
      <c r="D221">
        <v>0</v>
      </c>
      <c r="E221">
        <v>0</v>
      </c>
      <c r="F221">
        <v>0</v>
      </c>
      <c r="G221">
        <v>65.099999999999994</v>
      </c>
      <c r="H221">
        <v>65</v>
      </c>
      <c r="I221">
        <v>27</v>
      </c>
      <c r="J221">
        <v>63</v>
      </c>
      <c r="K221">
        <v>23</v>
      </c>
      <c r="L221">
        <v>14</v>
      </c>
      <c r="M221">
        <v>4</v>
      </c>
      <c r="N221">
        <v>5</v>
      </c>
      <c r="O221">
        <v>1</v>
      </c>
      <c r="P221">
        <v>4</v>
      </c>
      <c r="Q221">
        <v>16</v>
      </c>
      <c r="R221">
        <v>3.72</v>
      </c>
      <c r="S221">
        <v>1.35</v>
      </c>
      <c r="T221">
        <f t="shared" si="9"/>
        <v>0</v>
      </c>
      <c r="U221">
        <f t="shared" si="10"/>
        <v>0.41474654377880188</v>
      </c>
      <c r="V221">
        <f>U221-AVERAGEIFS(Pitchers[ER/IP],Pitchers[GS],"&gt;"&amp;0,Pitchers[IP],"&gt;"&amp;3)</f>
        <v>-0.15675405102051759</v>
      </c>
      <c r="W221">
        <f>IF(Pitchers[[#This Row],[IP/GS]]&lt;&gt;0,(Pitchers[[#This Row],[WHIP]]*$AH$5+$AI$5)/9*Pitchers[[#This Row],[IP/GS]],(Pitchers[[#This Row],[WHIP]]*$AH$5+$AI$5)/9*(Pitchers[[#This Row],[IP]]/Pitchers[[#This Row],[G]]))</f>
        <v>0.45233504949109343</v>
      </c>
      <c r="X221">
        <f>Pitchers[[#This Row],[Runs from WHIP]]-AVERAGEIFS(Pitchers[Runs from WHIP],Pitchers[GS],"&gt;"&amp;0,Pitchers[IP],"&gt;"&amp;3)</f>
        <v>-5.2335808566337656</v>
      </c>
      <c r="Y221">
        <f>IF(Pitchers[[#This Row],[IP/GS]]&lt;&gt;0,Pitchers[[#This Row],[ER/IP From Average]]*Pitchers[[#This Row],[IP/GS]],Pitchers[[#This Row],[ER/IP From Average]]*(Pitchers[[#This Row],[IP]]/Pitchers[[#This Row],[G]]))</f>
        <v>-0.14173178779771797</v>
      </c>
      <c r="Z221">
        <f t="shared" si="11"/>
        <v>-1.4523142768880917</v>
      </c>
      <c r="AA221" s="32">
        <f>IF(Pitchers[[#This Row],[W]]=0,0,Pitchers[[#This Row],[W]]/(Pitchers[[#This Row],[W]]+Pitchers[[#This Row],[L]]))</f>
        <v>0.44444444444444442</v>
      </c>
      <c r="AB221" s="60"/>
    </row>
    <row r="222" spans="1:28" x14ac:dyDescent="0.25">
      <c r="A222" t="s">
        <v>623</v>
      </c>
      <c r="B222" t="s">
        <v>219</v>
      </c>
      <c r="C222">
        <v>63</v>
      </c>
      <c r="D222">
        <v>0</v>
      </c>
      <c r="E222">
        <v>0</v>
      </c>
      <c r="F222">
        <v>0</v>
      </c>
      <c r="G222">
        <v>65.099999999999994</v>
      </c>
      <c r="H222">
        <v>46</v>
      </c>
      <c r="I222">
        <v>20</v>
      </c>
      <c r="J222">
        <v>96</v>
      </c>
      <c r="K222">
        <v>21</v>
      </c>
      <c r="L222">
        <v>10</v>
      </c>
      <c r="M222">
        <v>6</v>
      </c>
      <c r="N222">
        <v>0</v>
      </c>
      <c r="O222">
        <v>34</v>
      </c>
      <c r="P222">
        <v>4</v>
      </c>
      <c r="Q222">
        <v>0</v>
      </c>
      <c r="R222">
        <v>2.76</v>
      </c>
      <c r="S222">
        <v>1.03</v>
      </c>
      <c r="T222">
        <f t="shared" si="9"/>
        <v>0</v>
      </c>
      <c r="U222">
        <f t="shared" si="10"/>
        <v>0.30721966205837176</v>
      </c>
      <c r="V222" s="60">
        <f>U222-AVERAGEIFS(Pitchers[ER/IP],Pitchers[GS],"&gt;"&amp;0,Pitchers[IP],"&gt;"&amp;3)</f>
        <v>-0.26428093274094772</v>
      </c>
      <c r="W222" s="60">
        <f>IF(Pitchers[[#This Row],[IP/GS]]&lt;&gt;0,(Pitchers[[#This Row],[WHIP]]*$AH$5+$AI$5)/9*Pitchers[[#This Row],[IP/GS]],(Pitchers[[#This Row],[WHIP]]*$AH$5+$AI$5)/9*(Pitchers[[#This Row],[IP]]/Pitchers[[#This Row],[G]]))</f>
        <v>0.34528051504990492</v>
      </c>
      <c r="X222" s="60">
        <f>Pitchers[[#This Row],[Runs from WHIP]]-AVERAGEIFS(Pitchers[Runs from WHIP],Pitchers[GS],"&gt;"&amp;0,Pitchers[IP],"&gt;"&amp;3)</f>
        <v>-5.3406353910749544</v>
      </c>
      <c r="Y222" s="60">
        <f>IF(Pitchers[[#This Row],[IP/GS]]&lt;&gt;0,Pitchers[[#This Row],[ER/IP From Average]]*Pitchers[[#This Row],[IP/GS]],Pitchers[[#This Row],[ER/IP From Average]]*(Pitchers[[#This Row],[IP]]/Pitchers[[#This Row],[G]]))</f>
        <v>-0.27309029716564592</v>
      </c>
      <c r="Z222" s="60">
        <f t="shared" si="11"/>
        <v>-1.5334055564862465</v>
      </c>
      <c r="AA222" s="32">
        <f>IF(Pitchers[[#This Row],[W]]=0,0,Pitchers[[#This Row],[W]]/(Pitchers[[#This Row],[W]]+Pitchers[[#This Row],[L]]))</f>
        <v>1</v>
      </c>
      <c r="AB222" s="60"/>
    </row>
    <row r="223" spans="1:28" x14ac:dyDescent="0.25">
      <c r="A223" t="s">
        <v>564</v>
      </c>
      <c r="B223" t="s">
        <v>16</v>
      </c>
      <c r="C223">
        <v>66</v>
      </c>
      <c r="D223">
        <v>0</v>
      </c>
      <c r="E223">
        <v>0</v>
      </c>
      <c r="F223">
        <v>0</v>
      </c>
      <c r="G223">
        <v>65</v>
      </c>
      <c r="H223">
        <v>45</v>
      </c>
      <c r="I223">
        <v>19</v>
      </c>
      <c r="J223">
        <v>73</v>
      </c>
      <c r="K223">
        <v>12</v>
      </c>
      <c r="L223">
        <v>8</v>
      </c>
      <c r="M223">
        <v>4</v>
      </c>
      <c r="N223">
        <v>3</v>
      </c>
      <c r="O223">
        <v>38</v>
      </c>
      <c r="P223">
        <v>6</v>
      </c>
      <c r="Q223">
        <v>0</v>
      </c>
      <c r="R223">
        <v>2.63</v>
      </c>
      <c r="S223">
        <v>0.88</v>
      </c>
      <c r="T223">
        <f t="shared" si="9"/>
        <v>0</v>
      </c>
      <c r="U223">
        <f t="shared" si="10"/>
        <v>0.29230769230769232</v>
      </c>
      <c r="V223">
        <f>U223-AVERAGEIFS(Pitchers[ER/IP],Pitchers[GS],"&gt;"&amp;0,Pitchers[IP],"&gt;"&amp;3)</f>
        <v>-0.27919290249162715</v>
      </c>
      <c r="W223">
        <f>IF(Pitchers[[#This Row],[IP/GS]]&lt;&gt;0,(Pitchers[[#This Row],[WHIP]]*$AH$5+$AI$5)/9*Pitchers[[#This Row],[IP/GS]],(Pitchers[[#This Row],[WHIP]]*$AH$5+$AI$5)/9*(Pitchers[[#This Row],[IP]]/Pitchers[[#This Row],[G]]))</f>
        <v>0.25238338057130333</v>
      </c>
      <c r="X223">
        <f>Pitchers[[#This Row],[Runs from WHIP]]-AVERAGEIFS(Pitchers[Runs from WHIP],Pitchers[GS],"&gt;"&amp;0,Pitchers[IP],"&gt;"&amp;3)</f>
        <v>-5.4335325255535558</v>
      </c>
      <c r="Y223">
        <f>IF(Pitchers[[#This Row],[IP/GS]]&lt;&gt;0,Pitchers[[#This Row],[ER/IP From Average]]*Pitchers[[#This Row],[IP/GS]],Pitchers[[#This Row],[ER/IP From Average]]*(Pitchers[[#This Row],[IP]]/Pitchers[[#This Row],[G]]))</f>
        <v>-0.27496270699932979</v>
      </c>
      <c r="Z223">
        <f t="shared" si="11"/>
        <v>-1.5589270896140137</v>
      </c>
      <c r="AA223" s="32">
        <f>IF(Pitchers[[#This Row],[W]]=0,0,Pitchers[[#This Row],[W]]/(Pitchers[[#This Row],[W]]+Pitchers[[#This Row],[L]]))</f>
        <v>0.5714285714285714</v>
      </c>
      <c r="AB223" s="60"/>
    </row>
    <row r="224" spans="1:28" x14ac:dyDescent="0.25">
      <c r="A224" t="s">
        <v>497</v>
      </c>
      <c r="B224" t="s">
        <v>12</v>
      </c>
      <c r="C224">
        <v>57</v>
      </c>
      <c r="D224">
        <v>0</v>
      </c>
      <c r="E224">
        <v>0</v>
      </c>
      <c r="F224">
        <v>0</v>
      </c>
      <c r="G224">
        <v>64.2</v>
      </c>
      <c r="H224">
        <v>43</v>
      </c>
      <c r="I224">
        <v>27</v>
      </c>
      <c r="J224">
        <v>81</v>
      </c>
      <c r="K224">
        <v>24</v>
      </c>
      <c r="L224">
        <v>9</v>
      </c>
      <c r="M224">
        <v>3</v>
      </c>
      <c r="N224">
        <v>2</v>
      </c>
      <c r="O224">
        <v>0</v>
      </c>
      <c r="P224">
        <v>4</v>
      </c>
      <c r="Q224">
        <v>11</v>
      </c>
      <c r="R224">
        <v>3.76</v>
      </c>
      <c r="S224">
        <v>1.04</v>
      </c>
      <c r="T224">
        <f t="shared" si="9"/>
        <v>0</v>
      </c>
      <c r="U224">
        <f t="shared" si="10"/>
        <v>0.42056074766355139</v>
      </c>
      <c r="V224" s="60">
        <f>U224-AVERAGEIFS(Pitchers[ER/IP],Pitchers[GS],"&gt;"&amp;0,Pitchers[IP],"&gt;"&amp;3)</f>
        <v>-0.15093984713576808</v>
      </c>
      <c r="W224" s="60">
        <f>IF(Pitchers[[#This Row],[IP/GS]]&lt;&gt;0,(Pitchers[[#This Row],[WHIP]]*$AH$5+$AI$5)/9*Pitchers[[#This Row],[IP/GS]],(Pitchers[[#This Row],[WHIP]]*$AH$5+$AI$5)/9*(Pitchers[[#This Row],[IP]]/Pitchers[[#This Row],[G]]))</f>
        <v>0.38219744791299348</v>
      </c>
      <c r="X224" s="60">
        <f>Pitchers[[#This Row],[Runs from WHIP]]-AVERAGEIFS(Pitchers[Runs from WHIP],Pitchers[GS],"&gt;"&amp;0,Pitchers[IP],"&gt;"&amp;3)</f>
        <v>-5.3037184582118657</v>
      </c>
      <c r="Y224" s="60">
        <f>IF(Pitchers[[#This Row],[IP/GS]]&lt;&gt;0,Pitchers[[#This Row],[ER/IP From Average]]*Pitchers[[#This Row],[IP/GS]],Pitchers[[#This Row],[ER/IP From Average]]*(Pitchers[[#This Row],[IP]]/Pitchers[[#This Row],[G]]))</f>
        <v>-0.17000593308975984</v>
      </c>
      <c r="Z224" s="60">
        <f t="shared" si="11"/>
        <v>-1.4823272954257349</v>
      </c>
      <c r="AA224" s="32">
        <f>IF(Pitchers[[#This Row],[W]]=0,0,Pitchers[[#This Row],[W]]/(Pitchers[[#This Row],[W]]+Pitchers[[#This Row],[L]]))</f>
        <v>0.6</v>
      </c>
      <c r="AB224" s="60"/>
    </row>
    <row r="225" spans="1:28" x14ac:dyDescent="0.25">
      <c r="A225" t="s">
        <v>565</v>
      </c>
      <c r="B225" t="s">
        <v>9</v>
      </c>
      <c r="C225">
        <v>70</v>
      </c>
      <c r="D225">
        <v>0</v>
      </c>
      <c r="E225">
        <v>0</v>
      </c>
      <c r="F225">
        <v>0</v>
      </c>
      <c r="G225">
        <v>64.099999999999994</v>
      </c>
      <c r="H225">
        <v>51</v>
      </c>
      <c r="I225">
        <v>27</v>
      </c>
      <c r="J225">
        <v>110</v>
      </c>
      <c r="K225">
        <v>38</v>
      </c>
      <c r="L225">
        <v>8</v>
      </c>
      <c r="M225">
        <v>5</v>
      </c>
      <c r="N225">
        <v>4</v>
      </c>
      <c r="O225">
        <v>4</v>
      </c>
      <c r="P225">
        <v>8</v>
      </c>
      <c r="Q225">
        <v>26</v>
      </c>
      <c r="R225">
        <v>3.78</v>
      </c>
      <c r="S225">
        <v>1.38</v>
      </c>
      <c r="T225">
        <f t="shared" si="9"/>
        <v>0</v>
      </c>
      <c r="U225">
        <f t="shared" si="10"/>
        <v>0.42121684867394699</v>
      </c>
      <c r="V225">
        <f>U225-AVERAGEIFS(Pitchers[ER/IP],Pitchers[GS],"&gt;"&amp;0,Pitchers[IP],"&gt;"&amp;3)</f>
        <v>-0.15028374612537249</v>
      </c>
      <c r="W225">
        <f>IF(Pitchers[[#This Row],[IP/GS]]&lt;&gt;0,(Pitchers[[#This Row],[WHIP]]*$AH$5+$AI$5)/9*Pitchers[[#This Row],[IP/GS]],(Pitchers[[#This Row],[WHIP]]*$AH$5+$AI$5)/9*(Pitchers[[#This Row],[IP]]/Pitchers[[#This Row],[G]]))</f>
        <v>0.47237454947482715</v>
      </c>
      <c r="X225">
        <f>Pitchers[[#This Row],[Runs from WHIP]]-AVERAGEIFS(Pitchers[Runs from WHIP],Pitchers[GS],"&gt;"&amp;0,Pitchers[IP],"&gt;"&amp;3)</f>
        <v>-5.2135413566500324</v>
      </c>
      <c r="Y225">
        <f>IF(Pitchers[[#This Row],[IP/GS]]&lt;&gt;0,Pitchers[[#This Row],[ER/IP From Average]]*Pitchers[[#This Row],[IP/GS]],Pitchers[[#This Row],[ER/IP From Average]]*(Pitchers[[#This Row],[IP]]/Pitchers[[#This Row],[G]]))</f>
        <v>-0.1376169732376625</v>
      </c>
      <c r="Z225">
        <f t="shared" si="11"/>
        <v>-1.4453244844017403</v>
      </c>
      <c r="AA225" s="32">
        <f>IF(Pitchers[[#This Row],[W]]=0,0,Pitchers[[#This Row],[W]]/(Pitchers[[#This Row],[W]]+Pitchers[[#This Row],[L]]))</f>
        <v>0.55555555555555558</v>
      </c>
      <c r="AB225" s="60"/>
    </row>
    <row r="226" spans="1:28" x14ac:dyDescent="0.25">
      <c r="A226" t="s">
        <v>275</v>
      </c>
      <c r="B226" t="s">
        <v>4</v>
      </c>
      <c r="C226">
        <v>12</v>
      </c>
      <c r="D226">
        <v>12</v>
      </c>
      <c r="E226">
        <v>0</v>
      </c>
      <c r="F226">
        <v>0</v>
      </c>
      <c r="G226">
        <v>64.099999999999994</v>
      </c>
      <c r="H226">
        <v>55</v>
      </c>
      <c r="I226">
        <v>21</v>
      </c>
      <c r="J226">
        <v>69</v>
      </c>
      <c r="K226">
        <v>14</v>
      </c>
      <c r="L226">
        <v>6</v>
      </c>
      <c r="M226">
        <v>4</v>
      </c>
      <c r="N226">
        <v>3</v>
      </c>
      <c r="O226">
        <v>0</v>
      </c>
      <c r="P226">
        <v>0</v>
      </c>
      <c r="Q226">
        <v>0</v>
      </c>
      <c r="R226">
        <v>2.94</v>
      </c>
      <c r="S226">
        <v>1.07</v>
      </c>
      <c r="T226">
        <f t="shared" si="9"/>
        <v>5.3416666666666659</v>
      </c>
      <c r="U226">
        <f t="shared" si="10"/>
        <v>0.32761310452418102</v>
      </c>
      <c r="V226">
        <f>U226-AVERAGEIFS(Pitchers[ER/IP],Pitchers[GS],"&gt;"&amp;0,Pitchers[IP],"&gt;"&amp;3)</f>
        <v>-0.24388749027513845</v>
      </c>
      <c r="W226">
        <f>IF(Pitchers[[#This Row],[IP/GS]]&lt;&gt;0,(Pitchers[[#This Row],[WHIP]]*$AH$5+$AI$5)/9*Pitchers[[#This Row],[IP/GS]],(Pitchers[[#This Row],[WHIP]]*$AH$5+$AI$5)/9*(Pitchers[[#This Row],[IP]]/Pitchers[[#This Row],[G]]))</f>
        <v>1.8958078673664736</v>
      </c>
      <c r="X226">
        <f>Pitchers[[#This Row],[Runs from WHIP]]-AVERAGEIFS(Pitchers[Runs from WHIP],Pitchers[GS],"&gt;"&amp;0,Pitchers[IP],"&gt;"&amp;3)</f>
        <v>-3.7901080387583859</v>
      </c>
      <c r="Y226">
        <f>IF(Pitchers[[#This Row],[IP/GS]]&lt;&gt;0,Pitchers[[#This Row],[ER/IP From Average]]*Pitchers[[#This Row],[IP/GS]],Pitchers[[#This Row],[ER/IP From Average]]*(Pitchers[[#This Row],[IP]]/Pitchers[[#This Row],[G]]))</f>
        <v>-1.3027656772196976</v>
      </c>
      <c r="Z226">
        <f t="shared" si="11"/>
        <v>-1.5318017478901156</v>
      </c>
      <c r="AA226" s="32">
        <f>IF(Pitchers[[#This Row],[W]]=0,0,Pitchers[[#This Row],[W]]/(Pitchers[[#This Row],[W]]+Pitchers[[#This Row],[L]]))</f>
        <v>0.5714285714285714</v>
      </c>
      <c r="AB226" s="60"/>
    </row>
    <row r="227" spans="1:28" x14ac:dyDescent="0.25">
      <c r="A227" t="s">
        <v>562</v>
      </c>
      <c r="B227" t="s">
        <v>13</v>
      </c>
      <c r="C227">
        <v>65</v>
      </c>
      <c r="D227">
        <v>0</v>
      </c>
      <c r="E227">
        <v>0</v>
      </c>
      <c r="F227">
        <v>0</v>
      </c>
      <c r="G227">
        <v>64.099999999999994</v>
      </c>
      <c r="H227">
        <v>43</v>
      </c>
      <c r="I227">
        <v>21</v>
      </c>
      <c r="J227">
        <v>79</v>
      </c>
      <c r="K227">
        <v>26</v>
      </c>
      <c r="L227">
        <v>8</v>
      </c>
      <c r="M227">
        <v>5</v>
      </c>
      <c r="N227">
        <v>3</v>
      </c>
      <c r="O227">
        <v>2</v>
      </c>
      <c r="P227">
        <v>2</v>
      </c>
      <c r="Q227">
        <v>17</v>
      </c>
      <c r="R227">
        <v>2.94</v>
      </c>
      <c r="S227">
        <v>1.07</v>
      </c>
      <c r="T227">
        <f t="shared" si="9"/>
        <v>0</v>
      </c>
      <c r="U227">
        <f t="shared" si="10"/>
        <v>0.32761310452418102</v>
      </c>
      <c r="V227" s="60">
        <f>U227-AVERAGEIFS(Pitchers[ER/IP],Pitchers[GS],"&gt;"&amp;0,Pitchers[IP],"&gt;"&amp;3)</f>
        <v>-0.24388749027513845</v>
      </c>
      <c r="W227" s="60">
        <f>IF(Pitchers[[#This Row],[IP/GS]]&lt;&gt;0,(Pitchers[[#This Row],[WHIP]]*$AH$5+$AI$5)/9*Pitchers[[#This Row],[IP/GS]],(Pitchers[[#This Row],[WHIP]]*$AH$5+$AI$5)/9*(Pitchers[[#This Row],[IP]]/Pitchers[[#This Row],[G]]))</f>
        <v>0.34999529859073358</v>
      </c>
      <c r="X227" s="60">
        <f>Pitchers[[#This Row],[Runs from WHIP]]-AVERAGEIFS(Pitchers[Runs from WHIP],Pitchers[GS],"&gt;"&amp;0,Pitchers[IP],"&gt;"&amp;3)</f>
        <v>-5.3359206075341259</v>
      </c>
      <c r="Y227" s="60">
        <f>IF(Pitchers[[#This Row],[IP/GS]]&lt;&gt;0,Pitchers[[#This Row],[ER/IP From Average]]*Pitchers[[#This Row],[IP/GS]],Pitchers[[#This Row],[ER/IP From Average]]*(Pitchers[[#This Row],[IP]]/Pitchers[[#This Row],[G]]))</f>
        <v>-0.2405105865636365</v>
      </c>
      <c r="Z227" s="60">
        <f t="shared" si="11"/>
        <v>-1.5191163966345551</v>
      </c>
      <c r="AA227" s="32">
        <f>IF(Pitchers[[#This Row],[W]]=0,0,Pitchers[[#This Row],[W]]/(Pitchers[[#This Row],[W]]+Pitchers[[#This Row],[L]]))</f>
        <v>0.625</v>
      </c>
      <c r="AB227" s="60"/>
    </row>
    <row r="228" spans="1:28" x14ac:dyDescent="0.25">
      <c r="A228" t="s">
        <v>738</v>
      </c>
      <c r="B228" t="s">
        <v>332</v>
      </c>
      <c r="C228">
        <v>13</v>
      </c>
      <c r="D228">
        <v>13</v>
      </c>
      <c r="E228">
        <v>0</v>
      </c>
      <c r="F228">
        <v>0</v>
      </c>
      <c r="G228">
        <v>64</v>
      </c>
      <c r="H228">
        <v>78</v>
      </c>
      <c r="I228">
        <v>33</v>
      </c>
      <c r="J228">
        <v>51</v>
      </c>
      <c r="K228">
        <v>21</v>
      </c>
      <c r="L228">
        <v>12</v>
      </c>
      <c r="M228">
        <v>2</v>
      </c>
      <c r="N228">
        <v>7</v>
      </c>
      <c r="O228">
        <v>0</v>
      </c>
      <c r="P228">
        <v>0</v>
      </c>
      <c r="Q228">
        <v>0</v>
      </c>
      <c r="R228">
        <v>4.6399999999999997</v>
      </c>
      <c r="S228">
        <v>1.55</v>
      </c>
      <c r="T228">
        <f t="shared" si="9"/>
        <v>4.9230769230769234</v>
      </c>
      <c r="U228">
        <f t="shared" si="10"/>
        <v>0.515625</v>
      </c>
      <c r="V228">
        <f>U228-AVERAGEIFS(Pitchers[ER/IP],Pitchers[GS],"&gt;"&amp;0,Pitchers[IP],"&gt;"&amp;3)</f>
        <v>-5.5875594799319472E-2</v>
      </c>
      <c r="W228">
        <f>IF(Pitchers[[#This Row],[IP/GS]]&lt;&gt;0,(Pitchers[[#This Row],[WHIP]]*$AH$5+$AI$5)/9*Pitchers[[#This Row],[IP/GS]],(Pitchers[[#This Row],[WHIP]]*$AH$5+$AI$5)/9*(Pitchers[[#This Row],[IP]]/Pitchers[[#This Row],[G]]))</f>
        <v>2.9740966000987208</v>
      </c>
      <c r="X228">
        <f>Pitchers[[#This Row],[Runs from WHIP]]-AVERAGEIFS(Pitchers[Runs from WHIP],Pitchers[GS],"&gt;"&amp;0,Pitchers[IP],"&gt;"&amp;3)</f>
        <v>-2.7118193060261384</v>
      </c>
      <c r="Y228">
        <f>IF(Pitchers[[#This Row],[IP/GS]]&lt;&gt;0,Pitchers[[#This Row],[ER/IP From Average]]*Pitchers[[#This Row],[IP/GS]],Pitchers[[#This Row],[ER/IP From Average]]*(Pitchers[[#This Row],[IP]]/Pitchers[[#This Row],[G]]))</f>
        <v>-0.27507985131972668</v>
      </c>
      <c r="Z228">
        <f t="shared" si="11"/>
        <v>-0.83318375546819423</v>
      </c>
      <c r="AA228" s="32">
        <f>IF(Pitchers[[#This Row],[W]]=0,0,Pitchers[[#This Row],[W]]/(Pitchers[[#This Row],[W]]+Pitchers[[#This Row],[L]]))</f>
        <v>0.22222222222222221</v>
      </c>
      <c r="AB228" s="60"/>
    </row>
    <row r="229" spans="1:28" x14ac:dyDescent="0.25">
      <c r="A229" t="s">
        <v>602</v>
      </c>
      <c r="B229" t="s">
        <v>31</v>
      </c>
      <c r="C229">
        <v>70</v>
      </c>
      <c r="D229">
        <v>0</v>
      </c>
      <c r="E229">
        <v>0</v>
      </c>
      <c r="F229">
        <v>0</v>
      </c>
      <c r="G229">
        <v>64</v>
      </c>
      <c r="H229">
        <v>48</v>
      </c>
      <c r="I229">
        <v>21</v>
      </c>
      <c r="J229">
        <v>57</v>
      </c>
      <c r="K229">
        <v>29</v>
      </c>
      <c r="L229">
        <v>7</v>
      </c>
      <c r="M229">
        <v>4</v>
      </c>
      <c r="N229">
        <v>6</v>
      </c>
      <c r="O229">
        <v>7</v>
      </c>
      <c r="P229">
        <v>4</v>
      </c>
      <c r="Q229">
        <v>12</v>
      </c>
      <c r="R229">
        <v>2.95</v>
      </c>
      <c r="S229">
        <v>1.2</v>
      </c>
      <c r="T229">
        <f t="shared" si="9"/>
        <v>0</v>
      </c>
      <c r="U229">
        <f t="shared" si="10"/>
        <v>0.328125</v>
      </c>
      <c r="V229">
        <f>U229-AVERAGEIFS(Pitchers[ER/IP],Pitchers[GS],"&gt;"&amp;0,Pitchers[IP],"&gt;"&amp;3)</f>
        <v>-0.24337559479931947</v>
      </c>
      <c r="W229">
        <f>IF(Pitchers[[#This Row],[IP/GS]]&lt;&gt;0,(Pitchers[[#This Row],[WHIP]]*$AH$5+$AI$5)/9*Pitchers[[#This Row],[IP/GS]],(Pitchers[[#This Row],[WHIP]]*$AH$5+$AI$5)/9*(Pitchers[[#This Row],[IP]]/Pitchers[[#This Row],[G]]))</f>
        <v>0.3861962639013643</v>
      </c>
      <c r="X229">
        <f>Pitchers[[#This Row],[Runs from WHIP]]-AVERAGEIFS(Pitchers[Runs from WHIP],Pitchers[GS],"&gt;"&amp;0,Pitchers[IP],"&gt;"&amp;3)</f>
        <v>-5.2997196422234953</v>
      </c>
      <c r="Y229">
        <f>IF(Pitchers[[#This Row],[IP/GS]]&lt;&gt;0,Pitchers[[#This Row],[ER/IP From Average]]*Pitchers[[#This Row],[IP/GS]],Pitchers[[#This Row],[ER/IP From Average]]*(Pitchers[[#This Row],[IP]]/Pitchers[[#This Row],[G]]))</f>
        <v>-0.22251482953080637</v>
      </c>
      <c r="Z229">
        <f t="shared" si="11"/>
        <v>-1.5022645030719215</v>
      </c>
      <c r="AA229" s="32">
        <f>IF(Pitchers[[#This Row],[W]]=0,0,Pitchers[[#This Row],[W]]/(Pitchers[[#This Row],[W]]+Pitchers[[#This Row],[L]]))</f>
        <v>0.4</v>
      </c>
      <c r="AB229" s="60"/>
    </row>
    <row r="230" spans="1:28" x14ac:dyDescent="0.25">
      <c r="A230" t="s">
        <v>708</v>
      </c>
      <c r="B230" t="s">
        <v>340</v>
      </c>
      <c r="C230">
        <v>27</v>
      </c>
      <c r="D230">
        <v>9</v>
      </c>
      <c r="E230">
        <v>0</v>
      </c>
      <c r="F230">
        <v>0</v>
      </c>
      <c r="G230">
        <v>64</v>
      </c>
      <c r="H230">
        <v>74</v>
      </c>
      <c r="I230">
        <v>39</v>
      </c>
      <c r="J230">
        <v>57</v>
      </c>
      <c r="K230">
        <v>33</v>
      </c>
      <c r="L230">
        <v>7</v>
      </c>
      <c r="M230">
        <v>4</v>
      </c>
      <c r="N230">
        <v>4</v>
      </c>
      <c r="O230">
        <v>0</v>
      </c>
      <c r="P230">
        <v>2</v>
      </c>
      <c r="Q230">
        <v>2</v>
      </c>
      <c r="R230">
        <v>5.48</v>
      </c>
      <c r="S230">
        <v>1.67</v>
      </c>
      <c r="T230">
        <f t="shared" si="9"/>
        <v>7.1111111111111107</v>
      </c>
      <c r="U230">
        <f t="shared" si="10"/>
        <v>0.609375</v>
      </c>
      <c r="V230">
        <f>U230-AVERAGEIFS(Pitchers[ER/IP],Pitchers[GS],"&gt;"&amp;0,Pitchers[IP],"&gt;"&amp;3)</f>
        <v>3.7874405200680528E-2</v>
      </c>
      <c r="W230">
        <f>IF(Pitchers[[#This Row],[IP/GS]]&lt;&gt;0,(Pitchers[[#This Row],[WHIP]]*$AH$5+$AI$5)/9*Pitchers[[#This Row],[IP/GS]],(Pitchers[[#This Row],[WHIP]]*$AH$5+$AI$5)/9*(Pitchers[[#This Row],[IP]]/Pitchers[[#This Row],[G]]))</f>
        <v>4.7389465428037205</v>
      </c>
      <c r="X230">
        <f>Pitchers[[#This Row],[Runs from WHIP]]-AVERAGEIFS(Pitchers[Runs from WHIP],Pitchers[GS],"&gt;"&amp;0,Pitchers[IP],"&gt;"&amp;3)</f>
        <v>-0.94696936332113868</v>
      </c>
      <c r="Y230">
        <f>IF(Pitchers[[#This Row],[IP/GS]]&lt;&gt;0,Pitchers[[#This Row],[ER/IP From Average]]*Pitchers[[#This Row],[IP/GS]],Pitchers[[#This Row],[ER/IP From Average]]*(Pitchers[[#This Row],[IP]]/Pitchers[[#This Row],[G]]))</f>
        <v>0.26932910364928375</v>
      </c>
      <c r="Z230">
        <f t="shared" si="11"/>
        <v>-0.14479352209259014</v>
      </c>
      <c r="AA230" s="32">
        <f>IF(Pitchers[[#This Row],[W]]=0,0,Pitchers[[#This Row],[W]]/(Pitchers[[#This Row],[W]]+Pitchers[[#This Row],[L]]))</f>
        <v>0.5</v>
      </c>
      <c r="AB230" s="60"/>
    </row>
    <row r="231" spans="1:28" x14ac:dyDescent="0.25">
      <c r="A231" t="s">
        <v>291</v>
      </c>
      <c r="B231" t="s">
        <v>11</v>
      </c>
      <c r="C231">
        <v>39</v>
      </c>
      <c r="D231">
        <v>3</v>
      </c>
      <c r="E231">
        <v>0</v>
      </c>
      <c r="F231">
        <v>0</v>
      </c>
      <c r="G231">
        <v>63.2</v>
      </c>
      <c r="H231">
        <v>78</v>
      </c>
      <c r="I231">
        <v>43</v>
      </c>
      <c r="J231">
        <v>42</v>
      </c>
      <c r="K231">
        <v>21</v>
      </c>
      <c r="L231">
        <v>10</v>
      </c>
      <c r="M231">
        <v>1</v>
      </c>
      <c r="N231">
        <v>6</v>
      </c>
      <c r="O231">
        <v>1</v>
      </c>
      <c r="P231">
        <v>2</v>
      </c>
      <c r="Q231">
        <v>4</v>
      </c>
      <c r="R231">
        <v>6.08</v>
      </c>
      <c r="S231">
        <v>1.55</v>
      </c>
      <c r="T231">
        <f t="shared" si="9"/>
        <v>21.066666666666666</v>
      </c>
      <c r="U231">
        <f t="shared" si="10"/>
        <v>0.680379746835443</v>
      </c>
      <c r="V231">
        <f>U231-AVERAGEIFS(Pitchers[ER/IP],Pitchers[GS],"&gt;"&amp;0,Pitchers[IP],"&gt;"&amp;3)</f>
        <v>0.10887915203612353</v>
      </c>
      <c r="W231">
        <f>IF(Pitchers[[#This Row],[IP/GS]]&lt;&gt;0,(Pitchers[[#This Row],[WHIP]]*$AH$5+$AI$5)/9*Pitchers[[#This Row],[IP/GS]],(Pitchers[[#This Row],[WHIP]]*$AH$5+$AI$5)/9*(Pitchers[[#This Row],[IP]]/Pitchers[[#This Row],[G]]))</f>
        <v>12.726655034589109</v>
      </c>
      <c r="X231">
        <f>Pitchers[[#This Row],[Runs from WHIP]]-AVERAGEIFS(Pitchers[Runs from WHIP],Pitchers[GS],"&gt;"&amp;0,Pitchers[IP],"&gt;"&amp;3)</f>
        <v>7.0407391284642502</v>
      </c>
      <c r="Y231">
        <f>IF(Pitchers[[#This Row],[IP/GS]]&lt;&gt;0,Pitchers[[#This Row],[ER/IP From Average]]*Pitchers[[#This Row],[IP/GS]],Pitchers[[#This Row],[ER/IP From Average]]*(Pitchers[[#This Row],[IP]]/Pitchers[[#This Row],[G]]))</f>
        <v>2.2937208028943354</v>
      </c>
      <c r="Z231">
        <f t="shared" si="11"/>
        <v>2.7950187554148673</v>
      </c>
      <c r="AA231" s="32">
        <f>IF(Pitchers[[#This Row],[W]]=0,0,Pitchers[[#This Row],[W]]/(Pitchers[[#This Row],[W]]+Pitchers[[#This Row],[L]]))</f>
        <v>0.14285714285714285</v>
      </c>
      <c r="AB231" s="60"/>
    </row>
    <row r="232" spans="1:28" x14ac:dyDescent="0.25">
      <c r="A232" t="s">
        <v>453</v>
      </c>
      <c r="B232" t="s">
        <v>27</v>
      </c>
      <c r="C232">
        <v>52</v>
      </c>
      <c r="D232">
        <v>0</v>
      </c>
      <c r="E232">
        <v>0</v>
      </c>
      <c r="F232">
        <v>0</v>
      </c>
      <c r="G232">
        <v>63.2</v>
      </c>
      <c r="H232">
        <v>64</v>
      </c>
      <c r="I232">
        <v>33</v>
      </c>
      <c r="J232">
        <v>60</v>
      </c>
      <c r="K232">
        <v>23</v>
      </c>
      <c r="L232">
        <v>7</v>
      </c>
      <c r="M232">
        <v>2</v>
      </c>
      <c r="N232">
        <v>3</v>
      </c>
      <c r="O232">
        <v>1</v>
      </c>
      <c r="P232">
        <v>4</v>
      </c>
      <c r="Q232">
        <v>7</v>
      </c>
      <c r="R232">
        <v>4.66</v>
      </c>
      <c r="S232">
        <v>1.37</v>
      </c>
      <c r="T232">
        <f t="shared" si="9"/>
        <v>0</v>
      </c>
      <c r="U232">
        <f t="shared" si="10"/>
        <v>0.52215189873417722</v>
      </c>
      <c r="V232">
        <f>U232-AVERAGEIFS(Pitchers[ER/IP],Pitchers[GS],"&gt;"&amp;0,Pitchers[IP],"&gt;"&amp;3)</f>
        <v>-4.934869606514225E-2</v>
      </c>
      <c r="W232">
        <f>IF(Pitchers[[#This Row],[IP/GS]]&lt;&gt;0,(Pitchers[[#This Row],[WHIP]]*$AH$5+$AI$5)/9*Pitchers[[#This Row],[IP/GS]],(Pitchers[[#This Row],[WHIP]]*$AH$5+$AI$5)/9*(Pitchers[[#This Row],[IP]]/Pitchers[[#This Row],[G]]))</f>
        <v>0.6206506088589655</v>
      </c>
      <c r="X232">
        <f>Pitchers[[#This Row],[Runs from WHIP]]-AVERAGEIFS(Pitchers[Runs from WHIP],Pitchers[GS],"&gt;"&amp;0,Pitchers[IP],"&gt;"&amp;3)</f>
        <v>-5.0652652972658938</v>
      </c>
      <c r="Y232">
        <f>IF(Pitchers[[#This Row],[IP/GS]]&lt;&gt;0,Pitchers[[#This Row],[ER/IP From Average]]*Pitchers[[#This Row],[IP/GS]],Pitchers[[#This Row],[ER/IP From Average]]*(Pitchers[[#This Row],[IP]]/Pitchers[[#This Row],[G]]))</f>
        <v>-5.9977645986865204E-2</v>
      </c>
      <c r="Z232">
        <f t="shared" si="11"/>
        <v>-1.3747284709989847</v>
      </c>
      <c r="AA232" s="32">
        <f>IF(Pitchers[[#This Row],[W]]=0,0,Pitchers[[#This Row],[W]]/(Pitchers[[#This Row],[W]]+Pitchers[[#This Row],[L]]))</f>
        <v>0.4</v>
      </c>
      <c r="AB232" s="60"/>
    </row>
    <row r="233" spans="1:28" x14ac:dyDescent="0.25">
      <c r="A233" t="s">
        <v>509</v>
      </c>
      <c r="B233" t="s">
        <v>332</v>
      </c>
      <c r="C233">
        <v>63</v>
      </c>
      <c r="D233">
        <v>0</v>
      </c>
      <c r="E233">
        <v>0</v>
      </c>
      <c r="F233">
        <v>0</v>
      </c>
      <c r="G233">
        <v>63.1</v>
      </c>
      <c r="H233">
        <v>64</v>
      </c>
      <c r="I233">
        <v>24</v>
      </c>
      <c r="J233">
        <v>73</v>
      </c>
      <c r="K233">
        <v>17</v>
      </c>
      <c r="L233">
        <v>6</v>
      </c>
      <c r="M233">
        <v>3</v>
      </c>
      <c r="N233">
        <v>2</v>
      </c>
      <c r="O233">
        <v>30</v>
      </c>
      <c r="P233">
        <v>4</v>
      </c>
      <c r="Q233">
        <v>1</v>
      </c>
      <c r="R233">
        <v>3.41</v>
      </c>
      <c r="S233">
        <v>1.28</v>
      </c>
      <c r="T233">
        <f t="shared" si="9"/>
        <v>0</v>
      </c>
      <c r="U233">
        <f t="shared" si="10"/>
        <v>0.38034865293185421</v>
      </c>
      <c r="V233">
        <f>U233-AVERAGEIFS(Pitchers[ER/IP],Pitchers[GS],"&gt;"&amp;0,Pitchers[IP],"&gt;"&amp;3)</f>
        <v>-0.19115194186746526</v>
      </c>
      <c r="W233">
        <f>IF(Pitchers[[#This Row],[IP/GS]]&lt;&gt;0,(Pitchers[[#This Row],[WHIP]]*$AH$5+$AI$5)/9*Pitchers[[#This Row],[IP/GS]],(Pitchers[[#This Row],[WHIP]]*$AH$5+$AI$5)/9*(Pitchers[[#This Row],[IP]]/Pitchers[[#This Row],[G]]))</f>
        <v>0.46467256069374041</v>
      </c>
      <c r="X233">
        <f>Pitchers[[#This Row],[Runs from WHIP]]-AVERAGEIFS(Pitchers[Runs from WHIP],Pitchers[GS],"&gt;"&amp;0,Pitchers[IP],"&gt;"&amp;3)</f>
        <v>-5.2212433454311187</v>
      </c>
      <c r="Y233">
        <f>IF(Pitchers[[#This Row],[IP/GS]]&lt;&gt;0,Pitchers[[#This Row],[ER/IP From Average]]*Pitchers[[#This Row],[IP/GS]],Pitchers[[#This Row],[ER/IP From Average]]*(Pitchers[[#This Row],[IP]]/Pitchers[[#This Row],[G]]))</f>
        <v>-0.19145535764820726</v>
      </c>
      <c r="Z233">
        <f t="shared" si="11"/>
        <v>-1.4689137018409146</v>
      </c>
      <c r="AA233" s="32">
        <f>IF(Pitchers[[#This Row],[W]]=0,0,Pitchers[[#This Row],[W]]/(Pitchers[[#This Row],[W]]+Pitchers[[#This Row],[L]]))</f>
        <v>0.6</v>
      </c>
      <c r="AB233" s="60"/>
    </row>
    <row r="234" spans="1:28" x14ac:dyDescent="0.25">
      <c r="A234" t="s">
        <v>1420</v>
      </c>
      <c r="B234" t="s">
        <v>11</v>
      </c>
      <c r="C234">
        <v>14</v>
      </c>
      <c r="D234">
        <v>12</v>
      </c>
      <c r="E234">
        <v>0</v>
      </c>
      <c r="F234">
        <v>0</v>
      </c>
      <c r="G234">
        <v>63</v>
      </c>
      <c r="H234">
        <v>59</v>
      </c>
      <c r="I234">
        <v>37</v>
      </c>
      <c r="J234">
        <v>46</v>
      </c>
      <c r="K234">
        <v>33</v>
      </c>
      <c r="L234">
        <v>11</v>
      </c>
      <c r="M234">
        <v>2</v>
      </c>
      <c r="N234">
        <v>6</v>
      </c>
      <c r="O234">
        <v>0</v>
      </c>
      <c r="P234">
        <v>0</v>
      </c>
      <c r="Q234">
        <v>0</v>
      </c>
      <c r="R234">
        <v>5.29</v>
      </c>
      <c r="S234">
        <v>1.46</v>
      </c>
      <c r="T234">
        <f t="shared" si="9"/>
        <v>5.25</v>
      </c>
      <c r="U234">
        <f t="shared" si="10"/>
        <v>0.58730158730158732</v>
      </c>
      <c r="V234">
        <f>U234-AVERAGEIFS(Pitchers[ER/IP],Pitchers[GS],"&gt;"&amp;0,Pitchers[IP],"&gt;"&amp;3)</f>
        <v>1.5800992502267852E-2</v>
      </c>
      <c r="W234">
        <f>IF(Pitchers[[#This Row],[IP/GS]]&lt;&gt;0,(Pitchers[[#This Row],[WHIP]]*$AH$5+$AI$5)/9*Pitchers[[#This Row],[IP/GS]],(Pitchers[[#This Row],[WHIP]]*$AH$5+$AI$5)/9*(Pitchers[[#This Row],[IP]]/Pitchers[[#This Row],[G]]))</f>
        <v>2.9262850713075634</v>
      </c>
      <c r="X234">
        <f>Pitchers[[#This Row],[Runs from WHIP]]-AVERAGEIFS(Pitchers[Runs from WHIP],Pitchers[GS],"&gt;"&amp;0,Pitchers[IP],"&gt;"&amp;3)</f>
        <v>-2.7596308348172958</v>
      </c>
      <c r="Y234">
        <f>IF(Pitchers[[#This Row],[IP/GS]]&lt;&gt;0,Pitchers[[#This Row],[ER/IP From Average]]*Pitchers[[#This Row],[IP/GS]],Pitchers[[#This Row],[ER/IP From Average]]*(Pitchers[[#This Row],[IP]]/Pitchers[[#This Row],[G]]))</f>
        <v>8.2955210636906224E-2</v>
      </c>
      <c r="Z234">
        <f t="shared" si="11"/>
        <v>-0.70271947169651627</v>
      </c>
      <c r="AA234" s="32">
        <f>IF(Pitchers[[#This Row],[W]]=0,0,Pitchers[[#This Row],[W]]/(Pitchers[[#This Row],[W]]+Pitchers[[#This Row],[L]]))</f>
        <v>0.25</v>
      </c>
      <c r="AB234" s="60"/>
    </row>
    <row r="235" spans="1:28" x14ac:dyDescent="0.25">
      <c r="A235" t="s">
        <v>495</v>
      </c>
      <c r="B235" t="s">
        <v>29</v>
      </c>
      <c r="C235">
        <v>62</v>
      </c>
      <c r="D235">
        <v>0</v>
      </c>
      <c r="E235">
        <v>0</v>
      </c>
      <c r="F235">
        <v>0</v>
      </c>
      <c r="G235">
        <v>63</v>
      </c>
      <c r="H235">
        <v>51</v>
      </c>
      <c r="I235">
        <v>26</v>
      </c>
      <c r="J235">
        <v>80</v>
      </c>
      <c r="K235">
        <v>16</v>
      </c>
      <c r="L235">
        <v>9</v>
      </c>
      <c r="M235">
        <v>5</v>
      </c>
      <c r="N235">
        <v>3</v>
      </c>
      <c r="O235">
        <v>33</v>
      </c>
      <c r="P235">
        <v>8</v>
      </c>
      <c r="Q235">
        <v>0</v>
      </c>
      <c r="R235">
        <v>3.71</v>
      </c>
      <c r="S235">
        <v>1.06</v>
      </c>
      <c r="T235">
        <f t="shared" si="9"/>
        <v>0</v>
      </c>
      <c r="U235">
        <f t="shared" si="10"/>
        <v>0.41269841269841268</v>
      </c>
      <c r="V235" s="60">
        <f>U235-AVERAGEIFS(Pitchers[ER/IP],Pitchers[GS],"&gt;"&amp;0,Pitchers[IP],"&gt;"&amp;3)</f>
        <v>-0.1588021821009068</v>
      </c>
      <c r="W235" s="60">
        <f>IF(Pitchers[[#This Row],[IP/GS]]&lt;&gt;0,(Pitchers[[#This Row],[WHIP]]*$AH$5+$AI$5)/9*Pitchers[[#This Row],[IP/GS]],(Pitchers[[#This Row],[WHIP]]*$AH$5+$AI$5)/9*(Pitchers[[#This Row],[IP]]/Pitchers[[#This Row],[G]]))</f>
        <v>0.35535828808837761</v>
      </c>
      <c r="X235" s="60">
        <f>Pitchers[[#This Row],[Runs from WHIP]]-AVERAGEIFS(Pitchers[Runs from WHIP],Pitchers[GS],"&gt;"&amp;0,Pitchers[IP],"&gt;"&amp;3)</f>
        <v>-5.3305576180364813</v>
      </c>
      <c r="Y235" s="60">
        <f>IF(Pitchers[[#This Row],[IP/GS]]&lt;&gt;0,Pitchers[[#This Row],[ER/IP From Average]]*Pitchers[[#This Row],[IP/GS]],Pitchers[[#This Row],[ER/IP From Average]]*(Pitchers[[#This Row],[IP]]/Pitchers[[#This Row],[G]]))</f>
        <v>-0.16136350761866336</v>
      </c>
      <c r="Z235" s="60">
        <f t="shared" si="11"/>
        <v>-1.4860274345238604</v>
      </c>
      <c r="AA235" s="32">
        <f>IF(Pitchers[[#This Row],[W]]=0,0,Pitchers[[#This Row],[W]]/(Pitchers[[#This Row],[W]]+Pitchers[[#This Row],[L]]))</f>
        <v>0.625</v>
      </c>
      <c r="AB235" s="60"/>
    </row>
    <row r="236" spans="1:28" x14ac:dyDescent="0.25">
      <c r="A236" t="s">
        <v>542</v>
      </c>
      <c r="B236" t="s">
        <v>8</v>
      </c>
      <c r="C236">
        <v>58</v>
      </c>
      <c r="D236">
        <v>0</v>
      </c>
      <c r="E236">
        <v>0</v>
      </c>
      <c r="F236">
        <v>0</v>
      </c>
      <c r="G236">
        <v>63</v>
      </c>
      <c r="H236">
        <v>49</v>
      </c>
      <c r="I236">
        <v>32</v>
      </c>
      <c r="J236">
        <v>86</v>
      </c>
      <c r="K236">
        <v>26</v>
      </c>
      <c r="L236">
        <v>13</v>
      </c>
      <c r="M236">
        <v>2</v>
      </c>
      <c r="N236">
        <v>6</v>
      </c>
      <c r="O236">
        <v>11</v>
      </c>
      <c r="P236">
        <v>8</v>
      </c>
      <c r="Q236">
        <v>7</v>
      </c>
      <c r="R236">
        <v>4.57</v>
      </c>
      <c r="S236">
        <v>1.19</v>
      </c>
      <c r="T236">
        <f t="shared" si="9"/>
        <v>0</v>
      </c>
      <c r="U236">
        <f t="shared" si="10"/>
        <v>0.50793650793650791</v>
      </c>
      <c r="V236">
        <f>U236-AVERAGEIFS(Pitchers[ER/IP],Pitchers[GS],"&gt;"&amp;0,Pitchers[IP],"&gt;"&amp;3)</f>
        <v>-6.3564086862811564E-2</v>
      </c>
      <c r="W236">
        <f>IF(Pitchers[[#This Row],[IP/GS]]&lt;&gt;0,(Pitchers[[#This Row],[WHIP]]*$AH$5+$AI$5)/9*Pitchers[[#This Row],[IP/GS]],(Pitchers[[#This Row],[WHIP]]*$AH$5+$AI$5)/9*(Pitchers[[#This Row],[IP]]/Pitchers[[#This Row],[G]]))</f>
        <v>0.45317682990686381</v>
      </c>
      <c r="X236">
        <f>Pitchers[[#This Row],[Runs from WHIP]]-AVERAGEIFS(Pitchers[Runs from WHIP],Pitchers[GS],"&gt;"&amp;0,Pitchers[IP],"&gt;"&amp;3)</f>
        <v>-5.2327390762179951</v>
      </c>
      <c r="Y236">
        <f>IF(Pitchers[[#This Row],[IP/GS]]&lt;&gt;0,Pitchers[[#This Row],[ER/IP From Average]]*Pitchers[[#This Row],[IP/GS]],Pitchers[[#This Row],[ER/IP From Average]]*(Pitchers[[#This Row],[IP]]/Pitchers[[#This Row],[G]]))</f>
        <v>-6.904374952339877E-2</v>
      </c>
      <c r="Z236">
        <f t="shared" si="11"/>
        <v>-1.4230145868008248</v>
      </c>
      <c r="AA236" s="32">
        <f>IF(Pitchers[[#This Row],[W]]=0,0,Pitchers[[#This Row],[W]]/(Pitchers[[#This Row],[W]]+Pitchers[[#This Row],[L]]))</f>
        <v>0.25</v>
      </c>
      <c r="AB236" s="60"/>
    </row>
    <row r="237" spans="1:28" x14ac:dyDescent="0.25">
      <c r="A237" t="s">
        <v>348</v>
      </c>
      <c r="B237" t="s">
        <v>16</v>
      </c>
      <c r="C237">
        <v>10</v>
      </c>
      <c r="D237">
        <v>10</v>
      </c>
      <c r="E237">
        <v>0</v>
      </c>
      <c r="F237">
        <v>0</v>
      </c>
      <c r="G237">
        <v>62.2</v>
      </c>
      <c r="H237">
        <v>58</v>
      </c>
      <c r="I237">
        <v>21</v>
      </c>
      <c r="J237">
        <v>52</v>
      </c>
      <c r="K237">
        <v>9</v>
      </c>
      <c r="L237">
        <v>6</v>
      </c>
      <c r="M237">
        <v>8</v>
      </c>
      <c r="N237">
        <v>1</v>
      </c>
      <c r="O237">
        <v>0</v>
      </c>
      <c r="P237">
        <v>0</v>
      </c>
      <c r="Q237">
        <v>0</v>
      </c>
      <c r="R237">
        <v>3.02</v>
      </c>
      <c r="S237">
        <v>1.07</v>
      </c>
      <c r="T237">
        <f t="shared" si="9"/>
        <v>6.2200000000000006</v>
      </c>
      <c r="U237">
        <f t="shared" si="10"/>
        <v>0.33762057877813501</v>
      </c>
      <c r="V237">
        <f>U237-AVERAGEIFS(Pitchers[ER/IP],Pitchers[GS],"&gt;"&amp;0,Pitchers[IP],"&gt;"&amp;3)</f>
        <v>-0.23388001602118447</v>
      </c>
      <c r="W237">
        <f>IF(Pitchers[[#This Row],[IP/GS]]&lt;&gt;0,(Pitchers[[#This Row],[WHIP]]*$AH$5+$AI$5)/9*Pitchers[[#This Row],[IP/GS]],(Pitchers[[#This Row],[WHIP]]*$AH$5+$AI$5)/9*(Pitchers[[#This Row],[IP]]/Pitchers[[#This Row],[G]]))</f>
        <v>2.2075366493016166</v>
      </c>
      <c r="X237">
        <f>Pitchers[[#This Row],[Runs from WHIP]]-AVERAGEIFS(Pitchers[Runs from WHIP],Pitchers[GS],"&gt;"&amp;0,Pitchers[IP],"&gt;"&amp;3)</f>
        <v>-3.4783792568232426</v>
      </c>
      <c r="Y237">
        <f>IF(Pitchers[[#This Row],[IP/GS]]&lt;&gt;0,Pitchers[[#This Row],[ER/IP From Average]]*Pitchers[[#This Row],[IP/GS]],Pitchers[[#This Row],[ER/IP From Average]]*(Pitchers[[#This Row],[IP]]/Pitchers[[#This Row],[G]]))</f>
        <v>-1.4547336996517675</v>
      </c>
      <c r="Z237">
        <f t="shared" si="11"/>
        <v>-1.5094612816802382</v>
      </c>
      <c r="AA237" s="32">
        <f>IF(Pitchers[[#This Row],[W]]=0,0,Pitchers[[#This Row],[W]]/(Pitchers[[#This Row],[W]]+Pitchers[[#This Row],[L]]))</f>
        <v>0.88888888888888884</v>
      </c>
      <c r="AB237" s="60"/>
    </row>
    <row r="238" spans="1:28" x14ac:dyDescent="0.25">
      <c r="A238" t="s">
        <v>445</v>
      </c>
      <c r="B238" t="s">
        <v>15</v>
      </c>
      <c r="C238">
        <v>12</v>
      </c>
      <c r="D238">
        <v>12</v>
      </c>
      <c r="E238">
        <v>0</v>
      </c>
      <c r="F238">
        <v>0</v>
      </c>
      <c r="G238">
        <v>62.2</v>
      </c>
      <c r="H238">
        <v>62</v>
      </c>
      <c r="I238">
        <v>31</v>
      </c>
      <c r="J238">
        <v>68</v>
      </c>
      <c r="K238">
        <v>21</v>
      </c>
      <c r="L238">
        <v>13</v>
      </c>
      <c r="M238">
        <v>3</v>
      </c>
      <c r="N238">
        <v>2</v>
      </c>
      <c r="O238">
        <v>0</v>
      </c>
      <c r="P238">
        <v>0</v>
      </c>
      <c r="Q238">
        <v>0</v>
      </c>
      <c r="R238">
        <v>4.45</v>
      </c>
      <c r="S238">
        <v>1.32</v>
      </c>
      <c r="T238">
        <f t="shared" si="9"/>
        <v>5.1833333333333336</v>
      </c>
      <c r="U238">
        <f t="shared" si="10"/>
        <v>0.49839228295819932</v>
      </c>
      <c r="V238">
        <f>U238-AVERAGEIFS(Pitchers[ER/IP],Pitchers[GS],"&gt;"&amp;0,Pitchers[IP],"&gt;"&amp;3)</f>
        <v>-7.3108311841120155E-2</v>
      </c>
      <c r="W238">
        <f>IF(Pitchers[[#This Row],[IP/GS]]&lt;&gt;0,(Pitchers[[#This Row],[WHIP]]*$AH$5+$AI$5)/9*Pitchers[[#This Row],[IP/GS]],(Pitchers[[#This Row],[WHIP]]*$AH$5+$AI$5)/9*(Pitchers[[#This Row],[IP]]/Pitchers[[#This Row],[G]]))</f>
        <v>2.5123779906878103</v>
      </c>
      <c r="X238">
        <f>Pitchers[[#This Row],[Runs from WHIP]]-AVERAGEIFS(Pitchers[Runs from WHIP],Pitchers[GS],"&gt;"&amp;0,Pitchers[IP],"&gt;"&amp;3)</f>
        <v>-3.1735379154370489</v>
      </c>
      <c r="Y238">
        <f>IF(Pitchers[[#This Row],[IP/GS]]&lt;&gt;0,Pitchers[[#This Row],[ER/IP From Average]]*Pitchers[[#This Row],[IP/GS]],Pitchers[[#This Row],[ER/IP From Average]]*(Pitchers[[#This Row],[IP]]/Pitchers[[#This Row],[G]]))</f>
        <v>-0.37894474970980613</v>
      </c>
      <c r="Z238">
        <f t="shared" si="11"/>
        <v>-0.99785467733380206</v>
      </c>
      <c r="AA238" s="32">
        <f>IF(Pitchers[[#This Row],[W]]=0,0,Pitchers[[#This Row],[W]]/(Pitchers[[#This Row],[W]]+Pitchers[[#This Row],[L]]))</f>
        <v>0.6</v>
      </c>
      <c r="AB238" s="60"/>
    </row>
    <row r="239" spans="1:28" x14ac:dyDescent="0.25">
      <c r="A239" t="s">
        <v>746</v>
      </c>
      <c r="B239" t="s">
        <v>19</v>
      </c>
      <c r="C239">
        <v>51</v>
      </c>
      <c r="D239">
        <v>2</v>
      </c>
      <c r="E239">
        <v>0</v>
      </c>
      <c r="F239">
        <v>0</v>
      </c>
      <c r="G239">
        <v>62.1</v>
      </c>
      <c r="H239">
        <v>72</v>
      </c>
      <c r="I239">
        <v>33</v>
      </c>
      <c r="J239">
        <v>62</v>
      </c>
      <c r="K239">
        <v>18</v>
      </c>
      <c r="L239">
        <v>7</v>
      </c>
      <c r="M239">
        <v>2</v>
      </c>
      <c r="N239">
        <v>3</v>
      </c>
      <c r="O239">
        <v>0</v>
      </c>
      <c r="P239">
        <v>1</v>
      </c>
      <c r="Q239">
        <v>4</v>
      </c>
      <c r="R239">
        <v>4.76</v>
      </c>
      <c r="S239">
        <v>1.44</v>
      </c>
      <c r="T239">
        <f t="shared" si="9"/>
        <v>31.05</v>
      </c>
      <c r="U239">
        <f t="shared" si="10"/>
        <v>0.53140096618357491</v>
      </c>
      <c r="V239">
        <f>U239-AVERAGEIFS(Pitchers[ER/IP],Pitchers[GS],"&gt;"&amp;0,Pitchers[IP],"&gt;"&amp;3)</f>
        <v>-4.0099628615744565E-2</v>
      </c>
      <c r="W239">
        <f>IF(Pitchers[[#This Row],[IP/GS]]&lt;&gt;0,(Pitchers[[#This Row],[WHIP]]*$AH$5+$AI$5)/9*Pitchers[[#This Row],[IP/GS]],(Pitchers[[#This Row],[WHIP]]*$AH$5+$AI$5)/9*(Pitchers[[#This Row],[IP]]/Pitchers[[#This Row],[G]]))</f>
        <v>16.984478392233093</v>
      </c>
      <c r="X239">
        <f>Pitchers[[#This Row],[Runs from WHIP]]-AVERAGEIFS(Pitchers[Runs from WHIP],Pitchers[GS],"&gt;"&amp;0,Pitchers[IP],"&gt;"&amp;3)</f>
        <v>11.298562486108235</v>
      </c>
      <c r="Y239">
        <f>IF(Pitchers[[#This Row],[IP/GS]]&lt;&gt;0,Pitchers[[#This Row],[ER/IP From Average]]*Pitchers[[#This Row],[IP/GS]],Pitchers[[#This Row],[ER/IP From Average]]*(Pitchers[[#This Row],[IP]]/Pitchers[[#This Row],[G]]))</f>
        <v>-1.2450934685188688</v>
      </c>
      <c r="Z239">
        <f t="shared" si="11"/>
        <v>2.5149126088879825</v>
      </c>
      <c r="AA239" s="32">
        <f>IF(Pitchers[[#This Row],[W]]=0,0,Pitchers[[#This Row],[W]]/(Pitchers[[#This Row],[W]]+Pitchers[[#This Row],[L]]))</f>
        <v>0.4</v>
      </c>
      <c r="AB239" s="60"/>
    </row>
    <row r="240" spans="1:28" x14ac:dyDescent="0.25">
      <c r="A240" t="s">
        <v>545</v>
      </c>
      <c r="B240" t="s">
        <v>29</v>
      </c>
      <c r="C240">
        <v>64</v>
      </c>
      <c r="D240">
        <v>0</v>
      </c>
      <c r="E240">
        <v>0</v>
      </c>
      <c r="F240">
        <v>0</v>
      </c>
      <c r="G240">
        <v>62.1</v>
      </c>
      <c r="H240">
        <v>40</v>
      </c>
      <c r="I240">
        <v>25</v>
      </c>
      <c r="J240">
        <v>66</v>
      </c>
      <c r="K240">
        <v>14</v>
      </c>
      <c r="L240">
        <v>15</v>
      </c>
      <c r="M240">
        <v>1</v>
      </c>
      <c r="N240">
        <v>4</v>
      </c>
      <c r="O240">
        <v>0</v>
      </c>
      <c r="P240">
        <v>3</v>
      </c>
      <c r="Q240">
        <v>4</v>
      </c>
      <c r="R240">
        <v>3.61</v>
      </c>
      <c r="S240">
        <v>0.87</v>
      </c>
      <c r="T240">
        <f t="shared" si="9"/>
        <v>0</v>
      </c>
      <c r="U240">
        <f t="shared" si="10"/>
        <v>0.40257648953301128</v>
      </c>
      <c r="V240">
        <f>U240-AVERAGEIFS(Pitchers[ER/IP],Pitchers[GS],"&gt;"&amp;0,Pitchers[IP],"&gt;"&amp;3)</f>
        <v>-0.16892410526630819</v>
      </c>
      <c r="W240">
        <f>IF(Pitchers[[#This Row],[IP/GS]]&lt;&gt;0,(Pitchers[[#This Row],[WHIP]]*$AH$5+$AI$5)/9*Pitchers[[#This Row],[IP/GS]],(Pitchers[[#This Row],[WHIP]]*$AH$5+$AI$5)/9*(Pitchers[[#This Row],[IP]]/Pitchers[[#This Row],[G]]))</f>
        <v>0.2436206801800897</v>
      </c>
      <c r="X240">
        <f>Pitchers[[#This Row],[Runs from WHIP]]-AVERAGEIFS(Pitchers[Runs from WHIP],Pitchers[GS],"&gt;"&amp;0,Pitchers[IP],"&gt;"&amp;3)</f>
        <v>-5.4422952259447692</v>
      </c>
      <c r="Y240">
        <f>IF(Pitchers[[#This Row],[IP/GS]]&lt;&gt;0,Pitchers[[#This Row],[ER/IP From Average]]*Pitchers[[#This Row],[IP/GS]],Pitchers[[#This Row],[ER/IP From Average]]*(Pitchers[[#This Row],[IP]]/Pitchers[[#This Row],[G]]))</f>
        <v>-0.16390917089121468</v>
      </c>
      <c r="Z240">
        <f t="shared" si="11"/>
        <v>-1.5168423952750907</v>
      </c>
      <c r="AA240" s="32">
        <f>IF(Pitchers[[#This Row],[W]]=0,0,Pitchers[[#This Row],[W]]/(Pitchers[[#This Row],[W]]+Pitchers[[#This Row],[L]]))</f>
        <v>0.2</v>
      </c>
      <c r="AB240" s="60"/>
    </row>
    <row r="241" spans="1:28" x14ac:dyDescent="0.25">
      <c r="A241" t="s">
        <v>494</v>
      </c>
      <c r="B241" t="s">
        <v>6</v>
      </c>
      <c r="C241">
        <v>83</v>
      </c>
      <c r="D241">
        <v>0</v>
      </c>
      <c r="E241">
        <v>0</v>
      </c>
      <c r="F241">
        <v>0</v>
      </c>
      <c r="G241">
        <v>62</v>
      </c>
      <c r="H241">
        <v>57</v>
      </c>
      <c r="I241">
        <v>28</v>
      </c>
      <c r="J241">
        <v>44</v>
      </c>
      <c r="K241">
        <v>24</v>
      </c>
      <c r="L241">
        <v>8</v>
      </c>
      <c r="M241">
        <v>2</v>
      </c>
      <c r="N241">
        <v>2</v>
      </c>
      <c r="O241">
        <v>0</v>
      </c>
      <c r="P241">
        <v>3</v>
      </c>
      <c r="Q241">
        <v>22</v>
      </c>
      <c r="R241">
        <v>4.0599999999999996</v>
      </c>
      <c r="S241">
        <v>1.31</v>
      </c>
      <c r="T241">
        <f t="shared" si="9"/>
        <v>0</v>
      </c>
      <c r="U241">
        <f t="shared" si="10"/>
        <v>0.45161290322580644</v>
      </c>
      <c r="V241">
        <f>U241-AVERAGEIFS(Pitchers[ER/IP],Pitchers[GS],"&gt;"&amp;0,Pitchers[IP],"&gt;"&amp;3)</f>
        <v>-0.11988769157351303</v>
      </c>
      <c r="W241">
        <f>IF(Pitchers[[#This Row],[IP/GS]]&lt;&gt;0,(Pitchers[[#This Row],[WHIP]]*$AH$5+$AI$5)/9*Pitchers[[#This Row],[IP/GS]],(Pitchers[[#This Row],[WHIP]]*$AH$5+$AI$5)/9*(Pitchers[[#This Row],[IP]]/Pitchers[[#This Row],[G]]))</f>
        <v>0.35818923894385413</v>
      </c>
      <c r="X241">
        <f>Pitchers[[#This Row],[Runs from WHIP]]-AVERAGEIFS(Pitchers[Runs from WHIP],Pitchers[GS],"&gt;"&amp;0,Pitchers[IP],"&gt;"&amp;3)</f>
        <v>-5.3277266671810048</v>
      </c>
      <c r="Y241">
        <f>IF(Pitchers[[#This Row],[IP/GS]]&lt;&gt;0,Pitchers[[#This Row],[ER/IP From Average]]*Pitchers[[#This Row],[IP/GS]],Pitchers[[#This Row],[ER/IP From Average]]*(Pitchers[[#This Row],[IP]]/Pitchers[[#This Row],[G]]))</f>
        <v>-8.9554661175395275E-2</v>
      </c>
      <c r="Z241">
        <f t="shared" si="11"/>
        <v>-1.456548975718426</v>
      </c>
      <c r="AA241" s="32">
        <f>IF(Pitchers[[#This Row],[W]]=0,0,Pitchers[[#This Row],[W]]/(Pitchers[[#This Row],[W]]+Pitchers[[#This Row],[L]]))</f>
        <v>0.5</v>
      </c>
      <c r="AB241" s="60"/>
    </row>
    <row r="242" spans="1:28" x14ac:dyDescent="0.25">
      <c r="A242" t="s">
        <v>525</v>
      </c>
      <c r="B242" t="s">
        <v>7</v>
      </c>
      <c r="C242">
        <v>64</v>
      </c>
      <c r="D242">
        <v>2</v>
      </c>
      <c r="E242">
        <v>0</v>
      </c>
      <c r="F242">
        <v>0</v>
      </c>
      <c r="G242">
        <v>62</v>
      </c>
      <c r="H242">
        <v>61</v>
      </c>
      <c r="I242">
        <v>30</v>
      </c>
      <c r="J242">
        <v>57</v>
      </c>
      <c r="K242">
        <v>33</v>
      </c>
      <c r="L242">
        <v>13</v>
      </c>
      <c r="M242">
        <v>2</v>
      </c>
      <c r="N242">
        <v>1</v>
      </c>
      <c r="O242">
        <v>1</v>
      </c>
      <c r="P242">
        <v>2</v>
      </c>
      <c r="Q242">
        <v>6</v>
      </c>
      <c r="R242">
        <v>4.3499999999999996</v>
      </c>
      <c r="S242">
        <v>1.52</v>
      </c>
      <c r="T242">
        <f t="shared" si="9"/>
        <v>31</v>
      </c>
      <c r="U242">
        <f t="shared" si="10"/>
        <v>0.4838709677419355</v>
      </c>
      <c r="V242">
        <f>U242-AVERAGEIFS(Pitchers[ER/IP],Pitchers[GS],"&gt;"&amp;0,Pitchers[IP],"&gt;"&amp;3)</f>
        <v>-8.7629627057383974E-2</v>
      </c>
      <c r="W242">
        <f>IF(Pitchers[[#This Row],[IP/GS]]&lt;&gt;0,(Pitchers[[#This Row],[WHIP]]*$AH$5+$AI$5)/9*Pitchers[[#This Row],[IP/GS]],(Pitchers[[#This Row],[WHIP]]*$AH$5+$AI$5)/9*(Pitchers[[#This Row],[IP]]/Pitchers[[#This Row],[G]]))</f>
        <v>18.244681889674542</v>
      </c>
      <c r="X242">
        <f>Pitchers[[#This Row],[Runs from WHIP]]-AVERAGEIFS(Pitchers[Runs from WHIP],Pitchers[GS],"&gt;"&amp;0,Pitchers[IP],"&gt;"&amp;3)</f>
        <v>12.558765983549684</v>
      </c>
      <c r="Y242">
        <f>IF(Pitchers[[#This Row],[IP/GS]]&lt;&gt;0,Pitchers[[#This Row],[ER/IP From Average]]*Pitchers[[#This Row],[IP/GS]],Pitchers[[#This Row],[ER/IP From Average]]*(Pitchers[[#This Row],[IP]]/Pitchers[[#This Row],[G]]))</f>
        <v>-2.7165184387789032</v>
      </c>
      <c r="Z242">
        <f t="shared" si="11"/>
        <v>2.262396886768355</v>
      </c>
      <c r="AA242" s="32">
        <f>IF(Pitchers[[#This Row],[W]]=0,0,Pitchers[[#This Row],[W]]/(Pitchers[[#This Row],[W]]+Pitchers[[#This Row],[L]]))</f>
        <v>0.66666666666666663</v>
      </c>
      <c r="AB242" s="60"/>
    </row>
    <row r="243" spans="1:28" x14ac:dyDescent="0.25">
      <c r="A243" t="s">
        <v>920</v>
      </c>
      <c r="B243" t="s">
        <v>3</v>
      </c>
      <c r="C243">
        <v>53</v>
      </c>
      <c r="D243">
        <v>3</v>
      </c>
      <c r="E243">
        <v>0</v>
      </c>
      <c r="F243">
        <v>0</v>
      </c>
      <c r="G243">
        <v>62</v>
      </c>
      <c r="H243">
        <v>38</v>
      </c>
      <c r="I243">
        <v>20</v>
      </c>
      <c r="J243">
        <v>64</v>
      </c>
      <c r="K243">
        <v>15</v>
      </c>
      <c r="L243">
        <v>8</v>
      </c>
      <c r="M243">
        <v>1</v>
      </c>
      <c r="N243">
        <v>0</v>
      </c>
      <c r="O243">
        <v>0</v>
      </c>
      <c r="P243">
        <v>0</v>
      </c>
      <c r="Q243">
        <v>8</v>
      </c>
      <c r="R243">
        <v>2.9</v>
      </c>
      <c r="S243">
        <v>0.85</v>
      </c>
      <c r="T243">
        <f t="shared" si="9"/>
        <v>20.666666666666668</v>
      </c>
      <c r="U243">
        <f t="shared" si="10"/>
        <v>0.32258064516129031</v>
      </c>
      <c r="V243">
        <f>U243-AVERAGEIFS(Pitchers[ER/IP],Pitchers[GS],"&gt;"&amp;0,Pitchers[IP],"&gt;"&amp;3)</f>
        <v>-0.24891994963802916</v>
      </c>
      <c r="W243">
        <f>IF(Pitchers[[#This Row],[IP/GS]]&lt;&gt;0,(Pitchers[[#This Row],[WHIP]]*$AH$5+$AI$5)/9*Pitchers[[#This Row],[IP/GS]],(Pitchers[[#This Row],[WHIP]]*$AH$5+$AI$5)/9*(Pitchers[[#This Row],[IP]]/Pitchers[[#This Row],[G]]))</f>
        <v>4.9742797447097553</v>
      </c>
      <c r="X243">
        <f>Pitchers[[#This Row],[Runs from WHIP]]-AVERAGEIFS(Pitchers[Runs from WHIP],Pitchers[GS],"&gt;"&amp;0,Pitchers[IP],"&gt;"&amp;3)</f>
        <v>-0.71163616141510389</v>
      </c>
      <c r="Y243">
        <f>IF(Pitchers[[#This Row],[IP/GS]]&lt;&gt;0,Pitchers[[#This Row],[ER/IP From Average]]*Pitchers[[#This Row],[IP/GS]],Pitchers[[#This Row],[ER/IP From Average]]*(Pitchers[[#This Row],[IP]]/Pitchers[[#This Row],[G]]))</f>
        <v>-5.144345625852603</v>
      </c>
      <c r="Z243">
        <f t="shared" si="11"/>
        <v>-2.2475078933850692</v>
      </c>
      <c r="AA243" s="32">
        <f>IF(Pitchers[[#This Row],[W]]=0,0,Pitchers[[#This Row],[W]]/(Pitchers[[#This Row],[W]]+Pitchers[[#This Row],[L]]))</f>
        <v>1</v>
      </c>
      <c r="AB243" s="60"/>
    </row>
    <row r="244" spans="1:28" x14ac:dyDescent="0.25">
      <c r="A244" t="s">
        <v>508</v>
      </c>
      <c r="B244" t="s">
        <v>7</v>
      </c>
      <c r="C244">
        <v>59</v>
      </c>
      <c r="D244">
        <v>7</v>
      </c>
      <c r="E244">
        <v>0</v>
      </c>
      <c r="F244">
        <v>0</v>
      </c>
      <c r="G244">
        <v>61.1</v>
      </c>
      <c r="H244">
        <v>48</v>
      </c>
      <c r="I244">
        <v>22</v>
      </c>
      <c r="J244">
        <v>64</v>
      </c>
      <c r="K244">
        <v>22</v>
      </c>
      <c r="L244">
        <v>7</v>
      </c>
      <c r="M244">
        <v>3</v>
      </c>
      <c r="N244">
        <v>3</v>
      </c>
      <c r="O244">
        <v>1</v>
      </c>
      <c r="P244">
        <v>2</v>
      </c>
      <c r="Q244">
        <v>15</v>
      </c>
      <c r="R244">
        <v>3.23</v>
      </c>
      <c r="S244">
        <v>1.1399999999999999</v>
      </c>
      <c r="T244">
        <f t="shared" si="9"/>
        <v>8.7285714285714295</v>
      </c>
      <c r="U244">
        <f t="shared" si="10"/>
        <v>0.36006546644844517</v>
      </c>
      <c r="V244">
        <f>U244-AVERAGEIFS(Pitchers[ER/IP],Pitchers[GS],"&gt;"&amp;0,Pitchers[IP],"&gt;"&amp;3)</f>
        <v>-0.2114351283508743</v>
      </c>
      <c r="W244">
        <f>IF(Pitchers[[#This Row],[IP/GS]]&lt;&gt;0,(Pitchers[[#This Row],[WHIP]]*$AH$5+$AI$5)/9*Pitchers[[#This Row],[IP/GS]],(Pitchers[[#This Row],[WHIP]]*$AH$5+$AI$5)/9*(Pitchers[[#This Row],[IP]]/Pitchers[[#This Row],[G]]))</f>
        <v>3.4150681551148629</v>
      </c>
      <c r="X244">
        <f>Pitchers[[#This Row],[Runs from WHIP]]-AVERAGEIFS(Pitchers[Runs from WHIP],Pitchers[GS],"&gt;"&amp;0,Pitchers[IP],"&gt;"&amp;3)</f>
        <v>-2.2708477510099963</v>
      </c>
      <c r="Y244">
        <f>IF(Pitchers[[#This Row],[IP/GS]]&lt;&gt;0,Pitchers[[#This Row],[ER/IP From Average]]*Pitchers[[#This Row],[IP/GS]],Pitchers[[#This Row],[ER/IP From Average]]*(Pitchers[[#This Row],[IP]]/Pitchers[[#This Row],[G]]))</f>
        <v>-1.8455266203197744</v>
      </c>
      <c r="Z244">
        <f t="shared" si="11"/>
        <v>-1.3437700483972421</v>
      </c>
      <c r="AA244" s="32">
        <f>IF(Pitchers[[#This Row],[W]]=0,0,Pitchers[[#This Row],[W]]/(Pitchers[[#This Row],[W]]+Pitchers[[#This Row],[L]]))</f>
        <v>0.5</v>
      </c>
      <c r="AB244" s="60"/>
    </row>
    <row r="245" spans="1:28" x14ac:dyDescent="0.25">
      <c r="A245" t="s">
        <v>560</v>
      </c>
      <c r="B245" t="s">
        <v>28</v>
      </c>
      <c r="C245">
        <v>66</v>
      </c>
      <c r="D245">
        <v>0</v>
      </c>
      <c r="E245">
        <v>0</v>
      </c>
      <c r="F245">
        <v>0</v>
      </c>
      <c r="G245">
        <v>61.1</v>
      </c>
      <c r="H245">
        <v>38</v>
      </c>
      <c r="I245">
        <v>13</v>
      </c>
      <c r="J245">
        <v>53</v>
      </c>
      <c r="K245">
        <v>32</v>
      </c>
      <c r="L245">
        <v>3</v>
      </c>
      <c r="M245">
        <v>3</v>
      </c>
      <c r="N245">
        <v>1</v>
      </c>
      <c r="O245">
        <v>3</v>
      </c>
      <c r="P245">
        <v>4</v>
      </c>
      <c r="Q245">
        <v>29</v>
      </c>
      <c r="R245">
        <v>1.91</v>
      </c>
      <c r="S245">
        <v>1.1399999999999999</v>
      </c>
      <c r="T245">
        <f t="shared" si="9"/>
        <v>0</v>
      </c>
      <c r="U245">
        <f t="shared" si="10"/>
        <v>0.21276595744680851</v>
      </c>
      <c r="V245">
        <f>U245-AVERAGEIFS(Pitchers[ER/IP],Pitchers[GS],"&gt;"&amp;0,Pitchers[IP],"&gt;"&amp;3)</f>
        <v>-0.35873463735251099</v>
      </c>
      <c r="W245">
        <f>IF(Pitchers[[#This Row],[IP/GS]]&lt;&gt;0,(Pitchers[[#This Row],[WHIP]]*$AH$5+$AI$5)/9*Pitchers[[#This Row],[IP/GS]],(Pitchers[[#This Row],[WHIP]]*$AH$5+$AI$5)/9*(Pitchers[[#This Row],[IP]]/Pitchers[[#This Row],[G]]))</f>
        <v>0.36220419826975819</v>
      </c>
      <c r="X245">
        <f>Pitchers[[#This Row],[Runs from WHIP]]-AVERAGEIFS(Pitchers[Runs from WHIP],Pitchers[GS],"&gt;"&amp;0,Pitchers[IP],"&gt;"&amp;3)</f>
        <v>-5.3237117078551011</v>
      </c>
      <c r="Y245">
        <f>IF(Pitchers[[#This Row],[IP/GS]]&lt;&gt;0,Pitchers[[#This Row],[ER/IP From Average]]*Pitchers[[#This Row],[IP/GS]],Pitchers[[#This Row],[ER/IP From Average]]*(Pitchers[[#This Row],[IP]]/Pitchers[[#This Row],[G]]))</f>
        <v>-0.33210130821573364</v>
      </c>
      <c r="Z245">
        <f t="shared" si="11"/>
        <v>-1.5524969787143206</v>
      </c>
      <c r="AA245" s="32">
        <f>IF(Pitchers[[#This Row],[W]]=0,0,Pitchers[[#This Row],[W]]/(Pitchers[[#This Row],[W]]+Pitchers[[#This Row],[L]]))</f>
        <v>0.75</v>
      </c>
      <c r="AB245" s="60"/>
    </row>
    <row r="246" spans="1:28" x14ac:dyDescent="0.25">
      <c r="A246" t="s">
        <v>601</v>
      </c>
      <c r="B246" t="s">
        <v>28</v>
      </c>
      <c r="C246">
        <v>72</v>
      </c>
      <c r="D246">
        <v>0</v>
      </c>
      <c r="E246">
        <v>0</v>
      </c>
      <c r="F246">
        <v>0</v>
      </c>
      <c r="G246">
        <v>61.1</v>
      </c>
      <c r="H246">
        <v>45</v>
      </c>
      <c r="I246">
        <v>25</v>
      </c>
      <c r="J246">
        <v>88</v>
      </c>
      <c r="K246">
        <v>20</v>
      </c>
      <c r="L246">
        <v>9</v>
      </c>
      <c r="M246">
        <v>3</v>
      </c>
      <c r="N246">
        <v>2</v>
      </c>
      <c r="O246">
        <v>0</v>
      </c>
      <c r="P246">
        <v>5</v>
      </c>
      <c r="Q246">
        <v>27</v>
      </c>
      <c r="R246">
        <v>3.67</v>
      </c>
      <c r="S246">
        <v>1.06</v>
      </c>
      <c r="T246">
        <f t="shared" si="9"/>
        <v>0</v>
      </c>
      <c r="U246">
        <f t="shared" si="10"/>
        <v>0.40916530278232405</v>
      </c>
      <c r="V246">
        <f>U246-AVERAGEIFS(Pitchers[ER/IP],Pitchers[GS],"&gt;"&amp;0,Pitchers[IP],"&gt;"&amp;3)</f>
        <v>-0.16233529201699542</v>
      </c>
      <c r="W246">
        <f>IF(Pitchers[[#This Row],[IP/GS]]&lt;&gt;0,(Pitchers[[#This Row],[WHIP]]*$AH$5+$AI$5)/9*Pitchers[[#This Row],[IP/GS]],(Pitchers[[#This Row],[WHIP]]*$AH$5+$AI$5)/9*(Pitchers[[#This Row],[IP]]/Pitchers[[#This Row],[G]]))</f>
        <v>0.29677430928932802</v>
      </c>
      <c r="X246">
        <f>Pitchers[[#This Row],[Runs from WHIP]]-AVERAGEIFS(Pitchers[Runs from WHIP],Pitchers[GS],"&gt;"&amp;0,Pitchers[IP],"&gt;"&amp;3)</f>
        <v>-5.3891415968355307</v>
      </c>
      <c r="Y246">
        <f>IF(Pitchers[[#This Row],[IP/GS]]&lt;&gt;0,Pitchers[[#This Row],[ER/IP From Average]]*Pitchers[[#This Row],[IP/GS]],Pitchers[[#This Row],[ER/IP From Average]]*(Pitchers[[#This Row],[IP]]/Pitchers[[#This Row],[G]]))</f>
        <v>-0.13775953253108916</v>
      </c>
      <c r="Z246">
        <f t="shared" si="11"/>
        <v>-1.4922082388352436</v>
      </c>
      <c r="AA246" s="32">
        <f>IF(Pitchers[[#This Row],[W]]=0,0,Pitchers[[#This Row],[W]]/(Pitchers[[#This Row],[W]]+Pitchers[[#This Row],[L]]))</f>
        <v>0.6</v>
      </c>
      <c r="AB246" s="60"/>
    </row>
    <row r="247" spans="1:28" x14ac:dyDescent="0.25">
      <c r="A247" t="s">
        <v>472</v>
      </c>
      <c r="B247" t="s">
        <v>16</v>
      </c>
      <c r="C247">
        <v>49</v>
      </c>
      <c r="D247">
        <v>1</v>
      </c>
      <c r="E247">
        <v>0</v>
      </c>
      <c r="F247">
        <v>0</v>
      </c>
      <c r="G247">
        <v>61.1</v>
      </c>
      <c r="H247">
        <v>46</v>
      </c>
      <c r="I247">
        <v>32</v>
      </c>
      <c r="J247">
        <v>100</v>
      </c>
      <c r="K247">
        <v>35</v>
      </c>
      <c r="L247">
        <v>10</v>
      </c>
      <c r="M247">
        <v>5</v>
      </c>
      <c r="N247">
        <v>1</v>
      </c>
      <c r="O247">
        <v>1</v>
      </c>
      <c r="P247">
        <v>2</v>
      </c>
      <c r="Q247">
        <v>6</v>
      </c>
      <c r="R247">
        <v>4.7</v>
      </c>
      <c r="S247">
        <v>1.32</v>
      </c>
      <c r="T247">
        <f t="shared" si="9"/>
        <v>61.1</v>
      </c>
      <c r="U247">
        <f t="shared" si="10"/>
        <v>0.52373158756137483</v>
      </c>
      <c r="V247">
        <f>U247-AVERAGEIFS(Pitchers[ER/IP],Pitchers[GS],"&gt;"&amp;0,Pitchers[IP],"&gt;"&amp;3)</f>
        <v>-4.7769007237944638E-2</v>
      </c>
      <c r="W247">
        <f>IF(Pitchers[[#This Row],[IP/GS]]&lt;&gt;0,(Pitchers[[#This Row],[WHIP]]*$AH$5+$AI$5)/9*Pitchers[[#This Row],[IP/GS]],(Pitchers[[#This Row],[WHIP]]*$AH$5+$AI$5)/9*(Pitchers[[#This Row],[IP]]/Pitchers[[#This Row],[G]]))</f>
        <v>29.615362423992</v>
      </c>
      <c r="X247">
        <f>Pitchers[[#This Row],[Runs from WHIP]]-AVERAGEIFS(Pitchers[Runs from WHIP],Pitchers[GS],"&gt;"&amp;0,Pitchers[IP],"&gt;"&amp;3)</f>
        <v>23.929446517867142</v>
      </c>
      <c r="Y247">
        <f>IF(Pitchers[[#This Row],[IP/GS]]&lt;&gt;0,Pitchers[[#This Row],[ER/IP From Average]]*Pitchers[[#This Row],[IP/GS]],Pitchers[[#This Row],[ER/IP From Average]]*(Pitchers[[#This Row],[IP]]/Pitchers[[#This Row],[G]]))</f>
        <v>-2.9186863422384173</v>
      </c>
      <c r="Z247">
        <f t="shared" si="11"/>
        <v>5.2137112012025382</v>
      </c>
      <c r="AA247" s="32">
        <f>IF(Pitchers[[#This Row],[W]]=0,0,Pitchers[[#This Row],[W]]/(Pitchers[[#This Row],[W]]+Pitchers[[#This Row],[L]]))</f>
        <v>0.83333333333333337</v>
      </c>
      <c r="AB247" s="60"/>
    </row>
    <row r="248" spans="1:28" x14ac:dyDescent="0.25">
      <c r="A248" t="s">
        <v>701</v>
      </c>
      <c r="B248" t="s">
        <v>31</v>
      </c>
      <c r="C248">
        <v>73</v>
      </c>
      <c r="D248">
        <v>0</v>
      </c>
      <c r="E248">
        <v>0</v>
      </c>
      <c r="F248">
        <v>0</v>
      </c>
      <c r="G248">
        <v>61</v>
      </c>
      <c r="H248">
        <v>55</v>
      </c>
      <c r="I248">
        <v>24</v>
      </c>
      <c r="J248">
        <v>58</v>
      </c>
      <c r="K248">
        <v>29</v>
      </c>
      <c r="L248">
        <v>5</v>
      </c>
      <c r="M248">
        <v>4</v>
      </c>
      <c r="N248">
        <v>2</v>
      </c>
      <c r="O248">
        <v>0</v>
      </c>
      <c r="P248">
        <v>2</v>
      </c>
      <c r="Q248">
        <v>14</v>
      </c>
      <c r="R248">
        <v>3.54</v>
      </c>
      <c r="S248">
        <v>1.38</v>
      </c>
      <c r="T248">
        <f t="shared" si="9"/>
        <v>0</v>
      </c>
      <c r="U248">
        <f t="shared" si="10"/>
        <v>0.39344262295081966</v>
      </c>
      <c r="V248">
        <f>U248-AVERAGEIFS(Pitchers[ER/IP],Pitchers[GS],"&gt;"&amp;0,Pitchers[IP],"&gt;"&amp;3)</f>
        <v>-0.17805797184849981</v>
      </c>
      <c r="W248">
        <f>IF(Pitchers[[#This Row],[IP/GS]]&lt;&gt;0,(Pitchers[[#This Row],[WHIP]]*$AH$5+$AI$5)/9*Pitchers[[#This Row],[IP/GS]],(Pitchers[[#This Row],[WHIP]]*$AH$5+$AI$5)/9*(Pitchers[[#This Row],[IP]]/Pitchers[[#This Row],[G]]))</f>
        <v>0.43105578318498755</v>
      </c>
      <c r="X248">
        <f>Pitchers[[#This Row],[Runs from WHIP]]-AVERAGEIFS(Pitchers[Runs from WHIP],Pitchers[GS],"&gt;"&amp;0,Pitchers[IP],"&gt;"&amp;3)</f>
        <v>-5.2548601229398715</v>
      </c>
      <c r="Y248">
        <f>IF(Pitchers[[#This Row],[IP/GS]]&lt;&gt;0,Pitchers[[#This Row],[ER/IP From Average]]*Pitchers[[#This Row],[IP/GS]],Pitchers[[#This Row],[ER/IP From Average]]*(Pitchers[[#This Row],[IP]]/Pitchers[[#This Row],[G]]))</f>
        <v>-0.14878816825696559</v>
      </c>
      <c r="Z248">
        <f t="shared" si="11"/>
        <v>-1.4608113000867518</v>
      </c>
      <c r="AA248" s="32">
        <f>IF(Pitchers[[#This Row],[W]]=0,0,Pitchers[[#This Row],[W]]/(Pitchers[[#This Row],[W]]+Pitchers[[#This Row],[L]]))</f>
        <v>0.66666666666666663</v>
      </c>
      <c r="AB248" s="60"/>
    </row>
    <row r="249" spans="1:28" x14ac:dyDescent="0.25">
      <c r="A249" t="s">
        <v>569</v>
      </c>
      <c r="B249" t="s">
        <v>361</v>
      </c>
      <c r="C249">
        <v>62</v>
      </c>
      <c r="D249">
        <v>0</v>
      </c>
      <c r="E249">
        <v>0</v>
      </c>
      <c r="F249">
        <v>0</v>
      </c>
      <c r="G249">
        <v>61</v>
      </c>
      <c r="H249">
        <v>42</v>
      </c>
      <c r="I249">
        <v>19</v>
      </c>
      <c r="J249">
        <v>55</v>
      </c>
      <c r="K249">
        <v>23</v>
      </c>
      <c r="L249">
        <v>7</v>
      </c>
      <c r="M249">
        <v>4</v>
      </c>
      <c r="N249">
        <v>5</v>
      </c>
      <c r="O249">
        <v>30</v>
      </c>
      <c r="P249">
        <v>3</v>
      </c>
      <c r="Q249">
        <v>0</v>
      </c>
      <c r="R249">
        <v>2.8</v>
      </c>
      <c r="S249">
        <v>1.07</v>
      </c>
      <c r="T249">
        <f t="shared" si="9"/>
        <v>0</v>
      </c>
      <c r="U249">
        <f t="shared" si="10"/>
        <v>0.31147540983606559</v>
      </c>
      <c r="V249" s="60">
        <f>U249-AVERAGEIFS(Pitchers[ER/IP],Pitchers[GS],"&gt;"&amp;0,Pitchers[IP],"&gt;"&amp;3)</f>
        <v>-0.26002518496325389</v>
      </c>
      <c r="W249" s="60">
        <f>IF(Pitchers[[#This Row],[IP/GS]]&lt;&gt;0,(Pitchers[[#This Row],[WHIP]]*$AH$5+$AI$5)/9*Pitchers[[#This Row],[IP/GS]],(Pitchers[[#This Row],[WHIP]]*$AH$5+$AI$5)/9*(Pitchers[[#This Row],[IP]]/Pitchers[[#This Row],[G]]))</f>
        <v>0.34918508351674771</v>
      </c>
      <c r="X249" s="60">
        <f>Pitchers[[#This Row],[Runs from WHIP]]-AVERAGEIFS(Pitchers[Runs from WHIP],Pitchers[GS],"&gt;"&amp;0,Pitchers[IP],"&gt;"&amp;3)</f>
        <v>-5.3367308226081116</v>
      </c>
      <c r="Y249" s="60">
        <f>IF(Pitchers[[#This Row],[IP/GS]]&lt;&gt;0,Pitchers[[#This Row],[ER/IP From Average]]*Pitchers[[#This Row],[IP/GS]],Pitchers[[#This Row],[ER/IP From Average]]*(Pitchers[[#This Row],[IP]]/Pitchers[[#This Row],[G]]))</f>
        <v>-0.25583123036707239</v>
      </c>
      <c r="Z249" s="60">
        <f t="shared" si="11"/>
        <v>-1.5254607115089918</v>
      </c>
      <c r="AA249" s="32">
        <f>IF(Pitchers[[#This Row],[W]]=0,0,Pitchers[[#This Row],[W]]/(Pitchers[[#This Row],[W]]+Pitchers[[#This Row],[L]]))</f>
        <v>0.44444444444444442</v>
      </c>
      <c r="AB249" s="60"/>
    </row>
    <row r="250" spans="1:28" x14ac:dyDescent="0.25">
      <c r="A250" t="s">
        <v>556</v>
      </c>
      <c r="B250" t="s">
        <v>4</v>
      </c>
      <c r="C250">
        <v>70</v>
      </c>
      <c r="D250">
        <v>0</v>
      </c>
      <c r="E250">
        <v>0</v>
      </c>
      <c r="F250">
        <v>0</v>
      </c>
      <c r="G250">
        <v>60.2</v>
      </c>
      <c r="H250">
        <v>52</v>
      </c>
      <c r="I250">
        <v>23</v>
      </c>
      <c r="J250">
        <v>42</v>
      </c>
      <c r="K250">
        <v>17</v>
      </c>
      <c r="L250">
        <v>11</v>
      </c>
      <c r="M250">
        <v>2</v>
      </c>
      <c r="N250">
        <v>7</v>
      </c>
      <c r="O250">
        <v>1</v>
      </c>
      <c r="P250">
        <v>3</v>
      </c>
      <c r="Q250">
        <v>21</v>
      </c>
      <c r="R250">
        <v>3.41</v>
      </c>
      <c r="S250">
        <v>1.1399999999999999</v>
      </c>
      <c r="T250">
        <f t="shared" si="9"/>
        <v>0</v>
      </c>
      <c r="U250">
        <f t="shared" si="10"/>
        <v>0.38205980066445183</v>
      </c>
      <c r="V250">
        <f>U250-AVERAGEIFS(Pitchers[ER/IP],Pitchers[GS],"&gt;"&amp;0,Pitchers[IP],"&gt;"&amp;3)</f>
        <v>-0.18944079413486764</v>
      </c>
      <c r="W250">
        <f>IF(Pitchers[[#This Row],[IP/GS]]&lt;&gt;0,(Pitchers[[#This Row],[WHIP]]*$AH$5+$AI$5)/9*Pitchers[[#This Row],[IP/GS]],(Pitchers[[#This Row],[WHIP]]*$AH$5+$AI$5)/9*(Pitchers[[#This Row],[IP]]/Pitchers[[#This Row],[G]]))</f>
        <v>0.33647643688693085</v>
      </c>
      <c r="X250">
        <f>Pitchers[[#This Row],[Runs from WHIP]]-AVERAGEIFS(Pitchers[Runs from WHIP],Pitchers[GS],"&gt;"&amp;0,Pitchers[IP],"&gt;"&amp;3)</f>
        <v>-5.3494394692379288</v>
      </c>
      <c r="Y250">
        <f>IF(Pitchers[[#This Row],[IP/GS]]&lt;&gt;0,Pitchers[[#This Row],[ER/IP From Average]]*Pitchers[[#This Row],[IP/GS]],Pitchers[[#This Row],[ER/IP From Average]]*(Pitchers[[#This Row],[IP]]/Pitchers[[#This Row],[G]]))</f>
        <v>-0.16291908295598617</v>
      </c>
      <c r="Z250">
        <f t="shared" si="11"/>
        <v>-1.4916848249791752</v>
      </c>
      <c r="AA250" s="32">
        <f>IF(Pitchers[[#This Row],[W]]=0,0,Pitchers[[#This Row],[W]]/(Pitchers[[#This Row],[W]]+Pitchers[[#This Row],[L]]))</f>
        <v>0.22222222222222221</v>
      </c>
      <c r="AB250" s="60"/>
    </row>
    <row r="251" spans="1:28" x14ac:dyDescent="0.25">
      <c r="A251" t="s">
        <v>624</v>
      </c>
      <c r="B251" t="s">
        <v>16</v>
      </c>
      <c r="C251">
        <v>62</v>
      </c>
      <c r="D251">
        <v>1</v>
      </c>
      <c r="E251">
        <v>0</v>
      </c>
      <c r="F251">
        <v>0</v>
      </c>
      <c r="G251">
        <v>60.2</v>
      </c>
      <c r="H251">
        <v>56</v>
      </c>
      <c r="I251">
        <v>25</v>
      </c>
      <c r="J251">
        <v>48</v>
      </c>
      <c r="K251">
        <v>20</v>
      </c>
      <c r="L251">
        <v>10</v>
      </c>
      <c r="M251">
        <v>3</v>
      </c>
      <c r="N251">
        <v>2</v>
      </c>
      <c r="O251">
        <v>0</v>
      </c>
      <c r="P251">
        <v>3</v>
      </c>
      <c r="Q251">
        <v>19</v>
      </c>
      <c r="R251">
        <v>3.71</v>
      </c>
      <c r="S251">
        <v>1.25</v>
      </c>
      <c r="T251">
        <f t="shared" si="9"/>
        <v>60.2</v>
      </c>
      <c r="U251">
        <f t="shared" si="10"/>
        <v>0.41528239202657807</v>
      </c>
      <c r="V251">
        <f>U251-AVERAGEIFS(Pitchers[ER/IP],Pitchers[GS],"&gt;"&amp;0,Pitchers[IP],"&gt;"&amp;3)</f>
        <v>-0.1562182027727414</v>
      </c>
      <c r="W251">
        <f>IF(Pitchers[[#This Row],[IP/GS]]&lt;&gt;0,(Pitchers[[#This Row],[WHIP]]*$AH$5+$AI$5)/9*Pitchers[[#This Row],[IP/GS]],(Pitchers[[#This Row],[WHIP]]*$AH$5+$AI$5)/9*(Pitchers[[#This Row],[IP]]/Pitchers[[#This Row],[G]]))</f>
        <v>26.991326642230696</v>
      </c>
      <c r="X251">
        <f>Pitchers[[#This Row],[Runs from WHIP]]-AVERAGEIFS(Pitchers[Runs from WHIP],Pitchers[GS],"&gt;"&amp;0,Pitchers[IP],"&gt;"&amp;3)</f>
        <v>21.305410736105838</v>
      </c>
      <c r="Y251">
        <f>IF(Pitchers[[#This Row],[IP/GS]]&lt;&gt;0,Pitchers[[#This Row],[ER/IP From Average]]*Pitchers[[#This Row],[IP/GS]],Pitchers[[#This Row],[ER/IP From Average]]*(Pitchers[[#This Row],[IP]]/Pitchers[[#This Row],[G]]))</f>
        <v>-9.4043358069190326</v>
      </c>
      <c r="Z251">
        <f t="shared" si="11"/>
        <v>1.919708540193944</v>
      </c>
      <c r="AA251" s="32">
        <f>IF(Pitchers[[#This Row],[W]]=0,0,Pitchers[[#This Row],[W]]/(Pitchers[[#This Row],[W]]+Pitchers[[#This Row],[L]]))</f>
        <v>0.6</v>
      </c>
      <c r="AB251" s="60"/>
    </row>
    <row r="252" spans="1:28" x14ac:dyDescent="0.25">
      <c r="A252" t="s">
        <v>618</v>
      </c>
      <c r="B252" t="s">
        <v>5</v>
      </c>
      <c r="C252">
        <v>60</v>
      </c>
      <c r="D252">
        <v>0</v>
      </c>
      <c r="E252">
        <v>0</v>
      </c>
      <c r="F252">
        <v>0</v>
      </c>
      <c r="G252">
        <v>60.2</v>
      </c>
      <c r="H252">
        <v>76</v>
      </c>
      <c r="I252">
        <v>44</v>
      </c>
      <c r="J252">
        <v>53</v>
      </c>
      <c r="K252">
        <v>29</v>
      </c>
      <c r="L252">
        <v>10</v>
      </c>
      <c r="M252">
        <v>2</v>
      </c>
      <c r="N252">
        <v>11</v>
      </c>
      <c r="O252">
        <v>2</v>
      </c>
      <c r="P252">
        <v>2</v>
      </c>
      <c r="Q252">
        <v>6</v>
      </c>
      <c r="R252">
        <v>6.53</v>
      </c>
      <c r="S252">
        <v>1.73</v>
      </c>
      <c r="T252">
        <f t="shared" si="9"/>
        <v>0</v>
      </c>
      <c r="U252">
        <f t="shared" si="10"/>
        <v>0.73089700996677742</v>
      </c>
      <c r="V252">
        <f>U252-AVERAGEIFS(Pitchers[ER/IP],Pitchers[GS],"&gt;"&amp;0,Pitchers[IP],"&gt;"&amp;3)</f>
        <v>0.15939641516745795</v>
      </c>
      <c r="W252">
        <f>IF(Pitchers[[#This Row],[IP/GS]]&lt;&gt;0,(Pitchers[[#This Row],[WHIP]]*$AH$5+$AI$5)/9*Pitchers[[#This Row],[IP/GS]],(Pitchers[[#This Row],[WHIP]]*$AH$5+$AI$5)/9*(Pitchers[[#This Row],[IP]]/Pitchers[[#This Row],[G]]))</f>
        <v>0.6998900665932174</v>
      </c>
      <c r="X252">
        <f>Pitchers[[#This Row],[Runs from WHIP]]-AVERAGEIFS(Pitchers[Runs from WHIP],Pitchers[GS],"&gt;"&amp;0,Pitchers[IP],"&gt;"&amp;3)</f>
        <v>-4.9860258395316421</v>
      </c>
      <c r="Y252">
        <f>IF(Pitchers[[#This Row],[IP/GS]]&lt;&gt;0,Pitchers[[#This Row],[ER/IP From Average]]*Pitchers[[#This Row],[IP/GS]],Pitchers[[#This Row],[ER/IP From Average]]*(Pitchers[[#This Row],[IP]]/Pitchers[[#This Row],[G]]))</f>
        <v>0.15992773655134948</v>
      </c>
      <c r="Z252">
        <f t="shared" si="11"/>
        <v>-1.2656357959212314</v>
      </c>
      <c r="AA252" s="32">
        <f>IF(Pitchers[[#This Row],[W]]=0,0,Pitchers[[#This Row],[W]]/(Pitchers[[#This Row],[W]]+Pitchers[[#This Row],[L]]))</f>
        <v>0.15384615384615385</v>
      </c>
      <c r="AB252" s="60"/>
    </row>
    <row r="253" spans="1:28" x14ac:dyDescent="0.25">
      <c r="A253" t="s">
        <v>1191</v>
      </c>
      <c r="B253" t="s">
        <v>18</v>
      </c>
      <c r="C253">
        <v>58</v>
      </c>
      <c r="D253">
        <v>4</v>
      </c>
      <c r="E253">
        <v>0</v>
      </c>
      <c r="F253">
        <v>0</v>
      </c>
      <c r="G253">
        <v>60.2</v>
      </c>
      <c r="H253">
        <v>61</v>
      </c>
      <c r="I253">
        <v>33</v>
      </c>
      <c r="J253">
        <v>67</v>
      </c>
      <c r="K253">
        <v>40</v>
      </c>
      <c r="L253">
        <v>8</v>
      </c>
      <c r="M253">
        <v>1</v>
      </c>
      <c r="N253">
        <v>2</v>
      </c>
      <c r="O253">
        <v>5</v>
      </c>
      <c r="P253">
        <v>1</v>
      </c>
      <c r="Q253">
        <v>8</v>
      </c>
      <c r="R253">
        <v>4.9000000000000004</v>
      </c>
      <c r="S253">
        <v>1.66</v>
      </c>
      <c r="T253">
        <f t="shared" si="9"/>
        <v>15.05</v>
      </c>
      <c r="U253">
        <f t="shared" si="10"/>
        <v>0.54817275747508298</v>
      </c>
      <c r="V253">
        <f>U253-AVERAGEIFS(Pitchers[ER/IP],Pitchers[GS],"&gt;"&amp;0,Pitchers[IP],"&gt;"&amp;3)</f>
        <v>-2.3327837324236489E-2</v>
      </c>
      <c r="W253">
        <f>IF(Pitchers[[#This Row],[IP/GS]]&lt;&gt;0,(Pitchers[[#This Row],[WHIP]]*$AH$5+$AI$5)/9*Pitchers[[#This Row],[IP/GS]],(Pitchers[[#This Row],[WHIP]]*$AH$5+$AI$5)/9*(Pitchers[[#This Row],[IP]]/Pitchers[[#This Row],[G]]))</f>
        <v>9.9514002620569251</v>
      </c>
      <c r="X253">
        <f>Pitchers[[#This Row],[Runs from WHIP]]-AVERAGEIFS(Pitchers[Runs from WHIP],Pitchers[GS],"&gt;"&amp;0,Pitchers[IP],"&gt;"&amp;3)</f>
        <v>4.2654843559320659</v>
      </c>
      <c r="Y253">
        <f>IF(Pitchers[[#This Row],[IP/GS]]&lt;&gt;0,Pitchers[[#This Row],[ER/IP From Average]]*Pitchers[[#This Row],[IP/GS]],Pitchers[[#This Row],[ER/IP From Average]]*(Pitchers[[#This Row],[IP]]/Pitchers[[#This Row],[G]]))</f>
        <v>-0.35108395172975915</v>
      </c>
      <c r="Z253">
        <f t="shared" si="11"/>
        <v>0.99702891422331386</v>
      </c>
      <c r="AA253" s="32">
        <f>IF(Pitchers[[#This Row],[W]]=0,0,Pitchers[[#This Row],[W]]/(Pitchers[[#This Row],[W]]+Pitchers[[#This Row],[L]]))</f>
        <v>0.33333333333333331</v>
      </c>
      <c r="AB253" s="60"/>
    </row>
    <row r="254" spans="1:28" x14ac:dyDescent="0.25">
      <c r="A254" t="s">
        <v>352</v>
      </c>
      <c r="B254" t="s">
        <v>218</v>
      </c>
      <c r="C254">
        <v>12</v>
      </c>
      <c r="D254">
        <v>12</v>
      </c>
      <c r="E254">
        <v>0</v>
      </c>
      <c r="F254">
        <v>0</v>
      </c>
      <c r="G254">
        <v>60.2</v>
      </c>
      <c r="H254">
        <v>40</v>
      </c>
      <c r="I254">
        <v>12</v>
      </c>
      <c r="J254">
        <v>76</v>
      </c>
      <c r="K254">
        <v>14</v>
      </c>
      <c r="L254">
        <v>4</v>
      </c>
      <c r="M254">
        <v>6</v>
      </c>
      <c r="N254">
        <v>1</v>
      </c>
      <c r="O254">
        <v>0</v>
      </c>
      <c r="P254">
        <v>0</v>
      </c>
      <c r="Q254">
        <v>0</v>
      </c>
      <c r="R254">
        <v>1.78</v>
      </c>
      <c r="S254">
        <v>0.89</v>
      </c>
      <c r="T254">
        <f t="shared" si="9"/>
        <v>5.0166666666666666</v>
      </c>
      <c r="U254">
        <f t="shared" si="10"/>
        <v>0.19933554817275748</v>
      </c>
      <c r="V254">
        <f>U254-AVERAGEIFS(Pitchers[ER/IP],Pitchers[GS],"&gt;"&amp;0,Pitchers[IP],"&gt;"&amp;3)</f>
        <v>-0.37216504662656202</v>
      </c>
      <c r="W254">
        <f>IF(Pitchers[[#This Row],[IP/GS]]&lt;&gt;0,(Pitchers[[#This Row],[WHIP]]*$AH$5+$AI$5)/9*Pitchers[[#This Row],[IP/GS]],(Pitchers[[#This Row],[WHIP]]*$AH$5+$AI$5)/9*(Pitchers[[#This Row],[IP]]/Pitchers[[#This Row],[G]]))</f>
        <v>1.3116473856007442</v>
      </c>
      <c r="X254">
        <f>Pitchers[[#This Row],[Runs from WHIP]]-AVERAGEIFS(Pitchers[Runs from WHIP],Pitchers[GS],"&gt;"&amp;0,Pitchers[IP],"&gt;"&amp;3)</f>
        <v>-4.3742685205241152</v>
      </c>
      <c r="Y254">
        <f>IF(Pitchers[[#This Row],[IP/GS]]&lt;&gt;0,Pitchers[[#This Row],[ER/IP From Average]]*Pitchers[[#This Row],[IP/GS]],Pitchers[[#This Row],[ER/IP From Average]]*(Pitchers[[#This Row],[IP]]/Pitchers[[#This Row],[G]]))</f>
        <v>-1.8670279839099195</v>
      </c>
      <c r="Z254">
        <f t="shared" si="11"/>
        <v>-1.9132827990370649</v>
      </c>
      <c r="AA254" s="32">
        <f>IF(Pitchers[[#This Row],[W]]=0,0,Pitchers[[#This Row],[W]]/(Pitchers[[#This Row],[W]]+Pitchers[[#This Row],[L]]))</f>
        <v>0.8571428571428571</v>
      </c>
      <c r="AB254" s="60"/>
    </row>
    <row r="255" spans="1:28" x14ac:dyDescent="0.25">
      <c r="A255" t="s">
        <v>488</v>
      </c>
      <c r="B255" t="s">
        <v>370</v>
      </c>
      <c r="C255">
        <v>60</v>
      </c>
      <c r="D255">
        <v>0</v>
      </c>
      <c r="E255">
        <v>0</v>
      </c>
      <c r="F255">
        <v>0</v>
      </c>
      <c r="G255">
        <v>60.2</v>
      </c>
      <c r="H255">
        <v>41</v>
      </c>
      <c r="I255">
        <v>8</v>
      </c>
      <c r="J255">
        <v>101</v>
      </c>
      <c r="K255">
        <v>13</v>
      </c>
      <c r="L255">
        <v>2</v>
      </c>
      <c r="M255">
        <v>0</v>
      </c>
      <c r="N255">
        <v>5</v>
      </c>
      <c r="O255">
        <v>41</v>
      </c>
      <c r="P255">
        <v>3</v>
      </c>
      <c r="Q255">
        <v>0</v>
      </c>
      <c r="R255">
        <v>1.19</v>
      </c>
      <c r="S255">
        <v>0.89</v>
      </c>
      <c r="T255">
        <f t="shared" si="9"/>
        <v>0</v>
      </c>
      <c r="U255">
        <f t="shared" si="10"/>
        <v>0.13289036544850497</v>
      </c>
      <c r="V255">
        <f>U255-AVERAGEIFS(Pitchers[ER/IP],Pitchers[GS],"&gt;"&amp;0,Pitchers[IP],"&gt;"&amp;3)</f>
        <v>-0.43861022935081451</v>
      </c>
      <c r="W255">
        <f>IF(Pitchers[[#This Row],[IP/GS]]&lt;&gt;0,(Pitchers[[#This Row],[WHIP]]*$AH$5+$AI$5)/9*Pitchers[[#This Row],[IP/GS]],(Pitchers[[#This Row],[WHIP]]*$AH$5+$AI$5)/9*(Pitchers[[#This Row],[IP]]/Pitchers[[#This Row],[G]]))</f>
        <v>0.26232947712014887</v>
      </c>
      <c r="X255">
        <f>Pitchers[[#This Row],[Runs from WHIP]]-AVERAGEIFS(Pitchers[Runs from WHIP],Pitchers[GS],"&gt;"&amp;0,Pitchers[IP],"&gt;"&amp;3)</f>
        <v>-5.4235864290047102</v>
      </c>
      <c r="Y255">
        <f>IF(Pitchers[[#This Row],[IP/GS]]&lt;&gt;0,Pitchers[[#This Row],[ER/IP From Average]]*Pitchers[[#This Row],[IP/GS]],Pitchers[[#This Row],[ER/IP From Average]]*(Pitchers[[#This Row],[IP]]/Pitchers[[#This Row],[G]]))</f>
        <v>-0.44007226344865058</v>
      </c>
      <c r="Z255">
        <f t="shared" si="11"/>
        <v>-1.6223186197807162</v>
      </c>
      <c r="AA255" s="32">
        <f>IF(Pitchers[[#This Row],[W]]=0,0,Pitchers[[#This Row],[W]]/(Pitchers[[#This Row],[W]]+Pitchers[[#This Row],[L]]))</f>
        <v>0</v>
      </c>
      <c r="AB255" s="60"/>
    </row>
    <row r="256" spans="1:28" x14ac:dyDescent="0.25">
      <c r="A256" t="s">
        <v>720</v>
      </c>
      <c r="B256" t="s">
        <v>332</v>
      </c>
      <c r="C256">
        <v>56</v>
      </c>
      <c r="D256">
        <v>0</v>
      </c>
      <c r="E256">
        <v>0</v>
      </c>
      <c r="F256">
        <v>0</v>
      </c>
      <c r="G256">
        <v>60.1</v>
      </c>
      <c r="H256">
        <v>68</v>
      </c>
      <c r="I256">
        <v>30</v>
      </c>
      <c r="J256">
        <v>38</v>
      </c>
      <c r="K256">
        <v>21</v>
      </c>
      <c r="L256">
        <v>4</v>
      </c>
      <c r="M256">
        <v>4</v>
      </c>
      <c r="N256">
        <v>2</v>
      </c>
      <c r="O256">
        <v>1</v>
      </c>
      <c r="P256">
        <v>4</v>
      </c>
      <c r="Q256">
        <v>6</v>
      </c>
      <c r="R256">
        <v>4.4800000000000004</v>
      </c>
      <c r="S256">
        <v>1.48</v>
      </c>
      <c r="T256">
        <f t="shared" si="9"/>
        <v>0</v>
      </c>
      <c r="U256">
        <f t="shared" si="10"/>
        <v>0.49916805324459235</v>
      </c>
      <c r="V256">
        <f>U256-AVERAGEIFS(Pitchers[ER/IP],Pitchers[GS],"&gt;"&amp;0,Pitchers[IP],"&gt;"&amp;3)</f>
        <v>-7.2332541554727126E-2</v>
      </c>
      <c r="W256">
        <f>IF(Pitchers[[#This Row],[IP/GS]]&lt;&gt;0,(Pitchers[[#This Row],[WHIP]]*$AH$5+$AI$5)/9*Pitchers[[#This Row],[IP/GS]],(Pitchers[[#This Row],[WHIP]]*$AH$5+$AI$5)/9*(Pitchers[[#This Row],[IP]]/Pitchers[[#This Row],[G]]))</f>
        <v>0.60934008799450678</v>
      </c>
      <c r="X256">
        <f>Pitchers[[#This Row],[Runs from WHIP]]-AVERAGEIFS(Pitchers[Runs from WHIP],Pitchers[GS],"&gt;"&amp;0,Pitchers[IP],"&gt;"&amp;3)</f>
        <v>-5.0765758181303529</v>
      </c>
      <c r="Y256">
        <f>IF(Pitchers[[#This Row],[IP/GS]]&lt;&gt;0,Pitchers[[#This Row],[ER/IP From Average]]*Pitchers[[#This Row],[IP/GS]],Pitchers[[#This Row],[ER/IP From Average]]*(Pitchers[[#This Row],[IP]]/Pitchers[[#This Row],[G]]))</f>
        <v>-7.762831691855536E-2</v>
      </c>
      <c r="Z256">
        <f t="shared" si="11"/>
        <v>-1.3848048782688498</v>
      </c>
      <c r="AA256" s="32">
        <f>IF(Pitchers[[#This Row],[W]]=0,0,Pitchers[[#This Row],[W]]/(Pitchers[[#This Row],[W]]+Pitchers[[#This Row],[L]]))</f>
        <v>0.66666666666666663</v>
      </c>
      <c r="AB256" s="60"/>
    </row>
    <row r="257" spans="1:28" x14ac:dyDescent="0.25">
      <c r="A257" t="s">
        <v>658</v>
      </c>
      <c r="B257" t="s">
        <v>16</v>
      </c>
      <c r="C257">
        <v>68</v>
      </c>
      <c r="D257">
        <v>0</v>
      </c>
      <c r="E257">
        <v>0</v>
      </c>
      <c r="F257">
        <v>0</v>
      </c>
      <c r="G257">
        <v>60</v>
      </c>
      <c r="H257">
        <v>42</v>
      </c>
      <c r="I257">
        <v>10</v>
      </c>
      <c r="J257">
        <v>62</v>
      </c>
      <c r="K257">
        <v>14</v>
      </c>
      <c r="L257">
        <v>6</v>
      </c>
      <c r="M257">
        <v>4</v>
      </c>
      <c r="N257">
        <v>1</v>
      </c>
      <c r="O257">
        <v>4</v>
      </c>
      <c r="P257">
        <v>1</v>
      </c>
      <c r="Q257">
        <v>26</v>
      </c>
      <c r="R257">
        <v>1.5</v>
      </c>
      <c r="S257">
        <v>0.93</v>
      </c>
      <c r="T257">
        <f t="shared" si="9"/>
        <v>0</v>
      </c>
      <c r="U257">
        <f t="shared" si="10"/>
        <v>0.16666666666666666</v>
      </c>
      <c r="V257">
        <f>U257-AVERAGEIFS(Pitchers[ER/IP],Pitchers[GS],"&gt;"&amp;0,Pitchers[IP],"&gt;"&amp;3)</f>
        <v>-0.40483392813265284</v>
      </c>
      <c r="W257">
        <f>IF(Pitchers[[#This Row],[IP/GS]]&lt;&gt;0,(Pitchers[[#This Row],[WHIP]]*$AH$5+$AI$5)/9*Pitchers[[#This Row],[IP/GS]],(Pitchers[[#This Row],[WHIP]]*$AH$5+$AI$5)/9*(Pitchers[[#This Row],[IP]]/Pitchers[[#This Row],[G]]))</f>
        <v>0.24902201104146665</v>
      </c>
      <c r="X257">
        <f>Pitchers[[#This Row],[Runs from WHIP]]-AVERAGEIFS(Pitchers[Runs from WHIP],Pitchers[GS],"&gt;"&amp;0,Pitchers[IP],"&gt;"&amp;3)</f>
        <v>-5.4368938950833927</v>
      </c>
      <c r="Y257">
        <f>IF(Pitchers[[#This Row],[IP/GS]]&lt;&gt;0,Pitchers[[#This Row],[ER/IP From Average]]*Pitchers[[#This Row],[IP/GS]],Pitchers[[#This Row],[ER/IP From Average]]*(Pitchers[[#This Row],[IP]]/Pitchers[[#This Row],[G]]))</f>
        <v>-0.35720640717587016</v>
      </c>
      <c r="Z257">
        <f t="shared" si="11"/>
        <v>-1.5927209348925857</v>
      </c>
      <c r="AA257" s="32">
        <f>IF(Pitchers[[#This Row],[W]]=0,0,Pitchers[[#This Row],[W]]/(Pitchers[[#This Row],[W]]+Pitchers[[#This Row],[L]]))</f>
        <v>0.8</v>
      </c>
      <c r="AB257" s="60"/>
    </row>
    <row r="258" spans="1:28" x14ac:dyDescent="0.25">
      <c r="A258" t="s">
        <v>517</v>
      </c>
      <c r="B258" t="s">
        <v>27</v>
      </c>
      <c r="C258">
        <v>66</v>
      </c>
      <c r="D258">
        <v>0</v>
      </c>
      <c r="E258">
        <v>0</v>
      </c>
      <c r="F258">
        <v>0</v>
      </c>
      <c r="G258">
        <v>60</v>
      </c>
      <c r="H258">
        <v>62</v>
      </c>
      <c r="I258">
        <v>38</v>
      </c>
      <c r="J258">
        <v>63</v>
      </c>
      <c r="K258">
        <v>42</v>
      </c>
      <c r="L258">
        <v>7</v>
      </c>
      <c r="M258">
        <v>4</v>
      </c>
      <c r="N258">
        <v>2</v>
      </c>
      <c r="O258">
        <v>0</v>
      </c>
      <c r="P258">
        <v>4</v>
      </c>
      <c r="Q258">
        <v>14</v>
      </c>
      <c r="R258">
        <v>5.7</v>
      </c>
      <c r="S258">
        <v>1.73</v>
      </c>
      <c r="T258">
        <f t="shared" si="9"/>
        <v>0</v>
      </c>
      <c r="U258">
        <f t="shared" si="10"/>
        <v>0.6333333333333333</v>
      </c>
      <c r="V258">
        <f>U258-AVERAGEIFS(Pitchers[ER/IP],Pitchers[GS],"&gt;"&amp;0,Pitchers[IP],"&gt;"&amp;3)</f>
        <v>6.1832738534013831E-2</v>
      </c>
      <c r="W258">
        <f>IF(Pitchers[[#This Row],[IP/GS]]&lt;&gt;0,(Pitchers[[#This Row],[WHIP]]*$AH$5+$AI$5)/9*Pitchers[[#This Row],[IP/GS]],(Pitchers[[#This Row],[WHIP]]*$AH$5+$AI$5)/9*(Pitchers[[#This Row],[IP]]/Pitchers[[#This Row],[G]]))</f>
        <v>0.63414986402284867</v>
      </c>
      <c r="X258">
        <f>Pitchers[[#This Row],[Runs from WHIP]]-AVERAGEIFS(Pitchers[Runs from WHIP],Pitchers[GS],"&gt;"&amp;0,Pitchers[IP],"&gt;"&amp;3)</f>
        <v>-5.0517660421020105</v>
      </c>
      <c r="Y258">
        <f>IF(Pitchers[[#This Row],[IP/GS]]&lt;&gt;0,Pitchers[[#This Row],[ER/IP From Average]]*Pitchers[[#This Row],[IP/GS]],Pitchers[[#This Row],[ER/IP From Average]]*(Pitchers[[#This Row],[IP]]/Pitchers[[#This Row],[G]]))</f>
        <v>5.6211580485467115E-2</v>
      </c>
      <c r="Z258">
        <f t="shared" si="11"/>
        <v>-1.3246529790330159</v>
      </c>
      <c r="AA258" s="32">
        <f>IF(Pitchers[[#This Row],[W]]=0,0,Pitchers[[#This Row],[W]]/(Pitchers[[#This Row],[W]]+Pitchers[[#This Row],[L]]))</f>
        <v>0.66666666666666663</v>
      </c>
      <c r="AB258" s="60"/>
    </row>
    <row r="259" spans="1:28" x14ac:dyDescent="0.25">
      <c r="A259" t="s">
        <v>474</v>
      </c>
      <c r="B259" t="s">
        <v>17</v>
      </c>
      <c r="C259">
        <v>61</v>
      </c>
      <c r="D259">
        <v>0</v>
      </c>
      <c r="E259">
        <v>0</v>
      </c>
      <c r="F259">
        <v>0</v>
      </c>
      <c r="G259">
        <v>60</v>
      </c>
      <c r="H259">
        <v>61</v>
      </c>
      <c r="I259">
        <v>35</v>
      </c>
      <c r="J259">
        <v>57</v>
      </c>
      <c r="K259">
        <v>31</v>
      </c>
      <c r="L259">
        <v>7</v>
      </c>
      <c r="M259">
        <v>4</v>
      </c>
      <c r="N259">
        <v>6</v>
      </c>
      <c r="O259">
        <v>0</v>
      </c>
      <c r="P259">
        <v>5</v>
      </c>
      <c r="Q259">
        <v>18</v>
      </c>
      <c r="R259">
        <v>5.25</v>
      </c>
      <c r="S259">
        <v>1.53</v>
      </c>
      <c r="T259">
        <f t="shared" si="9"/>
        <v>0</v>
      </c>
      <c r="U259">
        <f t="shared" si="10"/>
        <v>0.58333333333333337</v>
      </c>
      <c r="V259">
        <f>U259-AVERAGEIFS(Pitchers[ER/IP],Pitchers[GS],"&gt;"&amp;0,Pitchers[IP],"&gt;"&amp;3)</f>
        <v>1.1832738534013898E-2</v>
      </c>
      <c r="W259">
        <f>IF(Pitchers[[#This Row],[IP/GS]]&lt;&gt;0,(Pitchers[[#This Row],[WHIP]]*$AH$5+$AI$5)/9*Pitchers[[#This Row],[IP/GS]],(Pitchers[[#This Row],[WHIP]]*$AH$5+$AI$5)/9*(Pitchers[[#This Row],[IP]]/Pitchers[[#This Row],[G]]))</f>
        <v>0.58399659765304834</v>
      </c>
      <c r="X259">
        <f>Pitchers[[#This Row],[Runs from WHIP]]-AVERAGEIFS(Pitchers[Runs from WHIP],Pitchers[GS],"&gt;"&amp;0,Pitchers[IP],"&gt;"&amp;3)</f>
        <v>-5.1019193084718104</v>
      </c>
      <c r="Y259">
        <f>IF(Pitchers[[#This Row],[IP/GS]]&lt;&gt;0,Pitchers[[#This Row],[ER/IP From Average]]*Pitchers[[#This Row],[IP/GS]],Pitchers[[#This Row],[ER/IP From Average]]*(Pitchers[[#This Row],[IP]]/Pitchers[[#This Row],[G]]))</f>
        <v>1.1638759213784163E-2</v>
      </c>
      <c r="Z259">
        <f t="shared" si="11"/>
        <v>-1.3558563119069689</v>
      </c>
      <c r="AA259" s="32">
        <f>IF(Pitchers[[#This Row],[W]]=0,0,Pitchers[[#This Row],[W]]/(Pitchers[[#This Row],[W]]+Pitchers[[#This Row],[L]]))</f>
        <v>0.4</v>
      </c>
      <c r="AB259" s="60"/>
    </row>
    <row r="260" spans="1:28" x14ac:dyDescent="0.25">
      <c r="A260" t="s">
        <v>349</v>
      </c>
      <c r="B260" t="s">
        <v>4</v>
      </c>
      <c r="C260">
        <v>10</v>
      </c>
      <c r="D260">
        <v>10</v>
      </c>
      <c r="E260">
        <v>0</v>
      </c>
      <c r="F260">
        <v>0</v>
      </c>
      <c r="G260">
        <v>60</v>
      </c>
      <c r="H260">
        <v>74</v>
      </c>
      <c r="I260">
        <v>29</v>
      </c>
      <c r="J260">
        <v>27</v>
      </c>
      <c r="K260">
        <v>8</v>
      </c>
      <c r="L260">
        <v>15</v>
      </c>
      <c r="M260">
        <v>3</v>
      </c>
      <c r="N260">
        <v>3</v>
      </c>
      <c r="O260">
        <v>0</v>
      </c>
      <c r="P260">
        <v>0</v>
      </c>
      <c r="Q260">
        <v>0</v>
      </c>
      <c r="R260">
        <v>4.3499999999999996</v>
      </c>
      <c r="S260">
        <v>1.37</v>
      </c>
      <c r="T260">
        <f t="shared" si="9"/>
        <v>6</v>
      </c>
      <c r="U260">
        <f t="shared" si="10"/>
        <v>0.48333333333333334</v>
      </c>
      <c r="V260">
        <f>U260-AVERAGEIFS(Pitchers[ER/IP],Pitchers[GS],"&gt;"&amp;0,Pitchers[IP],"&gt;"&amp;3)</f>
        <v>-8.8167261465986135E-2</v>
      </c>
      <c r="W260">
        <f>IF(Pitchers[[#This Row],[IP/GS]]&lt;&gt;0,(Pitchers[[#This Row],[WHIP]]*$AH$5+$AI$5)/9*Pitchers[[#This Row],[IP/GS]],(Pitchers[[#This Row],[WHIP]]*$AH$5+$AI$5)/9*(Pitchers[[#This Row],[IP]]/Pitchers[[#This Row],[G]]))</f>
        <v>3.0639713601898295</v>
      </c>
      <c r="X260">
        <f>Pitchers[[#This Row],[Runs from WHIP]]-AVERAGEIFS(Pitchers[Runs from WHIP],Pitchers[GS],"&gt;"&amp;0,Pitchers[IP],"&gt;"&amp;3)</f>
        <v>-2.6219445459350297</v>
      </c>
      <c r="Y260">
        <f>IF(Pitchers[[#This Row],[IP/GS]]&lt;&gt;0,Pitchers[[#This Row],[ER/IP From Average]]*Pitchers[[#This Row],[IP/GS]],Pitchers[[#This Row],[ER/IP From Average]]*(Pitchers[[#This Row],[IP]]/Pitchers[[#This Row],[G]]))</f>
        <v>-0.52900356879591681</v>
      </c>
      <c r="Z260">
        <f t="shared" si="11"/>
        <v>-0.91078663976770791</v>
      </c>
      <c r="AA260" s="32">
        <f>IF(Pitchers[[#This Row],[W]]=0,0,Pitchers[[#This Row],[W]]/(Pitchers[[#This Row],[W]]+Pitchers[[#This Row],[L]]))</f>
        <v>0.5</v>
      </c>
      <c r="AB260" s="60"/>
    </row>
    <row r="261" spans="1:28" x14ac:dyDescent="0.25">
      <c r="A261" t="s">
        <v>518</v>
      </c>
      <c r="B261" t="s">
        <v>14</v>
      </c>
      <c r="C261">
        <v>56</v>
      </c>
      <c r="D261">
        <v>0</v>
      </c>
      <c r="E261">
        <v>0</v>
      </c>
      <c r="F261">
        <v>0</v>
      </c>
      <c r="G261">
        <v>60</v>
      </c>
      <c r="H261">
        <v>43</v>
      </c>
      <c r="I261">
        <v>11</v>
      </c>
      <c r="J261">
        <v>90</v>
      </c>
      <c r="K261">
        <v>13</v>
      </c>
      <c r="L261">
        <v>5</v>
      </c>
      <c r="M261">
        <v>5</v>
      </c>
      <c r="N261">
        <v>1</v>
      </c>
      <c r="O261">
        <v>28</v>
      </c>
      <c r="P261">
        <v>3</v>
      </c>
      <c r="Q261">
        <v>0</v>
      </c>
      <c r="R261">
        <v>1.65</v>
      </c>
      <c r="S261">
        <v>0.93</v>
      </c>
      <c r="T261">
        <f t="shared" ref="T261:T324" si="12">IF(D261=0,0,G261/D261)</f>
        <v>0</v>
      </c>
      <c r="U261">
        <f t="shared" ref="U261:U324" si="13">IF(G261=0,0,I261/G261)</f>
        <v>0.18333333333333332</v>
      </c>
      <c r="V261" s="60">
        <f>U261-AVERAGEIFS(Pitchers[ER/IP],Pitchers[GS],"&gt;"&amp;0,Pitchers[IP],"&gt;"&amp;3)</f>
        <v>-0.38816726146598612</v>
      </c>
      <c r="W261" s="60">
        <f>IF(Pitchers[[#This Row],[IP/GS]]&lt;&gt;0,(Pitchers[[#This Row],[WHIP]]*$AH$5+$AI$5)/9*Pitchers[[#This Row],[IP/GS]],(Pitchers[[#This Row],[WHIP]]*$AH$5+$AI$5)/9*(Pitchers[[#This Row],[IP]]/Pitchers[[#This Row],[G]]))</f>
        <v>0.30238387055035237</v>
      </c>
      <c r="X261" s="60">
        <f>Pitchers[[#This Row],[Runs from WHIP]]-AVERAGEIFS(Pitchers[Runs from WHIP],Pitchers[GS],"&gt;"&amp;0,Pitchers[IP],"&gt;"&amp;3)</f>
        <v>-5.3835320355745067</v>
      </c>
      <c r="Y261" s="60">
        <f>IF(Pitchers[[#This Row],[IP/GS]]&lt;&gt;0,Pitchers[[#This Row],[ER/IP From Average]]*Pitchers[[#This Row],[IP/GS]],Pitchers[[#This Row],[ER/IP From Average]]*(Pitchers[[#This Row],[IP]]/Pitchers[[#This Row],[G]]))</f>
        <v>-0.41589349442784224</v>
      </c>
      <c r="Z261" s="60">
        <f t="shared" ref="Z261:Z324" si="14">AVERAGE(X261,X261,Y261,Y261,Y261)/1.5</f>
        <v>-1.6019659405910049</v>
      </c>
      <c r="AA261" s="32">
        <f>IF(Pitchers[[#This Row],[W]]=0,0,Pitchers[[#This Row],[W]]/(Pitchers[[#This Row],[W]]+Pitchers[[#This Row],[L]]))</f>
        <v>0.83333333333333337</v>
      </c>
      <c r="AB261" s="60"/>
    </row>
    <row r="262" spans="1:28" x14ac:dyDescent="0.25">
      <c r="A262" t="s">
        <v>535</v>
      </c>
      <c r="B262" t="s">
        <v>340</v>
      </c>
      <c r="C262">
        <v>63</v>
      </c>
      <c r="D262">
        <v>0</v>
      </c>
      <c r="E262">
        <v>0</v>
      </c>
      <c r="F262">
        <v>0</v>
      </c>
      <c r="G262">
        <v>60</v>
      </c>
      <c r="H262">
        <v>63</v>
      </c>
      <c r="I262">
        <v>27</v>
      </c>
      <c r="J262">
        <v>66</v>
      </c>
      <c r="K262">
        <v>15</v>
      </c>
      <c r="L262">
        <v>11</v>
      </c>
      <c r="M262">
        <v>6</v>
      </c>
      <c r="N262">
        <v>5</v>
      </c>
      <c r="O262">
        <v>29</v>
      </c>
      <c r="P262">
        <v>6</v>
      </c>
      <c r="Q262">
        <v>2</v>
      </c>
      <c r="R262">
        <v>4.05</v>
      </c>
      <c r="S262">
        <v>1.3</v>
      </c>
      <c r="T262">
        <f t="shared" si="12"/>
        <v>0</v>
      </c>
      <c r="U262">
        <f t="shared" si="13"/>
        <v>0.45</v>
      </c>
      <c r="V262" s="60">
        <f>U262-AVERAGEIFS(Pitchers[ER/IP],Pitchers[GS],"&gt;"&amp;0,Pitchers[IP],"&gt;"&amp;3)</f>
        <v>-0.12150059479931946</v>
      </c>
      <c r="W262" s="60">
        <f>IF(Pitchers[[#This Row],[IP/GS]]&lt;&gt;0,(Pitchers[[#This Row],[WHIP]]*$AH$5+$AI$5)/9*Pitchers[[#This Row],[IP/GS]],(Pitchers[[#This Row],[WHIP]]*$AH$5+$AI$5)/9*(Pitchers[[#This Row],[IP]]/Pitchers[[#This Row],[G]]))</f>
        <v>0.45173300163274704</v>
      </c>
      <c r="X262" s="60">
        <f>Pitchers[[#This Row],[Runs from WHIP]]-AVERAGEIFS(Pitchers[Runs from WHIP],Pitchers[GS],"&gt;"&amp;0,Pitchers[IP],"&gt;"&amp;3)</f>
        <v>-5.234182904492112</v>
      </c>
      <c r="Y262" s="60">
        <f>IF(Pitchers[[#This Row],[IP/GS]]&lt;&gt;0,Pitchers[[#This Row],[ER/IP From Average]]*Pitchers[[#This Row],[IP/GS]],Pitchers[[#This Row],[ER/IP From Average]]*(Pitchers[[#This Row],[IP]]/Pitchers[[#This Row],[G]]))</f>
        <v>-0.11571485218982805</v>
      </c>
      <c r="Z262" s="60">
        <f t="shared" si="14"/>
        <v>-1.4420680487404944</v>
      </c>
      <c r="AA262" s="32">
        <f>IF(Pitchers[[#This Row],[W]]=0,0,Pitchers[[#This Row],[W]]/(Pitchers[[#This Row],[W]]+Pitchers[[#This Row],[L]]))</f>
        <v>0.54545454545454541</v>
      </c>
      <c r="AB262" s="60"/>
    </row>
    <row r="263" spans="1:28" x14ac:dyDescent="0.25">
      <c r="A263" t="s">
        <v>409</v>
      </c>
      <c r="B263" t="s">
        <v>8</v>
      </c>
      <c r="C263">
        <v>14</v>
      </c>
      <c r="D263">
        <v>12</v>
      </c>
      <c r="E263">
        <v>0</v>
      </c>
      <c r="F263">
        <v>0</v>
      </c>
      <c r="G263">
        <v>59.2</v>
      </c>
      <c r="H263">
        <v>69</v>
      </c>
      <c r="I263">
        <v>41</v>
      </c>
      <c r="J263">
        <v>39</v>
      </c>
      <c r="K263">
        <v>20</v>
      </c>
      <c r="L263">
        <v>9</v>
      </c>
      <c r="M263">
        <v>4</v>
      </c>
      <c r="N263">
        <v>5</v>
      </c>
      <c r="O263">
        <v>0</v>
      </c>
      <c r="P263">
        <v>0</v>
      </c>
      <c r="Q263">
        <v>0</v>
      </c>
      <c r="R263">
        <v>6.18</v>
      </c>
      <c r="S263">
        <v>1.49</v>
      </c>
      <c r="T263">
        <f t="shared" si="12"/>
        <v>4.9333333333333336</v>
      </c>
      <c r="U263">
        <f t="shared" si="13"/>
        <v>0.69256756756756754</v>
      </c>
      <c r="V263">
        <f>U263-AVERAGEIFS(Pitchers[ER/IP],Pitchers[GS],"&gt;"&amp;0,Pitchers[IP],"&gt;"&amp;3)</f>
        <v>0.12106697276824807</v>
      </c>
      <c r="W263">
        <f>IF(Pitchers[[#This Row],[IP/GS]]&lt;&gt;0,(Pitchers[[#This Row],[WHIP]]*$AH$5+$AI$5)/9*Pitchers[[#This Row],[IP/GS]],(Pitchers[[#This Row],[WHIP]]*$AH$5+$AI$5)/9*(Pitchers[[#This Row],[IP]]/Pitchers[[#This Row],[G]]))</f>
        <v>2.8266168699883489</v>
      </c>
      <c r="X263">
        <f>Pitchers[[#This Row],[Runs from WHIP]]-AVERAGEIFS(Pitchers[Runs from WHIP],Pitchers[GS],"&gt;"&amp;0,Pitchers[IP],"&gt;"&amp;3)</f>
        <v>-2.8592990361365103</v>
      </c>
      <c r="Y263">
        <f>IF(Pitchers[[#This Row],[IP/GS]]&lt;&gt;0,Pitchers[[#This Row],[ER/IP From Average]]*Pitchers[[#This Row],[IP/GS]],Pitchers[[#This Row],[ER/IP From Average]]*(Pitchers[[#This Row],[IP]]/Pitchers[[#This Row],[G]]))</f>
        <v>0.59726373232335717</v>
      </c>
      <c r="Z263">
        <f t="shared" si="14"/>
        <v>-0.52357425004039315</v>
      </c>
      <c r="AA263" s="32">
        <f>IF(Pitchers[[#This Row],[W]]=0,0,Pitchers[[#This Row],[W]]/(Pitchers[[#This Row],[W]]+Pitchers[[#This Row],[L]]))</f>
        <v>0.44444444444444442</v>
      </c>
      <c r="AB263" s="60"/>
    </row>
    <row r="264" spans="1:28" x14ac:dyDescent="0.25">
      <c r="A264" t="s">
        <v>1233</v>
      </c>
      <c r="B264" t="s">
        <v>17</v>
      </c>
      <c r="C264">
        <v>13</v>
      </c>
      <c r="D264">
        <v>9</v>
      </c>
      <c r="E264">
        <v>0</v>
      </c>
      <c r="F264">
        <v>0</v>
      </c>
      <c r="G264">
        <v>59.2</v>
      </c>
      <c r="H264">
        <v>59</v>
      </c>
      <c r="I264">
        <v>32</v>
      </c>
      <c r="J264">
        <v>42</v>
      </c>
      <c r="K264">
        <v>27</v>
      </c>
      <c r="L264">
        <v>7</v>
      </c>
      <c r="M264">
        <v>5</v>
      </c>
      <c r="N264">
        <v>2</v>
      </c>
      <c r="O264">
        <v>1</v>
      </c>
      <c r="P264">
        <v>0</v>
      </c>
      <c r="Q264">
        <v>0</v>
      </c>
      <c r="R264">
        <v>4.83</v>
      </c>
      <c r="S264">
        <v>1.44</v>
      </c>
      <c r="T264">
        <f t="shared" si="12"/>
        <v>6.5777777777777784</v>
      </c>
      <c r="U264">
        <f t="shared" si="13"/>
        <v>0.54054054054054046</v>
      </c>
      <c r="V264">
        <f>U264-AVERAGEIFS(Pitchers[ER/IP],Pitchers[GS],"&gt;"&amp;0,Pitchers[IP],"&gt;"&amp;3)</f>
        <v>-3.0960054258779013E-2</v>
      </c>
      <c r="W264">
        <f>IF(Pitchers[[#This Row],[IP/GS]]&lt;&gt;0,(Pitchers[[#This Row],[WHIP]]*$AH$5+$AI$5)/9*Pitchers[[#This Row],[IP/GS]],(Pitchers[[#This Row],[WHIP]]*$AH$5+$AI$5)/9*(Pitchers[[#This Row],[IP]]/Pitchers[[#This Row],[G]]))</f>
        <v>3.5980716436578968</v>
      </c>
      <c r="X264">
        <f>Pitchers[[#This Row],[Runs from WHIP]]-AVERAGEIFS(Pitchers[Runs from WHIP],Pitchers[GS],"&gt;"&amp;0,Pitchers[IP],"&gt;"&amp;3)</f>
        <v>-2.0878442624669624</v>
      </c>
      <c r="Y264">
        <f>IF(Pitchers[[#This Row],[IP/GS]]&lt;&gt;0,Pitchers[[#This Row],[ER/IP From Average]]*Pitchers[[#This Row],[IP/GS]],Pitchers[[#This Row],[ER/IP From Average]]*(Pitchers[[#This Row],[IP]]/Pitchers[[#This Row],[G]]))</f>
        <v>-0.20364835690219085</v>
      </c>
      <c r="Z264">
        <f t="shared" si="14"/>
        <v>-0.63821781275206624</v>
      </c>
      <c r="AA264" s="32">
        <f>IF(Pitchers[[#This Row],[W]]=0,0,Pitchers[[#This Row],[W]]/(Pitchers[[#This Row],[W]]+Pitchers[[#This Row],[L]]))</f>
        <v>0.7142857142857143</v>
      </c>
      <c r="AB264" s="60"/>
    </row>
    <row r="265" spans="1:28" x14ac:dyDescent="0.25">
      <c r="A265" t="s">
        <v>391</v>
      </c>
      <c r="B265" t="s">
        <v>7</v>
      </c>
      <c r="C265">
        <v>12</v>
      </c>
      <c r="D265">
        <v>12</v>
      </c>
      <c r="E265">
        <v>0</v>
      </c>
      <c r="F265">
        <v>0</v>
      </c>
      <c r="G265">
        <v>59.2</v>
      </c>
      <c r="H265">
        <v>63</v>
      </c>
      <c r="I265">
        <v>47</v>
      </c>
      <c r="J265">
        <v>39</v>
      </c>
      <c r="K265">
        <v>29</v>
      </c>
      <c r="L265">
        <v>13</v>
      </c>
      <c r="M265">
        <v>3</v>
      </c>
      <c r="N265">
        <v>5</v>
      </c>
      <c r="O265">
        <v>0</v>
      </c>
      <c r="P265">
        <v>0</v>
      </c>
      <c r="Q265">
        <v>0</v>
      </c>
      <c r="R265">
        <v>7.09</v>
      </c>
      <c r="S265">
        <v>1.54</v>
      </c>
      <c r="T265">
        <f t="shared" si="12"/>
        <v>4.9333333333333336</v>
      </c>
      <c r="U265">
        <f t="shared" si="13"/>
        <v>0.79391891891891886</v>
      </c>
      <c r="V265">
        <f>U265-AVERAGEIFS(Pitchers[ER/IP],Pitchers[GS],"&gt;"&amp;0,Pitchers[IP],"&gt;"&amp;3)</f>
        <v>0.22241832411959939</v>
      </c>
      <c r="W265">
        <f>IF(Pitchers[[#This Row],[IP/GS]]&lt;&gt;0,(Pitchers[[#This Row],[WHIP]]*$AH$5+$AI$5)/9*Pitchers[[#This Row],[IP/GS]],(Pitchers[[#This Row],[WHIP]]*$AH$5+$AI$5)/9*(Pitchers[[#This Row],[IP]]/Pitchers[[#This Row],[G]]))</f>
        <v>2.9546800072332746</v>
      </c>
      <c r="X265">
        <f>Pitchers[[#This Row],[Runs from WHIP]]-AVERAGEIFS(Pitchers[Runs from WHIP],Pitchers[GS],"&gt;"&amp;0,Pitchers[IP],"&gt;"&amp;3)</f>
        <v>-2.7312358988915846</v>
      </c>
      <c r="Y265">
        <f>IF(Pitchers[[#This Row],[IP/GS]]&lt;&gt;0,Pitchers[[#This Row],[ER/IP From Average]]*Pitchers[[#This Row],[IP/GS]],Pitchers[[#This Row],[ER/IP From Average]]*(Pitchers[[#This Row],[IP]]/Pitchers[[#This Row],[G]]))</f>
        <v>1.0972637323233569</v>
      </c>
      <c r="Z265">
        <f t="shared" si="14"/>
        <v>-0.2894240801084132</v>
      </c>
      <c r="AA265" s="32">
        <f>IF(Pitchers[[#This Row],[W]]=0,0,Pitchers[[#This Row],[W]]/(Pitchers[[#This Row],[W]]+Pitchers[[#This Row],[L]]))</f>
        <v>0.375</v>
      </c>
      <c r="AB265" s="60"/>
    </row>
    <row r="266" spans="1:28" x14ac:dyDescent="0.25">
      <c r="A266" t="s">
        <v>345</v>
      </c>
      <c r="B266" t="s">
        <v>27</v>
      </c>
      <c r="C266">
        <v>11</v>
      </c>
      <c r="D266">
        <v>11</v>
      </c>
      <c r="E266">
        <v>0</v>
      </c>
      <c r="F266">
        <v>0</v>
      </c>
      <c r="G266">
        <v>59.2</v>
      </c>
      <c r="H266">
        <v>65</v>
      </c>
      <c r="I266">
        <v>25</v>
      </c>
      <c r="J266">
        <v>60</v>
      </c>
      <c r="K266">
        <v>23</v>
      </c>
      <c r="L266">
        <v>8</v>
      </c>
      <c r="M266">
        <v>4</v>
      </c>
      <c r="N266">
        <v>2</v>
      </c>
      <c r="O266">
        <v>0</v>
      </c>
      <c r="P266">
        <v>0</v>
      </c>
      <c r="Q266">
        <v>0</v>
      </c>
      <c r="R266">
        <v>3.77</v>
      </c>
      <c r="S266">
        <v>1.47</v>
      </c>
      <c r="T266">
        <f t="shared" si="12"/>
        <v>5.3818181818181818</v>
      </c>
      <c r="U266">
        <f t="shared" si="13"/>
        <v>0.42229729729729726</v>
      </c>
      <c r="V266" s="60">
        <f>U266-AVERAGEIFS(Pitchers[ER/IP],Pitchers[GS],"&gt;"&amp;0,Pitchers[IP],"&gt;"&amp;3)</f>
        <v>-0.14920329750202221</v>
      </c>
      <c r="W266" s="60">
        <f>IF(Pitchers[[#This Row],[IP/GS]]&lt;&gt;0,(Pitchers[[#This Row],[WHIP]]*$AH$5+$AI$5)/9*Pitchers[[#This Row],[IP/GS]],(Pitchers[[#This Row],[WHIP]]*$AH$5+$AI$5)/9*(Pitchers[[#This Row],[IP]]/Pitchers[[#This Row],[G]]))</f>
        <v>3.0276999437349583</v>
      </c>
      <c r="X266" s="60">
        <f>Pitchers[[#This Row],[Runs from WHIP]]-AVERAGEIFS(Pitchers[Runs from WHIP],Pitchers[GS],"&gt;"&amp;0,Pitchers[IP],"&gt;"&amp;3)</f>
        <v>-2.6582159623899009</v>
      </c>
      <c r="Y266" s="60">
        <f>IF(Pitchers[[#This Row],[IP/GS]]&lt;&gt;0,Pitchers[[#This Row],[ER/IP From Average]]*Pitchers[[#This Row],[IP/GS]],Pitchers[[#This Row],[ER/IP From Average]]*(Pitchers[[#This Row],[IP]]/Pitchers[[#This Row],[G]]))</f>
        <v>-0.80298501928361044</v>
      </c>
      <c r="Z266" s="60">
        <f t="shared" si="14"/>
        <v>-1.0300515976840845</v>
      </c>
      <c r="AA266" s="32">
        <f>IF(Pitchers[[#This Row],[W]]=0,0,Pitchers[[#This Row],[W]]/(Pitchers[[#This Row],[W]]+Pitchers[[#This Row],[L]]))</f>
        <v>0.66666666666666663</v>
      </c>
      <c r="AB266" s="60"/>
    </row>
    <row r="267" spans="1:28" x14ac:dyDescent="0.25">
      <c r="A267" t="s">
        <v>630</v>
      </c>
      <c r="B267" t="s">
        <v>2</v>
      </c>
      <c r="C267">
        <v>66</v>
      </c>
      <c r="D267">
        <v>0</v>
      </c>
      <c r="E267">
        <v>0</v>
      </c>
      <c r="F267">
        <v>0</v>
      </c>
      <c r="G267">
        <v>59.2</v>
      </c>
      <c r="H267">
        <v>56</v>
      </c>
      <c r="I267">
        <v>29</v>
      </c>
      <c r="J267">
        <v>82</v>
      </c>
      <c r="K267">
        <v>23</v>
      </c>
      <c r="L267">
        <v>13</v>
      </c>
      <c r="M267">
        <v>4</v>
      </c>
      <c r="N267">
        <v>7</v>
      </c>
      <c r="O267">
        <v>9</v>
      </c>
      <c r="P267">
        <v>5</v>
      </c>
      <c r="Q267">
        <v>15</v>
      </c>
      <c r="R267">
        <v>4.37</v>
      </c>
      <c r="S267">
        <v>1.32</v>
      </c>
      <c r="T267">
        <f t="shared" si="12"/>
        <v>0</v>
      </c>
      <c r="U267">
        <f t="shared" si="13"/>
        <v>0.48986486486486486</v>
      </c>
      <c r="V267">
        <f>U267-AVERAGEIFS(Pitchers[ER/IP],Pitchers[GS],"&gt;"&amp;0,Pitchers[IP],"&gt;"&amp;3)</f>
        <v>-8.1635729934454615E-2</v>
      </c>
      <c r="W267">
        <f>IF(Pitchers[[#This Row],[IP/GS]]&lt;&gt;0,(Pitchers[[#This Row],[WHIP]]*$AH$5+$AI$5)/9*Pitchers[[#This Row],[IP/GS]],(Pitchers[[#This Row],[WHIP]]*$AH$5+$AI$5)/9*(Pitchers[[#This Row],[IP]]/Pitchers[[#This Row],[G]]))</f>
        <v>0.43476403697374555</v>
      </c>
      <c r="X267">
        <f>Pitchers[[#This Row],[Runs from WHIP]]-AVERAGEIFS(Pitchers[Runs from WHIP],Pitchers[GS],"&gt;"&amp;0,Pitchers[IP],"&gt;"&amp;3)</f>
        <v>-5.2511518691511139</v>
      </c>
      <c r="Y267">
        <f>IF(Pitchers[[#This Row],[IP/GS]]&lt;&gt;0,Pitchers[[#This Row],[ER/IP From Average]]*Pitchers[[#This Row],[IP/GS]],Pitchers[[#This Row],[ER/IP From Average]]*(Pitchers[[#This Row],[IP]]/Pitchers[[#This Row],[G]]))</f>
        <v>-7.322477594120777E-2</v>
      </c>
      <c r="Z267">
        <f t="shared" si="14"/>
        <v>-1.4295970754834471</v>
      </c>
      <c r="AA267" s="32">
        <f>IF(Pitchers[[#This Row],[W]]=0,0,Pitchers[[#This Row],[W]]/(Pitchers[[#This Row],[W]]+Pitchers[[#This Row],[L]]))</f>
        <v>0.36363636363636365</v>
      </c>
      <c r="AB267" s="60"/>
    </row>
    <row r="268" spans="1:28" x14ac:dyDescent="0.25">
      <c r="A268" t="s">
        <v>592</v>
      </c>
      <c r="B268" t="s">
        <v>6</v>
      </c>
      <c r="C268">
        <v>67</v>
      </c>
      <c r="D268">
        <v>0</v>
      </c>
      <c r="E268">
        <v>0</v>
      </c>
      <c r="F268">
        <v>0</v>
      </c>
      <c r="G268">
        <v>59.2</v>
      </c>
      <c r="H268">
        <v>53</v>
      </c>
      <c r="I268">
        <v>34</v>
      </c>
      <c r="J268">
        <v>57</v>
      </c>
      <c r="K268">
        <v>29</v>
      </c>
      <c r="L268">
        <v>8</v>
      </c>
      <c r="M268">
        <v>8</v>
      </c>
      <c r="N268">
        <v>6</v>
      </c>
      <c r="O268">
        <v>4</v>
      </c>
      <c r="P268">
        <v>2</v>
      </c>
      <c r="Q268">
        <v>10</v>
      </c>
      <c r="R268">
        <v>5.13</v>
      </c>
      <c r="S268">
        <v>1.37</v>
      </c>
      <c r="T268">
        <f t="shared" si="12"/>
        <v>0</v>
      </c>
      <c r="U268">
        <f t="shared" si="13"/>
        <v>0.57432432432432434</v>
      </c>
      <c r="V268" s="60">
        <f>U268-AVERAGEIFS(Pitchers[ER/IP],Pitchers[GS],"&gt;"&amp;0,Pitchers[IP],"&gt;"&amp;3)</f>
        <v>2.82372952500487E-3</v>
      </c>
      <c r="W268" s="60">
        <f>IF(Pitchers[[#This Row],[IP/GS]]&lt;&gt;0,(Pitchers[[#This Row],[WHIP]]*$AH$5+$AI$5)/9*Pitchers[[#This Row],[IP/GS]],(Pitchers[[#This Row],[WHIP]]*$AH$5+$AI$5)/9*(Pitchers[[#This Row],[IP]]/Pitchers[[#This Row],[G]]))</f>
        <v>0.45121170279412415</v>
      </c>
      <c r="X268" s="60">
        <f>Pitchers[[#This Row],[Runs from WHIP]]-AVERAGEIFS(Pitchers[Runs from WHIP],Pitchers[GS],"&gt;"&amp;0,Pitchers[IP],"&gt;"&amp;3)</f>
        <v>-5.2347042033307352</v>
      </c>
      <c r="Y268" s="60">
        <f>IF(Pitchers[[#This Row],[IP/GS]]&lt;&gt;0,Pitchers[[#This Row],[ER/IP From Average]]*Pitchers[[#This Row],[IP/GS]],Pitchers[[#This Row],[ER/IP From Average]]*(Pitchers[[#This Row],[IP]]/Pitchers[[#This Row],[G]]))</f>
        <v>2.494996834034154E-3</v>
      </c>
      <c r="Z268" s="60">
        <f t="shared" si="14"/>
        <v>-1.3949231221545821</v>
      </c>
      <c r="AA268" s="32">
        <f>IF(Pitchers[[#This Row],[W]]=0,0,Pitchers[[#This Row],[W]]/(Pitchers[[#This Row],[W]]+Pitchers[[#This Row],[L]]))</f>
        <v>0.5714285714285714</v>
      </c>
      <c r="AB268" s="60"/>
    </row>
    <row r="269" spans="1:28" x14ac:dyDescent="0.25">
      <c r="A269" t="s">
        <v>514</v>
      </c>
      <c r="B269" t="s">
        <v>18</v>
      </c>
      <c r="C269">
        <v>12</v>
      </c>
      <c r="D269">
        <v>12</v>
      </c>
      <c r="E269">
        <v>0</v>
      </c>
      <c r="F269">
        <v>0</v>
      </c>
      <c r="G269">
        <v>59</v>
      </c>
      <c r="H269">
        <v>72</v>
      </c>
      <c r="I269">
        <v>43</v>
      </c>
      <c r="J269">
        <v>39</v>
      </c>
      <c r="K269">
        <v>16</v>
      </c>
      <c r="L269">
        <v>13</v>
      </c>
      <c r="M269">
        <v>2</v>
      </c>
      <c r="N269">
        <v>5</v>
      </c>
      <c r="O269">
        <v>0</v>
      </c>
      <c r="P269">
        <v>0</v>
      </c>
      <c r="Q269">
        <v>0</v>
      </c>
      <c r="R269">
        <v>6.56</v>
      </c>
      <c r="S269">
        <v>1.49</v>
      </c>
      <c r="T269">
        <f t="shared" si="12"/>
        <v>4.916666666666667</v>
      </c>
      <c r="U269">
        <f t="shared" si="13"/>
        <v>0.72881355932203384</v>
      </c>
      <c r="V269">
        <f>U269-AVERAGEIFS(Pitchers[ER/IP],Pitchers[GS],"&gt;"&amp;0,Pitchers[IP],"&gt;"&amp;3)</f>
        <v>0.15731296452271437</v>
      </c>
      <c r="W269">
        <f>IF(Pitchers[[#This Row],[IP/GS]]&lt;&gt;0,(Pitchers[[#This Row],[WHIP]]*$AH$5+$AI$5)/9*Pitchers[[#This Row],[IP/GS]],(Pitchers[[#This Row],[WHIP]]*$AH$5+$AI$5)/9*(Pitchers[[#This Row],[IP]]/Pitchers[[#This Row],[G]]))</f>
        <v>2.8170674886708205</v>
      </c>
      <c r="X269">
        <f>Pitchers[[#This Row],[Runs from WHIP]]-AVERAGEIFS(Pitchers[Runs from WHIP],Pitchers[GS],"&gt;"&amp;0,Pitchers[IP],"&gt;"&amp;3)</f>
        <v>-2.8688484174540387</v>
      </c>
      <c r="Y269">
        <f>IF(Pitchers[[#This Row],[IP/GS]]&lt;&gt;0,Pitchers[[#This Row],[ER/IP From Average]]*Pitchers[[#This Row],[IP/GS]],Pitchers[[#This Row],[ER/IP From Average]]*(Pitchers[[#This Row],[IP]]/Pitchers[[#This Row],[G]]))</f>
        <v>0.77345540890334574</v>
      </c>
      <c r="Z269">
        <f t="shared" si="14"/>
        <v>-0.45564408109307197</v>
      </c>
      <c r="AA269" s="32">
        <f>IF(Pitchers[[#This Row],[W]]=0,0,Pitchers[[#This Row],[W]]/(Pitchers[[#This Row],[W]]+Pitchers[[#This Row],[L]]))</f>
        <v>0.2857142857142857</v>
      </c>
      <c r="AB269" s="60"/>
    </row>
    <row r="270" spans="1:28" x14ac:dyDescent="0.25">
      <c r="A270" t="s">
        <v>574</v>
      </c>
      <c r="B270" t="s">
        <v>15</v>
      </c>
      <c r="C270">
        <v>67</v>
      </c>
      <c r="D270">
        <v>1</v>
      </c>
      <c r="E270">
        <v>0</v>
      </c>
      <c r="F270">
        <v>0</v>
      </c>
      <c r="G270">
        <v>59</v>
      </c>
      <c r="H270">
        <v>66</v>
      </c>
      <c r="I270">
        <v>22</v>
      </c>
      <c r="J270">
        <v>51</v>
      </c>
      <c r="K270">
        <v>18</v>
      </c>
      <c r="L270">
        <v>8</v>
      </c>
      <c r="M270">
        <v>3</v>
      </c>
      <c r="N270">
        <v>4</v>
      </c>
      <c r="O270">
        <v>1</v>
      </c>
      <c r="P270">
        <v>2</v>
      </c>
      <c r="Q270">
        <v>16</v>
      </c>
      <c r="R270">
        <v>3.36</v>
      </c>
      <c r="S270">
        <v>1.42</v>
      </c>
      <c r="T270">
        <f t="shared" si="12"/>
        <v>59</v>
      </c>
      <c r="U270">
        <f t="shared" si="13"/>
        <v>0.3728813559322034</v>
      </c>
      <c r="V270" s="60">
        <f>U270-AVERAGEIFS(Pitchers[ER/IP],Pitchers[GS],"&gt;"&amp;0,Pitchers[IP],"&gt;"&amp;3)</f>
        <v>-0.19861923886711608</v>
      </c>
      <c r="W270" s="60">
        <f>IF(Pitchers[[#This Row],[IP/GS]]&lt;&gt;0,(Pitchers[[#This Row],[WHIP]]*$AH$5+$AI$5)/9*Pitchers[[#This Row],[IP/GS]],(Pitchers[[#This Row],[WHIP]]*$AH$5+$AI$5)/9*(Pitchers[[#This Row],[IP]]/Pitchers[[#This Row],[G]]))</f>
        <v>31.660617606665202</v>
      </c>
      <c r="X270" s="60">
        <f>Pitchers[[#This Row],[Runs from WHIP]]-AVERAGEIFS(Pitchers[Runs from WHIP],Pitchers[GS],"&gt;"&amp;0,Pitchers[IP],"&gt;"&amp;3)</f>
        <v>25.974701700540344</v>
      </c>
      <c r="Y270" s="60">
        <f>IF(Pitchers[[#This Row],[IP/GS]]&lt;&gt;0,Pitchers[[#This Row],[ER/IP From Average]]*Pitchers[[#This Row],[IP/GS]],Pitchers[[#This Row],[ER/IP From Average]]*(Pitchers[[#This Row],[IP]]/Pitchers[[#This Row],[G]]))</f>
        <v>-11.718535093159849</v>
      </c>
      <c r="Z270" s="60">
        <f t="shared" si="14"/>
        <v>2.2391730828801513</v>
      </c>
      <c r="AA270" s="32">
        <f>IF(Pitchers[[#This Row],[W]]=0,0,Pitchers[[#This Row],[W]]/(Pitchers[[#This Row],[W]]+Pitchers[[#This Row],[L]]))</f>
        <v>0.42857142857142855</v>
      </c>
      <c r="AB270" s="60"/>
    </row>
    <row r="271" spans="1:28" x14ac:dyDescent="0.25">
      <c r="A271" t="s">
        <v>913</v>
      </c>
      <c r="B271" t="s">
        <v>29</v>
      </c>
      <c r="C271">
        <v>13</v>
      </c>
      <c r="D271">
        <v>13</v>
      </c>
      <c r="E271">
        <v>0</v>
      </c>
      <c r="F271">
        <v>0</v>
      </c>
      <c r="G271">
        <v>58.2</v>
      </c>
      <c r="H271">
        <v>48</v>
      </c>
      <c r="I271">
        <v>16</v>
      </c>
      <c r="J271">
        <v>72</v>
      </c>
      <c r="K271">
        <v>18</v>
      </c>
      <c r="L271">
        <v>10</v>
      </c>
      <c r="M271">
        <v>4</v>
      </c>
      <c r="N271">
        <v>1</v>
      </c>
      <c r="O271">
        <v>0</v>
      </c>
      <c r="P271">
        <v>0</v>
      </c>
      <c r="Q271">
        <v>0</v>
      </c>
      <c r="R271">
        <v>2.4500000000000002</v>
      </c>
      <c r="S271">
        <v>1.1299999999999999</v>
      </c>
      <c r="T271">
        <f t="shared" si="12"/>
        <v>4.476923076923077</v>
      </c>
      <c r="U271">
        <f t="shared" si="13"/>
        <v>0.274914089347079</v>
      </c>
      <c r="V271" s="60">
        <f>U271-AVERAGEIFS(Pitchers[ER/IP],Pitchers[GS],"&gt;"&amp;0,Pitchers[IP],"&gt;"&amp;3)</f>
        <v>-0.29658650545224047</v>
      </c>
      <c r="W271" s="60">
        <f>IF(Pitchers[[#This Row],[IP/GS]]&lt;&gt;0,(Pitchers[[#This Row],[WHIP]]*$AH$5+$AI$5)/9*Pitchers[[#This Row],[IP/GS]],(Pitchers[[#This Row],[WHIP]]*$AH$5+$AI$5)/9*(Pitchers[[#This Row],[IP]]/Pitchers[[#This Row],[G]]))</f>
        <v>1.7283605738390035</v>
      </c>
      <c r="X271" s="60">
        <f>Pitchers[[#This Row],[Runs from WHIP]]-AVERAGEIFS(Pitchers[Runs from WHIP],Pitchers[GS],"&gt;"&amp;0,Pitchers[IP],"&gt;"&amp;3)</f>
        <v>-3.9575553322858559</v>
      </c>
      <c r="Y271" s="60">
        <f>IF(Pitchers[[#This Row],[IP/GS]]&lt;&gt;0,Pitchers[[#This Row],[ER/IP From Average]]*Pitchers[[#This Row],[IP/GS]],Pitchers[[#This Row],[ER/IP From Average]]*(Pitchers[[#This Row],[IP]]/Pitchers[[#This Row],[G]]))</f>
        <v>-1.3277949705631074</v>
      </c>
      <c r="Z271" s="60">
        <f t="shared" si="14"/>
        <v>-1.5864660768348049</v>
      </c>
      <c r="AA271" s="32">
        <f>IF(Pitchers[[#This Row],[W]]=0,0,Pitchers[[#This Row],[W]]/(Pitchers[[#This Row],[W]]+Pitchers[[#This Row],[L]]))</f>
        <v>0.8</v>
      </c>
      <c r="AB271" s="60"/>
    </row>
    <row r="272" spans="1:28" x14ac:dyDescent="0.25">
      <c r="A272" t="s">
        <v>479</v>
      </c>
      <c r="B272" t="s">
        <v>17</v>
      </c>
      <c r="C272">
        <v>57</v>
      </c>
      <c r="D272">
        <v>0</v>
      </c>
      <c r="E272">
        <v>0</v>
      </c>
      <c r="F272">
        <v>0</v>
      </c>
      <c r="G272">
        <v>58.2</v>
      </c>
      <c r="H272">
        <v>58</v>
      </c>
      <c r="I272">
        <v>32</v>
      </c>
      <c r="J272">
        <v>59</v>
      </c>
      <c r="K272">
        <v>37</v>
      </c>
      <c r="L272">
        <v>9</v>
      </c>
      <c r="M272">
        <v>6</v>
      </c>
      <c r="N272">
        <v>5</v>
      </c>
      <c r="O272">
        <v>16</v>
      </c>
      <c r="P272">
        <v>5</v>
      </c>
      <c r="Q272">
        <v>3</v>
      </c>
      <c r="R272">
        <v>4.91</v>
      </c>
      <c r="S272">
        <v>1.62</v>
      </c>
      <c r="T272">
        <f t="shared" si="12"/>
        <v>0</v>
      </c>
      <c r="U272">
        <f t="shared" si="13"/>
        <v>0.54982817869415801</v>
      </c>
      <c r="V272">
        <f>U272-AVERAGEIFS(Pitchers[ER/IP],Pitchers[GS],"&gt;"&amp;0,Pitchers[IP],"&gt;"&amp;3)</f>
        <v>-2.1672416105161463E-2</v>
      </c>
      <c r="W272">
        <f>IF(Pitchers[[#This Row],[IP/GS]]&lt;&gt;0,(Pitchers[[#This Row],[WHIP]]*$AH$5+$AI$5)/9*Pitchers[[#This Row],[IP/GS]],(Pitchers[[#This Row],[WHIP]]*$AH$5+$AI$5)/9*(Pitchers[[#This Row],[IP]]/Pitchers[[#This Row],[G]]))</f>
        <v>0.6539388896202849</v>
      </c>
      <c r="X272">
        <f>Pitchers[[#This Row],[Runs from WHIP]]-AVERAGEIFS(Pitchers[Runs from WHIP],Pitchers[GS],"&gt;"&amp;0,Pitchers[IP],"&gt;"&amp;3)</f>
        <v>-5.0319770165045741</v>
      </c>
      <c r="Y272">
        <f>IF(Pitchers[[#This Row],[IP/GS]]&lt;&gt;0,Pitchers[[#This Row],[ER/IP From Average]]*Pitchers[[#This Row],[IP/GS]],Pitchers[[#This Row],[ER/IP From Average]]*(Pitchers[[#This Row],[IP]]/Pitchers[[#This Row],[G]]))</f>
        <v>-2.2128677496849075E-2</v>
      </c>
      <c r="Z272">
        <f t="shared" si="14"/>
        <v>-1.3507120087332922</v>
      </c>
      <c r="AA272" s="32">
        <f>IF(Pitchers[[#This Row],[W]]=0,0,Pitchers[[#This Row],[W]]/(Pitchers[[#This Row],[W]]+Pitchers[[#This Row],[L]]))</f>
        <v>0.54545454545454541</v>
      </c>
      <c r="AB272" s="60"/>
    </row>
    <row r="273" spans="1:28" x14ac:dyDescent="0.25">
      <c r="A273" t="s">
        <v>438</v>
      </c>
      <c r="B273" t="s">
        <v>6</v>
      </c>
      <c r="C273">
        <v>11</v>
      </c>
      <c r="D273">
        <v>11</v>
      </c>
      <c r="E273">
        <v>0</v>
      </c>
      <c r="F273">
        <v>0</v>
      </c>
      <c r="G273">
        <v>58.2</v>
      </c>
      <c r="H273">
        <v>43</v>
      </c>
      <c r="I273">
        <v>16</v>
      </c>
      <c r="J273">
        <v>56</v>
      </c>
      <c r="K273">
        <v>22</v>
      </c>
      <c r="L273">
        <v>9</v>
      </c>
      <c r="M273">
        <v>7</v>
      </c>
      <c r="N273">
        <v>1</v>
      </c>
      <c r="O273">
        <v>0</v>
      </c>
      <c r="P273">
        <v>0</v>
      </c>
      <c r="Q273">
        <v>0</v>
      </c>
      <c r="R273">
        <v>2.4500000000000002</v>
      </c>
      <c r="S273">
        <v>1.1100000000000001</v>
      </c>
      <c r="T273">
        <f t="shared" si="12"/>
        <v>5.290909090909091</v>
      </c>
      <c r="U273">
        <f t="shared" si="13"/>
        <v>0.274914089347079</v>
      </c>
      <c r="V273">
        <f>U273-AVERAGEIFS(Pitchers[ER/IP],Pitchers[GS],"&gt;"&amp;0,Pitchers[IP],"&gt;"&amp;3)</f>
        <v>-0.29658650545224047</v>
      </c>
      <c r="W273">
        <f>IF(Pitchers[[#This Row],[IP/GS]]&lt;&gt;0,(Pitchers[[#This Row],[WHIP]]*$AH$5+$AI$5)/9*Pitchers[[#This Row],[IP/GS]],(Pitchers[[#This Row],[WHIP]]*$AH$5+$AI$5)/9*(Pitchers[[#This Row],[IP]]/Pitchers[[#This Row],[G]]))</f>
        <v>1.9876698089768965</v>
      </c>
      <c r="X273">
        <f>Pitchers[[#This Row],[Runs from WHIP]]-AVERAGEIFS(Pitchers[Runs from WHIP],Pitchers[GS],"&gt;"&amp;0,Pitchers[IP],"&gt;"&amp;3)</f>
        <v>-3.6982460971479627</v>
      </c>
      <c r="Y273">
        <f>IF(Pitchers[[#This Row],[IP/GS]]&lt;&gt;0,Pitchers[[#This Row],[ER/IP From Average]]*Pitchers[[#This Row],[IP/GS]],Pitchers[[#This Row],[ER/IP From Average]]*(Pitchers[[#This Row],[IP]]/Pitchers[[#This Row],[G]]))</f>
        <v>-1.5692122379382178</v>
      </c>
      <c r="Z273">
        <f t="shared" si="14"/>
        <v>-1.6138838544147438</v>
      </c>
      <c r="AA273" s="32">
        <f>IF(Pitchers[[#This Row],[W]]=0,0,Pitchers[[#This Row],[W]]/(Pitchers[[#This Row],[W]]+Pitchers[[#This Row],[L]]))</f>
        <v>0.875</v>
      </c>
      <c r="AB273" s="60"/>
    </row>
    <row r="274" spans="1:28" x14ac:dyDescent="0.25">
      <c r="A274" t="s">
        <v>765</v>
      </c>
      <c r="B274" t="s">
        <v>361</v>
      </c>
      <c r="C274">
        <v>18</v>
      </c>
      <c r="D274">
        <v>12</v>
      </c>
      <c r="E274">
        <v>0</v>
      </c>
      <c r="F274">
        <v>0</v>
      </c>
      <c r="G274">
        <v>58.2</v>
      </c>
      <c r="H274">
        <v>75</v>
      </c>
      <c r="I274">
        <v>52</v>
      </c>
      <c r="J274">
        <v>41</v>
      </c>
      <c r="K274">
        <v>28</v>
      </c>
      <c r="L274">
        <v>12</v>
      </c>
      <c r="M274">
        <v>1</v>
      </c>
      <c r="N274">
        <v>8</v>
      </c>
      <c r="O274">
        <v>0</v>
      </c>
      <c r="P274">
        <v>1</v>
      </c>
      <c r="Q274">
        <v>0</v>
      </c>
      <c r="R274">
        <v>7.98</v>
      </c>
      <c r="S274">
        <v>1.76</v>
      </c>
      <c r="T274">
        <f t="shared" si="12"/>
        <v>4.8500000000000005</v>
      </c>
      <c r="U274">
        <f t="shared" si="13"/>
        <v>0.89347079037800681</v>
      </c>
      <c r="V274">
        <f>U274-AVERAGEIFS(Pitchers[ER/IP],Pitchers[GS],"&gt;"&amp;0,Pitchers[IP],"&gt;"&amp;3)</f>
        <v>0.32197019557868733</v>
      </c>
      <c r="W274">
        <f>IF(Pitchers[[#This Row],[IP/GS]]&lt;&gt;0,(Pitchers[[#This Row],[WHIP]]*$AH$5+$AI$5)/9*Pitchers[[#This Row],[IP/GS]],(Pitchers[[#This Row],[WHIP]]*$AH$5+$AI$5)/9*(Pitchers[[#This Row],[IP]]/Pitchers[[#This Row],[G]]))</f>
        <v>3.4587294697070474</v>
      </c>
      <c r="X274">
        <f>Pitchers[[#This Row],[Runs from WHIP]]-AVERAGEIFS(Pitchers[Runs from WHIP],Pitchers[GS],"&gt;"&amp;0,Pitchers[IP],"&gt;"&amp;3)</f>
        <v>-2.2271864364178118</v>
      </c>
      <c r="Y274">
        <f>IF(Pitchers[[#This Row],[IP/GS]]&lt;&gt;0,Pitchers[[#This Row],[ER/IP From Average]]*Pitchers[[#This Row],[IP/GS]],Pitchers[[#This Row],[ER/IP From Average]]*(Pitchers[[#This Row],[IP]]/Pitchers[[#This Row],[G]]))</f>
        <v>1.5615554485566336</v>
      </c>
      <c r="Z274">
        <f t="shared" si="14"/>
        <v>3.0705796377903678E-2</v>
      </c>
      <c r="AA274" s="32">
        <f>IF(Pitchers[[#This Row],[W]]=0,0,Pitchers[[#This Row],[W]]/(Pitchers[[#This Row],[W]]+Pitchers[[#This Row],[L]]))</f>
        <v>0.1111111111111111</v>
      </c>
      <c r="AB274" s="60"/>
    </row>
    <row r="275" spans="1:28" x14ac:dyDescent="0.25">
      <c r="A275" t="s">
        <v>538</v>
      </c>
      <c r="B275" t="s">
        <v>15</v>
      </c>
      <c r="C275">
        <v>12</v>
      </c>
      <c r="D275">
        <v>10</v>
      </c>
      <c r="E275">
        <v>0</v>
      </c>
      <c r="F275">
        <v>0</v>
      </c>
      <c r="G275">
        <v>58.1</v>
      </c>
      <c r="H275">
        <v>58</v>
      </c>
      <c r="I275">
        <v>37</v>
      </c>
      <c r="J275">
        <v>51</v>
      </c>
      <c r="K275">
        <v>18</v>
      </c>
      <c r="L275">
        <v>18</v>
      </c>
      <c r="M275">
        <v>3</v>
      </c>
      <c r="N275">
        <v>4</v>
      </c>
      <c r="O275">
        <v>1</v>
      </c>
      <c r="P275">
        <v>0</v>
      </c>
      <c r="Q275">
        <v>0</v>
      </c>
      <c r="R275">
        <v>5.71</v>
      </c>
      <c r="S275">
        <v>1.3</v>
      </c>
      <c r="T275">
        <f t="shared" si="12"/>
        <v>5.8100000000000005</v>
      </c>
      <c r="U275">
        <f t="shared" si="13"/>
        <v>0.63683304647160066</v>
      </c>
      <c r="V275">
        <f>U275-AVERAGEIFS(Pitchers[ER/IP],Pitchers[GS],"&gt;"&amp;0,Pitchers[IP],"&gt;"&amp;3)</f>
        <v>6.5332451672281189E-2</v>
      </c>
      <c r="W275">
        <f>IF(Pitchers[[#This Row],[IP/GS]]&lt;&gt;0,(Pitchers[[#This Row],[WHIP]]*$AH$5+$AI$5)/9*Pitchers[[#This Row],[IP/GS]],(Pitchers[[#This Row],[WHIP]]*$AH$5+$AI$5)/9*(Pitchers[[#This Row],[IP]]/Pitchers[[#This Row],[G]]))</f>
        <v>2.755797176460574</v>
      </c>
      <c r="X275">
        <f>Pitchers[[#This Row],[Runs from WHIP]]-AVERAGEIFS(Pitchers[Runs from WHIP],Pitchers[GS],"&gt;"&amp;0,Pitchers[IP],"&gt;"&amp;3)</f>
        <v>-2.9301187296642852</v>
      </c>
      <c r="Y275">
        <f>IF(Pitchers[[#This Row],[IP/GS]]&lt;&gt;0,Pitchers[[#This Row],[ER/IP From Average]]*Pitchers[[#This Row],[IP/GS]],Pitchers[[#This Row],[ER/IP From Average]]*(Pitchers[[#This Row],[IP]]/Pitchers[[#This Row],[G]]))</f>
        <v>0.37958154421595375</v>
      </c>
      <c r="Z275">
        <f t="shared" si="14"/>
        <v>-0.62953237689076114</v>
      </c>
      <c r="AA275" s="32">
        <f>IF(Pitchers[[#This Row],[W]]=0,0,Pitchers[[#This Row],[W]]/(Pitchers[[#This Row],[W]]+Pitchers[[#This Row],[L]]))</f>
        <v>0.42857142857142855</v>
      </c>
      <c r="AB275" s="60"/>
    </row>
    <row r="276" spans="1:28" x14ac:dyDescent="0.25">
      <c r="A276" t="s">
        <v>297</v>
      </c>
      <c r="B276" t="s">
        <v>1</v>
      </c>
      <c r="C276">
        <v>27</v>
      </c>
      <c r="D276">
        <v>8</v>
      </c>
      <c r="E276">
        <v>0</v>
      </c>
      <c r="F276">
        <v>0</v>
      </c>
      <c r="G276">
        <v>58</v>
      </c>
      <c r="H276">
        <v>56</v>
      </c>
      <c r="I276">
        <v>37</v>
      </c>
      <c r="J276">
        <v>52</v>
      </c>
      <c r="K276">
        <v>12</v>
      </c>
      <c r="L276">
        <v>17</v>
      </c>
      <c r="M276">
        <v>1</v>
      </c>
      <c r="N276">
        <v>5</v>
      </c>
      <c r="O276">
        <v>2</v>
      </c>
      <c r="P276">
        <v>0</v>
      </c>
      <c r="Q276">
        <v>1</v>
      </c>
      <c r="R276">
        <v>5.74</v>
      </c>
      <c r="S276">
        <v>1.17</v>
      </c>
      <c r="T276">
        <f t="shared" si="12"/>
        <v>7.25</v>
      </c>
      <c r="U276">
        <f t="shared" si="13"/>
        <v>0.63793103448275867</v>
      </c>
      <c r="V276" s="60">
        <f>U276-AVERAGEIFS(Pitchers[ER/IP],Pitchers[GS],"&gt;"&amp;0,Pitchers[IP],"&gt;"&amp;3)</f>
        <v>6.6430439683439202E-2</v>
      </c>
      <c r="W276" s="60">
        <f>IF(Pitchers[[#This Row],[IP/GS]]&lt;&gt;0,(Pitchers[[#This Row],[WHIP]]*$AH$5+$AI$5)/9*Pitchers[[#This Row],[IP/GS]],(Pitchers[[#This Row],[WHIP]]*$AH$5+$AI$5)/9*(Pitchers[[#This Row],[IP]]/Pitchers[[#This Row],[G]]))</f>
        <v>2.9494951498481679</v>
      </c>
      <c r="X276" s="60">
        <f>Pitchers[[#This Row],[Runs from WHIP]]-AVERAGEIFS(Pitchers[Runs from WHIP],Pitchers[GS],"&gt;"&amp;0,Pitchers[IP],"&gt;"&amp;3)</f>
        <v>-2.7364207562766913</v>
      </c>
      <c r="Y276" s="60">
        <f>IF(Pitchers[[#This Row],[IP/GS]]&lt;&gt;0,Pitchers[[#This Row],[ER/IP From Average]]*Pitchers[[#This Row],[IP/GS]],Pitchers[[#This Row],[ER/IP From Average]]*(Pitchers[[#This Row],[IP]]/Pitchers[[#This Row],[G]]))</f>
        <v>0.48162068770493421</v>
      </c>
      <c r="Z276" s="60">
        <f t="shared" si="14"/>
        <v>-0.53706392659181068</v>
      </c>
      <c r="AA276" s="32">
        <f>IF(Pitchers[[#This Row],[W]]=0,0,Pitchers[[#This Row],[W]]/(Pitchers[[#This Row],[W]]+Pitchers[[#This Row],[L]]))</f>
        <v>0.16666666666666666</v>
      </c>
      <c r="AB276" s="60"/>
    </row>
    <row r="277" spans="1:28" x14ac:dyDescent="0.25">
      <c r="A277" t="s">
        <v>590</v>
      </c>
      <c r="B277" t="s">
        <v>27</v>
      </c>
      <c r="C277">
        <v>66</v>
      </c>
      <c r="D277">
        <v>0</v>
      </c>
      <c r="E277">
        <v>0</v>
      </c>
      <c r="F277">
        <v>0</v>
      </c>
      <c r="G277">
        <v>58</v>
      </c>
      <c r="H277">
        <v>58</v>
      </c>
      <c r="I277">
        <v>36</v>
      </c>
      <c r="J277">
        <v>99</v>
      </c>
      <c r="K277">
        <v>22</v>
      </c>
      <c r="L277">
        <v>15</v>
      </c>
      <c r="M277">
        <v>2</v>
      </c>
      <c r="N277">
        <v>7</v>
      </c>
      <c r="O277">
        <v>26</v>
      </c>
      <c r="P277">
        <v>7</v>
      </c>
      <c r="Q277">
        <v>1</v>
      </c>
      <c r="R277">
        <v>5.59</v>
      </c>
      <c r="S277">
        <v>1.38</v>
      </c>
      <c r="T277">
        <f t="shared" si="12"/>
        <v>0</v>
      </c>
      <c r="U277">
        <f t="shared" si="13"/>
        <v>0.62068965517241381</v>
      </c>
      <c r="V277">
        <f>U277-AVERAGEIFS(Pitchers[ER/IP],Pitchers[GS],"&gt;"&amp;0,Pitchers[IP],"&gt;"&amp;3)</f>
        <v>4.918906037309434E-2</v>
      </c>
      <c r="W277">
        <f>IF(Pitchers[[#This Row],[IP/GS]]&lt;&gt;0,(Pitchers[[#This Row],[WHIP]]*$AH$5+$AI$5)/9*Pitchers[[#This Row],[IP/GS]],(Pitchers[[#This Row],[WHIP]]*$AH$5+$AI$5)/9*(Pitchers[[#This Row],[IP]]/Pitchers[[#This Row],[G]]))</f>
        <v>0.45332592796950749</v>
      </c>
      <c r="X277">
        <f>Pitchers[[#This Row],[Runs from WHIP]]-AVERAGEIFS(Pitchers[Runs from WHIP],Pitchers[GS],"&gt;"&amp;0,Pitchers[IP],"&gt;"&amp;3)</f>
        <v>-5.2325899781553513</v>
      </c>
      <c r="Y277">
        <f>IF(Pitchers[[#This Row],[IP/GS]]&lt;&gt;0,Pitchers[[#This Row],[ER/IP From Average]]*Pitchers[[#This Row],[IP/GS]],Pitchers[[#This Row],[ER/IP From Average]]*(Pitchers[[#This Row],[IP]]/Pitchers[[#This Row],[G]]))</f>
        <v>4.3226750024840478E-2</v>
      </c>
      <c r="Z277">
        <f t="shared" si="14"/>
        <v>-1.3780666274981572</v>
      </c>
      <c r="AA277" s="32">
        <f>IF(Pitchers[[#This Row],[W]]=0,0,Pitchers[[#This Row],[W]]/(Pitchers[[#This Row],[W]]+Pitchers[[#This Row],[L]]))</f>
        <v>0.22222222222222221</v>
      </c>
      <c r="AB277" s="60"/>
    </row>
    <row r="278" spans="1:28" x14ac:dyDescent="0.25">
      <c r="A278" t="s">
        <v>735</v>
      </c>
      <c r="B278" t="s">
        <v>2</v>
      </c>
      <c r="C278">
        <v>22</v>
      </c>
      <c r="D278">
        <v>4</v>
      </c>
      <c r="E278">
        <v>0</v>
      </c>
      <c r="F278">
        <v>0</v>
      </c>
      <c r="G278">
        <v>58</v>
      </c>
      <c r="H278">
        <v>70</v>
      </c>
      <c r="I278">
        <v>38</v>
      </c>
      <c r="J278">
        <v>51</v>
      </c>
      <c r="K278">
        <v>23</v>
      </c>
      <c r="L278">
        <v>9</v>
      </c>
      <c r="M278">
        <v>4</v>
      </c>
      <c r="N278">
        <v>3</v>
      </c>
      <c r="O278">
        <v>0</v>
      </c>
      <c r="P278">
        <v>0</v>
      </c>
      <c r="Q278">
        <v>1</v>
      </c>
      <c r="R278">
        <v>5.9</v>
      </c>
      <c r="S278">
        <v>1.6</v>
      </c>
      <c r="T278">
        <f t="shared" si="12"/>
        <v>14.5</v>
      </c>
      <c r="U278">
        <f t="shared" si="13"/>
        <v>0.65517241379310343</v>
      </c>
      <c r="V278">
        <f>U278-AVERAGEIFS(Pitchers[ER/IP],Pitchers[GS],"&gt;"&amp;0,Pitchers[IP],"&gt;"&amp;3)</f>
        <v>8.3671818993783953E-2</v>
      </c>
      <c r="W278">
        <f>IF(Pitchers[[#This Row],[IP/GS]]&lt;&gt;0,(Pitchers[[#This Row],[WHIP]]*$AH$5+$AI$5)/9*Pitchers[[#This Row],[IP/GS]],(Pitchers[[#This Row],[WHIP]]*$AH$5+$AI$5)/9*(Pitchers[[#This Row],[IP]]/Pitchers[[#This Row],[G]]))</f>
        <v>9.1360456810022015</v>
      </c>
      <c r="X278">
        <f>Pitchers[[#This Row],[Runs from WHIP]]-AVERAGEIFS(Pitchers[Runs from WHIP],Pitchers[GS],"&gt;"&amp;0,Pitchers[IP],"&gt;"&amp;3)</f>
        <v>3.4501297748773423</v>
      </c>
      <c r="Y278">
        <f>IF(Pitchers[[#This Row],[IP/GS]]&lt;&gt;0,Pitchers[[#This Row],[ER/IP From Average]]*Pitchers[[#This Row],[IP/GS]],Pitchers[[#This Row],[ER/IP From Average]]*(Pitchers[[#This Row],[IP]]/Pitchers[[#This Row],[G]]))</f>
        <v>1.2132413754098672</v>
      </c>
      <c r="Z278">
        <f t="shared" si="14"/>
        <v>1.4053311567979048</v>
      </c>
      <c r="AA278" s="32">
        <f>IF(Pitchers[[#This Row],[W]]=0,0,Pitchers[[#This Row],[W]]/(Pitchers[[#This Row],[W]]+Pitchers[[#This Row],[L]]))</f>
        <v>0.5714285714285714</v>
      </c>
      <c r="AB278" s="60"/>
    </row>
    <row r="279" spans="1:28" x14ac:dyDescent="0.25">
      <c r="A279" t="s">
        <v>1234</v>
      </c>
      <c r="B279" t="s">
        <v>2</v>
      </c>
      <c r="C279">
        <v>33</v>
      </c>
      <c r="D279">
        <v>7</v>
      </c>
      <c r="E279">
        <v>0</v>
      </c>
      <c r="F279">
        <v>0</v>
      </c>
      <c r="G279">
        <v>57.2</v>
      </c>
      <c r="H279">
        <v>74</v>
      </c>
      <c r="I279">
        <v>37</v>
      </c>
      <c r="J279">
        <v>45</v>
      </c>
      <c r="K279">
        <v>33</v>
      </c>
      <c r="L279">
        <v>9</v>
      </c>
      <c r="M279">
        <v>0</v>
      </c>
      <c r="N279">
        <v>5</v>
      </c>
      <c r="O279">
        <v>0</v>
      </c>
      <c r="P279">
        <v>1</v>
      </c>
      <c r="Q279">
        <v>2</v>
      </c>
      <c r="R279">
        <v>5.77</v>
      </c>
      <c r="S279">
        <v>1.86</v>
      </c>
      <c r="T279">
        <f t="shared" si="12"/>
        <v>8.1714285714285726</v>
      </c>
      <c r="U279">
        <f t="shared" si="13"/>
        <v>0.64685314685314688</v>
      </c>
      <c r="V279">
        <f>U279-AVERAGEIFS(Pitchers[ER/IP],Pitchers[GS],"&gt;"&amp;0,Pitchers[IP],"&gt;"&amp;3)</f>
        <v>7.5352552053827404E-2</v>
      </c>
      <c r="W279">
        <f>IF(Pitchers[[#This Row],[IP/GS]]&lt;&gt;0,(Pitchers[[#This Row],[WHIP]]*$AH$5+$AI$5)/9*Pitchers[[#This Row],[IP/GS]],(Pitchers[[#This Row],[WHIP]]*$AH$5+$AI$5)/9*(Pitchers[[#This Row],[IP]]/Pitchers[[#This Row],[G]]))</f>
        <v>6.2516134081959223</v>
      </c>
      <c r="X279">
        <f>Pitchers[[#This Row],[Runs from WHIP]]-AVERAGEIFS(Pitchers[Runs from WHIP],Pitchers[GS],"&gt;"&amp;0,Pitchers[IP],"&gt;"&amp;3)</f>
        <v>0.56569750207106306</v>
      </c>
      <c r="Y279">
        <f>IF(Pitchers[[#This Row],[IP/GS]]&lt;&gt;0,Pitchers[[#This Row],[ER/IP From Average]]*Pitchers[[#This Row],[IP/GS]],Pitchers[[#This Row],[ER/IP From Average]]*(Pitchers[[#This Row],[IP]]/Pitchers[[#This Row],[G]]))</f>
        <v>0.61573799678270402</v>
      </c>
      <c r="Z279">
        <f t="shared" si="14"/>
        <v>0.39714786593203177</v>
      </c>
      <c r="AA279" s="32">
        <f>IF(Pitchers[[#This Row],[W]]=0,0,Pitchers[[#This Row],[W]]/(Pitchers[[#This Row],[W]]+Pitchers[[#This Row],[L]]))</f>
        <v>0</v>
      </c>
      <c r="AB279" s="60"/>
    </row>
    <row r="280" spans="1:28" x14ac:dyDescent="0.25">
      <c r="A280" t="s">
        <v>711</v>
      </c>
      <c r="B280" t="s">
        <v>13</v>
      </c>
      <c r="C280">
        <v>58</v>
      </c>
      <c r="D280">
        <v>0</v>
      </c>
      <c r="E280">
        <v>0</v>
      </c>
      <c r="F280">
        <v>0</v>
      </c>
      <c r="G280">
        <v>57.2</v>
      </c>
      <c r="H280">
        <v>44</v>
      </c>
      <c r="I280">
        <v>16</v>
      </c>
      <c r="J280">
        <v>82</v>
      </c>
      <c r="K280">
        <v>14</v>
      </c>
      <c r="L280">
        <v>8</v>
      </c>
      <c r="M280">
        <v>5</v>
      </c>
      <c r="N280">
        <v>1</v>
      </c>
      <c r="O280">
        <v>0</v>
      </c>
      <c r="P280">
        <v>2</v>
      </c>
      <c r="Q280">
        <v>15</v>
      </c>
      <c r="R280">
        <v>2.5</v>
      </c>
      <c r="S280">
        <v>1.01</v>
      </c>
      <c r="T280">
        <f t="shared" si="12"/>
        <v>0</v>
      </c>
      <c r="U280">
        <f t="shared" si="13"/>
        <v>0.27972027972027969</v>
      </c>
      <c r="V280">
        <f>U280-AVERAGEIFS(Pitchers[ER/IP],Pitchers[GS],"&gt;"&amp;0,Pitchers[IP],"&gt;"&amp;3)</f>
        <v>-0.29178031507903979</v>
      </c>
      <c r="W280">
        <f>IF(Pitchers[[#This Row],[IP/GS]]&lt;&gt;0,(Pitchers[[#This Row],[WHIP]]*$AH$5+$AI$5)/9*Pitchers[[#This Row],[IP/GS]],(Pitchers[[#This Row],[WHIP]]*$AH$5+$AI$5)/9*(Pitchers[[#This Row],[IP]]/Pitchers[[#This Row],[G]]))</f>
        <v>0.31929329580405336</v>
      </c>
      <c r="X280">
        <f>Pitchers[[#This Row],[Runs from WHIP]]-AVERAGEIFS(Pitchers[Runs from WHIP],Pitchers[GS],"&gt;"&amp;0,Pitchers[IP],"&gt;"&amp;3)</f>
        <v>-5.3666226103208059</v>
      </c>
      <c r="Y280">
        <f>IF(Pitchers[[#This Row],[IP/GS]]&lt;&gt;0,Pitchers[[#This Row],[ER/IP From Average]]*Pitchers[[#This Row],[IP/GS]],Pitchers[[#This Row],[ER/IP From Average]]*(Pitchers[[#This Row],[IP]]/Pitchers[[#This Row],[G]]))</f>
        <v>-0.28775575900898409</v>
      </c>
      <c r="Z280">
        <f t="shared" si="14"/>
        <v>-1.5462016663558087</v>
      </c>
      <c r="AA280" s="32">
        <f>IF(Pitchers[[#This Row],[W]]=0,0,Pitchers[[#This Row],[W]]/(Pitchers[[#This Row],[W]]+Pitchers[[#This Row],[L]]))</f>
        <v>0.83333333333333337</v>
      </c>
      <c r="AB280" s="60"/>
    </row>
    <row r="281" spans="1:28" x14ac:dyDescent="0.25">
      <c r="A281" t="s">
        <v>1300</v>
      </c>
      <c r="B281" t="s">
        <v>11</v>
      </c>
      <c r="C281">
        <v>56</v>
      </c>
      <c r="D281">
        <v>0</v>
      </c>
      <c r="E281">
        <v>0</v>
      </c>
      <c r="F281">
        <v>0</v>
      </c>
      <c r="G281">
        <v>57.2</v>
      </c>
      <c r="H281">
        <v>56</v>
      </c>
      <c r="I281">
        <v>29</v>
      </c>
      <c r="J281">
        <v>63</v>
      </c>
      <c r="K281">
        <v>19</v>
      </c>
      <c r="L281">
        <v>7</v>
      </c>
      <c r="M281">
        <v>6</v>
      </c>
      <c r="N281">
        <v>4</v>
      </c>
      <c r="O281">
        <v>5</v>
      </c>
      <c r="P281">
        <v>3</v>
      </c>
      <c r="Q281">
        <v>7</v>
      </c>
      <c r="R281">
        <v>4.53</v>
      </c>
      <c r="S281">
        <v>1.3</v>
      </c>
      <c r="T281">
        <f t="shared" si="12"/>
        <v>0</v>
      </c>
      <c r="U281">
        <f t="shared" si="13"/>
        <v>0.50699300699300698</v>
      </c>
      <c r="V281">
        <f>U281-AVERAGEIFS(Pitchers[ER/IP],Pitchers[GS],"&gt;"&amp;0,Pitchers[IP],"&gt;"&amp;3)</f>
        <v>-6.4507587806312494E-2</v>
      </c>
      <c r="W281">
        <f>IF(Pitchers[[#This Row],[IP/GS]]&lt;&gt;0,(Pitchers[[#This Row],[WHIP]]*$AH$5+$AI$5)/9*Pitchers[[#This Row],[IP/GS]],(Pitchers[[#This Row],[WHIP]]*$AH$5+$AI$5)/9*(Pitchers[[#This Row],[IP]]/Pitchers[[#This Row],[G]]))</f>
        <v>0.48448364425112134</v>
      </c>
      <c r="X281">
        <f>Pitchers[[#This Row],[Runs from WHIP]]-AVERAGEIFS(Pitchers[Runs from WHIP],Pitchers[GS],"&gt;"&amp;0,Pitchers[IP],"&gt;"&amp;3)</f>
        <v>-5.2014322618737374</v>
      </c>
      <c r="Y281">
        <f>IF(Pitchers[[#This Row],[IP/GS]]&lt;&gt;0,Pitchers[[#This Row],[ER/IP From Average]]*Pitchers[[#This Row],[IP/GS]],Pitchers[[#This Row],[ER/IP From Average]]*(Pitchers[[#This Row],[IP]]/Pitchers[[#This Row],[G]]))</f>
        <v>-6.5889893259304916E-2</v>
      </c>
      <c r="Z281">
        <f t="shared" si="14"/>
        <v>-1.4134045604700518</v>
      </c>
      <c r="AA281" s="32">
        <f>IF(Pitchers[[#This Row],[W]]=0,0,Pitchers[[#This Row],[W]]/(Pitchers[[#This Row],[W]]+Pitchers[[#This Row],[L]]))</f>
        <v>0.6</v>
      </c>
      <c r="AB281" s="60"/>
    </row>
    <row r="282" spans="1:28" x14ac:dyDescent="0.25">
      <c r="A282" t="s">
        <v>653</v>
      </c>
      <c r="B282" t="s">
        <v>3</v>
      </c>
      <c r="C282">
        <v>55</v>
      </c>
      <c r="D282">
        <v>0</v>
      </c>
      <c r="E282">
        <v>0</v>
      </c>
      <c r="F282">
        <v>0</v>
      </c>
      <c r="G282">
        <v>57.2</v>
      </c>
      <c r="H282">
        <v>47</v>
      </c>
      <c r="I282">
        <v>18</v>
      </c>
      <c r="J282">
        <v>60</v>
      </c>
      <c r="K282">
        <v>15</v>
      </c>
      <c r="L282">
        <v>10</v>
      </c>
      <c r="M282">
        <v>5</v>
      </c>
      <c r="N282">
        <v>1</v>
      </c>
      <c r="O282">
        <v>4</v>
      </c>
      <c r="P282">
        <v>2</v>
      </c>
      <c r="Q282">
        <v>12</v>
      </c>
      <c r="R282">
        <v>2.81</v>
      </c>
      <c r="S282">
        <v>1.08</v>
      </c>
      <c r="T282">
        <f t="shared" si="12"/>
        <v>0</v>
      </c>
      <c r="U282">
        <f t="shared" si="13"/>
        <v>0.31468531468531469</v>
      </c>
      <c r="V282" s="60">
        <f>U282-AVERAGEIFS(Pitchers[ER/IP],Pitchers[GS],"&gt;"&amp;0,Pitchers[IP],"&gt;"&amp;3)</f>
        <v>-0.25681528011400478</v>
      </c>
      <c r="W282" s="60">
        <f>IF(Pitchers[[#This Row],[IP/GS]]&lt;&gt;0,(Pitchers[[#This Row],[WHIP]]*$AH$5+$AI$5)/9*Pitchers[[#This Row],[IP/GS]],(Pitchers[[#This Row],[WHIP]]*$AH$5+$AI$5)/9*(Pitchers[[#This Row],[IP]]/Pitchers[[#This Row],[G]]))</f>
        <v>0.37450522507361228</v>
      </c>
      <c r="X282" s="60">
        <f>Pitchers[[#This Row],[Runs from WHIP]]-AVERAGEIFS(Pitchers[Runs from WHIP],Pitchers[GS],"&gt;"&amp;0,Pitchers[IP],"&gt;"&amp;3)</f>
        <v>-5.3114106810512469</v>
      </c>
      <c r="Y282" s="60">
        <f>IF(Pitchers[[#This Row],[IP/GS]]&lt;&gt;0,Pitchers[[#This Row],[ER/IP From Average]]*Pitchers[[#This Row],[IP/GS]],Pitchers[[#This Row],[ER/IP From Average]]*(Pitchers[[#This Row],[IP]]/Pitchers[[#This Row],[G]]))</f>
        <v>-0.26708789131856497</v>
      </c>
      <c r="Z282" s="60">
        <f t="shared" si="14"/>
        <v>-1.5232113381410921</v>
      </c>
      <c r="AA282" s="32">
        <f>IF(Pitchers[[#This Row],[W]]=0,0,Pitchers[[#This Row],[W]]/(Pitchers[[#This Row],[W]]+Pitchers[[#This Row],[L]]))</f>
        <v>0.83333333333333337</v>
      </c>
      <c r="AB282" s="60"/>
    </row>
    <row r="283" spans="1:28" x14ac:dyDescent="0.25">
      <c r="A283" t="s">
        <v>1415</v>
      </c>
      <c r="B283" t="s">
        <v>3</v>
      </c>
      <c r="C283">
        <v>10</v>
      </c>
      <c r="D283">
        <v>10</v>
      </c>
      <c r="E283">
        <v>0</v>
      </c>
      <c r="F283">
        <v>0</v>
      </c>
      <c r="G283">
        <v>57.2</v>
      </c>
      <c r="H283">
        <v>44</v>
      </c>
      <c r="I283">
        <v>15</v>
      </c>
      <c r="J283">
        <v>46</v>
      </c>
      <c r="K283">
        <v>16</v>
      </c>
      <c r="L283">
        <v>4</v>
      </c>
      <c r="M283">
        <v>3</v>
      </c>
      <c r="N283">
        <v>4</v>
      </c>
      <c r="O283">
        <v>0</v>
      </c>
      <c r="P283">
        <v>0</v>
      </c>
      <c r="Q283">
        <v>0</v>
      </c>
      <c r="R283">
        <v>2.34</v>
      </c>
      <c r="S283">
        <v>1.04</v>
      </c>
      <c r="T283">
        <f t="shared" si="12"/>
        <v>5.7200000000000006</v>
      </c>
      <c r="U283">
        <f t="shared" si="13"/>
        <v>0.26223776223776224</v>
      </c>
      <c r="V283">
        <f>U283-AVERAGEIFS(Pitchers[ER/IP],Pitchers[GS],"&gt;"&amp;0,Pitchers[IP],"&gt;"&amp;3)</f>
        <v>-0.30926283256155723</v>
      </c>
      <c r="W283">
        <f>IF(Pitchers[[#This Row],[IP/GS]]&lt;&gt;0,(Pitchers[[#This Row],[WHIP]]*$AH$5+$AI$5)/9*Pitchers[[#This Row],[IP/GS]],(Pitchers[[#This Row],[WHIP]]*$AH$5+$AI$5)/9*(Pitchers[[#This Row],[IP]]/Pitchers[[#This Row],[G]]))</f>
        <v>1.9409915251955205</v>
      </c>
      <c r="X283">
        <f>Pitchers[[#This Row],[Runs from WHIP]]-AVERAGEIFS(Pitchers[Runs from WHIP],Pitchers[GS],"&gt;"&amp;0,Pitchers[IP],"&gt;"&amp;3)</f>
        <v>-3.7449243809293389</v>
      </c>
      <c r="Y283">
        <f>IF(Pitchers[[#This Row],[IP/GS]]&lt;&gt;0,Pitchers[[#This Row],[ER/IP From Average]]*Pitchers[[#This Row],[IP/GS]],Pitchers[[#This Row],[ER/IP From Average]]*(Pitchers[[#This Row],[IP]]/Pitchers[[#This Row],[G]]))</f>
        <v>-1.7689834022521076</v>
      </c>
      <c r="Z283">
        <f t="shared" si="14"/>
        <v>-1.7062398624819999</v>
      </c>
      <c r="AA283" s="32">
        <f>IF(Pitchers[[#This Row],[W]]=0,0,Pitchers[[#This Row],[W]]/(Pitchers[[#This Row],[W]]+Pitchers[[#This Row],[L]]))</f>
        <v>0.42857142857142855</v>
      </c>
      <c r="AB283" s="60"/>
    </row>
    <row r="284" spans="1:28" x14ac:dyDescent="0.25">
      <c r="A284" t="s">
        <v>553</v>
      </c>
      <c r="B284" t="s">
        <v>3</v>
      </c>
      <c r="C284">
        <v>60</v>
      </c>
      <c r="D284">
        <v>0</v>
      </c>
      <c r="E284">
        <v>0</v>
      </c>
      <c r="F284">
        <v>0</v>
      </c>
      <c r="G284">
        <v>57.1</v>
      </c>
      <c r="H284">
        <v>53</v>
      </c>
      <c r="I284">
        <v>21</v>
      </c>
      <c r="J284">
        <v>84</v>
      </c>
      <c r="K284">
        <v>18</v>
      </c>
      <c r="L284">
        <v>6</v>
      </c>
      <c r="M284">
        <v>6</v>
      </c>
      <c r="N284">
        <v>4</v>
      </c>
      <c r="O284">
        <v>34</v>
      </c>
      <c r="P284">
        <v>5</v>
      </c>
      <c r="Q284">
        <v>0</v>
      </c>
      <c r="R284">
        <v>3.3</v>
      </c>
      <c r="S284">
        <v>1.24</v>
      </c>
      <c r="T284">
        <f t="shared" si="12"/>
        <v>0</v>
      </c>
      <c r="U284">
        <f t="shared" si="13"/>
        <v>0.36777583187390545</v>
      </c>
      <c r="V284">
        <f>U284-AVERAGEIFS(Pitchers[ER/IP],Pitchers[GS],"&gt;"&amp;0,Pitchers[IP],"&gt;"&amp;3)</f>
        <v>-0.20372476292541403</v>
      </c>
      <c r="W284">
        <f>IF(Pitchers[[#This Row],[IP/GS]]&lt;&gt;0,(Pitchers[[#This Row],[WHIP]]*$AH$5+$AI$5)/9*Pitchers[[#This Row],[IP/GS]],(Pitchers[[#This Row],[WHIP]]*$AH$5+$AI$5)/9*(Pitchers[[#This Row],[IP]]/Pitchers[[#This Row],[G]]))</f>
        <v>0.42174931619225786</v>
      </c>
      <c r="X284">
        <f>Pitchers[[#This Row],[Runs from WHIP]]-AVERAGEIFS(Pitchers[Runs from WHIP],Pitchers[GS],"&gt;"&amp;0,Pitchers[IP],"&gt;"&amp;3)</f>
        <v>-5.2641665899326018</v>
      </c>
      <c r="Y284">
        <f>IF(Pitchers[[#This Row],[IP/GS]]&lt;&gt;0,Pitchers[[#This Row],[ER/IP From Average]]*Pitchers[[#This Row],[IP/GS]],Pitchers[[#This Row],[ER/IP From Average]]*(Pitchers[[#This Row],[IP]]/Pitchers[[#This Row],[G]]))</f>
        <v>-0.19387806605068569</v>
      </c>
      <c r="Z284">
        <f t="shared" si="14"/>
        <v>-1.4813289837356349</v>
      </c>
      <c r="AA284" s="32">
        <f>IF(Pitchers[[#This Row],[W]]=0,0,Pitchers[[#This Row],[W]]/(Pitchers[[#This Row],[W]]+Pitchers[[#This Row],[L]]))</f>
        <v>0.6</v>
      </c>
      <c r="AB284" s="60"/>
    </row>
    <row r="285" spans="1:28" x14ac:dyDescent="0.25">
      <c r="A285" t="s">
        <v>581</v>
      </c>
      <c r="B285" t="s">
        <v>8</v>
      </c>
      <c r="C285">
        <v>66</v>
      </c>
      <c r="D285">
        <v>0</v>
      </c>
      <c r="E285">
        <v>0</v>
      </c>
      <c r="F285">
        <v>0</v>
      </c>
      <c r="G285">
        <v>57.1</v>
      </c>
      <c r="H285">
        <v>54</v>
      </c>
      <c r="I285">
        <v>34</v>
      </c>
      <c r="J285">
        <v>55</v>
      </c>
      <c r="K285">
        <v>29</v>
      </c>
      <c r="L285">
        <v>7</v>
      </c>
      <c r="M285">
        <v>1</v>
      </c>
      <c r="N285">
        <v>9</v>
      </c>
      <c r="O285">
        <v>3</v>
      </c>
      <c r="P285">
        <v>5</v>
      </c>
      <c r="Q285">
        <v>11</v>
      </c>
      <c r="R285">
        <v>5.34</v>
      </c>
      <c r="S285">
        <v>1.45</v>
      </c>
      <c r="T285">
        <f t="shared" si="12"/>
        <v>0</v>
      </c>
      <c r="U285">
        <f t="shared" si="13"/>
        <v>0.59544658493870406</v>
      </c>
      <c r="V285">
        <f>U285-AVERAGEIFS(Pitchers[ER/IP],Pitchers[GS],"&gt;"&amp;0,Pitchers[IP],"&gt;"&amp;3)</f>
        <v>2.3945990139384588E-2</v>
      </c>
      <c r="W285">
        <f>IF(Pitchers[[#This Row],[IP/GS]]&lt;&gt;0,(Pitchers[[#This Row],[WHIP]]*$AH$5+$AI$5)/9*Pitchers[[#This Row],[IP/GS]],(Pitchers[[#This Row],[WHIP]]*$AH$5+$AI$5)/9*(Pitchers[[#This Row],[IP]]/Pitchers[[#This Row],[G]]))</f>
        <v>0.47773310554971288</v>
      </c>
      <c r="X285">
        <f>Pitchers[[#This Row],[Runs from WHIP]]-AVERAGEIFS(Pitchers[Runs from WHIP],Pitchers[GS],"&gt;"&amp;0,Pitchers[IP],"&gt;"&amp;3)</f>
        <v>-5.2081828005751465</v>
      </c>
      <c r="Y285">
        <f>IF(Pitchers[[#This Row],[IP/GS]]&lt;&gt;0,Pitchers[[#This Row],[ER/IP From Average]]*Pitchers[[#This Row],[IP/GS]],Pitchers[[#This Row],[ER/IP From Average]]*(Pitchers[[#This Row],[IP]]/Pitchers[[#This Row],[G]]))</f>
        <v>2.0716909650891818E-2</v>
      </c>
      <c r="Z285">
        <f t="shared" si="14"/>
        <v>-1.3805619829596825</v>
      </c>
      <c r="AA285" s="32">
        <f>IF(Pitchers[[#This Row],[W]]=0,0,Pitchers[[#This Row],[W]]/(Pitchers[[#This Row],[W]]+Pitchers[[#This Row],[L]]))</f>
        <v>0.1</v>
      </c>
      <c r="AB285" s="60"/>
    </row>
    <row r="286" spans="1:28" x14ac:dyDescent="0.25">
      <c r="A286" t="s">
        <v>559</v>
      </c>
      <c r="B286" t="s">
        <v>31</v>
      </c>
      <c r="C286">
        <v>62</v>
      </c>
      <c r="D286">
        <v>0</v>
      </c>
      <c r="E286">
        <v>0</v>
      </c>
      <c r="F286">
        <v>0</v>
      </c>
      <c r="G286">
        <v>57</v>
      </c>
      <c r="H286">
        <v>46</v>
      </c>
      <c r="I286">
        <v>17</v>
      </c>
      <c r="J286">
        <v>48</v>
      </c>
      <c r="K286">
        <v>13</v>
      </c>
      <c r="L286">
        <v>5</v>
      </c>
      <c r="M286">
        <v>3</v>
      </c>
      <c r="N286">
        <v>3</v>
      </c>
      <c r="O286">
        <v>1</v>
      </c>
      <c r="P286">
        <v>2</v>
      </c>
      <c r="Q286">
        <v>17</v>
      </c>
      <c r="R286">
        <v>2.68</v>
      </c>
      <c r="S286">
        <v>1.04</v>
      </c>
      <c r="T286">
        <f t="shared" si="12"/>
        <v>0</v>
      </c>
      <c r="U286">
        <f t="shared" si="13"/>
        <v>0.2982456140350877</v>
      </c>
      <c r="V286">
        <f>U286-AVERAGEIFS(Pitchers[ER/IP],Pitchers[GS],"&gt;"&amp;0,Pitchers[IP],"&gt;"&amp;3)</f>
        <v>-0.27325498076423177</v>
      </c>
      <c r="W286">
        <f>IF(Pitchers[[#This Row],[IP/GS]]&lt;&gt;0,(Pitchers[[#This Row],[WHIP]]*$AH$5+$AI$5)/9*Pitchers[[#This Row],[IP/GS]],(Pitchers[[#This Row],[WHIP]]*$AH$5+$AI$5)/9*(Pitchers[[#This Row],[IP]]/Pitchers[[#This Row],[G]]))</f>
        <v>0.31196852282919202</v>
      </c>
      <c r="X286">
        <f>Pitchers[[#This Row],[Runs from WHIP]]-AVERAGEIFS(Pitchers[Runs from WHIP],Pitchers[GS],"&gt;"&amp;0,Pitchers[IP],"&gt;"&amp;3)</f>
        <v>-5.3739473832956675</v>
      </c>
      <c r="Y286">
        <f>IF(Pitchers[[#This Row],[IP/GS]]&lt;&gt;0,Pitchers[[#This Row],[ER/IP From Average]]*Pitchers[[#This Row],[IP/GS]],Pitchers[[#This Row],[ER/IP From Average]]*(Pitchers[[#This Row],[IP]]/Pitchers[[#This Row],[G]]))</f>
        <v>-0.25121828876711627</v>
      </c>
      <c r="Z286">
        <f t="shared" si="14"/>
        <v>-1.533539951052358</v>
      </c>
      <c r="AA286" s="32">
        <f>IF(Pitchers[[#This Row],[W]]=0,0,Pitchers[[#This Row],[W]]/(Pitchers[[#This Row],[W]]+Pitchers[[#This Row],[L]]))</f>
        <v>0.5</v>
      </c>
      <c r="AB286" s="60"/>
    </row>
    <row r="287" spans="1:28" x14ac:dyDescent="0.25">
      <c r="A287" t="s">
        <v>567</v>
      </c>
      <c r="B287" t="s">
        <v>28</v>
      </c>
      <c r="C287">
        <v>60</v>
      </c>
      <c r="D287">
        <v>0</v>
      </c>
      <c r="E287">
        <v>0</v>
      </c>
      <c r="F287">
        <v>0</v>
      </c>
      <c r="G287">
        <v>57</v>
      </c>
      <c r="H287">
        <v>38</v>
      </c>
      <c r="I287">
        <v>14</v>
      </c>
      <c r="J287">
        <v>85</v>
      </c>
      <c r="K287">
        <v>25</v>
      </c>
      <c r="L287">
        <v>3</v>
      </c>
      <c r="M287">
        <v>3</v>
      </c>
      <c r="N287">
        <v>2</v>
      </c>
      <c r="O287">
        <v>37</v>
      </c>
      <c r="P287">
        <v>5</v>
      </c>
      <c r="Q287">
        <v>0</v>
      </c>
      <c r="R287">
        <v>2.21</v>
      </c>
      <c r="S287">
        <v>1.1100000000000001</v>
      </c>
      <c r="T287">
        <f t="shared" si="12"/>
        <v>0</v>
      </c>
      <c r="U287">
        <f t="shared" si="13"/>
        <v>0.24561403508771928</v>
      </c>
      <c r="V287">
        <f>U287-AVERAGEIFS(Pitchers[ER/IP],Pitchers[GS],"&gt;"&amp;0,Pitchers[IP],"&gt;"&amp;3)</f>
        <v>-0.32588655971160019</v>
      </c>
      <c r="W287">
        <f>IF(Pitchers[[#This Row],[IP/GS]]&lt;&gt;0,(Pitchers[[#This Row],[WHIP]]*$AH$5+$AI$5)/9*Pitchers[[#This Row],[IP/GS]],(Pitchers[[#This Row],[WHIP]]*$AH$5+$AI$5)/9*(Pitchers[[#This Row],[IP]]/Pitchers[[#This Row],[G]]))</f>
        <v>0.3568926031582228</v>
      </c>
      <c r="X287">
        <f>Pitchers[[#This Row],[Runs from WHIP]]-AVERAGEIFS(Pitchers[Runs from WHIP],Pitchers[GS],"&gt;"&amp;0,Pitchers[IP],"&gt;"&amp;3)</f>
        <v>-5.3290233029666361</v>
      </c>
      <c r="Y287">
        <f>IF(Pitchers[[#This Row],[IP/GS]]&lt;&gt;0,Pitchers[[#This Row],[ER/IP From Average]]*Pitchers[[#This Row],[IP/GS]],Pitchers[[#This Row],[ER/IP From Average]]*(Pitchers[[#This Row],[IP]]/Pitchers[[#This Row],[G]]))</f>
        <v>-0.30959223172602018</v>
      </c>
      <c r="Z287">
        <f t="shared" si="14"/>
        <v>-1.5449097734815112</v>
      </c>
      <c r="AA287" s="32">
        <f>IF(Pitchers[[#This Row],[W]]=0,0,Pitchers[[#This Row],[W]]/(Pitchers[[#This Row],[W]]+Pitchers[[#This Row],[L]]))</f>
        <v>0.6</v>
      </c>
      <c r="AB287" s="60"/>
    </row>
    <row r="288" spans="1:28" x14ac:dyDescent="0.25">
      <c r="A288" t="s">
        <v>298</v>
      </c>
      <c r="B288" t="s">
        <v>370</v>
      </c>
      <c r="C288">
        <v>17</v>
      </c>
      <c r="D288">
        <v>12</v>
      </c>
      <c r="E288">
        <v>0</v>
      </c>
      <c r="F288">
        <v>0</v>
      </c>
      <c r="G288">
        <v>57</v>
      </c>
      <c r="H288">
        <v>73</v>
      </c>
      <c r="I288">
        <v>43</v>
      </c>
      <c r="J288">
        <v>42</v>
      </c>
      <c r="K288">
        <v>19</v>
      </c>
      <c r="L288">
        <v>12</v>
      </c>
      <c r="M288">
        <v>2</v>
      </c>
      <c r="N288">
        <v>6</v>
      </c>
      <c r="O288">
        <v>0</v>
      </c>
      <c r="P288">
        <v>0</v>
      </c>
      <c r="Q288">
        <v>0</v>
      </c>
      <c r="R288">
        <v>6.79</v>
      </c>
      <c r="S288">
        <v>1.61</v>
      </c>
      <c r="T288">
        <f t="shared" si="12"/>
        <v>4.75</v>
      </c>
      <c r="U288">
        <f t="shared" si="13"/>
        <v>0.75438596491228072</v>
      </c>
      <c r="V288">
        <f>U288-AVERAGEIFS(Pitchers[ER/IP],Pitchers[GS],"&gt;"&amp;0,Pitchers[IP],"&gt;"&amp;3)</f>
        <v>0.18288537011296124</v>
      </c>
      <c r="W288">
        <f>IF(Pitchers[[#This Row],[IP/GS]]&lt;&gt;0,(Pitchers[[#This Row],[WHIP]]*$AH$5+$AI$5)/9*Pitchers[[#This Row],[IP/GS]],(Pitchers[[#This Row],[WHIP]]*$AH$5+$AI$5)/9*(Pitchers[[#This Row],[IP]]/Pitchers[[#This Row],[G]]))</f>
        <v>3.0175033575074619</v>
      </c>
      <c r="X288">
        <f>Pitchers[[#This Row],[Runs from WHIP]]-AVERAGEIFS(Pitchers[Runs from WHIP],Pitchers[GS],"&gt;"&amp;0,Pitchers[IP],"&gt;"&amp;3)</f>
        <v>-2.6684125486173973</v>
      </c>
      <c r="Y288">
        <f>IF(Pitchers[[#This Row],[IP/GS]]&lt;&gt;0,Pitchers[[#This Row],[ER/IP From Average]]*Pitchers[[#This Row],[IP/GS]],Pitchers[[#This Row],[ER/IP From Average]]*(Pitchers[[#This Row],[IP]]/Pitchers[[#This Row],[G]]))</f>
        <v>0.86870550803656588</v>
      </c>
      <c r="Z288">
        <f t="shared" si="14"/>
        <v>-0.36409447641667958</v>
      </c>
      <c r="AA288" s="32">
        <f>IF(Pitchers[[#This Row],[W]]=0,0,Pitchers[[#This Row],[W]]/(Pitchers[[#This Row],[W]]+Pitchers[[#This Row],[L]]))</f>
        <v>0.25</v>
      </c>
      <c r="AB288" s="60"/>
    </row>
    <row r="289" spans="1:28" x14ac:dyDescent="0.25">
      <c r="A289" t="s">
        <v>539</v>
      </c>
      <c r="B289" t="s">
        <v>219</v>
      </c>
      <c r="C289">
        <v>56</v>
      </c>
      <c r="D289">
        <v>0</v>
      </c>
      <c r="E289">
        <v>0</v>
      </c>
      <c r="F289">
        <v>0</v>
      </c>
      <c r="G289">
        <v>56.2</v>
      </c>
      <c r="H289">
        <v>41</v>
      </c>
      <c r="I289">
        <v>18</v>
      </c>
      <c r="J289">
        <v>70</v>
      </c>
      <c r="K289">
        <v>33</v>
      </c>
      <c r="L289">
        <v>4</v>
      </c>
      <c r="M289">
        <v>3</v>
      </c>
      <c r="N289">
        <v>7</v>
      </c>
      <c r="O289">
        <v>0</v>
      </c>
      <c r="P289">
        <v>5</v>
      </c>
      <c r="Q289">
        <v>15</v>
      </c>
      <c r="R289">
        <v>2.86</v>
      </c>
      <c r="S289">
        <v>1.31</v>
      </c>
      <c r="T289">
        <f t="shared" si="12"/>
        <v>0</v>
      </c>
      <c r="U289">
        <f t="shared" si="13"/>
        <v>0.32028469750889677</v>
      </c>
      <c r="V289" s="60">
        <f>U289-AVERAGEIFS(Pitchers[ER/IP],Pitchers[GS],"&gt;"&amp;0,Pitchers[IP],"&gt;"&amp;3)</f>
        <v>-0.25121589729042271</v>
      </c>
      <c r="W289" s="60">
        <f>IF(Pitchers[[#This Row],[IP/GS]]&lt;&gt;0,(Pitchers[[#This Row],[WHIP]]*$AH$5+$AI$5)/9*Pitchers[[#This Row],[IP/GS]],(Pitchers[[#This Row],[WHIP]]*$AH$5+$AI$5)/9*(Pitchers[[#This Row],[IP]]/Pitchers[[#This Row],[G]]))</f>
        <v>0.48122394123775986</v>
      </c>
      <c r="X289" s="60">
        <f>Pitchers[[#This Row],[Runs from WHIP]]-AVERAGEIFS(Pitchers[Runs from WHIP],Pitchers[GS],"&gt;"&amp;0,Pitchers[IP],"&gt;"&amp;3)</f>
        <v>-5.2046919648870995</v>
      </c>
      <c r="Y289" s="60">
        <f>IF(Pitchers[[#This Row],[IP/GS]]&lt;&gt;0,Pitchers[[#This Row],[ER/IP From Average]]*Pitchers[[#This Row],[IP/GS]],Pitchers[[#This Row],[ER/IP From Average]]*(Pitchers[[#This Row],[IP]]/Pitchers[[#This Row],[G]]))</f>
        <v>-0.25211309692360279</v>
      </c>
      <c r="Z289" s="60">
        <f t="shared" si="14"/>
        <v>-1.4887630960726677</v>
      </c>
      <c r="AA289" s="32">
        <f>IF(Pitchers[[#This Row],[W]]=0,0,Pitchers[[#This Row],[W]]/(Pitchers[[#This Row],[W]]+Pitchers[[#This Row],[L]]))</f>
        <v>0.3</v>
      </c>
      <c r="AB289" s="60"/>
    </row>
    <row r="290" spans="1:28" x14ac:dyDescent="0.25">
      <c r="A290" t="s">
        <v>609</v>
      </c>
      <c r="B290" t="s">
        <v>3</v>
      </c>
      <c r="C290">
        <v>68</v>
      </c>
      <c r="D290">
        <v>0</v>
      </c>
      <c r="E290">
        <v>0</v>
      </c>
      <c r="F290">
        <v>0</v>
      </c>
      <c r="G290">
        <v>56.2</v>
      </c>
      <c r="H290">
        <v>56</v>
      </c>
      <c r="I290">
        <v>28</v>
      </c>
      <c r="J290">
        <v>41</v>
      </c>
      <c r="K290">
        <v>19</v>
      </c>
      <c r="L290">
        <v>6</v>
      </c>
      <c r="M290">
        <v>6</v>
      </c>
      <c r="N290">
        <v>3</v>
      </c>
      <c r="O290">
        <v>1</v>
      </c>
      <c r="P290">
        <v>2</v>
      </c>
      <c r="Q290">
        <v>19</v>
      </c>
      <c r="R290">
        <v>4.45</v>
      </c>
      <c r="S290">
        <v>1.32</v>
      </c>
      <c r="T290">
        <f t="shared" si="12"/>
        <v>0</v>
      </c>
      <c r="U290">
        <f t="shared" si="13"/>
        <v>0.49822064056939497</v>
      </c>
      <c r="V290">
        <f>U290-AVERAGEIFS(Pitchers[ER/IP],Pitchers[GS],"&gt;"&amp;0,Pitchers[IP],"&gt;"&amp;3)</f>
        <v>-7.3279954229924504E-2</v>
      </c>
      <c r="W290">
        <f>IF(Pitchers[[#This Row],[IP/GS]]&lt;&gt;0,(Pitchers[[#This Row],[WHIP]]*$AH$5+$AI$5)/9*Pitchers[[#This Row],[IP/GS]],(Pitchers[[#This Row],[WHIP]]*$AH$5+$AI$5)/9*(Pitchers[[#This Row],[IP]]/Pitchers[[#This Row],[G]]))</f>
        <v>0.40059289694530437</v>
      </c>
      <c r="X290">
        <f>Pitchers[[#This Row],[Runs from WHIP]]-AVERAGEIFS(Pitchers[Runs from WHIP],Pitchers[GS],"&gt;"&amp;0,Pitchers[IP],"&gt;"&amp;3)</f>
        <v>-5.2853230091795549</v>
      </c>
      <c r="Y290">
        <f>IF(Pitchers[[#This Row],[IP/GS]]&lt;&gt;0,Pitchers[[#This Row],[ER/IP From Average]]*Pitchers[[#This Row],[IP/GS]],Pitchers[[#This Row],[ER/IP From Average]]*(Pitchers[[#This Row],[IP]]/Pitchers[[#This Row],[G]]))</f>
        <v>-6.0563726878261136E-2</v>
      </c>
      <c r="Z290">
        <f t="shared" si="14"/>
        <v>-1.4336449598658525</v>
      </c>
      <c r="AA290" s="32">
        <f>IF(Pitchers[[#This Row],[W]]=0,0,Pitchers[[#This Row],[W]]/(Pitchers[[#This Row],[W]]+Pitchers[[#This Row],[L]]))</f>
        <v>0.66666666666666663</v>
      </c>
      <c r="AB290" s="60"/>
    </row>
    <row r="291" spans="1:28" x14ac:dyDescent="0.25">
      <c r="A291" t="s">
        <v>336</v>
      </c>
      <c r="B291" t="s">
        <v>12</v>
      </c>
      <c r="C291">
        <v>10</v>
      </c>
      <c r="D291">
        <v>10</v>
      </c>
      <c r="E291">
        <v>0</v>
      </c>
      <c r="F291">
        <v>0</v>
      </c>
      <c r="G291">
        <v>56.1</v>
      </c>
      <c r="H291">
        <v>57</v>
      </c>
      <c r="I291">
        <v>40</v>
      </c>
      <c r="J291">
        <v>68</v>
      </c>
      <c r="K291">
        <v>19</v>
      </c>
      <c r="L291">
        <v>12</v>
      </c>
      <c r="M291">
        <v>2</v>
      </c>
      <c r="N291">
        <v>5</v>
      </c>
      <c r="O291">
        <v>0</v>
      </c>
      <c r="P291">
        <v>0</v>
      </c>
      <c r="Q291">
        <v>0</v>
      </c>
      <c r="R291">
        <v>6.39</v>
      </c>
      <c r="S291">
        <v>1.35</v>
      </c>
      <c r="T291">
        <f t="shared" si="12"/>
        <v>5.61</v>
      </c>
      <c r="U291">
        <f t="shared" si="13"/>
        <v>0.71301247771836007</v>
      </c>
      <c r="V291">
        <f>U291-AVERAGEIFS(Pitchers[ER/IP],Pitchers[GS],"&gt;"&amp;0,Pitchers[IP],"&gt;"&amp;3)</f>
        <v>0.1415118829190406</v>
      </c>
      <c r="W291">
        <f>IF(Pitchers[[#This Row],[IP/GS]]&lt;&gt;0,(Pitchers[[#This Row],[WHIP]]*$AH$5+$AI$5)/9*Pitchers[[#This Row],[IP/GS]],(Pitchers[[#This Row],[WHIP]]*$AH$5+$AI$5)/9*(Pitchers[[#This Row],[IP]]/Pitchers[[#This Row],[G]]))</f>
        <v>2.8065618001604067</v>
      </c>
      <c r="X291">
        <f>Pitchers[[#This Row],[Runs from WHIP]]-AVERAGEIFS(Pitchers[Runs from WHIP],Pitchers[GS],"&gt;"&amp;0,Pitchers[IP],"&gt;"&amp;3)</f>
        <v>-2.8793541059644525</v>
      </c>
      <c r="Y291">
        <f>IF(Pitchers[[#This Row],[IP/GS]]&lt;&gt;0,Pitchers[[#This Row],[ER/IP From Average]]*Pitchers[[#This Row],[IP/GS]],Pitchers[[#This Row],[ER/IP From Average]]*(Pitchers[[#This Row],[IP]]/Pitchers[[#This Row],[G]]))</f>
        <v>0.79388166317581776</v>
      </c>
      <c r="Z291">
        <f t="shared" si="14"/>
        <v>-0.45027509632019352</v>
      </c>
      <c r="AA291" s="32">
        <f>IF(Pitchers[[#This Row],[W]]=0,0,Pitchers[[#This Row],[W]]/(Pitchers[[#This Row],[W]]+Pitchers[[#This Row],[L]]))</f>
        <v>0.2857142857142857</v>
      </c>
      <c r="AB291" s="60"/>
    </row>
    <row r="292" spans="1:28" x14ac:dyDescent="0.25">
      <c r="A292" t="s">
        <v>283</v>
      </c>
      <c r="B292" t="s">
        <v>9</v>
      </c>
      <c r="C292">
        <v>34</v>
      </c>
      <c r="D292">
        <v>8</v>
      </c>
      <c r="E292">
        <v>0</v>
      </c>
      <c r="F292">
        <v>0</v>
      </c>
      <c r="G292">
        <v>56.1</v>
      </c>
      <c r="H292">
        <v>58</v>
      </c>
      <c r="I292">
        <v>34</v>
      </c>
      <c r="J292">
        <v>49</v>
      </c>
      <c r="K292">
        <v>28</v>
      </c>
      <c r="L292">
        <v>7</v>
      </c>
      <c r="M292">
        <v>1</v>
      </c>
      <c r="N292">
        <v>4</v>
      </c>
      <c r="O292">
        <v>0</v>
      </c>
      <c r="P292">
        <v>1</v>
      </c>
      <c r="Q292">
        <v>1</v>
      </c>
      <c r="R292">
        <v>5.43</v>
      </c>
      <c r="S292">
        <v>1.53</v>
      </c>
      <c r="T292">
        <f t="shared" si="12"/>
        <v>7.0125000000000002</v>
      </c>
      <c r="U292">
        <f t="shared" si="13"/>
        <v>0.60606060606060608</v>
      </c>
      <c r="V292" s="60">
        <f>U292-AVERAGEIFS(Pitchers[ER/IP],Pitchers[GS],"&gt;"&amp;0,Pitchers[IP],"&gt;"&amp;3)</f>
        <v>3.4560011261286605E-2</v>
      </c>
      <c r="W292" s="60">
        <f>IF(Pitchers[[#This Row],[IP/GS]]&lt;&gt;0,(Pitchers[[#This Row],[WHIP]]*$AH$5+$AI$5)/9*Pitchers[[#This Row],[IP/GS]],(Pitchers[[#This Row],[WHIP]]*$AH$5+$AI$5)/9*(Pitchers[[#This Row],[IP]]/Pitchers[[#This Row],[G]]))</f>
        <v>4.1635307433927018</v>
      </c>
      <c r="X292" s="60">
        <f>Pitchers[[#This Row],[Runs from WHIP]]-AVERAGEIFS(Pitchers[Runs from WHIP],Pitchers[GS],"&gt;"&amp;0,Pitchers[IP],"&gt;"&amp;3)</f>
        <v>-1.5223851627321574</v>
      </c>
      <c r="Y292" s="60">
        <f>IF(Pitchers[[#This Row],[IP/GS]]&lt;&gt;0,Pitchers[[#This Row],[ER/IP From Average]]*Pitchers[[#This Row],[IP/GS]],Pitchers[[#This Row],[ER/IP From Average]]*(Pitchers[[#This Row],[IP]]/Pitchers[[#This Row],[G]]))</f>
        <v>0.24235207896977232</v>
      </c>
      <c r="Z292" s="60">
        <f t="shared" si="14"/>
        <v>-0.30902854514066636</v>
      </c>
      <c r="AA292" s="32">
        <f>IF(Pitchers[[#This Row],[W]]=0,0,Pitchers[[#This Row],[W]]/(Pitchers[[#This Row],[W]]+Pitchers[[#This Row],[L]]))</f>
        <v>0.2</v>
      </c>
      <c r="AB292" s="60"/>
    </row>
    <row r="293" spans="1:28" x14ac:dyDescent="0.25">
      <c r="A293" t="s">
        <v>1163</v>
      </c>
      <c r="B293" t="s">
        <v>14</v>
      </c>
      <c r="C293">
        <v>58</v>
      </c>
      <c r="D293">
        <v>1</v>
      </c>
      <c r="E293">
        <v>0</v>
      </c>
      <c r="F293">
        <v>0</v>
      </c>
      <c r="G293">
        <v>56.1</v>
      </c>
      <c r="H293">
        <v>44</v>
      </c>
      <c r="I293">
        <v>25</v>
      </c>
      <c r="J293">
        <v>73</v>
      </c>
      <c r="K293">
        <v>27</v>
      </c>
      <c r="L293">
        <v>11</v>
      </c>
      <c r="M293">
        <v>4</v>
      </c>
      <c r="N293">
        <v>4</v>
      </c>
      <c r="O293">
        <v>0</v>
      </c>
      <c r="P293">
        <v>1</v>
      </c>
      <c r="Q293">
        <v>3</v>
      </c>
      <c r="R293">
        <v>3.99</v>
      </c>
      <c r="S293">
        <v>1.26</v>
      </c>
      <c r="T293">
        <f t="shared" si="12"/>
        <v>56.1</v>
      </c>
      <c r="U293">
        <f t="shared" si="13"/>
        <v>0.44563279857397503</v>
      </c>
      <c r="V293">
        <f>U293-AVERAGEIFS(Pitchers[ER/IP],Pitchers[GS],"&gt;"&amp;0,Pitchers[IP],"&gt;"&amp;3)</f>
        <v>-0.12586779622534444</v>
      </c>
      <c r="W293">
        <f>IF(Pitchers[[#This Row],[IP/GS]]&lt;&gt;0,(Pitchers[[#This Row],[WHIP]]*$AH$5+$AI$5)/9*Pitchers[[#This Row],[IP/GS]],(Pitchers[[#This Row],[WHIP]]*$AH$5+$AI$5)/9*(Pitchers[[#This Row],[IP]]/Pitchers[[#This Row],[G]]))</f>
        <v>25.444304028835287</v>
      </c>
      <c r="X293">
        <f>Pitchers[[#This Row],[Runs from WHIP]]-AVERAGEIFS(Pitchers[Runs from WHIP],Pitchers[GS],"&gt;"&amp;0,Pitchers[IP],"&gt;"&amp;3)</f>
        <v>19.758388122710429</v>
      </c>
      <c r="Y293">
        <f>IF(Pitchers[[#This Row],[IP/GS]]&lt;&gt;0,Pitchers[[#This Row],[ER/IP From Average]]*Pitchers[[#This Row],[IP/GS]],Pitchers[[#This Row],[ER/IP From Average]]*(Pitchers[[#This Row],[IP]]/Pitchers[[#This Row],[G]]))</f>
        <v>-7.0611833682418235</v>
      </c>
      <c r="Z293">
        <f t="shared" si="14"/>
        <v>2.4444301520927181</v>
      </c>
      <c r="AA293" s="32">
        <f>IF(Pitchers[[#This Row],[W]]=0,0,Pitchers[[#This Row],[W]]/(Pitchers[[#This Row],[W]]+Pitchers[[#This Row],[L]]))</f>
        <v>0.5</v>
      </c>
      <c r="AB293" s="60"/>
    </row>
    <row r="294" spans="1:28" x14ac:dyDescent="0.25">
      <c r="A294" t="s">
        <v>1323</v>
      </c>
      <c r="B294" t="s">
        <v>218</v>
      </c>
      <c r="C294">
        <v>50</v>
      </c>
      <c r="D294">
        <v>0</v>
      </c>
      <c r="E294">
        <v>0</v>
      </c>
      <c r="F294">
        <v>0</v>
      </c>
      <c r="G294">
        <v>56</v>
      </c>
      <c r="H294">
        <v>36</v>
      </c>
      <c r="I294">
        <v>20</v>
      </c>
      <c r="J294">
        <v>70</v>
      </c>
      <c r="K294">
        <v>19</v>
      </c>
      <c r="L294">
        <v>9</v>
      </c>
      <c r="M294">
        <v>5</v>
      </c>
      <c r="N294">
        <v>2</v>
      </c>
      <c r="O294">
        <v>2</v>
      </c>
      <c r="P294">
        <v>1</v>
      </c>
      <c r="Q294">
        <v>11</v>
      </c>
      <c r="R294">
        <v>3.21</v>
      </c>
      <c r="S294">
        <v>0.98</v>
      </c>
      <c r="T294">
        <f t="shared" si="12"/>
        <v>0</v>
      </c>
      <c r="U294">
        <f t="shared" si="13"/>
        <v>0.35714285714285715</v>
      </c>
      <c r="V294">
        <f>U294-AVERAGEIFS(Pitchers[ER/IP],Pitchers[GS],"&gt;"&amp;0,Pitchers[IP],"&gt;"&amp;3)</f>
        <v>-0.21435773765646232</v>
      </c>
      <c r="W294">
        <f>IF(Pitchers[[#This Row],[IP/GS]]&lt;&gt;0,(Pitchers[[#This Row],[WHIP]]*$AH$5+$AI$5)/9*Pitchers[[#This Row],[IP/GS]],(Pitchers[[#This Row],[WHIP]]*$AH$5+$AI$5)/9*(Pitchers[[#This Row],[IP]]/Pitchers[[#This Row],[G]]))</f>
        <v>0.34516573266910472</v>
      </c>
      <c r="X294">
        <f>Pitchers[[#This Row],[Runs from WHIP]]-AVERAGEIFS(Pitchers[Runs from WHIP],Pitchers[GS],"&gt;"&amp;0,Pitchers[IP],"&gt;"&amp;3)</f>
        <v>-5.3407501734557545</v>
      </c>
      <c r="Y294">
        <f>IF(Pitchers[[#This Row],[IP/GS]]&lt;&gt;0,Pitchers[[#This Row],[ER/IP From Average]]*Pitchers[[#This Row],[IP/GS]],Pitchers[[#This Row],[ER/IP From Average]]*(Pitchers[[#This Row],[IP]]/Pitchers[[#This Row],[G]]))</f>
        <v>-0.24008066617523782</v>
      </c>
      <c r="Z294">
        <f t="shared" si="14"/>
        <v>-1.5202323127249633</v>
      </c>
      <c r="AA294" s="32">
        <f>IF(Pitchers[[#This Row],[W]]=0,0,Pitchers[[#This Row],[W]]/(Pitchers[[#This Row],[W]]+Pitchers[[#This Row],[L]]))</f>
        <v>0.7142857142857143</v>
      </c>
      <c r="AB294" s="60"/>
    </row>
    <row r="295" spans="1:28" x14ac:dyDescent="0.25">
      <c r="A295" t="s">
        <v>588</v>
      </c>
      <c r="B295" t="s">
        <v>12</v>
      </c>
      <c r="C295">
        <v>69</v>
      </c>
      <c r="D295">
        <v>0</v>
      </c>
      <c r="E295">
        <v>0</v>
      </c>
      <c r="F295">
        <v>0</v>
      </c>
      <c r="G295">
        <v>56</v>
      </c>
      <c r="H295">
        <v>44</v>
      </c>
      <c r="I295">
        <v>20</v>
      </c>
      <c r="J295">
        <v>78</v>
      </c>
      <c r="K295">
        <v>35</v>
      </c>
      <c r="L295">
        <v>7</v>
      </c>
      <c r="M295">
        <v>5</v>
      </c>
      <c r="N295">
        <v>3</v>
      </c>
      <c r="O295">
        <v>0</v>
      </c>
      <c r="P295">
        <v>3</v>
      </c>
      <c r="Q295">
        <v>22</v>
      </c>
      <c r="R295">
        <v>3.21</v>
      </c>
      <c r="S295">
        <v>1.41</v>
      </c>
      <c r="T295">
        <f t="shared" si="12"/>
        <v>0</v>
      </c>
      <c r="U295">
        <f t="shared" si="13"/>
        <v>0.35714285714285715</v>
      </c>
      <c r="V295" s="60">
        <f>U295-AVERAGEIFS(Pitchers[ER/IP],Pitchers[GS],"&gt;"&amp;0,Pitchers[IP],"&gt;"&amp;3)</f>
        <v>-0.21435773765646232</v>
      </c>
      <c r="W295" s="60">
        <f>IF(Pitchers[[#This Row],[IP/GS]]&lt;&gt;0,(Pitchers[[#This Row],[WHIP]]*$AH$5+$AI$5)/9*Pitchers[[#This Row],[IP/GS]],(Pitchers[[#This Row],[WHIP]]*$AH$5+$AI$5)/9*(Pitchers[[#This Row],[IP]]/Pitchers[[#This Row],[G]]))</f>
        <v>0.43130460523561148</v>
      </c>
      <c r="X295" s="60">
        <f>Pitchers[[#This Row],[Runs from WHIP]]-AVERAGEIFS(Pitchers[Runs from WHIP],Pitchers[GS],"&gt;"&amp;0,Pitchers[IP],"&gt;"&amp;3)</f>
        <v>-5.2546113008892474</v>
      </c>
      <c r="Y295" s="60">
        <f>IF(Pitchers[[#This Row],[IP/GS]]&lt;&gt;0,Pitchers[[#This Row],[ER/IP From Average]]*Pitchers[[#This Row],[IP/GS]],Pitchers[[#This Row],[ER/IP From Average]]*(Pitchers[[#This Row],[IP]]/Pitchers[[#This Row],[G]]))</f>
        <v>-0.17397149722843319</v>
      </c>
      <c r="Z295" s="60">
        <f t="shared" si="14"/>
        <v>-1.4708182791285056</v>
      </c>
      <c r="AA295" s="32">
        <f>IF(Pitchers[[#This Row],[W]]=0,0,Pitchers[[#This Row],[W]]/(Pitchers[[#This Row],[W]]+Pitchers[[#This Row],[L]]))</f>
        <v>0.625</v>
      </c>
      <c r="AB295" s="60"/>
    </row>
    <row r="296" spans="1:28" x14ac:dyDescent="0.25">
      <c r="A296" t="s">
        <v>493</v>
      </c>
      <c r="B296" t="s">
        <v>11</v>
      </c>
      <c r="C296">
        <v>49</v>
      </c>
      <c r="D296">
        <v>0</v>
      </c>
      <c r="E296">
        <v>0</v>
      </c>
      <c r="F296">
        <v>0</v>
      </c>
      <c r="G296">
        <v>56</v>
      </c>
      <c r="H296">
        <v>39</v>
      </c>
      <c r="I296">
        <v>14</v>
      </c>
      <c r="J296">
        <v>58</v>
      </c>
      <c r="K296">
        <v>23</v>
      </c>
      <c r="L296">
        <v>5</v>
      </c>
      <c r="M296">
        <v>6</v>
      </c>
      <c r="N296">
        <v>1</v>
      </c>
      <c r="O296">
        <v>5</v>
      </c>
      <c r="P296">
        <v>3</v>
      </c>
      <c r="Q296">
        <v>8</v>
      </c>
      <c r="R296">
        <v>2.25</v>
      </c>
      <c r="S296">
        <v>1.1100000000000001</v>
      </c>
      <c r="T296">
        <f t="shared" si="12"/>
        <v>0</v>
      </c>
      <c r="U296">
        <f t="shared" si="13"/>
        <v>0.25</v>
      </c>
      <c r="V296">
        <f>U296-AVERAGEIFS(Pitchers[ER/IP],Pitchers[GS],"&gt;"&amp;0,Pitchers[IP],"&gt;"&amp;3)</f>
        <v>-0.32150059479931947</v>
      </c>
      <c r="W296">
        <f>IF(Pitchers[[#This Row],[IP/GS]]&lt;&gt;0,(Pitchers[[#This Row],[WHIP]]*$AH$5+$AI$5)/9*Pitchers[[#This Row],[IP/GS]],(Pitchers[[#This Row],[WHIP]]*$AH$5+$AI$5)/9*(Pitchers[[#This Row],[IP]]/Pitchers[[#This Row],[G]]))</f>
        <v>0.42934448500237332</v>
      </c>
      <c r="X296">
        <f>Pitchers[[#This Row],[Runs from WHIP]]-AVERAGEIFS(Pitchers[Runs from WHIP],Pitchers[GS],"&gt;"&amp;0,Pitchers[IP],"&gt;"&amp;3)</f>
        <v>-5.2565714211224854</v>
      </c>
      <c r="Y296">
        <f>IF(Pitchers[[#This Row],[IP/GS]]&lt;&gt;0,Pitchers[[#This Row],[ER/IP From Average]]*Pitchers[[#This Row],[IP/GS]],Pitchers[[#This Row],[ER/IP From Average]]*(Pitchers[[#This Row],[IP]]/Pitchers[[#This Row],[G]]))</f>
        <v>-0.36742925119922221</v>
      </c>
      <c r="Z296">
        <f t="shared" si="14"/>
        <v>-1.5487240794456854</v>
      </c>
      <c r="AA296" s="32">
        <f>IF(Pitchers[[#This Row],[W]]=0,0,Pitchers[[#This Row],[W]]/(Pitchers[[#This Row],[W]]+Pitchers[[#This Row],[L]]))</f>
        <v>0.8571428571428571</v>
      </c>
      <c r="AB296" s="60"/>
    </row>
    <row r="297" spans="1:28" x14ac:dyDescent="0.25">
      <c r="A297" t="s">
        <v>1199</v>
      </c>
      <c r="B297" t="s">
        <v>4</v>
      </c>
      <c r="C297">
        <v>51</v>
      </c>
      <c r="D297">
        <v>0</v>
      </c>
      <c r="E297">
        <v>0</v>
      </c>
      <c r="F297">
        <v>0</v>
      </c>
      <c r="G297">
        <v>56</v>
      </c>
      <c r="H297">
        <v>71</v>
      </c>
      <c r="I297">
        <v>30</v>
      </c>
      <c r="J297">
        <v>35</v>
      </c>
      <c r="K297">
        <v>20</v>
      </c>
      <c r="L297">
        <v>6</v>
      </c>
      <c r="M297">
        <v>0</v>
      </c>
      <c r="N297">
        <v>0</v>
      </c>
      <c r="O297">
        <v>0</v>
      </c>
      <c r="P297">
        <v>0</v>
      </c>
      <c r="Q297">
        <v>9</v>
      </c>
      <c r="R297">
        <v>4.82</v>
      </c>
      <c r="S297">
        <v>1.63</v>
      </c>
      <c r="T297">
        <f t="shared" si="12"/>
        <v>0</v>
      </c>
      <c r="U297">
        <f t="shared" si="13"/>
        <v>0.5357142857142857</v>
      </c>
      <c r="V297">
        <f>U297-AVERAGEIFS(Pitchers[ER/IP],Pitchers[GS],"&gt;"&amp;0,Pitchers[IP],"&gt;"&amp;3)</f>
        <v>-3.5786309085033774E-2</v>
      </c>
      <c r="W297">
        <f>IF(Pitchers[[#This Row],[IP/GS]]&lt;&gt;0,(Pitchers[[#This Row],[WHIP]]*$AH$5+$AI$5)/9*Pitchers[[#This Row],[IP/GS]],(Pitchers[[#This Row],[WHIP]]*$AH$5+$AI$5)/9*(Pitchers[[#This Row],[IP]]/Pitchers[[#This Row],[G]]))</f>
        <v>0.70894612336785345</v>
      </c>
      <c r="X297">
        <f>Pitchers[[#This Row],[Runs from WHIP]]-AVERAGEIFS(Pitchers[Runs from WHIP],Pitchers[GS],"&gt;"&amp;0,Pitchers[IP],"&gt;"&amp;3)</f>
        <v>-4.9769697827570054</v>
      </c>
      <c r="Y297">
        <f>IF(Pitchers[[#This Row],[IP/GS]]&lt;&gt;0,Pitchers[[#This Row],[ER/IP From Average]]*Pitchers[[#This Row],[IP/GS]],Pitchers[[#This Row],[ER/IP From Average]]*(Pitchers[[#This Row],[IP]]/Pitchers[[#This Row],[G]]))</f>
        <v>-3.9294770760037089E-2</v>
      </c>
      <c r="Z297">
        <f t="shared" si="14"/>
        <v>-1.3429098503725496</v>
      </c>
      <c r="AA297" s="32">
        <f>IF(Pitchers[[#This Row],[W]]=0,0,Pitchers[[#This Row],[W]]/(Pitchers[[#This Row],[W]]+Pitchers[[#This Row],[L]]))</f>
        <v>0</v>
      </c>
      <c r="AB297" s="60"/>
    </row>
    <row r="298" spans="1:28" x14ac:dyDescent="0.25">
      <c r="A298" t="s">
        <v>503</v>
      </c>
      <c r="B298" t="s">
        <v>9</v>
      </c>
      <c r="C298">
        <v>62</v>
      </c>
      <c r="D298">
        <v>0</v>
      </c>
      <c r="E298">
        <v>0</v>
      </c>
      <c r="F298">
        <v>0</v>
      </c>
      <c r="G298">
        <v>55.2</v>
      </c>
      <c r="H298">
        <v>51</v>
      </c>
      <c r="I298">
        <v>30</v>
      </c>
      <c r="J298">
        <v>61</v>
      </c>
      <c r="K298">
        <v>21</v>
      </c>
      <c r="L298">
        <v>9</v>
      </c>
      <c r="M298">
        <v>2</v>
      </c>
      <c r="N298">
        <v>4</v>
      </c>
      <c r="O298">
        <v>7</v>
      </c>
      <c r="P298">
        <v>4</v>
      </c>
      <c r="Q298">
        <v>10</v>
      </c>
      <c r="R298">
        <v>4.8499999999999996</v>
      </c>
      <c r="S298">
        <v>1.29</v>
      </c>
      <c r="T298">
        <f t="shared" si="12"/>
        <v>0</v>
      </c>
      <c r="U298">
        <f t="shared" si="13"/>
        <v>0.54347826086956519</v>
      </c>
      <c r="V298">
        <f>U298-AVERAGEIFS(Pitchers[ER/IP],Pitchers[GS],"&gt;"&amp;0,Pitchers[IP],"&gt;"&amp;3)</f>
        <v>-2.8022333929754284E-2</v>
      </c>
      <c r="W298">
        <f>IF(Pitchers[[#This Row],[IP/GS]]&lt;&gt;0,(Pitchers[[#This Row],[WHIP]]*$AH$5+$AI$5)/9*Pitchers[[#This Row],[IP/GS]],(Pitchers[[#This Row],[WHIP]]*$AH$5+$AI$5)/9*(Pitchers[[#This Row],[IP]]/Pitchers[[#This Row],[G]]))</f>
        <v>0.41767516516895337</v>
      </c>
      <c r="X298">
        <f>Pitchers[[#This Row],[Runs from WHIP]]-AVERAGEIFS(Pitchers[Runs from WHIP],Pitchers[GS],"&gt;"&amp;0,Pitchers[IP],"&gt;"&amp;3)</f>
        <v>-5.268240740955906</v>
      </c>
      <c r="Y298">
        <f>IF(Pitchers[[#This Row],[IP/GS]]&lt;&gt;0,Pitchers[[#This Row],[ER/IP From Average]]*Pitchers[[#This Row],[IP/GS]],Pitchers[[#This Row],[ER/IP From Average]]*(Pitchers[[#This Row],[IP]]/Pitchers[[#This Row],[G]]))</f>
        <v>-2.4948916660039299E-2</v>
      </c>
      <c r="Z298">
        <f t="shared" si="14"/>
        <v>-1.4148437642522571</v>
      </c>
      <c r="AA298" s="32">
        <f>IF(Pitchers[[#This Row],[W]]=0,0,Pitchers[[#This Row],[W]]/(Pitchers[[#This Row],[W]]+Pitchers[[#This Row],[L]]))</f>
        <v>0.33333333333333331</v>
      </c>
      <c r="AB298" s="60"/>
    </row>
    <row r="299" spans="1:28" x14ac:dyDescent="0.25">
      <c r="A299" t="s">
        <v>281</v>
      </c>
      <c r="B299" t="s">
        <v>218</v>
      </c>
      <c r="C299">
        <v>41</v>
      </c>
      <c r="D299">
        <v>27</v>
      </c>
      <c r="E299">
        <v>0</v>
      </c>
      <c r="F299">
        <v>0</v>
      </c>
      <c r="G299">
        <v>55.2</v>
      </c>
      <c r="H299">
        <v>44</v>
      </c>
      <c r="I299">
        <v>21</v>
      </c>
      <c r="J299">
        <v>61</v>
      </c>
      <c r="K299">
        <v>20</v>
      </c>
      <c r="L299">
        <v>7</v>
      </c>
      <c r="M299">
        <v>0</v>
      </c>
      <c r="N299">
        <v>2</v>
      </c>
      <c r="O299">
        <v>0</v>
      </c>
      <c r="P299">
        <v>0</v>
      </c>
      <c r="Q299">
        <v>2</v>
      </c>
      <c r="R299">
        <v>3.4</v>
      </c>
      <c r="S299">
        <v>1.1499999999999999</v>
      </c>
      <c r="T299">
        <f t="shared" si="12"/>
        <v>2.0444444444444447</v>
      </c>
      <c r="U299">
        <f t="shared" si="13"/>
        <v>0.38043478260869562</v>
      </c>
      <c r="V299" s="60">
        <f>U299-AVERAGEIFS(Pitchers[ER/IP],Pitchers[GS],"&gt;"&amp;0,Pitchers[IP],"&gt;"&amp;3)</f>
        <v>-0.19106581219062385</v>
      </c>
      <c r="W299">
        <f>IF(Pitchers[[#This Row],[IP/GS]]&lt;&gt;0,(Pitchers[[#This Row],[WHIP]]*$AH$5+$AI$5)/9*Pitchers[[#This Row],[IP/GS]],(Pitchers[[#This Row],[WHIP]]*$AH$5+$AI$5)/9*(Pitchers[[#This Row],[IP]]/Pitchers[[#This Row],[G]]))</f>
        <v>0.81050654675001088</v>
      </c>
      <c r="X299" s="60">
        <f>Pitchers[[#This Row],[Runs from WHIP]]-AVERAGEIFS(Pitchers[Runs from WHIP],Pitchers[GS],"&gt;"&amp;0,Pitchers[IP],"&gt;"&amp;3)</f>
        <v>-4.8754093593748484</v>
      </c>
      <c r="Y299">
        <f>IF(Pitchers[[#This Row],[IP/GS]]&lt;&gt;0,Pitchers[[#This Row],[ER/IP From Average]]*Pitchers[[#This Row],[IP/GS]],Pitchers[[#This Row],[ER/IP From Average]]*(Pitchers[[#This Row],[IP]]/Pitchers[[#This Row],[G]]))</f>
        <v>-0.39062343825638657</v>
      </c>
      <c r="Z299" s="60">
        <f t="shared" si="14"/>
        <v>-1.4563585378025146</v>
      </c>
      <c r="AA299" s="32">
        <f>IF(Pitchers[[#This Row],[W]]=0,0,Pitchers[[#This Row],[W]]/(Pitchers[[#This Row],[W]]+Pitchers[[#This Row],[L]]))</f>
        <v>0</v>
      </c>
      <c r="AB299" s="60"/>
    </row>
    <row r="300" spans="1:28" x14ac:dyDescent="0.25">
      <c r="A300" t="s">
        <v>526</v>
      </c>
      <c r="B300" t="s">
        <v>15</v>
      </c>
      <c r="C300">
        <v>11</v>
      </c>
      <c r="D300">
        <v>11</v>
      </c>
      <c r="E300">
        <v>0</v>
      </c>
      <c r="F300">
        <v>0</v>
      </c>
      <c r="G300">
        <v>55.1</v>
      </c>
      <c r="H300">
        <v>60</v>
      </c>
      <c r="I300">
        <v>33</v>
      </c>
      <c r="J300">
        <v>43</v>
      </c>
      <c r="K300">
        <v>24</v>
      </c>
      <c r="L300">
        <v>7</v>
      </c>
      <c r="M300">
        <v>1</v>
      </c>
      <c r="N300">
        <v>4</v>
      </c>
      <c r="O300">
        <v>0</v>
      </c>
      <c r="P300">
        <v>0</v>
      </c>
      <c r="Q300">
        <v>0</v>
      </c>
      <c r="R300">
        <v>5.37</v>
      </c>
      <c r="S300">
        <v>1.52</v>
      </c>
      <c r="T300">
        <f t="shared" si="12"/>
        <v>5.0090909090909088</v>
      </c>
      <c r="U300">
        <f t="shared" si="13"/>
        <v>0.59891107078039929</v>
      </c>
      <c r="V300">
        <f>U300-AVERAGEIFS(Pitchers[ER/IP],Pitchers[GS],"&gt;"&amp;0,Pitchers[IP],"&gt;"&amp;3)</f>
        <v>2.7410475981079818E-2</v>
      </c>
      <c r="W300">
        <f>IF(Pitchers[[#This Row],[IP/GS]]&lt;&gt;0,(Pitchers[[#This Row],[WHIP]]*$AH$5+$AI$5)/9*Pitchers[[#This Row],[IP/GS]],(Pitchers[[#This Row],[WHIP]]*$AH$5+$AI$5)/9*(Pitchers[[#This Row],[IP]]/Pitchers[[#This Row],[G]]))</f>
        <v>2.9480409739620743</v>
      </c>
      <c r="X300">
        <f>Pitchers[[#This Row],[Runs from WHIP]]-AVERAGEIFS(Pitchers[Runs from WHIP],Pitchers[GS],"&gt;"&amp;0,Pitchers[IP],"&gt;"&amp;3)</f>
        <v>-2.7378749321627849</v>
      </c>
      <c r="Y300">
        <f>IF(Pitchers[[#This Row],[IP/GS]]&lt;&gt;0,Pitchers[[#This Row],[ER/IP From Average]]*Pitchers[[#This Row],[IP/GS]],Pitchers[[#This Row],[ER/IP From Average]]*(Pitchers[[#This Row],[IP]]/Pitchers[[#This Row],[G]]))</f>
        <v>0.13730156605068164</v>
      </c>
      <c r="Z300">
        <f t="shared" si="14"/>
        <v>-0.67517935548980323</v>
      </c>
      <c r="AA300" s="32">
        <f>IF(Pitchers[[#This Row],[W]]=0,0,Pitchers[[#This Row],[W]]/(Pitchers[[#This Row],[W]]+Pitchers[[#This Row],[L]]))</f>
        <v>0.2</v>
      </c>
      <c r="AB300" s="60"/>
    </row>
    <row r="301" spans="1:28" x14ac:dyDescent="0.25">
      <c r="A301" t="s">
        <v>703</v>
      </c>
      <c r="B301" t="s">
        <v>8</v>
      </c>
      <c r="C301">
        <v>53</v>
      </c>
      <c r="D301">
        <v>1</v>
      </c>
      <c r="E301">
        <v>0</v>
      </c>
      <c r="F301">
        <v>0</v>
      </c>
      <c r="G301">
        <v>55.1</v>
      </c>
      <c r="H301">
        <v>65</v>
      </c>
      <c r="I301">
        <v>33</v>
      </c>
      <c r="J301">
        <v>30</v>
      </c>
      <c r="K301">
        <v>8</v>
      </c>
      <c r="L301">
        <v>6</v>
      </c>
      <c r="M301">
        <v>3</v>
      </c>
      <c r="N301">
        <v>0</v>
      </c>
      <c r="O301">
        <v>4</v>
      </c>
      <c r="P301">
        <v>1</v>
      </c>
      <c r="Q301">
        <v>5</v>
      </c>
      <c r="R301">
        <v>5.37</v>
      </c>
      <c r="S301">
        <v>1.32</v>
      </c>
      <c r="T301">
        <f t="shared" si="12"/>
        <v>55.1</v>
      </c>
      <c r="U301">
        <f t="shared" si="13"/>
        <v>0.59891107078039929</v>
      </c>
      <c r="V301">
        <f>U301-AVERAGEIFS(Pitchers[ER/IP],Pitchers[GS],"&gt;"&amp;0,Pitchers[IP],"&gt;"&amp;3)</f>
        <v>2.7410475981079818E-2</v>
      </c>
      <c r="W301">
        <f>IF(Pitchers[[#This Row],[IP/GS]]&lt;&gt;0,(Pitchers[[#This Row],[WHIP]]*$AH$5+$AI$5)/9*Pitchers[[#This Row],[IP/GS]],(Pitchers[[#This Row],[WHIP]]*$AH$5+$AI$5)/9*(Pitchers[[#This Row],[IP]]/Pitchers[[#This Row],[G]]))</f>
        <v>26.707143528018971</v>
      </c>
      <c r="X301">
        <f>Pitchers[[#This Row],[Runs from WHIP]]-AVERAGEIFS(Pitchers[Runs from WHIP],Pitchers[GS],"&gt;"&amp;0,Pitchers[IP],"&gt;"&amp;3)</f>
        <v>21.021227621894113</v>
      </c>
      <c r="Y301">
        <f>IF(Pitchers[[#This Row],[IP/GS]]&lt;&gt;0,Pitchers[[#This Row],[ER/IP From Average]]*Pitchers[[#This Row],[IP/GS]],Pitchers[[#This Row],[ER/IP From Average]]*(Pitchers[[#This Row],[IP]]/Pitchers[[#This Row],[G]]))</f>
        <v>1.510317226557498</v>
      </c>
      <c r="Z301">
        <f t="shared" si="14"/>
        <v>6.2097875897947619</v>
      </c>
      <c r="AA301" s="32">
        <f>IF(Pitchers[[#This Row],[W]]=0,0,Pitchers[[#This Row],[W]]/(Pitchers[[#This Row],[W]]+Pitchers[[#This Row],[L]]))</f>
        <v>1</v>
      </c>
      <c r="AB301" s="60"/>
    </row>
    <row r="302" spans="1:28" x14ac:dyDescent="0.25">
      <c r="A302" t="s">
        <v>599</v>
      </c>
      <c r="B302" t="s">
        <v>370</v>
      </c>
      <c r="C302">
        <v>37</v>
      </c>
      <c r="D302">
        <v>1</v>
      </c>
      <c r="E302">
        <v>0</v>
      </c>
      <c r="F302">
        <v>0</v>
      </c>
      <c r="G302">
        <v>55.1</v>
      </c>
      <c r="H302">
        <v>72</v>
      </c>
      <c r="I302">
        <v>33</v>
      </c>
      <c r="J302">
        <v>52</v>
      </c>
      <c r="K302">
        <v>15</v>
      </c>
      <c r="L302">
        <v>6</v>
      </c>
      <c r="M302">
        <v>0</v>
      </c>
      <c r="N302">
        <v>1</v>
      </c>
      <c r="O302">
        <v>0</v>
      </c>
      <c r="P302">
        <v>1</v>
      </c>
      <c r="Q302">
        <v>5</v>
      </c>
      <c r="R302">
        <v>5.37</v>
      </c>
      <c r="S302">
        <v>1.57</v>
      </c>
      <c r="T302">
        <f t="shared" si="12"/>
        <v>55.1</v>
      </c>
      <c r="U302">
        <f t="shared" si="13"/>
        <v>0.59891107078039929</v>
      </c>
      <c r="V302">
        <f>U302-AVERAGEIFS(Pitchers[ER/IP],Pitchers[GS],"&gt;"&amp;0,Pitchers[IP],"&gt;"&amp;3)</f>
        <v>2.7410475981079818E-2</v>
      </c>
      <c r="W302">
        <f>IF(Pitchers[[#This Row],[IP/GS]]&lt;&gt;0,(Pitchers[[#This Row],[WHIP]]*$AH$5+$AI$5)/9*Pitchers[[#This Row],[IP/GS]],(Pitchers[[#This Row],[WHIP]]*$AH$5+$AI$5)/9*(Pitchers[[#This Row],[IP]]/Pitchers[[#This Row],[G]]))</f>
        <v>33.858777509973784</v>
      </c>
      <c r="X302">
        <f>Pitchers[[#This Row],[Runs from WHIP]]-AVERAGEIFS(Pitchers[Runs from WHIP],Pitchers[GS],"&gt;"&amp;0,Pitchers[IP],"&gt;"&amp;3)</f>
        <v>28.172861603848926</v>
      </c>
      <c r="Y302">
        <f>IF(Pitchers[[#This Row],[IP/GS]]&lt;&gt;0,Pitchers[[#This Row],[ER/IP From Average]]*Pitchers[[#This Row],[IP/GS]],Pitchers[[#This Row],[ER/IP From Average]]*(Pitchers[[#This Row],[IP]]/Pitchers[[#This Row],[G]]))</f>
        <v>1.510317226557498</v>
      </c>
      <c r="Z302">
        <f t="shared" si="14"/>
        <v>8.1168899849827127</v>
      </c>
      <c r="AA302" s="32">
        <f>IF(Pitchers[[#This Row],[W]]=0,0,Pitchers[[#This Row],[W]]/(Pitchers[[#This Row],[W]]+Pitchers[[#This Row],[L]]))</f>
        <v>0</v>
      </c>
      <c r="AB302" s="60"/>
    </row>
    <row r="303" spans="1:28" x14ac:dyDescent="0.25">
      <c r="A303" t="s">
        <v>693</v>
      </c>
      <c r="B303" t="s">
        <v>24</v>
      </c>
      <c r="C303">
        <v>65</v>
      </c>
      <c r="D303">
        <v>0</v>
      </c>
      <c r="E303">
        <v>0</v>
      </c>
      <c r="F303">
        <v>0</v>
      </c>
      <c r="G303">
        <v>55</v>
      </c>
      <c r="H303">
        <v>33</v>
      </c>
      <c r="I303">
        <v>23</v>
      </c>
      <c r="J303">
        <v>48</v>
      </c>
      <c r="K303">
        <v>23</v>
      </c>
      <c r="L303">
        <v>7</v>
      </c>
      <c r="M303">
        <v>2</v>
      </c>
      <c r="N303">
        <v>1</v>
      </c>
      <c r="O303">
        <v>1</v>
      </c>
      <c r="P303">
        <v>0</v>
      </c>
      <c r="Q303">
        <v>8</v>
      </c>
      <c r="R303">
        <v>3.76</v>
      </c>
      <c r="S303">
        <v>1.02</v>
      </c>
      <c r="T303">
        <f t="shared" si="12"/>
        <v>0</v>
      </c>
      <c r="U303">
        <f t="shared" si="13"/>
        <v>0.41818181818181815</v>
      </c>
      <c r="V303">
        <f>U303-AVERAGEIFS(Pitchers[ER/IP],Pitchers[GS],"&gt;"&amp;0,Pitchers[IP],"&gt;"&amp;3)</f>
        <v>-0.15331877661750132</v>
      </c>
      <c r="W303">
        <f>IF(Pitchers[[#This Row],[IP/GS]]&lt;&gt;0,(Pitchers[[#This Row],[WHIP]]*$AH$5+$AI$5)/9*Pitchers[[#This Row],[IP/GS]],(Pitchers[[#This Row],[WHIP]]*$AH$5+$AI$5)/9*(Pitchers[[#This Row],[IP]]/Pitchers[[#This Row],[G]]))</f>
        <v>0.27834288740249208</v>
      </c>
      <c r="X303">
        <f>Pitchers[[#This Row],[Runs from WHIP]]-AVERAGEIFS(Pitchers[Runs from WHIP],Pitchers[GS],"&gt;"&amp;0,Pitchers[IP],"&gt;"&amp;3)</f>
        <v>-5.407573018722367</v>
      </c>
      <c r="Y303">
        <f>IF(Pitchers[[#This Row],[IP/GS]]&lt;&gt;0,Pitchers[[#This Row],[ER/IP From Average]]*Pitchers[[#This Row],[IP/GS]],Pitchers[[#This Row],[ER/IP From Average]]*(Pitchers[[#This Row],[IP]]/Pitchers[[#This Row],[G]]))</f>
        <v>-0.12973127252250111</v>
      </c>
      <c r="Z303">
        <f t="shared" si="14"/>
        <v>-1.4939119806682986</v>
      </c>
      <c r="AA303" s="32">
        <f>IF(Pitchers[[#This Row],[W]]=0,0,Pitchers[[#This Row],[W]]/(Pitchers[[#This Row],[W]]+Pitchers[[#This Row],[L]]))</f>
        <v>0.66666666666666663</v>
      </c>
      <c r="AB303" s="60"/>
    </row>
    <row r="304" spans="1:28" x14ac:dyDescent="0.25">
      <c r="A304" t="s">
        <v>613</v>
      </c>
      <c r="B304" t="s">
        <v>361</v>
      </c>
      <c r="C304">
        <v>68</v>
      </c>
      <c r="D304">
        <v>0</v>
      </c>
      <c r="E304">
        <v>0</v>
      </c>
      <c r="F304">
        <v>0</v>
      </c>
      <c r="G304">
        <v>55</v>
      </c>
      <c r="H304">
        <v>44</v>
      </c>
      <c r="I304">
        <v>29</v>
      </c>
      <c r="J304">
        <v>68</v>
      </c>
      <c r="K304">
        <v>43</v>
      </c>
      <c r="L304">
        <v>7</v>
      </c>
      <c r="M304">
        <v>3</v>
      </c>
      <c r="N304">
        <v>4</v>
      </c>
      <c r="O304">
        <v>0</v>
      </c>
      <c r="P304">
        <v>2</v>
      </c>
      <c r="Q304">
        <v>12</v>
      </c>
      <c r="R304">
        <v>4.75</v>
      </c>
      <c r="S304">
        <v>1.58</v>
      </c>
      <c r="T304">
        <f t="shared" si="12"/>
        <v>0</v>
      </c>
      <c r="U304">
        <f t="shared" si="13"/>
        <v>0.52727272727272723</v>
      </c>
      <c r="V304" s="60">
        <f>U304-AVERAGEIFS(Pitchers[ER/IP],Pitchers[GS],"&gt;"&amp;0,Pitchers[IP],"&gt;"&amp;3)</f>
        <v>-4.4227867526592246E-2</v>
      </c>
      <c r="W304" s="60">
        <f>IF(Pitchers[[#This Row],[IP/GS]]&lt;&gt;0,(Pitchers[[#This Row],[WHIP]]*$AH$5+$AI$5)/9*Pitchers[[#This Row],[IP/GS]],(Pitchers[[#This Row],[WHIP]]*$AH$5+$AI$5)/9*(Pitchers[[#This Row],[IP]]/Pitchers[[#This Row],[G]]))</f>
        <v>0.5012187354032398</v>
      </c>
      <c r="X304" s="60">
        <f>Pitchers[[#This Row],[Runs from WHIP]]-AVERAGEIFS(Pitchers[Runs from WHIP],Pitchers[GS],"&gt;"&amp;0,Pitchers[IP],"&gt;"&amp;3)</f>
        <v>-5.1846971707216198</v>
      </c>
      <c r="Y304" s="60">
        <f>IF(Pitchers[[#This Row],[IP/GS]]&lt;&gt;0,Pitchers[[#This Row],[ER/IP From Average]]*Pitchers[[#This Row],[IP/GS]],Pitchers[[#This Row],[ER/IP From Average]]*(Pitchers[[#This Row],[IP]]/Pitchers[[#This Row],[G]]))</f>
        <v>-3.5772539911214318E-2</v>
      </c>
      <c r="Z304" s="60">
        <f t="shared" si="14"/>
        <v>-1.3968949281569174</v>
      </c>
      <c r="AA304" s="32">
        <f>IF(Pitchers[[#This Row],[W]]=0,0,Pitchers[[#This Row],[W]]/(Pitchers[[#This Row],[W]]+Pitchers[[#This Row],[L]]))</f>
        <v>0.42857142857142855</v>
      </c>
      <c r="AB304" s="60"/>
    </row>
    <row r="305" spans="1:28" x14ac:dyDescent="0.25">
      <c r="A305" t="s">
        <v>419</v>
      </c>
      <c r="B305" t="s">
        <v>17</v>
      </c>
      <c r="C305">
        <v>10</v>
      </c>
      <c r="D305">
        <v>10</v>
      </c>
      <c r="E305">
        <v>0</v>
      </c>
      <c r="F305">
        <v>0</v>
      </c>
      <c r="G305">
        <v>55</v>
      </c>
      <c r="H305">
        <v>61</v>
      </c>
      <c r="I305">
        <v>28</v>
      </c>
      <c r="J305">
        <v>50</v>
      </c>
      <c r="K305">
        <v>13</v>
      </c>
      <c r="L305">
        <v>14</v>
      </c>
      <c r="M305">
        <v>4</v>
      </c>
      <c r="N305">
        <v>3</v>
      </c>
      <c r="O305">
        <v>0</v>
      </c>
      <c r="P305">
        <v>0</v>
      </c>
      <c r="Q305">
        <v>0</v>
      </c>
      <c r="R305">
        <v>4.58</v>
      </c>
      <c r="S305">
        <v>1.35</v>
      </c>
      <c r="T305">
        <f t="shared" si="12"/>
        <v>5.5</v>
      </c>
      <c r="U305">
        <f t="shared" si="13"/>
        <v>0.50909090909090904</v>
      </c>
      <c r="V305">
        <f>U305-AVERAGEIFS(Pitchers[ER/IP],Pitchers[GS],"&gt;"&amp;0,Pitchers[IP],"&gt;"&amp;3)</f>
        <v>-6.2409685708410434E-2</v>
      </c>
      <c r="W305">
        <f>IF(Pitchers[[#This Row],[IP/GS]]&lt;&gt;0,(Pitchers[[#This Row],[WHIP]]*$AH$5+$AI$5)/9*Pitchers[[#This Row],[IP/GS]],(Pitchers[[#This Row],[WHIP]]*$AH$5+$AI$5)/9*(Pitchers[[#This Row],[IP]]/Pitchers[[#This Row],[G]]))</f>
        <v>2.7515311766278496</v>
      </c>
      <c r="X305">
        <f>Pitchers[[#This Row],[Runs from WHIP]]-AVERAGEIFS(Pitchers[Runs from WHIP],Pitchers[GS],"&gt;"&amp;0,Pitchers[IP],"&gt;"&amp;3)</f>
        <v>-2.9343847294970096</v>
      </c>
      <c r="Y305">
        <f>IF(Pitchers[[#This Row],[IP/GS]]&lt;&gt;0,Pitchers[[#This Row],[ER/IP From Average]]*Pitchers[[#This Row],[IP/GS]],Pitchers[[#This Row],[ER/IP From Average]]*(Pitchers[[#This Row],[IP]]/Pitchers[[#This Row],[G]]))</f>
        <v>-0.34325327139625739</v>
      </c>
      <c r="Z305">
        <f t="shared" si="14"/>
        <v>-0.91980390309103877</v>
      </c>
      <c r="AA305" s="32">
        <f>IF(Pitchers[[#This Row],[W]]=0,0,Pitchers[[#This Row],[W]]/(Pitchers[[#This Row],[W]]+Pitchers[[#This Row],[L]]))</f>
        <v>0.5714285714285714</v>
      </c>
      <c r="AB305" s="60"/>
    </row>
    <row r="306" spans="1:28" x14ac:dyDescent="0.25">
      <c r="A306" t="s">
        <v>633</v>
      </c>
      <c r="B306" t="s">
        <v>9</v>
      </c>
      <c r="C306">
        <v>58</v>
      </c>
      <c r="D306">
        <v>0</v>
      </c>
      <c r="E306">
        <v>0</v>
      </c>
      <c r="F306">
        <v>0</v>
      </c>
      <c r="G306">
        <v>54.2</v>
      </c>
      <c r="H306">
        <v>59</v>
      </c>
      <c r="I306">
        <v>25</v>
      </c>
      <c r="J306">
        <v>52</v>
      </c>
      <c r="K306">
        <v>34</v>
      </c>
      <c r="L306">
        <v>6</v>
      </c>
      <c r="M306">
        <v>1</v>
      </c>
      <c r="N306">
        <v>2</v>
      </c>
      <c r="O306">
        <v>0</v>
      </c>
      <c r="P306">
        <v>1</v>
      </c>
      <c r="Q306">
        <v>6</v>
      </c>
      <c r="R306">
        <v>4.12</v>
      </c>
      <c r="S306">
        <v>1.7</v>
      </c>
      <c r="T306">
        <f t="shared" si="12"/>
        <v>0</v>
      </c>
      <c r="U306">
        <f t="shared" si="13"/>
        <v>0.46125461254612543</v>
      </c>
      <c r="V306">
        <f>U306-AVERAGEIFS(Pitchers[ER/IP],Pitchers[GS],"&gt;"&amp;0,Pitchers[IP],"&gt;"&amp;3)</f>
        <v>-0.11024598225319404</v>
      </c>
      <c r="W306">
        <f>IF(Pitchers[[#This Row],[IP/GS]]&lt;&gt;0,(Pitchers[[#This Row],[WHIP]]*$AH$5+$AI$5)/9*Pitchers[[#This Row],[IP/GS]],(Pitchers[[#This Row],[WHIP]]*$AH$5+$AI$5)/9*(Pitchers[[#This Row],[IP]]/Pitchers[[#This Row],[G]]))</f>
        <v>0.63730752649977906</v>
      </c>
      <c r="X306">
        <f>Pitchers[[#This Row],[Runs from WHIP]]-AVERAGEIFS(Pitchers[Runs from WHIP],Pitchers[GS],"&gt;"&amp;0,Pitchers[IP],"&gt;"&amp;3)</f>
        <v>-5.0486083796250805</v>
      </c>
      <c r="Y306">
        <f>IF(Pitchers[[#This Row],[IP/GS]]&lt;&gt;0,Pitchers[[#This Row],[ER/IP From Average]]*Pitchers[[#This Row],[IP/GS]],Pitchers[[#This Row],[ER/IP From Average]]*(Pitchers[[#This Row],[IP]]/Pitchers[[#This Row],[G]]))</f>
        <v>-0.10302296962281238</v>
      </c>
      <c r="Z306">
        <f t="shared" si="14"/>
        <v>-1.387504755749146</v>
      </c>
      <c r="AA306" s="32">
        <f>IF(Pitchers[[#This Row],[W]]=0,0,Pitchers[[#This Row],[W]]/(Pitchers[[#This Row],[W]]+Pitchers[[#This Row],[L]]))</f>
        <v>0.33333333333333331</v>
      </c>
      <c r="AB306" s="60"/>
    </row>
    <row r="307" spans="1:28" x14ac:dyDescent="0.25">
      <c r="A307" t="s">
        <v>627</v>
      </c>
      <c r="B307" t="s">
        <v>24</v>
      </c>
      <c r="C307">
        <v>73</v>
      </c>
      <c r="D307">
        <v>0</v>
      </c>
      <c r="E307">
        <v>0</v>
      </c>
      <c r="F307">
        <v>0</v>
      </c>
      <c r="G307">
        <v>54.2</v>
      </c>
      <c r="H307">
        <v>45</v>
      </c>
      <c r="I307">
        <v>27</v>
      </c>
      <c r="J307">
        <v>70</v>
      </c>
      <c r="K307">
        <v>27</v>
      </c>
      <c r="L307">
        <v>11</v>
      </c>
      <c r="M307">
        <v>5</v>
      </c>
      <c r="N307">
        <v>6</v>
      </c>
      <c r="O307">
        <v>6</v>
      </c>
      <c r="P307">
        <v>5</v>
      </c>
      <c r="Q307">
        <v>28</v>
      </c>
      <c r="R307">
        <v>4.45</v>
      </c>
      <c r="S307">
        <v>1.32</v>
      </c>
      <c r="T307">
        <f t="shared" si="12"/>
        <v>0</v>
      </c>
      <c r="U307">
        <f t="shared" si="13"/>
        <v>0.49815498154981547</v>
      </c>
      <c r="V307">
        <f>U307-AVERAGEIFS(Pitchers[ER/IP],Pitchers[GS],"&gt;"&amp;0,Pitchers[IP],"&gt;"&amp;3)</f>
        <v>-7.3345613249504005E-2</v>
      </c>
      <c r="W307">
        <f>IF(Pitchers[[#This Row],[IP/GS]]&lt;&gt;0,(Pitchers[[#This Row],[WHIP]]*$AH$5+$AI$5)/9*Pitchers[[#This Row],[IP/GS]],(Pitchers[[#This Row],[WHIP]]*$AH$5+$AI$5)/9*(Pitchers[[#This Row],[IP]]/Pitchers[[#This Row],[G]]))</f>
        <v>0.35987548895374</v>
      </c>
      <c r="X307">
        <f>Pitchers[[#This Row],[Runs from WHIP]]-AVERAGEIFS(Pitchers[Runs from WHIP],Pitchers[GS],"&gt;"&amp;0,Pitchers[IP],"&gt;"&amp;3)</f>
        <v>-5.3260404171711189</v>
      </c>
      <c r="Y307">
        <f>IF(Pitchers[[#This Row],[IP/GS]]&lt;&gt;0,Pitchers[[#This Row],[ER/IP From Average]]*Pitchers[[#This Row],[IP/GS]],Pitchers[[#This Row],[ER/IP From Average]]*(Pitchers[[#This Row],[IP]]/Pitchers[[#This Row],[G]]))</f>
        <v>-5.4456606001686537E-2</v>
      </c>
      <c r="Z307">
        <f t="shared" si="14"/>
        <v>-1.4420600869796394</v>
      </c>
      <c r="AA307" s="32">
        <f>IF(Pitchers[[#This Row],[W]]=0,0,Pitchers[[#This Row],[W]]/(Pitchers[[#This Row],[W]]+Pitchers[[#This Row],[L]]))</f>
        <v>0.45454545454545453</v>
      </c>
      <c r="AB307" s="60"/>
    </row>
    <row r="308" spans="1:28" x14ac:dyDescent="0.25">
      <c r="A308" t="s">
        <v>721</v>
      </c>
      <c r="B308" t="s">
        <v>8</v>
      </c>
      <c r="C308">
        <v>51</v>
      </c>
      <c r="D308">
        <v>0</v>
      </c>
      <c r="E308">
        <v>0</v>
      </c>
      <c r="F308">
        <v>0</v>
      </c>
      <c r="G308">
        <v>54.1</v>
      </c>
      <c r="H308">
        <v>58</v>
      </c>
      <c r="I308">
        <v>31</v>
      </c>
      <c r="J308">
        <v>60</v>
      </c>
      <c r="K308">
        <v>26</v>
      </c>
      <c r="L308">
        <v>7</v>
      </c>
      <c r="M308">
        <v>1</v>
      </c>
      <c r="N308">
        <v>0</v>
      </c>
      <c r="O308">
        <v>4</v>
      </c>
      <c r="P308">
        <v>5</v>
      </c>
      <c r="Q308">
        <v>9</v>
      </c>
      <c r="R308">
        <v>5.13</v>
      </c>
      <c r="S308">
        <v>1.55</v>
      </c>
      <c r="T308">
        <f t="shared" si="12"/>
        <v>0</v>
      </c>
      <c r="U308">
        <f t="shared" si="13"/>
        <v>0.57301293900184846</v>
      </c>
      <c r="V308" s="60">
        <f>U308-AVERAGEIFS(Pitchers[ER/IP],Pitchers[GS],"&gt;"&amp;0,Pitchers[IP],"&gt;"&amp;3)</f>
        <v>1.5123442025289924E-3</v>
      </c>
      <c r="W308" s="60">
        <f>IF(Pitchers[[#This Row],[IP/GS]]&lt;&gt;0,(Pitchers[[#This Row],[WHIP]]*$AH$5+$AI$5)/9*Pitchers[[#This Row],[IP/GS]],(Pitchers[[#This Row],[WHIP]]*$AH$5+$AI$5)/9*(Pitchers[[#This Row],[IP]]/Pitchers[[#This Row],[G]]))</f>
        <v>0.64083398861808527</v>
      </c>
      <c r="X308" s="60">
        <f>Pitchers[[#This Row],[Runs from WHIP]]-AVERAGEIFS(Pitchers[Runs from WHIP],Pitchers[GS],"&gt;"&amp;0,Pitchers[IP],"&gt;"&amp;3)</f>
        <v>-5.0450819175067743</v>
      </c>
      <c r="Y308" s="60">
        <f>IF(Pitchers[[#This Row],[IP/GS]]&lt;&gt;0,Pitchers[[#This Row],[ER/IP From Average]]*Pitchers[[#This Row],[IP/GS]],Pitchers[[#This Row],[ER/IP From Average]]*(Pitchers[[#This Row],[IP]]/Pitchers[[#This Row],[G]]))</f>
        <v>1.604271006996441E-3</v>
      </c>
      <c r="Z308" s="60">
        <f t="shared" si="14"/>
        <v>-1.3447134695990079</v>
      </c>
      <c r="AA308" s="32">
        <f>IF(Pitchers[[#This Row],[W]]=0,0,Pitchers[[#This Row],[W]]/(Pitchers[[#This Row],[W]]+Pitchers[[#This Row],[L]]))</f>
        <v>1</v>
      </c>
      <c r="AB308" s="60"/>
    </row>
    <row r="309" spans="1:28" x14ac:dyDescent="0.25">
      <c r="A309" t="s">
        <v>557</v>
      </c>
      <c r="B309" t="s">
        <v>13</v>
      </c>
      <c r="C309">
        <v>61</v>
      </c>
      <c r="D309">
        <v>0</v>
      </c>
      <c r="E309">
        <v>0</v>
      </c>
      <c r="F309">
        <v>0</v>
      </c>
      <c r="G309">
        <v>54.1</v>
      </c>
      <c r="H309">
        <v>54</v>
      </c>
      <c r="I309">
        <v>23</v>
      </c>
      <c r="J309">
        <v>50</v>
      </c>
      <c r="K309">
        <v>10</v>
      </c>
      <c r="L309">
        <v>7</v>
      </c>
      <c r="M309">
        <v>4</v>
      </c>
      <c r="N309">
        <v>2</v>
      </c>
      <c r="O309">
        <v>1</v>
      </c>
      <c r="P309">
        <v>3</v>
      </c>
      <c r="Q309">
        <v>12</v>
      </c>
      <c r="R309">
        <v>3.81</v>
      </c>
      <c r="S309">
        <v>1.18</v>
      </c>
      <c r="T309">
        <f t="shared" si="12"/>
        <v>0</v>
      </c>
      <c r="U309">
        <f t="shared" si="13"/>
        <v>0.42513863216266173</v>
      </c>
      <c r="V309">
        <f>U309-AVERAGEIFS(Pitchers[ER/IP],Pitchers[GS],"&gt;"&amp;0,Pitchers[IP],"&gt;"&amp;3)</f>
        <v>-0.14636196263665774</v>
      </c>
      <c r="W309">
        <f>IF(Pitchers[[#This Row],[IP/GS]]&lt;&gt;0,(Pitchers[[#This Row],[WHIP]]*$AH$5+$AI$5)/9*Pitchers[[#This Row],[IP/GS]],(Pitchers[[#This Row],[WHIP]]*$AH$5+$AI$5)/9*(Pitchers[[#This Row],[IP]]/Pitchers[[#This Row],[G]]))</f>
        <v>0.36541327593600997</v>
      </c>
      <c r="X309">
        <f>Pitchers[[#This Row],[Runs from WHIP]]-AVERAGEIFS(Pitchers[Runs from WHIP],Pitchers[GS],"&gt;"&amp;0,Pitchers[IP],"&gt;"&amp;3)</f>
        <v>-5.3205026301888489</v>
      </c>
      <c r="Y309">
        <f>IF(Pitchers[[#This Row],[IP/GS]]&lt;&gt;0,Pitchers[[#This Row],[ER/IP From Average]]*Pitchers[[#This Row],[IP/GS]],Pitchers[[#This Row],[ER/IP From Average]]*(Pitchers[[#This Row],[IP]]/Pitchers[[#This Row],[G]]))</f>
        <v>-0.12980626522365876</v>
      </c>
      <c r="Z309">
        <f t="shared" si="14"/>
        <v>-1.4707232074731564</v>
      </c>
      <c r="AA309" s="32">
        <f>IF(Pitchers[[#This Row],[W]]=0,0,Pitchers[[#This Row],[W]]/(Pitchers[[#This Row],[W]]+Pitchers[[#This Row],[L]]))</f>
        <v>0.66666666666666663</v>
      </c>
      <c r="AB309" s="60"/>
    </row>
    <row r="310" spans="1:28" x14ac:dyDescent="0.25">
      <c r="A310" t="s">
        <v>596</v>
      </c>
      <c r="B310" t="s">
        <v>16</v>
      </c>
      <c r="C310">
        <v>55</v>
      </c>
      <c r="D310">
        <v>0</v>
      </c>
      <c r="E310">
        <v>0</v>
      </c>
      <c r="F310">
        <v>0</v>
      </c>
      <c r="G310">
        <v>54.1</v>
      </c>
      <c r="H310">
        <v>37</v>
      </c>
      <c r="I310">
        <v>14</v>
      </c>
      <c r="J310">
        <v>72</v>
      </c>
      <c r="K310">
        <v>12</v>
      </c>
      <c r="L310">
        <v>6</v>
      </c>
      <c r="M310">
        <v>2</v>
      </c>
      <c r="N310">
        <v>3</v>
      </c>
      <c r="O310">
        <v>3</v>
      </c>
      <c r="P310">
        <v>5</v>
      </c>
      <c r="Q310">
        <v>31</v>
      </c>
      <c r="R310">
        <v>2.3199999999999998</v>
      </c>
      <c r="S310">
        <v>0.9</v>
      </c>
      <c r="T310">
        <f t="shared" si="12"/>
        <v>0</v>
      </c>
      <c r="U310">
        <f t="shared" si="13"/>
        <v>0.25878003696857671</v>
      </c>
      <c r="V310" s="60">
        <f>U310-AVERAGEIFS(Pitchers[ER/IP],Pitchers[GS],"&gt;"&amp;0,Pitchers[IP],"&gt;"&amp;3)</f>
        <v>-0.31272055783074276</v>
      </c>
      <c r="W310" s="60">
        <f>IF(Pitchers[[#This Row],[IP/GS]]&lt;&gt;0,(Pitchers[[#This Row],[WHIP]]*$AH$5+$AI$5)/9*Pitchers[[#This Row],[IP/GS]],(Pitchers[[#This Row],[WHIP]]*$AH$5+$AI$5)/9*(Pitchers[[#This Row],[IP]]/Pitchers[[#This Row],[G]]))</f>
        <v>0.26228634070744655</v>
      </c>
      <c r="X310" s="60">
        <f>Pitchers[[#This Row],[Runs from WHIP]]-AVERAGEIFS(Pitchers[Runs from WHIP],Pitchers[GS],"&gt;"&amp;0,Pitchers[IP],"&gt;"&amp;3)</f>
        <v>-5.4236295654174125</v>
      </c>
      <c r="Y310" s="60">
        <f>IF(Pitchers[[#This Row],[IP/GS]]&lt;&gt;0,Pitchers[[#This Row],[ER/IP From Average]]*Pitchers[[#This Row],[IP/GS]],Pitchers[[#This Row],[ER/IP From Average]]*(Pitchers[[#This Row],[IP]]/Pitchers[[#This Row],[G]]))</f>
        <v>-0.30760331233896698</v>
      </c>
      <c r="Z310" s="60">
        <f t="shared" si="14"/>
        <v>-1.5693425423802303</v>
      </c>
      <c r="AA310" s="32">
        <f>IF(Pitchers[[#This Row],[W]]=0,0,Pitchers[[#This Row],[W]]/(Pitchers[[#This Row],[W]]+Pitchers[[#This Row],[L]]))</f>
        <v>0.4</v>
      </c>
      <c r="AB310" s="60"/>
    </row>
    <row r="311" spans="1:28" x14ac:dyDescent="0.25">
      <c r="A311" t="s">
        <v>646</v>
      </c>
      <c r="B311" t="s">
        <v>219</v>
      </c>
      <c r="C311">
        <v>60</v>
      </c>
      <c r="D311">
        <v>0</v>
      </c>
      <c r="E311">
        <v>0</v>
      </c>
      <c r="F311">
        <v>0</v>
      </c>
      <c r="G311">
        <v>54</v>
      </c>
      <c r="H311">
        <v>56</v>
      </c>
      <c r="I311">
        <v>25</v>
      </c>
      <c r="J311">
        <v>41</v>
      </c>
      <c r="K311">
        <v>12</v>
      </c>
      <c r="L311">
        <v>9</v>
      </c>
      <c r="M311">
        <v>2</v>
      </c>
      <c r="N311">
        <v>2</v>
      </c>
      <c r="O311">
        <v>0</v>
      </c>
      <c r="P311">
        <v>3</v>
      </c>
      <c r="Q311">
        <v>25</v>
      </c>
      <c r="R311">
        <v>4.17</v>
      </c>
      <c r="S311">
        <v>1.26</v>
      </c>
      <c r="T311">
        <f t="shared" si="12"/>
        <v>0</v>
      </c>
      <c r="U311">
        <f t="shared" si="13"/>
        <v>0.46296296296296297</v>
      </c>
      <c r="V311">
        <f>U311-AVERAGEIFS(Pitchers[ER/IP],Pitchers[GS],"&gt;"&amp;0,Pitchers[IP],"&gt;"&amp;3)</f>
        <v>-0.10853763183635651</v>
      </c>
      <c r="W311">
        <f>IF(Pitchers[[#This Row],[IP/GS]]&lt;&gt;0,(Pitchers[[#This Row],[WHIP]]*$AH$5+$AI$5)/9*Pitchers[[#This Row],[IP/GS]],(Pitchers[[#This Row],[WHIP]]*$AH$5+$AI$5)/9*(Pitchers[[#This Row],[IP]]/Pitchers[[#This Row],[G]]))</f>
        <v>0.40819739083692974</v>
      </c>
      <c r="X311">
        <f>Pitchers[[#This Row],[Runs from WHIP]]-AVERAGEIFS(Pitchers[Runs from WHIP],Pitchers[GS],"&gt;"&amp;0,Pitchers[IP],"&gt;"&amp;3)</f>
        <v>-5.2777185152879298</v>
      </c>
      <c r="Y311">
        <f>IF(Pitchers[[#This Row],[IP/GS]]&lt;&gt;0,Pitchers[[#This Row],[ER/IP From Average]]*Pitchers[[#This Row],[IP/GS]],Pitchers[[#This Row],[ER/IP From Average]]*(Pitchers[[#This Row],[IP]]/Pitchers[[#This Row],[G]]))</f>
        <v>-9.7683868652720857E-2</v>
      </c>
      <c r="Z311">
        <f t="shared" si="14"/>
        <v>-1.4464651515378699</v>
      </c>
      <c r="AA311" s="32">
        <f>IF(Pitchers[[#This Row],[W]]=0,0,Pitchers[[#This Row],[W]]/(Pitchers[[#This Row],[W]]+Pitchers[[#This Row],[L]]))</f>
        <v>0.5</v>
      </c>
      <c r="AB311" s="60"/>
    </row>
    <row r="312" spans="1:28" x14ac:dyDescent="0.25">
      <c r="A312" t="s">
        <v>530</v>
      </c>
      <c r="B312" t="s">
        <v>340</v>
      </c>
      <c r="C312">
        <v>40</v>
      </c>
      <c r="D312">
        <v>0</v>
      </c>
      <c r="E312">
        <v>0</v>
      </c>
      <c r="F312">
        <v>0</v>
      </c>
      <c r="G312">
        <v>53.2</v>
      </c>
      <c r="H312">
        <v>55</v>
      </c>
      <c r="I312">
        <v>29</v>
      </c>
      <c r="J312">
        <v>42</v>
      </c>
      <c r="K312">
        <v>12</v>
      </c>
      <c r="L312">
        <v>9</v>
      </c>
      <c r="M312">
        <v>3</v>
      </c>
      <c r="N312">
        <v>1</v>
      </c>
      <c r="O312">
        <v>1</v>
      </c>
      <c r="P312">
        <v>0</v>
      </c>
      <c r="Q312">
        <v>4</v>
      </c>
      <c r="R312">
        <v>4.8600000000000003</v>
      </c>
      <c r="S312">
        <v>1.25</v>
      </c>
      <c r="T312">
        <f t="shared" si="12"/>
        <v>0</v>
      </c>
      <c r="U312">
        <f t="shared" si="13"/>
        <v>0.54511278195488722</v>
      </c>
      <c r="V312">
        <f>U312-AVERAGEIFS(Pitchers[ER/IP],Pitchers[GS],"&gt;"&amp;0,Pitchers[IP],"&gt;"&amp;3)</f>
        <v>-2.6387812844432257E-2</v>
      </c>
      <c r="W312">
        <f>IF(Pitchers[[#This Row],[IP/GS]]&lt;&gt;0,(Pitchers[[#This Row],[WHIP]]*$AH$5+$AI$5)/9*Pitchers[[#This Row],[IP/GS]],(Pitchers[[#This Row],[WHIP]]*$AH$5+$AI$5)/9*(Pitchers[[#This Row],[IP]]/Pitchers[[#This Row],[G]]))</f>
        <v>0.59632000721207357</v>
      </c>
      <c r="X312">
        <f>Pitchers[[#This Row],[Runs from WHIP]]-AVERAGEIFS(Pitchers[Runs from WHIP],Pitchers[GS],"&gt;"&amp;0,Pitchers[IP],"&gt;"&amp;3)</f>
        <v>-5.0895958989127852</v>
      </c>
      <c r="Y312">
        <f>IF(Pitchers[[#This Row],[IP/GS]]&lt;&gt;0,Pitchers[[#This Row],[ER/IP From Average]]*Pitchers[[#This Row],[IP/GS]],Pitchers[[#This Row],[ER/IP From Average]]*(Pitchers[[#This Row],[IP]]/Pitchers[[#This Row],[G]]))</f>
        <v>-3.50957910830949E-2</v>
      </c>
      <c r="Z312">
        <f t="shared" si="14"/>
        <v>-1.3712638894766471</v>
      </c>
      <c r="AA312" s="32">
        <f>IF(Pitchers[[#This Row],[W]]=0,0,Pitchers[[#This Row],[W]]/(Pitchers[[#This Row],[W]]+Pitchers[[#This Row],[L]]))</f>
        <v>0.75</v>
      </c>
      <c r="AB312" s="60"/>
    </row>
    <row r="313" spans="1:28" x14ac:dyDescent="0.25">
      <c r="A313" t="s">
        <v>1479</v>
      </c>
      <c r="B313" t="s">
        <v>2</v>
      </c>
      <c r="C313">
        <v>13</v>
      </c>
      <c r="D313">
        <v>8</v>
      </c>
      <c r="E313">
        <v>0</v>
      </c>
      <c r="F313">
        <v>0</v>
      </c>
      <c r="G313">
        <v>53.2</v>
      </c>
      <c r="H313">
        <v>68</v>
      </c>
      <c r="I313">
        <v>29</v>
      </c>
      <c r="J313">
        <v>47</v>
      </c>
      <c r="K313">
        <v>7</v>
      </c>
      <c r="L313">
        <v>9</v>
      </c>
      <c r="M313">
        <v>1</v>
      </c>
      <c r="N313">
        <v>4</v>
      </c>
      <c r="O313">
        <v>0</v>
      </c>
      <c r="P313">
        <v>0</v>
      </c>
      <c r="Q313">
        <v>0</v>
      </c>
      <c r="R313">
        <v>4.8600000000000003</v>
      </c>
      <c r="S313">
        <v>1.4</v>
      </c>
      <c r="T313">
        <f t="shared" si="12"/>
        <v>6.65</v>
      </c>
      <c r="U313">
        <f t="shared" si="13"/>
        <v>0.54511278195488722</v>
      </c>
      <c r="V313">
        <f>U313-AVERAGEIFS(Pitchers[ER/IP],Pitchers[GS],"&gt;"&amp;0,Pitchers[IP],"&gt;"&amp;3)</f>
        <v>-2.6387812844432257E-2</v>
      </c>
      <c r="W313">
        <f>IF(Pitchers[[#This Row],[IP/GS]]&lt;&gt;0,(Pitchers[[#This Row],[WHIP]]*$AH$5+$AI$5)/9*Pitchers[[#This Row],[IP/GS]],(Pitchers[[#This Row],[WHIP]]*$AH$5+$AI$5)/9*(Pitchers[[#This Row],[IP]]/Pitchers[[#This Row],[G]]))</f>
        <v>3.4994769795812335</v>
      </c>
      <c r="X313">
        <f>Pitchers[[#This Row],[Runs from WHIP]]-AVERAGEIFS(Pitchers[Runs from WHIP],Pitchers[GS],"&gt;"&amp;0,Pitchers[IP],"&gt;"&amp;3)</f>
        <v>-2.1864389265436257</v>
      </c>
      <c r="Y313">
        <f>IF(Pitchers[[#This Row],[IP/GS]]&lt;&gt;0,Pitchers[[#This Row],[ER/IP From Average]]*Pitchers[[#This Row],[IP/GS]],Pitchers[[#This Row],[ER/IP From Average]]*(Pitchers[[#This Row],[IP]]/Pitchers[[#This Row],[G]]))</f>
        <v>-0.17547895541547451</v>
      </c>
      <c r="Z313">
        <f t="shared" si="14"/>
        <v>-0.65324196257782341</v>
      </c>
      <c r="AA313" s="32">
        <f>IF(Pitchers[[#This Row],[W]]=0,0,Pitchers[[#This Row],[W]]/(Pitchers[[#This Row],[W]]+Pitchers[[#This Row],[L]]))</f>
        <v>0.2</v>
      </c>
      <c r="AB313" s="60"/>
    </row>
    <row r="314" spans="1:28" x14ac:dyDescent="0.25">
      <c r="A314" t="s">
        <v>274</v>
      </c>
      <c r="B314" t="s">
        <v>9</v>
      </c>
      <c r="C314">
        <v>25</v>
      </c>
      <c r="D314">
        <v>6</v>
      </c>
      <c r="E314">
        <v>0</v>
      </c>
      <c r="F314">
        <v>0</v>
      </c>
      <c r="G314">
        <v>53.2</v>
      </c>
      <c r="H314">
        <v>58</v>
      </c>
      <c r="I314">
        <v>37</v>
      </c>
      <c r="J314">
        <v>42</v>
      </c>
      <c r="K314">
        <v>29</v>
      </c>
      <c r="L314">
        <v>8</v>
      </c>
      <c r="M314">
        <v>2</v>
      </c>
      <c r="N314">
        <v>5</v>
      </c>
      <c r="O314">
        <v>1</v>
      </c>
      <c r="P314">
        <v>0</v>
      </c>
      <c r="Q314">
        <v>4</v>
      </c>
      <c r="R314">
        <v>6.2</v>
      </c>
      <c r="S314">
        <v>1.62</v>
      </c>
      <c r="T314">
        <f t="shared" si="12"/>
        <v>8.8666666666666671</v>
      </c>
      <c r="U314">
        <f t="shared" si="13"/>
        <v>0.69548872180451127</v>
      </c>
      <c r="V314" s="60">
        <f>U314-AVERAGEIFS(Pitchers[ER/IP],Pitchers[GS],"&gt;"&amp;0,Pitchers[IP],"&gt;"&amp;3)</f>
        <v>0.12398812700519179</v>
      </c>
      <c r="W314" s="60">
        <f>IF(Pitchers[[#This Row],[IP/GS]]&lt;&gt;0,(Pitchers[[#This Row],[WHIP]]*$AH$5+$AI$5)/9*Pitchers[[#This Row],[IP/GS]],(Pitchers[[#This Row],[WHIP]]*$AH$5+$AI$5)/9*(Pitchers[[#This Row],[IP]]/Pitchers[[#This Row],[G]]))</f>
        <v>5.6787064401046736</v>
      </c>
      <c r="X314" s="60">
        <f>Pitchers[[#This Row],[Runs from WHIP]]-AVERAGEIFS(Pitchers[Runs from WHIP],Pitchers[GS],"&gt;"&amp;0,Pitchers[IP],"&gt;"&amp;3)</f>
        <v>-7.2094660201855731E-3</v>
      </c>
      <c r="Y314" s="60">
        <f>IF(Pitchers[[#This Row],[IP/GS]]&lt;&gt;0,Pitchers[[#This Row],[ER/IP From Average]]*Pitchers[[#This Row],[IP/GS]],Pitchers[[#This Row],[ER/IP From Average]]*(Pitchers[[#This Row],[IP]]/Pitchers[[#This Row],[G]]))</f>
        <v>1.0993613927793673</v>
      </c>
      <c r="Z314" s="60">
        <f t="shared" si="14"/>
        <v>0.43782203283969739</v>
      </c>
      <c r="AA314" s="32">
        <f>IF(Pitchers[[#This Row],[W]]=0,0,Pitchers[[#This Row],[W]]/(Pitchers[[#This Row],[W]]+Pitchers[[#This Row],[L]]))</f>
        <v>0.2857142857142857</v>
      </c>
      <c r="AB314" s="60"/>
    </row>
    <row r="315" spans="1:28" x14ac:dyDescent="0.25">
      <c r="A315" t="s">
        <v>576</v>
      </c>
      <c r="B315" t="s">
        <v>4</v>
      </c>
      <c r="C315">
        <v>62</v>
      </c>
      <c r="D315">
        <v>0</v>
      </c>
      <c r="E315">
        <v>0</v>
      </c>
      <c r="F315">
        <v>0</v>
      </c>
      <c r="G315">
        <v>53</v>
      </c>
      <c r="H315">
        <v>51</v>
      </c>
      <c r="I315">
        <v>28</v>
      </c>
      <c r="J315">
        <v>61</v>
      </c>
      <c r="K315">
        <v>22</v>
      </c>
      <c r="L315">
        <v>7</v>
      </c>
      <c r="M315">
        <v>5</v>
      </c>
      <c r="N315">
        <v>5</v>
      </c>
      <c r="O315">
        <v>1</v>
      </c>
      <c r="P315">
        <v>5</v>
      </c>
      <c r="Q315">
        <v>16</v>
      </c>
      <c r="R315">
        <v>4.75</v>
      </c>
      <c r="S315">
        <v>1.38</v>
      </c>
      <c r="T315">
        <f t="shared" si="12"/>
        <v>0</v>
      </c>
      <c r="U315">
        <f t="shared" si="13"/>
        <v>0.52830188679245282</v>
      </c>
      <c r="V315">
        <f>U315-AVERAGEIFS(Pitchers[ER/IP],Pitchers[GS],"&gt;"&amp;0,Pitchers[IP],"&gt;"&amp;3)</f>
        <v>-4.3198708006866648E-2</v>
      </c>
      <c r="W315">
        <f>IF(Pitchers[[#This Row],[IP/GS]]&lt;&gt;0,(Pitchers[[#This Row],[WHIP]]*$AH$5+$AI$5)/9*Pitchers[[#This Row],[IP/GS]],(Pitchers[[#This Row],[WHIP]]*$AH$5+$AI$5)/9*(Pitchers[[#This Row],[IP]]/Pitchers[[#This Row],[G]]))</f>
        <v>0.44097166185687914</v>
      </c>
      <c r="X315">
        <f>Pitchers[[#This Row],[Runs from WHIP]]-AVERAGEIFS(Pitchers[Runs from WHIP],Pitchers[GS],"&gt;"&amp;0,Pitchers[IP],"&gt;"&amp;3)</f>
        <v>-5.2449442442679803</v>
      </c>
      <c r="Y315">
        <f>IF(Pitchers[[#This Row],[IP/GS]]&lt;&gt;0,Pitchers[[#This Row],[ER/IP From Average]]*Pitchers[[#This Row],[IP/GS]],Pitchers[[#This Row],[ER/IP From Average]]*(Pitchers[[#This Row],[IP]]/Pitchers[[#This Row],[G]]))</f>
        <v>-3.6927927812321487E-2</v>
      </c>
      <c r="Z315">
        <f t="shared" si="14"/>
        <v>-1.4134229695963902</v>
      </c>
      <c r="AA315" s="32">
        <f>IF(Pitchers[[#This Row],[W]]=0,0,Pitchers[[#This Row],[W]]/(Pitchers[[#This Row],[W]]+Pitchers[[#This Row],[L]]))</f>
        <v>0.5</v>
      </c>
      <c r="AB315" s="60"/>
    </row>
    <row r="316" spans="1:28" x14ac:dyDescent="0.25">
      <c r="A316" t="s">
        <v>506</v>
      </c>
      <c r="B316" t="s">
        <v>18</v>
      </c>
      <c r="C316">
        <v>53</v>
      </c>
      <c r="D316">
        <v>0</v>
      </c>
      <c r="E316">
        <v>0</v>
      </c>
      <c r="F316">
        <v>0</v>
      </c>
      <c r="G316">
        <v>53</v>
      </c>
      <c r="H316">
        <v>36</v>
      </c>
      <c r="I316">
        <v>11</v>
      </c>
      <c r="J316">
        <v>83</v>
      </c>
      <c r="K316">
        <v>17</v>
      </c>
      <c r="L316">
        <v>5</v>
      </c>
      <c r="M316">
        <v>2</v>
      </c>
      <c r="N316">
        <v>3</v>
      </c>
      <c r="O316">
        <v>23</v>
      </c>
      <c r="P316">
        <v>1</v>
      </c>
      <c r="Q316">
        <v>0</v>
      </c>
      <c r="R316">
        <v>1.87</v>
      </c>
      <c r="S316">
        <v>1</v>
      </c>
      <c r="T316">
        <f t="shared" si="12"/>
        <v>0</v>
      </c>
      <c r="U316">
        <f t="shared" si="13"/>
        <v>0.20754716981132076</v>
      </c>
      <c r="V316">
        <f>U316-AVERAGEIFS(Pitchers[ER/IP],Pitchers[GS],"&gt;"&amp;0,Pitchers[IP],"&gt;"&amp;3)</f>
        <v>-0.36395342498799871</v>
      </c>
      <c r="W316">
        <f>IF(Pitchers[[#This Row],[IP/GS]]&lt;&gt;0,(Pitchers[[#This Row],[WHIP]]*$AH$5+$AI$5)/9*Pitchers[[#This Row],[IP/GS]],(Pitchers[[#This Row],[WHIP]]*$AH$5+$AI$5)/9*(Pitchers[[#This Row],[IP]]/Pitchers[[#This Row],[G]]))</f>
        <v>0.31856718749758262</v>
      </c>
      <c r="X316">
        <f>Pitchers[[#This Row],[Runs from WHIP]]-AVERAGEIFS(Pitchers[Runs from WHIP],Pitchers[GS],"&gt;"&amp;0,Pitchers[IP],"&gt;"&amp;3)</f>
        <v>-5.3673487186272766</v>
      </c>
      <c r="Y316">
        <f>IF(Pitchers[[#This Row],[IP/GS]]&lt;&gt;0,Pitchers[[#This Row],[ER/IP From Average]]*Pitchers[[#This Row],[IP/GS]],Pitchers[[#This Row],[ER/IP From Average]]*(Pitchers[[#This Row],[IP]]/Pitchers[[#This Row],[G]]))</f>
        <v>-0.36395342498799871</v>
      </c>
      <c r="Z316">
        <f t="shared" si="14"/>
        <v>-1.5768743616291401</v>
      </c>
      <c r="AA316" s="32">
        <f>IF(Pitchers[[#This Row],[W]]=0,0,Pitchers[[#This Row],[W]]/(Pitchers[[#This Row],[W]]+Pitchers[[#This Row],[L]]))</f>
        <v>0.4</v>
      </c>
      <c r="AB316" s="60"/>
    </row>
    <row r="317" spans="1:28" x14ac:dyDescent="0.25">
      <c r="A317" t="s">
        <v>510</v>
      </c>
      <c r="B317" t="s">
        <v>219</v>
      </c>
      <c r="C317">
        <v>50</v>
      </c>
      <c r="D317">
        <v>0</v>
      </c>
      <c r="E317">
        <v>0</v>
      </c>
      <c r="F317">
        <v>0</v>
      </c>
      <c r="G317">
        <v>52.2</v>
      </c>
      <c r="H317">
        <v>41</v>
      </c>
      <c r="I317">
        <v>26</v>
      </c>
      <c r="J317">
        <v>57</v>
      </c>
      <c r="K317">
        <v>17</v>
      </c>
      <c r="L317">
        <v>4</v>
      </c>
      <c r="M317">
        <v>7</v>
      </c>
      <c r="N317">
        <v>0</v>
      </c>
      <c r="O317">
        <v>1</v>
      </c>
      <c r="P317">
        <v>1</v>
      </c>
      <c r="Q317">
        <v>1</v>
      </c>
      <c r="R317">
        <v>4.4400000000000004</v>
      </c>
      <c r="S317">
        <v>1.1000000000000001</v>
      </c>
      <c r="T317">
        <f t="shared" si="12"/>
        <v>0</v>
      </c>
      <c r="U317">
        <f t="shared" si="13"/>
        <v>0.49808429118773945</v>
      </c>
      <c r="V317">
        <f>U317-AVERAGEIFS(Pitchers[ER/IP],Pitchers[GS],"&gt;"&amp;0,Pitchers[IP],"&gt;"&amp;3)</f>
        <v>-7.3416303611580025E-2</v>
      </c>
      <c r="W317">
        <f>IF(Pitchers[[#This Row],[IP/GS]]&lt;&gt;0,(Pitchers[[#This Row],[WHIP]]*$AH$5+$AI$5)/9*Pitchers[[#This Row],[IP/GS]],(Pitchers[[#This Row],[WHIP]]*$AH$5+$AI$5)/9*(Pitchers[[#This Row],[IP]]/Pitchers[[#This Row],[G]]))</f>
        <v>0.3867860012949233</v>
      </c>
      <c r="X317">
        <f>Pitchers[[#This Row],[Runs from WHIP]]-AVERAGEIFS(Pitchers[Runs from WHIP],Pitchers[GS],"&gt;"&amp;0,Pitchers[IP],"&gt;"&amp;3)</f>
        <v>-5.2991299048299361</v>
      </c>
      <c r="Y317">
        <f>IF(Pitchers[[#This Row],[IP/GS]]&lt;&gt;0,Pitchers[[#This Row],[ER/IP From Average]]*Pitchers[[#This Row],[IP/GS]],Pitchers[[#This Row],[ER/IP From Average]]*(Pitchers[[#This Row],[IP]]/Pitchers[[#This Row],[G]]))</f>
        <v>-7.6646620970489548E-2</v>
      </c>
      <c r="Z317">
        <f t="shared" si="14"/>
        <v>-1.4437599563428456</v>
      </c>
      <c r="AA317" s="32">
        <f>IF(Pitchers[[#This Row],[W]]=0,0,Pitchers[[#This Row],[W]]/(Pitchers[[#This Row],[W]]+Pitchers[[#This Row],[L]]))</f>
        <v>1</v>
      </c>
      <c r="AB317" s="60"/>
    </row>
    <row r="318" spans="1:28" x14ac:dyDescent="0.25">
      <c r="A318" t="s">
        <v>621</v>
      </c>
      <c r="B318" t="s">
        <v>4</v>
      </c>
      <c r="C318">
        <v>77</v>
      </c>
      <c r="D318">
        <v>0</v>
      </c>
      <c r="E318">
        <v>0</v>
      </c>
      <c r="F318">
        <v>0</v>
      </c>
      <c r="G318">
        <v>52.2</v>
      </c>
      <c r="H318">
        <v>52</v>
      </c>
      <c r="I318">
        <v>22</v>
      </c>
      <c r="J318">
        <v>68</v>
      </c>
      <c r="K318">
        <v>18</v>
      </c>
      <c r="L318">
        <v>6</v>
      </c>
      <c r="M318">
        <v>2</v>
      </c>
      <c r="N318">
        <v>2</v>
      </c>
      <c r="O318">
        <v>0</v>
      </c>
      <c r="P318">
        <v>4</v>
      </c>
      <c r="Q318">
        <v>23</v>
      </c>
      <c r="R318">
        <v>3.76</v>
      </c>
      <c r="S318">
        <v>1.33</v>
      </c>
      <c r="T318">
        <f t="shared" si="12"/>
        <v>0</v>
      </c>
      <c r="U318">
        <f t="shared" si="13"/>
        <v>0.42145593869731801</v>
      </c>
      <c r="V318">
        <f>U318-AVERAGEIFS(Pitchers[ER/IP],Pitchers[GS],"&gt;"&amp;0,Pitchers[IP],"&gt;"&amp;3)</f>
        <v>-0.15004465610200146</v>
      </c>
      <c r="W318">
        <f>IF(Pitchers[[#This Row],[IP/GS]]&lt;&gt;0,(Pitchers[[#This Row],[WHIP]]*$AH$5+$AI$5)/9*Pitchers[[#This Row],[IP/GS]],(Pitchers[[#This Row],[WHIP]]*$AH$5+$AI$5)/9*(Pitchers[[#This Row],[IP]]/Pitchers[[#This Row],[G]]))</f>
        <v>0.33211056730782568</v>
      </c>
      <c r="X318">
        <f>Pitchers[[#This Row],[Runs from WHIP]]-AVERAGEIFS(Pitchers[Runs from WHIP],Pitchers[GS],"&gt;"&amp;0,Pitchers[IP],"&gt;"&amp;3)</f>
        <v>-5.3538053388170335</v>
      </c>
      <c r="Y318">
        <f>IF(Pitchers[[#This Row],[IP/GS]]&lt;&gt;0,Pitchers[[#This Row],[ER/IP From Average]]*Pitchers[[#This Row],[IP/GS]],Pitchers[[#This Row],[ER/IP From Average]]*(Pitchers[[#This Row],[IP]]/Pitchers[[#This Row],[G]]))</f>
        <v>-0.10171858504577241</v>
      </c>
      <c r="Z318">
        <f t="shared" si="14"/>
        <v>-1.4683688577028509</v>
      </c>
      <c r="AA318" s="32">
        <f>IF(Pitchers[[#This Row],[W]]=0,0,Pitchers[[#This Row],[W]]/(Pitchers[[#This Row],[W]]+Pitchers[[#This Row],[L]]))</f>
        <v>0.5</v>
      </c>
      <c r="AB318" s="60"/>
    </row>
    <row r="319" spans="1:28" x14ac:dyDescent="0.25">
      <c r="A319" t="s">
        <v>740</v>
      </c>
      <c r="B319" t="s">
        <v>6</v>
      </c>
      <c r="C319">
        <v>48</v>
      </c>
      <c r="D319">
        <v>0</v>
      </c>
      <c r="E319">
        <v>0</v>
      </c>
      <c r="F319">
        <v>0</v>
      </c>
      <c r="G319">
        <v>52</v>
      </c>
      <c r="H319">
        <v>54</v>
      </c>
      <c r="I319">
        <v>29</v>
      </c>
      <c r="J319">
        <v>46</v>
      </c>
      <c r="K319">
        <v>17</v>
      </c>
      <c r="L319">
        <v>5</v>
      </c>
      <c r="M319">
        <v>3</v>
      </c>
      <c r="N319">
        <v>4</v>
      </c>
      <c r="O319">
        <v>1</v>
      </c>
      <c r="P319">
        <v>3</v>
      </c>
      <c r="Q319">
        <v>12</v>
      </c>
      <c r="R319">
        <v>5.0199999999999996</v>
      </c>
      <c r="S319">
        <v>1.37</v>
      </c>
      <c r="T319">
        <f t="shared" si="12"/>
        <v>0</v>
      </c>
      <c r="U319">
        <f t="shared" si="13"/>
        <v>0.55769230769230771</v>
      </c>
      <c r="V319">
        <f>U319-AVERAGEIFS(Pitchers[ER/IP],Pitchers[GS],"&gt;"&amp;0,Pitchers[IP],"&gt;"&amp;3)</f>
        <v>-1.3808287107011763E-2</v>
      </c>
      <c r="W319">
        <f>IF(Pitchers[[#This Row],[IP/GS]]&lt;&gt;0,(Pitchers[[#This Row],[WHIP]]*$AH$5+$AI$5)/9*Pitchers[[#This Row],[IP/GS]],(Pitchers[[#This Row],[WHIP]]*$AH$5+$AI$5)/9*(Pitchers[[#This Row],[IP]]/Pitchers[[#This Row],[G]]))</f>
        <v>0.55321705114538589</v>
      </c>
      <c r="X319">
        <f>Pitchers[[#This Row],[Runs from WHIP]]-AVERAGEIFS(Pitchers[Runs from WHIP],Pitchers[GS],"&gt;"&amp;0,Pitchers[IP],"&gt;"&amp;3)</f>
        <v>-5.1326988549794734</v>
      </c>
      <c r="Y319">
        <f>IF(Pitchers[[#This Row],[IP/GS]]&lt;&gt;0,Pitchers[[#This Row],[ER/IP From Average]]*Pitchers[[#This Row],[IP/GS]],Pitchers[[#This Row],[ER/IP From Average]]*(Pitchers[[#This Row],[IP]]/Pitchers[[#This Row],[G]]))</f>
        <v>-1.4958977699262741E-2</v>
      </c>
      <c r="Z319">
        <f t="shared" si="14"/>
        <v>-1.3747032857408978</v>
      </c>
      <c r="AA319" s="32">
        <f>IF(Pitchers[[#This Row],[W]]=0,0,Pitchers[[#This Row],[W]]/(Pitchers[[#This Row],[W]]+Pitchers[[#This Row],[L]]))</f>
        <v>0.42857142857142855</v>
      </c>
      <c r="AB319" s="60"/>
    </row>
    <row r="320" spans="1:28" x14ac:dyDescent="0.25">
      <c r="A320" t="s">
        <v>685</v>
      </c>
      <c r="B320" t="s">
        <v>7</v>
      </c>
      <c r="C320">
        <v>38</v>
      </c>
      <c r="D320">
        <v>6</v>
      </c>
      <c r="E320">
        <v>0</v>
      </c>
      <c r="F320">
        <v>0</v>
      </c>
      <c r="G320">
        <v>51.2</v>
      </c>
      <c r="H320">
        <v>58</v>
      </c>
      <c r="I320">
        <v>34</v>
      </c>
      <c r="J320">
        <v>50</v>
      </c>
      <c r="K320">
        <v>24</v>
      </c>
      <c r="L320">
        <v>2</v>
      </c>
      <c r="M320">
        <v>3</v>
      </c>
      <c r="N320">
        <v>4</v>
      </c>
      <c r="O320">
        <v>0</v>
      </c>
      <c r="P320">
        <v>0</v>
      </c>
      <c r="Q320">
        <v>4</v>
      </c>
      <c r="R320">
        <v>5.92</v>
      </c>
      <c r="S320">
        <v>1.59</v>
      </c>
      <c r="T320">
        <f t="shared" si="12"/>
        <v>8.5333333333333332</v>
      </c>
      <c r="U320">
        <f t="shared" si="13"/>
        <v>0.6640625</v>
      </c>
      <c r="V320">
        <f>U320-AVERAGEIFS(Pitchers[ER/IP],Pitchers[GS],"&gt;"&amp;0,Pitchers[IP],"&gt;"&amp;3)</f>
        <v>9.2561905200680528E-2</v>
      </c>
      <c r="W320">
        <f>IF(Pitchers[[#This Row],[IP/GS]]&lt;&gt;0,(Pitchers[[#This Row],[WHIP]]*$AH$5+$AI$5)/9*Pitchers[[#This Row],[IP/GS]],(Pitchers[[#This Row],[WHIP]]*$AH$5+$AI$5)/9*(Pitchers[[#This Row],[IP]]/Pitchers[[#This Row],[G]]))</f>
        <v>5.3323124661244545</v>
      </c>
      <c r="X320">
        <f>Pitchers[[#This Row],[Runs from WHIP]]-AVERAGEIFS(Pitchers[Runs from WHIP],Pitchers[GS],"&gt;"&amp;0,Pitchers[IP],"&gt;"&amp;3)</f>
        <v>-0.35360344000040467</v>
      </c>
      <c r="Y320">
        <f>IF(Pitchers[[#This Row],[IP/GS]]&lt;&gt;0,Pitchers[[#This Row],[ER/IP From Average]]*Pitchers[[#This Row],[IP/GS]],Pitchers[[#This Row],[ER/IP From Average]]*(Pitchers[[#This Row],[IP]]/Pitchers[[#This Row],[G]]))</f>
        <v>0.78986159104580711</v>
      </c>
      <c r="Z320">
        <f t="shared" si="14"/>
        <v>0.22165038575154827</v>
      </c>
      <c r="AA320" s="32">
        <f>IF(Pitchers[[#This Row],[W]]=0,0,Pitchers[[#This Row],[W]]/(Pitchers[[#This Row],[W]]+Pitchers[[#This Row],[L]]))</f>
        <v>0.42857142857142855</v>
      </c>
      <c r="AB320" s="60"/>
    </row>
    <row r="321" spans="1:28" x14ac:dyDescent="0.25">
      <c r="A321" t="s">
        <v>1403</v>
      </c>
      <c r="B321" t="s">
        <v>218</v>
      </c>
      <c r="C321">
        <v>51</v>
      </c>
      <c r="D321">
        <v>0</v>
      </c>
      <c r="E321">
        <v>0</v>
      </c>
      <c r="F321">
        <v>0</v>
      </c>
      <c r="G321">
        <v>51.2</v>
      </c>
      <c r="H321">
        <v>33</v>
      </c>
      <c r="I321">
        <v>27</v>
      </c>
      <c r="J321">
        <v>72</v>
      </c>
      <c r="K321">
        <v>19</v>
      </c>
      <c r="L321">
        <v>9</v>
      </c>
      <c r="M321">
        <v>5</v>
      </c>
      <c r="N321">
        <v>5</v>
      </c>
      <c r="O321">
        <v>2</v>
      </c>
      <c r="P321">
        <v>4</v>
      </c>
      <c r="Q321">
        <v>17</v>
      </c>
      <c r="R321">
        <v>4.7</v>
      </c>
      <c r="S321">
        <v>1.01</v>
      </c>
      <c r="T321">
        <f t="shared" si="12"/>
        <v>0</v>
      </c>
      <c r="U321">
        <f t="shared" si="13"/>
        <v>0.52734375</v>
      </c>
      <c r="V321">
        <f>U321-AVERAGEIFS(Pitchers[ER/IP],Pitchers[GS],"&gt;"&amp;0,Pitchers[IP],"&gt;"&amp;3)</f>
        <v>-4.4156844799319472E-2</v>
      </c>
      <c r="W321">
        <f>IF(Pitchers[[#This Row],[IP/GS]]&lt;&gt;0,(Pitchers[[#This Row],[WHIP]]*$AH$5+$AI$5)/9*Pitchers[[#This Row],[IP/GS]],(Pitchers[[#This Row],[WHIP]]*$AH$5+$AI$5)/9*(Pitchers[[#This Row],[IP]]/Pitchers[[#This Row],[G]]))</f>
        <v>0.32502857919227918</v>
      </c>
      <c r="X321">
        <f>Pitchers[[#This Row],[Runs from WHIP]]-AVERAGEIFS(Pitchers[Runs from WHIP],Pitchers[GS],"&gt;"&amp;0,Pitchers[IP],"&gt;"&amp;3)</f>
        <v>-5.3608873269325796</v>
      </c>
      <c r="Y321">
        <f>IF(Pitchers[[#This Row],[IP/GS]]&lt;&gt;0,Pitchers[[#This Row],[ER/IP From Average]]*Pitchers[[#This Row],[IP/GS]],Pitchers[[#This Row],[ER/IP From Average]]*(Pitchers[[#This Row],[IP]]/Pitchers[[#This Row],[G]]))</f>
        <v>-4.4330008896571703E-2</v>
      </c>
      <c r="Z321">
        <f t="shared" si="14"/>
        <v>-1.4473019574073163</v>
      </c>
      <c r="AA321" s="32">
        <f>IF(Pitchers[[#This Row],[W]]=0,0,Pitchers[[#This Row],[W]]/(Pitchers[[#This Row],[W]]+Pitchers[[#This Row],[L]]))</f>
        <v>0.5</v>
      </c>
      <c r="AB321" s="60"/>
    </row>
    <row r="322" spans="1:28" x14ac:dyDescent="0.25">
      <c r="A322" t="s">
        <v>612</v>
      </c>
      <c r="B322" t="s">
        <v>18</v>
      </c>
      <c r="C322">
        <v>68</v>
      </c>
      <c r="D322">
        <v>0</v>
      </c>
      <c r="E322">
        <v>0</v>
      </c>
      <c r="F322">
        <v>0</v>
      </c>
      <c r="G322">
        <v>51.1</v>
      </c>
      <c r="H322">
        <v>45</v>
      </c>
      <c r="I322">
        <v>28</v>
      </c>
      <c r="J322">
        <v>55</v>
      </c>
      <c r="K322">
        <v>27</v>
      </c>
      <c r="L322">
        <v>8</v>
      </c>
      <c r="M322">
        <v>1</v>
      </c>
      <c r="N322">
        <v>3</v>
      </c>
      <c r="O322">
        <v>0</v>
      </c>
      <c r="P322">
        <v>1</v>
      </c>
      <c r="Q322">
        <v>18</v>
      </c>
      <c r="R322">
        <v>4.91</v>
      </c>
      <c r="S322">
        <v>1.4</v>
      </c>
      <c r="T322">
        <f t="shared" si="12"/>
        <v>0</v>
      </c>
      <c r="U322">
        <f t="shared" si="13"/>
        <v>0.54794520547945202</v>
      </c>
      <c r="V322">
        <f>U322-AVERAGEIFS(Pitchers[ER/IP],Pitchers[GS],"&gt;"&amp;0,Pitchers[IP],"&gt;"&amp;3)</f>
        <v>-2.3555389319867448E-2</v>
      </c>
      <c r="W322">
        <f>IF(Pitchers[[#This Row],[IP/GS]]&lt;&gt;0,(Pitchers[[#This Row],[WHIP]]*$AH$5+$AI$5)/9*Pitchers[[#This Row],[IP/GS]],(Pitchers[[#This Row],[WHIP]]*$AH$5+$AI$5)/9*(Pitchers[[#This Row],[IP]]/Pitchers[[#This Row],[G]]))</f>
        <v>0.39545173298673381</v>
      </c>
      <c r="X322">
        <f>Pitchers[[#This Row],[Runs from WHIP]]-AVERAGEIFS(Pitchers[Runs from WHIP],Pitchers[GS],"&gt;"&amp;0,Pitchers[IP],"&gt;"&amp;3)</f>
        <v>-5.2904641731381252</v>
      </c>
      <c r="Y322">
        <f>IF(Pitchers[[#This Row],[IP/GS]]&lt;&gt;0,Pitchers[[#This Row],[ER/IP From Average]]*Pitchers[[#This Row],[IP/GS]],Pitchers[[#This Row],[ER/IP From Average]]*(Pitchers[[#This Row],[IP]]/Pitchers[[#This Row],[G]]))</f>
        <v>-1.7701182268312157E-2</v>
      </c>
      <c r="Z322">
        <f t="shared" si="14"/>
        <v>-1.4178709190774912</v>
      </c>
      <c r="AA322" s="32">
        <f>IF(Pitchers[[#This Row],[W]]=0,0,Pitchers[[#This Row],[W]]/(Pitchers[[#This Row],[W]]+Pitchers[[#This Row],[L]]))</f>
        <v>0.25</v>
      </c>
      <c r="AB322" s="60"/>
    </row>
    <row r="323" spans="1:28" x14ac:dyDescent="0.25">
      <c r="A323" t="s">
        <v>445</v>
      </c>
      <c r="B323" t="s">
        <v>19</v>
      </c>
      <c r="C323">
        <v>13</v>
      </c>
      <c r="D323">
        <v>9</v>
      </c>
      <c r="E323">
        <v>0</v>
      </c>
      <c r="F323">
        <v>0</v>
      </c>
      <c r="G323">
        <v>51.1</v>
      </c>
      <c r="H323">
        <v>64</v>
      </c>
      <c r="I323">
        <v>48</v>
      </c>
      <c r="J323">
        <v>52</v>
      </c>
      <c r="K323">
        <v>34</v>
      </c>
      <c r="L323">
        <v>19</v>
      </c>
      <c r="M323">
        <v>1</v>
      </c>
      <c r="N323">
        <v>5</v>
      </c>
      <c r="O323">
        <v>1</v>
      </c>
      <c r="P323">
        <v>0</v>
      </c>
      <c r="Q323">
        <v>0</v>
      </c>
      <c r="R323">
        <v>8.42</v>
      </c>
      <c r="S323">
        <v>1.91</v>
      </c>
      <c r="T323">
        <f t="shared" si="12"/>
        <v>5.677777777777778</v>
      </c>
      <c r="U323">
        <f t="shared" si="13"/>
        <v>0.9393346379647749</v>
      </c>
      <c r="V323" s="60">
        <f>U323-AVERAGEIFS(Pitchers[ER/IP],Pitchers[GS],"&gt;"&amp;0,Pitchers[IP],"&gt;"&amp;3)</f>
        <v>0.36783404316545543</v>
      </c>
      <c r="W323" s="60">
        <f>IF(Pitchers[[#This Row],[IP/GS]]&lt;&gt;0,(Pitchers[[#This Row],[WHIP]]*$AH$5+$AI$5)/9*Pitchers[[#This Row],[IP/GS]],(Pitchers[[#This Row],[WHIP]]*$AH$5+$AI$5)/9*(Pitchers[[#This Row],[IP]]/Pitchers[[#This Row],[G]]))</f>
        <v>4.4912149344012748</v>
      </c>
      <c r="X323" s="60">
        <f>Pitchers[[#This Row],[Runs from WHIP]]-AVERAGEIFS(Pitchers[Runs from WHIP],Pitchers[GS],"&gt;"&amp;0,Pitchers[IP],"&gt;"&amp;3)</f>
        <v>-1.1947009717235844</v>
      </c>
      <c r="Y323" s="60">
        <f>IF(Pitchers[[#This Row],[IP/GS]]&lt;&gt;0,Pitchers[[#This Row],[ER/IP From Average]]*Pitchers[[#This Row],[IP/GS]],Pitchers[[#This Row],[ER/IP From Average]]*(Pitchers[[#This Row],[IP]]/Pitchers[[#This Row],[G]]))</f>
        <v>2.0884799561949747</v>
      </c>
      <c r="Z323" s="60">
        <f t="shared" si="14"/>
        <v>0.51680505668503407</v>
      </c>
      <c r="AA323" s="32">
        <f>IF(Pitchers[[#This Row],[W]]=0,0,Pitchers[[#This Row],[W]]/(Pitchers[[#This Row],[W]]+Pitchers[[#This Row],[L]]))</f>
        <v>0.16666666666666666</v>
      </c>
      <c r="AB323" s="60"/>
    </row>
    <row r="324" spans="1:28" x14ac:dyDescent="0.25">
      <c r="A324" t="s">
        <v>551</v>
      </c>
      <c r="B324" t="s">
        <v>361</v>
      </c>
      <c r="C324">
        <v>57</v>
      </c>
      <c r="D324">
        <v>0</v>
      </c>
      <c r="E324">
        <v>0</v>
      </c>
      <c r="F324">
        <v>0</v>
      </c>
      <c r="G324">
        <v>51.1</v>
      </c>
      <c r="H324">
        <v>60</v>
      </c>
      <c r="I324">
        <v>35</v>
      </c>
      <c r="J324">
        <v>53</v>
      </c>
      <c r="K324">
        <v>23</v>
      </c>
      <c r="L324">
        <v>8</v>
      </c>
      <c r="M324">
        <v>3</v>
      </c>
      <c r="N324">
        <v>3</v>
      </c>
      <c r="O324">
        <v>1</v>
      </c>
      <c r="P324">
        <v>2</v>
      </c>
      <c r="Q324">
        <v>6</v>
      </c>
      <c r="R324">
        <v>6.14</v>
      </c>
      <c r="S324">
        <v>1.62</v>
      </c>
      <c r="T324">
        <f t="shared" si="12"/>
        <v>0</v>
      </c>
      <c r="U324">
        <f t="shared" si="13"/>
        <v>0.68493150684931503</v>
      </c>
      <c r="V324">
        <f>U324-AVERAGEIFS(Pitchers[ER/IP],Pitchers[GS],"&gt;"&amp;0,Pitchers[IP],"&gt;"&amp;3)</f>
        <v>0.11343091204999556</v>
      </c>
      <c r="W324">
        <f>IF(Pitchers[[#This Row],[IP/GS]]&lt;&gt;0,(Pitchers[[#This Row],[WHIP]]*$AH$5+$AI$5)/9*Pitchers[[#This Row],[IP/GS]],(Pitchers[[#This Row],[WHIP]]*$AH$5+$AI$5)/9*(Pitchers[[#This Row],[IP]]/Pitchers[[#This Row],[G]]))</f>
        <v>0.57416283951196834</v>
      </c>
      <c r="X324">
        <f>Pitchers[[#This Row],[Runs from WHIP]]-AVERAGEIFS(Pitchers[Runs from WHIP],Pitchers[GS],"&gt;"&amp;0,Pitchers[IP],"&gt;"&amp;3)</f>
        <v>-5.1117530666128905</v>
      </c>
      <c r="Y324">
        <f>IF(Pitchers[[#This Row],[IP/GS]]&lt;&gt;0,Pitchers[[#This Row],[ER/IP From Average]]*Pitchers[[#This Row],[IP/GS]],Pitchers[[#This Row],[ER/IP From Average]]*(Pitchers[[#This Row],[IP]]/Pitchers[[#This Row],[G]]))</f>
        <v>0.10168981764482057</v>
      </c>
      <c r="Z324">
        <f t="shared" si="14"/>
        <v>-1.3224582240388429</v>
      </c>
      <c r="AA324" s="32">
        <f>IF(Pitchers[[#This Row],[W]]=0,0,Pitchers[[#This Row],[W]]/(Pitchers[[#This Row],[W]]+Pitchers[[#This Row],[L]]))</f>
        <v>0.5</v>
      </c>
      <c r="AB324" s="60"/>
    </row>
    <row r="325" spans="1:28" x14ac:dyDescent="0.25">
      <c r="A325" t="s">
        <v>543</v>
      </c>
      <c r="B325" t="s">
        <v>29</v>
      </c>
      <c r="C325">
        <v>55</v>
      </c>
      <c r="D325">
        <v>0</v>
      </c>
      <c r="E325">
        <v>0</v>
      </c>
      <c r="F325">
        <v>0</v>
      </c>
      <c r="G325">
        <v>51.1</v>
      </c>
      <c r="H325">
        <v>49</v>
      </c>
      <c r="I325">
        <v>26</v>
      </c>
      <c r="J325">
        <v>62</v>
      </c>
      <c r="K325">
        <v>22</v>
      </c>
      <c r="L325">
        <v>6</v>
      </c>
      <c r="M325">
        <v>5</v>
      </c>
      <c r="N325">
        <v>4</v>
      </c>
      <c r="O325">
        <v>1</v>
      </c>
      <c r="P325">
        <v>5</v>
      </c>
      <c r="Q325">
        <v>8</v>
      </c>
      <c r="R325">
        <v>4.5599999999999996</v>
      </c>
      <c r="S325">
        <v>1.38</v>
      </c>
      <c r="T325">
        <f t="shared" ref="T325:T388" si="15">IF(D325=0,0,G325/D325)</f>
        <v>0</v>
      </c>
      <c r="U325">
        <f t="shared" ref="U325:U388" si="16">IF(G325=0,0,I325/G325)</f>
        <v>0.50880626223091974</v>
      </c>
      <c r="V325">
        <f>U325-AVERAGEIFS(Pitchers[ER/IP],Pitchers[GS],"&gt;"&amp;0,Pitchers[IP],"&gt;"&amp;3)</f>
        <v>-6.2694332568399735E-2</v>
      </c>
      <c r="W325">
        <f>IF(Pitchers[[#This Row],[IP/GS]]&lt;&gt;0,(Pitchers[[#This Row],[WHIP]]*$AH$5+$AI$5)/9*Pitchers[[#This Row],[IP/GS]],(Pitchers[[#This Row],[WHIP]]*$AH$5+$AI$5)/9*(Pitchers[[#This Row],[IP]]/Pitchers[[#This Row],[G]]))</f>
        <v>0.47927492936362415</v>
      </c>
      <c r="X325">
        <f>Pitchers[[#This Row],[Runs from WHIP]]-AVERAGEIFS(Pitchers[Runs from WHIP],Pitchers[GS],"&gt;"&amp;0,Pitchers[IP],"&gt;"&amp;3)</f>
        <v>-5.2066409767612347</v>
      </c>
      <c r="Y325">
        <f>IF(Pitchers[[#This Row],[IP/GS]]&lt;&gt;0,Pitchers[[#This Row],[ER/IP From Average]]*Pitchers[[#This Row],[IP/GS]],Pitchers[[#This Row],[ER/IP From Average]]*(Pitchers[[#This Row],[IP]]/Pitchers[[#This Row],[G]]))</f>
        <v>-5.8248734440822299E-2</v>
      </c>
      <c r="Z325">
        <f t="shared" ref="Z325:Z388" si="17">AVERAGE(X325,X325,Y325,Y325,Y325)/1.5</f>
        <v>-1.4117370875793247</v>
      </c>
      <c r="AA325" s="32">
        <f>IF(Pitchers[[#This Row],[W]]=0,0,Pitchers[[#This Row],[W]]/(Pitchers[[#This Row],[W]]+Pitchers[[#This Row],[L]]))</f>
        <v>0.55555555555555558</v>
      </c>
      <c r="AB325" s="60"/>
    </row>
    <row r="326" spans="1:28" x14ac:dyDescent="0.25">
      <c r="A326" t="s">
        <v>500</v>
      </c>
      <c r="B326" t="s">
        <v>219</v>
      </c>
      <c r="C326">
        <v>49</v>
      </c>
      <c r="D326">
        <v>0</v>
      </c>
      <c r="E326">
        <v>0</v>
      </c>
      <c r="F326">
        <v>0</v>
      </c>
      <c r="G326">
        <v>51</v>
      </c>
      <c r="H326">
        <v>39</v>
      </c>
      <c r="I326">
        <v>14</v>
      </c>
      <c r="J326">
        <v>47</v>
      </c>
      <c r="K326">
        <v>7</v>
      </c>
      <c r="L326">
        <v>3</v>
      </c>
      <c r="M326">
        <v>4</v>
      </c>
      <c r="N326">
        <v>1</v>
      </c>
      <c r="O326">
        <v>2</v>
      </c>
      <c r="P326">
        <v>1</v>
      </c>
      <c r="Q326">
        <v>17</v>
      </c>
      <c r="R326">
        <v>2.4700000000000002</v>
      </c>
      <c r="S326">
        <v>0.9</v>
      </c>
      <c r="T326">
        <f t="shared" si="15"/>
        <v>0</v>
      </c>
      <c r="U326">
        <f t="shared" si="16"/>
        <v>0.27450980392156865</v>
      </c>
      <c r="V326" s="60">
        <f>U326-AVERAGEIFS(Pitchers[ER/IP],Pitchers[GS],"&gt;"&amp;0,Pitchers[IP],"&gt;"&amp;3)</f>
        <v>-0.29699079087775082</v>
      </c>
      <c r="W326">
        <f>IF(Pitchers[[#This Row],[IP/GS]]&lt;&gt;0,(Pitchers[[#This Row],[WHIP]]*$AH$5+$AI$5)/9*Pitchers[[#This Row],[IP/GS]],(Pitchers[[#This Row],[WHIP]]*$AH$5+$AI$5)/9*(Pitchers[[#This Row],[IP]]/Pitchers[[#This Row],[G]]))</f>
        <v>0.27753336062634865</v>
      </c>
      <c r="X326" s="60">
        <f>Pitchers[[#This Row],[Runs from WHIP]]-AVERAGEIFS(Pitchers[Runs from WHIP],Pitchers[GS],"&gt;"&amp;0,Pitchers[IP],"&gt;"&amp;3)</f>
        <v>-5.4083825454985108</v>
      </c>
      <c r="Y326">
        <f>IF(Pitchers[[#This Row],[IP/GS]]&lt;&gt;0,Pitchers[[#This Row],[ER/IP From Average]]*Pitchers[[#This Row],[IP/GS]],Pitchers[[#This Row],[ER/IP From Average]]*(Pitchers[[#This Row],[IP]]/Pitchers[[#This Row],[G]]))</f>
        <v>-0.30911286397480187</v>
      </c>
      <c r="Z326" s="60">
        <f t="shared" si="17"/>
        <v>-1.5658804910561903</v>
      </c>
      <c r="AA326" s="32">
        <f>IF(Pitchers[[#This Row],[W]]=0,0,Pitchers[[#This Row],[W]]/(Pitchers[[#This Row],[W]]+Pitchers[[#This Row],[L]]))</f>
        <v>0.8</v>
      </c>
      <c r="AB326" s="60"/>
    </row>
    <row r="327" spans="1:28" x14ac:dyDescent="0.25">
      <c r="A327" t="s">
        <v>580</v>
      </c>
      <c r="B327" t="s">
        <v>370</v>
      </c>
      <c r="C327">
        <v>51</v>
      </c>
      <c r="D327">
        <v>1</v>
      </c>
      <c r="E327">
        <v>0</v>
      </c>
      <c r="F327">
        <v>0</v>
      </c>
      <c r="G327">
        <v>51</v>
      </c>
      <c r="H327">
        <v>34</v>
      </c>
      <c r="I327">
        <v>32</v>
      </c>
      <c r="J327">
        <v>72</v>
      </c>
      <c r="K327">
        <v>28</v>
      </c>
      <c r="L327">
        <v>5</v>
      </c>
      <c r="M327">
        <v>1</v>
      </c>
      <c r="N327">
        <v>3</v>
      </c>
      <c r="O327">
        <v>1</v>
      </c>
      <c r="P327">
        <v>3</v>
      </c>
      <c r="Q327">
        <v>16</v>
      </c>
      <c r="R327">
        <v>5.65</v>
      </c>
      <c r="S327">
        <v>1.22</v>
      </c>
      <c r="T327">
        <f t="shared" si="15"/>
        <v>51</v>
      </c>
      <c r="U327">
        <f t="shared" si="16"/>
        <v>0.62745098039215685</v>
      </c>
      <c r="V327">
        <f>U327-AVERAGEIFS(Pitchers[ER/IP],Pitchers[GS],"&gt;"&amp;0,Pitchers[IP],"&gt;"&amp;3)</f>
        <v>5.5950385592837382E-2</v>
      </c>
      <c r="W327">
        <f>IF(Pitchers[[#This Row],[IP/GS]]&lt;&gt;0,(Pitchers[[#This Row],[WHIP]]*$AH$5+$AI$5)/9*Pitchers[[#This Row],[IP/GS]],(Pitchers[[#This Row],[WHIP]]*$AH$5+$AI$5)/9*(Pitchers[[#This Row],[IP]]/Pitchers[[#This Row],[G]]))</f>
        <v>22.072068724085099</v>
      </c>
      <c r="X327">
        <f>Pitchers[[#This Row],[Runs from WHIP]]-AVERAGEIFS(Pitchers[Runs from WHIP],Pitchers[GS],"&gt;"&amp;0,Pitchers[IP],"&gt;"&amp;3)</f>
        <v>16.386152817960241</v>
      </c>
      <c r="Y327">
        <f>IF(Pitchers[[#This Row],[IP/GS]]&lt;&gt;0,Pitchers[[#This Row],[ER/IP From Average]]*Pitchers[[#This Row],[IP/GS]],Pitchers[[#This Row],[ER/IP From Average]]*(Pitchers[[#This Row],[IP]]/Pitchers[[#This Row],[G]]))</f>
        <v>2.8534696652347065</v>
      </c>
      <c r="Z327">
        <f t="shared" si="17"/>
        <v>5.5110286175499468</v>
      </c>
      <c r="AA327" s="32">
        <f>IF(Pitchers[[#This Row],[W]]=0,0,Pitchers[[#This Row],[W]]/(Pitchers[[#This Row],[W]]+Pitchers[[#This Row],[L]]))</f>
        <v>0.25</v>
      </c>
      <c r="AB327" s="60"/>
    </row>
    <row r="328" spans="1:28" x14ac:dyDescent="0.25">
      <c r="A328" t="s">
        <v>659</v>
      </c>
      <c r="B328" t="s">
        <v>218</v>
      </c>
      <c r="C328">
        <v>71</v>
      </c>
      <c r="D328">
        <v>0</v>
      </c>
      <c r="E328">
        <v>0</v>
      </c>
      <c r="F328">
        <v>0</v>
      </c>
      <c r="G328">
        <v>51</v>
      </c>
      <c r="H328">
        <v>49</v>
      </c>
      <c r="I328">
        <v>23</v>
      </c>
      <c r="J328">
        <v>65</v>
      </c>
      <c r="K328">
        <v>31</v>
      </c>
      <c r="L328">
        <v>3</v>
      </c>
      <c r="M328">
        <v>1</v>
      </c>
      <c r="N328">
        <v>3</v>
      </c>
      <c r="O328">
        <v>1</v>
      </c>
      <c r="P328">
        <v>4</v>
      </c>
      <c r="Q328">
        <v>23</v>
      </c>
      <c r="R328">
        <v>4.0599999999999996</v>
      </c>
      <c r="S328">
        <v>1.57</v>
      </c>
      <c r="T328">
        <f t="shared" si="15"/>
        <v>0</v>
      </c>
      <c r="U328">
        <f t="shared" si="16"/>
        <v>0.45098039215686275</v>
      </c>
      <c r="V328">
        <f>U328-AVERAGEIFS(Pitchers[ER/IP],Pitchers[GS],"&gt;"&amp;0,Pitchers[IP],"&gt;"&amp;3)</f>
        <v>-0.12052020264245672</v>
      </c>
      <c r="W328">
        <f>IF(Pitchers[[#This Row],[IP/GS]]&lt;&gt;0,(Pitchers[[#This Row],[WHIP]]*$AH$5+$AI$5)/9*Pitchers[[#This Row],[IP/GS]],(Pitchers[[#This Row],[WHIP]]*$AH$5+$AI$5)/9*(Pitchers[[#This Row],[IP]]/Pitchers[[#This Row],[G]]))</f>
        <v>0.44139915978851851</v>
      </c>
      <c r="X328">
        <f>Pitchers[[#This Row],[Runs from WHIP]]-AVERAGEIFS(Pitchers[Runs from WHIP],Pitchers[GS],"&gt;"&amp;0,Pitchers[IP],"&gt;"&amp;3)</f>
        <v>-5.2445167463363411</v>
      </c>
      <c r="Y328">
        <f>IF(Pitchers[[#This Row],[IP/GS]]&lt;&gt;0,Pitchers[[#This Row],[ER/IP From Average]]*Pitchers[[#This Row],[IP/GS]],Pitchers[[#This Row],[ER/IP From Average]]*(Pitchers[[#This Row],[IP]]/Pitchers[[#This Row],[G]]))</f>
        <v>-8.657084978542666E-2</v>
      </c>
      <c r="Z328">
        <f t="shared" si="17"/>
        <v>-1.4331661389371948</v>
      </c>
      <c r="AA328" s="32">
        <f>IF(Pitchers[[#This Row],[W]]=0,0,Pitchers[[#This Row],[W]]/(Pitchers[[#This Row],[W]]+Pitchers[[#This Row],[L]]))</f>
        <v>0.25</v>
      </c>
      <c r="AB328" s="60"/>
    </row>
    <row r="329" spans="1:28" x14ac:dyDescent="0.25">
      <c r="A329" t="s">
        <v>736</v>
      </c>
      <c r="B329" t="s">
        <v>5</v>
      </c>
      <c r="C329">
        <v>53</v>
      </c>
      <c r="D329">
        <v>0</v>
      </c>
      <c r="E329">
        <v>0</v>
      </c>
      <c r="F329">
        <v>0</v>
      </c>
      <c r="G329">
        <v>50.2</v>
      </c>
      <c r="H329">
        <v>40</v>
      </c>
      <c r="I329">
        <v>17</v>
      </c>
      <c r="J329">
        <v>39</v>
      </c>
      <c r="K329">
        <v>16</v>
      </c>
      <c r="L329">
        <v>4</v>
      </c>
      <c r="M329">
        <v>4</v>
      </c>
      <c r="N329">
        <v>2</v>
      </c>
      <c r="O329">
        <v>0</v>
      </c>
      <c r="P329">
        <v>1</v>
      </c>
      <c r="Q329">
        <v>6</v>
      </c>
      <c r="R329">
        <v>3.02</v>
      </c>
      <c r="S329">
        <v>1.1100000000000001</v>
      </c>
      <c r="T329">
        <f t="shared" si="15"/>
        <v>0</v>
      </c>
      <c r="U329">
        <f t="shared" si="16"/>
        <v>0.3386454183266932</v>
      </c>
      <c r="V329">
        <f>U329-AVERAGEIFS(Pitchers[ER/IP],Pitchers[GS],"&gt;"&amp;0,Pitchers[IP],"&gt;"&amp;3)</f>
        <v>-0.23285517647262627</v>
      </c>
      <c r="W329">
        <f>IF(Pitchers[[#This Row],[IP/GS]]&lt;&gt;0,(Pitchers[[#This Row],[WHIP]]*$AH$5+$AI$5)/9*Pitchers[[#This Row],[IP/GS]],(Pitchers[[#This Row],[WHIP]]*$AH$5+$AI$5)/9*(Pitchers[[#This Row],[IP]]/Pitchers[[#This Row],[G]]))</f>
        <v>0.35582936799489145</v>
      </c>
      <c r="X329">
        <f>Pitchers[[#This Row],[Runs from WHIP]]-AVERAGEIFS(Pitchers[Runs from WHIP],Pitchers[GS],"&gt;"&amp;0,Pitchers[IP],"&gt;"&amp;3)</f>
        <v>-5.3300865381299678</v>
      </c>
      <c r="Y329">
        <f>IF(Pitchers[[#This Row],[IP/GS]]&lt;&gt;0,Pitchers[[#This Row],[ER/IP From Average]]*Pitchers[[#This Row],[IP/GS]],Pitchers[[#This Row],[ER/IP From Average]]*(Pitchers[[#This Row],[IP]]/Pitchers[[#This Row],[G]]))</f>
        <v>-0.22055339356463846</v>
      </c>
      <c r="Z329">
        <f t="shared" si="17"/>
        <v>-1.5095777675938471</v>
      </c>
      <c r="AA329" s="32">
        <f>IF(Pitchers[[#This Row],[W]]=0,0,Pitchers[[#This Row],[W]]/(Pitchers[[#This Row],[W]]+Pitchers[[#This Row],[L]]))</f>
        <v>0.66666666666666663</v>
      </c>
      <c r="AB329" s="60"/>
    </row>
    <row r="330" spans="1:28" x14ac:dyDescent="0.25">
      <c r="A330" t="s">
        <v>450</v>
      </c>
      <c r="B330" t="s">
        <v>361</v>
      </c>
      <c r="C330">
        <v>16</v>
      </c>
      <c r="D330">
        <v>8</v>
      </c>
      <c r="E330">
        <v>0</v>
      </c>
      <c r="F330">
        <v>0</v>
      </c>
      <c r="G330">
        <v>50.2</v>
      </c>
      <c r="H330">
        <v>60</v>
      </c>
      <c r="I330">
        <v>39</v>
      </c>
      <c r="J330">
        <v>44</v>
      </c>
      <c r="K330">
        <v>33</v>
      </c>
      <c r="L330">
        <v>12</v>
      </c>
      <c r="M330">
        <v>3</v>
      </c>
      <c r="N330">
        <v>4</v>
      </c>
      <c r="O330">
        <v>0</v>
      </c>
      <c r="P330">
        <v>0</v>
      </c>
      <c r="Q330">
        <v>0</v>
      </c>
      <c r="R330">
        <v>6.93</v>
      </c>
      <c r="S330">
        <v>1.84</v>
      </c>
      <c r="T330">
        <f t="shared" si="15"/>
        <v>6.2750000000000004</v>
      </c>
      <c r="U330">
        <f t="shared" si="16"/>
        <v>0.77689243027888444</v>
      </c>
      <c r="V330">
        <f>U330-AVERAGEIFS(Pitchers[ER/IP],Pitchers[GS],"&gt;"&amp;0,Pitchers[IP],"&gt;"&amp;3)</f>
        <v>0.20539183547956497</v>
      </c>
      <c r="W330">
        <f>IF(Pitchers[[#This Row],[IP/GS]]&lt;&gt;0,(Pitchers[[#This Row],[WHIP]]*$AH$5+$AI$5)/9*Pitchers[[#This Row],[IP/GS]],(Pitchers[[#This Row],[WHIP]]*$AH$5+$AI$5)/9*(Pitchers[[#This Row],[IP]]/Pitchers[[#This Row],[G]]))</f>
        <v>4.7355798978365389</v>
      </c>
      <c r="X330">
        <f>Pitchers[[#This Row],[Runs from WHIP]]-AVERAGEIFS(Pitchers[Runs from WHIP],Pitchers[GS],"&gt;"&amp;0,Pitchers[IP],"&gt;"&amp;3)</f>
        <v>-0.95033600828832032</v>
      </c>
      <c r="Y330">
        <f>IF(Pitchers[[#This Row],[IP/GS]]&lt;&gt;0,Pitchers[[#This Row],[ER/IP From Average]]*Pitchers[[#This Row],[IP/GS]],Pitchers[[#This Row],[ER/IP From Average]]*(Pitchers[[#This Row],[IP]]/Pitchers[[#This Row],[G]]))</f>
        <v>1.2888337676342703</v>
      </c>
      <c r="Z330">
        <f t="shared" si="17"/>
        <v>0.26211057151015599</v>
      </c>
      <c r="AA330" s="32">
        <f>IF(Pitchers[[#This Row],[W]]=0,0,Pitchers[[#This Row],[W]]/(Pitchers[[#This Row],[W]]+Pitchers[[#This Row],[L]]))</f>
        <v>0.42857142857142855</v>
      </c>
      <c r="AB330" s="60"/>
    </row>
    <row r="331" spans="1:28" x14ac:dyDescent="0.25">
      <c r="A331" t="s">
        <v>1170</v>
      </c>
      <c r="B331" t="s">
        <v>361</v>
      </c>
      <c r="C331">
        <v>55</v>
      </c>
      <c r="D331">
        <v>0</v>
      </c>
      <c r="E331">
        <v>0</v>
      </c>
      <c r="F331">
        <v>0</v>
      </c>
      <c r="G331">
        <v>50.2</v>
      </c>
      <c r="H331">
        <v>42</v>
      </c>
      <c r="I331">
        <v>14</v>
      </c>
      <c r="J331">
        <v>41</v>
      </c>
      <c r="K331">
        <v>24</v>
      </c>
      <c r="L331">
        <v>5</v>
      </c>
      <c r="M331">
        <v>4</v>
      </c>
      <c r="N331">
        <v>2</v>
      </c>
      <c r="O331">
        <v>0</v>
      </c>
      <c r="P331">
        <v>4</v>
      </c>
      <c r="Q331">
        <v>19</v>
      </c>
      <c r="R331">
        <v>2.4900000000000002</v>
      </c>
      <c r="S331">
        <v>1.3</v>
      </c>
      <c r="T331">
        <f t="shared" si="15"/>
        <v>0</v>
      </c>
      <c r="U331">
        <f t="shared" si="16"/>
        <v>0.2788844621513944</v>
      </c>
      <c r="V331">
        <f>U331-AVERAGEIFS(Pitchers[ER/IP],Pitchers[GS],"&gt;"&amp;0,Pitchers[IP],"&gt;"&amp;3)</f>
        <v>-0.29261613264792508</v>
      </c>
      <c r="W331">
        <f>IF(Pitchers[[#This Row],[IP/GS]]&lt;&gt;0,(Pitchers[[#This Row],[WHIP]]*$AH$5+$AI$5)/9*Pitchers[[#This Row],[IP/GS]],(Pitchers[[#This Row],[WHIP]]*$AH$5+$AI$5)/9*(Pitchers[[#This Row],[IP]]/Pitchers[[#This Row],[G]]))</f>
        <v>0.43292448211022005</v>
      </c>
      <c r="X331">
        <f>Pitchers[[#This Row],[Runs from WHIP]]-AVERAGEIFS(Pitchers[Runs from WHIP],Pitchers[GS],"&gt;"&amp;0,Pitchers[IP],"&gt;"&amp;3)</f>
        <v>-5.2529914240146391</v>
      </c>
      <c r="Y331">
        <f>IF(Pitchers[[#This Row],[IP/GS]]&lt;&gt;0,Pitchers[[#This Row],[ER/IP From Average]]*Pitchers[[#This Row],[IP/GS]],Pitchers[[#This Row],[ER/IP From Average]]*(Pitchers[[#This Row],[IP]]/Pitchers[[#This Row],[G]]))</f>
        <v>-0.26707872470774258</v>
      </c>
      <c r="Z331">
        <f t="shared" si="17"/>
        <v>-1.5076292029536675</v>
      </c>
      <c r="AA331" s="32">
        <f>IF(Pitchers[[#This Row],[W]]=0,0,Pitchers[[#This Row],[W]]/(Pitchers[[#This Row],[W]]+Pitchers[[#This Row],[L]]))</f>
        <v>0.66666666666666663</v>
      </c>
      <c r="AB331" s="60"/>
    </row>
    <row r="332" spans="1:28" x14ac:dyDescent="0.25">
      <c r="A332" t="s">
        <v>409</v>
      </c>
      <c r="B332" t="s">
        <v>17</v>
      </c>
      <c r="C332">
        <v>15</v>
      </c>
      <c r="D332">
        <v>6</v>
      </c>
      <c r="E332">
        <v>0</v>
      </c>
      <c r="F332">
        <v>0</v>
      </c>
      <c r="G332">
        <v>50.1</v>
      </c>
      <c r="H332">
        <v>49</v>
      </c>
      <c r="I332">
        <v>28</v>
      </c>
      <c r="J332">
        <v>43</v>
      </c>
      <c r="K332">
        <v>14</v>
      </c>
      <c r="L332">
        <v>12</v>
      </c>
      <c r="M332">
        <v>2</v>
      </c>
      <c r="N332">
        <v>3</v>
      </c>
      <c r="O332">
        <v>0</v>
      </c>
      <c r="P332">
        <v>0</v>
      </c>
      <c r="Q332">
        <v>0</v>
      </c>
      <c r="R332">
        <v>5.01</v>
      </c>
      <c r="S332">
        <v>1.25</v>
      </c>
      <c r="T332">
        <f t="shared" si="15"/>
        <v>8.35</v>
      </c>
      <c r="U332">
        <f t="shared" si="16"/>
        <v>0.55888223552894212</v>
      </c>
      <c r="V332">
        <f>U332-AVERAGEIFS(Pitchers[ER/IP],Pitchers[GS],"&gt;"&amp;0,Pitchers[IP],"&gt;"&amp;3)</f>
        <v>-1.2618359270377355E-2</v>
      </c>
      <c r="W332">
        <f>IF(Pitchers[[#This Row],[IP/GS]]&lt;&gt;0,(Pitchers[[#This Row],[WHIP]]*$AH$5+$AI$5)/9*Pitchers[[#This Row],[IP/GS]],(Pitchers[[#This Row],[WHIP]]*$AH$5+$AI$5)/9*(Pitchers[[#This Row],[IP]]/Pitchers[[#This Row],[G]]))</f>
        <v>3.7438135791133935</v>
      </c>
      <c r="X332">
        <f>Pitchers[[#This Row],[Runs from WHIP]]-AVERAGEIFS(Pitchers[Runs from WHIP],Pitchers[GS],"&gt;"&amp;0,Pitchers[IP],"&gt;"&amp;3)</f>
        <v>-1.9421023270114657</v>
      </c>
      <c r="Y332">
        <f>IF(Pitchers[[#This Row],[IP/GS]]&lt;&gt;0,Pitchers[[#This Row],[ER/IP From Average]]*Pitchers[[#This Row],[IP/GS]],Pitchers[[#This Row],[ER/IP From Average]]*(Pitchers[[#This Row],[IP]]/Pitchers[[#This Row],[G]]))</f>
        <v>-0.10536329990765091</v>
      </c>
      <c r="Z332">
        <f t="shared" si="17"/>
        <v>-0.56003927383278451</v>
      </c>
      <c r="AA332" s="32">
        <f>IF(Pitchers[[#This Row],[W]]=0,0,Pitchers[[#This Row],[W]]/(Pitchers[[#This Row],[W]]+Pitchers[[#This Row],[L]]))</f>
        <v>0.4</v>
      </c>
      <c r="AB332" s="60"/>
    </row>
    <row r="333" spans="1:28" x14ac:dyDescent="0.25">
      <c r="A333" t="s">
        <v>498</v>
      </c>
      <c r="B333" t="s">
        <v>18</v>
      </c>
      <c r="C333">
        <v>50</v>
      </c>
      <c r="D333">
        <v>0</v>
      </c>
      <c r="E333">
        <v>0</v>
      </c>
      <c r="F333">
        <v>0</v>
      </c>
      <c r="G333">
        <v>50</v>
      </c>
      <c r="H333">
        <v>50</v>
      </c>
      <c r="I333">
        <v>21</v>
      </c>
      <c r="J333">
        <v>50</v>
      </c>
      <c r="K333">
        <v>17</v>
      </c>
      <c r="L333">
        <v>8</v>
      </c>
      <c r="M333">
        <v>3</v>
      </c>
      <c r="N333">
        <v>1</v>
      </c>
      <c r="O333">
        <v>1</v>
      </c>
      <c r="P333">
        <v>2</v>
      </c>
      <c r="Q333">
        <v>12</v>
      </c>
      <c r="R333">
        <v>3.78</v>
      </c>
      <c r="S333">
        <v>1.34</v>
      </c>
      <c r="T333">
        <f t="shared" si="15"/>
        <v>0</v>
      </c>
      <c r="U333">
        <f t="shared" si="16"/>
        <v>0.42</v>
      </c>
      <c r="V333">
        <f>U333-AVERAGEIFS(Pitchers[ER/IP],Pitchers[GS],"&gt;"&amp;0,Pitchers[IP],"&gt;"&amp;3)</f>
        <v>-0.15150059479931949</v>
      </c>
      <c r="W333">
        <f>IF(Pitchers[[#This Row],[IP/GS]]&lt;&gt;0,(Pitchers[[#This Row],[WHIP]]*$AH$5+$AI$5)/9*Pitchers[[#This Row],[IP/GS]],(Pitchers[[#This Row],[WHIP]]*$AH$5+$AI$5)/9*(Pitchers[[#This Row],[IP]]/Pitchers[[#This Row],[G]]))</f>
        <v>0.49508664694329141</v>
      </c>
      <c r="X333">
        <f>Pitchers[[#This Row],[Runs from WHIP]]-AVERAGEIFS(Pitchers[Runs from WHIP],Pitchers[GS],"&gt;"&amp;0,Pitchers[IP],"&gt;"&amp;3)</f>
        <v>-5.1908292591815677</v>
      </c>
      <c r="Y333">
        <f>IF(Pitchers[[#This Row],[IP/GS]]&lt;&gt;0,Pitchers[[#This Row],[ER/IP From Average]]*Pitchers[[#This Row],[IP/GS]],Pitchers[[#This Row],[ER/IP From Average]]*(Pitchers[[#This Row],[IP]]/Pitchers[[#This Row],[G]]))</f>
        <v>-0.15150059479931949</v>
      </c>
      <c r="Z333">
        <f t="shared" si="17"/>
        <v>-1.444821373701479</v>
      </c>
      <c r="AA333" s="32">
        <f>IF(Pitchers[[#This Row],[W]]=0,0,Pitchers[[#This Row],[W]]/(Pitchers[[#This Row],[W]]+Pitchers[[#This Row],[L]]))</f>
        <v>0.75</v>
      </c>
      <c r="AB333" s="60"/>
    </row>
    <row r="334" spans="1:28" x14ac:dyDescent="0.25">
      <c r="A334" t="s">
        <v>1218</v>
      </c>
      <c r="B334" t="s">
        <v>14</v>
      </c>
      <c r="C334">
        <v>35</v>
      </c>
      <c r="D334">
        <v>0</v>
      </c>
      <c r="E334">
        <v>0</v>
      </c>
      <c r="F334">
        <v>0</v>
      </c>
      <c r="G334">
        <v>50</v>
      </c>
      <c r="H334">
        <v>45</v>
      </c>
      <c r="I334">
        <v>31</v>
      </c>
      <c r="J334">
        <v>56</v>
      </c>
      <c r="K334">
        <v>36</v>
      </c>
      <c r="L334">
        <v>5</v>
      </c>
      <c r="M334">
        <v>1</v>
      </c>
      <c r="N334">
        <v>2</v>
      </c>
      <c r="O334">
        <v>0</v>
      </c>
      <c r="P334">
        <v>1</v>
      </c>
      <c r="Q334">
        <v>1</v>
      </c>
      <c r="R334">
        <v>5.58</v>
      </c>
      <c r="S334">
        <v>1.62</v>
      </c>
      <c r="T334">
        <f t="shared" si="15"/>
        <v>0</v>
      </c>
      <c r="U334">
        <f t="shared" si="16"/>
        <v>0.62</v>
      </c>
      <c r="V334">
        <f>U334-AVERAGEIFS(Pitchers[ER/IP],Pitchers[GS],"&gt;"&amp;0,Pitchers[IP],"&gt;"&amp;3)</f>
        <v>4.8499405200680523E-2</v>
      </c>
      <c r="W334">
        <f>IF(Pitchers[[#This Row],[IP/GS]]&lt;&gt;0,(Pitchers[[#This Row],[WHIP]]*$AH$5+$AI$5)/9*Pitchers[[#This Row],[IP/GS]],(Pitchers[[#This Row],[WHIP]]*$AH$5+$AI$5)/9*(Pitchers[[#This Row],[IP]]/Pitchers[[#This Row],[G]]))</f>
        <v>0.91493659077948553</v>
      </c>
      <c r="X334">
        <f>Pitchers[[#This Row],[Runs from WHIP]]-AVERAGEIFS(Pitchers[Runs from WHIP],Pitchers[GS],"&gt;"&amp;0,Pitchers[IP],"&gt;"&amp;3)</f>
        <v>-4.7709793153453735</v>
      </c>
      <c r="Y334">
        <f>IF(Pitchers[[#This Row],[IP/GS]]&lt;&gt;0,Pitchers[[#This Row],[ER/IP From Average]]*Pitchers[[#This Row],[IP/GS]],Pitchers[[#This Row],[ER/IP From Average]]*(Pitchers[[#This Row],[IP]]/Pitchers[[#This Row],[G]]))</f>
        <v>6.9284864572400753E-2</v>
      </c>
      <c r="Z334">
        <f t="shared" si="17"/>
        <v>-1.2445472049298059</v>
      </c>
      <c r="AA334" s="32">
        <f>IF(Pitchers[[#This Row],[W]]=0,0,Pitchers[[#This Row],[W]]/(Pitchers[[#This Row],[W]]+Pitchers[[#This Row],[L]]))</f>
        <v>0.33333333333333331</v>
      </c>
      <c r="AB334" s="60"/>
    </row>
    <row r="335" spans="1:28" x14ac:dyDescent="0.25">
      <c r="A335" t="s">
        <v>1421</v>
      </c>
      <c r="B335" t="s">
        <v>218</v>
      </c>
      <c r="C335">
        <v>37</v>
      </c>
      <c r="D335">
        <v>7</v>
      </c>
      <c r="E335">
        <v>0</v>
      </c>
      <c r="F335">
        <v>0</v>
      </c>
      <c r="G335">
        <v>49.2</v>
      </c>
      <c r="H335">
        <v>51</v>
      </c>
      <c r="I335">
        <v>23</v>
      </c>
      <c r="J335">
        <v>58</v>
      </c>
      <c r="K335">
        <v>12</v>
      </c>
      <c r="L335">
        <v>7</v>
      </c>
      <c r="M335">
        <v>1</v>
      </c>
      <c r="N335">
        <v>0</v>
      </c>
      <c r="O335">
        <v>0</v>
      </c>
      <c r="P335">
        <v>0</v>
      </c>
      <c r="Q335">
        <v>2</v>
      </c>
      <c r="R335">
        <v>4.17</v>
      </c>
      <c r="S335">
        <v>1.27</v>
      </c>
      <c r="T335">
        <f t="shared" si="15"/>
        <v>7.0285714285714294</v>
      </c>
      <c r="U335">
        <f t="shared" si="16"/>
        <v>0.46747967479674796</v>
      </c>
      <c r="V335">
        <f>U335-AVERAGEIFS(Pitchers[ER/IP],Pitchers[GS],"&gt;"&amp;0,Pitchers[IP],"&gt;"&amp;3)</f>
        <v>-0.10402092000257152</v>
      </c>
      <c r="W335">
        <f>IF(Pitchers[[#This Row],[IP/GS]]&lt;&gt;0,(Pitchers[[#This Row],[WHIP]]*$AH$5+$AI$5)/9*Pitchers[[#This Row],[IP/GS]],(Pitchers[[#This Row],[WHIP]]*$AH$5+$AI$5)/9*(Pitchers[[#This Row],[IP]]/Pitchers[[#This Row],[G]]))</f>
        <v>3.2243178200572933</v>
      </c>
      <c r="X335">
        <f>Pitchers[[#This Row],[Runs from WHIP]]-AVERAGEIFS(Pitchers[Runs from WHIP],Pitchers[GS],"&gt;"&amp;0,Pitchers[IP],"&gt;"&amp;3)</f>
        <v>-2.4615980860675659</v>
      </c>
      <c r="Y335">
        <f>IF(Pitchers[[#This Row],[IP/GS]]&lt;&gt;0,Pitchers[[#This Row],[ER/IP From Average]]*Pitchers[[#This Row],[IP/GS]],Pitchers[[#This Row],[ER/IP From Average]]*(Pitchers[[#This Row],[IP]]/Pitchers[[#This Row],[G]]))</f>
        <v>-0.73111846630378841</v>
      </c>
      <c r="Z335">
        <f t="shared" si="17"/>
        <v>-0.94887354280619984</v>
      </c>
      <c r="AA335" s="32">
        <f>IF(Pitchers[[#This Row],[W]]=0,0,Pitchers[[#This Row],[W]]/(Pitchers[[#This Row],[W]]+Pitchers[[#This Row],[L]]))</f>
        <v>1</v>
      </c>
      <c r="AB335" s="60"/>
    </row>
    <row r="336" spans="1:28" x14ac:dyDescent="0.25">
      <c r="A336" t="s">
        <v>475</v>
      </c>
      <c r="B336" t="s">
        <v>5</v>
      </c>
      <c r="C336">
        <v>52</v>
      </c>
      <c r="D336">
        <v>0</v>
      </c>
      <c r="E336">
        <v>0</v>
      </c>
      <c r="F336">
        <v>0</v>
      </c>
      <c r="G336">
        <v>49.1</v>
      </c>
      <c r="H336">
        <v>43</v>
      </c>
      <c r="I336">
        <v>20</v>
      </c>
      <c r="J336">
        <v>46</v>
      </c>
      <c r="K336">
        <v>36</v>
      </c>
      <c r="L336">
        <v>5</v>
      </c>
      <c r="M336">
        <v>3</v>
      </c>
      <c r="N336">
        <v>1</v>
      </c>
      <c r="O336">
        <v>1</v>
      </c>
      <c r="P336">
        <v>2</v>
      </c>
      <c r="Q336">
        <v>1</v>
      </c>
      <c r="R336">
        <v>3.65</v>
      </c>
      <c r="S336">
        <v>1.6</v>
      </c>
      <c r="T336">
        <f t="shared" si="15"/>
        <v>0</v>
      </c>
      <c r="U336">
        <f t="shared" si="16"/>
        <v>0.40733197556008144</v>
      </c>
      <c r="V336">
        <f>U336-AVERAGEIFS(Pitchers[ER/IP],Pitchers[GS],"&gt;"&amp;0,Pitchers[IP],"&gt;"&amp;3)</f>
        <v>-0.16416861923923803</v>
      </c>
      <c r="W336">
        <f>IF(Pitchers[[#This Row],[IP/GS]]&lt;&gt;0,(Pitchers[[#This Row],[WHIP]]*$AH$5+$AI$5)/9*Pitchers[[#This Row],[IP/GS]],(Pitchers[[#This Row],[WHIP]]*$AH$5+$AI$5)/9*(Pitchers[[#This Row],[IP]]/Pitchers[[#This Row],[G]]))</f>
        <v>0.59493347869656243</v>
      </c>
      <c r="X336">
        <f>Pitchers[[#This Row],[Runs from WHIP]]-AVERAGEIFS(Pitchers[Runs from WHIP],Pitchers[GS],"&gt;"&amp;0,Pitchers[IP],"&gt;"&amp;3)</f>
        <v>-5.0909824274282967</v>
      </c>
      <c r="Y336">
        <f>IF(Pitchers[[#This Row],[IP/GS]]&lt;&gt;0,Pitchers[[#This Row],[ER/IP From Average]]*Pitchers[[#This Row],[IP/GS]],Pitchers[[#This Row],[ER/IP From Average]]*(Pitchers[[#This Row],[IP]]/Pitchers[[#This Row],[G]]))</f>
        <v>-0.155013061627819</v>
      </c>
      <c r="Z336">
        <f t="shared" si="17"/>
        <v>-1.4196005386320067</v>
      </c>
      <c r="AA336" s="32">
        <f>IF(Pitchers[[#This Row],[W]]=0,0,Pitchers[[#This Row],[W]]/(Pitchers[[#This Row],[W]]+Pitchers[[#This Row],[L]]))</f>
        <v>0.75</v>
      </c>
      <c r="AB336" s="60"/>
    </row>
    <row r="337" spans="1:28" x14ac:dyDescent="0.25">
      <c r="A337" t="s">
        <v>434</v>
      </c>
      <c r="B337" t="s">
        <v>6</v>
      </c>
      <c r="C337">
        <v>32</v>
      </c>
      <c r="D337">
        <v>4</v>
      </c>
      <c r="E337">
        <v>0</v>
      </c>
      <c r="F337">
        <v>0</v>
      </c>
      <c r="G337">
        <v>49</v>
      </c>
      <c r="H337">
        <v>70</v>
      </c>
      <c r="I337">
        <v>48</v>
      </c>
      <c r="J337">
        <v>70</v>
      </c>
      <c r="K337">
        <v>20</v>
      </c>
      <c r="L337">
        <v>17</v>
      </c>
      <c r="M337">
        <v>1</v>
      </c>
      <c r="N337">
        <v>5</v>
      </c>
      <c r="O337">
        <v>1</v>
      </c>
      <c r="P337">
        <v>0</v>
      </c>
      <c r="Q337">
        <v>4</v>
      </c>
      <c r="R337">
        <v>8.82</v>
      </c>
      <c r="S337">
        <v>1.84</v>
      </c>
      <c r="T337">
        <f t="shared" si="15"/>
        <v>12.25</v>
      </c>
      <c r="U337">
        <f t="shared" si="16"/>
        <v>0.97959183673469385</v>
      </c>
      <c r="V337">
        <f>U337-AVERAGEIFS(Pitchers[ER/IP],Pitchers[GS],"&gt;"&amp;0,Pitchers[IP],"&gt;"&amp;3)</f>
        <v>0.40809124193537438</v>
      </c>
      <c r="W337">
        <f>IF(Pitchers[[#This Row],[IP/GS]]&lt;&gt;0,(Pitchers[[#This Row],[WHIP]]*$AH$5+$AI$5)/9*Pitchers[[#This Row],[IP/GS]],(Pitchers[[#This Row],[WHIP]]*$AH$5+$AI$5)/9*(Pitchers[[#This Row],[IP]]/Pitchers[[#This Row],[G]]))</f>
        <v>9.2447575694816901</v>
      </c>
      <c r="X337">
        <f>Pitchers[[#This Row],[Runs from WHIP]]-AVERAGEIFS(Pitchers[Runs from WHIP],Pitchers[GS],"&gt;"&amp;0,Pitchers[IP],"&gt;"&amp;3)</f>
        <v>3.5588416633568309</v>
      </c>
      <c r="Y337">
        <f>IF(Pitchers[[#This Row],[IP/GS]]&lt;&gt;0,Pitchers[[#This Row],[ER/IP From Average]]*Pitchers[[#This Row],[IP/GS]],Pitchers[[#This Row],[ER/IP From Average]]*(Pitchers[[#This Row],[IP]]/Pitchers[[#This Row],[G]]))</f>
        <v>4.999117713708336</v>
      </c>
      <c r="Z337">
        <f t="shared" si="17"/>
        <v>2.9486715290451557</v>
      </c>
      <c r="AA337" s="32">
        <f>IF(Pitchers[[#This Row],[W]]=0,0,Pitchers[[#This Row],[W]]/(Pitchers[[#This Row],[W]]+Pitchers[[#This Row],[L]]))</f>
        <v>0.16666666666666666</v>
      </c>
      <c r="AB337" s="60"/>
    </row>
    <row r="338" spans="1:28" x14ac:dyDescent="0.25">
      <c r="A338" t="s">
        <v>1333</v>
      </c>
      <c r="B338" t="s">
        <v>13</v>
      </c>
      <c r="C338">
        <v>11</v>
      </c>
      <c r="D338">
        <v>6</v>
      </c>
      <c r="E338">
        <v>0</v>
      </c>
      <c r="F338">
        <v>0</v>
      </c>
      <c r="G338">
        <v>49</v>
      </c>
      <c r="H338">
        <v>50</v>
      </c>
      <c r="I338">
        <v>21</v>
      </c>
      <c r="J338">
        <v>38</v>
      </c>
      <c r="K338">
        <v>12</v>
      </c>
      <c r="L338">
        <v>8</v>
      </c>
      <c r="M338">
        <v>2</v>
      </c>
      <c r="N338">
        <v>2</v>
      </c>
      <c r="O338">
        <v>1</v>
      </c>
      <c r="P338">
        <v>0</v>
      </c>
      <c r="Q338">
        <v>1</v>
      </c>
      <c r="R338">
        <v>3.86</v>
      </c>
      <c r="S338">
        <v>1.27</v>
      </c>
      <c r="T338">
        <f t="shared" si="15"/>
        <v>8.1666666666666661</v>
      </c>
      <c r="U338">
        <f t="shared" si="16"/>
        <v>0.42857142857142855</v>
      </c>
      <c r="V338">
        <f>U338-AVERAGEIFS(Pitchers[ER/IP],Pitchers[GS],"&gt;"&amp;0,Pitchers[IP],"&gt;"&amp;3)</f>
        <v>-0.14292916622789092</v>
      </c>
      <c r="W338">
        <f>IF(Pitchers[[#This Row],[IP/GS]]&lt;&gt;0,(Pitchers[[#This Row],[WHIP]]*$AH$5+$AI$5)/9*Pitchers[[#This Row],[IP/GS]],(Pitchers[[#This Row],[WHIP]]*$AH$5+$AI$5)/9*(Pitchers[[#This Row],[IP]]/Pitchers[[#This Row],[G]]))</f>
        <v>3.7464126432237514</v>
      </c>
      <c r="X338">
        <f>Pitchers[[#This Row],[Runs from WHIP]]-AVERAGEIFS(Pitchers[Runs from WHIP],Pitchers[GS],"&gt;"&amp;0,Pitchers[IP],"&gt;"&amp;3)</f>
        <v>-1.9395032629011077</v>
      </c>
      <c r="Y338">
        <f>IF(Pitchers[[#This Row],[IP/GS]]&lt;&gt;0,Pitchers[[#This Row],[ER/IP From Average]]*Pitchers[[#This Row],[IP/GS]],Pitchers[[#This Row],[ER/IP From Average]]*(Pitchers[[#This Row],[IP]]/Pitchers[[#This Row],[G]]))</f>
        <v>-1.1672548575277757</v>
      </c>
      <c r="Z338">
        <f t="shared" si="17"/>
        <v>-0.98410281311807235</v>
      </c>
      <c r="AA338" s="32">
        <f>IF(Pitchers[[#This Row],[W]]=0,0,Pitchers[[#This Row],[W]]/(Pitchers[[#This Row],[W]]+Pitchers[[#This Row],[L]]))</f>
        <v>0.5</v>
      </c>
      <c r="AB338" s="60"/>
    </row>
    <row r="339" spans="1:28" x14ac:dyDescent="0.25">
      <c r="A339" t="s">
        <v>598</v>
      </c>
      <c r="B339" t="s">
        <v>7</v>
      </c>
      <c r="C339">
        <v>32</v>
      </c>
      <c r="D339">
        <v>3</v>
      </c>
      <c r="E339">
        <v>0</v>
      </c>
      <c r="F339">
        <v>0</v>
      </c>
      <c r="G339">
        <v>49</v>
      </c>
      <c r="H339">
        <v>41</v>
      </c>
      <c r="I339">
        <v>26</v>
      </c>
      <c r="J339">
        <v>40</v>
      </c>
      <c r="K339">
        <v>13</v>
      </c>
      <c r="L339">
        <v>8</v>
      </c>
      <c r="M339">
        <v>3</v>
      </c>
      <c r="N339">
        <v>3</v>
      </c>
      <c r="O339">
        <v>0</v>
      </c>
      <c r="P339">
        <v>1</v>
      </c>
      <c r="Q339">
        <v>1</v>
      </c>
      <c r="R339">
        <v>4.78</v>
      </c>
      <c r="S339">
        <v>1.1000000000000001</v>
      </c>
      <c r="T339">
        <f t="shared" si="15"/>
        <v>16.333333333333332</v>
      </c>
      <c r="U339">
        <f t="shared" si="16"/>
        <v>0.53061224489795922</v>
      </c>
      <c r="V339">
        <f>U339-AVERAGEIFS(Pitchers[ER/IP],Pitchers[GS],"&gt;"&amp;0,Pitchers[IP],"&gt;"&amp;3)</f>
        <v>-4.0888349901360255E-2</v>
      </c>
      <c r="W339">
        <f>IF(Pitchers[[#This Row],[IP/GS]]&lt;&gt;0,(Pitchers[[#This Row],[WHIP]]*$AH$5+$AI$5)/9*Pitchers[[#This Row],[IP/GS]],(Pitchers[[#This Row],[WHIP]]*$AH$5+$AI$5)/9*(Pitchers[[#This Row],[IP]]/Pitchers[[#This Row],[G]]))</f>
        <v>6.0512497009742141</v>
      </c>
      <c r="X339">
        <f>Pitchers[[#This Row],[Runs from WHIP]]-AVERAGEIFS(Pitchers[Runs from WHIP],Pitchers[GS],"&gt;"&amp;0,Pitchers[IP],"&gt;"&amp;3)</f>
        <v>0.36533379484935491</v>
      </c>
      <c r="Y339">
        <f>IF(Pitchers[[#This Row],[IP/GS]]&lt;&gt;0,Pitchers[[#This Row],[ER/IP From Average]]*Pitchers[[#This Row],[IP/GS]],Pitchers[[#This Row],[ER/IP From Average]]*(Pitchers[[#This Row],[IP]]/Pitchers[[#This Row],[G]]))</f>
        <v>-0.66784304838888409</v>
      </c>
      <c r="Z339">
        <f t="shared" si="17"/>
        <v>-0.16971487406239236</v>
      </c>
      <c r="AA339" s="32">
        <f>IF(Pitchers[[#This Row],[W]]=0,0,Pitchers[[#This Row],[W]]/(Pitchers[[#This Row],[W]]+Pitchers[[#This Row],[L]]))</f>
        <v>0.5</v>
      </c>
      <c r="AB339" s="60"/>
    </row>
    <row r="340" spans="1:28" x14ac:dyDescent="0.25">
      <c r="A340" t="s">
        <v>1456</v>
      </c>
      <c r="B340" t="s">
        <v>218</v>
      </c>
      <c r="C340">
        <v>13</v>
      </c>
      <c r="D340">
        <v>11</v>
      </c>
      <c r="E340">
        <v>0</v>
      </c>
      <c r="F340">
        <v>0</v>
      </c>
      <c r="G340">
        <v>49</v>
      </c>
      <c r="H340">
        <v>53</v>
      </c>
      <c r="I340">
        <v>28</v>
      </c>
      <c r="J340">
        <v>56</v>
      </c>
      <c r="K340">
        <v>16</v>
      </c>
      <c r="L340">
        <v>8</v>
      </c>
      <c r="M340">
        <v>2</v>
      </c>
      <c r="N340">
        <v>4</v>
      </c>
      <c r="O340">
        <v>0</v>
      </c>
      <c r="P340">
        <v>0</v>
      </c>
      <c r="Q340">
        <v>0</v>
      </c>
      <c r="R340">
        <v>5.14</v>
      </c>
      <c r="S340">
        <v>1.41</v>
      </c>
      <c r="T340">
        <f t="shared" si="15"/>
        <v>4.4545454545454541</v>
      </c>
      <c r="U340">
        <f t="shared" si="16"/>
        <v>0.5714285714285714</v>
      </c>
      <c r="V340">
        <f>U340-AVERAGEIFS(Pitchers[ER/IP],Pitchers[GS],"&gt;"&amp;0,Pitchers[IP],"&gt;"&amp;3)</f>
        <v>-7.2023370748075521E-5</v>
      </c>
      <c r="W340">
        <f>IF(Pitchers[[#This Row],[IP/GS]]&lt;&gt;0,(Pitchers[[#This Row],[WHIP]]*$AH$5+$AI$5)/9*Pitchers[[#This Row],[IP/GS]],(Pitchers[[#This Row],[WHIP]]*$AH$5+$AI$5)/9*(Pitchers[[#This Row],[IP]]/Pitchers[[#This Row],[G]]))</f>
        <v>2.3672741401000033</v>
      </c>
      <c r="X340">
        <f>Pitchers[[#This Row],[Runs from WHIP]]-AVERAGEIFS(Pitchers[Runs from WHIP],Pitchers[GS],"&gt;"&amp;0,Pitchers[IP],"&gt;"&amp;3)</f>
        <v>-3.3186417660248559</v>
      </c>
      <c r="Y340">
        <f>IF(Pitchers[[#This Row],[IP/GS]]&lt;&gt;0,Pitchers[[#This Row],[ER/IP From Average]]*Pitchers[[#This Row],[IP/GS]],Pitchers[[#This Row],[ER/IP From Average]]*(Pitchers[[#This Row],[IP]]/Pitchers[[#This Row],[G]]))</f>
        <v>-3.2083137878688184E-4</v>
      </c>
      <c r="Z340">
        <f t="shared" si="17"/>
        <v>-0.88509947015814294</v>
      </c>
      <c r="AA340" s="32">
        <f>IF(Pitchers[[#This Row],[W]]=0,0,Pitchers[[#This Row],[W]]/(Pitchers[[#This Row],[W]]+Pitchers[[#This Row],[L]]))</f>
        <v>0.33333333333333331</v>
      </c>
      <c r="AB340" s="60"/>
    </row>
    <row r="341" spans="1:28" x14ac:dyDescent="0.25">
      <c r="A341" t="s">
        <v>716</v>
      </c>
      <c r="B341" t="s">
        <v>14</v>
      </c>
      <c r="C341">
        <v>52</v>
      </c>
      <c r="D341">
        <v>0</v>
      </c>
      <c r="E341">
        <v>0</v>
      </c>
      <c r="F341">
        <v>0</v>
      </c>
      <c r="G341">
        <v>49</v>
      </c>
      <c r="H341">
        <v>41</v>
      </c>
      <c r="I341">
        <v>27</v>
      </c>
      <c r="J341">
        <v>61</v>
      </c>
      <c r="K341">
        <v>35</v>
      </c>
      <c r="L341">
        <v>10</v>
      </c>
      <c r="M341">
        <v>3</v>
      </c>
      <c r="N341">
        <v>7</v>
      </c>
      <c r="O341">
        <v>0</v>
      </c>
      <c r="P341">
        <v>6</v>
      </c>
      <c r="Q341">
        <v>13</v>
      </c>
      <c r="R341">
        <v>4.96</v>
      </c>
      <c r="S341">
        <v>1.55</v>
      </c>
      <c r="T341">
        <f t="shared" si="15"/>
        <v>0</v>
      </c>
      <c r="U341">
        <f t="shared" si="16"/>
        <v>0.55102040816326525</v>
      </c>
      <c r="V341" s="60">
        <f>U341-AVERAGEIFS(Pitchers[ER/IP],Pitchers[GS],"&gt;"&amp;0,Pitchers[IP],"&gt;"&amp;3)</f>
        <v>-2.0480186636054221E-2</v>
      </c>
      <c r="W341" s="60">
        <f>IF(Pitchers[[#This Row],[IP/GS]]&lt;&gt;0,(Pitchers[[#This Row],[WHIP]]*$AH$5+$AI$5)/9*Pitchers[[#This Row],[IP/GS]],(Pitchers[[#This Row],[WHIP]]*$AH$5+$AI$5)/9*(Pitchers[[#This Row],[IP]]/Pitchers[[#This Row],[G]]))</f>
        <v>0.56926067736264574</v>
      </c>
      <c r="X341" s="60">
        <f>Pitchers[[#This Row],[Runs from WHIP]]-AVERAGEIFS(Pitchers[Runs from WHIP],Pitchers[GS],"&gt;"&amp;0,Pitchers[IP],"&gt;"&amp;3)</f>
        <v>-5.1166552287622133</v>
      </c>
      <c r="Y341" s="60">
        <f>IF(Pitchers[[#This Row],[IP/GS]]&lt;&gt;0,Pitchers[[#This Row],[ER/IP From Average]]*Pitchers[[#This Row],[IP/GS]],Pitchers[[#This Row],[ER/IP From Average]]*(Pitchers[[#This Row],[IP]]/Pitchers[[#This Row],[G]]))</f>
        <v>-1.9298637407051091E-2</v>
      </c>
      <c r="Z341" s="60">
        <f t="shared" si="17"/>
        <v>-1.3721608492994104</v>
      </c>
      <c r="AA341" s="32">
        <f>IF(Pitchers[[#This Row],[W]]=0,0,Pitchers[[#This Row],[W]]/(Pitchers[[#This Row],[W]]+Pitchers[[#This Row],[L]]))</f>
        <v>0.3</v>
      </c>
      <c r="AB341" s="60"/>
    </row>
    <row r="342" spans="1:28" x14ac:dyDescent="0.25">
      <c r="A342" t="s">
        <v>1413</v>
      </c>
      <c r="B342" t="s">
        <v>15</v>
      </c>
      <c r="C342">
        <v>37</v>
      </c>
      <c r="D342">
        <v>0</v>
      </c>
      <c r="E342">
        <v>0</v>
      </c>
      <c r="F342">
        <v>0</v>
      </c>
      <c r="G342">
        <v>48.2</v>
      </c>
      <c r="H342">
        <v>52</v>
      </c>
      <c r="I342">
        <v>17</v>
      </c>
      <c r="J342">
        <v>42</v>
      </c>
      <c r="K342">
        <v>12</v>
      </c>
      <c r="L342">
        <v>6</v>
      </c>
      <c r="M342">
        <v>6</v>
      </c>
      <c r="N342">
        <v>1</v>
      </c>
      <c r="O342">
        <v>0</v>
      </c>
      <c r="P342">
        <v>1</v>
      </c>
      <c r="Q342">
        <v>6</v>
      </c>
      <c r="R342">
        <v>3.14</v>
      </c>
      <c r="S342">
        <v>1.32</v>
      </c>
      <c r="T342">
        <f t="shared" si="15"/>
        <v>0</v>
      </c>
      <c r="U342">
        <f t="shared" si="16"/>
        <v>0.35269709543568462</v>
      </c>
      <c r="V342" s="60">
        <f>U342-AVERAGEIFS(Pitchers[ER/IP],Pitchers[GS],"&gt;"&amp;0,Pitchers[IP],"&gt;"&amp;3)</f>
        <v>-0.21880349936363486</v>
      </c>
      <c r="W342">
        <f>IF(Pitchers[[#This Row],[IP/GS]]&lt;&gt;0,(Pitchers[[#This Row],[WHIP]]*$AH$5+$AI$5)/9*Pitchers[[#This Row],[IP/GS]],(Pitchers[[#This Row],[WHIP]]*$AH$5+$AI$5)/9*(Pitchers[[#This Row],[IP]]/Pitchers[[#This Row],[G]]))</f>
        <v>0.63142410263918891</v>
      </c>
      <c r="X342" s="60">
        <f>Pitchers[[#This Row],[Runs from WHIP]]-AVERAGEIFS(Pitchers[Runs from WHIP],Pitchers[GS],"&gt;"&amp;0,Pitchers[IP],"&gt;"&amp;3)</f>
        <v>-5.0544918034856705</v>
      </c>
      <c r="Y342">
        <f>IF(Pitchers[[#This Row],[IP/GS]]&lt;&gt;0,Pitchers[[#This Row],[ER/IP From Average]]*Pitchers[[#This Row],[IP/GS]],Pitchers[[#This Row],[ER/IP From Average]]*(Pitchers[[#This Row],[IP]]/Pitchers[[#This Row],[G]]))</f>
        <v>-0.28503590998181622</v>
      </c>
      <c r="Z342" s="60">
        <f t="shared" si="17"/>
        <v>-1.4618788449222386</v>
      </c>
      <c r="AA342" s="32">
        <f>IF(Pitchers[[#This Row],[W]]=0,0,Pitchers[[#This Row],[W]]/(Pitchers[[#This Row],[W]]+Pitchers[[#This Row],[L]]))</f>
        <v>0.8571428571428571</v>
      </c>
      <c r="AB342" s="60"/>
    </row>
    <row r="343" spans="1:28" x14ac:dyDescent="0.25">
      <c r="A343" t="s">
        <v>849</v>
      </c>
      <c r="B343" t="s">
        <v>24</v>
      </c>
      <c r="C343">
        <v>13</v>
      </c>
      <c r="D343">
        <v>8</v>
      </c>
      <c r="E343">
        <v>0</v>
      </c>
      <c r="F343">
        <v>0</v>
      </c>
      <c r="G343">
        <v>48.2</v>
      </c>
      <c r="H343">
        <v>36</v>
      </c>
      <c r="I343">
        <v>20</v>
      </c>
      <c r="J343">
        <v>52</v>
      </c>
      <c r="K343">
        <v>26</v>
      </c>
      <c r="L343">
        <v>6</v>
      </c>
      <c r="M343">
        <v>1</v>
      </c>
      <c r="N343">
        <v>2</v>
      </c>
      <c r="O343">
        <v>0</v>
      </c>
      <c r="P343">
        <v>0</v>
      </c>
      <c r="Q343">
        <v>0</v>
      </c>
      <c r="R343">
        <v>3.7</v>
      </c>
      <c r="S343">
        <v>1.27</v>
      </c>
      <c r="T343">
        <f t="shared" si="15"/>
        <v>6.0250000000000004</v>
      </c>
      <c r="U343">
        <f t="shared" si="16"/>
        <v>0.41493775933609955</v>
      </c>
      <c r="V343">
        <f>U343-AVERAGEIFS(Pitchers[ER/IP],Pitchers[GS],"&gt;"&amp;0,Pitchers[IP],"&gt;"&amp;3)</f>
        <v>-0.15656283546321992</v>
      </c>
      <c r="W343">
        <f>IF(Pitchers[[#This Row],[IP/GS]]&lt;&gt;0,(Pitchers[[#This Row],[WHIP]]*$AH$5+$AI$5)/9*Pitchers[[#This Row],[IP/GS]],(Pitchers[[#This Row],[WHIP]]*$AH$5+$AI$5)/9*(Pitchers[[#This Row],[IP]]/Pitchers[[#This Row],[G]]))</f>
        <v>2.7639350418885433</v>
      </c>
      <c r="X343">
        <f>Pitchers[[#This Row],[Runs from WHIP]]-AVERAGEIFS(Pitchers[Runs from WHIP],Pitchers[GS],"&gt;"&amp;0,Pitchers[IP],"&gt;"&amp;3)</f>
        <v>-2.9219808642363159</v>
      </c>
      <c r="Y343">
        <f>IF(Pitchers[[#This Row],[IP/GS]]&lt;&gt;0,Pitchers[[#This Row],[ER/IP From Average]]*Pitchers[[#This Row],[IP/GS]],Pitchers[[#This Row],[ER/IP From Average]]*(Pitchers[[#This Row],[IP]]/Pitchers[[#This Row],[G]]))</f>
        <v>-0.94329108366590009</v>
      </c>
      <c r="Z343">
        <f t="shared" si="17"/>
        <v>-1.1565113305960442</v>
      </c>
      <c r="AA343" s="32">
        <f>IF(Pitchers[[#This Row],[W]]=0,0,Pitchers[[#This Row],[W]]/(Pitchers[[#This Row],[W]]+Pitchers[[#This Row],[L]]))</f>
        <v>0.33333333333333331</v>
      </c>
      <c r="AB343" s="60"/>
    </row>
    <row r="344" spans="1:28" x14ac:dyDescent="0.25">
      <c r="A344" t="s">
        <v>1277</v>
      </c>
      <c r="B344" t="s">
        <v>24</v>
      </c>
      <c r="C344">
        <v>48</v>
      </c>
      <c r="D344">
        <v>0</v>
      </c>
      <c r="E344">
        <v>0</v>
      </c>
      <c r="F344">
        <v>0</v>
      </c>
      <c r="G344">
        <v>48.1</v>
      </c>
      <c r="H344">
        <v>39</v>
      </c>
      <c r="I344">
        <v>17</v>
      </c>
      <c r="J344">
        <v>53</v>
      </c>
      <c r="K344">
        <v>18</v>
      </c>
      <c r="L344">
        <v>2</v>
      </c>
      <c r="M344">
        <v>4</v>
      </c>
      <c r="N344">
        <v>2</v>
      </c>
      <c r="O344">
        <v>24</v>
      </c>
      <c r="P344">
        <v>3</v>
      </c>
      <c r="Q344">
        <v>3</v>
      </c>
      <c r="R344">
        <v>3.17</v>
      </c>
      <c r="S344">
        <v>1.18</v>
      </c>
      <c r="T344">
        <f t="shared" si="15"/>
        <v>0</v>
      </c>
      <c r="U344">
        <f t="shared" si="16"/>
        <v>0.35343035343035339</v>
      </c>
      <c r="V344">
        <f>U344-AVERAGEIFS(Pitchers[ER/IP],Pitchers[GS],"&gt;"&amp;0,Pitchers[IP],"&gt;"&amp;3)</f>
        <v>-0.21807024136896608</v>
      </c>
      <c r="W344">
        <f>IF(Pitchers[[#This Row],[IP/GS]]&lt;&gt;0,(Pitchers[[#This Row],[WHIP]]*$AH$5+$AI$5)/9*Pitchers[[#This Row],[IP/GS]],(Pitchers[[#This Row],[WHIP]]*$AH$5+$AI$5)/9*(Pitchers[[#This Row],[IP]]/Pitchers[[#This Row],[G]]))</f>
        <v>0.41287703824855471</v>
      </c>
      <c r="X344">
        <f>Pitchers[[#This Row],[Runs from WHIP]]-AVERAGEIFS(Pitchers[Runs from WHIP],Pitchers[GS],"&gt;"&amp;0,Pitchers[IP],"&gt;"&amp;3)</f>
        <v>-5.2730388678763047</v>
      </c>
      <c r="Y344">
        <f>IF(Pitchers[[#This Row],[IP/GS]]&lt;&gt;0,Pitchers[[#This Row],[ER/IP From Average]]*Pitchers[[#This Row],[IP/GS]],Pitchers[[#This Row],[ER/IP From Average]]*(Pitchers[[#This Row],[IP]]/Pitchers[[#This Row],[G]]))</f>
        <v>-0.21852455437181811</v>
      </c>
      <c r="Z344">
        <f t="shared" si="17"/>
        <v>-1.4935535198490753</v>
      </c>
      <c r="AA344" s="32">
        <f>IF(Pitchers[[#This Row],[W]]=0,0,Pitchers[[#This Row],[W]]/(Pitchers[[#This Row],[W]]+Pitchers[[#This Row],[L]]))</f>
        <v>0.66666666666666663</v>
      </c>
      <c r="AB344" s="60"/>
    </row>
    <row r="345" spans="1:28" x14ac:dyDescent="0.25">
      <c r="A345" t="s">
        <v>1280</v>
      </c>
      <c r="B345" t="s">
        <v>340</v>
      </c>
      <c r="C345">
        <v>52</v>
      </c>
      <c r="D345">
        <v>0</v>
      </c>
      <c r="E345">
        <v>0</v>
      </c>
      <c r="F345">
        <v>0</v>
      </c>
      <c r="G345">
        <v>48.1</v>
      </c>
      <c r="H345">
        <v>32</v>
      </c>
      <c r="I345">
        <v>21</v>
      </c>
      <c r="J345">
        <v>74</v>
      </c>
      <c r="K345">
        <v>38</v>
      </c>
      <c r="L345">
        <v>6</v>
      </c>
      <c r="M345">
        <v>2</v>
      </c>
      <c r="N345">
        <v>3</v>
      </c>
      <c r="O345">
        <v>0</v>
      </c>
      <c r="P345">
        <v>3</v>
      </c>
      <c r="Q345">
        <v>9</v>
      </c>
      <c r="R345">
        <v>3.91</v>
      </c>
      <c r="S345">
        <v>1.45</v>
      </c>
      <c r="T345">
        <f t="shared" si="15"/>
        <v>0</v>
      </c>
      <c r="U345">
        <f t="shared" si="16"/>
        <v>0.43659043659043656</v>
      </c>
      <c r="V345">
        <f>U345-AVERAGEIFS(Pitchers[ER/IP],Pitchers[GS],"&gt;"&amp;0,Pitchers[IP],"&gt;"&amp;3)</f>
        <v>-0.13491015820888291</v>
      </c>
      <c r="W345">
        <f>IF(Pitchers[[#This Row],[IP/GS]]&lt;&gt;0,(Pitchers[[#This Row],[WHIP]]*$AH$5+$AI$5)/9*Pitchers[[#This Row],[IP/GS]],(Pitchers[[#This Row],[WHIP]]*$AH$5+$AI$5)/9*(Pitchers[[#This Row],[IP]]/Pitchers[[#This Row],[G]]))</f>
        <v>0.51078119253607657</v>
      </c>
      <c r="X345">
        <f>Pitchers[[#This Row],[Runs from WHIP]]-AVERAGEIFS(Pitchers[Runs from WHIP],Pitchers[GS],"&gt;"&amp;0,Pitchers[IP],"&gt;"&amp;3)</f>
        <v>-5.1751347135887826</v>
      </c>
      <c r="Y345">
        <f>IF(Pitchers[[#This Row],[IP/GS]]&lt;&gt;0,Pitchers[[#This Row],[ER/IP From Average]]*Pitchers[[#This Row],[IP/GS]],Pitchers[[#This Row],[ER/IP From Average]]*(Pitchers[[#This Row],[IP]]/Pitchers[[#This Row],[G]]))</f>
        <v>-0.1247918963432167</v>
      </c>
      <c r="Z345">
        <f t="shared" si="17"/>
        <v>-1.4299526821609618</v>
      </c>
      <c r="AA345" s="32">
        <f>IF(Pitchers[[#This Row],[W]]=0,0,Pitchers[[#This Row],[W]]/(Pitchers[[#This Row],[W]]+Pitchers[[#This Row],[L]]))</f>
        <v>0.4</v>
      </c>
      <c r="AB345" s="60"/>
    </row>
    <row r="346" spans="1:28" x14ac:dyDescent="0.25">
      <c r="A346" t="s">
        <v>577</v>
      </c>
      <c r="B346" t="s">
        <v>12</v>
      </c>
      <c r="C346">
        <v>47</v>
      </c>
      <c r="D346">
        <v>0</v>
      </c>
      <c r="E346">
        <v>0</v>
      </c>
      <c r="F346">
        <v>0</v>
      </c>
      <c r="G346">
        <v>48.1</v>
      </c>
      <c r="H346">
        <v>41</v>
      </c>
      <c r="I346">
        <v>22</v>
      </c>
      <c r="J346">
        <v>34</v>
      </c>
      <c r="K346">
        <v>19</v>
      </c>
      <c r="L346">
        <v>6</v>
      </c>
      <c r="M346">
        <v>3</v>
      </c>
      <c r="N346">
        <v>4</v>
      </c>
      <c r="O346">
        <v>1</v>
      </c>
      <c r="P346">
        <v>2</v>
      </c>
      <c r="Q346">
        <v>3</v>
      </c>
      <c r="R346">
        <v>4.0999999999999996</v>
      </c>
      <c r="S346">
        <v>1.24</v>
      </c>
      <c r="T346">
        <f t="shared" si="15"/>
        <v>0</v>
      </c>
      <c r="U346">
        <f t="shared" si="16"/>
        <v>0.45738045738045735</v>
      </c>
      <c r="V346">
        <f>U346-AVERAGEIFS(Pitchers[ER/IP],Pitchers[GS],"&gt;"&amp;0,Pitchers[IP],"&gt;"&amp;3)</f>
        <v>-0.11412013741886212</v>
      </c>
      <c r="W346">
        <f>IF(Pitchers[[#This Row],[IP/GS]]&lt;&gt;0,(Pitchers[[#This Row],[WHIP]]*$AH$5+$AI$5)/9*Pitchers[[#This Row],[IP/GS]],(Pitchers[[#This Row],[WHIP]]*$AH$5+$AI$5)/9*(Pitchers[[#This Row],[IP]]/Pitchers[[#This Row],[G]]))</f>
        <v>0.45354120301481393</v>
      </c>
      <c r="X346">
        <f>Pitchers[[#This Row],[Runs from WHIP]]-AVERAGEIFS(Pitchers[Runs from WHIP],Pitchers[GS],"&gt;"&amp;0,Pitchers[IP],"&gt;"&amp;3)</f>
        <v>-5.2323747031100449</v>
      </c>
      <c r="Y346">
        <f>IF(Pitchers[[#This Row],[IP/GS]]&lt;&gt;0,Pitchers[[#This Row],[ER/IP From Average]]*Pitchers[[#This Row],[IP/GS]],Pitchers[[#This Row],[ER/IP From Average]]*(Pitchers[[#This Row],[IP]]/Pitchers[[#This Row],[G]]))</f>
        <v>-0.11679103425206953</v>
      </c>
      <c r="Z346">
        <f t="shared" si="17"/>
        <v>-1.4420163345301729</v>
      </c>
      <c r="AA346" s="32">
        <f>IF(Pitchers[[#This Row],[W]]=0,0,Pitchers[[#This Row],[W]]/(Pitchers[[#This Row],[W]]+Pitchers[[#This Row],[L]]))</f>
        <v>0.42857142857142855</v>
      </c>
      <c r="AB346" s="60"/>
    </row>
    <row r="347" spans="1:28" x14ac:dyDescent="0.25">
      <c r="A347" t="s">
        <v>552</v>
      </c>
      <c r="B347" t="s">
        <v>18</v>
      </c>
      <c r="C347">
        <v>45</v>
      </c>
      <c r="D347">
        <v>1</v>
      </c>
      <c r="E347">
        <v>0</v>
      </c>
      <c r="F347">
        <v>0</v>
      </c>
      <c r="G347">
        <v>48</v>
      </c>
      <c r="H347">
        <v>38</v>
      </c>
      <c r="I347">
        <v>16</v>
      </c>
      <c r="J347">
        <v>48</v>
      </c>
      <c r="K347">
        <v>23</v>
      </c>
      <c r="L347">
        <v>5</v>
      </c>
      <c r="M347">
        <v>6</v>
      </c>
      <c r="N347">
        <v>3</v>
      </c>
      <c r="O347">
        <v>2</v>
      </c>
      <c r="P347">
        <v>2</v>
      </c>
      <c r="Q347">
        <v>8</v>
      </c>
      <c r="R347">
        <v>3</v>
      </c>
      <c r="S347">
        <v>1.27</v>
      </c>
      <c r="T347">
        <f t="shared" si="15"/>
        <v>48</v>
      </c>
      <c r="U347">
        <f t="shared" si="16"/>
        <v>0.33333333333333331</v>
      </c>
      <c r="V347" s="60">
        <f>U347-AVERAGEIFS(Pitchers[ER/IP],Pitchers[GS],"&gt;"&amp;0,Pitchers[IP],"&gt;"&amp;3)</f>
        <v>-0.23816726146598616</v>
      </c>
      <c r="W347" s="60">
        <f>IF(Pitchers[[#This Row],[IP/GS]]&lt;&gt;0,(Pitchers[[#This Row],[WHIP]]*$AH$5+$AI$5)/9*Pitchers[[#This Row],[IP/GS]],(Pitchers[[#This Row],[WHIP]]*$AH$5+$AI$5)/9*(Pitchers[[#This Row],[IP]]/Pitchers[[#This Row],[G]]))</f>
        <v>22.019731454049804</v>
      </c>
      <c r="X347" s="60">
        <f>Pitchers[[#This Row],[Runs from WHIP]]-AVERAGEIFS(Pitchers[Runs from WHIP],Pitchers[GS],"&gt;"&amp;0,Pitchers[IP],"&gt;"&amp;3)</f>
        <v>16.333815547924946</v>
      </c>
      <c r="Y347" s="60">
        <f>IF(Pitchers[[#This Row],[IP/GS]]&lt;&gt;0,Pitchers[[#This Row],[ER/IP From Average]]*Pitchers[[#This Row],[IP/GS]],Pitchers[[#This Row],[ER/IP From Average]]*(Pitchers[[#This Row],[IP]]/Pitchers[[#This Row],[G]]))</f>
        <v>-11.432028550367335</v>
      </c>
      <c r="Z347" s="60">
        <f t="shared" si="17"/>
        <v>-0.21712727403361498</v>
      </c>
      <c r="AA347" s="32">
        <f>IF(Pitchers[[#This Row],[W]]=0,0,Pitchers[[#This Row],[W]]/(Pitchers[[#This Row],[W]]+Pitchers[[#This Row],[L]]))</f>
        <v>0.66666666666666663</v>
      </c>
      <c r="AB347" s="60"/>
    </row>
    <row r="348" spans="1:28" x14ac:dyDescent="0.25">
      <c r="A348" t="s">
        <v>1316</v>
      </c>
      <c r="B348" t="s">
        <v>14</v>
      </c>
      <c r="C348">
        <v>11</v>
      </c>
      <c r="D348">
        <v>11</v>
      </c>
      <c r="E348">
        <v>0</v>
      </c>
      <c r="F348">
        <v>0</v>
      </c>
      <c r="G348">
        <v>48</v>
      </c>
      <c r="H348">
        <v>72</v>
      </c>
      <c r="I348">
        <v>38</v>
      </c>
      <c r="J348">
        <v>65</v>
      </c>
      <c r="K348">
        <v>16</v>
      </c>
      <c r="L348">
        <v>6</v>
      </c>
      <c r="M348">
        <v>1</v>
      </c>
      <c r="N348">
        <v>5</v>
      </c>
      <c r="O348">
        <v>0</v>
      </c>
      <c r="P348">
        <v>0</v>
      </c>
      <c r="Q348">
        <v>0</v>
      </c>
      <c r="R348">
        <v>7.13</v>
      </c>
      <c r="S348">
        <v>1.83</v>
      </c>
      <c r="T348">
        <f t="shared" si="15"/>
        <v>4.3636363636363633</v>
      </c>
      <c r="U348">
        <f t="shared" si="16"/>
        <v>0.79166666666666663</v>
      </c>
      <c r="V348">
        <f>U348-AVERAGEIFS(Pitchers[ER/IP],Pitchers[GS],"&gt;"&amp;0,Pitchers[IP],"&gt;"&amp;3)</f>
        <v>0.22016607186734716</v>
      </c>
      <c r="W348">
        <f>IF(Pitchers[[#This Row],[IP/GS]]&lt;&gt;0,(Pitchers[[#This Row],[WHIP]]*$AH$5+$AI$5)/9*Pitchers[[#This Row],[IP/GS]],(Pitchers[[#This Row],[WHIP]]*$AH$5+$AI$5)/9*(Pitchers[[#This Row],[IP]]/Pitchers[[#This Row],[G]]))</f>
        <v>3.2704683861704766</v>
      </c>
      <c r="X348">
        <f>Pitchers[[#This Row],[Runs from WHIP]]-AVERAGEIFS(Pitchers[Runs from WHIP],Pitchers[GS],"&gt;"&amp;0,Pitchers[IP],"&gt;"&amp;3)</f>
        <v>-2.4154475199543826</v>
      </c>
      <c r="Y348">
        <f>IF(Pitchers[[#This Row],[IP/GS]]&lt;&gt;0,Pitchers[[#This Row],[ER/IP From Average]]*Pitchers[[#This Row],[IP/GS]],Pitchers[[#This Row],[ER/IP From Average]]*(Pitchers[[#This Row],[IP]]/Pitchers[[#This Row],[G]]))</f>
        <v>0.96072467723933297</v>
      </c>
      <c r="Z348">
        <f t="shared" si="17"/>
        <v>-0.25982946775876886</v>
      </c>
      <c r="AA348" s="32">
        <f>IF(Pitchers[[#This Row],[W]]=0,0,Pitchers[[#This Row],[W]]/(Pitchers[[#This Row],[W]]+Pitchers[[#This Row],[L]]))</f>
        <v>0.16666666666666666</v>
      </c>
      <c r="AB348" s="60"/>
    </row>
    <row r="349" spans="1:28" x14ac:dyDescent="0.25">
      <c r="A349" t="s">
        <v>1301</v>
      </c>
      <c r="B349" t="s">
        <v>1</v>
      </c>
      <c r="C349">
        <v>44</v>
      </c>
      <c r="D349">
        <v>0</v>
      </c>
      <c r="E349">
        <v>0</v>
      </c>
      <c r="F349">
        <v>0</v>
      </c>
      <c r="G349">
        <v>48</v>
      </c>
      <c r="H349">
        <v>30</v>
      </c>
      <c r="I349">
        <v>19</v>
      </c>
      <c r="J349">
        <v>43</v>
      </c>
      <c r="K349">
        <v>17</v>
      </c>
      <c r="L349">
        <v>5</v>
      </c>
      <c r="M349">
        <v>2</v>
      </c>
      <c r="N349">
        <v>4</v>
      </c>
      <c r="O349">
        <v>5</v>
      </c>
      <c r="P349">
        <v>5</v>
      </c>
      <c r="Q349">
        <v>6</v>
      </c>
      <c r="R349">
        <v>3.56</v>
      </c>
      <c r="S349">
        <v>0.98</v>
      </c>
      <c r="T349">
        <f t="shared" si="15"/>
        <v>0</v>
      </c>
      <c r="U349">
        <f t="shared" si="16"/>
        <v>0.39583333333333331</v>
      </c>
      <c r="V349">
        <f>U349-AVERAGEIFS(Pitchers[ER/IP],Pitchers[GS],"&gt;"&amp;0,Pitchers[IP],"&gt;"&amp;3)</f>
        <v>-0.17566726146598616</v>
      </c>
      <c r="W349">
        <f>IF(Pitchers[[#This Row],[IP/GS]]&lt;&gt;0,(Pitchers[[#This Row],[WHIP]]*$AH$5+$AI$5)/9*Pitchers[[#This Row],[IP/GS]],(Pitchers[[#This Row],[WHIP]]*$AH$5+$AI$5)/9*(Pitchers[[#This Row],[IP]]/Pitchers[[#This Row],[G]]))</f>
        <v>0.33620038896341359</v>
      </c>
      <c r="X349">
        <f>Pitchers[[#This Row],[Runs from WHIP]]-AVERAGEIFS(Pitchers[Runs from WHIP],Pitchers[GS],"&gt;"&amp;0,Pitchers[IP],"&gt;"&amp;3)</f>
        <v>-5.3497155171614459</v>
      </c>
      <c r="Y349">
        <f>IF(Pitchers[[#This Row],[IP/GS]]&lt;&gt;0,Pitchers[[#This Row],[ER/IP From Average]]*Pitchers[[#This Row],[IP/GS]],Pitchers[[#This Row],[ER/IP From Average]]*(Pitchers[[#This Row],[IP]]/Pitchers[[#This Row],[G]]))</f>
        <v>-0.19163701250834853</v>
      </c>
      <c r="Z349">
        <f t="shared" si="17"/>
        <v>-1.5032456095797249</v>
      </c>
      <c r="AA349" s="32">
        <f>IF(Pitchers[[#This Row],[W]]=0,0,Pitchers[[#This Row],[W]]/(Pitchers[[#This Row],[W]]+Pitchers[[#This Row],[L]]))</f>
        <v>0.33333333333333331</v>
      </c>
      <c r="AB349" s="60"/>
    </row>
    <row r="350" spans="1:28" x14ac:dyDescent="0.25">
      <c r="A350" t="s">
        <v>448</v>
      </c>
      <c r="B350" t="s">
        <v>8</v>
      </c>
      <c r="C350">
        <v>14</v>
      </c>
      <c r="D350">
        <v>8</v>
      </c>
      <c r="E350">
        <v>0</v>
      </c>
      <c r="F350">
        <v>0</v>
      </c>
      <c r="G350">
        <v>47.2</v>
      </c>
      <c r="H350">
        <v>73</v>
      </c>
      <c r="I350">
        <v>52</v>
      </c>
      <c r="J350">
        <v>33</v>
      </c>
      <c r="K350">
        <v>22</v>
      </c>
      <c r="L350">
        <v>22</v>
      </c>
      <c r="M350">
        <v>2</v>
      </c>
      <c r="N350">
        <v>4</v>
      </c>
      <c r="O350">
        <v>0</v>
      </c>
      <c r="P350">
        <v>0</v>
      </c>
      <c r="Q350">
        <v>0</v>
      </c>
      <c r="R350">
        <v>9.82</v>
      </c>
      <c r="S350">
        <v>1.99</v>
      </c>
      <c r="T350">
        <f t="shared" si="15"/>
        <v>5.9</v>
      </c>
      <c r="U350">
        <f t="shared" si="16"/>
        <v>1.1016949152542372</v>
      </c>
      <c r="V350">
        <f>U350-AVERAGEIFS(Pitchers[ER/IP],Pitchers[GS],"&gt;"&amp;0,Pitchers[IP],"&gt;"&amp;3)</f>
        <v>0.53019432045491777</v>
      </c>
      <c r="W350">
        <f>IF(Pitchers[[#This Row],[IP/GS]]&lt;&gt;0,(Pitchers[[#This Row],[WHIP]]*$AH$5+$AI$5)/9*Pitchers[[#This Row],[IP/GS]],(Pitchers[[#This Row],[WHIP]]*$AH$5+$AI$5)/9*(Pitchers[[#This Row],[IP]]/Pitchers[[#This Row],[G]]))</f>
        <v>4.9120468845368688</v>
      </c>
      <c r="X350">
        <f>Pitchers[[#This Row],[Runs from WHIP]]-AVERAGEIFS(Pitchers[Runs from WHIP],Pitchers[GS],"&gt;"&amp;0,Pitchers[IP],"&gt;"&amp;3)</f>
        <v>-0.77386902158799042</v>
      </c>
      <c r="Y350">
        <f>IF(Pitchers[[#This Row],[IP/GS]]&lt;&gt;0,Pitchers[[#This Row],[ER/IP From Average]]*Pitchers[[#This Row],[IP/GS]],Pitchers[[#This Row],[ER/IP From Average]]*(Pitchers[[#This Row],[IP]]/Pitchers[[#This Row],[G]]))</f>
        <v>3.1281464906840148</v>
      </c>
      <c r="Z350">
        <f t="shared" si="17"/>
        <v>1.0448935238501418</v>
      </c>
      <c r="AA350" s="32">
        <f>IF(Pitchers[[#This Row],[W]]=0,0,Pitchers[[#This Row],[W]]/(Pitchers[[#This Row],[W]]+Pitchers[[#This Row],[L]]))</f>
        <v>0.33333333333333331</v>
      </c>
      <c r="AB350" s="60"/>
    </row>
    <row r="351" spans="1:28" x14ac:dyDescent="0.25">
      <c r="A351" t="s">
        <v>502</v>
      </c>
      <c r="B351" t="s">
        <v>15</v>
      </c>
      <c r="C351">
        <v>47</v>
      </c>
      <c r="D351">
        <v>0</v>
      </c>
      <c r="E351">
        <v>0</v>
      </c>
      <c r="F351">
        <v>0</v>
      </c>
      <c r="G351">
        <v>47.1</v>
      </c>
      <c r="H351">
        <v>57</v>
      </c>
      <c r="I351">
        <v>25</v>
      </c>
      <c r="J351">
        <v>45</v>
      </c>
      <c r="K351">
        <v>21</v>
      </c>
      <c r="L351">
        <v>4</v>
      </c>
      <c r="M351">
        <v>2</v>
      </c>
      <c r="N351">
        <v>3</v>
      </c>
      <c r="O351">
        <v>1</v>
      </c>
      <c r="P351">
        <v>1</v>
      </c>
      <c r="Q351">
        <v>10</v>
      </c>
      <c r="R351">
        <v>4.75</v>
      </c>
      <c r="S351">
        <v>1.65</v>
      </c>
      <c r="T351">
        <f t="shared" si="15"/>
        <v>0</v>
      </c>
      <c r="U351">
        <f t="shared" si="16"/>
        <v>0.53078556263269638</v>
      </c>
      <c r="V351" s="60">
        <f>U351-AVERAGEIFS(Pitchers[ER/IP],Pitchers[GS],"&gt;"&amp;0,Pitchers[IP],"&gt;"&amp;3)</f>
        <v>-4.0715032166623089E-2</v>
      </c>
      <c r="W351" s="60">
        <f>IF(Pitchers[[#This Row],[IP/GS]]&lt;&gt;0,(Pitchers[[#This Row],[WHIP]]*$AH$5+$AI$5)/9*Pitchers[[#This Row],[IP/GS]],(Pitchers[[#This Row],[WHIP]]*$AH$5+$AI$5)/9*(Pitchers[[#This Row],[IP]]/Pitchers[[#This Row],[G]]))</f>
        <v>0.65742667030767588</v>
      </c>
      <c r="X351" s="60">
        <f>Pitchers[[#This Row],[Runs from WHIP]]-AVERAGEIFS(Pitchers[Runs from WHIP],Pitchers[GS],"&gt;"&amp;0,Pitchers[IP],"&gt;"&amp;3)</f>
        <v>-5.0284892358171831</v>
      </c>
      <c r="Y351" s="60">
        <f>IF(Pitchers[[#This Row],[IP/GS]]&lt;&gt;0,Pitchers[[#This Row],[ER/IP From Average]]*Pitchers[[#This Row],[IP/GS]],Pitchers[[#This Row],[ER/IP From Average]]*(Pitchers[[#This Row],[IP]]/Pitchers[[#This Row],[G]]))</f>
        <v>-4.0801659894637181E-2</v>
      </c>
      <c r="Z351" s="60">
        <f t="shared" si="17"/>
        <v>-1.3572511268424368</v>
      </c>
      <c r="AA351" s="32">
        <f>IF(Pitchers[[#This Row],[W]]=0,0,Pitchers[[#This Row],[W]]/(Pitchers[[#This Row],[W]]+Pitchers[[#This Row],[L]]))</f>
        <v>0.4</v>
      </c>
      <c r="AB351" s="60"/>
    </row>
    <row r="352" spans="1:28" x14ac:dyDescent="0.25">
      <c r="A352" t="s">
        <v>454</v>
      </c>
      <c r="B352" t="s">
        <v>1</v>
      </c>
      <c r="C352">
        <v>44</v>
      </c>
      <c r="D352">
        <v>0</v>
      </c>
      <c r="E352">
        <v>0</v>
      </c>
      <c r="F352">
        <v>0</v>
      </c>
      <c r="G352">
        <v>47.1</v>
      </c>
      <c r="H352">
        <v>34</v>
      </c>
      <c r="I352">
        <v>24</v>
      </c>
      <c r="J352">
        <v>47</v>
      </c>
      <c r="K352">
        <v>24</v>
      </c>
      <c r="L352">
        <v>6</v>
      </c>
      <c r="M352">
        <v>3</v>
      </c>
      <c r="N352">
        <v>6</v>
      </c>
      <c r="O352">
        <v>0</v>
      </c>
      <c r="P352">
        <v>2</v>
      </c>
      <c r="Q352">
        <v>8</v>
      </c>
      <c r="R352">
        <v>4.5599999999999996</v>
      </c>
      <c r="S352">
        <v>1.23</v>
      </c>
      <c r="T352">
        <f t="shared" si="15"/>
        <v>0</v>
      </c>
      <c r="U352">
        <f t="shared" si="16"/>
        <v>0.50955414012738853</v>
      </c>
      <c r="V352">
        <f>U352-AVERAGEIFS(Pitchers[ER/IP],Pitchers[GS],"&gt;"&amp;0,Pitchers[IP],"&gt;"&amp;3)</f>
        <v>-6.1946454671930939E-2</v>
      </c>
      <c r="W352">
        <f>IF(Pitchers[[#This Row],[IP/GS]]&lt;&gt;0,(Pitchers[[#This Row],[WHIP]]*$AH$5+$AI$5)/9*Pitchers[[#This Row],[IP/GS]],(Pitchers[[#This Row],[WHIP]]*$AH$5+$AI$5)/9*(Pitchers[[#This Row],[IP]]/Pitchers[[#This Row],[G]]))</f>
        <v>0.46883490940920125</v>
      </c>
      <c r="X352">
        <f>Pitchers[[#This Row],[Runs from WHIP]]-AVERAGEIFS(Pitchers[Runs from WHIP],Pitchers[GS],"&gt;"&amp;0,Pitchers[IP],"&gt;"&amp;3)</f>
        <v>-5.2170809967156577</v>
      </c>
      <c r="Y352">
        <f>IF(Pitchers[[#This Row],[IP/GS]]&lt;&gt;0,Pitchers[[#This Row],[ER/IP From Average]]*Pitchers[[#This Row],[IP/GS]],Pitchers[[#This Row],[ER/IP From Average]]*(Pitchers[[#This Row],[IP]]/Pitchers[[#This Row],[G]]))</f>
        <v>-6.6310863978362444E-2</v>
      </c>
      <c r="Z352">
        <f t="shared" si="17"/>
        <v>-1.4177459447155203</v>
      </c>
      <c r="AA352" s="32">
        <f>IF(Pitchers[[#This Row],[W]]=0,0,Pitchers[[#This Row],[W]]/(Pitchers[[#This Row],[W]]+Pitchers[[#This Row],[L]]))</f>
        <v>0.33333333333333331</v>
      </c>
      <c r="AB352" s="60"/>
    </row>
    <row r="353" spans="1:28" x14ac:dyDescent="0.25">
      <c r="A353" t="s">
        <v>537</v>
      </c>
      <c r="B353" t="s">
        <v>19</v>
      </c>
      <c r="C353">
        <v>50</v>
      </c>
      <c r="D353">
        <v>0</v>
      </c>
      <c r="E353">
        <v>0</v>
      </c>
      <c r="F353">
        <v>0</v>
      </c>
      <c r="G353">
        <v>47.1</v>
      </c>
      <c r="H353">
        <v>55</v>
      </c>
      <c r="I353">
        <v>26</v>
      </c>
      <c r="J353">
        <v>43</v>
      </c>
      <c r="K353">
        <v>11</v>
      </c>
      <c r="L353">
        <v>12</v>
      </c>
      <c r="M353">
        <v>5</v>
      </c>
      <c r="N353">
        <v>2</v>
      </c>
      <c r="O353">
        <v>11</v>
      </c>
      <c r="P353">
        <v>4</v>
      </c>
      <c r="Q353">
        <v>6</v>
      </c>
      <c r="R353">
        <v>4.9400000000000004</v>
      </c>
      <c r="S353">
        <v>1.39</v>
      </c>
      <c r="T353">
        <f t="shared" si="15"/>
        <v>0</v>
      </c>
      <c r="U353">
        <f t="shared" si="16"/>
        <v>0.55201698513800423</v>
      </c>
      <c r="V353">
        <f>U353-AVERAGEIFS(Pitchers[ER/IP],Pitchers[GS],"&gt;"&amp;0,Pitchers[IP],"&gt;"&amp;3)</f>
        <v>-1.9483609661315238E-2</v>
      </c>
      <c r="W353">
        <f>IF(Pitchers[[#This Row],[IP/GS]]&lt;&gt;0,(Pitchers[[#This Row],[WHIP]]*$AH$5+$AI$5)/9*Pitchers[[#This Row],[IP/GS]],(Pitchers[[#This Row],[WHIP]]*$AH$5+$AI$5)/9*(Pitchers[[#This Row],[IP]]/Pitchers[[#This Row],[G]]))</f>
        <v>0.49082475830261829</v>
      </c>
      <c r="X353">
        <f>Pitchers[[#This Row],[Runs from WHIP]]-AVERAGEIFS(Pitchers[Runs from WHIP],Pitchers[GS],"&gt;"&amp;0,Pitchers[IP],"&gt;"&amp;3)</f>
        <v>-5.1950911478222412</v>
      </c>
      <c r="Y353">
        <f>IF(Pitchers[[#This Row],[IP/GS]]&lt;&gt;0,Pitchers[[#This Row],[ER/IP From Average]]*Pitchers[[#This Row],[IP/GS]],Pitchers[[#This Row],[ER/IP From Average]]*(Pitchers[[#This Row],[IP]]/Pitchers[[#This Row],[G]]))</f>
        <v>-1.8353560300958954E-2</v>
      </c>
      <c r="Z353">
        <f t="shared" si="17"/>
        <v>-1.3926990635396479</v>
      </c>
      <c r="AA353" s="32">
        <f>IF(Pitchers[[#This Row],[W]]=0,0,Pitchers[[#This Row],[W]]/(Pitchers[[#This Row],[W]]+Pitchers[[#This Row],[L]]))</f>
        <v>0.7142857142857143</v>
      </c>
      <c r="AB353" s="60"/>
    </row>
    <row r="354" spans="1:28" x14ac:dyDescent="0.25">
      <c r="A354" t="s">
        <v>1361</v>
      </c>
      <c r="B354" t="s">
        <v>9</v>
      </c>
      <c r="C354">
        <v>52</v>
      </c>
      <c r="D354">
        <v>1</v>
      </c>
      <c r="E354">
        <v>0</v>
      </c>
      <c r="F354">
        <v>0</v>
      </c>
      <c r="G354">
        <v>47.1</v>
      </c>
      <c r="H354">
        <v>40</v>
      </c>
      <c r="I354">
        <v>16</v>
      </c>
      <c r="J354">
        <v>62</v>
      </c>
      <c r="K354">
        <v>16</v>
      </c>
      <c r="L354">
        <v>5</v>
      </c>
      <c r="M354">
        <v>2</v>
      </c>
      <c r="N354">
        <v>2</v>
      </c>
      <c r="O354">
        <v>0</v>
      </c>
      <c r="P354">
        <v>1</v>
      </c>
      <c r="Q354">
        <v>4</v>
      </c>
      <c r="R354">
        <v>3.04</v>
      </c>
      <c r="S354">
        <v>1.18</v>
      </c>
      <c r="T354">
        <f t="shared" si="15"/>
        <v>47.1</v>
      </c>
      <c r="U354">
        <f t="shared" si="16"/>
        <v>0.33970276008492567</v>
      </c>
      <c r="V354">
        <f>U354-AVERAGEIFS(Pitchers[ER/IP],Pitchers[GS],"&gt;"&amp;0,Pitchers[IP],"&gt;"&amp;3)</f>
        <v>-0.2317978347143938</v>
      </c>
      <c r="W354">
        <f>IF(Pitchers[[#This Row],[IP/GS]]&lt;&gt;0,(Pitchers[[#This Row],[WHIP]]*$AH$5+$AI$5)/9*Pitchers[[#This Row],[IP/GS]],(Pitchers[[#This Row],[WHIP]]*$AH$5+$AI$5)/9*(Pitchers[[#This Row],[IP]]/Pitchers[[#This Row],[G]]))</f>
        <v>19.406079169902959</v>
      </c>
      <c r="X354">
        <f>Pitchers[[#This Row],[Runs from WHIP]]-AVERAGEIFS(Pitchers[Runs from WHIP],Pitchers[GS],"&gt;"&amp;0,Pitchers[IP],"&gt;"&amp;3)</f>
        <v>13.720163263778101</v>
      </c>
      <c r="Y354">
        <f>IF(Pitchers[[#This Row],[IP/GS]]&lt;&gt;0,Pitchers[[#This Row],[ER/IP From Average]]*Pitchers[[#This Row],[IP/GS]],Pitchers[[#This Row],[ER/IP From Average]]*(Pitchers[[#This Row],[IP]]/Pitchers[[#This Row],[G]]))</f>
        <v>-10.917678015047949</v>
      </c>
      <c r="Z354">
        <f t="shared" si="17"/>
        <v>-0.7083610023450192</v>
      </c>
      <c r="AA354" s="32">
        <f>IF(Pitchers[[#This Row],[W]]=0,0,Pitchers[[#This Row],[W]]/(Pitchers[[#This Row],[W]]+Pitchers[[#This Row],[L]]))</f>
        <v>0.5</v>
      </c>
      <c r="AB354" s="60"/>
    </row>
    <row r="355" spans="1:28" x14ac:dyDescent="0.25">
      <c r="A355" t="s">
        <v>676</v>
      </c>
      <c r="B355" t="s">
        <v>7</v>
      </c>
      <c r="C355">
        <v>54</v>
      </c>
      <c r="D355">
        <v>0</v>
      </c>
      <c r="E355">
        <v>0</v>
      </c>
      <c r="F355">
        <v>0</v>
      </c>
      <c r="G355">
        <v>47</v>
      </c>
      <c r="H355">
        <v>42</v>
      </c>
      <c r="I355">
        <v>29</v>
      </c>
      <c r="J355">
        <v>60</v>
      </c>
      <c r="K355">
        <v>32</v>
      </c>
      <c r="L355">
        <v>6</v>
      </c>
      <c r="M355">
        <v>3</v>
      </c>
      <c r="N355">
        <v>0</v>
      </c>
      <c r="O355">
        <v>1</v>
      </c>
      <c r="P355">
        <v>1</v>
      </c>
      <c r="Q355">
        <v>11</v>
      </c>
      <c r="R355">
        <v>5.55</v>
      </c>
      <c r="S355">
        <v>1.57</v>
      </c>
      <c r="T355">
        <f t="shared" si="15"/>
        <v>0</v>
      </c>
      <c r="U355">
        <f t="shared" si="16"/>
        <v>0.61702127659574468</v>
      </c>
      <c r="V355">
        <f>U355-AVERAGEIFS(Pitchers[ER/IP],Pitchers[GS],"&gt;"&amp;0,Pitchers[IP],"&gt;"&amp;3)</f>
        <v>4.5520681796425211E-2</v>
      </c>
      <c r="W355">
        <f>IF(Pitchers[[#This Row],[IP/GS]]&lt;&gt;0,(Pitchers[[#This Row],[WHIP]]*$AH$5+$AI$5)/9*Pitchers[[#This Row],[IP/GS]],(Pitchers[[#This Row],[WHIP]]*$AH$5+$AI$5)/9*(Pitchers[[#This Row],[IP]]/Pitchers[[#This Row],[G]]))</f>
        <v>0.53483986790642202</v>
      </c>
      <c r="X355">
        <f>Pitchers[[#This Row],[Runs from WHIP]]-AVERAGEIFS(Pitchers[Runs from WHIP],Pitchers[GS],"&gt;"&amp;0,Pitchers[IP],"&gt;"&amp;3)</f>
        <v>-5.1510760382184371</v>
      </c>
      <c r="Y355">
        <f>IF(Pitchers[[#This Row],[IP/GS]]&lt;&gt;0,Pitchers[[#This Row],[ER/IP From Average]]*Pitchers[[#This Row],[IP/GS]],Pitchers[[#This Row],[ER/IP From Average]]*(Pitchers[[#This Row],[IP]]/Pitchers[[#This Row],[G]]))</f>
        <v>3.9619852674666389E-2</v>
      </c>
      <c r="Z355">
        <f t="shared" si="17"/>
        <v>-1.3577723357883833</v>
      </c>
      <c r="AA355" s="32">
        <f>IF(Pitchers[[#This Row],[W]]=0,0,Pitchers[[#This Row],[W]]/(Pitchers[[#This Row],[W]]+Pitchers[[#This Row],[L]]))</f>
        <v>1</v>
      </c>
      <c r="AB355" s="60"/>
    </row>
    <row r="356" spans="1:28" x14ac:dyDescent="0.25">
      <c r="A356" t="s">
        <v>854</v>
      </c>
      <c r="B356" t="s">
        <v>218</v>
      </c>
      <c r="C356">
        <v>14</v>
      </c>
      <c r="D356">
        <v>2</v>
      </c>
      <c r="E356">
        <v>0</v>
      </c>
      <c r="F356">
        <v>0</v>
      </c>
      <c r="G356">
        <v>47</v>
      </c>
      <c r="H356">
        <v>47</v>
      </c>
      <c r="I356">
        <v>23</v>
      </c>
      <c r="J356">
        <v>39</v>
      </c>
      <c r="K356">
        <v>12</v>
      </c>
      <c r="L356">
        <v>7</v>
      </c>
      <c r="M356">
        <v>3</v>
      </c>
      <c r="N356">
        <v>0</v>
      </c>
      <c r="O356">
        <v>0</v>
      </c>
      <c r="P356">
        <v>0</v>
      </c>
      <c r="Q356">
        <v>0</v>
      </c>
      <c r="R356">
        <v>4.4000000000000004</v>
      </c>
      <c r="S356">
        <v>1.26</v>
      </c>
      <c r="T356">
        <f t="shared" si="15"/>
        <v>23.5</v>
      </c>
      <c r="U356">
        <f t="shared" si="16"/>
        <v>0.48936170212765956</v>
      </c>
      <c r="V356">
        <f>U356-AVERAGEIFS(Pitchers[ER/IP],Pitchers[GS],"&gt;"&amp;0,Pitchers[IP],"&gt;"&amp;3)</f>
        <v>-8.2138892671659913E-2</v>
      </c>
      <c r="W356">
        <f>IF(Pitchers[[#This Row],[IP/GS]]&lt;&gt;0,(Pitchers[[#This Row],[WHIP]]*$AH$5+$AI$5)/9*Pitchers[[#This Row],[IP/GS]],(Pitchers[[#This Row],[WHIP]]*$AH$5+$AI$5)/9*(Pitchers[[#This Row],[IP]]/Pitchers[[#This Row],[G]]))</f>
        <v>10.658487427408721</v>
      </c>
      <c r="X356">
        <f>Pitchers[[#This Row],[Runs from WHIP]]-AVERAGEIFS(Pitchers[Runs from WHIP],Pitchers[GS],"&gt;"&amp;0,Pitchers[IP],"&gt;"&amp;3)</f>
        <v>4.9725715212838617</v>
      </c>
      <c r="Y356">
        <f>IF(Pitchers[[#This Row],[IP/GS]]&lt;&gt;0,Pitchers[[#This Row],[ER/IP From Average]]*Pitchers[[#This Row],[IP/GS]],Pitchers[[#This Row],[ER/IP From Average]]*(Pitchers[[#This Row],[IP]]/Pitchers[[#This Row],[G]]))</f>
        <v>-1.930263977784008</v>
      </c>
      <c r="Z356">
        <f t="shared" si="17"/>
        <v>0.55391348122875972</v>
      </c>
      <c r="AA356" s="32">
        <f>IF(Pitchers[[#This Row],[W]]=0,0,Pitchers[[#This Row],[W]]/(Pitchers[[#This Row],[W]]+Pitchers[[#This Row],[L]]))</f>
        <v>1</v>
      </c>
      <c r="AB356" s="60"/>
    </row>
    <row r="357" spans="1:28" x14ac:dyDescent="0.25">
      <c r="A357" t="s">
        <v>459</v>
      </c>
      <c r="B357" t="s">
        <v>1</v>
      </c>
      <c r="C357">
        <v>44</v>
      </c>
      <c r="D357">
        <v>0</v>
      </c>
      <c r="E357">
        <v>0</v>
      </c>
      <c r="F357">
        <v>0</v>
      </c>
      <c r="G357">
        <v>47</v>
      </c>
      <c r="H357">
        <v>41</v>
      </c>
      <c r="I357">
        <v>19</v>
      </c>
      <c r="J357">
        <v>45</v>
      </c>
      <c r="K357">
        <v>17</v>
      </c>
      <c r="L357">
        <v>8</v>
      </c>
      <c r="M357">
        <v>4</v>
      </c>
      <c r="N357">
        <v>2</v>
      </c>
      <c r="O357">
        <v>14</v>
      </c>
      <c r="P357">
        <v>2</v>
      </c>
      <c r="Q357">
        <v>1</v>
      </c>
      <c r="R357">
        <v>3.64</v>
      </c>
      <c r="S357">
        <v>1.23</v>
      </c>
      <c r="T357">
        <f t="shared" si="15"/>
        <v>0</v>
      </c>
      <c r="U357">
        <f t="shared" si="16"/>
        <v>0.40425531914893614</v>
      </c>
      <c r="V357">
        <f>U357-AVERAGEIFS(Pitchers[ER/IP],Pitchers[GS],"&gt;"&amp;0,Pitchers[IP],"&gt;"&amp;3)</f>
        <v>-0.16724527565038333</v>
      </c>
      <c r="W357">
        <f>IF(Pitchers[[#This Row],[IP/GS]]&lt;&gt;0,(Pitchers[[#This Row],[WHIP]]*$AH$5+$AI$5)/9*Pitchers[[#This Row],[IP/GS]],(Pitchers[[#This Row],[WHIP]]*$AH$5+$AI$5)/9*(Pitchers[[#This Row],[IP]]/Pitchers[[#This Row],[G]]))</f>
        <v>0.46783950620451076</v>
      </c>
      <c r="X357">
        <f>Pitchers[[#This Row],[Runs from WHIP]]-AVERAGEIFS(Pitchers[Runs from WHIP],Pitchers[GS],"&gt;"&amp;0,Pitchers[IP],"&gt;"&amp;3)</f>
        <v>-5.2180763999203483</v>
      </c>
      <c r="Y357">
        <f>IF(Pitchers[[#This Row],[IP/GS]]&lt;&gt;0,Pitchers[[#This Row],[ER/IP From Average]]*Pitchers[[#This Row],[IP/GS]],Pitchers[[#This Row],[ER/IP From Average]]*(Pitchers[[#This Row],[IP]]/Pitchers[[#This Row],[G]]))</f>
        <v>-0.17864836262654582</v>
      </c>
      <c r="Z357">
        <f t="shared" si="17"/>
        <v>-1.462946385029378</v>
      </c>
      <c r="AA357" s="32">
        <f>IF(Pitchers[[#This Row],[W]]=0,0,Pitchers[[#This Row],[W]]/(Pitchers[[#This Row],[W]]+Pitchers[[#This Row],[L]]))</f>
        <v>0.66666666666666663</v>
      </c>
      <c r="AB357" s="60"/>
    </row>
    <row r="358" spans="1:28" x14ac:dyDescent="0.25">
      <c r="A358" t="s">
        <v>568</v>
      </c>
      <c r="B358" t="s">
        <v>340</v>
      </c>
      <c r="C358">
        <v>51</v>
      </c>
      <c r="D358">
        <v>1</v>
      </c>
      <c r="E358">
        <v>0</v>
      </c>
      <c r="F358">
        <v>0</v>
      </c>
      <c r="G358">
        <v>46.2</v>
      </c>
      <c r="H358">
        <v>61</v>
      </c>
      <c r="I358">
        <v>33</v>
      </c>
      <c r="J358">
        <v>35</v>
      </c>
      <c r="K358">
        <v>10</v>
      </c>
      <c r="L358">
        <v>11</v>
      </c>
      <c r="M358">
        <v>1</v>
      </c>
      <c r="N358">
        <v>2</v>
      </c>
      <c r="O358">
        <v>0</v>
      </c>
      <c r="P358">
        <v>0</v>
      </c>
      <c r="Q358">
        <v>4</v>
      </c>
      <c r="R358">
        <v>6.36</v>
      </c>
      <c r="S358">
        <v>1.52</v>
      </c>
      <c r="T358">
        <f t="shared" si="15"/>
        <v>46.2</v>
      </c>
      <c r="U358">
        <f t="shared" si="16"/>
        <v>0.71428571428571419</v>
      </c>
      <c r="V358">
        <f>U358-AVERAGEIFS(Pitchers[ER/IP],Pitchers[GS],"&gt;"&amp;0,Pitchers[IP],"&gt;"&amp;3)</f>
        <v>0.14278511948639472</v>
      </c>
      <c r="W358">
        <f>IF(Pitchers[[#This Row],[IP/GS]]&lt;&gt;0,(Pitchers[[#This Row],[WHIP]]*$AH$5+$AI$5)/9*Pitchers[[#This Row],[IP/GS]],(Pitchers[[#This Row],[WHIP]]*$AH$5+$AI$5)/9*(Pitchers[[#This Row],[IP]]/Pitchers[[#This Row],[G]]))</f>
        <v>27.190461396869804</v>
      </c>
      <c r="X358">
        <f>Pitchers[[#This Row],[Runs from WHIP]]-AVERAGEIFS(Pitchers[Runs from WHIP],Pitchers[GS],"&gt;"&amp;0,Pitchers[IP],"&gt;"&amp;3)</f>
        <v>21.504545490744945</v>
      </c>
      <c r="Y358">
        <f>IF(Pitchers[[#This Row],[IP/GS]]&lt;&gt;0,Pitchers[[#This Row],[ER/IP From Average]]*Pitchers[[#This Row],[IP/GS]],Pitchers[[#This Row],[ER/IP From Average]]*(Pitchers[[#This Row],[IP]]/Pitchers[[#This Row],[G]]))</f>
        <v>6.5966725202714365</v>
      </c>
      <c r="Z358">
        <f t="shared" si="17"/>
        <v>8.373214472307227</v>
      </c>
      <c r="AA358" s="32">
        <f>IF(Pitchers[[#This Row],[W]]=0,0,Pitchers[[#This Row],[W]]/(Pitchers[[#This Row],[W]]+Pitchers[[#This Row],[L]]))</f>
        <v>0.33333333333333331</v>
      </c>
      <c r="AB358" s="60"/>
    </row>
    <row r="359" spans="1:28" x14ac:dyDescent="0.25">
      <c r="A359" t="s">
        <v>294</v>
      </c>
      <c r="B359" t="s">
        <v>14</v>
      </c>
      <c r="C359">
        <v>28</v>
      </c>
      <c r="D359">
        <v>0</v>
      </c>
      <c r="E359">
        <v>0</v>
      </c>
      <c r="F359">
        <v>0</v>
      </c>
      <c r="G359">
        <v>46.2</v>
      </c>
      <c r="H359">
        <v>50</v>
      </c>
      <c r="I359">
        <v>19</v>
      </c>
      <c r="J359">
        <v>47</v>
      </c>
      <c r="K359">
        <v>15</v>
      </c>
      <c r="L359">
        <v>7</v>
      </c>
      <c r="M359">
        <v>1</v>
      </c>
      <c r="N359">
        <v>1</v>
      </c>
      <c r="O359">
        <v>0</v>
      </c>
      <c r="P359">
        <v>0</v>
      </c>
      <c r="Q359">
        <v>0</v>
      </c>
      <c r="R359">
        <v>3.66</v>
      </c>
      <c r="S359">
        <v>1.39</v>
      </c>
      <c r="T359">
        <f t="shared" si="15"/>
        <v>0</v>
      </c>
      <c r="U359">
        <f t="shared" si="16"/>
        <v>0.41125541125541121</v>
      </c>
      <c r="V359">
        <f>U359-AVERAGEIFS(Pitchers[ER/IP],Pitchers[GS],"&gt;"&amp;0,Pitchers[IP],"&gt;"&amp;3)</f>
        <v>-0.16024518354390827</v>
      </c>
      <c r="W359">
        <f>IF(Pitchers[[#This Row],[IP/GS]]&lt;&gt;0,(Pitchers[[#This Row],[WHIP]]*$AH$5+$AI$5)/9*Pitchers[[#This Row],[IP/GS]],(Pitchers[[#This Row],[WHIP]]*$AH$5+$AI$5)/9*(Pitchers[[#This Row],[IP]]/Pitchers[[#This Row],[G]]))</f>
        <v>0.85972489511605121</v>
      </c>
      <c r="X359">
        <f>Pitchers[[#This Row],[Runs from WHIP]]-AVERAGEIFS(Pitchers[Runs from WHIP],Pitchers[GS],"&gt;"&amp;0,Pitchers[IP],"&gt;"&amp;3)</f>
        <v>-4.8261910110088078</v>
      </c>
      <c r="Y359">
        <f>IF(Pitchers[[#This Row],[IP/GS]]&lt;&gt;0,Pitchers[[#This Row],[ER/IP From Average]]*Pitchers[[#This Row],[IP/GS]],Pitchers[[#This Row],[ER/IP From Average]]*(Pitchers[[#This Row],[IP]]/Pitchers[[#This Row],[G]]))</f>
        <v>-0.26440455284744868</v>
      </c>
      <c r="Z359">
        <f t="shared" si="17"/>
        <v>-1.392746090741328</v>
      </c>
      <c r="AA359" s="32">
        <f>IF(Pitchers[[#This Row],[W]]=0,0,Pitchers[[#This Row],[W]]/(Pitchers[[#This Row],[W]]+Pitchers[[#This Row],[L]]))</f>
        <v>0.5</v>
      </c>
      <c r="AB359" s="60"/>
    </row>
    <row r="360" spans="1:28" x14ac:dyDescent="0.25">
      <c r="A360" t="s">
        <v>674</v>
      </c>
      <c r="B360" t="s">
        <v>3</v>
      </c>
      <c r="C360">
        <v>10</v>
      </c>
      <c r="D360">
        <v>8</v>
      </c>
      <c r="E360">
        <v>0</v>
      </c>
      <c r="F360">
        <v>0</v>
      </c>
      <c r="G360">
        <v>46.2</v>
      </c>
      <c r="H360">
        <v>48</v>
      </c>
      <c r="I360">
        <v>24</v>
      </c>
      <c r="J360">
        <v>33</v>
      </c>
      <c r="K360">
        <v>21</v>
      </c>
      <c r="L360">
        <v>5</v>
      </c>
      <c r="M360">
        <v>1</v>
      </c>
      <c r="N360">
        <v>5</v>
      </c>
      <c r="O360">
        <v>0</v>
      </c>
      <c r="P360">
        <v>0</v>
      </c>
      <c r="Q360">
        <v>0</v>
      </c>
      <c r="R360">
        <v>4.63</v>
      </c>
      <c r="S360">
        <v>1.48</v>
      </c>
      <c r="T360">
        <f t="shared" si="15"/>
        <v>5.7750000000000004</v>
      </c>
      <c r="U360">
        <f t="shared" si="16"/>
        <v>0.51948051948051943</v>
      </c>
      <c r="V360">
        <f>U360-AVERAGEIFS(Pitchers[ER/IP],Pitchers[GS],"&gt;"&amp;0,Pitchers[IP],"&gt;"&amp;3)</f>
        <v>-5.2020075318800041E-2</v>
      </c>
      <c r="W360">
        <f>IF(Pitchers[[#This Row],[IP/GS]]&lt;&gt;0,(Pitchers[[#This Row],[WHIP]]*$AH$5+$AI$5)/9*Pitchers[[#This Row],[IP/GS]],(Pitchers[[#This Row],[WHIP]]*$AH$5+$AI$5)/9*(Pitchers[[#This Row],[IP]]/Pitchers[[#This Row],[G]]))</f>
        <v>3.2788782771617888</v>
      </c>
      <c r="X360">
        <f>Pitchers[[#This Row],[Runs from WHIP]]-AVERAGEIFS(Pitchers[Runs from WHIP],Pitchers[GS],"&gt;"&amp;0,Pitchers[IP],"&gt;"&amp;3)</f>
        <v>-2.4070376289630704</v>
      </c>
      <c r="Y360">
        <f>IF(Pitchers[[#This Row],[IP/GS]]&lt;&gt;0,Pitchers[[#This Row],[ER/IP From Average]]*Pitchers[[#This Row],[IP/GS]],Pitchers[[#This Row],[ER/IP From Average]]*(Pitchers[[#This Row],[IP]]/Pitchers[[#This Row],[G]]))</f>
        <v>-0.30041593496607027</v>
      </c>
      <c r="Z360">
        <f t="shared" si="17"/>
        <v>-0.76204307504324686</v>
      </c>
      <c r="AA360" s="32">
        <f>IF(Pitchers[[#This Row],[W]]=0,0,Pitchers[[#This Row],[W]]/(Pitchers[[#This Row],[W]]+Pitchers[[#This Row],[L]]))</f>
        <v>0.16666666666666666</v>
      </c>
      <c r="AB360" s="60"/>
    </row>
    <row r="361" spans="1:28" x14ac:dyDescent="0.25">
      <c r="A361" t="s">
        <v>519</v>
      </c>
      <c r="B361" t="s">
        <v>29</v>
      </c>
      <c r="C361">
        <v>50</v>
      </c>
      <c r="D361">
        <v>0</v>
      </c>
      <c r="E361">
        <v>0</v>
      </c>
      <c r="F361">
        <v>0</v>
      </c>
      <c r="G361">
        <v>46.2</v>
      </c>
      <c r="H361">
        <v>46</v>
      </c>
      <c r="I361">
        <v>22</v>
      </c>
      <c r="J361">
        <v>42</v>
      </c>
      <c r="K361">
        <v>14</v>
      </c>
      <c r="L361">
        <v>4</v>
      </c>
      <c r="M361">
        <v>5</v>
      </c>
      <c r="N361">
        <v>3</v>
      </c>
      <c r="O361">
        <v>0</v>
      </c>
      <c r="P361">
        <v>3</v>
      </c>
      <c r="Q361">
        <v>6</v>
      </c>
      <c r="R361">
        <v>4.24</v>
      </c>
      <c r="S361">
        <v>1.29</v>
      </c>
      <c r="T361">
        <f t="shared" si="15"/>
        <v>0</v>
      </c>
      <c r="U361">
        <f t="shared" si="16"/>
        <v>0.47619047619047616</v>
      </c>
      <c r="V361">
        <f>U361-AVERAGEIFS(Pitchers[ER/IP],Pitchers[GS],"&gt;"&amp;0,Pitchers[IP],"&gt;"&amp;3)</f>
        <v>-9.5310118608843308E-2</v>
      </c>
      <c r="W361">
        <f>IF(Pitchers[[#This Row],[IP/GS]]&lt;&gt;0,(Pitchers[[#This Row],[WHIP]]*$AH$5+$AI$5)/9*Pitchers[[#This Row],[IP/GS]],(Pitchers[[#This Row],[WHIP]]*$AH$5+$AI$5)/9*(Pitchers[[#This Row],[IP]]/Pitchers[[#This Row],[G]]))</f>
        <v>0.43347418228621376</v>
      </c>
      <c r="X361">
        <f>Pitchers[[#This Row],[Runs from WHIP]]-AVERAGEIFS(Pitchers[Runs from WHIP],Pitchers[GS],"&gt;"&amp;0,Pitchers[IP],"&gt;"&amp;3)</f>
        <v>-5.2524417238386452</v>
      </c>
      <c r="Y361">
        <f>IF(Pitchers[[#This Row],[IP/GS]]&lt;&gt;0,Pitchers[[#This Row],[ER/IP From Average]]*Pitchers[[#This Row],[IP/GS]],Pitchers[[#This Row],[ER/IP From Average]]*(Pitchers[[#This Row],[IP]]/Pitchers[[#This Row],[G]]))</f>
        <v>-8.806654959457122E-2</v>
      </c>
      <c r="Z361">
        <f t="shared" si="17"/>
        <v>-1.4358777461948009</v>
      </c>
      <c r="AA361" s="32">
        <f>IF(Pitchers[[#This Row],[W]]=0,0,Pitchers[[#This Row],[W]]/(Pitchers[[#This Row],[W]]+Pitchers[[#This Row],[L]]))</f>
        <v>0.625</v>
      </c>
      <c r="AB361" s="60"/>
    </row>
    <row r="362" spans="1:28" x14ac:dyDescent="0.25">
      <c r="A362" t="s">
        <v>533</v>
      </c>
      <c r="B362" t="s">
        <v>219</v>
      </c>
      <c r="C362">
        <v>43</v>
      </c>
      <c r="D362">
        <v>0</v>
      </c>
      <c r="E362">
        <v>0</v>
      </c>
      <c r="F362">
        <v>0</v>
      </c>
      <c r="G362">
        <v>46.1</v>
      </c>
      <c r="H362">
        <v>49</v>
      </c>
      <c r="I362">
        <v>18</v>
      </c>
      <c r="J362">
        <v>44</v>
      </c>
      <c r="K362">
        <v>16</v>
      </c>
      <c r="L362">
        <v>3</v>
      </c>
      <c r="M362">
        <v>4</v>
      </c>
      <c r="N362">
        <v>2</v>
      </c>
      <c r="O362">
        <v>1</v>
      </c>
      <c r="P362">
        <v>0</v>
      </c>
      <c r="Q362">
        <v>5</v>
      </c>
      <c r="R362">
        <v>3.5</v>
      </c>
      <c r="S362">
        <v>1.4</v>
      </c>
      <c r="T362">
        <f t="shared" si="15"/>
        <v>0</v>
      </c>
      <c r="U362">
        <f t="shared" si="16"/>
        <v>0.39045553145336226</v>
      </c>
      <c r="V362">
        <f>U362-AVERAGEIFS(Pitchers[ER/IP],Pitchers[GS],"&gt;"&amp;0,Pitchers[IP],"&gt;"&amp;3)</f>
        <v>-0.18104506334595721</v>
      </c>
      <c r="W362">
        <f>IF(Pitchers[[#This Row],[IP/GS]]&lt;&gt;0,(Pitchers[[#This Row],[WHIP]]*$AH$5+$AI$5)/9*Pitchers[[#This Row],[IP/GS]],(Pitchers[[#This Row],[WHIP]]*$AH$5+$AI$5)/9*(Pitchers[[#This Row],[IP]]/Pitchers[[#This Row],[G]]))</f>
        <v>0.56417516614336372</v>
      </c>
      <c r="X362">
        <f>Pitchers[[#This Row],[Runs from WHIP]]-AVERAGEIFS(Pitchers[Runs from WHIP],Pitchers[GS],"&gt;"&amp;0,Pitchers[IP],"&gt;"&amp;3)</f>
        <v>-5.1217407399814956</v>
      </c>
      <c r="Y362">
        <f>IF(Pitchers[[#This Row],[IP/GS]]&lt;&gt;0,Pitchers[[#This Row],[ER/IP From Average]]*Pitchers[[#This Row],[IP/GS]],Pitchers[[#This Row],[ER/IP From Average]]*(Pitchers[[#This Row],[IP]]/Pitchers[[#This Row],[G]]))</f>
        <v>-0.19409714930810762</v>
      </c>
      <c r="Z362">
        <f t="shared" si="17"/>
        <v>-1.4434363903849754</v>
      </c>
      <c r="AA362" s="32">
        <f>IF(Pitchers[[#This Row],[W]]=0,0,Pitchers[[#This Row],[W]]/(Pitchers[[#This Row],[W]]+Pitchers[[#This Row],[L]]))</f>
        <v>0.66666666666666663</v>
      </c>
      <c r="AB362" s="60"/>
    </row>
    <row r="363" spans="1:28" x14ac:dyDescent="0.25">
      <c r="A363" t="s">
        <v>547</v>
      </c>
      <c r="B363" t="s">
        <v>5</v>
      </c>
      <c r="C363">
        <v>52</v>
      </c>
      <c r="D363">
        <v>0</v>
      </c>
      <c r="E363">
        <v>0</v>
      </c>
      <c r="F363">
        <v>0</v>
      </c>
      <c r="G363">
        <v>46</v>
      </c>
      <c r="H363">
        <v>42</v>
      </c>
      <c r="I363">
        <v>32</v>
      </c>
      <c r="J363">
        <v>43</v>
      </c>
      <c r="K363">
        <v>36</v>
      </c>
      <c r="L363">
        <v>7</v>
      </c>
      <c r="M363">
        <v>1</v>
      </c>
      <c r="N363">
        <v>2</v>
      </c>
      <c r="O363">
        <v>0</v>
      </c>
      <c r="P363">
        <v>4</v>
      </c>
      <c r="Q363">
        <v>6</v>
      </c>
      <c r="R363">
        <v>6.26</v>
      </c>
      <c r="S363">
        <v>1.7</v>
      </c>
      <c r="T363">
        <f t="shared" si="15"/>
        <v>0</v>
      </c>
      <c r="U363">
        <f t="shared" si="16"/>
        <v>0.69565217391304346</v>
      </c>
      <c r="V363">
        <f>U363-AVERAGEIFS(Pitchers[ER/IP],Pitchers[GS],"&gt;"&amp;0,Pitchers[IP],"&gt;"&amp;3)</f>
        <v>0.12415157911372399</v>
      </c>
      <c r="W363">
        <f>IF(Pitchers[[#This Row],[IP/GS]]&lt;&gt;0,(Pitchers[[#This Row],[WHIP]]*$AH$5+$AI$5)/9*Pitchers[[#This Row],[IP/GS]],(Pitchers[[#This Row],[WHIP]]*$AH$5+$AI$5)/9*(Pitchers[[#This Row],[IP]]/Pitchers[[#This Row],[G]]))</f>
        <v>0.60329849584920892</v>
      </c>
      <c r="X363">
        <f>Pitchers[[#This Row],[Runs from WHIP]]-AVERAGEIFS(Pitchers[Runs from WHIP],Pitchers[GS],"&gt;"&amp;0,Pitchers[IP],"&gt;"&amp;3)</f>
        <v>-5.0826174102756507</v>
      </c>
      <c r="Y363">
        <f>IF(Pitchers[[#This Row],[IP/GS]]&lt;&gt;0,Pitchers[[#This Row],[ER/IP From Average]]*Pitchers[[#This Row],[IP/GS]],Pitchers[[#This Row],[ER/IP From Average]]*(Pitchers[[#This Row],[IP]]/Pitchers[[#This Row],[G]]))</f>
        <v>0.10982639690829429</v>
      </c>
      <c r="Z363">
        <f t="shared" si="17"/>
        <v>-1.3114340839768557</v>
      </c>
      <c r="AA363" s="32">
        <f>IF(Pitchers[[#This Row],[W]]=0,0,Pitchers[[#This Row],[W]]/(Pitchers[[#This Row],[W]]+Pitchers[[#This Row],[L]]))</f>
        <v>0.33333333333333331</v>
      </c>
      <c r="AB363" s="60"/>
    </row>
    <row r="364" spans="1:28" x14ac:dyDescent="0.25">
      <c r="A364" t="s">
        <v>628</v>
      </c>
      <c r="B364" t="s">
        <v>17</v>
      </c>
      <c r="C364">
        <v>64</v>
      </c>
      <c r="D364">
        <v>0</v>
      </c>
      <c r="E364">
        <v>0</v>
      </c>
      <c r="F364">
        <v>0</v>
      </c>
      <c r="G364">
        <v>45.1</v>
      </c>
      <c r="H364">
        <v>42</v>
      </c>
      <c r="I364">
        <v>15</v>
      </c>
      <c r="J364">
        <v>50</v>
      </c>
      <c r="K364">
        <v>23</v>
      </c>
      <c r="L364">
        <v>8</v>
      </c>
      <c r="M364">
        <v>1</v>
      </c>
      <c r="N364">
        <v>1</v>
      </c>
      <c r="O364">
        <v>0</v>
      </c>
      <c r="P364">
        <v>4</v>
      </c>
      <c r="Q364">
        <v>12</v>
      </c>
      <c r="R364">
        <v>2.98</v>
      </c>
      <c r="S364">
        <v>1.43</v>
      </c>
      <c r="T364">
        <f t="shared" si="15"/>
        <v>0</v>
      </c>
      <c r="U364">
        <f t="shared" si="16"/>
        <v>0.33259423503325941</v>
      </c>
      <c r="V364">
        <f>U364-AVERAGEIFS(Pitchers[ER/IP],Pitchers[GS],"&gt;"&amp;0,Pitchers[IP],"&gt;"&amp;3)</f>
        <v>-0.23890635976606006</v>
      </c>
      <c r="W364">
        <f>IF(Pitchers[[#This Row],[IP/GS]]&lt;&gt;0,(Pitchers[[#This Row],[WHIP]]*$AH$5+$AI$5)/9*Pitchers[[#This Row],[IP/GS]],(Pitchers[[#This Row],[WHIP]]*$AH$5+$AI$5)/9*(Pitchers[[#This Row],[IP]]/Pitchers[[#This Row],[G]]))</f>
        <v>0.38180841590618386</v>
      </c>
      <c r="X364">
        <f>Pitchers[[#This Row],[Runs from WHIP]]-AVERAGEIFS(Pitchers[Runs from WHIP],Pitchers[GS],"&gt;"&amp;0,Pitchers[IP],"&gt;"&amp;3)</f>
        <v>-5.3041074902186756</v>
      </c>
      <c r="Y364">
        <f>IF(Pitchers[[#This Row],[IP/GS]]&lt;&gt;0,Pitchers[[#This Row],[ER/IP From Average]]*Pitchers[[#This Row],[IP/GS]],Pitchers[[#This Row],[ER/IP From Average]]*(Pitchers[[#This Row],[IP]]/Pitchers[[#This Row],[G]]))</f>
        <v>-0.16835432539764544</v>
      </c>
      <c r="Z364">
        <f t="shared" si="17"/>
        <v>-1.4817703942173717</v>
      </c>
      <c r="AA364" s="32">
        <f>IF(Pitchers[[#This Row],[W]]=0,0,Pitchers[[#This Row],[W]]/(Pitchers[[#This Row],[W]]+Pitchers[[#This Row],[L]]))</f>
        <v>0.5</v>
      </c>
      <c r="AB364" s="60"/>
    </row>
    <row r="365" spans="1:28" x14ac:dyDescent="0.25">
      <c r="A365" t="s">
        <v>1302</v>
      </c>
      <c r="B365" t="s">
        <v>18</v>
      </c>
      <c r="C365">
        <v>10</v>
      </c>
      <c r="D365">
        <v>10</v>
      </c>
      <c r="E365">
        <v>0</v>
      </c>
      <c r="F365">
        <v>0</v>
      </c>
      <c r="G365">
        <v>45.1</v>
      </c>
      <c r="H365">
        <v>53</v>
      </c>
      <c r="I365">
        <v>30</v>
      </c>
      <c r="J365">
        <v>22</v>
      </c>
      <c r="K365">
        <v>18</v>
      </c>
      <c r="L365">
        <v>9</v>
      </c>
      <c r="M365">
        <v>1</v>
      </c>
      <c r="N365">
        <v>5</v>
      </c>
      <c r="O365">
        <v>0</v>
      </c>
      <c r="P365">
        <v>0</v>
      </c>
      <c r="Q365">
        <v>0</v>
      </c>
      <c r="R365">
        <v>5.96</v>
      </c>
      <c r="S365">
        <v>1.57</v>
      </c>
      <c r="T365">
        <f t="shared" si="15"/>
        <v>4.51</v>
      </c>
      <c r="U365">
        <f t="shared" si="16"/>
        <v>0.66518847006651882</v>
      </c>
      <c r="V365">
        <f>U365-AVERAGEIFS(Pitchers[ER/IP],Pitchers[GS],"&gt;"&amp;0,Pitchers[IP],"&gt;"&amp;3)</f>
        <v>9.368787526719935E-2</v>
      </c>
      <c r="W365">
        <f>IF(Pitchers[[#This Row],[IP/GS]]&lt;&gt;0,(Pitchers[[#This Row],[WHIP]]*$AH$5+$AI$5)/9*Pitchers[[#This Row],[IP/GS]],(Pitchers[[#This Row],[WHIP]]*$AH$5+$AI$5)/9*(Pitchers[[#This Row],[IP]]/Pitchers[[#This Row],[G]]))</f>
        <v>2.7713808814878722</v>
      </c>
      <c r="X365">
        <f>Pitchers[[#This Row],[Runs from WHIP]]-AVERAGEIFS(Pitchers[Runs from WHIP],Pitchers[GS],"&gt;"&amp;0,Pitchers[IP],"&gt;"&amp;3)</f>
        <v>-2.914535024636987</v>
      </c>
      <c r="Y365">
        <f>IF(Pitchers[[#This Row],[IP/GS]]&lt;&gt;0,Pitchers[[#This Row],[ER/IP From Average]]*Pitchers[[#This Row],[IP/GS]],Pitchers[[#This Row],[ER/IP From Average]]*(Pitchers[[#This Row],[IP]]/Pitchers[[#This Row],[G]]))</f>
        <v>0.42253231745506903</v>
      </c>
      <c r="Z365">
        <f t="shared" si="17"/>
        <v>-0.60819641292116899</v>
      </c>
      <c r="AA365" s="32">
        <f>IF(Pitchers[[#This Row],[W]]=0,0,Pitchers[[#This Row],[W]]/(Pitchers[[#This Row],[W]]+Pitchers[[#This Row],[L]]))</f>
        <v>0.16666666666666666</v>
      </c>
      <c r="AB365" s="60"/>
    </row>
    <row r="366" spans="1:28" x14ac:dyDescent="0.25">
      <c r="A366" t="s">
        <v>4111</v>
      </c>
      <c r="B366" t="s">
        <v>19</v>
      </c>
      <c r="C366">
        <v>9</v>
      </c>
      <c r="D366">
        <v>9</v>
      </c>
      <c r="E366">
        <v>0</v>
      </c>
      <c r="F366">
        <v>0</v>
      </c>
      <c r="G366">
        <v>45.1</v>
      </c>
      <c r="H366">
        <v>52</v>
      </c>
      <c r="I366">
        <v>25</v>
      </c>
      <c r="J366">
        <v>33</v>
      </c>
      <c r="K366">
        <v>19</v>
      </c>
      <c r="L366">
        <v>3</v>
      </c>
      <c r="M366">
        <v>4</v>
      </c>
      <c r="N366">
        <v>2</v>
      </c>
      <c r="O366">
        <v>0</v>
      </c>
      <c r="P366">
        <v>0</v>
      </c>
      <c r="Q366">
        <v>0</v>
      </c>
      <c r="R366">
        <v>4.96</v>
      </c>
      <c r="S366">
        <v>1.57</v>
      </c>
      <c r="T366">
        <f t="shared" si="15"/>
        <v>5.0111111111111111</v>
      </c>
      <c r="U366">
        <f t="shared" si="16"/>
        <v>0.55432372505543237</v>
      </c>
      <c r="V366">
        <f>U366-AVERAGEIFS(Pitchers[ER/IP],Pitchers[GS],"&gt;"&amp;0,Pitchers[IP],"&gt;"&amp;3)</f>
        <v>-1.7176869743887102E-2</v>
      </c>
      <c r="W366">
        <f>IF(Pitchers[[#This Row],[IP/GS]]&lt;&gt;0,(Pitchers[[#This Row],[WHIP]]*$AH$5+$AI$5)/9*Pitchers[[#This Row],[IP/GS]],(Pitchers[[#This Row],[WHIP]]*$AH$5+$AI$5)/9*(Pitchers[[#This Row],[IP]]/Pitchers[[#This Row],[G]]))</f>
        <v>3.0793120905420808</v>
      </c>
      <c r="X366">
        <f>Pitchers[[#This Row],[Runs from WHIP]]-AVERAGEIFS(Pitchers[Runs from WHIP],Pitchers[GS],"&gt;"&amp;0,Pitchers[IP],"&gt;"&amp;3)</f>
        <v>-2.6066038155827784</v>
      </c>
      <c r="Y366">
        <f>IF(Pitchers[[#This Row],[IP/GS]]&lt;&gt;0,Pitchers[[#This Row],[ER/IP From Average]]*Pitchers[[#This Row],[IP/GS]],Pitchers[[#This Row],[ER/IP From Average]]*(Pitchers[[#This Row],[IP]]/Pitchers[[#This Row],[G]]))</f>
        <v>-8.6075202827700925E-2</v>
      </c>
      <c r="Z366">
        <f t="shared" si="17"/>
        <v>-0.72952443195315453</v>
      </c>
      <c r="AA366" s="32">
        <f>IF(Pitchers[[#This Row],[W]]=0,0,Pitchers[[#This Row],[W]]/(Pitchers[[#This Row],[W]]+Pitchers[[#This Row],[L]]))</f>
        <v>0.66666666666666663</v>
      </c>
      <c r="AB366" s="60"/>
    </row>
    <row r="367" spans="1:28" x14ac:dyDescent="0.25">
      <c r="A367" t="s">
        <v>522</v>
      </c>
      <c r="B367" t="s">
        <v>5</v>
      </c>
      <c r="C367">
        <v>36</v>
      </c>
      <c r="D367">
        <v>0</v>
      </c>
      <c r="E367">
        <v>0</v>
      </c>
      <c r="F367">
        <v>0</v>
      </c>
      <c r="G367">
        <v>44.2</v>
      </c>
      <c r="H367">
        <v>37</v>
      </c>
      <c r="I367">
        <v>17</v>
      </c>
      <c r="J367">
        <v>46</v>
      </c>
      <c r="K367">
        <v>18</v>
      </c>
      <c r="L367">
        <v>7</v>
      </c>
      <c r="M367">
        <v>1</v>
      </c>
      <c r="N367">
        <v>0</v>
      </c>
      <c r="O367">
        <v>0</v>
      </c>
      <c r="P367">
        <v>1</v>
      </c>
      <c r="Q367">
        <v>6</v>
      </c>
      <c r="R367">
        <v>3.43</v>
      </c>
      <c r="S367">
        <v>1.23</v>
      </c>
      <c r="T367">
        <f t="shared" si="15"/>
        <v>0</v>
      </c>
      <c r="U367">
        <f t="shared" si="16"/>
        <v>0.38461538461538458</v>
      </c>
      <c r="V367">
        <f>U367-AVERAGEIFS(Pitchers[ER/IP],Pitchers[GS],"&gt;"&amp;0,Pitchers[IP],"&gt;"&amp;3)</f>
        <v>-0.18688521018393489</v>
      </c>
      <c r="W367">
        <f>IF(Pitchers[[#This Row],[IP/GS]]&lt;&gt;0,(Pitchers[[#This Row],[WHIP]]*$AH$5+$AI$5)/9*Pitchers[[#This Row],[IP/GS]],(Pitchers[[#This Row],[WHIP]]*$AH$5+$AI$5)/9*(Pitchers[[#This Row],[IP]]/Pitchers[[#This Row],[G]]))</f>
        <v>0.53773893124499561</v>
      </c>
      <c r="X367">
        <f>Pitchers[[#This Row],[Runs from WHIP]]-AVERAGEIFS(Pitchers[Runs from WHIP],Pitchers[GS],"&gt;"&amp;0,Pitchers[IP],"&gt;"&amp;3)</f>
        <v>-5.1481769748798634</v>
      </c>
      <c r="Y367">
        <f>IF(Pitchers[[#This Row],[IP/GS]]&lt;&gt;0,Pitchers[[#This Row],[ER/IP From Average]]*Pitchers[[#This Row],[IP/GS]],Pitchers[[#This Row],[ER/IP From Average]]*(Pitchers[[#This Row],[IP]]/Pitchers[[#This Row],[G]]))</f>
        <v>-0.22945350805916451</v>
      </c>
      <c r="Z367">
        <f t="shared" si="17"/>
        <v>-1.4646285965249624</v>
      </c>
      <c r="AA367" s="32">
        <f>IF(Pitchers[[#This Row],[W]]=0,0,Pitchers[[#This Row],[W]]/(Pitchers[[#This Row],[W]]+Pitchers[[#This Row],[L]]))</f>
        <v>1</v>
      </c>
      <c r="AB367" s="60"/>
    </row>
    <row r="368" spans="1:28" x14ac:dyDescent="0.25">
      <c r="A368" t="s">
        <v>512</v>
      </c>
      <c r="B368" t="s">
        <v>29</v>
      </c>
      <c r="C368">
        <v>46</v>
      </c>
      <c r="D368">
        <v>2</v>
      </c>
      <c r="E368">
        <v>0</v>
      </c>
      <c r="F368">
        <v>0</v>
      </c>
      <c r="G368">
        <v>44.2</v>
      </c>
      <c r="H368">
        <v>39</v>
      </c>
      <c r="I368">
        <v>24</v>
      </c>
      <c r="J368">
        <v>54</v>
      </c>
      <c r="K368">
        <v>27</v>
      </c>
      <c r="L368">
        <v>7</v>
      </c>
      <c r="M368">
        <v>1</v>
      </c>
      <c r="N368">
        <v>2</v>
      </c>
      <c r="O368">
        <v>0</v>
      </c>
      <c r="P368">
        <v>0</v>
      </c>
      <c r="Q368">
        <v>4</v>
      </c>
      <c r="R368">
        <v>4.84</v>
      </c>
      <c r="S368">
        <v>1.48</v>
      </c>
      <c r="T368">
        <f t="shared" si="15"/>
        <v>22.1</v>
      </c>
      <c r="U368">
        <f t="shared" si="16"/>
        <v>0.54298642533936647</v>
      </c>
      <c r="V368">
        <f>U368-AVERAGEIFS(Pitchers[ER/IP],Pitchers[GS],"&gt;"&amp;0,Pitchers[IP],"&gt;"&amp;3)</f>
        <v>-2.8514169459952998E-2</v>
      </c>
      <c r="W368">
        <f>IF(Pitchers[[#This Row],[IP/GS]]&lt;&gt;0,(Pitchers[[#This Row],[WHIP]]*$AH$5+$AI$5)/9*Pitchers[[#This Row],[IP/GS]],(Pitchers[[#This Row],[WHIP]]*$AH$5+$AI$5)/9*(Pitchers[[#This Row],[IP]]/Pitchers[[#This Row],[G]]))</f>
        <v>12.547741978402691</v>
      </c>
      <c r="X368">
        <f>Pitchers[[#This Row],[Runs from WHIP]]-AVERAGEIFS(Pitchers[Runs from WHIP],Pitchers[GS],"&gt;"&amp;0,Pitchers[IP],"&gt;"&amp;3)</f>
        <v>6.8618260722778315</v>
      </c>
      <c r="Y368">
        <f>IF(Pitchers[[#This Row],[IP/GS]]&lt;&gt;0,Pitchers[[#This Row],[ER/IP From Average]]*Pitchers[[#This Row],[IP/GS]],Pitchers[[#This Row],[ER/IP From Average]]*(Pitchers[[#This Row],[IP]]/Pitchers[[#This Row],[G]]))</f>
        <v>-0.63016314506496129</v>
      </c>
      <c r="Z368">
        <f t="shared" si="17"/>
        <v>1.5777550279147707</v>
      </c>
      <c r="AA368" s="32">
        <f>IF(Pitchers[[#This Row],[W]]=0,0,Pitchers[[#This Row],[W]]/(Pitchers[[#This Row],[W]]+Pitchers[[#This Row],[L]]))</f>
        <v>0.33333333333333331</v>
      </c>
      <c r="AB368" s="60"/>
    </row>
    <row r="369" spans="1:28" x14ac:dyDescent="0.25">
      <c r="A369" t="s">
        <v>486</v>
      </c>
      <c r="B369" t="s">
        <v>2</v>
      </c>
      <c r="C369">
        <v>39</v>
      </c>
      <c r="D369">
        <v>0</v>
      </c>
      <c r="E369">
        <v>0</v>
      </c>
      <c r="F369">
        <v>0</v>
      </c>
      <c r="G369">
        <v>44.1</v>
      </c>
      <c r="H369">
        <v>38</v>
      </c>
      <c r="I369">
        <v>22</v>
      </c>
      <c r="J369">
        <v>29</v>
      </c>
      <c r="K369">
        <v>13</v>
      </c>
      <c r="L369">
        <v>10</v>
      </c>
      <c r="M369">
        <v>1</v>
      </c>
      <c r="N369">
        <v>1</v>
      </c>
      <c r="O369">
        <v>0</v>
      </c>
      <c r="P369">
        <v>0</v>
      </c>
      <c r="Q369">
        <v>7</v>
      </c>
      <c r="R369">
        <v>4.47</v>
      </c>
      <c r="S369">
        <v>1.1499999999999999</v>
      </c>
      <c r="T369">
        <f t="shared" si="15"/>
        <v>0</v>
      </c>
      <c r="U369">
        <f t="shared" si="16"/>
        <v>0.49886621315192742</v>
      </c>
      <c r="V369">
        <f>U369-AVERAGEIFS(Pitchers[ER/IP],Pitchers[GS],"&gt;"&amp;0,Pitchers[IP],"&gt;"&amp;3)</f>
        <v>-7.2634381647392054E-2</v>
      </c>
      <c r="W369">
        <f>IF(Pitchers[[#This Row],[IP/GS]]&lt;&gt;0,(Pitchers[[#This Row],[WHIP]]*$AH$5+$AI$5)/9*Pitchers[[#This Row],[IP/GS]],(Pitchers[[#This Row],[WHIP]]*$AH$5+$AI$5)/9*(Pitchers[[#This Row],[IP]]/Pitchers[[#This Row],[G]]))</f>
        <v>0.44828602063138134</v>
      </c>
      <c r="X369">
        <f>Pitchers[[#This Row],[Runs from WHIP]]-AVERAGEIFS(Pitchers[Runs from WHIP],Pitchers[GS],"&gt;"&amp;0,Pitchers[IP],"&gt;"&amp;3)</f>
        <v>-5.2376298854934777</v>
      </c>
      <c r="Y369">
        <f>IF(Pitchers[[#This Row],[IP/GS]]&lt;&gt;0,Pitchers[[#This Row],[ER/IP From Average]]*Pitchers[[#This Row],[IP/GS]],Pitchers[[#This Row],[ER/IP From Average]]*(Pitchers[[#This Row],[IP]]/Pitchers[[#This Row],[G]]))</f>
        <v>-8.2132723862820251E-2</v>
      </c>
      <c r="Z369">
        <f t="shared" si="17"/>
        <v>-1.4295543923433887</v>
      </c>
      <c r="AA369" s="32">
        <f>IF(Pitchers[[#This Row],[W]]=0,0,Pitchers[[#This Row],[W]]/(Pitchers[[#This Row],[W]]+Pitchers[[#This Row],[L]]))</f>
        <v>0.5</v>
      </c>
      <c r="AB369" s="60"/>
    </row>
    <row r="370" spans="1:28" x14ac:dyDescent="0.25">
      <c r="A370" t="s">
        <v>442</v>
      </c>
      <c r="B370" t="s">
        <v>19</v>
      </c>
      <c r="C370">
        <v>19</v>
      </c>
      <c r="D370">
        <v>8</v>
      </c>
      <c r="E370">
        <v>0</v>
      </c>
      <c r="F370">
        <v>0</v>
      </c>
      <c r="G370">
        <v>44</v>
      </c>
      <c r="H370">
        <v>58</v>
      </c>
      <c r="I370">
        <v>42</v>
      </c>
      <c r="J370">
        <v>30</v>
      </c>
      <c r="K370">
        <v>29</v>
      </c>
      <c r="L370">
        <v>8</v>
      </c>
      <c r="M370">
        <v>1</v>
      </c>
      <c r="N370">
        <v>3</v>
      </c>
      <c r="O370">
        <v>0</v>
      </c>
      <c r="P370">
        <v>1</v>
      </c>
      <c r="Q370">
        <v>1</v>
      </c>
      <c r="R370">
        <v>8.59</v>
      </c>
      <c r="S370">
        <v>1.98</v>
      </c>
      <c r="T370">
        <f t="shared" si="15"/>
        <v>5.5</v>
      </c>
      <c r="U370">
        <f t="shared" si="16"/>
        <v>0.95454545454545459</v>
      </c>
      <c r="V370">
        <f>U370-AVERAGEIFS(Pitchers[ER/IP],Pitchers[GS],"&gt;"&amp;0,Pitchers[IP],"&gt;"&amp;3)</f>
        <v>0.38304485974613511</v>
      </c>
      <c r="W370">
        <f>IF(Pitchers[[#This Row],[IP/GS]]&lt;&gt;0,(Pitchers[[#This Row],[WHIP]]*$AH$5+$AI$5)/9*Pitchers[[#This Row],[IP/GS]],(Pitchers[[#This Row],[WHIP]]*$AH$5+$AI$5)/9*(Pitchers[[#This Row],[IP]]/Pitchers[[#This Row],[G]]))</f>
        <v>4.5504721383319104</v>
      </c>
      <c r="X370">
        <f>Pitchers[[#This Row],[Runs from WHIP]]-AVERAGEIFS(Pitchers[Runs from WHIP],Pitchers[GS],"&gt;"&amp;0,Pitchers[IP],"&gt;"&amp;3)</f>
        <v>-1.1354437677929488</v>
      </c>
      <c r="Y370">
        <f>IF(Pitchers[[#This Row],[IP/GS]]&lt;&gt;0,Pitchers[[#This Row],[ER/IP From Average]]*Pitchers[[#This Row],[IP/GS]],Pitchers[[#This Row],[ER/IP From Average]]*(Pitchers[[#This Row],[IP]]/Pitchers[[#This Row],[G]]))</f>
        <v>2.1067467286037429</v>
      </c>
      <c r="Z370">
        <f t="shared" si="17"/>
        <v>0.5399136866967108</v>
      </c>
      <c r="AA370" s="32">
        <f>IF(Pitchers[[#This Row],[W]]=0,0,Pitchers[[#This Row],[W]]/(Pitchers[[#This Row],[W]]+Pitchers[[#This Row],[L]]))</f>
        <v>0.25</v>
      </c>
      <c r="AB370" s="60"/>
    </row>
    <row r="371" spans="1:28" x14ac:dyDescent="0.25">
      <c r="A371" t="s">
        <v>1401</v>
      </c>
      <c r="B371" t="s">
        <v>4</v>
      </c>
      <c r="C371">
        <v>8</v>
      </c>
      <c r="D371">
        <v>8</v>
      </c>
      <c r="E371">
        <v>0</v>
      </c>
      <c r="F371">
        <v>0</v>
      </c>
      <c r="G371">
        <v>43.2</v>
      </c>
      <c r="H371">
        <v>37</v>
      </c>
      <c r="I371">
        <v>14</v>
      </c>
      <c r="J371">
        <v>53</v>
      </c>
      <c r="K371">
        <v>18</v>
      </c>
      <c r="L371">
        <v>5</v>
      </c>
      <c r="M371">
        <v>2</v>
      </c>
      <c r="N371">
        <v>3</v>
      </c>
      <c r="O371">
        <v>0</v>
      </c>
      <c r="P371">
        <v>0</v>
      </c>
      <c r="Q371">
        <v>0</v>
      </c>
      <c r="R371">
        <v>2.89</v>
      </c>
      <c r="S371">
        <v>1.26</v>
      </c>
      <c r="T371">
        <f t="shared" si="15"/>
        <v>5.4</v>
      </c>
      <c r="U371">
        <f t="shared" si="16"/>
        <v>0.32407407407407407</v>
      </c>
      <c r="V371" s="60">
        <f>U371-AVERAGEIFS(Pitchers[ER/IP],Pitchers[GS],"&gt;"&amp;0,Pitchers[IP],"&gt;"&amp;3)</f>
        <v>-0.2474265207252454</v>
      </c>
      <c r="W371" s="60">
        <f>IF(Pitchers[[#This Row],[IP/GS]]&lt;&gt;0,(Pitchers[[#This Row],[WHIP]]*$AH$5+$AI$5)/9*Pitchers[[#This Row],[IP/GS]],(Pitchers[[#This Row],[WHIP]]*$AH$5+$AI$5)/9*(Pitchers[[#This Row],[IP]]/Pitchers[[#This Row],[G]]))</f>
        <v>2.4491843450215787</v>
      </c>
      <c r="X371" s="60">
        <f>Pitchers[[#This Row],[Runs from WHIP]]-AVERAGEIFS(Pitchers[Runs from WHIP],Pitchers[GS],"&gt;"&amp;0,Pitchers[IP],"&gt;"&amp;3)</f>
        <v>-3.2367315611032805</v>
      </c>
      <c r="Y371" s="60">
        <f>IF(Pitchers[[#This Row],[IP/GS]]&lt;&gt;0,Pitchers[[#This Row],[ER/IP From Average]]*Pitchers[[#This Row],[IP/GS]],Pitchers[[#This Row],[ER/IP From Average]]*(Pitchers[[#This Row],[IP]]/Pitchers[[#This Row],[G]]))</f>
        <v>-1.3361032119163252</v>
      </c>
      <c r="Z371" s="60">
        <f t="shared" si="17"/>
        <v>-1.3975697010607384</v>
      </c>
      <c r="AA371" s="32">
        <f>IF(Pitchers[[#This Row],[W]]=0,0,Pitchers[[#This Row],[W]]/(Pitchers[[#This Row],[W]]+Pitchers[[#This Row],[L]]))</f>
        <v>0.4</v>
      </c>
      <c r="AB371" s="60"/>
    </row>
    <row r="372" spans="1:28" x14ac:dyDescent="0.25">
      <c r="A372" t="s">
        <v>548</v>
      </c>
      <c r="B372" t="s">
        <v>5</v>
      </c>
      <c r="C372">
        <v>45</v>
      </c>
      <c r="D372">
        <v>0</v>
      </c>
      <c r="E372">
        <v>0</v>
      </c>
      <c r="F372">
        <v>0</v>
      </c>
      <c r="G372">
        <v>43.2</v>
      </c>
      <c r="H372">
        <v>40</v>
      </c>
      <c r="I372">
        <v>19</v>
      </c>
      <c r="J372">
        <v>69</v>
      </c>
      <c r="K372">
        <v>16</v>
      </c>
      <c r="L372">
        <v>5</v>
      </c>
      <c r="M372">
        <v>2</v>
      </c>
      <c r="N372">
        <v>4</v>
      </c>
      <c r="O372">
        <v>1</v>
      </c>
      <c r="P372">
        <v>1</v>
      </c>
      <c r="Q372">
        <v>7</v>
      </c>
      <c r="R372">
        <v>3.92</v>
      </c>
      <c r="S372">
        <v>1.28</v>
      </c>
      <c r="T372">
        <f t="shared" si="15"/>
        <v>0</v>
      </c>
      <c r="U372">
        <f t="shared" si="16"/>
        <v>0.43981481481481477</v>
      </c>
      <c r="V372">
        <f>U372-AVERAGEIFS(Pitchers[ER/IP],Pitchers[GS],"&gt;"&amp;0,Pitchers[IP],"&gt;"&amp;3)</f>
        <v>-0.1316857799845047</v>
      </c>
      <c r="W372">
        <f>IF(Pitchers[[#This Row],[IP/GS]]&lt;&gt;0,(Pitchers[[#This Row],[WHIP]]*$AH$5+$AI$5)/9*Pitchers[[#This Row],[IP/GS]],(Pitchers[[#This Row],[WHIP]]*$AH$5+$AI$5)/9*(Pitchers[[#This Row],[IP]]/Pitchers[[#This Row],[G]]))</f>
        <v>0.44537870793593382</v>
      </c>
      <c r="X372">
        <f>Pitchers[[#This Row],[Runs from WHIP]]-AVERAGEIFS(Pitchers[Runs from WHIP],Pitchers[GS],"&gt;"&amp;0,Pitchers[IP],"&gt;"&amp;3)</f>
        <v>-5.2405371981889255</v>
      </c>
      <c r="Y372">
        <f>IF(Pitchers[[#This Row],[IP/GS]]&lt;&gt;0,Pitchers[[#This Row],[ER/IP From Average]]*Pitchers[[#This Row],[IP/GS]],Pitchers[[#This Row],[ER/IP From Average]]*(Pitchers[[#This Row],[IP]]/Pitchers[[#This Row],[G]]))</f>
        <v>-0.12641834878512453</v>
      </c>
      <c r="Z372">
        <f t="shared" si="17"/>
        <v>-1.4480439256977633</v>
      </c>
      <c r="AA372" s="32">
        <f>IF(Pitchers[[#This Row],[W]]=0,0,Pitchers[[#This Row],[W]]/(Pitchers[[#This Row],[W]]+Pitchers[[#This Row],[L]]))</f>
        <v>0.33333333333333331</v>
      </c>
      <c r="AB372" s="60"/>
    </row>
    <row r="373" spans="1:28" x14ac:dyDescent="0.25">
      <c r="A373" t="s">
        <v>1411</v>
      </c>
      <c r="B373" t="s">
        <v>340</v>
      </c>
      <c r="C373">
        <v>9</v>
      </c>
      <c r="D373">
        <v>8</v>
      </c>
      <c r="E373">
        <v>0</v>
      </c>
      <c r="F373">
        <v>0</v>
      </c>
      <c r="G373">
        <v>43.2</v>
      </c>
      <c r="H373">
        <v>33</v>
      </c>
      <c r="I373">
        <v>16</v>
      </c>
      <c r="J373">
        <v>44</v>
      </c>
      <c r="K373">
        <v>13</v>
      </c>
      <c r="L373">
        <v>5</v>
      </c>
      <c r="M373">
        <v>2</v>
      </c>
      <c r="N373">
        <v>1</v>
      </c>
      <c r="O373">
        <v>0</v>
      </c>
      <c r="P373">
        <v>0</v>
      </c>
      <c r="Q373">
        <v>0</v>
      </c>
      <c r="R373">
        <v>3.3</v>
      </c>
      <c r="S373">
        <v>1.05</v>
      </c>
      <c r="T373">
        <f t="shared" si="15"/>
        <v>5.4</v>
      </c>
      <c r="U373">
        <f t="shared" si="16"/>
        <v>0.37037037037037035</v>
      </c>
      <c r="V373">
        <f>U373-AVERAGEIFS(Pitchers[ER/IP],Pitchers[GS],"&gt;"&amp;0,Pitchers[IP],"&gt;"&amp;3)</f>
        <v>-0.20113022442894912</v>
      </c>
      <c r="W373">
        <f>IF(Pitchers[[#This Row],[IP/GS]]&lt;&gt;0,(Pitchers[[#This Row],[WHIP]]*$AH$5+$AI$5)/9*Pitchers[[#This Row],[IP/GS]],(Pitchers[[#This Row],[WHIP]]*$AH$5+$AI$5)/9*(Pitchers[[#This Row],[IP]]/Pitchers[[#This Row],[G]]))</f>
        <v>1.8604400302820681</v>
      </c>
      <c r="X373">
        <f>Pitchers[[#This Row],[Runs from WHIP]]-AVERAGEIFS(Pitchers[Runs from WHIP],Pitchers[GS],"&gt;"&amp;0,Pitchers[IP],"&gt;"&amp;3)</f>
        <v>-3.8254758758427911</v>
      </c>
      <c r="Y373">
        <f>IF(Pitchers[[#This Row],[IP/GS]]&lt;&gt;0,Pitchers[[#This Row],[ER/IP From Average]]*Pitchers[[#This Row],[IP/GS]],Pitchers[[#This Row],[ER/IP From Average]]*(Pitchers[[#This Row],[IP]]/Pitchers[[#This Row],[G]]))</f>
        <v>-1.0861032119163254</v>
      </c>
      <c r="Z373">
        <f t="shared" si="17"/>
        <v>-1.4545681849912746</v>
      </c>
      <c r="AA373" s="32">
        <f>IF(Pitchers[[#This Row],[W]]=0,0,Pitchers[[#This Row],[W]]/(Pitchers[[#This Row],[W]]+Pitchers[[#This Row],[L]]))</f>
        <v>0.66666666666666663</v>
      </c>
      <c r="AB373" s="60"/>
    </row>
    <row r="374" spans="1:28" x14ac:dyDescent="0.25">
      <c r="A374" t="s">
        <v>549</v>
      </c>
      <c r="B374" t="s">
        <v>218</v>
      </c>
      <c r="C374">
        <v>54</v>
      </c>
      <c r="D374">
        <v>0</v>
      </c>
      <c r="E374">
        <v>0</v>
      </c>
      <c r="F374">
        <v>0</v>
      </c>
      <c r="G374">
        <v>43.1</v>
      </c>
      <c r="H374">
        <v>39</v>
      </c>
      <c r="I374">
        <v>19</v>
      </c>
      <c r="J374">
        <v>36</v>
      </c>
      <c r="K374">
        <v>14</v>
      </c>
      <c r="L374">
        <v>6</v>
      </c>
      <c r="M374">
        <v>4</v>
      </c>
      <c r="N374">
        <v>3</v>
      </c>
      <c r="O374">
        <v>1</v>
      </c>
      <c r="P374">
        <v>0</v>
      </c>
      <c r="Q374">
        <v>14</v>
      </c>
      <c r="R374">
        <v>3.95</v>
      </c>
      <c r="S374">
        <v>1.22</v>
      </c>
      <c r="T374">
        <f t="shared" si="15"/>
        <v>0</v>
      </c>
      <c r="U374">
        <f t="shared" si="16"/>
        <v>0.44083526682134572</v>
      </c>
      <c r="V374">
        <f>U374-AVERAGEIFS(Pitchers[ER/IP],Pitchers[GS],"&gt;"&amp;0,Pitchers[IP],"&gt;"&amp;3)</f>
        <v>-0.13066532797797376</v>
      </c>
      <c r="W374">
        <f>IF(Pitchers[[#This Row],[IP/GS]]&lt;&gt;0,(Pitchers[[#This Row],[WHIP]]*$AH$5+$AI$5)/9*Pitchers[[#This Row],[IP/GS]],(Pitchers[[#This Row],[WHIP]]*$AH$5+$AI$5)/9*(Pitchers[[#This Row],[IP]]/Pitchers[[#This Row],[G]]))</f>
        <v>0.34542707407700357</v>
      </c>
      <c r="X374">
        <f>Pitchers[[#This Row],[Runs from WHIP]]-AVERAGEIFS(Pitchers[Runs from WHIP],Pitchers[GS],"&gt;"&amp;0,Pitchers[IP],"&gt;"&amp;3)</f>
        <v>-5.3404888320478552</v>
      </c>
      <c r="Y374">
        <f>IF(Pitchers[[#This Row],[IP/GS]]&lt;&gt;0,Pitchers[[#This Row],[ER/IP From Average]]*Pitchers[[#This Row],[IP/GS]],Pitchers[[#This Row],[ER/IP From Average]]*(Pitchers[[#This Row],[IP]]/Pitchers[[#This Row],[G]]))</f>
        <v>-0.10429028955279017</v>
      </c>
      <c r="Z374">
        <f t="shared" si="17"/>
        <v>-1.465846471033877</v>
      </c>
      <c r="AA374" s="32">
        <f>IF(Pitchers[[#This Row],[W]]=0,0,Pitchers[[#This Row],[W]]/(Pitchers[[#This Row],[W]]+Pitchers[[#This Row],[L]]))</f>
        <v>0.5714285714285714</v>
      </c>
      <c r="AB374" s="60"/>
    </row>
    <row r="375" spans="1:28" x14ac:dyDescent="0.25">
      <c r="A375" t="s">
        <v>1331</v>
      </c>
      <c r="B375" t="s">
        <v>12</v>
      </c>
      <c r="C375">
        <v>24</v>
      </c>
      <c r="D375">
        <v>4</v>
      </c>
      <c r="E375">
        <v>0</v>
      </c>
      <c r="F375">
        <v>0</v>
      </c>
      <c r="G375">
        <v>43</v>
      </c>
      <c r="H375">
        <v>31</v>
      </c>
      <c r="I375">
        <v>22</v>
      </c>
      <c r="J375">
        <v>57</v>
      </c>
      <c r="K375">
        <v>19</v>
      </c>
      <c r="L375">
        <v>8</v>
      </c>
      <c r="M375">
        <v>2</v>
      </c>
      <c r="N375">
        <v>1</v>
      </c>
      <c r="O375">
        <v>0</v>
      </c>
      <c r="P375">
        <v>0</v>
      </c>
      <c r="Q375">
        <v>3</v>
      </c>
      <c r="R375">
        <v>4.5999999999999996</v>
      </c>
      <c r="S375">
        <v>1.1599999999999999</v>
      </c>
      <c r="T375">
        <f t="shared" si="15"/>
        <v>10.75</v>
      </c>
      <c r="U375">
        <f t="shared" si="16"/>
        <v>0.51162790697674421</v>
      </c>
      <c r="V375">
        <f>U375-AVERAGEIFS(Pitchers[ER/IP],Pitchers[GS],"&gt;"&amp;0,Pitchers[IP],"&gt;"&amp;3)</f>
        <v>-5.9872687822575266E-2</v>
      </c>
      <c r="W375">
        <f>IF(Pitchers[[#This Row],[IP/GS]]&lt;&gt;0,(Pitchers[[#This Row],[WHIP]]*$AH$5+$AI$5)/9*Pitchers[[#This Row],[IP/GS]],(Pitchers[[#This Row],[WHIP]]*$AH$5+$AI$5)/9*(Pitchers[[#This Row],[IP]]/Pitchers[[#This Row],[G]]))</f>
        <v>4.3175780604420098</v>
      </c>
      <c r="X375">
        <f>Pitchers[[#This Row],[Runs from WHIP]]-AVERAGEIFS(Pitchers[Runs from WHIP],Pitchers[GS],"&gt;"&amp;0,Pitchers[IP],"&gt;"&amp;3)</f>
        <v>-1.3683378456828494</v>
      </c>
      <c r="Y375">
        <f>IF(Pitchers[[#This Row],[IP/GS]]&lt;&gt;0,Pitchers[[#This Row],[ER/IP From Average]]*Pitchers[[#This Row],[IP/GS]],Pitchers[[#This Row],[ER/IP From Average]]*(Pitchers[[#This Row],[IP]]/Pitchers[[#This Row],[G]]))</f>
        <v>-0.64363139409268411</v>
      </c>
      <c r="Z375">
        <f t="shared" si="17"/>
        <v>-0.62234264981916676</v>
      </c>
      <c r="AA375" s="32">
        <f>IF(Pitchers[[#This Row],[W]]=0,0,Pitchers[[#This Row],[W]]/(Pitchers[[#This Row],[W]]+Pitchers[[#This Row],[L]]))</f>
        <v>0.66666666666666663</v>
      </c>
      <c r="AB375" s="60"/>
    </row>
    <row r="376" spans="1:28" x14ac:dyDescent="0.25">
      <c r="A376" t="s">
        <v>606</v>
      </c>
      <c r="B376" t="s">
        <v>11</v>
      </c>
      <c r="C376">
        <v>50</v>
      </c>
      <c r="D376">
        <v>0</v>
      </c>
      <c r="E376">
        <v>0</v>
      </c>
      <c r="F376">
        <v>0</v>
      </c>
      <c r="G376">
        <v>42.2</v>
      </c>
      <c r="H376">
        <v>51</v>
      </c>
      <c r="I376">
        <v>41</v>
      </c>
      <c r="J376">
        <v>42</v>
      </c>
      <c r="K376">
        <v>29</v>
      </c>
      <c r="L376">
        <v>7</v>
      </c>
      <c r="M376">
        <v>1</v>
      </c>
      <c r="N376">
        <v>6</v>
      </c>
      <c r="O376">
        <v>15</v>
      </c>
      <c r="P376">
        <v>3</v>
      </c>
      <c r="Q376">
        <v>0</v>
      </c>
      <c r="R376">
        <v>8.65</v>
      </c>
      <c r="S376">
        <v>1.88</v>
      </c>
      <c r="T376">
        <f t="shared" si="15"/>
        <v>0</v>
      </c>
      <c r="U376">
        <f t="shared" si="16"/>
        <v>0.97156398104265396</v>
      </c>
      <c r="V376">
        <f>U376-AVERAGEIFS(Pitchers[ER/IP],Pitchers[GS],"&gt;"&amp;0,Pitchers[IP],"&gt;"&amp;3)</f>
        <v>0.40006338624333448</v>
      </c>
      <c r="W376">
        <f>IF(Pitchers[[#This Row],[IP/GS]]&lt;&gt;0,(Pitchers[[#This Row],[WHIP]]*$AH$5+$AI$5)/9*Pitchers[[#This Row],[IP/GS]],(Pitchers[[#This Row],[WHIP]]*$AH$5+$AI$5)/9*(Pitchers[[#This Row],[IP]]/Pitchers[[#This Row],[G]]))</f>
        <v>0.65447227365830318</v>
      </c>
      <c r="X376">
        <f>Pitchers[[#This Row],[Runs from WHIP]]-AVERAGEIFS(Pitchers[Runs from WHIP],Pitchers[GS],"&gt;"&amp;0,Pitchers[IP],"&gt;"&amp;3)</f>
        <v>-5.0314436324665559</v>
      </c>
      <c r="Y376">
        <f>IF(Pitchers[[#This Row],[IP/GS]]&lt;&gt;0,Pitchers[[#This Row],[ER/IP From Average]]*Pitchers[[#This Row],[IP/GS]],Pitchers[[#This Row],[ER/IP From Average]]*(Pitchers[[#This Row],[IP]]/Pitchers[[#This Row],[G]]))</f>
        <v>0.33765349798937433</v>
      </c>
      <c r="Z376">
        <f t="shared" si="17"/>
        <v>-1.2066569027953322</v>
      </c>
      <c r="AA376" s="32">
        <f>IF(Pitchers[[#This Row],[W]]=0,0,Pitchers[[#This Row],[W]]/(Pitchers[[#This Row],[W]]+Pitchers[[#This Row],[L]]))</f>
        <v>0.14285714285714285</v>
      </c>
      <c r="AB376" s="60"/>
    </row>
    <row r="377" spans="1:28" x14ac:dyDescent="0.25">
      <c r="A377" t="s">
        <v>578</v>
      </c>
      <c r="B377" t="s">
        <v>12</v>
      </c>
      <c r="C377">
        <v>47</v>
      </c>
      <c r="D377">
        <v>0</v>
      </c>
      <c r="E377">
        <v>0</v>
      </c>
      <c r="F377">
        <v>0</v>
      </c>
      <c r="G377">
        <v>42.2</v>
      </c>
      <c r="H377">
        <v>53</v>
      </c>
      <c r="I377">
        <v>38</v>
      </c>
      <c r="J377">
        <v>53</v>
      </c>
      <c r="K377">
        <v>20</v>
      </c>
      <c r="L377">
        <v>7</v>
      </c>
      <c r="M377">
        <v>2</v>
      </c>
      <c r="N377">
        <v>5</v>
      </c>
      <c r="O377">
        <v>2</v>
      </c>
      <c r="P377">
        <v>3</v>
      </c>
      <c r="Q377">
        <v>12</v>
      </c>
      <c r="R377">
        <v>8.02</v>
      </c>
      <c r="S377">
        <v>1.71</v>
      </c>
      <c r="T377">
        <f t="shared" si="15"/>
        <v>0</v>
      </c>
      <c r="U377">
        <f t="shared" si="16"/>
        <v>0.90047393364928907</v>
      </c>
      <c r="V377">
        <f>U377-AVERAGEIFS(Pitchers[ER/IP],Pitchers[GS],"&gt;"&amp;0,Pitchers[IP],"&gt;"&amp;3)</f>
        <v>0.3289733388499696</v>
      </c>
      <c r="W377">
        <f>IF(Pitchers[[#This Row],[IP/GS]]&lt;&gt;0,(Pitchers[[#This Row],[WHIP]]*$AH$5+$AI$5)/9*Pitchers[[#This Row],[IP/GS]],(Pitchers[[#This Row],[WHIP]]*$AH$5+$AI$5)/9*(Pitchers[[#This Row],[IP]]/Pitchers[[#This Row],[G]]))</f>
        <v>0.61700112954490871</v>
      </c>
      <c r="X377">
        <f>Pitchers[[#This Row],[Runs from WHIP]]-AVERAGEIFS(Pitchers[Runs from WHIP],Pitchers[GS],"&gt;"&amp;0,Pitchers[IP],"&gt;"&amp;3)</f>
        <v>-5.06891477657995</v>
      </c>
      <c r="Y377">
        <f>IF(Pitchers[[#This Row],[IP/GS]]&lt;&gt;0,Pitchers[[#This Row],[ER/IP From Average]]*Pitchers[[#This Row],[IP/GS]],Pitchers[[#This Row],[ER/IP From Average]]*(Pitchers[[#This Row],[IP]]/Pitchers[[#This Row],[G]]))</f>
        <v>0.29537606169082381</v>
      </c>
      <c r="Z377">
        <f t="shared" si="17"/>
        <v>-1.2335601824116571</v>
      </c>
      <c r="AA377" s="32">
        <f>IF(Pitchers[[#This Row],[W]]=0,0,Pitchers[[#This Row],[W]]/(Pitchers[[#This Row],[W]]+Pitchers[[#This Row],[L]]))</f>
        <v>0.2857142857142857</v>
      </c>
      <c r="AB377" s="60"/>
    </row>
    <row r="378" spans="1:28" x14ac:dyDescent="0.25">
      <c r="A378" t="s">
        <v>632</v>
      </c>
      <c r="B378" t="s">
        <v>2</v>
      </c>
      <c r="C378">
        <v>46</v>
      </c>
      <c r="D378">
        <v>0</v>
      </c>
      <c r="E378">
        <v>0</v>
      </c>
      <c r="F378">
        <v>0</v>
      </c>
      <c r="G378">
        <v>42.2</v>
      </c>
      <c r="H378">
        <v>45</v>
      </c>
      <c r="I378">
        <v>23</v>
      </c>
      <c r="J378">
        <v>24</v>
      </c>
      <c r="K378">
        <v>15</v>
      </c>
      <c r="L378">
        <v>8</v>
      </c>
      <c r="M378">
        <v>3</v>
      </c>
      <c r="N378">
        <v>2</v>
      </c>
      <c r="O378">
        <v>0</v>
      </c>
      <c r="P378">
        <v>3</v>
      </c>
      <c r="Q378">
        <v>10</v>
      </c>
      <c r="R378">
        <v>4.8499999999999996</v>
      </c>
      <c r="S378">
        <v>1.41</v>
      </c>
      <c r="T378">
        <f t="shared" si="15"/>
        <v>0</v>
      </c>
      <c r="U378">
        <f t="shared" si="16"/>
        <v>0.54502369668246442</v>
      </c>
      <c r="V378">
        <f>U378-AVERAGEIFS(Pitchers[ER/IP],Pitchers[GS],"&gt;"&amp;0,Pitchers[IP],"&gt;"&amp;3)</f>
        <v>-2.6476898116855052E-2</v>
      </c>
      <c r="W378">
        <f>IF(Pitchers[[#This Row],[IP/GS]]&lt;&gt;0,(Pitchers[[#This Row],[WHIP]]*$AH$5+$AI$5)/9*Pitchers[[#This Row],[IP/GS]],(Pitchers[[#This Row],[WHIP]]*$AH$5+$AI$5)/9*(Pitchers[[#This Row],[IP]]/Pitchers[[#This Row],[G]]))</f>
        <v>0.48752824127525368</v>
      </c>
      <c r="X378">
        <f>Pitchers[[#This Row],[Runs from WHIP]]-AVERAGEIFS(Pitchers[Runs from WHIP],Pitchers[GS],"&gt;"&amp;0,Pitchers[IP],"&gt;"&amp;3)</f>
        <v>-5.1983876648496059</v>
      </c>
      <c r="Y378">
        <f>IF(Pitchers[[#This Row],[IP/GS]]&lt;&gt;0,Pitchers[[#This Row],[ER/IP From Average]]*Pitchers[[#This Row],[IP/GS]],Pitchers[[#This Row],[ER/IP From Average]]*(Pitchers[[#This Row],[IP]]/Pitchers[[#This Row],[G]]))</f>
        <v>-2.4289676098506158E-2</v>
      </c>
      <c r="Z378">
        <f t="shared" si="17"/>
        <v>-1.3959525810659643</v>
      </c>
      <c r="AA378" s="32">
        <f>IF(Pitchers[[#This Row],[W]]=0,0,Pitchers[[#This Row],[W]]/(Pitchers[[#This Row],[W]]+Pitchers[[#This Row],[L]]))</f>
        <v>0.6</v>
      </c>
      <c r="AB378" s="60"/>
    </row>
    <row r="379" spans="1:28" x14ac:dyDescent="0.25">
      <c r="A379" t="s">
        <v>573</v>
      </c>
      <c r="B379" t="s">
        <v>332</v>
      </c>
      <c r="C379">
        <v>48</v>
      </c>
      <c r="D379">
        <v>0</v>
      </c>
      <c r="E379">
        <v>0</v>
      </c>
      <c r="F379">
        <v>0</v>
      </c>
      <c r="G379">
        <v>41.2</v>
      </c>
      <c r="H379">
        <v>33</v>
      </c>
      <c r="I379">
        <v>22</v>
      </c>
      <c r="J379">
        <v>63</v>
      </c>
      <c r="K379">
        <v>23</v>
      </c>
      <c r="L379">
        <v>3</v>
      </c>
      <c r="M379">
        <v>0</v>
      </c>
      <c r="N379">
        <v>6</v>
      </c>
      <c r="O379">
        <v>0</v>
      </c>
      <c r="P379">
        <v>2</v>
      </c>
      <c r="Q379">
        <v>18</v>
      </c>
      <c r="R379">
        <v>4.75</v>
      </c>
      <c r="S379">
        <v>1.34</v>
      </c>
      <c r="T379">
        <f t="shared" si="15"/>
        <v>0</v>
      </c>
      <c r="U379">
        <f t="shared" si="16"/>
        <v>0.53398058252427183</v>
      </c>
      <c r="V379">
        <f>U379-AVERAGEIFS(Pitchers[ER/IP],Pitchers[GS],"&gt;"&amp;0,Pitchers[IP],"&gt;"&amp;3)</f>
        <v>-3.7520012275047643E-2</v>
      </c>
      <c r="W379">
        <f>IF(Pitchers[[#This Row],[IP/GS]]&lt;&gt;0,(Pitchers[[#This Row],[WHIP]]*$AH$5+$AI$5)/9*Pitchers[[#This Row],[IP/GS]],(Pitchers[[#This Row],[WHIP]]*$AH$5+$AI$5)/9*(Pitchers[[#This Row],[IP]]/Pitchers[[#This Row],[G]]))</f>
        <v>0.42494937195965848</v>
      </c>
      <c r="X379">
        <f>Pitchers[[#This Row],[Runs from WHIP]]-AVERAGEIFS(Pitchers[Runs from WHIP],Pitchers[GS],"&gt;"&amp;0,Pitchers[IP],"&gt;"&amp;3)</f>
        <v>-5.2609665341652008</v>
      </c>
      <c r="Y379">
        <f>IF(Pitchers[[#This Row],[IP/GS]]&lt;&gt;0,Pitchers[[#This Row],[ER/IP From Average]]*Pitchers[[#This Row],[IP/GS]],Pitchers[[#This Row],[ER/IP From Average]]*(Pitchers[[#This Row],[IP]]/Pitchers[[#This Row],[G]]))</f>
        <v>-3.2204677202749228E-2</v>
      </c>
      <c r="Z379">
        <f t="shared" si="17"/>
        <v>-1.4158062799918198</v>
      </c>
      <c r="AA379" s="32">
        <f>IF(Pitchers[[#This Row],[W]]=0,0,Pitchers[[#This Row],[W]]/(Pitchers[[#This Row],[W]]+Pitchers[[#This Row],[L]]))</f>
        <v>0</v>
      </c>
      <c r="AB379" s="60"/>
    </row>
    <row r="380" spans="1:28" x14ac:dyDescent="0.25">
      <c r="A380" t="s">
        <v>637</v>
      </c>
      <c r="B380" t="s">
        <v>10</v>
      </c>
      <c r="C380">
        <v>24</v>
      </c>
      <c r="D380">
        <v>1</v>
      </c>
      <c r="E380">
        <v>0</v>
      </c>
      <c r="F380">
        <v>0</v>
      </c>
      <c r="G380">
        <v>41.2</v>
      </c>
      <c r="H380">
        <v>44</v>
      </c>
      <c r="I380">
        <v>26</v>
      </c>
      <c r="J380">
        <v>45</v>
      </c>
      <c r="K380">
        <v>26</v>
      </c>
      <c r="L380">
        <v>5</v>
      </c>
      <c r="M380">
        <v>4</v>
      </c>
      <c r="N380">
        <v>0</v>
      </c>
      <c r="O380">
        <v>0</v>
      </c>
      <c r="P380">
        <v>0</v>
      </c>
      <c r="Q380">
        <v>2</v>
      </c>
      <c r="R380">
        <v>5.62</v>
      </c>
      <c r="S380">
        <v>1.68</v>
      </c>
      <c r="T380">
        <f t="shared" si="15"/>
        <v>41.2</v>
      </c>
      <c r="U380">
        <f t="shared" si="16"/>
        <v>0.63106796116504849</v>
      </c>
      <c r="V380">
        <f>U380-AVERAGEIFS(Pitchers[ER/IP],Pitchers[GS],"&gt;"&amp;0,Pitchers[IP],"&gt;"&amp;3)</f>
        <v>5.9567366365729013E-2</v>
      </c>
      <c r="W380">
        <f>IF(Pitchers[[#This Row],[IP/GS]]&lt;&gt;0,(Pitchers[[#This Row],[WHIP]]*$AH$5+$AI$5)/9*Pitchers[[#This Row],[IP/GS]],(Pitchers[[#This Row],[WHIP]]*$AH$5+$AI$5)/9*(Pitchers[[#This Row],[IP]]/Pitchers[[#This Row],[G]]))</f>
        <v>27.6701715832268</v>
      </c>
      <c r="X380">
        <f>Pitchers[[#This Row],[Runs from WHIP]]-AVERAGEIFS(Pitchers[Runs from WHIP],Pitchers[GS],"&gt;"&amp;0,Pitchers[IP],"&gt;"&amp;3)</f>
        <v>21.984255677101942</v>
      </c>
      <c r="Y380">
        <f>IF(Pitchers[[#This Row],[IP/GS]]&lt;&gt;0,Pitchers[[#This Row],[ER/IP From Average]]*Pitchers[[#This Row],[IP/GS]],Pitchers[[#This Row],[ER/IP From Average]]*(Pitchers[[#This Row],[IP]]/Pitchers[[#This Row],[G]]))</f>
        <v>2.4541754942680356</v>
      </c>
      <c r="Z380">
        <f t="shared" si="17"/>
        <v>6.8441383782677319</v>
      </c>
      <c r="AA380" s="32">
        <f>IF(Pitchers[[#This Row],[W]]=0,0,Pitchers[[#This Row],[W]]/(Pitchers[[#This Row],[W]]+Pitchers[[#This Row],[L]]))</f>
        <v>1</v>
      </c>
      <c r="AB380" s="60"/>
    </row>
    <row r="381" spans="1:28" x14ac:dyDescent="0.25">
      <c r="A381" t="s">
        <v>660</v>
      </c>
      <c r="B381" t="s">
        <v>31</v>
      </c>
      <c r="C381">
        <v>50</v>
      </c>
      <c r="D381">
        <v>0</v>
      </c>
      <c r="E381">
        <v>0</v>
      </c>
      <c r="F381">
        <v>0</v>
      </c>
      <c r="G381">
        <v>41.2</v>
      </c>
      <c r="H381">
        <v>33</v>
      </c>
      <c r="I381">
        <v>23</v>
      </c>
      <c r="J381">
        <v>49</v>
      </c>
      <c r="K381">
        <v>20</v>
      </c>
      <c r="L381">
        <v>6</v>
      </c>
      <c r="M381">
        <v>2</v>
      </c>
      <c r="N381">
        <v>5</v>
      </c>
      <c r="O381">
        <v>10</v>
      </c>
      <c r="P381">
        <v>6</v>
      </c>
      <c r="Q381">
        <v>6</v>
      </c>
      <c r="R381">
        <v>4.97</v>
      </c>
      <c r="S381">
        <v>1.27</v>
      </c>
      <c r="T381">
        <f t="shared" si="15"/>
        <v>0</v>
      </c>
      <c r="U381">
        <f t="shared" si="16"/>
        <v>0.55825242718446599</v>
      </c>
      <c r="V381" s="60">
        <f>U381-AVERAGEIFS(Pitchers[ER/IP],Pitchers[GS],"&gt;"&amp;0,Pitchers[IP],"&gt;"&amp;3)</f>
        <v>-1.3248167614853479E-2</v>
      </c>
      <c r="W381" s="60">
        <f>IF(Pitchers[[#This Row],[IP/GS]]&lt;&gt;0,(Pitchers[[#This Row],[WHIP]]*$AH$5+$AI$5)/9*Pitchers[[#This Row],[IP/GS]],(Pitchers[[#This Row],[WHIP]]*$AH$5+$AI$5)/9*(Pitchers[[#This Row],[IP]]/Pitchers[[#This Row],[G]]))</f>
        <v>0.37800538996118838</v>
      </c>
      <c r="X381" s="60">
        <f>Pitchers[[#This Row],[Runs from WHIP]]-AVERAGEIFS(Pitchers[Runs from WHIP],Pitchers[GS],"&gt;"&amp;0,Pitchers[IP],"&gt;"&amp;3)</f>
        <v>-5.3079105161636706</v>
      </c>
      <c r="Y381" s="60">
        <f>IF(Pitchers[[#This Row],[IP/GS]]&lt;&gt;0,Pitchers[[#This Row],[ER/IP From Average]]*Pitchers[[#This Row],[IP/GS]],Pitchers[[#This Row],[ER/IP From Average]]*(Pitchers[[#This Row],[IP]]/Pitchers[[#This Row],[G]]))</f>
        <v>-1.0916490114639268E-2</v>
      </c>
      <c r="Z381" s="60">
        <f t="shared" si="17"/>
        <v>-1.4198094003561677</v>
      </c>
      <c r="AA381" s="32">
        <f>IF(Pitchers[[#This Row],[W]]=0,0,Pitchers[[#This Row],[W]]/(Pitchers[[#This Row],[W]]+Pitchers[[#This Row],[L]]))</f>
        <v>0.2857142857142857</v>
      </c>
      <c r="AB381" s="60"/>
    </row>
    <row r="382" spans="1:28" x14ac:dyDescent="0.25">
      <c r="A382" t="s">
        <v>1231</v>
      </c>
      <c r="B382" t="s">
        <v>15</v>
      </c>
      <c r="C382">
        <v>16</v>
      </c>
      <c r="D382">
        <v>3</v>
      </c>
      <c r="E382">
        <v>0</v>
      </c>
      <c r="F382">
        <v>0</v>
      </c>
      <c r="G382">
        <v>41.2</v>
      </c>
      <c r="H382">
        <v>45</v>
      </c>
      <c r="I382">
        <v>27</v>
      </c>
      <c r="J382">
        <v>31</v>
      </c>
      <c r="K382">
        <v>13</v>
      </c>
      <c r="L382">
        <v>7</v>
      </c>
      <c r="M382">
        <v>2</v>
      </c>
      <c r="N382">
        <v>1</v>
      </c>
      <c r="O382">
        <v>1</v>
      </c>
      <c r="P382">
        <v>0</v>
      </c>
      <c r="Q382">
        <v>0</v>
      </c>
      <c r="R382">
        <v>5.83</v>
      </c>
      <c r="S382">
        <v>1.39</v>
      </c>
      <c r="T382">
        <f t="shared" si="15"/>
        <v>13.733333333333334</v>
      </c>
      <c r="U382">
        <f t="shared" si="16"/>
        <v>0.65533980582524265</v>
      </c>
      <c r="V382" s="60">
        <f>U382-AVERAGEIFS(Pitchers[ER/IP],Pitchers[GS],"&gt;"&amp;0,Pitchers[IP],"&gt;"&amp;3)</f>
        <v>8.3839211025923177E-2</v>
      </c>
      <c r="W382">
        <f>IF(Pitchers[[#This Row],[IP/GS]]&lt;&gt;0,(Pitchers[[#This Row],[WHIP]]*$AH$5+$AI$5)/9*Pitchers[[#This Row],[IP/GS]],(Pitchers[[#This Row],[WHIP]]*$AH$5+$AI$5)/9*(Pitchers[[#This Row],[IP]]/Pitchers[[#This Row],[G]]))</f>
        <v>7.155690036117436</v>
      </c>
      <c r="X382" s="60">
        <f>Pitchers[[#This Row],[Runs from WHIP]]-AVERAGEIFS(Pitchers[Runs from WHIP],Pitchers[GS],"&gt;"&amp;0,Pitchers[IP],"&gt;"&amp;3)</f>
        <v>1.4697741299925768</v>
      </c>
      <c r="Y382">
        <f>IF(Pitchers[[#This Row],[IP/GS]]&lt;&gt;0,Pitchers[[#This Row],[ER/IP From Average]]*Pitchers[[#This Row],[IP/GS]],Pitchers[[#This Row],[ER/IP From Average]]*(Pitchers[[#This Row],[IP]]/Pitchers[[#This Row],[G]]))</f>
        <v>1.1513918314226783</v>
      </c>
      <c r="Z382" s="60">
        <f t="shared" si="17"/>
        <v>0.85249650056709181</v>
      </c>
      <c r="AA382" s="32">
        <f>IF(Pitchers[[#This Row],[W]]=0,0,Pitchers[[#This Row],[W]]/(Pitchers[[#This Row],[W]]+Pitchers[[#This Row],[L]]))</f>
        <v>0.66666666666666663</v>
      </c>
      <c r="AB382" s="60"/>
    </row>
    <row r="383" spans="1:28" x14ac:dyDescent="0.25">
      <c r="A383" t="s">
        <v>741</v>
      </c>
      <c r="B383" t="s">
        <v>11</v>
      </c>
      <c r="C383">
        <v>45</v>
      </c>
      <c r="D383">
        <v>0</v>
      </c>
      <c r="E383">
        <v>0</v>
      </c>
      <c r="F383">
        <v>0</v>
      </c>
      <c r="G383">
        <v>41.1</v>
      </c>
      <c r="H383">
        <v>47</v>
      </c>
      <c r="I383">
        <v>20</v>
      </c>
      <c r="J383">
        <v>35</v>
      </c>
      <c r="K383">
        <v>11</v>
      </c>
      <c r="L383">
        <v>11</v>
      </c>
      <c r="M383">
        <v>0</v>
      </c>
      <c r="N383">
        <v>2</v>
      </c>
      <c r="O383">
        <v>0</v>
      </c>
      <c r="P383">
        <v>2</v>
      </c>
      <c r="Q383">
        <v>4</v>
      </c>
      <c r="R383">
        <v>4.3499999999999996</v>
      </c>
      <c r="S383">
        <v>1.4</v>
      </c>
      <c r="T383">
        <f t="shared" si="15"/>
        <v>0</v>
      </c>
      <c r="U383">
        <f t="shared" si="16"/>
        <v>0.48661800486618001</v>
      </c>
      <c r="V383">
        <f>U383-AVERAGEIFS(Pitchers[ER/IP],Pitchers[GS],"&gt;"&amp;0,Pitchers[IP],"&gt;"&amp;3)</f>
        <v>-8.4882589933139463E-2</v>
      </c>
      <c r="W383">
        <f>IF(Pitchers[[#This Row],[IP/GS]]&lt;&gt;0,(Pitchers[[#This Row],[WHIP]]*$AH$5+$AI$5)/9*Pitchers[[#This Row],[IP/GS]],(Pitchers[[#This Row],[WHIP]]*$AH$5+$AI$5)/9*(Pitchers[[#This Row],[IP]]/Pitchers[[#This Row],[G]]))</f>
        <v>0.48062992100514185</v>
      </c>
      <c r="X383">
        <f>Pitchers[[#This Row],[Runs from WHIP]]-AVERAGEIFS(Pitchers[Runs from WHIP],Pitchers[GS],"&gt;"&amp;0,Pitchers[IP],"&gt;"&amp;3)</f>
        <v>-5.2052859851197173</v>
      </c>
      <c r="Y383">
        <f>IF(Pitchers[[#This Row],[IP/GS]]&lt;&gt;0,Pitchers[[#This Row],[ER/IP From Average]]*Pitchers[[#This Row],[IP/GS]],Pitchers[[#This Row],[ER/IP From Average]]*(Pitchers[[#This Row],[IP]]/Pitchers[[#This Row],[G]]))</f>
        <v>-7.7526098805600713E-2</v>
      </c>
      <c r="Z383">
        <f t="shared" si="17"/>
        <v>-1.4190867022208316</v>
      </c>
      <c r="AA383" s="32">
        <f>IF(Pitchers[[#This Row],[W]]=0,0,Pitchers[[#This Row],[W]]/(Pitchers[[#This Row],[W]]+Pitchers[[#This Row],[L]]))</f>
        <v>0</v>
      </c>
      <c r="AB383" s="60"/>
    </row>
    <row r="384" spans="1:28" x14ac:dyDescent="0.25">
      <c r="A384" t="s">
        <v>470</v>
      </c>
      <c r="B384" t="s">
        <v>28</v>
      </c>
      <c r="C384">
        <v>34</v>
      </c>
      <c r="D384">
        <v>1</v>
      </c>
      <c r="E384">
        <v>0</v>
      </c>
      <c r="F384">
        <v>0</v>
      </c>
      <c r="G384">
        <v>41.1</v>
      </c>
      <c r="H384">
        <v>43</v>
      </c>
      <c r="I384">
        <v>29</v>
      </c>
      <c r="J384">
        <v>46</v>
      </c>
      <c r="K384">
        <v>11</v>
      </c>
      <c r="L384">
        <v>8</v>
      </c>
      <c r="M384">
        <v>5</v>
      </c>
      <c r="N384">
        <v>2</v>
      </c>
      <c r="O384">
        <v>0</v>
      </c>
      <c r="P384">
        <v>2</v>
      </c>
      <c r="Q384">
        <v>4</v>
      </c>
      <c r="R384">
        <v>6.31</v>
      </c>
      <c r="S384">
        <v>1.31</v>
      </c>
      <c r="T384">
        <f t="shared" si="15"/>
        <v>41.1</v>
      </c>
      <c r="U384">
        <f t="shared" si="16"/>
        <v>0.7055961070559611</v>
      </c>
      <c r="V384">
        <f>U384-AVERAGEIFS(Pitchers[ER/IP],Pitchers[GS],"&gt;"&amp;0,Pitchers[IP],"&gt;"&amp;3)</f>
        <v>0.13409551225664162</v>
      </c>
      <c r="W384">
        <f>IF(Pitchers[[#This Row],[IP/GS]]&lt;&gt;0,(Pitchers[[#This Row],[WHIP]]*$AH$5+$AI$5)/9*Pitchers[[#This Row],[IP/GS]],(Pitchers[[#This Row],[WHIP]]*$AH$5+$AI$5)/9*(Pitchers[[#This Row],[IP]]/Pitchers[[#This Row],[G]]))</f>
        <v>19.707918561438223</v>
      </c>
      <c r="X384">
        <f>Pitchers[[#This Row],[Runs from WHIP]]-AVERAGEIFS(Pitchers[Runs from WHIP],Pitchers[GS],"&gt;"&amp;0,Pitchers[IP],"&gt;"&amp;3)</f>
        <v>14.022002655313365</v>
      </c>
      <c r="Y384">
        <f>IF(Pitchers[[#This Row],[IP/GS]]&lt;&gt;0,Pitchers[[#This Row],[ER/IP From Average]]*Pitchers[[#This Row],[IP/GS]],Pitchers[[#This Row],[ER/IP From Average]]*(Pitchers[[#This Row],[IP]]/Pitchers[[#This Row],[G]]))</f>
        <v>5.5113255537479713</v>
      </c>
      <c r="Z384">
        <f t="shared" si="17"/>
        <v>5.9437309295827534</v>
      </c>
      <c r="AA384" s="32">
        <f>IF(Pitchers[[#This Row],[W]]=0,0,Pitchers[[#This Row],[W]]/(Pitchers[[#This Row],[W]]+Pitchers[[#This Row],[L]]))</f>
        <v>0.7142857142857143</v>
      </c>
      <c r="AB384" s="60"/>
    </row>
    <row r="385" spans="1:28" x14ac:dyDescent="0.25">
      <c r="A385" t="s">
        <v>550</v>
      </c>
      <c r="B385" t="s">
        <v>1</v>
      </c>
      <c r="C385">
        <v>48</v>
      </c>
      <c r="D385">
        <v>2</v>
      </c>
      <c r="E385">
        <v>0</v>
      </c>
      <c r="F385">
        <v>0</v>
      </c>
      <c r="G385">
        <v>41.1</v>
      </c>
      <c r="H385">
        <v>38</v>
      </c>
      <c r="I385">
        <v>18</v>
      </c>
      <c r="J385">
        <v>39</v>
      </c>
      <c r="K385">
        <v>21</v>
      </c>
      <c r="L385">
        <v>3</v>
      </c>
      <c r="M385">
        <v>0</v>
      </c>
      <c r="N385">
        <v>2</v>
      </c>
      <c r="O385">
        <v>0</v>
      </c>
      <c r="P385">
        <v>0</v>
      </c>
      <c r="Q385">
        <v>11</v>
      </c>
      <c r="R385">
        <v>3.92</v>
      </c>
      <c r="S385">
        <v>1.43</v>
      </c>
      <c r="T385">
        <f t="shared" si="15"/>
        <v>20.55</v>
      </c>
      <c r="U385">
        <f t="shared" si="16"/>
        <v>0.43795620437956201</v>
      </c>
      <c r="V385">
        <f>U385-AVERAGEIFS(Pitchers[ER/IP],Pitchers[GS],"&gt;"&amp;0,Pitchers[IP],"&gt;"&amp;3)</f>
        <v>-0.13354439041975746</v>
      </c>
      <c r="W385">
        <f>IF(Pitchers[[#This Row],[IP/GS]]&lt;&gt;0,(Pitchers[[#This Row],[WHIP]]*$AH$5+$AI$5)/9*Pitchers[[#This Row],[IP/GS]],(Pitchers[[#This Row],[WHIP]]*$AH$5+$AI$5)/9*(Pitchers[[#This Row],[IP]]/Pitchers[[#This Row],[G]]))</f>
        <v>11.134244536581219</v>
      </c>
      <c r="X385">
        <f>Pitchers[[#This Row],[Runs from WHIP]]-AVERAGEIFS(Pitchers[Runs from WHIP],Pitchers[GS],"&gt;"&amp;0,Pitchers[IP],"&gt;"&amp;3)</f>
        <v>5.4483286304563601</v>
      </c>
      <c r="Y385">
        <f>IF(Pitchers[[#This Row],[IP/GS]]&lt;&gt;0,Pitchers[[#This Row],[ER/IP From Average]]*Pitchers[[#This Row],[IP/GS]],Pitchers[[#This Row],[ER/IP From Average]]*(Pitchers[[#This Row],[IP]]/Pitchers[[#This Row],[G]]))</f>
        <v>-2.7443372231260161</v>
      </c>
      <c r="Z385">
        <f t="shared" si="17"/>
        <v>0.35515274553795634</v>
      </c>
      <c r="AA385" s="32">
        <f>IF(Pitchers[[#This Row],[W]]=0,0,Pitchers[[#This Row],[W]]/(Pitchers[[#This Row],[W]]+Pitchers[[#This Row],[L]]))</f>
        <v>0</v>
      </c>
      <c r="AB385" s="60"/>
    </row>
    <row r="386" spans="1:28" x14ac:dyDescent="0.25">
      <c r="A386" t="s">
        <v>1477</v>
      </c>
      <c r="B386" t="s">
        <v>16</v>
      </c>
      <c r="C386">
        <v>9</v>
      </c>
      <c r="D386">
        <v>7</v>
      </c>
      <c r="E386">
        <v>0</v>
      </c>
      <c r="F386">
        <v>0</v>
      </c>
      <c r="G386">
        <v>41</v>
      </c>
      <c r="H386">
        <v>38</v>
      </c>
      <c r="I386">
        <v>18</v>
      </c>
      <c r="J386">
        <v>40</v>
      </c>
      <c r="K386">
        <v>7</v>
      </c>
      <c r="L386">
        <v>6</v>
      </c>
      <c r="M386">
        <v>2</v>
      </c>
      <c r="N386">
        <v>1</v>
      </c>
      <c r="O386">
        <v>0</v>
      </c>
      <c r="P386">
        <v>0</v>
      </c>
      <c r="Q386">
        <v>0</v>
      </c>
      <c r="R386">
        <v>3.95</v>
      </c>
      <c r="S386">
        <v>1.1000000000000001</v>
      </c>
      <c r="T386">
        <f t="shared" si="15"/>
        <v>5.8571428571428568</v>
      </c>
      <c r="U386">
        <f t="shared" si="16"/>
        <v>0.43902439024390244</v>
      </c>
      <c r="V386" s="60">
        <f>U386-AVERAGEIFS(Pitchers[ER/IP],Pitchers[GS],"&gt;"&amp;0,Pitchers[IP],"&gt;"&amp;3)</f>
        <v>-0.13247620455541703</v>
      </c>
      <c r="W386">
        <f>IF(Pitchers[[#This Row],[IP/GS]]&lt;&gt;0,(Pitchers[[#This Row],[WHIP]]*$AH$5+$AI$5)/9*Pitchers[[#This Row],[IP/GS]],(Pitchers[[#This Row],[WHIP]]*$AH$5+$AI$5)/9*(Pitchers[[#This Row],[IP]]/Pitchers[[#This Row],[G]]))</f>
        <v>2.1699816711948348</v>
      </c>
      <c r="X386" s="60">
        <f>Pitchers[[#This Row],[Runs from WHIP]]-AVERAGEIFS(Pitchers[Runs from WHIP],Pitchers[GS],"&gt;"&amp;0,Pitchers[IP],"&gt;"&amp;3)</f>
        <v>-3.5159342349300244</v>
      </c>
      <c r="Y386">
        <f>IF(Pitchers[[#This Row],[IP/GS]]&lt;&gt;0,Pitchers[[#This Row],[ER/IP From Average]]*Pitchers[[#This Row],[IP/GS]],Pitchers[[#This Row],[ER/IP From Average]]*(Pitchers[[#This Row],[IP]]/Pitchers[[#This Row],[G]]))</f>
        <v>-0.77593205525315689</v>
      </c>
      <c r="Z386" s="60">
        <f t="shared" si="17"/>
        <v>-1.2479552847492694</v>
      </c>
      <c r="AA386" s="32">
        <f>IF(Pitchers[[#This Row],[W]]=0,0,Pitchers[[#This Row],[W]]/(Pitchers[[#This Row],[W]]+Pitchers[[#This Row],[L]]))</f>
        <v>0.66666666666666663</v>
      </c>
      <c r="AB386" s="60"/>
    </row>
    <row r="387" spans="1:28" x14ac:dyDescent="0.25">
      <c r="A387" t="s">
        <v>758</v>
      </c>
      <c r="B387" t="s">
        <v>8</v>
      </c>
      <c r="C387">
        <v>34</v>
      </c>
      <c r="D387">
        <v>0</v>
      </c>
      <c r="E387">
        <v>0</v>
      </c>
      <c r="F387">
        <v>0</v>
      </c>
      <c r="G387">
        <v>41</v>
      </c>
      <c r="H387">
        <v>44</v>
      </c>
      <c r="I387">
        <v>27</v>
      </c>
      <c r="J387">
        <v>34</v>
      </c>
      <c r="K387">
        <v>19</v>
      </c>
      <c r="L387">
        <v>9</v>
      </c>
      <c r="M387">
        <v>1</v>
      </c>
      <c r="N387">
        <v>4</v>
      </c>
      <c r="O387">
        <v>0</v>
      </c>
      <c r="P387">
        <v>1</v>
      </c>
      <c r="Q387">
        <v>5</v>
      </c>
      <c r="R387">
        <v>5.93</v>
      </c>
      <c r="S387">
        <v>1.54</v>
      </c>
      <c r="T387">
        <f t="shared" si="15"/>
        <v>0</v>
      </c>
      <c r="U387">
        <f t="shared" si="16"/>
        <v>0.65853658536585369</v>
      </c>
      <c r="V387" s="60">
        <f>U387-AVERAGEIFS(Pitchers[ER/IP],Pitchers[GS],"&gt;"&amp;0,Pitchers[IP],"&gt;"&amp;3)</f>
        <v>8.7035990566534216E-2</v>
      </c>
      <c r="W387" s="60">
        <f>IF(Pitchers[[#This Row],[IP/GS]]&lt;&gt;0,(Pitchers[[#This Row],[WHIP]]*$AH$5+$AI$5)/9*Pitchers[[#This Row],[IP/GS]],(Pitchers[[#This Row],[WHIP]]*$AH$5+$AI$5)/9*(Pitchers[[#This Row],[IP]]/Pitchers[[#This Row],[G]]))</f>
        <v>0.72222901607649592</v>
      </c>
      <c r="X387" s="60">
        <f>Pitchers[[#This Row],[Runs from WHIP]]-AVERAGEIFS(Pitchers[Runs from WHIP],Pitchers[GS],"&gt;"&amp;0,Pitchers[IP],"&gt;"&amp;3)</f>
        <v>-4.9636868900483631</v>
      </c>
      <c r="Y387" s="60">
        <f>IF(Pitchers[[#This Row],[IP/GS]]&lt;&gt;0,Pitchers[[#This Row],[ER/IP From Average]]*Pitchers[[#This Row],[IP/GS]],Pitchers[[#This Row],[ER/IP From Average]]*(Pitchers[[#This Row],[IP]]/Pitchers[[#This Row],[G]]))</f>
        <v>0.10495516509493831</v>
      </c>
      <c r="Z387" s="60">
        <f t="shared" si="17"/>
        <v>-1.2816677713082545</v>
      </c>
      <c r="AA387" s="32">
        <f>IF(Pitchers[[#This Row],[W]]=0,0,Pitchers[[#This Row],[W]]/(Pitchers[[#This Row],[W]]+Pitchers[[#This Row],[L]]))</f>
        <v>0.2</v>
      </c>
      <c r="AB387" s="60"/>
    </row>
    <row r="388" spans="1:28" x14ac:dyDescent="0.25">
      <c r="A388" t="s">
        <v>460</v>
      </c>
      <c r="B388" t="s">
        <v>8</v>
      </c>
      <c r="C388">
        <v>29</v>
      </c>
      <c r="D388">
        <v>4</v>
      </c>
      <c r="E388">
        <v>0</v>
      </c>
      <c r="F388">
        <v>0</v>
      </c>
      <c r="G388">
        <v>41</v>
      </c>
      <c r="H388">
        <v>51</v>
      </c>
      <c r="I388">
        <v>31</v>
      </c>
      <c r="J388">
        <v>33</v>
      </c>
      <c r="K388">
        <v>24</v>
      </c>
      <c r="L388">
        <v>9</v>
      </c>
      <c r="M388">
        <v>1</v>
      </c>
      <c r="N388">
        <v>2</v>
      </c>
      <c r="O388">
        <v>0</v>
      </c>
      <c r="P388">
        <v>0</v>
      </c>
      <c r="Q388">
        <v>3</v>
      </c>
      <c r="R388">
        <v>6.8</v>
      </c>
      <c r="S388">
        <v>1.83</v>
      </c>
      <c r="T388">
        <f t="shared" si="15"/>
        <v>10.25</v>
      </c>
      <c r="U388">
        <f t="shared" si="16"/>
        <v>0.75609756097560976</v>
      </c>
      <c r="V388">
        <f>U388-AVERAGEIFS(Pitchers[ER/IP],Pitchers[GS],"&gt;"&amp;0,Pitchers[IP],"&gt;"&amp;3)</f>
        <v>0.18459696617629029</v>
      </c>
      <c r="W388">
        <f>IF(Pitchers[[#This Row],[IP/GS]]&lt;&gt;0,(Pitchers[[#This Row],[WHIP]]*$AH$5+$AI$5)/9*Pitchers[[#This Row],[IP/GS]],(Pitchers[[#This Row],[WHIP]]*$AH$5+$AI$5)/9*(Pitchers[[#This Row],[IP]]/Pitchers[[#This Row],[G]]))</f>
        <v>7.6821939695983597</v>
      </c>
      <c r="X388">
        <f>Pitchers[[#This Row],[Runs from WHIP]]-AVERAGEIFS(Pitchers[Runs from WHIP],Pitchers[GS],"&gt;"&amp;0,Pitchers[IP],"&gt;"&amp;3)</f>
        <v>1.9962780634735005</v>
      </c>
      <c r="Y388">
        <f>IF(Pitchers[[#This Row],[IP/GS]]&lt;&gt;0,Pitchers[[#This Row],[ER/IP From Average]]*Pitchers[[#This Row],[IP/GS]],Pitchers[[#This Row],[ER/IP From Average]]*(Pitchers[[#This Row],[IP]]/Pitchers[[#This Row],[G]]))</f>
        <v>1.8921189033069754</v>
      </c>
      <c r="Z388">
        <f t="shared" si="17"/>
        <v>1.2891883782490572</v>
      </c>
      <c r="AA388" s="32">
        <f>IF(Pitchers[[#This Row],[W]]=0,0,Pitchers[[#This Row],[W]]/(Pitchers[[#This Row],[W]]+Pitchers[[#This Row],[L]]))</f>
        <v>0.33333333333333331</v>
      </c>
      <c r="AB388" s="60"/>
    </row>
    <row r="389" spans="1:28" x14ac:dyDescent="0.25">
      <c r="A389" t="s">
        <v>1213</v>
      </c>
      <c r="B389" t="s">
        <v>2</v>
      </c>
      <c r="C389">
        <v>9</v>
      </c>
      <c r="D389">
        <v>9</v>
      </c>
      <c r="E389">
        <v>0</v>
      </c>
      <c r="F389">
        <v>0</v>
      </c>
      <c r="G389">
        <v>40.200000000000003</v>
      </c>
      <c r="H389">
        <v>61</v>
      </c>
      <c r="I389">
        <v>42</v>
      </c>
      <c r="J389">
        <v>25</v>
      </c>
      <c r="K389">
        <v>13</v>
      </c>
      <c r="L389">
        <v>12</v>
      </c>
      <c r="M389">
        <v>1</v>
      </c>
      <c r="N389">
        <v>6</v>
      </c>
      <c r="O389">
        <v>0</v>
      </c>
      <c r="P389">
        <v>0</v>
      </c>
      <c r="Q389">
        <v>0</v>
      </c>
      <c r="R389">
        <v>9.3000000000000007</v>
      </c>
      <c r="S389">
        <v>1.82</v>
      </c>
      <c r="T389">
        <f t="shared" ref="T389:T452" si="18">IF(D389=0,0,G389/D389)</f>
        <v>4.4666666666666668</v>
      </c>
      <c r="U389">
        <f t="shared" ref="U389:U452" si="19">IF(G389=0,0,I389/G389)</f>
        <v>1.044776119402985</v>
      </c>
      <c r="V389">
        <f>U389-AVERAGEIFS(Pitchers[ER/IP],Pitchers[GS],"&gt;"&amp;0,Pitchers[IP],"&gt;"&amp;3)</f>
        <v>0.47327552460366551</v>
      </c>
      <c r="W389">
        <f>IF(Pitchers[[#This Row],[IP/GS]]&lt;&gt;0,(Pitchers[[#This Row],[WHIP]]*$AH$5+$AI$5)/9*Pitchers[[#This Row],[IP/GS]],(Pitchers[[#This Row],[WHIP]]*$AH$5+$AI$5)/9*(Pitchers[[#This Row],[IP]]/Pitchers[[#This Row],[G]]))</f>
        <v>3.3244979672827784</v>
      </c>
      <c r="X389">
        <f>Pitchers[[#This Row],[Runs from WHIP]]-AVERAGEIFS(Pitchers[Runs from WHIP],Pitchers[GS],"&gt;"&amp;0,Pitchers[IP],"&gt;"&amp;3)</f>
        <v>-2.3614179388420808</v>
      </c>
      <c r="Y389">
        <f>IF(Pitchers[[#This Row],[IP/GS]]&lt;&gt;0,Pitchers[[#This Row],[ER/IP From Average]]*Pitchers[[#This Row],[IP/GS]],Pitchers[[#This Row],[ER/IP From Average]]*(Pitchers[[#This Row],[IP]]/Pitchers[[#This Row],[G]]))</f>
        <v>2.1139640098963728</v>
      </c>
      <c r="Z389">
        <f t="shared" ref="Z389:Z452" si="20">AVERAGE(X389,X389,Y389,Y389,Y389)/1.5</f>
        <v>0.2158741536006609</v>
      </c>
      <c r="AA389" s="32">
        <f>IF(Pitchers[[#This Row],[W]]=0,0,Pitchers[[#This Row],[W]]/(Pitchers[[#This Row],[W]]+Pitchers[[#This Row],[L]]))</f>
        <v>0.14285714285714285</v>
      </c>
      <c r="AB389" s="60"/>
    </row>
    <row r="390" spans="1:28" x14ac:dyDescent="0.25">
      <c r="A390" t="s">
        <v>1399</v>
      </c>
      <c r="B390" t="s">
        <v>3</v>
      </c>
      <c r="C390">
        <v>39</v>
      </c>
      <c r="D390">
        <v>0</v>
      </c>
      <c r="E390">
        <v>0</v>
      </c>
      <c r="F390">
        <v>0</v>
      </c>
      <c r="G390">
        <v>40.200000000000003</v>
      </c>
      <c r="H390">
        <v>30</v>
      </c>
      <c r="I390">
        <v>16</v>
      </c>
      <c r="J390">
        <v>50</v>
      </c>
      <c r="K390">
        <v>22</v>
      </c>
      <c r="L390">
        <v>7</v>
      </c>
      <c r="M390">
        <v>3</v>
      </c>
      <c r="N390">
        <v>2</v>
      </c>
      <c r="O390">
        <v>0</v>
      </c>
      <c r="P390">
        <v>0</v>
      </c>
      <c r="Q390">
        <v>10</v>
      </c>
      <c r="R390">
        <v>3.54</v>
      </c>
      <c r="S390">
        <v>1.28</v>
      </c>
      <c r="T390">
        <f t="shared" si="18"/>
        <v>0</v>
      </c>
      <c r="U390">
        <f t="shared" si="19"/>
        <v>0.39800995024875618</v>
      </c>
      <c r="V390">
        <f>U390-AVERAGEIFS(Pitchers[ER/IP],Pitchers[GS],"&gt;"&amp;0,Pitchers[IP],"&gt;"&amp;3)</f>
        <v>-0.17349064455056329</v>
      </c>
      <c r="W390">
        <f>IF(Pitchers[[#This Row],[IP/GS]]&lt;&gt;0,(Pitchers[[#This Row],[WHIP]]*$AH$5+$AI$5)/9*Pitchers[[#This Row],[IP/GS]],(Pitchers[[#This Row],[WHIP]]*$AH$5+$AI$5)/9*(Pitchers[[#This Row],[IP]]/Pitchers[[#This Row],[G]]))</f>
        <v>0.47821111268762123</v>
      </c>
      <c r="X390">
        <f>Pitchers[[#This Row],[Runs from WHIP]]-AVERAGEIFS(Pitchers[Runs from WHIP],Pitchers[GS],"&gt;"&amp;0,Pitchers[IP],"&gt;"&amp;3)</f>
        <v>-5.2077047934372382</v>
      </c>
      <c r="Y390">
        <f>IF(Pitchers[[#This Row],[IP/GS]]&lt;&gt;0,Pitchers[[#This Row],[ER/IP From Average]]*Pitchers[[#This Row],[IP/GS]],Pitchers[[#This Row],[ER/IP From Average]]*(Pitchers[[#This Row],[IP]]/Pitchers[[#This Row],[G]]))</f>
        <v>-0.17882881822904217</v>
      </c>
      <c r="Z390">
        <f t="shared" si="20"/>
        <v>-1.4602528055415476</v>
      </c>
      <c r="AA390" s="32">
        <f>IF(Pitchers[[#This Row],[W]]=0,0,Pitchers[[#This Row],[W]]/(Pitchers[[#This Row],[W]]+Pitchers[[#This Row],[L]]))</f>
        <v>0.6</v>
      </c>
      <c r="AB390" s="60"/>
    </row>
    <row r="391" spans="1:28" x14ac:dyDescent="0.25">
      <c r="A391" t="s">
        <v>672</v>
      </c>
      <c r="B391" t="s">
        <v>3</v>
      </c>
      <c r="C391">
        <v>67</v>
      </c>
      <c r="D391">
        <v>0</v>
      </c>
      <c r="E391">
        <v>0</v>
      </c>
      <c r="F391">
        <v>0</v>
      </c>
      <c r="G391">
        <v>40.200000000000003</v>
      </c>
      <c r="H391">
        <v>38</v>
      </c>
      <c r="I391">
        <v>18</v>
      </c>
      <c r="J391">
        <v>48</v>
      </c>
      <c r="K391">
        <v>12</v>
      </c>
      <c r="L391">
        <v>5</v>
      </c>
      <c r="M391">
        <v>2</v>
      </c>
      <c r="N391">
        <v>4</v>
      </c>
      <c r="O391">
        <v>1</v>
      </c>
      <c r="P391">
        <v>4</v>
      </c>
      <c r="Q391">
        <v>22</v>
      </c>
      <c r="R391">
        <v>3.98</v>
      </c>
      <c r="S391">
        <v>1.23</v>
      </c>
      <c r="T391">
        <f t="shared" si="18"/>
        <v>0</v>
      </c>
      <c r="U391">
        <f t="shared" si="19"/>
        <v>0.44776119402985071</v>
      </c>
      <c r="V391">
        <f>U391-AVERAGEIFS(Pitchers[ER/IP],Pitchers[GS],"&gt;"&amp;0,Pitchers[IP],"&gt;"&amp;3)</f>
        <v>-0.12373940076946877</v>
      </c>
      <c r="W391">
        <f>IF(Pitchers[[#This Row],[IP/GS]]&lt;&gt;0,(Pitchers[[#This Row],[WHIP]]*$AH$5+$AI$5)/9*Pitchers[[#This Row],[IP/GS]],(Pitchers[[#This Row],[WHIP]]*$AH$5+$AI$5)/9*(Pitchers[[#This Row],[IP]]/Pitchers[[#This Row],[G]]))</f>
        <v>0.26278644603827844</v>
      </c>
      <c r="X391">
        <f>Pitchers[[#This Row],[Runs from WHIP]]-AVERAGEIFS(Pitchers[Runs from WHIP],Pitchers[GS],"&gt;"&amp;0,Pitchers[IP],"&gt;"&amp;3)</f>
        <v>-5.4231294600865807</v>
      </c>
      <c r="Y391">
        <f>IF(Pitchers[[#This Row],[IP/GS]]&lt;&gt;0,Pitchers[[#This Row],[ER/IP From Average]]*Pitchers[[#This Row],[IP/GS]],Pitchers[[#This Row],[ER/IP From Average]]*(Pitchers[[#This Row],[IP]]/Pitchers[[#This Row],[G]]))</f>
        <v>-7.4243640461681276E-2</v>
      </c>
      <c r="Z391">
        <f t="shared" si="20"/>
        <v>-1.4758653122077607</v>
      </c>
      <c r="AA391" s="32">
        <f>IF(Pitchers[[#This Row],[W]]=0,0,Pitchers[[#This Row],[W]]/(Pitchers[[#This Row],[W]]+Pitchers[[#This Row],[L]]))</f>
        <v>0.33333333333333331</v>
      </c>
      <c r="AB391" s="60"/>
    </row>
    <row r="392" spans="1:28" x14ac:dyDescent="0.25">
      <c r="A392" t="s">
        <v>1189</v>
      </c>
      <c r="B392" t="s">
        <v>9</v>
      </c>
      <c r="C392">
        <v>18</v>
      </c>
      <c r="D392">
        <v>3</v>
      </c>
      <c r="E392">
        <v>0</v>
      </c>
      <c r="F392">
        <v>0</v>
      </c>
      <c r="G392">
        <v>40.200000000000003</v>
      </c>
      <c r="H392">
        <v>48</v>
      </c>
      <c r="I392">
        <v>23</v>
      </c>
      <c r="J392">
        <v>29</v>
      </c>
      <c r="K392">
        <v>8</v>
      </c>
      <c r="L392">
        <v>5</v>
      </c>
      <c r="M392">
        <v>2</v>
      </c>
      <c r="N392">
        <v>4</v>
      </c>
      <c r="O392">
        <v>0</v>
      </c>
      <c r="P392">
        <v>0</v>
      </c>
      <c r="Q392">
        <v>0</v>
      </c>
      <c r="R392">
        <v>5.09</v>
      </c>
      <c r="S392">
        <v>1.38</v>
      </c>
      <c r="T392">
        <f t="shared" si="18"/>
        <v>13.4</v>
      </c>
      <c r="U392">
        <f t="shared" si="19"/>
        <v>0.57213930348258701</v>
      </c>
      <c r="V392">
        <f>U392-AVERAGEIFS(Pitchers[ER/IP],Pitchers[GS],"&gt;"&amp;0,Pitchers[IP],"&gt;"&amp;3)</f>
        <v>6.3870868326754149E-4</v>
      </c>
      <c r="W392">
        <f>IF(Pitchers[[#This Row],[IP/GS]]&lt;&gt;0,(Pitchers[[#This Row],[WHIP]]*$AH$5+$AI$5)/9*Pitchers[[#This Row],[IP/GS]],(Pitchers[[#This Row],[WHIP]]*$AH$5+$AI$5)/9*(Pitchers[[#This Row],[IP]]/Pitchers[[#This Row],[G]]))</f>
        <v>6.9124388051074561</v>
      </c>
      <c r="X392">
        <f>Pitchers[[#This Row],[Runs from WHIP]]-AVERAGEIFS(Pitchers[Runs from WHIP],Pitchers[GS],"&gt;"&amp;0,Pitchers[IP],"&gt;"&amp;3)</f>
        <v>1.2265228989825969</v>
      </c>
      <c r="Y392">
        <f>IF(Pitchers[[#This Row],[IP/GS]]&lt;&gt;0,Pitchers[[#This Row],[ER/IP From Average]]*Pitchers[[#This Row],[IP/GS]],Pitchers[[#This Row],[ER/IP From Average]]*(Pitchers[[#This Row],[IP]]/Pitchers[[#This Row],[G]]))</f>
        <v>8.558696355785057E-3</v>
      </c>
      <c r="Z392">
        <f t="shared" si="20"/>
        <v>0.33049625160433976</v>
      </c>
      <c r="AA392" s="32">
        <f>IF(Pitchers[[#This Row],[W]]=0,0,Pitchers[[#This Row],[W]]/(Pitchers[[#This Row],[W]]+Pitchers[[#This Row],[L]]))</f>
        <v>0.33333333333333331</v>
      </c>
      <c r="AB392" s="60"/>
    </row>
    <row r="393" spans="1:28" x14ac:dyDescent="0.25">
      <c r="A393" t="s">
        <v>511</v>
      </c>
      <c r="B393" t="s">
        <v>24</v>
      </c>
      <c r="C393">
        <v>40</v>
      </c>
      <c r="D393">
        <v>0</v>
      </c>
      <c r="E393">
        <v>0</v>
      </c>
      <c r="F393">
        <v>0</v>
      </c>
      <c r="G393">
        <v>40.200000000000003</v>
      </c>
      <c r="H393">
        <v>39</v>
      </c>
      <c r="I393">
        <v>25</v>
      </c>
      <c r="J393">
        <v>46</v>
      </c>
      <c r="K393">
        <v>22</v>
      </c>
      <c r="L393">
        <v>9</v>
      </c>
      <c r="M393">
        <v>1</v>
      </c>
      <c r="N393">
        <v>0</v>
      </c>
      <c r="O393">
        <v>1</v>
      </c>
      <c r="P393">
        <v>1</v>
      </c>
      <c r="Q393">
        <v>0</v>
      </c>
      <c r="R393">
        <v>5.53</v>
      </c>
      <c r="S393">
        <v>1.5</v>
      </c>
      <c r="T393">
        <f t="shared" si="18"/>
        <v>0</v>
      </c>
      <c r="U393">
        <f t="shared" si="19"/>
        <v>0.62189054726368154</v>
      </c>
      <c r="V393">
        <f>U393-AVERAGEIFS(Pitchers[ER/IP],Pitchers[GS],"&gt;"&amp;0,Pitchers[IP],"&gt;"&amp;3)</f>
        <v>5.0389952464362064E-2</v>
      </c>
      <c r="W393">
        <f>IF(Pitchers[[#This Row],[IP/GS]]&lt;&gt;0,(Pitchers[[#This Row],[WHIP]]*$AH$5+$AI$5)/9*Pitchers[[#This Row],[IP/GS]],(Pitchers[[#This Row],[WHIP]]*$AH$5+$AI$5)/9*(Pitchers[[#This Row],[IP]]/Pitchers[[#This Row],[G]]))</f>
        <v>0.58104540099821367</v>
      </c>
      <c r="X393">
        <f>Pitchers[[#This Row],[Runs from WHIP]]-AVERAGEIFS(Pitchers[Runs from WHIP],Pitchers[GS],"&gt;"&amp;0,Pitchers[IP],"&gt;"&amp;3)</f>
        <v>-5.1048705051266454</v>
      </c>
      <c r="Y393">
        <f>IF(Pitchers[[#This Row],[IP/GS]]&lt;&gt;0,Pitchers[[#This Row],[ER/IP From Average]]*Pitchers[[#This Row],[IP/GS]],Pitchers[[#This Row],[ER/IP From Average]]*(Pitchers[[#This Row],[IP]]/Pitchers[[#This Row],[G]]))</f>
        <v>5.0641902226683883E-2</v>
      </c>
      <c r="Z393">
        <f t="shared" si="20"/>
        <v>-1.3410420404764321</v>
      </c>
      <c r="AA393" s="32">
        <f>IF(Pitchers[[#This Row],[W]]=0,0,Pitchers[[#This Row],[W]]/(Pitchers[[#This Row],[W]]+Pitchers[[#This Row],[L]]))</f>
        <v>1</v>
      </c>
      <c r="AB393" s="60"/>
    </row>
    <row r="394" spans="1:28" x14ac:dyDescent="0.25">
      <c r="A394" t="s">
        <v>671</v>
      </c>
      <c r="B394" t="s">
        <v>9</v>
      </c>
      <c r="C394">
        <v>21</v>
      </c>
      <c r="D394">
        <v>7</v>
      </c>
      <c r="E394">
        <v>0</v>
      </c>
      <c r="F394">
        <v>0</v>
      </c>
      <c r="G394">
        <v>40.1</v>
      </c>
      <c r="H394">
        <v>53</v>
      </c>
      <c r="I394">
        <v>27</v>
      </c>
      <c r="J394">
        <v>31</v>
      </c>
      <c r="K394">
        <v>23</v>
      </c>
      <c r="L394">
        <v>6</v>
      </c>
      <c r="M394">
        <v>1</v>
      </c>
      <c r="N394">
        <v>3</v>
      </c>
      <c r="O394">
        <v>0</v>
      </c>
      <c r="P394">
        <v>0</v>
      </c>
      <c r="Q394">
        <v>0</v>
      </c>
      <c r="R394">
        <v>6.02</v>
      </c>
      <c r="S394">
        <v>1.88</v>
      </c>
      <c r="T394">
        <f t="shared" si="18"/>
        <v>5.7285714285714286</v>
      </c>
      <c r="U394">
        <f t="shared" si="19"/>
        <v>0.67331670822942646</v>
      </c>
      <c r="V394">
        <f>U394-AVERAGEIFS(Pitchers[ER/IP],Pitchers[GS],"&gt;"&amp;0,Pitchers[IP],"&gt;"&amp;3)</f>
        <v>0.10181611343010699</v>
      </c>
      <c r="W394">
        <f>IF(Pitchers[[#This Row],[IP/GS]]&lt;&gt;0,(Pitchers[[#This Row],[WHIP]]*$AH$5+$AI$5)/9*Pitchers[[#This Row],[IP/GS]],(Pitchers[[#This Row],[WHIP]]*$AH$5+$AI$5)/9*(Pitchers[[#This Row],[IP]]/Pitchers[[#This Row],[G]]))</f>
        <v>4.4421696299421045</v>
      </c>
      <c r="X394">
        <f>Pitchers[[#This Row],[Runs from WHIP]]-AVERAGEIFS(Pitchers[Runs from WHIP],Pitchers[GS],"&gt;"&amp;0,Pitchers[IP],"&gt;"&amp;3)</f>
        <v>-1.2437462761827547</v>
      </c>
      <c r="Y394">
        <f>IF(Pitchers[[#This Row],[IP/GS]]&lt;&gt;0,Pitchers[[#This Row],[ER/IP From Average]]*Pitchers[[#This Row],[IP/GS]],Pitchers[[#This Row],[ER/IP From Average]]*(Pitchers[[#This Row],[IP]]/Pitchers[[#This Row],[G]]))</f>
        <v>0.58326087836389862</v>
      </c>
      <c r="Z394">
        <f t="shared" si="20"/>
        <v>-9.8361322303175139E-2</v>
      </c>
      <c r="AA394" s="32">
        <f>IF(Pitchers[[#This Row],[W]]=0,0,Pitchers[[#This Row],[W]]/(Pitchers[[#This Row],[W]]+Pitchers[[#This Row],[L]]))</f>
        <v>0.25</v>
      </c>
      <c r="AB394" s="60"/>
    </row>
    <row r="395" spans="1:28" x14ac:dyDescent="0.25">
      <c r="A395" t="s">
        <v>532</v>
      </c>
      <c r="B395" t="s">
        <v>332</v>
      </c>
      <c r="C395">
        <v>42</v>
      </c>
      <c r="D395">
        <v>0</v>
      </c>
      <c r="E395">
        <v>0</v>
      </c>
      <c r="F395">
        <v>0</v>
      </c>
      <c r="G395">
        <v>40.1</v>
      </c>
      <c r="H395">
        <v>45</v>
      </c>
      <c r="I395">
        <v>26</v>
      </c>
      <c r="J395">
        <v>24</v>
      </c>
      <c r="K395">
        <v>19</v>
      </c>
      <c r="L395">
        <v>7</v>
      </c>
      <c r="M395">
        <v>2</v>
      </c>
      <c r="N395">
        <v>4</v>
      </c>
      <c r="O395">
        <v>2</v>
      </c>
      <c r="P395">
        <v>3</v>
      </c>
      <c r="Q395">
        <v>5</v>
      </c>
      <c r="R395">
        <v>5.8</v>
      </c>
      <c r="S395">
        <v>1.59</v>
      </c>
      <c r="T395">
        <f t="shared" si="18"/>
        <v>0</v>
      </c>
      <c r="U395">
        <f t="shared" si="19"/>
        <v>0.64837905236907734</v>
      </c>
      <c r="V395">
        <f>U395-AVERAGEIFS(Pitchers[ER/IP],Pitchers[GS],"&gt;"&amp;0,Pitchers[IP],"&gt;"&amp;3)</f>
        <v>7.6878457569757863E-2</v>
      </c>
      <c r="W395">
        <f>IF(Pitchers[[#This Row],[IP/GS]]&lt;&gt;0,(Pitchers[[#This Row],[WHIP]]*$AH$5+$AI$5)/9*Pitchers[[#This Row],[IP/GS]],(Pitchers[[#This Row],[WHIP]]*$AH$5+$AI$5)/9*(Pitchers[[#This Row],[IP]]/Pitchers[[#This Row],[G]]))</f>
        <v>0.59661196956358997</v>
      </c>
      <c r="X395">
        <f>Pitchers[[#This Row],[Runs from WHIP]]-AVERAGEIFS(Pitchers[Runs from WHIP],Pitchers[GS],"&gt;"&amp;0,Pitchers[IP],"&gt;"&amp;3)</f>
        <v>-5.0893039365612696</v>
      </c>
      <c r="Y395">
        <f>IF(Pitchers[[#This Row],[IP/GS]]&lt;&gt;0,Pitchers[[#This Row],[ER/IP From Average]]*Pitchers[[#This Row],[IP/GS]],Pitchers[[#This Row],[ER/IP From Average]]*(Pitchers[[#This Row],[IP]]/Pitchers[[#This Row],[G]]))</f>
        <v>7.3400622584459299E-2</v>
      </c>
      <c r="Z395">
        <f t="shared" si="20"/>
        <v>-1.3277874673825545</v>
      </c>
      <c r="AA395" s="32">
        <f>IF(Pitchers[[#This Row],[W]]=0,0,Pitchers[[#This Row],[W]]/(Pitchers[[#This Row],[W]]+Pitchers[[#This Row],[L]]))</f>
        <v>0.33333333333333331</v>
      </c>
      <c r="AB395" s="60"/>
    </row>
    <row r="396" spans="1:28" x14ac:dyDescent="0.25">
      <c r="A396" t="s">
        <v>699</v>
      </c>
      <c r="B396" t="s">
        <v>361</v>
      </c>
      <c r="C396">
        <v>40</v>
      </c>
      <c r="D396">
        <v>1</v>
      </c>
      <c r="E396">
        <v>0</v>
      </c>
      <c r="F396">
        <v>0</v>
      </c>
      <c r="G396">
        <v>40</v>
      </c>
      <c r="H396">
        <v>56</v>
      </c>
      <c r="I396">
        <v>25</v>
      </c>
      <c r="J396">
        <v>35</v>
      </c>
      <c r="K396">
        <v>24</v>
      </c>
      <c r="L396">
        <v>6</v>
      </c>
      <c r="M396">
        <v>1</v>
      </c>
      <c r="N396">
        <v>4</v>
      </c>
      <c r="O396">
        <v>0</v>
      </c>
      <c r="P396">
        <v>1</v>
      </c>
      <c r="Q396">
        <v>1</v>
      </c>
      <c r="R396">
        <v>5.63</v>
      </c>
      <c r="S396">
        <v>2</v>
      </c>
      <c r="T396">
        <f t="shared" si="18"/>
        <v>40</v>
      </c>
      <c r="U396">
        <f t="shared" si="19"/>
        <v>0.625</v>
      </c>
      <c r="V396">
        <f>U396-AVERAGEIFS(Pitchers[ER/IP],Pitchers[GS],"&gt;"&amp;0,Pitchers[IP],"&gt;"&amp;3)</f>
        <v>5.3499405200680528E-2</v>
      </c>
      <c r="W396">
        <f>IF(Pitchers[[#This Row],[IP/GS]]&lt;&gt;0,(Pitchers[[#This Row],[WHIP]]*$AH$5+$AI$5)/9*Pitchers[[#This Row],[IP/GS]],(Pitchers[[#This Row],[WHIP]]*$AH$5+$AI$5)/9*(Pitchers[[#This Row],[IP]]/Pitchers[[#This Row],[G]]))</f>
        <v>33.509682728810212</v>
      </c>
      <c r="X396">
        <f>Pitchers[[#This Row],[Runs from WHIP]]-AVERAGEIFS(Pitchers[Runs from WHIP],Pitchers[GS],"&gt;"&amp;0,Pitchers[IP],"&gt;"&amp;3)</f>
        <v>27.823766822685354</v>
      </c>
      <c r="Y396">
        <f>IF(Pitchers[[#This Row],[IP/GS]]&lt;&gt;0,Pitchers[[#This Row],[ER/IP From Average]]*Pitchers[[#This Row],[IP/GS]],Pitchers[[#This Row],[ER/IP From Average]]*(Pitchers[[#This Row],[IP]]/Pitchers[[#This Row],[G]]))</f>
        <v>2.1399762080272211</v>
      </c>
      <c r="Z396">
        <f t="shared" si="20"/>
        <v>8.2756616359269817</v>
      </c>
      <c r="AA396" s="32">
        <f>IF(Pitchers[[#This Row],[W]]=0,0,Pitchers[[#This Row],[W]]/(Pitchers[[#This Row],[W]]+Pitchers[[#This Row],[L]]))</f>
        <v>0.2</v>
      </c>
      <c r="AB396" s="60"/>
    </row>
    <row r="397" spans="1:28" x14ac:dyDescent="0.25">
      <c r="A397" t="s">
        <v>1423</v>
      </c>
      <c r="B397" t="s">
        <v>29</v>
      </c>
      <c r="C397">
        <v>11</v>
      </c>
      <c r="D397">
        <v>6</v>
      </c>
      <c r="E397">
        <v>0</v>
      </c>
      <c r="F397">
        <v>0</v>
      </c>
      <c r="G397">
        <v>40</v>
      </c>
      <c r="H397">
        <v>26</v>
      </c>
      <c r="I397">
        <v>13</v>
      </c>
      <c r="J397">
        <v>37</v>
      </c>
      <c r="K397">
        <v>15</v>
      </c>
      <c r="L397">
        <v>4</v>
      </c>
      <c r="M397">
        <v>4</v>
      </c>
      <c r="N397">
        <v>2</v>
      </c>
      <c r="O397">
        <v>1</v>
      </c>
      <c r="P397">
        <v>0</v>
      </c>
      <c r="Q397">
        <v>0</v>
      </c>
      <c r="R397">
        <v>2.93</v>
      </c>
      <c r="S397">
        <v>1.03</v>
      </c>
      <c r="T397">
        <f t="shared" si="18"/>
        <v>6.666666666666667</v>
      </c>
      <c r="U397">
        <f t="shared" si="19"/>
        <v>0.32500000000000001</v>
      </c>
      <c r="V397">
        <f>U397-AVERAGEIFS(Pitchers[ER/IP],Pitchers[GS],"&gt;"&amp;0,Pitchers[IP],"&gt;"&amp;3)</f>
        <v>-0.24650059479931946</v>
      </c>
      <c r="W397">
        <f>IF(Pitchers[[#This Row],[IP/GS]]&lt;&gt;0,(Pitchers[[#This Row],[WHIP]]*$AH$5+$AI$5)/9*Pitchers[[#This Row],[IP/GS]],(Pitchers[[#This Row],[WHIP]]*$AH$5+$AI$5)/9*(Pitchers[[#This Row],[IP]]/Pitchers[[#This Row],[G]]))</f>
        <v>2.2276162261284189</v>
      </c>
      <c r="X397">
        <f>Pitchers[[#This Row],[Runs from WHIP]]-AVERAGEIFS(Pitchers[Runs from WHIP],Pitchers[GS],"&gt;"&amp;0,Pitchers[IP],"&gt;"&amp;3)</f>
        <v>-3.4582996799964403</v>
      </c>
      <c r="Y397">
        <f>IF(Pitchers[[#This Row],[IP/GS]]&lt;&gt;0,Pitchers[[#This Row],[ER/IP From Average]]*Pitchers[[#This Row],[IP/GS]],Pitchers[[#This Row],[ER/IP From Average]]*(Pitchers[[#This Row],[IP]]/Pitchers[[#This Row],[G]]))</f>
        <v>-1.6433372986621297</v>
      </c>
      <c r="Z397">
        <f t="shared" si="20"/>
        <v>-1.5795481674639029</v>
      </c>
      <c r="AA397" s="32">
        <f>IF(Pitchers[[#This Row],[W]]=0,0,Pitchers[[#This Row],[W]]/(Pitchers[[#This Row],[W]]+Pitchers[[#This Row],[L]]))</f>
        <v>0.66666666666666663</v>
      </c>
      <c r="AB397" s="60"/>
    </row>
    <row r="398" spans="1:28" x14ac:dyDescent="0.25">
      <c r="A398" t="s">
        <v>748</v>
      </c>
      <c r="B398" t="s">
        <v>332</v>
      </c>
      <c r="C398">
        <v>46</v>
      </c>
      <c r="D398">
        <v>0</v>
      </c>
      <c r="E398">
        <v>0</v>
      </c>
      <c r="F398">
        <v>0</v>
      </c>
      <c r="G398">
        <v>39.200000000000003</v>
      </c>
      <c r="H398">
        <v>31</v>
      </c>
      <c r="I398">
        <v>16</v>
      </c>
      <c r="J398">
        <v>39</v>
      </c>
      <c r="K398">
        <v>13</v>
      </c>
      <c r="L398">
        <v>4</v>
      </c>
      <c r="M398">
        <v>2</v>
      </c>
      <c r="N398">
        <v>0</v>
      </c>
      <c r="O398">
        <v>1</v>
      </c>
      <c r="P398">
        <v>1</v>
      </c>
      <c r="Q398">
        <v>9</v>
      </c>
      <c r="R398">
        <v>3.63</v>
      </c>
      <c r="S398">
        <v>1.1100000000000001</v>
      </c>
      <c r="T398">
        <f t="shared" si="18"/>
        <v>0</v>
      </c>
      <c r="U398">
        <f t="shared" si="19"/>
        <v>0.4081632653061224</v>
      </c>
      <c r="V398" s="60">
        <f>U398-AVERAGEIFS(Pitchers[ER/IP],Pitchers[GS],"&gt;"&amp;0,Pitchers[IP],"&gt;"&amp;3)</f>
        <v>-0.16333732949319707</v>
      </c>
      <c r="W398" s="60">
        <f>IF(Pitchers[[#This Row],[IP/GS]]&lt;&gt;0,(Pitchers[[#This Row],[WHIP]]*$AH$5+$AI$5)/9*Pitchers[[#This Row],[IP/GS]],(Pitchers[[#This Row],[WHIP]]*$AH$5+$AI$5)/9*(Pitchers[[#This Row],[IP]]/Pitchers[[#This Row],[G]]))</f>
        <v>0.32014164859959576</v>
      </c>
      <c r="X398" s="60">
        <f>Pitchers[[#This Row],[Runs from WHIP]]-AVERAGEIFS(Pitchers[Runs from WHIP],Pitchers[GS],"&gt;"&amp;0,Pitchers[IP],"&gt;"&amp;3)</f>
        <v>-5.3657742575252634</v>
      </c>
      <c r="Y398" s="60">
        <f>IF(Pitchers[[#This Row],[IP/GS]]&lt;&gt;0,Pitchers[[#This Row],[ER/IP From Average]]*Pitchers[[#This Row],[IP/GS]],Pitchers[[#This Row],[ER/IP From Average]]*(Pitchers[[#This Row],[IP]]/Pitchers[[#This Row],[G]]))</f>
        <v>-0.1391918112202897</v>
      </c>
      <c r="Z398" s="60">
        <f t="shared" si="20"/>
        <v>-1.4865498598281859</v>
      </c>
      <c r="AA398" s="32">
        <f>IF(Pitchers[[#This Row],[W]]=0,0,Pitchers[[#This Row],[W]]/(Pitchers[[#This Row],[W]]+Pitchers[[#This Row],[L]]))</f>
        <v>1</v>
      </c>
      <c r="AB398" s="60"/>
    </row>
    <row r="399" spans="1:28" x14ac:dyDescent="0.25">
      <c r="A399" t="s">
        <v>615</v>
      </c>
      <c r="B399" t="s">
        <v>31</v>
      </c>
      <c r="C399">
        <v>42</v>
      </c>
      <c r="D399">
        <v>0</v>
      </c>
      <c r="E399">
        <v>0</v>
      </c>
      <c r="F399">
        <v>0</v>
      </c>
      <c r="G399">
        <v>39.200000000000003</v>
      </c>
      <c r="H399">
        <v>42</v>
      </c>
      <c r="I399">
        <v>27</v>
      </c>
      <c r="J399">
        <v>45</v>
      </c>
      <c r="K399">
        <v>28</v>
      </c>
      <c r="L399">
        <v>3</v>
      </c>
      <c r="M399">
        <v>4</v>
      </c>
      <c r="N399">
        <v>3</v>
      </c>
      <c r="O399">
        <v>0</v>
      </c>
      <c r="P399">
        <v>2</v>
      </c>
      <c r="Q399">
        <v>4</v>
      </c>
      <c r="R399">
        <v>6.13</v>
      </c>
      <c r="S399">
        <v>1.76</v>
      </c>
      <c r="T399">
        <f t="shared" si="18"/>
        <v>0</v>
      </c>
      <c r="U399">
        <f t="shared" si="19"/>
        <v>0.68877551020408156</v>
      </c>
      <c r="V399">
        <f>U399-AVERAGEIFS(Pitchers[ER/IP],Pitchers[GS],"&gt;"&amp;0,Pitchers[IP],"&gt;"&amp;3)</f>
        <v>0.11727491540476209</v>
      </c>
      <c r="W399">
        <f>IF(Pitchers[[#This Row],[IP/GS]]&lt;&gt;0,(Pitchers[[#This Row],[WHIP]]*$AH$5+$AI$5)/9*Pitchers[[#This Row],[IP/GS]],(Pitchers[[#This Row],[WHIP]]*$AH$5+$AI$5)/9*(Pitchers[[#This Row],[IP]]/Pitchers[[#This Row],[G]]))</f>
        <v>0.6655974237236929</v>
      </c>
      <c r="X399">
        <f>Pitchers[[#This Row],[Runs from WHIP]]-AVERAGEIFS(Pitchers[Runs from WHIP],Pitchers[GS],"&gt;"&amp;0,Pitchers[IP],"&gt;"&amp;3)</f>
        <v>-5.0203184824011666</v>
      </c>
      <c r="Y399">
        <f>IF(Pitchers[[#This Row],[IP/GS]]&lt;&gt;0,Pitchers[[#This Row],[ER/IP From Average]]*Pitchers[[#This Row],[IP/GS]],Pitchers[[#This Row],[ER/IP From Average]]*(Pitchers[[#This Row],[IP]]/Pitchers[[#This Row],[G]]))</f>
        <v>0.10945658771111129</v>
      </c>
      <c r="Z399">
        <f t="shared" si="20"/>
        <v>-1.2949689602225332</v>
      </c>
      <c r="AA399" s="32">
        <f>IF(Pitchers[[#This Row],[W]]=0,0,Pitchers[[#This Row],[W]]/(Pitchers[[#This Row],[W]]+Pitchers[[#This Row],[L]]))</f>
        <v>0.5714285714285714</v>
      </c>
      <c r="AB399" s="60"/>
    </row>
    <row r="400" spans="1:28" x14ac:dyDescent="0.25">
      <c r="A400" t="s">
        <v>516</v>
      </c>
      <c r="B400" t="s">
        <v>9</v>
      </c>
      <c r="C400">
        <v>45</v>
      </c>
      <c r="D400">
        <v>0</v>
      </c>
      <c r="E400">
        <v>0</v>
      </c>
      <c r="F400">
        <v>0</v>
      </c>
      <c r="G400">
        <v>39.200000000000003</v>
      </c>
      <c r="H400">
        <v>34</v>
      </c>
      <c r="I400">
        <v>17</v>
      </c>
      <c r="J400">
        <v>46</v>
      </c>
      <c r="K400">
        <v>18</v>
      </c>
      <c r="L400">
        <v>7</v>
      </c>
      <c r="M400">
        <v>1</v>
      </c>
      <c r="N400">
        <v>0</v>
      </c>
      <c r="O400">
        <v>2</v>
      </c>
      <c r="P400">
        <v>1</v>
      </c>
      <c r="Q400">
        <v>4</v>
      </c>
      <c r="R400">
        <v>3.86</v>
      </c>
      <c r="S400">
        <v>1.31</v>
      </c>
      <c r="T400">
        <f t="shared" si="18"/>
        <v>0</v>
      </c>
      <c r="U400">
        <f t="shared" si="19"/>
        <v>0.43367346938775508</v>
      </c>
      <c r="V400">
        <f>U400-AVERAGEIFS(Pitchers[ER/IP],Pitchers[GS],"&gt;"&amp;0,Pitchers[IP],"&gt;"&amp;3)</f>
        <v>-0.13782712541156439</v>
      </c>
      <c r="W400">
        <f>IF(Pitchers[[#This Row],[IP/GS]]&lt;&gt;0,(Pitchers[[#This Row],[WHIP]]*$AH$5+$AI$5)/9*Pitchers[[#This Row],[IP/GS]],(Pitchers[[#This Row],[WHIP]]*$AH$5+$AI$5)/9*(Pitchers[[#This Row],[IP]]/Pitchers[[#This Row],[G]]))</f>
        <v>0.4177077088988258</v>
      </c>
      <c r="X400">
        <f>Pitchers[[#This Row],[Runs from WHIP]]-AVERAGEIFS(Pitchers[Runs from WHIP],Pitchers[GS],"&gt;"&amp;0,Pitchers[IP],"&gt;"&amp;3)</f>
        <v>-5.2682081972260333</v>
      </c>
      <c r="Y400">
        <f>IF(Pitchers[[#This Row],[IP/GS]]&lt;&gt;0,Pitchers[[#This Row],[ER/IP From Average]]*Pitchers[[#This Row],[IP/GS]],Pitchers[[#This Row],[ER/IP From Average]]*(Pitchers[[#This Row],[IP]]/Pitchers[[#This Row],[G]]))</f>
        <v>-0.12006274035851831</v>
      </c>
      <c r="Z400">
        <f t="shared" si="20"/>
        <v>-1.4528806154036829</v>
      </c>
      <c r="AA400" s="32">
        <f>IF(Pitchers[[#This Row],[W]]=0,0,Pitchers[[#This Row],[W]]/(Pitchers[[#This Row],[W]]+Pitchers[[#This Row],[L]]))</f>
        <v>1</v>
      </c>
      <c r="AB400" s="60"/>
    </row>
    <row r="401" spans="1:28" x14ac:dyDescent="0.25">
      <c r="A401" t="s">
        <v>639</v>
      </c>
      <c r="B401" t="s">
        <v>10</v>
      </c>
      <c r="C401">
        <v>44</v>
      </c>
      <c r="D401">
        <v>0</v>
      </c>
      <c r="E401">
        <v>0</v>
      </c>
      <c r="F401">
        <v>0</v>
      </c>
      <c r="G401">
        <v>39.200000000000003</v>
      </c>
      <c r="H401">
        <v>38</v>
      </c>
      <c r="I401">
        <v>19</v>
      </c>
      <c r="J401">
        <v>35</v>
      </c>
      <c r="K401">
        <v>19</v>
      </c>
      <c r="L401">
        <v>6</v>
      </c>
      <c r="M401">
        <v>1</v>
      </c>
      <c r="N401">
        <v>2</v>
      </c>
      <c r="O401">
        <v>1</v>
      </c>
      <c r="P401">
        <v>0</v>
      </c>
      <c r="Q401">
        <v>17</v>
      </c>
      <c r="R401">
        <v>4.3099999999999996</v>
      </c>
      <c r="S401">
        <v>1.44</v>
      </c>
      <c r="T401">
        <f t="shared" si="18"/>
        <v>0</v>
      </c>
      <c r="U401">
        <f t="shared" si="19"/>
        <v>0.48469387755102039</v>
      </c>
      <c r="V401">
        <f>U401-AVERAGEIFS(Pitchers[ER/IP],Pitchers[GS],"&gt;"&amp;0,Pitchers[IP],"&gt;"&amp;3)</f>
        <v>-8.6806717248299081E-2</v>
      </c>
      <c r="W401">
        <f>IF(Pitchers[[#This Row],[IP/GS]]&lt;&gt;0,(Pitchers[[#This Row],[WHIP]]*$AH$5+$AI$5)/9*Pitchers[[#This Row],[IP/GS]],(Pitchers[[#This Row],[WHIP]]*$AH$5+$AI$5)/9*(Pitchers[[#This Row],[IP]]/Pitchers[[#This Row],[G]]))</f>
        <v>0.48733095665022491</v>
      </c>
      <c r="X401">
        <f>Pitchers[[#This Row],[Runs from WHIP]]-AVERAGEIFS(Pitchers[Runs from WHIP],Pitchers[GS],"&gt;"&amp;0,Pitchers[IP],"&gt;"&amp;3)</f>
        <v>-5.1985849494746343</v>
      </c>
      <c r="Y401">
        <f>IF(Pitchers[[#This Row],[IP/GS]]&lt;&gt;0,Pitchers[[#This Row],[ER/IP From Average]]*Pitchers[[#This Row],[IP/GS]],Pitchers[[#This Row],[ER/IP From Average]]*(Pitchers[[#This Row],[IP]]/Pitchers[[#This Row],[G]]))</f>
        <v>-7.7336893548484636E-2</v>
      </c>
      <c r="Z401">
        <f t="shared" si="20"/>
        <v>-1.4172240772792961</v>
      </c>
      <c r="AA401" s="32">
        <f>IF(Pitchers[[#This Row],[W]]=0,0,Pitchers[[#This Row],[W]]/(Pitchers[[#This Row],[W]]+Pitchers[[#This Row],[L]]))</f>
        <v>0.33333333333333331</v>
      </c>
      <c r="AB401" s="60"/>
    </row>
    <row r="402" spans="1:28" x14ac:dyDescent="0.25">
      <c r="A402" t="s">
        <v>4113</v>
      </c>
      <c r="B402" t="s">
        <v>219</v>
      </c>
      <c r="C402">
        <v>8</v>
      </c>
      <c r="D402">
        <v>8</v>
      </c>
      <c r="E402">
        <v>0</v>
      </c>
      <c r="F402">
        <v>0</v>
      </c>
      <c r="G402">
        <v>39.200000000000003</v>
      </c>
      <c r="H402">
        <v>44</v>
      </c>
      <c r="I402">
        <v>23</v>
      </c>
      <c r="J402">
        <v>37</v>
      </c>
      <c r="K402">
        <v>14</v>
      </c>
      <c r="L402">
        <v>5</v>
      </c>
      <c r="M402">
        <v>2</v>
      </c>
      <c r="N402">
        <v>3</v>
      </c>
      <c r="O402">
        <v>0</v>
      </c>
      <c r="P402">
        <v>0</v>
      </c>
      <c r="Q402">
        <v>0</v>
      </c>
      <c r="R402">
        <v>5.22</v>
      </c>
      <c r="S402">
        <v>1.46</v>
      </c>
      <c r="T402">
        <f t="shared" si="18"/>
        <v>4.9000000000000004</v>
      </c>
      <c r="U402">
        <f t="shared" si="19"/>
        <v>0.58673469387755095</v>
      </c>
      <c r="V402">
        <f>U402-AVERAGEIFS(Pitchers[ER/IP],Pitchers[GS],"&gt;"&amp;0,Pitchers[IP],"&gt;"&amp;3)</f>
        <v>1.5234099078231478E-2</v>
      </c>
      <c r="W402">
        <f>IF(Pitchers[[#This Row],[IP/GS]]&lt;&gt;0,(Pitchers[[#This Row],[WHIP]]*$AH$5+$AI$5)/9*Pitchers[[#This Row],[IP/GS]],(Pitchers[[#This Row],[WHIP]]*$AH$5+$AI$5)/9*(Pitchers[[#This Row],[IP]]/Pitchers[[#This Row],[G]]))</f>
        <v>2.7311993998870596</v>
      </c>
      <c r="X402">
        <f>Pitchers[[#This Row],[Runs from WHIP]]-AVERAGEIFS(Pitchers[Runs from WHIP],Pitchers[GS],"&gt;"&amp;0,Pitchers[IP],"&gt;"&amp;3)</f>
        <v>-2.9547165062377996</v>
      </c>
      <c r="Y402">
        <f>IF(Pitchers[[#This Row],[IP/GS]]&lt;&gt;0,Pitchers[[#This Row],[ER/IP From Average]]*Pitchers[[#This Row],[IP/GS]],Pitchers[[#This Row],[ER/IP From Average]]*(Pitchers[[#This Row],[IP]]/Pitchers[[#This Row],[G]]))</f>
        <v>7.464708548333425E-2</v>
      </c>
      <c r="Z402">
        <f t="shared" si="20"/>
        <v>-0.75806556747007969</v>
      </c>
      <c r="AA402" s="32">
        <f>IF(Pitchers[[#This Row],[W]]=0,0,Pitchers[[#This Row],[W]]/(Pitchers[[#This Row],[W]]+Pitchers[[#This Row],[L]]))</f>
        <v>0.4</v>
      </c>
      <c r="AB402" s="60"/>
    </row>
    <row r="403" spans="1:28" x14ac:dyDescent="0.25">
      <c r="A403" t="s">
        <v>1357</v>
      </c>
      <c r="B403" t="s">
        <v>18</v>
      </c>
      <c r="C403">
        <v>34</v>
      </c>
      <c r="D403">
        <v>0</v>
      </c>
      <c r="E403">
        <v>0</v>
      </c>
      <c r="F403">
        <v>0</v>
      </c>
      <c r="G403">
        <v>39.200000000000003</v>
      </c>
      <c r="H403">
        <v>41</v>
      </c>
      <c r="I403">
        <v>17</v>
      </c>
      <c r="J403">
        <v>39</v>
      </c>
      <c r="K403">
        <v>25</v>
      </c>
      <c r="L403">
        <v>6</v>
      </c>
      <c r="M403">
        <v>2</v>
      </c>
      <c r="N403">
        <v>1</v>
      </c>
      <c r="O403">
        <v>1</v>
      </c>
      <c r="P403">
        <v>0</v>
      </c>
      <c r="Q403">
        <v>3</v>
      </c>
      <c r="R403">
        <v>3.86</v>
      </c>
      <c r="S403">
        <v>1.66</v>
      </c>
      <c r="T403">
        <f t="shared" si="18"/>
        <v>0</v>
      </c>
      <c r="U403">
        <f t="shared" si="19"/>
        <v>0.43367346938775508</v>
      </c>
      <c r="V403">
        <f>U403-AVERAGEIFS(Pitchers[ER/IP],Pitchers[GS],"&gt;"&amp;0,Pitchers[IP],"&gt;"&amp;3)</f>
        <v>-0.13782712541156439</v>
      </c>
      <c r="W403">
        <f>IF(Pitchers[[#This Row],[IP/GS]]&lt;&gt;0,(Pitchers[[#This Row],[WHIP]]*$AH$5+$AI$5)/9*Pitchers[[#This Row],[IP/GS]],(Pitchers[[#This Row],[WHIP]]*$AH$5+$AI$5)/9*(Pitchers[[#This Row],[IP]]/Pitchers[[#This Row],[G]]))</f>
        <v>0.76235077246947724</v>
      </c>
      <c r="X403">
        <f>Pitchers[[#This Row],[Runs from WHIP]]-AVERAGEIFS(Pitchers[Runs from WHIP],Pitchers[GS],"&gt;"&amp;0,Pitchers[IP],"&gt;"&amp;3)</f>
        <v>-4.9235651336553818</v>
      </c>
      <c r="Y403">
        <f>IF(Pitchers[[#This Row],[IP/GS]]&lt;&gt;0,Pitchers[[#This Row],[ER/IP From Average]]*Pitchers[[#This Row],[IP/GS]],Pitchers[[#This Row],[ER/IP From Average]]*(Pitchers[[#This Row],[IP]]/Pitchers[[#This Row],[G]]))</f>
        <v>-0.15890656812156836</v>
      </c>
      <c r="Z403">
        <f t="shared" si="20"/>
        <v>-1.3765133295567289</v>
      </c>
      <c r="AA403" s="32">
        <f>IF(Pitchers[[#This Row],[W]]=0,0,Pitchers[[#This Row],[W]]/(Pitchers[[#This Row],[W]]+Pitchers[[#This Row],[L]]))</f>
        <v>0.66666666666666663</v>
      </c>
      <c r="AB403" s="60"/>
    </row>
    <row r="404" spans="1:28" x14ac:dyDescent="0.25">
      <c r="A404" t="s">
        <v>534</v>
      </c>
      <c r="B404" t="s">
        <v>18</v>
      </c>
      <c r="C404">
        <v>23</v>
      </c>
      <c r="D404">
        <v>14</v>
      </c>
      <c r="E404">
        <v>0</v>
      </c>
      <c r="F404">
        <v>0</v>
      </c>
      <c r="G404">
        <v>39.1</v>
      </c>
      <c r="H404">
        <v>34</v>
      </c>
      <c r="I404">
        <v>16</v>
      </c>
      <c r="J404">
        <v>53</v>
      </c>
      <c r="K404">
        <v>11</v>
      </c>
      <c r="L404">
        <v>7</v>
      </c>
      <c r="M404">
        <v>2</v>
      </c>
      <c r="N404">
        <v>3</v>
      </c>
      <c r="O404">
        <v>0</v>
      </c>
      <c r="P404">
        <v>0</v>
      </c>
      <c r="Q404">
        <v>1</v>
      </c>
      <c r="R404">
        <v>3.66</v>
      </c>
      <c r="S404">
        <v>1.1399999999999999</v>
      </c>
      <c r="T404">
        <f t="shared" si="18"/>
        <v>2.7928571428571431</v>
      </c>
      <c r="U404">
        <f t="shared" si="19"/>
        <v>0.40920716112531969</v>
      </c>
      <c r="V404">
        <f>U404-AVERAGEIFS(Pitchers[ER/IP],Pitchers[GS],"&gt;"&amp;0,Pitchers[IP],"&gt;"&amp;3)</f>
        <v>-0.16229343367399979</v>
      </c>
      <c r="W404">
        <f>IF(Pitchers[[#This Row],[IP/GS]]&lt;&gt;0,(Pitchers[[#This Row],[WHIP]]*$AH$5+$AI$5)/9*Pitchers[[#This Row],[IP/GS]],(Pitchers[[#This Row],[WHIP]]*$AH$5+$AI$5)/9*(Pitchers[[#This Row],[IP]]/Pitchers[[#This Row],[G]]))</f>
        <v>1.0927100234450995</v>
      </c>
      <c r="X404">
        <f>Pitchers[[#This Row],[Runs from WHIP]]-AVERAGEIFS(Pitchers[Runs from WHIP],Pitchers[GS],"&gt;"&amp;0,Pitchers[IP],"&gt;"&amp;3)</f>
        <v>-4.5932058826797597</v>
      </c>
      <c r="Y404">
        <f>IF(Pitchers[[#This Row],[IP/GS]]&lt;&gt;0,Pitchers[[#This Row],[ER/IP From Average]]*Pitchers[[#This Row],[IP/GS]],Pitchers[[#This Row],[ER/IP From Average]]*(Pitchers[[#This Row],[IP]]/Pitchers[[#This Row],[G]]))</f>
        <v>-0.45326237547524229</v>
      </c>
      <c r="Z404">
        <f t="shared" si="20"/>
        <v>-1.406159852238033</v>
      </c>
      <c r="AA404" s="32">
        <f>IF(Pitchers[[#This Row],[W]]=0,0,Pitchers[[#This Row],[W]]/(Pitchers[[#This Row],[W]]+Pitchers[[#This Row],[L]]))</f>
        <v>0.4</v>
      </c>
      <c r="AB404" s="60"/>
    </row>
    <row r="405" spans="1:28" x14ac:dyDescent="0.25">
      <c r="A405" t="s">
        <v>3748</v>
      </c>
      <c r="B405" t="s">
        <v>7</v>
      </c>
      <c r="C405">
        <v>10</v>
      </c>
      <c r="D405">
        <v>9</v>
      </c>
      <c r="E405">
        <v>0</v>
      </c>
      <c r="F405">
        <v>0</v>
      </c>
      <c r="G405">
        <v>39.1</v>
      </c>
      <c r="H405">
        <v>35</v>
      </c>
      <c r="I405">
        <v>22</v>
      </c>
      <c r="J405">
        <v>42</v>
      </c>
      <c r="K405">
        <v>19</v>
      </c>
      <c r="L405">
        <v>6</v>
      </c>
      <c r="M405">
        <v>0</v>
      </c>
      <c r="N405">
        <v>4</v>
      </c>
      <c r="O405">
        <v>0</v>
      </c>
      <c r="P405">
        <v>0</v>
      </c>
      <c r="Q405">
        <v>0</v>
      </c>
      <c r="R405">
        <v>5.03</v>
      </c>
      <c r="S405">
        <v>1.37</v>
      </c>
      <c r="T405">
        <f t="shared" si="18"/>
        <v>4.344444444444445</v>
      </c>
      <c r="U405">
        <f t="shared" si="19"/>
        <v>0.5626598465473146</v>
      </c>
      <c r="V405">
        <f>U405-AVERAGEIFS(Pitchers[ER/IP],Pitchers[GS],"&gt;"&amp;0,Pitchers[IP],"&gt;"&amp;3)</f>
        <v>-8.8407482520048708E-3</v>
      </c>
      <c r="W405">
        <f>IF(Pitchers[[#This Row],[IP/GS]]&lt;&gt;0,(Pitchers[[#This Row],[WHIP]]*$AH$5+$AI$5)/9*Pitchers[[#This Row],[IP/GS]],(Pitchers[[#This Row],[WHIP]]*$AH$5+$AI$5)/9*(Pitchers[[#This Row],[IP]]/Pitchers[[#This Row],[G]]))</f>
        <v>2.2185422256189322</v>
      </c>
      <c r="X405">
        <f>Pitchers[[#This Row],[Runs from WHIP]]-AVERAGEIFS(Pitchers[Runs from WHIP],Pitchers[GS],"&gt;"&amp;0,Pitchers[IP],"&gt;"&amp;3)</f>
        <v>-3.467373680505927</v>
      </c>
      <c r="Y405">
        <f>IF(Pitchers[[#This Row],[IP/GS]]&lt;&gt;0,Pitchers[[#This Row],[ER/IP From Average]]*Pitchers[[#This Row],[IP/GS]],Pitchers[[#This Row],[ER/IP From Average]]*(Pitchers[[#This Row],[IP]]/Pitchers[[#This Row],[G]]))</f>
        <v>-3.8408139628154501E-2</v>
      </c>
      <c r="Z405">
        <f t="shared" si="20"/>
        <v>-0.9399962373195091</v>
      </c>
      <c r="AA405" s="32">
        <f>IF(Pitchers[[#This Row],[W]]=0,0,Pitchers[[#This Row],[W]]/(Pitchers[[#This Row],[W]]+Pitchers[[#This Row],[L]]))</f>
        <v>0</v>
      </c>
      <c r="AB405" s="60"/>
    </row>
    <row r="406" spans="1:28" x14ac:dyDescent="0.25">
      <c r="A406" t="s">
        <v>1261</v>
      </c>
      <c r="B406" t="s">
        <v>2</v>
      </c>
      <c r="C406">
        <v>10</v>
      </c>
      <c r="D406">
        <v>8</v>
      </c>
      <c r="E406">
        <v>0</v>
      </c>
      <c r="F406">
        <v>0</v>
      </c>
      <c r="G406">
        <v>39.1</v>
      </c>
      <c r="H406">
        <v>56</v>
      </c>
      <c r="I406">
        <v>37</v>
      </c>
      <c r="J406">
        <v>33</v>
      </c>
      <c r="K406">
        <v>19</v>
      </c>
      <c r="L406">
        <v>11</v>
      </c>
      <c r="M406">
        <v>2</v>
      </c>
      <c r="N406">
        <v>5</v>
      </c>
      <c r="O406">
        <v>0</v>
      </c>
      <c r="P406">
        <v>0</v>
      </c>
      <c r="Q406">
        <v>0</v>
      </c>
      <c r="R406">
        <v>8.4700000000000006</v>
      </c>
      <c r="S406">
        <v>1.91</v>
      </c>
      <c r="T406">
        <f t="shared" si="18"/>
        <v>4.8875000000000002</v>
      </c>
      <c r="U406">
        <f t="shared" si="19"/>
        <v>0.94629156010230175</v>
      </c>
      <c r="V406">
        <f>U406-AVERAGEIFS(Pitchers[ER/IP],Pitchers[GS],"&gt;"&amp;0,Pitchers[IP],"&gt;"&amp;3)</f>
        <v>0.37479096530298228</v>
      </c>
      <c r="W406">
        <f>IF(Pitchers[[#This Row],[IP/GS]]&lt;&gt;0,(Pitchers[[#This Row],[WHIP]]*$AH$5+$AI$5)/9*Pitchers[[#This Row],[IP/GS]],(Pitchers[[#This Row],[WHIP]]*$AH$5+$AI$5)/9*(Pitchers[[#This Row],[IP]]/Pitchers[[#This Row],[G]]))</f>
        <v>3.866092307768612</v>
      </c>
      <c r="X406">
        <f>Pitchers[[#This Row],[Runs from WHIP]]-AVERAGEIFS(Pitchers[Runs from WHIP],Pitchers[GS],"&gt;"&amp;0,Pitchers[IP],"&gt;"&amp;3)</f>
        <v>-1.8198235983562472</v>
      </c>
      <c r="Y406">
        <f>IF(Pitchers[[#This Row],[IP/GS]]&lt;&gt;0,Pitchers[[#This Row],[ER/IP From Average]]*Pitchers[[#This Row],[IP/GS]],Pitchers[[#This Row],[ER/IP From Average]]*(Pitchers[[#This Row],[IP]]/Pitchers[[#This Row],[G]]))</f>
        <v>1.8317908429183261</v>
      </c>
      <c r="Z406">
        <f t="shared" si="20"/>
        <v>0.24743004427233117</v>
      </c>
      <c r="AA406" s="32">
        <f>IF(Pitchers[[#This Row],[W]]=0,0,Pitchers[[#This Row],[W]]/(Pitchers[[#This Row],[W]]+Pitchers[[#This Row],[L]]))</f>
        <v>0.2857142857142857</v>
      </c>
      <c r="AB406" s="60"/>
    </row>
    <row r="407" spans="1:28" x14ac:dyDescent="0.25">
      <c r="A407" t="s">
        <v>604</v>
      </c>
      <c r="B407" t="s">
        <v>27</v>
      </c>
      <c r="C407">
        <v>45</v>
      </c>
      <c r="D407">
        <v>0</v>
      </c>
      <c r="E407">
        <v>0</v>
      </c>
      <c r="F407">
        <v>0</v>
      </c>
      <c r="G407">
        <v>39</v>
      </c>
      <c r="H407">
        <v>33</v>
      </c>
      <c r="I407">
        <v>11</v>
      </c>
      <c r="J407">
        <v>44</v>
      </c>
      <c r="K407">
        <v>19</v>
      </c>
      <c r="L407">
        <v>4</v>
      </c>
      <c r="M407">
        <v>4</v>
      </c>
      <c r="N407">
        <v>2</v>
      </c>
      <c r="O407">
        <v>4</v>
      </c>
      <c r="P407">
        <v>1</v>
      </c>
      <c r="Q407">
        <v>9</v>
      </c>
      <c r="R407">
        <v>2.54</v>
      </c>
      <c r="S407">
        <v>1.33</v>
      </c>
      <c r="T407">
        <f t="shared" si="18"/>
        <v>0</v>
      </c>
      <c r="U407">
        <f t="shared" si="19"/>
        <v>0.28205128205128205</v>
      </c>
      <c r="V407" s="60">
        <f>U407-AVERAGEIFS(Pitchers[ER/IP],Pitchers[GS],"&gt;"&amp;0,Pitchers[IP],"&gt;"&amp;3)</f>
        <v>-0.28944931274803742</v>
      </c>
      <c r="W407" s="60">
        <f>IF(Pitchers[[#This Row],[IP/GS]]&lt;&gt;0,(Pitchers[[#This Row],[WHIP]]*$AH$5+$AI$5)/9*Pitchers[[#This Row],[IP/GS]],(Pitchers[[#This Row],[WHIP]]*$AH$5+$AI$5)/9*(Pitchers[[#This Row],[IP]]/Pitchers[[#This Row],[G]]))</f>
        <v>0.42457557838458942</v>
      </c>
      <c r="X407" s="60">
        <f>Pitchers[[#This Row],[Runs from WHIP]]-AVERAGEIFS(Pitchers[Runs from WHIP],Pitchers[GS],"&gt;"&amp;0,Pitchers[IP],"&gt;"&amp;3)</f>
        <v>-5.2613403277402702</v>
      </c>
      <c r="Y407" s="60">
        <f>IF(Pitchers[[#This Row],[IP/GS]]&lt;&gt;0,Pitchers[[#This Row],[ER/IP From Average]]*Pitchers[[#This Row],[IP/GS]],Pitchers[[#This Row],[ER/IP From Average]]*(Pitchers[[#This Row],[IP]]/Pitchers[[#This Row],[G]]))</f>
        <v>-0.2508560710482991</v>
      </c>
      <c r="Z407" s="60">
        <f t="shared" si="20"/>
        <v>-1.5033665158167249</v>
      </c>
      <c r="AA407" s="32">
        <f>IF(Pitchers[[#This Row],[W]]=0,0,Pitchers[[#This Row],[W]]/(Pitchers[[#This Row],[W]]+Pitchers[[#This Row],[L]]))</f>
        <v>0.66666666666666663</v>
      </c>
      <c r="AB407" s="60"/>
    </row>
    <row r="408" spans="1:28" x14ac:dyDescent="0.25">
      <c r="A408" t="s">
        <v>424</v>
      </c>
      <c r="B408" t="s">
        <v>340</v>
      </c>
      <c r="C408">
        <v>9</v>
      </c>
      <c r="D408">
        <v>8</v>
      </c>
      <c r="E408">
        <v>0</v>
      </c>
      <c r="F408">
        <v>0</v>
      </c>
      <c r="G408">
        <v>39</v>
      </c>
      <c r="H408">
        <v>47</v>
      </c>
      <c r="I408">
        <v>27</v>
      </c>
      <c r="J408">
        <v>30</v>
      </c>
      <c r="K408">
        <v>20</v>
      </c>
      <c r="L408">
        <v>9</v>
      </c>
      <c r="M408">
        <v>2</v>
      </c>
      <c r="N408">
        <v>3</v>
      </c>
      <c r="O408">
        <v>0</v>
      </c>
      <c r="P408">
        <v>0</v>
      </c>
      <c r="Q408">
        <v>0</v>
      </c>
      <c r="R408">
        <v>6.23</v>
      </c>
      <c r="S408">
        <v>1.72</v>
      </c>
      <c r="T408">
        <f t="shared" si="18"/>
        <v>4.875</v>
      </c>
      <c r="U408">
        <f t="shared" si="19"/>
        <v>0.69230769230769229</v>
      </c>
      <c r="V408">
        <f>U408-AVERAGEIFS(Pitchers[ER/IP],Pitchers[GS],"&gt;"&amp;0,Pitchers[IP],"&gt;"&amp;3)</f>
        <v>0.12080709750837282</v>
      </c>
      <c r="W408">
        <f>IF(Pitchers[[#This Row],[IP/GS]]&lt;&gt;0,(Pitchers[[#This Row],[WHIP]]*$AH$5+$AI$5)/9*Pitchers[[#This Row],[IP/GS]],(Pitchers[[#This Row],[WHIP]]*$AH$5+$AI$5)/9*(Pitchers[[#This Row],[IP]]/Pitchers[[#This Row],[G]]))</f>
        <v>3.3753188703872961</v>
      </c>
      <c r="X408">
        <f>Pitchers[[#This Row],[Runs from WHIP]]-AVERAGEIFS(Pitchers[Runs from WHIP],Pitchers[GS],"&gt;"&amp;0,Pitchers[IP],"&gt;"&amp;3)</f>
        <v>-2.3105970357375631</v>
      </c>
      <c r="Y408">
        <f>IF(Pitchers[[#This Row],[IP/GS]]&lt;&gt;0,Pitchers[[#This Row],[ER/IP From Average]]*Pitchers[[#This Row],[IP/GS]],Pitchers[[#This Row],[ER/IP From Average]]*(Pitchers[[#This Row],[IP]]/Pitchers[[#This Row],[G]]))</f>
        <v>0.58893460035331746</v>
      </c>
      <c r="Z408">
        <f t="shared" si="20"/>
        <v>-0.38058536938868986</v>
      </c>
      <c r="AA408" s="32">
        <f>IF(Pitchers[[#This Row],[W]]=0,0,Pitchers[[#This Row],[W]]/(Pitchers[[#This Row],[W]]+Pitchers[[#This Row],[L]]))</f>
        <v>0.4</v>
      </c>
      <c r="AB408" s="60"/>
    </row>
    <row r="409" spans="1:28" x14ac:dyDescent="0.25">
      <c r="A409" t="s">
        <v>1259</v>
      </c>
      <c r="B409" t="s">
        <v>15</v>
      </c>
      <c r="C409">
        <v>37</v>
      </c>
      <c r="D409">
        <v>0</v>
      </c>
      <c r="E409">
        <v>0</v>
      </c>
      <c r="F409">
        <v>0</v>
      </c>
      <c r="G409">
        <v>39</v>
      </c>
      <c r="H409">
        <v>38</v>
      </c>
      <c r="I409">
        <v>25</v>
      </c>
      <c r="J409">
        <v>45</v>
      </c>
      <c r="K409">
        <v>26</v>
      </c>
      <c r="L409">
        <v>11</v>
      </c>
      <c r="M409">
        <v>2</v>
      </c>
      <c r="N409">
        <v>0</v>
      </c>
      <c r="O409">
        <v>0</v>
      </c>
      <c r="P409">
        <v>0</v>
      </c>
      <c r="Q409">
        <v>2</v>
      </c>
      <c r="R409">
        <v>5.77</v>
      </c>
      <c r="S409">
        <v>1.64</v>
      </c>
      <c r="T409">
        <f t="shared" si="18"/>
        <v>0</v>
      </c>
      <c r="U409">
        <f t="shared" si="19"/>
        <v>0.64102564102564108</v>
      </c>
      <c r="V409" s="60">
        <f>U409-AVERAGEIFS(Pitchers[ER/IP],Pitchers[GS],"&gt;"&amp;0,Pitchers[IP],"&gt;"&amp;3)</f>
        <v>6.9525046226321607E-2</v>
      </c>
      <c r="W409" s="60">
        <f>IF(Pitchers[[#This Row],[IP/GS]]&lt;&gt;0,(Pitchers[[#This Row],[WHIP]]*$AH$5+$AI$5)/9*Pitchers[[#This Row],[IP/GS]],(Pitchers[[#This Row],[WHIP]]*$AH$5+$AI$5)/9*(Pitchers[[#This Row],[IP]]/Pitchers[[#This Row],[G]]))</f>
        <v>0.68601960365523318</v>
      </c>
      <c r="X409" s="60">
        <f>Pitchers[[#This Row],[Runs from WHIP]]-AVERAGEIFS(Pitchers[Runs from WHIP],Pitchers[GS],"&gt;"&amp;0,Pitchers[IP],"&gt;"&amp;3)</f>
        <v>-4.9998963024696259</v>
      </c>
      <c r="Y409" s="60">
        <f>IF(Pitchers[[#This Row],[IP/GS]]&lt;&gt;0,Pitchers[[#This Row],[ER/IP From Average]]*Pitchers[[#This Row],[IP/GS]],Pitchers[[#This Row],[ER/IP From Average]]*(Pitchers[[#This Row],[IP]]/Pitchers[[#This Row],[G]]))</f>
        <v>7.3283156833149801E-2</v>
      </c>
      <c r="Z409" s="60">
        <f t="shared" si="20"/>
        <v>-1.3039924179253073</v>
      </c>
      <c r="AA409" s="32">
        <f>IF(Pitchers[[#This Row],[W]]=0,0,Pitchers[[#This Row],[W]]/(Pitchers[[#This Row],[W]]+Pitchers[[#This Row],[L]]))</f>
        <v>1</v>
      </c>
      <c r="AB409" s="60"/>
    </row>
    <row r="410" spans="1:28" x14ac:dyDescent="0.25">
      <c r="A410" t="s">
        <v>1371</v>
      </c>
      <c r="B410" t="s">
        <v>5</v>
      </c>
      <c r="C410">
        <v>32</v>
      </c>
      <c r="D410">
        <v>0</v>
      </c>
      <c r="E410">
        <v>0</v>
      </c>
      <c r="F410">
        <v>0</v>
      </c>
      <c r="G410">
        <v>38.1</v>
      </c>
      <c r="H410">
        <v>36</v>
      </c>
      <c r="I410">
        <v>19</v>
      </c>
      <c r="J410">
        <v>39</v>
      </c>
      <c r="K410">
        <v>14</v>
      </c>
      <c r="L410">
        <v>8</v>
      </c>
      <c r="M410">
        <v>3</v>
      </c>
      <c r="N410">
        <v>2</v>
      </c>
      <c r="O410">
        <v>1</v>
      </c>
      <c r="P410">
        <v>1</v>
      </c>
      <c r="Q410">
        <v>4</v>
      </c>
      <c r="R410">
        <v>4.46</v>
      </c>
      <c r="S410">
        <v>1.3</v>
      </c>
      <c r="T410">
        <f t="shared" si="18"/>
        <v>0</v>
      </c>
      <c r="U410">
        <f t="shared" si="19"/>
        <v>0.49868766404199472</v>
      </c>
      <c r="V410" s="60">
        <f>U410-AVERAGEIFS(Pitchers[ER/IP],Pitchers[GS],"&gt;"&amp;0,Pitchers[IP],"&gt;"&amp;3)</f>
        <v>-7.2812930757324756E-2</v>
      </c>
      <c r="W410" s="60">
        <f>IF(Pitchers[[#This Row],[IP/GS]]&lt;&gt;0,(Pitchers[[#This Row],[WHIP]]*$AH$5+$AI$5)/9*Pitchers[[#This Row],[IP/GS]],(Pitchers[[#This Row],[WHIP]]*$AH$5+$AI$5)/9*(Pitchers[[#This Row],[IP]]/Pitchers[[#This Row],[G]]))</f>
        <v>0.56473683532243901</v>
      </c>
      <c r="X410" s="60">
        <f>Pitchers[[#This Row],[Runs from WHIP]]-AVERAGEIFS(Pitchers[Runs from WHIP],Pitchers[GS],"&gt;"&amp;0,Pitchers[IP],"&gt;"&amp;3)</f>
        <v>-5.1211790708024205</v>
      </c>
      <c r="Y410" s="60">
        <f>IF(Pitchers[[#This Row],[IP/GS]]&lt;&gt;0,Pitchers[[#This Row],[ER/IP From Average]]*Pitchers[[#This Row],[IP/GS]],Pitchers[[#This Row],[ER/IP From Average]]*(Pitchers[[#This Row],[IP]]/Pitchers[[#This Row],[G]]))</f>
        <v>-8.6692895682939794E-2</v>
      </c>
      <c r="Z410" s="60">
        <f t="shared" si="20"/>
        <v>-1.4003249104871551</v>
      </c>
      <c r="AA410" s="32">
        <f>IF(Pitchers[[#This Row],[W]]=0,0,Pitchers[[#This Row],[W]]/(Pitchers[[#This Row],[W]]+Pitchers[[#This Row],[L]]))</f>
        <v>0.6</v>
      </c>
      <c r="AB410" s="60"/>
    </row>
    <row r="411" spans="1:28" x14ac:dyDescent="0.25">
      <c r="A411" t="s">
        <v>491</v>
      </c>
      <c r="B411" t="s">
        <v>2</v>
      </c>
      <c r="C411">
        <v>38</v>
      </c>
      <c r="D411">
        <v>0</v>
      </c>
      <c r="E411">
        <v>0</v>
      </c>
      <c r="F411">
        <v>0</v>
      </c>
      <c r="G411">
        <v>38</v>
      </c>
      <c r="H411">
        <v>21</v>
      </c>
      <c r="I411">
        <v>5</v>
      </c>
      <c r="J411">
        <v>43</v>
      </c>
      <c r="K411">
        <v>12</v>
      </c>
      <c r="L411">
        <v>5</v>
      </c>
      <c r="M411">
        <v>0</v>
      </c>
      <c r="N411">
        <v>2</v>
      </c>
      <c r="O411">
        <v>22</v>
      </c>
      <c r="P411">
        <v>3</v>
      </c>
      <c r="Q411">
        <v>0</v>
      </c>
      <c r="R411">
        <v>1.18</v>
      </c>
      <c r="S411">
        <v>0.87</v>
      </c>
      <c r="T411">
        <f t="shared" si="18"/>
        <v>0</v>
      </c>
      <c r="U411">
        <f t="shared" si="19"/>
        <v>0.13157894736842105</v>
      </c>
      <c r="V411">
        <f>U411-AVERAGEIFS(Pitchers[ER/IP],Pitchers[GS],"&gt;"&amp;0,Pitchers[IP],"&gt;"&amp;3)</f>
        <v>-0.43992164743089845</v>
      </c>
      <c r="W411">
        <f>IF(Pitchers[[#This Row],[IP/GS]]&lt;&gt;0,(Pitchers[[#This Row],[WHIP]]*$AH$5+$AI$5)/9*Pitchers[[#This Row],[IP/GS]],(Pitchers[[#This Row],[WHIP]]*$AH$5+$AI$5)/9*(Pitchers[[#This Row],[IP]]/Pitchers[[#This Row],[G]]))</f>
        <v>0.25107445300363512</v>
      </c>
      <c r="X411">
        <f>Pitchers[[#This Row],[Runs from WHIP]]-AVERAGEIFS(Pitchers[Runs from WHIP],Pitchers[GS],"&gt;"&amp;0,Pitchers[IP],"&gt;"&amp;3)</f>
        <v>-5.4348414531212237</v>
      </c>
      <c r="Y411">
        <f>IF(Pitchers[[#This Row],[IP/GS]]&lt;&gt;0,Pitchers[[#This Row],[ER/IP From Average]]*Pitchers[[#This Row],[IP/GS]],Pitchers[[#This Row],[ER/IP From Average]]*(Pitchers[[#This Row],[IP]]/Pitchers[[#This Row],[G]]))</f>
        <v>-0.43992164743089845</v>
      </c>
      <c r="Z411">
        <f t="shared" si="20"/>
        <v>-1.6252597131380189</v>
      </c>
      <c r="AA411" s="32">
        <f>IF(Pitchers[[#This Row],[W]]=0,0,Pitchers[[#This Row],[W]]/(Pitchers[[#This Row],[W]]+Pitchers[[#This Row],[L]]))</f>
        <v>0</v>
      </c>
      <c r="AB411" s="60"/>
    </row>
    <row r="412" spans="1:28" x14ac:dyDescent="0.25">
      <c r="A412" t="s">
        <v>622</v>
      </c>
      <c r="B412" t="s">
        <v>19</v>
      </c>
      <c r="C412">
        <v>38</v>
      </c>
      <c r="D412">
        <v>0</v>
      </c>
      <c r="E412">
        <v>0</v>
      </c>
      <c r="F412">
        <v>0</v>
      </c>
      <c r="G412">
        <v>38</v>
      </c>
      <c r="H412">
        <v>35</v>
      </c>
      <c r="I412">
        <v>13</v>
      </c>
      <c r="J412">
        <v>43</v>
      </c>
      <c r="K412">
        <v>4</v>
      </c>
      <c r="L412">
        <v>8</v>
      </c>
      <c r="M412">
        <v>0</v>
      </c>
      <c r="N412">
        <v>2</v>
      </c>
      <c r="O412">
        <v>4</v>
      </c>
      <c r="P412">
        <v>1</v>
      </c>
      <c r="Q412">
        <v>12</v>
      </c>
      <c r="R412">
        <v>3.08</v>
      </c>
      <c r="S412">
        <v>1.03</v>
      </c>
      <c r="T412">
        <f t="shared" si="18"/>
        <v>0</v>
      </c>
      <c r="U412">
        <f t="shared" si="19"/>
        <v>0.34210526315789475</v>
      </c>
      <c r="V412">
        <f>U412-AVERAGEIFS(Pitchers[ER/IP],Pitchers[GS],"&gt;"&amp;0,Pitchers[IP],"&gt;"&amp;3)</f>
        <v>-0.22939533164142473</v>
      </c>
      <c r="W412">
        <f>IF(Pitchers[[#This Row],[IP/GS]]&lt;&gt;0,(Pitchers[[#This Row],[WHIP]]*$AH$5+$AI$5)/9*Pitchers[[#This Row],[IP/GS]],(Pitchers[[#This Row],[WHIP]]*$AH$5+$AI$5)/9*(Pitchers[[#This Row],[IP]]/Pitchers[[#This Row],[G]]))</f>
        <v>0.33414243391926285</v>
      </c>
      <c r="X412">
        <f>Pitchers[[#This Row],[Runs from WHIP]]-AVERAGEIFS(Pitchers[Runs from WHIP],Pitchers[GS],"&gt;"&amp;0,Pitchers[IP],"&gt;"&amp;3)</f>
        <v>-5.3517734722055961</v>
      </c>
      <c r="Y412">
        <f>IF(Pitchers[[#This Row],[IP/GS]]&lt;&gt;0,Pitchers[[#This Row],[ER/IP From Average]]*Pitchers[[#This Row],[IP/GS]],Pitchers[[#This Row],[ER/IP From Average]]*(Pitchers[[#This Row],[IP]]/Pitchers[[#This Row],[G]]))</f>
        <v>-0.22939533164142473</v>
      </c>
      <c r="Z412">
        <f t="shared" si="20"/>
        <v>-1.5188977252447284</v>
      </c>
      <c r="AA412" s="32">
        <f>IF(Pitchers[[#This Row],[W]]=0,0,Pitchers[[#This Row],[W]]/(Pitchers[[#This Row],[W]]+Pitchers[[#This Row],[L]]))</f>
        <v>0</v>
      </c>
      <c r="AB412" s="60"/>
    </row>
    <row r="413" spans="1:28" x14ac:dyDescent="0.25">
      <c r="A413" t="s">
        <v>1297</v>
      </c>
      <c r="B413" t="s">
        <v>28</v>
      </c>
      <c r="C413">
        <v>20</v>
      </c>
      <c r="D413">
        <v>0</v>
      </c>
      <c r="E413">
        <v>0</v>
      </c>
      <c r="F413">
        <v>0</v>
      </c>
      <c r="G413">
        <v>37.200000000000003</v>
      </c>
      <c r="H413">
        <v>39</v>
      </c>
      <c r="I413">
        <v>13</v>
      </c>
      <c r="J413">
        <v>23</v>
      </c>
      <c r="K413">
        <v>7</v>
      </c>
      <c r="L413">
        <v>2</v>
      </c>
      <c r="M413">
        <v>3</v>
      </c>
      <c r="N413">
        <v>0</v>
      </c>
      <c r="O413">
        <v>2</v>
      </c>
      <c r="P413">
        <v>0</v>
      </c>
      <c r="Q413">
        <v>0</v>
      </c>
      <c r="R413">
        <v>3.11</v>
      </c>
      <c r="S413">
        <v>1.22</v>
      </c>
      <c r="T413">
        <f t="shared" si="18"/>
        <v>0</v>
      </c>
      <c r="U413">
        <f t="shared" si="19"/>
        <v>0.34946236559139782</v>
      </c>
      <c r="V413">
        <f>U413-AVERAGEIFS(Pitchers[ER/IP],Pitchers[GS],"&gt;"&amp;0,Pitchers[IP],"&gt;"&amp;3)</f>
        <v>-0.22203822920792166</v>
      </c>
      <c r="W413">
        <f>IF(Pitchers[[#This Row],[IP/GS]]&lt;&gt;0,(Pitchers[[#This Row],[WHIP]]*$AH$5+$AI$5)/9*Pitchers[[#This Row],[IP/GS]],(Pitchers[[#This Row],[WHIP]]*$AH$5+$AI$5)/9*(Pitchers[[#This Row],[IP]]/Pitchers[[#This Row],[G]]))</f>
        <v>0.80498132993722138</v>
      </c>
      <c r="X413">
        <f>Pitchers[[#This Row],[Runs from WHIP]]-AVERAGEIFS(Pitchers[Runs from WHIP],Pitchers[GS],"&gt;"&amp;0,Pitchers[IP],"&gt;"&amp;3)</f>
        <v>-4.8809345761876379</v>
      </c>
      <c r="Y413">
        <f>IF(Pitchers[[#This Row],[IP/GS]]&lt;&gt;0,Pitchers[[#This Row],[ER/IP From Average]]*Pitchers[[#This Row],[IP/GS]],Pitchers[[#This Row],[ER/IP From Average]]*(Pitchers[[#This Row],[IP]]/Pitchers[[#This Row],[G]]))</f>
        <v>-0.4129911063267343</v>
      </c>
      <c r="Z413">
        <f t="shared" si="20"/>
        <v>-1.4667789961807305</v>
      </c>
      <c r="AA413" s="32">
        <f>IF(Pitchers[[#This Row],[W]]=0,0,Pitchers[[#This Row],[W]]/(Pitchers[[#This Row],[W]]+Pitchers[[#This Row],[L]]))</f>
        <v>1</v>
      </c>
      <c r="AB413" s="60"/>
    </row>
    <row r="414" spans="1:28" x14ac:dyDescent="0.25">
      <c r="A414" t="s">
        <v>645</v>
      </c>
      <c r="B414" t="s">
        <v>5</v>
      </c>
      <c r="C414">
        <v>38</v>
      </c>
      <c r="D414">
        <v>0</v>
      </c>
      <c r="E414">
        <v>0</v>
      </c>
      <c r="F414">
        <v>0</v>
      </c>
      <c r="G414">
        <v>37.200000000000003</v>
      </c>
      <c r="H414">
        <v>33</v>
      </c>
      <c r="I414">
        <v>15</v>
      </c>
      <c r="J414">
        <v>33</v>
      </c>
      <c r="K414">
        <v>13</v>
      </c>
      <c r="L414">
        <v>4</v>
      </c>
      <c r="M414">
        <v>2</v>
      </c>
      <c r="N414">
        <v>0</v>
      </c>
      <c r="O414">
        <v>17</v>
      </c>
      <c r="P414">
        <v>1</v>
      </c>
      <c r="Q414">
        <v>1</v>
      </c>
      <c r="R414">
        <v>3.58</v>
      </c>
      <c r="S414">
        <v>1.22</v>
      </c>
      <c r="T414">
        <f t="shared" si="18"/>
        <v>0</v>
      </c>
      <c r="U414">
        <f t="shared" si="19"/>
        <v>0.40322580645161288</v>
      </c>
      <c r="V414">
        <f>U414-AVERAGEIFS(Pitchers[ER/IP],Pitchers[GS],"&gt;"&amp;0,Pitchers[IP],"&gt;"&amp;3)</f>
        <v>-0.16827478834770659</v>
      </c>
      <c r="W414">
        <f>IF(Pitchers[[#This Row],[IP/GS]]&lt;&gt;0,(Pitchers[[#This Row],[WHIP]]*$AH$5+$AI$5)/9*Pitchers[[#This Row],[IP/GS]],(Pitchers[[#This Row],[WHIP]]*$AH$5+$AI$5)/9*(Pitchers[[#This Row],[IP]]/Pitchers[[#This Row],[G]]))</f>
        <v>0.42367438417748493</v>
      </c>
      <c r="X414">
        <f>Pitchers[[#This Row],[Runs from WHIP]]-AVERAGEIFS(Pitchers[Runs from WHIP],Pitchers[GS],"&gt;"&amp;0,Pitchers[IP],"&gt;"&amp;3)</f>
        <v>-5.2622415219473746</v>
      </c>
      <c r="Y414">
        <f>IF(Pitchers[[#This Row],[IP/GS]]&lt;&gt;0,Pitchers[[#This Row],[ER/IP From Average]]*Pitchers[[#This Row],[IP/GS]],Pitchers[[#This Row],[ER/IP From Average]]*(Pitchers[[#This Row],[IP]]/Pitchers[[#This Row],[G]]))</f>
        <v>-0.164732161224597</v>
      </c>
      <c r="Z414">
        <f t="shared" si="20"/>
        <v>-1.469157270342472</v>
      </c>
      <c r="AA414" s="32">
        <f>IF(Pitchers[[#This Row],[W]]=0,0,Pitchers[[#This Row],[W]]/(Pitchers[[#This Row],[W]]+Pitchers[[#This Row],[L]]))</f>
        <v>1</v>
      </c>
      <c r="AB414" s="60"/>
    </row>
    <row r="415" spans="1:28" x14ac:dyDescent="0.25">
      <c r="A415" t="s">
        <v>382</v>
      </c>
      <c r="B415" t="s">
        <v>14</v>
      </c>
      <c r="C415">
        <v>7</v>
      </c>
      <c r="D415">
        <v>7</v>
      </c>
      <c r="E415">
        <v>1</v>
      </c>
      <c r="F415">
        <v>0</v>
      </c>
      <c r="G415">
        <v>37.1</v>
      </c>
      <c r="H415">
        <v>34</v>
      </c>
      <c r="I415">
        <v>17</v>
      </c>
      <c r="J415">
        <v>30</v>
      </c>
      <c r="K415">
        <v>8</v>
      </c>
      <c r="L415">
        <v>4</v>
      </c>
      <c r="M415">
        <v>2</v>
      </c>
      <c r="N415">
        <v>3</v>
      </c>
      <c r="O415">
        <v>0</v>
      </c>
      <c r="P415">
        <v>0</v>
      </c>
      <c r="Q415">
        <v>0</v>
      </c>
      <c r="R415">
        <v>4.0999999999999996</v>
      </c>
      <c r="S415">
        <v>1.1299999999999999</v>
      </c>
      <c r="T415">
        <f t="shared" si="18"/>
        <v>5.3</v>
      </c>
      <c r="U415">
        <f t="shared" si="19"/>
        <v>0.4582210242587601</v>
      </c>
      <c r="V415">
        <f>U415-AVERAGEIFS(Pitchers[ER/IP],Pitchers[GS],"&gt;"&amp;0,Pitchers[IP],"&gt;"&amp;3)</f>
        <v>-0.11327957054055937</v>
      </c>
      <c r="W415">
        <f>IF(Pitchers[[#This Row],[IP/GS]]&lt;&gt;0,(Pitchers[[#This Row],[WHIP]]*$AH$5+$AI$5)/9*Pitchers[[#This Row],[IP/GS]],(Pitchers[[#This Row],[WHIP]]*$AH$5+$AI$5)/9*(Pitchers[[#This Row],[IP]]/Pitchers[[#This Row],[G]]))</f>
        <v>2.0461175865551091</v>
      </c>
      <c r="X415">
        <f>Pitchers[[#This Row],[Runs from WHIP]]-AVERAGEIFS(Pitchers[Runs from WHIP],Pitchers[GS],"&gt;"&amp;0,Pitchers[IP],"&gt;"&amp;3)</f>
        <v>-3.6397983195697501</v>
      </c>
      <c r="Y415">
        <f>IF(Pitchers[[#This Row],[IP/GS]]&lt;&gt;0,Pitchers[[#This Row],[ER/IP From Average]]*Pitchers[[#This Row],[IP/GS]],Pitchers[[#This Row],[ER/IP From Average]]*(Pitchers[[#This Row],[IP]]/Pitchers[[#This Row],[G]]))</f>
        <v>-0.60038172386496469</v>
      </c>
      <c r="Z415">
        <f t="shared" si="20"/>
        <v>-1.210765574764586</v>
      </c>
      <c r="AA415" s="32">
        <f>IF(Pitchers[[#This Row],[W]]=0,0,Pitchers[[#This Row],[W]]/(Pitchers[[#This Row],[W]]+Pitchers[[#This Row],[L]]))</f>
        <v>0.4</v>
      </c>
      <c r="AB415" s="60"/>
    </row>
    <row r="416" spans="1:28" x14ac:dyDescent="0.25">
      <c r="A416" t="s">
        <v>1324</v>
      </c>
      <c r="B416" t="s">
        <v>13</v>
      </c>
      <c r="C416">
        <v>29</v>
      </c>
      <c r="D416">
        <v>0</v>
      </c>
      <c r="E416">
        <v>0</v>
      </c>
      <c r="F416">
        <v>0</v>
      </c>
      <c r="G416">
        <v>37</v>
      </c>
      <c r="H416">
        <v>34</v>
      </c>
      <c r="I416">
        <v>11</v>
      </c>
      <c r="J416">
        <v>32</v>
      </c>
      <c r="K416">
        <v>9</v>
      </c>
      <c r="L416">
        <v>4</v>
      </c>
      <c r="M416">
        <v>6</v>
      </c>
      <c r="N416">
        <v>0</v>
      </c>
      <c r="O416">
        <v>0</v>
      </c>
      <c r="P416">
        <v>1</v>
      </c>
      <c r="Q416">
        <v>1</v>
      </c>
      <c r="R416">
        <v>2.68</v>
      </c>
      <c r="S416">
        <v>1.1599999999999999</v>
      </c>
      <c r="T416">
        <f t="shared" si="18"/>
        <v>0</v>
      </c>
      <c r="U416">
        <f t="shared" si="19"/>
        <v>0.29729729729729731</v>
      </c>
      <c r="V416">
        <f>U416-AVERAGEIFS(Pitchers[ER/IP],Pitchers[GS],"&gt;"&amp;0,Pitchers[IP],"&gt;"&amp;3)</f>
        <v>-0.27420329750202216</v>
      </c>
      <c r="W416">
        <f>IF(Pitchers[[#This Row],[IP/GS]]&lt;&gt;0,(Pitchers[[#This Row],[WHIP]]*$AH$5+$AI$5)/9*Pitchers[[#This Row],[IP/GS]],(Pitchers[[#This Row],[WHIP]]*$AH$5+$AI$5)/9*(Pitchers[[#This Row],[IP]]/Pitchers[[#This Row],[G]]))</f>
        <v>0.51243107694099244</v>
      </c>
      <c r="X416">
        <f>Pitchers[[#This Row],[Runs from WHIP]]-AVERAGEIFS(Pitchers[Runs from WHIP],Pitchers[GS],"&gt;"&amp;0,Pitchers[IP],"&gt;"&amp;3)</f>
        <v>-5.1734848291838667</v>
      </c>
      <c r="Y416">
        <f>IF(Pitchers[[#This Row],[IP/GS]]&lt;&gt;0,Pitchers[[#This Row],[ER/IP From Average]]*Pitchers[[#This Row],[IP/GS]],Pitchers[[#This Row],[ER/IP From Average]]*(Pitchers[[#This Row],[IP]]/Pitchers[[#This Row],[G]]))</f>
        <v>-0.34984558646809727</v>
      </c>
      <c r="Z416">
        <f t="shared" si="20"/>
        <v>-1.5195341890362701</v>
      </c>
      <c r="AA416" s="32">
        <f>IF(Pitchers[[#This Row],[W]]=0,0,Pitchers[[#This Row],[W]]/(Pitchers[[#This Row],[W]]+Pitchers[[#This Row],[L]]))</f>
        <v>1</v>
      </c>
      <c r="AB416" s="60"/>
    </row>
    <row r="417" spans="1:28" x14ac:dyDescent="0.25">
      <c r="A417" t="s">
        <v>710</v>
      </c>
      <c r="B417" t="s">
        <v>4</v>
      </c>
      <c r="C417">
        <v>15</v>
      </c>
      <c r="D417">
        <v>3</v>
      </c>
      <c r="E417">
        <v>0</v>
      </c>
      <c r="F417">
        <v>0</v>
      </c>
      <c r="G417">
        <v>36.200000000000003</v>
      </c>
      <c r="H417">
        <v>39</v>
      </c>
      <c r="I417">
        <v>18</v>
      </c>
      <c r="J417">
        <v>34</v>
      </c>
      <c r="K417">
        <v>18</v>
      </c>
      <c r="L417">
        <v>2</v>
      </c>
      <c r="M417">
        <v>1</v>
      </c>
      <c r="N417">
        <v>1</v>
      </c>
      <c r="O417">
        <v>1</v>
      </c>
      <c r="P417">
        <v>0</v>
      </c>
      <c r="Q417">
        <v>0</v>
      </c>
      <c r="R417">
        <v>4.42</v>
      </c>
      <c r="S417">
        <v>1.55</v>
      </c>
      <c r="T417">
        <f t="shared" si="18"/>
        <v>12.066666666666668</v>
      </c>
      <c r="U417">
        <f t="shared" si="19"/>
        <v>0.49723756906077343</v>
      </c>
      <c r="V417" s="60">
        <f>U417-AVERAGEIFS(Pitchers[ER/IP],Pitchers[GS],"&gt;"&amp;0,Pitchers[IP],"&gt;"&amp;3)</f>
        <v>-7.426302573854604E-2</v>
      </c>
      <c r="W417" s="60">
        <f>IF(Pitchers[[#This Row],[IP/GS]]&lt;&gt;0,(Pitchers[[#This Row],[WHIP]]*$AH$5+$AI$5)/9*Pitchers[[#This Row],[IP/GS]],(Pitchers[[#This Row],[WHIP]]*$AH$5+$AI$5)/9*(Pitchers[[#This Row],[IP]]/Pitchers[[#This Row],[G]]))</f>
        <v>7.2896346875336366</v>
      </c>
      <c r="X417" s="60">
        <f>Pitchers[[#This Row],[Runs from WHIP]]-AVERAGEIFS(Pitchers[Runs from WHIP],Pitchers[GS],"&gt;"&amp;0,Pitchers[IP],"&gt;"&amp;3)</f>
        <v>1.6037187814087774</v>
      </c>
      <c r="Y417" s="60">
        <f>IF(Pitchers[[#This Row],[IP/GS]]&lt;&gt;0,Pitchers[[#This Row],[ER/IP From Average]]*Pitchers[[#This Row],[IP/GS]],Pitchers[[#This Row],[ER/IP From Average]]*(Pitchers[[#This Row],[IP]]/Pitchers[[#This Row],[G]]))</f>
        <v>-0.89610717724512234</v>
      </c>
      <c r="Z417" s="60">
        <f t="shared" si="20"/>
        <v>6.9215470810958371E-2</v>
      </c>
      <c r="AA417" s="32">
        <f>IF(Pitchers[[#This Row],[W]]=0,0,Pitchers[[#This Row],[W]]/(Pitchers[[#This Row],[W]]+Pitchers[[#This Row],[L]]))</f>
        <v>0.5</v>
      </c>
      <c r="AB417" s="60"/>
    </row>
    <row r="418" spans="1:28" x14ac:dyDescent="0.25">
      <c r="A418" t="s">
        <v>709</v>
      </c>
      <c r="B418" t="s">
        <v>24</v>
      </c>
      <c r="C418">
        <v>24</v>
      </c>
      <c r="D418">
        <v>0</v>
      </c>
      <c r="E418">
        <v>0</v>
      </c>
      <c r="F418">
        <v>0</v>
      </c>
      <c r="G418">
        <v>36.200000000000003</v>
      </c>
      <c r="H418">
        <v>34</v>
      </c>
      <c r="I418">
        <v>12</v>
      </c>
      <c r="J418">
        <v>32</v>
      </c>
      <c r="K418">
        <v>12</v>
      </c>
      <c r="L418">
        <v>5</v>
      </c>
      <c r="M418">
        <v>2</v>
      </c>
      <c r="N418">
        <v>0</v>
      </c>
      <c r="O418">
        <v>0</v>
      </c>
      <c r="P418">
        <v>1</v>
      </c>
      <c r="Q418">
        <v>1</v>
      </c>
      <c r="R418">
        <v>2.95</v>
      </c>
      <c r="S418">
        <v>1.25</v>
      </c>
      <c r="T418">
        <f t="shared" si="18"/>
        <v>0</v>
      </c>
      <c r="U418">
        <f t="shared" si="19"/>
        <v>0.33149171270718231</v>
      </c>
      <c r="V418">
        <f>U418-AVERAGEIFS(Pitchers[ER/IP],Pitchers[GS],"&gt;"&amp;0,Pitchers[IP],"&gt;"&amp;3)</f>
        <v>-0.24000888209213717</v>
      </c>
      <c r="W418">
        <f>IF(Pitchers[[#This Row],[IP/GS]]&lt;&gt;0,(Pitchers[[#This Row],[WHIP]]*$AH$5+$AI$5)/9*Pitchers[[#This Row],[IP/GS]],(Pitchers[[#This Row],[WHIP]]*$AH$5+$AI$5)/9*(Pitchers[[#This Row],[IP]]/Pitchers[[#This Row],[G]]))</f>
        <v>0.67627770241469498</v>
      </c>
      <c r="X418">
        <f>Pitchers[[#This Row],[Runs from WHIP]]-AVERAGEIFS(Pitchers[Runs from WHIP],Pitchers[GS],"&gt;"&amp;0,Pitchers[IP],"&gt;"&amp;3)</f>
        <v>-5.0096382037101641</v>
      </c>
      <c r="Y418">
        <f>IF(Pitchers[[#This Row],[IP/GS]]&lt;&gt;0,Pitchers[[#This Row],[ER/IP From Average]]*Pitchers[[#This Row],[IP/GS]],Pitchers[[#This Row],[ER/IP From Average]]*(Pitchers[[#This Row],[IP]]/Pitchers[[#This Row],[G]]))</f>
        <v>-0.36201339715564029</v>
      </c>
      <c r="Z418">
        <f t="shared" si="20"/>
        <v>-1.4807088798516335</v>
      </c>
      <c r="AA418" s="32">
        <f>IF(Pitchers[[#This Row],[W]]=0,0,Pitchers[[#This Row],[W]]/(Pitchers[[#This Row],[W]]+Pitchers[[#This Row],[L]]))</f>
        <v>1</v>
      </c>
      <c r="AB418" s="60"/>
    </row>
    <row r="419" spans="1:28" x14ac:dyDescent="0.25">
      <c r="A419" t="s">
        <v>638</v>
      </c>
      <c r="B419" t="s">
        <v>13</v>
      </c>
      <c r="C419">
        <v>37</v>
      </c>
      <c r="D419">
        <v>0</v>
      </c>
      <c r="E419">
        <v>0</v>
      </c>
      <c r="F419">
        <v>0</v>
      </c>
      <c r="G419">
        <v>36.1</v>
      </c>
      <c r="H419">
        <v>34</v>
      </c>
      <c r="I419">
        <v>17</v>
      </c>
      <c r="J419">
        <v>34</v>
      </c>
      <c r="K419">
        <v>16</v>
      </c>
      <c r="L419">
        <v>7</v>
      </c>
      <c r="M419">
        <v>1</v>
      </c>
      <c r="N419">
        <v>2</v>
      </c>
      <c r="O419">
        <v>10</v>
      </c>
      <c r="P419">
        <v>1</v>
      </c>
      <c r="Q419">
        <v>9</v>
      </c>
      <c r="R419">
        <v>4.21</v>
      </c>
      <c r="S419">
        <v>1.38</v>
      </c>
      <c r="T419">
        <f t="shared" si="18"/>
        <v>0</v>
      </c>
      <c r="U419">
        <f t="shared" si="19"/>
        <v>0.47091412742382271</v>
      </c>
      <c r="V419">
        <f>U419-AVERAGEIFS(Pitchers[ER/IP],Pitchers[GS],"&gt;"&amp;0,Pitchers[IP],"&gt;"&amp;3)</f>
        <v>-0.10058646737549676</v>
      </c>
      <c r="W419">
        <f>IF(Pitchers[[#This Row],[IP/GS]]&lt;&gt;0,(Pitchers[[#This Row],[WHIP]]*$AH$5+$AI$5)/9*Pitchers[[#This Row],[IP/GS]],(Pitchers[[#This Row],[WHIP]]*$AH$5+$AI$5)/9*(Pitchers[[#This Row],[IP]]/Pitchers[[#This Row],[G]]))</f>
        <v>0.50330585087611768</v>
      </c>
      <c r="X419">
        <f>Pitchers[[#This Row],[Runs from WHIP]]-AVERAGEIFS(Pitchers[Runs from WHIP],Pitchers[GS],"&gt;"&amp;0,Pitchers[IP],"&gt;"&amp;3)</f>
        <v>-5.1826100552487411</v>
      </c>
      <c r="Y419">
        <f>IF(Pitchers[[#This Row],[IP/GS]]&lt;&gt;0,Pitchers[[#This Row],[ER/IP From Average]]*Pitchers[[#This Row],[IP/GS]],Pitchers[[#This Row],[ER/IP From Average]]*(Pitchers[[#This Row],[IP]]/Pitchers[[#This Row],[G]]))</f>
        <v>-9.8139769520417114E-2</v>
      </c>
      <c r="Z419">
        <f t="shared" si="20"/>
        <v>-1.4212852558744977</v>
      </c>
      <c r="AA419" s="32">
        <f>IF(Pitchers[[#This Row],[W]]=0,0,Pitchers[[#This Row],[W]]/(Pitchers[[#This Row],[W]]+Pitchers[[#This Row],[L]]))</f>
        <v>0.33333333333333331</v>
      </c>
      <c r="AB419" s="60"/>
    </row>
    <row r="420" spans="1:28" x14ac:dyDescent="0.25">
      <c r="A420" t="s">
        <v>1401</v>
      </c>
      <c r="B420" t="s">
        <v>5</v>
      </c>
      <c r="C420">
        <v>7</v>
      </c>
      <c r="D420">
        <v>7</v>
      </c>
      <c r="E420">
        <v>0</v>
      </c>
      <c r="F420">
        <v>0</v>
      </c>
      <c r="G420">
        <v>36.1</v>
      </c>
      <c r="H420">
        <v>25</v>
      </c>
      <c r="I420">
        <v>11</v>
      </c>
      <c r="J420">
        <v>43</v>
      </c>
      <c r="K420">
        <v>18</v>
      </c>
      <c r="L420">
        <v>3</v>
      </c>
      <c r="M420">
        <v>1</v>
      </c>
      <c r="N420">
        <v>3</v>
      </c>
      <c r="O420">
        <v>0</v>
      </c>
      <c r="P420">
        <v>0</v>
      </c>
      <c r="Q420">
        <v>0</v>
      </c>
      <c r="R420">
        <v>2.72</v>
      </c>
      <c r="S420">
        <v>1.18</v>
      </c>
      <c r="T420">
        <f t="shared" si="18"/>
        <v>5.1571428571428575</v>
      </c>
      <c r="U420">
        <f t="shared" si="19"/>
        <v>0.3047091412742382</v>
      </c>
      <c r="V420">
        <f>U420-AVERAGEIFS(Pitchers[ER/IP],Pitchers[GS],"&gt;"&amp;0,Pitchers[IP],"&gt;"&amp;3)</f>
        <v>-0.26679145352508127</v>
      </c>
      <c r="W420">
        <f>IF(Pitchers[[#This Row],[IP/GS]]&lt;&gt;0,(Pitchers[[#This Row],[WHIP]]*$AH$5+$AI$5)/9*Pitchers[[#This Row],[IP/GS]],(Pitchers[[#This Row],[WHIP]]*$AH$5+$AI$5)/9*(Pitchers[[#This Row],[IP]]/Pitchers[[#This Row],[G]]))</f>
        <v>2.1248391205140944</v>
      </c>
      <c r="X420">
        <f>Pitchers[[#This Row],[Runs from WHIP]]-AVERAGEIFS(Pitchers[Runs from WHIP],Pitchers[GS],"&gt;"&amp;0,Pitchers[IP],"&gt;"&amp;3)</f>
        <v>-3.5610767856107648</v>
      </c>
      <c r="Y420">
        <f>IF(Pitchers[[#This Row],[IP/GS]]&lt;&gt;0,Pitchers[[#This Row],[ER/IP From Average]]*Pitchers[[#This Row],[IP/GS]],Pitchers[[#This Row],[ER/IP From Average]]*(Pitchers[[#This Row],[IP]]/Pitchers[[#This Row],[G]]))</f>
        <v>-1.3758816388936335</v>
      </c>
      <c r="Z420">
        <f t="shared" si="20"/>
        <v>-1.4999731317203235</v>
      </c>
      <c r="AA420" s="32">
        <f>IF(Pitchers[[#This Row],[W]]=0,0,Pitchers[[#This Row],[W]]/(Pitchers[[#This Row],[W]]+Pitchers[[#This Row],[L]]))</f>
        <v>0.25</v>
      </c>
      <c r="AB420" s="60"/>
    </row>
    <row r="421" spans="1:28" x14ac:dyDescent="0.25">
      <c r="A421" t="s">
        <v>1474</v>
      </c>
      <c r="B421" t="s">
        <v>8</v>
      </c>
      <c r="C421">
        <v>10</v>
      </c>
      <c r="D421">
        <v>4</v>
      </c>
      <c r="E421">
        <v>0</v>
      </c>
      <c r="F421">
        <v>0</v>
      </c>
      <c r="G421">
        <v>36</v>
      </c>
      <c r="H421">
        <v>47</v>
      </c>
      <c r="I421">
        <v>26</v>
      </c>
      <c r="J421">
        <v>22</v>
      </c>
      <c r="K421">
        <v>11</v>
      </c>
      <c r="L421">
        <v>12</v>
      </c>
      <c r="M421">
        <v>1</v>
      </c>
      <c r="N421">
        <v>2</v>
      </c>
      <c r="O421">
        <v>0</v>
      </c>
      <c r="P421">
        <v>0</v>
      </c>
      <c r="Q421">
        <v>0</v>
      </c>
      <c r="R421">
        <v>6.5</v>
      </c>
      <c r="S421">
        <v>1.61</v>
      </c>
      <c r="T421">
        <f t="shared" si="18"/>
        <v>9</v>
      </c>
      <c r="U421">
        <f t="shared" si="19"/>
        <v>0.72222222222222221</v>
      </c>
      <c r="V421">
        <f>U421-AVERAGEIFS(Pitchers[ER/IP],Pitchers[GS],"&gt;"&amp;0,Pitchers[IP],"&gt;"&amp;3)</f>
        <v>0.15072162742290274</v>
      </c>
      <c r="W421">
        <f>IF(Pitchers[[#This Row],[IP/GS]]&lt;&gt;0,(Pitchers[[#This Row],[WHIP]]*$AH$5+$AI$5)/9*Pitchers[[#This Row],[IP/GS]],(Pitchers[[#This Row],[WHIP]]*$AH$5+$AI$5)/9*(Pitchers[[#This Row],[IP]]/Pitchers[[#This Row],[G]]))</f>
        <v>5.7173747826457166</v>
      </c>
      <c r="X421">
        <f>Pitchers[[#This Row],[Runs from WHIP]]-AVERAGEIFS(Pitchers[Runs from WHIP],Pitchers[GS],"&gt;"&amp;0,Pitchers[IP],"&gt;"&amp;3)</f>
        <v>3.1458876520857437E-2</v>
      </c>
      <c r="Y421">
        <f>IF(Pitchers[[#This Row],[IP/GS]]&lt;&gt;0,Pitchers[[#This Row],[ER/IP From Average]]*Pitchers[[#This Row],[IP/GS]],Pitchers[[#This Row],[ER/IP From Average]]*(Pitchers[[#This Row],[IP]]/Pitchers[[#This Row],[G]]))</f>
        <v>1.3564946468061247</v>
      </c>
      <c r="Z421">
        <f t="shared" si="20"/>
        <v>0.55098689246134525</v>
      </c>
      <c r="AA421" s="32">
        <f>IF(Pitchers[[#This Row],[W]]=0,0,Pitchers[[#This Row],[W]]/(Pitchers[[#This Row],[W]]+Pitchers[[#This Row],[L]]))</f>
        <v>0.33333333333333331</v>
      </c>
      <c r="AB421" s="60"/>
    </row>
    <row r="422" spans="1:28" x14ac:dyDescent="0.25">
      <c r="A422" t="s">
        <v>1299</v>
      </c>
      <c r="B422" t="s">
        <v>361</v>
      </c>
      <c r="C422">
        <v>30</v>
      </c>
      <c r="D422">
        <v>0</v>
      </c>
      <c r="E422">
        <v>0</v>
      </c>
      <c r="F422">
        <v>0</v>
      </c>
      <c r="G422">
        <v>36</v>
      </c>
      <c r="H422">
        <v>24</v>
      </c>
      <c r="I422">
        <v>11</v>
      </c>
      <c r="J422">
        <v>31</v>
      </c>
      <c r="K422">
        <v>11</v>
      </c>
      <c r="L422">
        <v>3</v>
      </c>
      <c r="M422">
        <v>1</v>
      </c>
      <c r="N422">
        <v>0</v>
      </c>
      <c r="O422">
        <v>0</v>
      </c>
      <c r="P422">
        <v>0</v>
      </c>
      <c r="Q422">
        <v>4</v>
      </c>
      <c r="R422">
        <v>2.75</v>
      </c>
      <c r="S422">
        <v>0.97</v>
      </c>
      <c r="T422">
        <f t="shared" si="18"/>
        <v>0</v>
      </c>
      <c r="U422">
        <f t="shared" si="19"/>
        <v>0.30555555555555558</v>
      </c>
      <c r="V422">
        <f>U422-AVERAGEIFS(Pitchers[ER/IP],Pitchers[GS],"&gt;"&amp;0,Pitchers[IP],"&gt;"&amp;3)</f>
        <v>-0.26594503924376389</v>
      </c>
      <c r="W422">
        <f>IF(Pitchers[[#This Row],[IP/GS]]&lt;&gt;0,(Pitchers[[#This Row],[WHIP]]*$AH$5+$AI$5)/9*Pitchers[[#This Row],[IP/GS]],(Pitchers[[#This Row],[WHIP]]*$AH$5+$AI$5)/9*(Pitchers[[#This Row],[IP]]/Pitchers[[#This Row],[G]]))</f>
        <v>0.36359032929108287</v>
      </c>
      <c r="X422">
        <f>Pitchers[[#This Row],[Runs from WHIP]]-AVERAGEIFS(Pitchers[Runs from WHIP],Pitchers[GS],"&gt;"&amp;0,Pitchers[IP],"&gt;"&amp;3)</f>
        <v>-5.3223255768337765</v>
      </c>
      <c r="Y422">
        <f>IF(Pitchers[[#This Row],[IP/GS]]&lt;&gt;0,Pitchers[[#This Row],[ER/IP From Average]]*Pitchers[[#This Row],[IP/GS]],Pitchers[[#This Row],[ER/IP From Average]]*(Pitchers[[#This Row],[IP]]/Pitchers[[#This Row],[G]]))</f>
        <v>-0.31913404709251664</v>
      </c>
      <c r="Z422">
        <f t="shared" si="20"/>
        <v>-1.5469404393260138</v>
      </c>
      <c r="AA422" s="32">
        <f>IF(Pitchers[[#This Row],[W]]=0,0,Pitchers[[#This Row],[W]]/(Pitchers[[#This Row],[W]]+Pitchers[[#This Row],[L]]))</f>
        <v>1</v>
      </c>
      <c r="AB422" s="60"/>
    </row>
    <row r="423" spans="1:28" x14ac:dyDescent="0.25">
      <c r="A423" t="s">
        <v>1489</v>
      </c>
      <c r="B423" t="s">
        <v>31</v>
      </c>
      <c r="C423">
        <v>9</v>
      </c>
      <c r="D423">
        <v>4</v>
      </c>
      <c r="E423">
        <v>0</v>
      </c>
      <c r="F423">
        <v>0</v>
      </c>
      <c r="G423">
        <v>36</v>
      </c>
      <c r="H423">
        <v>31</v>
      </c>
      <c r="I423">
        <v>11</v>
      </c>
      <c r="J423">
        <v>42</v>
      </c>
      <c r="K423">
        <v>11</v>
      </c>
      <c r="L423">
        <v>5</v>
      </c>
      <c r="M423">
        <v>1</v>
      </c>
      <c r="N423">
        <v>0</v>
      </c>
      <c r="O423">
        <v>1</v>
      </c>
      <c r="P423">
        <v>0</v>
      </c>
      <c r="Q423">
        <v>0</v>
      </c>
      <c r="R423">
        <v>2.75</v>
      </c>
      <c r="S423">
        <v>1.17</v>
      </c>
      <c r="T423">
        <f t="shared" si="18"/>
        <v>9</v>
      </c>
      <c r="U423">
        <f t="shared" si="19"/>
        <v>0.30555555555555558</v>
      </c>
      <c r="V423">
        <f>U423-AVERAGEIFS(Pitchers[ER/IP],Pitchers[GS],"&gt;"&amp;0,Pitchers[IP],"&gt;"&amp;3)</f>
        <v>-0.26594503924376389</v>
      </c>
      <c r="W423">
        <f>IF(Pitchers[[#This Row],[IP/GS]]&lt;&gt;0,(Pitchers[[#This Row],[WHIP]]*$AH$5+$AI$5)/9*Pitchers[[#This Row],[IP/GS]],(Pitchers[[#This Row],[WHIP]]*$AH$5+$AI$5)/9*(Pitchers[[#This Row],[IP]]/Pitchers[[#This Row],[G]]))</f>
        <v>3.6614422549839327</v>
      </c>
      <c r="X423">
        <f>Pitchers[[#This Row],[Runs from WHIP]]-AVERAGEIFS(Pitchers[Runs from WHIP],Pitchers[GS],"&gt;"&amp;0,Pitchers[IP],"&gt;"&amp;3)</f>
        <v>-2.0244736511409265</v>
      </c>
      <c r="Y423">
        <f>IF(Pitchers[[#This Row],[IP/GS]]&lt;&gt;0,Pitchers[[#This Row],[ER/IP From Average]]*Pitchers[[#This Row],[IP/GS]],Pitchers[[#This Row],[ER/IP From Average]]*(Pitchers[[#This Row],[IP]]/Pitchers[[#This Row],[G]]))</f>
        <v>-2.3935053531938753</v>
      </c>
      <c r="Z423">
        <f t="shared" si="20"/>
        <v>-1.4972617815817972</v>
      </c>
      <c r="AA423" s="32">
        <f>IF(Pitchers[[#This Row],[W]]=0,0,Pitchers[[#This Row],[W]]/(Pitchers[[#This Row],[W]]+Pitchers[[#This Row],[L]]))</f>
        <v>1</v>
      </c>
      <c r="AB423" s="60"/>
    </row>
    <row r="424" spans="1:28" x14ac:dyDescent="0.25">
      <c r="A424" t="s">
        <v>1372</v>
      </c>
      <c r="B424" t="s">
        <v>11</v>
      </c>
      <c r="C424">
        <v>24</v>
      </c>
      <c r="D424">
        <v>0</v>
      </c>
      <c r="E424">
        <v>0</v>
      </c>
      <c r="F424">
        <v>0</v>
      </c>
      <c r="G424">
        <v>36</v>
      </c>
      <c r="H424">
        <v>36</v>
      </c>
      <c r="I424">
        <v>19</v>
      </c>
      <c r="J424">
        <v>28</v>
      </c>
      <c r="K424">
        <v>22</v>
      </c>
      <c r="L424">
        <v>12</v>
      </c>
      <c r="M424">
        <v>0</v>
      </c>
      <c r="N424">
        <v>3</v>
      </c>
      <c r="O424">
        <v>1</v>
      </c>
      <c r="P424">
        <v>0</v>
      </c>
      <c r="Q424">
        <v>2</v>
      </c>
      <c r="R424">
        <v>4.75</v>
      </c>
      <c r="S424">
        <v>1.61</v>
      </c>
      <c r="T424">
        <f t="shared" si="18"/>
        <v>0</v>
      </c>
      <c r="U424">
        <f t="shared" si="19"/>
        <v>0.52777777777777779</v>
      </c>
      <c r="V424">
        <f>U424-AVERAGEIFS(Pitchers[ER/IP],Pitchers[GS],"&gt;"&amp;0,Pitchers[IP],"&gt;"&amp;3)</f>
        <v>-4.3722817021541682E-2</v>
      </c>
      <c r="W424">
        <f>IF(Pitchers[[#This Row],[IP/GS]]&lt;&gt;0,(Pitchers[[#This Row],[WHIP]]*$AH$5+$AI$5)/9*Pitchers[[#This Row],[IP/GS]],(Pitchers[[#This Row],[WHIP]]*$AH$5+$AI$5)/9*(Pitchers[[#This Row],[IP]]/Pitchers[[#This Row],[G]]))</f>
        <v>0.95289579710761951</v>
      </c>
      <c r="X424">
        <f>Pitchers[[#This Row],[Runs from WHIP]]-AVERAGEIFS(Pitchers[Runs from WHIP],Pitchers[GS],"&gt;"&amp;0,Pitchers[IP],"&gt;"&amp;3)</f>
        <v>-4.7330201090172395</v>
      </c>
      <c r="Y424">
        <f>IF(Pitchers[[#This Row],[IP/GS]]&lt;&gt;0,Pitchers[[#This Row],[ER/IP From Average]]*Pitchers[[#This Row],[IP/GS]],Pitchers[[#This Row],[ER/IP From Average]]*(Pitchers[[#This Row],[IP]]/Pitchers[[#This Row],[G]]))</f>
        <v>-6.5584225532312523E-2</v>
      </c>
      <c r="Z424">
        <f t="shared" si="20"/>
        <v>-1.2883723859508553</v>
      </c>
      <c r="AA424" s="32">
        <f>IF(Pitchers[[#This Row],[W]]=0,0,Pitchers[[#This Row],[W]]/(Pitchers[[#This Row],[W]]+Pitchers[[#This Row],[L]]))</f>
        <v>0</v>
      </c>
      <c r="AB424" s="60"/>
    </row>
    <row r="425" spans="1:28" x14ac:dyDescent="0.25">
      <c r="A425" t="s">
        <v>917</v>
      </c>
      <c r="B425" t="s">
        <v>1</v>
      </c>
      <c r="C425">
        <v>8</v>
      </c>
      <c r="D425">
        <v>7</v>
      </c>
      <c r="E425">
        <v>0</v>
      </c>
      <c r="F425">
        <v>0</v>
      </c>
      <c r="G425">
        <v>36</v>
      </c>
      <c r="H425">
        <v>44</v>
      </c>
      <c r="I425">
        <v>22</v>
      </c>
      <c r="J425">
        <v>37</v>
      </c>
      <c r="K425">
        <v>18</v>
      </c>
      <c r="L425">
        <v>5</v>
      </c>
      <c r="M425">
        <v>0</v>
      </c>
      <c r="N425">
        <v>1</v>
      </c>
      <c r="O425">
        <v>0</v>
      </c>
      <c r="P425">
        <v>0</v>
      </c>
      <c r="Q425">
        <v>0</v>
      </c>
      <c r="R425">
        <v>5.5</v>
      </c>
      <c r="S425">
        <v>1.72</v>
      </c>
      <c r="T425">
        <f t="shared" si="18"/>
        <v>5.1428571428571432</v>
      </c>
      <c r="U425">
        <f t="shared" si="19"/>
        <v>0.61111111111111116</v>
      </c>
      <c r="V425">
        <f>U425-AVERAGEIFS(Pitchers[ER/IP],Pitchers[GS],"&gt;"&amp;0,Pitchers[IP],"&gt;"&amp;3)</f>
        <v>3.9610516311791688E-2</v>
      </c>
      <c r="W425">
        <f>IF(Pitchers[[#This Row],[IP/GS]]&lt;&gt;0,(Pitchers[[#This Row],[WHIP]]*$AH$5+$AI$5)/9*Pitchers[[#This Row],[IP/GS]],(Pitchers[[#This Row],[WHIP]]*$AH$5+$AI$5)/9*(Pitchers[[#This Row],[IP]]/Pitchers[[#This Row],[G]]))</f>
        <v>3.5607759511778072</v>
      </c>
      <c r="X425">
        <f>Pitchers[[#This Row],[Runs from WHIP]]-AVERAGEIFS(Pitchers[Runs from WHIP],Pitchers[GS],"&gt;"&amp;0,Pitchers[IP],"&gt;"&amp;3)</f>
        <v>-2.125139954947052</v>
      </c>
      <c r="Y425">
        <f>IF(Pitchers[[#This Row],[IP/GS]]&lt;&gt;0,Pitchers[[#This Row],[ER/IP From Average]]*Pitchers[[#This Row],[IP/GS]],Pitchers[[#This Row],[ER/IP From Average]]*(Pitchers[[#This Row],[IP]]/Pitchers[[#This Row],[G]]))</f>
        <v>0.20371122674635728</v>
      </c>
      <c r="Z425">
        <f t="shared" si="20"/>
        <v>-0.4852194972873376</v>
      </c>
      <c r="AA425" s="32">
        <f>IF(Pitchers[[#This Row],[W]]=0,0,Pitchers[[#This Row],[W]]/(Pitchers[[#This Row],[W]]+Pitchers[[#This Row],[L]]))</f>
        <v>0</v>
      </c>
      <c r="AB425" s="60"/>
    </row>
    <row r="426" spans="1:28" x14ac:dyDescent="0.25">
      <c r="A426" t="s">
        <v>647</v>
      </c>
      <c r="B426" t="s">
        <v>4</v>
      </c>
      <c r="C426">
        <v>40</v>
      </c>
      <c r="D426">
        <v>0</v>
      </c>
      <c r="E426">
        <v>0</v>
      </c>
      <c r="F426">
        <v>0</v>
      </c>
      <c r="G426">
        <v>35.200000000000003</v>
      </c>
      <c r="H426">
        <v>25</v>
      </c>
      <c r="I426">
        <v>18</v>
      </c>
      <c r="J426">
        <v>41</v>
      </c>
      <c r="K426">
        <v>24</v>
      </c>
      <c r="L426">
        <v>5</v>
      </c>
      <c r="M426">
        <v>1</v>
      </c>
      <c r="N426">
        <v>2</v>
      </c>
      <c r="O426">
        <v>17</v>
      </c>
      <c r="P426">
        <v>5</v>
      </c>
      <c r="Q426">
        <v>0</v>
      </c>
      <c r="R426">
        <v>4.54</v>
      </c>
      <c r="S426">
        <v>1.37</v>
      </c>
      <c r="T426">
        <f t="shared" si="18"/>
        <v>0</v>
      </c>
      <c r="U426">
        <f t="shared" si="19"/>
        <v>0.51136363636363635</v>
      </c>
      <c r="V426">
        <f>U426-AVERAGEIFS(Pitchers[ER/IP],Pitchers[GS],"&gt;"&amp;0,Pitchers[IP],"&gt;"&amp;3)</f>
        <v>-6.0136958435683119E-2</v>
      </c>
      <c r="W426">
        <f>IF(Pitchers[[#This Row],[IP/GS]]&lt;&gt;0,(Pitchers[[#This Row],[WHIP]]*$AH$5+$AI$5)/9*Pitchers[[#This Row],[IP/GS]],(Pitchers[[#This Row],[WHIP]]*$AH$5+$AI$5)/9*(Pitchers[[#This Row],[IP]]/Pitchers[[#This Row],[G]]))</f>
        <v>0.44938246616117505</v>
      </c>
      <c r="X426">
        <f>Pitchers[[#This Row],[Runs from WHIP]]-AVERAGEIFS(Pitchers[Runs from WHIP],Pitchers[GS],"&gt;"&amp;0,Pitchers[IP],"&gt;"&amp;3)</f>
        <v>-5.2365334399636838</v>
      </c>
      <c r="Y426">
        <f>IF(Pitchers[[#This Row],[IP/GS]]&lt;&gt;0,Pitchers[[#This Row],[ER/IP From Average]]*Pitchers[[#This Row],[IP/GS]],Pitchers[[#This Row],[ER/IP From Average]]*(Pitchers[[#This Row],[IP]]/Pitchers[[#This Row],[G]]))</f>
        <v>-5.2920523423401152E-2</v>
      </c>
      <c r="Z426">
        <f t="shared" si="20"/>
        <v>-1.4175771266930095</v>
      </c>
      <c r="AA426" s="32">
        <f>IF(Pitchers[[#This Row],[W]]=0,0,Pitchers[[#This Row],[W]]/(Pitchers[[#This Row],[W]]+Pitchers[[#This Row],[L]]))</f>
        <v>0.33333333333333331</v>
      </c>
      <c r="AB426" s="60"/>
    </row>
    <row r="427" spans="1:28" x14ac:dyDescent="0.25">
      <c r="A427" t="s">
        <v>3583</v>
      </c>
      <c r="B427" t="s">
        <v>12</v>
      </c>
      <c r="C427">
        <v>7</v>
      </c>
      <c r="D427">
        <v>7</v>
      </c>
      <c r="E427">
        <v>0</v>
      </c>
      <c r="F427">
        <v>0</v>
      </c>
      <c r="G427">
        <v>35.200000000000003</v>
      </c>
      <c r="H427">
        <v>41</v>
      </c>
      <c r="I427">
        <v>23</v>
      </c>
      <c r="J427">
        <v>30</v>
      </c>
      <c r="K427">
        <v>9</v>
      </c>
      <c r="L427">
        <v>11</v>
      </c>
      <c r="M427">
        <v>1</v>
      </c>
      <c r="N427">
        <v>3</v>
      </c>
      <c r="O427">
        <v>0</v>
      </c>
      <c r="P427">
        <v>0</v>
      </c>
      <c r="Q427">
        <v>0</v>
      </c>
      <c r="R427">
        <v>5.8</v>
      </c>
      <c r="S427">
        <v>1.4</v>
      </c>
      <c r="T427">
        <f t="shared" si="18"/>
        <v>5.0285714285714294</v>
      </c>
      <c r="U427">
        <f t="shared" si="19"/>
        <v>0.65340909090909083</v>
      </c>
      <c r="V427">
        <f>U427-AVERAGEIFS(Pitchers[ER/IP],Pitchers[GS],"&gt;"&amp;0,Pitchers[IP],"&gt;"&amp;3)</f>
        <v>8.1908496109771356E-2</v>
      </c>
      <c r="W427">
        <f>IF(Pitchers[[#This Row],[IP/GS]]&lt;&gt;0,(Pitchers[[#This Row],[WHIP]]*$AH$5+$AI$5)/9*Pitchers[[#This Row],[IP/GS]],(Pitchers[[#This Row],[WHIP]]*$AH$5+$AI$5)/9*(Pitchers[[#This Row],[IP]]/Pitchers[[#This Row],[G]]))</f>
        <v>2.6462210457843058</v>
      </c>
      <c r="X427">
        <f>Pitchers[[#This Row],[Runs from WHIP]]-AVERAGEIFS(Pitchers[Runs from WHIP],Pitchers[GS],"&gt;"&amp;0,Pitchers[IP],"&gt;"&amp;3)</f>
        <v>-3.0396948603405534</v>
      </c>
      <c r="Y427">
        <f>IF(Pitchers[[#This Row],[IP/GS]]&lt;&gt;0,Pitchers[[#This Row],[ER/IP From Average]]*Pitchers[[#This Row],[IP/GS]],Pitchers[[#This Row],[ER/IP From Average]]*(Pitchers[[#This Row],[IP]]/Pitchers[[#This Row],[G]]))</f>
        <v>0.41188272329485032</v>
      </c>
      <c r="Z427">
        <f t="shared" si="20"/>
        <v>-0.64583220677287423</v>
      </c>
      <c r="AA427" s="32">
        <f>IF(Pitchers[[#This Row],[W]]=0,0,Pitchers[[#This Row],[W]]/(Pitchers[[#This Row],[W]]+Pitchers[[#This Row],[L]]))</f>
        <v>0.25</v>
      </c>
      <c r="AB427" s="60"/>
    </row>
    <row r="428" spans="1:28" x14ac:dyDescent="0.25">
      <c r="A428" t="s">
        <v>380</v>
      </c>
      <c r="B428" t="s">
        <v>3</v>
      </c>
      <c r="C428">
        <v>7</v>
      </c>
      <c r="D428">
        <v>7</v>
      </c>
      <c r="E428">
        <v>0</v>
      </c>
      <c r="F428">
        <v>0</v>
      </c>
      <c r="G428">
        <v>35.200000000000003</v>
      </c>
      <c r="H428">
        <v>44</v>
      </c>
      <c r="I428">
        <v>23</v>
      </c>
      <c r="J428">
        <v>38</v>
      </c>
      <c r="K428">
        <v>15</v>
      </c>
      <c r="L428">
        <v>4</v>
      </c>
      <c r="M428">
        <v>2</v>
      </c>
      <c r="N428">
        <v>3</v>
      </c>
      <c r="O428">
        <v>0</v>
      </c>
      <c r="P428">
        <v>0</v>
      </c>
      <c r="Q428">
        <v>0</v>
      </c>
      <c r="R428">
        <v>5.8</v>
      </c>
      <c r="S428">
        <v>1.65</v>
      </c>
      <c r="T428">
        <f t="shared" si="18"/>
        <v>5.0285714285714294</v>
      </c>
      <c r="U428">
        <f t="shared" si="19"/>
        <v>0.65340909090909083</v>
      </c>
      <c r="V428" s="60">
        <f>U428-AVERAGEIFS(Pitchers[ER/IP],Pitchers[GS],"&gt;"&amp;0,Pitchers[IP],"&gt;"&amp;3)</f>
        <v>8.1908496109771356E-2</v>
      </c>
      <c r="W428" s="60">
        <f>IF(Pitchers[[#This Row],[IP/GS]]&lt;&gt;0,(Pitchers[[#This Row],[WHIP]]*$AH$5+$AI$5)/9*Pitchers[[#This Row],[IP/GS]],(Pitchers[[#This Row],[WHIP]]*$AH$5+$AI$5)/9*(Pitchers[[#This Row],[IP]]/Pitchers[[#This Row],[G]]))</f>
        <v>3.2988980386928088</v>
      </c>
      <c r="X428" s="60">
        <f>Pitchers[[#This Row],[Runs from WHIP]]-AVERAGEIFS(Pitchers[Runs from WHIP],Pitchers[GS],"&gt;"&amp;0,Pitchers[IP],"&gt;"&amp;3)</f>
        <v>-2.3870178674320504</v>
      </c>
      <c r="Y428" s="60">
        <f>IF(Pitchers[[#This Row],[IP/GS]]&lt;&gt;0,Pitchers[[#This Row],[ER/IP From Average]]*Pitchers[[#This Row],[IP/GS]],Pitchers[[#This Row],[ER/IP From Average]]*(Pitchers[[#This Row],[IP]]/Pitchers[[#This Row],[G]]))</f>
        <v>0.41188272329485032</v>
      </c>
      <c r="Z428" s="60">
        <f t="shared" si="20"/>
        <v>-0.47178500866394008</v>
      </c>
      <c r="AA428" s="32">
        <f>IF(Pitchers[[#This Row],[W]]=0,0,Pitchers[[#This Row],[W]]/(Pitchers[[#This Row],[W]]+Pitchers[[#This Row],[L]]))</f>
        <v>0.4</v>
      </c>
      <c r="AB428" s="60"/>
    </row>
    <row r="429" spans="1:28" x14ac:dyDescent="0.25">
      <c r="A429" t="s">
        <v>394</v>
      </c>
      <c r="B429" t="s">
        <v>2</v>
      </c>
      <c r="C429">
        <v>7</v>
      </c>
      <c r="D429">
        <v>7</v>
      </c>
      <c r="E429">
        <v>0</v>
      </c>
      <c r="F429">
        <v>0</v>
      </c>
      <c r="G429">
        <v>35.1</v>
      </c>
      <c r="H429">
        <v>41</v>
      </c>
      <c r="I429">
        <v>24</v>
      </c>
      <c r="J429">
        <v>25</v>
      </c>
      <c r="K429">
        <v>18</v>
      </c>
      <c r="L429">
        <v>7</v>
      </c>
      <c r="M429">
        <v>1</v>
      </c>
      <c r="N429">
        <v>5</v>
      </c>
      <c r="O429">
        <v>0</v>
      </c>
      <c r="P429">
        <v>0</v>
      </c>
      <c r="Q429">
        <v>0</v>
      </c>
      <c r="R429">
        <v>6.11</v>
      </c>
      <c r="S429">
        <v>1.67</v>
      </c>
      <c r="T429">
        <f t="shared" si="18"/>
        <v>5.0142857142857142</v>
      </c>
      <c r="U429">
        <f t="shared" si="19"/>
        <v>0.68376068376068377</v>
      </c>
      <c r="V429">
        <f>U429-AVERAGEIFS(Pitchers[ER/IP],Pitchers[GS],"&gt;"&amp;0,Pitchers[IP],"&gt;"&amp;3)</f>
        <v>0.1122600889613643</v>
      </c>
      <c r="W429">
        <f>IF(Pitchers[[#This Row],[IP/GS]]&lt;&gt;0,(Pitchers[[#This Row],[WHIP]]*$AH$5+$AI$5)/9*Pitchers[[#This Row],[IP/GS]],(Pitchers[[#This Row],[WHIP]]*$AH$5+$AI$5)/9*(Pitchers[[#This Row],[IP]]/Pitchers[[#This Row],[G]]))</f>
        <v>3.3415919930171771</v>
      </c>
      <c r="X429">
        <f>Pitchers[[#This Row],[Runs from WHIP]]-AVERAGEIFS(Pitchers[Runs from WHIP],Pitchers[GS],"&gt;"&amp;0,Pitchers[IP],"&gt;"&amp;3)</f>
        <v>-2.3443239131076821</v>
      </c>
      <c r="Y429">
        <f>IF(Pitchers[[#This Row],[IP/GS]]&lt;&gt;0,Pitchers[[#This Row],[ER/IP From Average]]*Pitchers[[#This Row],[IP/GS]],Pitchers[[#This Row],[ER/IP From Average]]*(Pitchers[[#This Row],[IP]]/Pitchers[[#This Row],[G]]))</f>
        <v>0.5629041603634124</v>
      </c>
      <c r="Z429">
        <f t="shared" si="20"/>
        <v>-0.39999137935001688</v>
      </c>
      <c r="AA429" s="32">
        <f>IF(Pitchers[[#This Row],[W]]=0,0,Pitchers[[#This Row],[W]]/(Pitchers[[#This Row],[W]]+Pitchers[[#This Row],[L]]))</f>
        <v>0.16666666666666666</v>
      </c>
      <c r="AB429" s="60"/>
    </row>
    <row r="430" spans="1:28" x14ac:dyDescent="0.25">
      <c r="A430" t="s">
        <v>1438</v>
      </c>
      <c r="B430" t="s">
        <v>2</v>
      </c>
      <c r="C430">
        <v>35</v>
      </c>
      <c r="D430">
        <v>0</v>
      </c>
      <c r="E430">
        <v>0</v>
      </c>
      <c r="F430">
        <v>0</v>
      </c>
      <c r="G430">
        <v>35.1</v>
      </c>
      <c r="H430">
        <v>35</v>
      </c>
      <c r="I430">
        <v>17</v>
      </c>
      <c r="J430">
        <v>40</v>
      </c>
      <c r="K430">
        <v>19</v>
      </c>
      <c r="L430">
        <v>5</v>
      </c>
      <c r="M430">
        <v>0</v>
      </c>
      <c r="N430">
        <v>4</v>
      </c>
      <c r="O430">
        <v>0</v>
      </c>
      <c r="P430">
        <v>2</v>
      </c>
      <c r="Q430">
        <v>4</v>
      </c>
      <c r="R430">
        <v>4.33</v>
      </c>
      <c r="S430">
        <v>1.53</v>
      </c>
      <c r="T430">
        <f t="shared" si="18"/>
        <v>0</v>
      </c>
      <c r="U430">
        <f t="shared" si="19"/>
        <v>0.48433048433048431</v>
      </c>
      <c r="V430">
        <f>U430-AVERAGEIFS(Pitchers[ER/IP],Pitchers[GS],"&gt;"&amp;0,Pitchers[IP],"&gt;"&amp;3)</f>
        <v>-8.717011046883516E-2</v>
      </c>
      <c r="W430">
        <f>IF(Pitchers[[#This Row],[IP/GS]]&lt;&gt;0,(Pitchers[[#This Row],[WHIP]]*$AH$5+$AI$5)/9*Pitchers[[#This Row],[IP/GS]],(Pitchers[[#This Row],[WHIP]]*$AH$5+$AI$5)/9*(Pitchers[[#This Row],[IP]]/Pitchers[[#This Row],[G]]))</f>
        <v>0.59542624534997235</v>
      </c>
      <c r="X430">
        <f>Pitchers[[#This Row],[Runs from WHIP]]-AVERAGEIFS(Pitchers[Runs from WHIP],Pitchers[GS],"&gt;"&amp;0,Pitchers[IP],"&gt;"&amp;3)</f>
        <v>-5.0904896607748871</v>
      </c>
      <c r="Y430">
        <f>IF(Pitchers[[#This Row],[IP/GS]]&lt;&gt;0,Pitchers[[#This Row],[ER/IP From Average]]*Pitchers[[#This Row],[IP/GS]],Pitchers[[#This Row],[ER/IP From Average]]*(Pitchers[[#This Row],[IP]]/Pitchers[[#This Row],[G]]))</f>
        <v>-8.7419167927317548E-2</v>
      </c>
      <c r="Z430">
        <f t="shared" si="20"/>
        <v>-1.3924315767108968</v>
      </c>
      <c r="AA430" s="32">
        <f>IF(Pitchers[[#This Row],[W]]=0,0,Pitchers[[#This Row],[W]]/(Pitchers[[#This Row],[W]]+Pitchers[[#This Row],[L]]))</f>
        <v>0</v>
      </c>
      <c r="AB430" s="60"/>
    </row>
    <row r="431" spans="1:28" x14ac:dyDescent="0.25">
      <c r="A431" t="s">
        <v>1278</v>
      </c>
      <c r="B431" t="s">
        <v>14</v>
      </c>
      <c r="C431">
        <v>29</v>
      </c>
      <c r="D431">
        <v>0</v>
      </c>
      <c r="E431">
        <v>0</v>
      </c>
      <c r="F431">
        <v>0</v>
      </c>
      <c r="G431">
        <v>35</v>
      </c>
      <c r="H431">
        <v>52</v>
      </c>
      <c r="I431">
        <v>35</v>
      </c>
      <c r="J431">
        <v>38</v>
      </c>
      <c r="K431">
        <v>18</v>
      </c>
      <c r="L431">
        <v>8</v>
      </c>
      <c r="M431">
        <v>0</v>
      </c>
      <c r="N431">
        <v>1</v>
      </c>
      <c r="O431">
        <v>0</v>
      </c>
      <c r="P431">
        <v>0</v>
      </c>
      <c r="Q431">
        <v>2</v>
      </c>
      <c r="R431">
        <v>9</v>
      </c>
      <c r="S431">
        <v>2</v>
      </c>
      <c r="T431">
        <f t="shared" si="18"/>
        <v>0</v>
      </c>
      <c r="U431">
        <f t="shared" si="19"/>
        <v>1</v>
      </c>
      <c r="V431">
        <f>U431-AVERAGEIFS(Pitchers[ER/IP],Pitchers[GS],"&gt;"&amp;0,Pitchers[IP],"&gt;"&amp;3)</f>
        <v>0.42849940520068053</v>
      </c>
      <c r="W431">
        <f>IF(Pitchers[[#This Row],[IP/GS]]&lt;&gt;0,(Pitchers[[#This Row],[WHIP]]*$AH$5+$AI$5)/9*Pitchers[[#This Row],[IP/GS]],(Pitchers[[#This Row],[WHIP]]*$AH$5+$AI$5)/9*(Pitchers[[#This Row],[IP]]/Pitchers[[#This Row],[G]]))</f>
        <v>1.0110680133692735</v>
      </c>
      <c r="X431">
        <f>Pitchers[[#This Row],[Runs from WHIP]]-AVERAGEIFS(Pitchers[Runs from WHIP],Pitchers[GS],"&gt;"&amp;0,Pitchers[IP],"&gt;"&amp;3)</f>
        <v>-4.6748478927555857</v>
      </c>
      <c r="Y431">
        <f>IF(Pitchers[[#This Row],[IP/GS]]&lt;&gt;0,Pitchers[[#This Row],[ER/IP From Average]]*Pitchers[[#This Row],[IP/GS]],Pitchers[[#This Row],[ER/IP From Average]]*(Pitchers[[#This Row],[IP]]/Pitchers[[#This Row],[G]]))</f>
        <v>0.5171544545525455</v>
      </c>
      <c r="Z431">
        <f t="shared" si="20"/>
        <v>-1.0397643229138047</v>
      </c>
      <c r="AA431" s="32">
        <f>IF(Pitchers[[#This Row],[W]]=0,0,Pitchers[[#This Row],[W]]/(Pitchers[[#This Row],[W]]+Pitchers[[#This Row],[L]]))</f>
        <v>0</v>
      </c>
      <c r="AB431" s="60"/>
    </row>
    <row r="432" spans="1:28" x14ac:dyDescent="0.25">
      <c r="A432" t="s">
        <v>3677</v>
      </c>
      <c r="B432" t="s">
        <v>29</v>
      </c>
      <c r="C432">
        <v>14</v>
      </c>
      <c r="D432">
        <v>4</v>
      </c>
      <c r="E432">
        <v>0</v>
      </c>
      <c r="F432">
        <v>0</v>
      </c>
      <c r="G432">
        <v>34.200000000000003</v>
      </c>
      <c r="H432">
        <v>33</v>
      </c>
      <c r="I432">
        <v>14</v>
      </c>
      <c r="J432">
        <v>32</v>
      </c>
      <c r="K432">
        <v>5</v>
      </c>
      <c r="L432">
        <v>2</v>
      </c>
      <c r="M432">
        <v>2</v>
      </c>
      <c r="N432">
        <v>3</v>
      </c>
      <c r="O432">
        <v>0</v>
      </c>
      <c r="P432">
        <v>1</v>
      </c>
      <c r="Q432">
        <v>4</v>
      </c>
      <c r="R432">
        <v>3.63</v>
      </c>
      <c r="S432">
        <v>1.1000000000000001</v>
      </c>
      <c r="T432">
        <f t="shared" si="18"/>
        <v>8.5500000000000007</v>
      </c>
      <c r="U432">
        <f t="shared" si="19"/>
        <v>0.40935672514619881</v>
      </c>
      <c r="V432">
        <f>U432-AVERAGEIFS(Pitchers[ER/IP],Pitchers[GS],"&gt;"&amp;0,Pitchers[IP],"&gt;"&amp;3)</f>
        <v>-0.16214386965312066</v>
      </c>
      <c r="W432">
        <f>IF(Pitchers[[#This Row],[IP/GS]]&lt;&gt;0,(Pitchers[[#This Row],[WHIP]]*$AH$5+$AI$5)/9*Pitchers[[#This Row],[IP/GS]],(Pitchers[[#This Row],[WHIP]]*$AH$5+$AI$5)/9*(Pitchers[[#This Row],[IP]]/Pitchers[[#This Row],[G]]))</f>
        <v>3.1676439761222168</v>
      </c>
      <c r="X432">
        <f>Pitchers[[#This Row],[Runs from WHIP]]-AVERAGEIFS(Pitchers[Runs from WHIP],Pitchers[GS],"&gt;"&amp;0,Pitchers[IP],"&gt;"&amp;3)</f>
        <v>-2.5182719300026424</v>
      </c>
      <c r="Y432">
        <f>IF(Pitchers[[#This Row],[IP/GS]]&lt;&gt;0,Pitchers[[#This Row],[ER/IP From Average]]*Pitchers[[#This Row],[IP/GS]],Pitchers[[#This Row],[ER/IP From Average]]*(Pitchers[[#This Row],[IP]]/Pitchers[[#This Row],[G]]))</f>
        <v>-1.3863300855341818</v>
      </c>
      <c r="Z432">
        <f t="shared" si="20"/>
        <v>-1.2260712155477107</v>
      </c>
      <c r="AA432" s="32">
        <f>IF(Pitchers[[#This Row],[W]]=0,0,Pitchers[[#This Row],[W]]/(Pitchers[[#This Row],[W]]+Pitchers[[#This Row],[L]]))</f>
        <v>0.4</v>
      </c>
      <c r="AB432" s="60"/>
    </row>
    <row r="433" spans="1:28" x14ac:dyDescent="0.25">
      <c r="A433" t="s">
        <v>360</v>
      </c>
      <c r="B433" t="s">
        <v>361</v>
      </c>
      <c r="C433">
        <v>7</v>
      </c>
      <c r="D433">
        <v>7</v>
      </c>
      <c r="E433">
        <v>0</v>
      </c>
      <c r="F433">
        <v>0</v>
      </c>
      <c r="G433">
        <v>34.200000000000003</v>
      </c>
      <c r="H433">
        <v>33</v>
      </c>
      <c r="I433">
        <v>20</v>
      </c>
      <c r="J433">
        <v>46</v>
      </c>
      <c r="K433">
        <v>17</v>
      </c>
      <c r="L433">
        <v>4</v>
      </c>
      <c r="M433">
        <v>3</v>
      </c>
      <c r="N433">
        <v>2</v>
      </c>
      <c r="O433">
        <v>0</v>
      </c>
      <c r="P433">
        <v>0</v>
      </c>
      <c r="Q433">
        <v>0</v>
      </c>
      <c r="R433">
        <v>5.19</v>
      </c>
      <c r="S433">
        <v>1.44</v>
      </c>
      <c r="T433">
        <f t="shared" si="18"/>
        <v>4.8857142857142861</v>
      </c>
      <c r="U433">
        <f t="shared" si="19"/>
        <v>0.58479532163742687</v>
      </c>
      <c r="V433">
        <f>U433-AVERAGEIFS(Pitchers[ER/IP],Pitchers[GS],"&gt;"&amp;0,Pitchers[IP],"&gt;"&amp;3)</f>
        <v>1.3294726838107396E-2</v>
      </c>
      <c r="W433">
        <f>IF(Pitchers[[#This Row],[IP/GS]]&lt;&gt;0,(Pitchers[[#This Row],[WHIP]]*$AH$5+$AI$5)/9*Pitchers[[#This Row],[IP/GS]],(Pitchers[[#This Row],[WHIP]]*$AH$5+$AI$5)/9*(Pitchers[[#This Row],[IP]]/Pitchers[[#This Row],[G]]))</f>
        <v>2.6725059167903007</v>
      </c>
      <c r="X433">
        <f>Pitchers[[#This Row],[Runs from WHIP]]-AVERAGEIFS(Pitchers[Runs from WHIP],Pitchers[GS],"&gt;"&amp;0,Pitchers[IP],"&gt;"&amp;3)</f>
        <v>-3.0134099893345585</v>
      </c>
      <c r="Y433">
        <f>IF(Pitchers[[#This Row],[IP/GS]]&lt;&gt;0,Pitchers[[#This Row],[ER/IP From Average]]*Pitchers[[#This Row],[IP/GS]],Pitchers[[#This Row],[ER/IP From Average]]*(Pitchers[[#This Row],[IP]]/Pitchers[[#This Row],[G]]))</f>
        <v>6.4954236837610424E-2</v>
      </c>
      <c r="Z433">
        <f t="shared" si="20"/>
        <v>-0.77759430242083827</v>
      </c>
      <c r="AA433" s="32">
        <f>IF(Pitchers[[#This Row],[W]]=0,0,Pitchers[[#This Row],[W]]/(Pitchers[[#This Row],[W]]+Pitchers[[#This Row],[L]]))</f>
        <v>0.6</v>
      </c>
      <c r="AB433" s="60"/>
    </row>
    <row r="434" spans="1:28" x14ac:dyDescent="0.25">
      <c r="A434" t="s">
        <v>662</v>
      </c>
      <c r="B434" t="s">
        <v>14</v>
      </c>
      <c r="C434">
        <v>14</v>
      </c>
      <c r="D434">
        <v>4</v>
      </c>
      <c r="E434">
        <v>0</v>
      </c>
      <c r="F434">
        <v>0</v>
      </c>
      <c r="G434">
        <v>34.200000000000003</v>
      </c>
      <c r="H434">
        <v>54</v>
      </c>
      <c r="I434">
        <v>38</v>
      </c>
      <c r="J434">
        <v>32</v>
      </c>
      <c r="K434">
        <v>17</v>
      </c>
      <c r="L434">
        <v>7</v>
      </c>
      <c r="M434">
        <v>1</v>
      </c>
      <c r="N434">
        <v>1</v>
      </c>
      <c r="O434">
        <v>1</v>
      </c>
      <c r="P434">
        <v>0</v>
      </c>
      <c r="Q434">
        <v>0</v>
      </c>
      <c r="R434">
        <v>9.8699999999999992</v>
      </c>
      <c r="S434">
        <v>2.0499999999999998</v>
      </c>
      <c r="T434">
        <f t="shared" si="18"/>
        <v>8.5500000000000007</v>
      </c>
      <c r="U434">
        <f t="shared" si="19"/>
        <v>1.1111111111111109</v>
      </c>
      <c r="V434">
        <f>U434-AVERAGEIFS(Pitchers[ER/IP],Pitchers[GS],"&gt;"&amp;0,Pitchers[IP],"&gt;"&amp;3)</f>
        <v>0.53961051631179147</v>
      </c>
      <c r="W434">
        <f>IF(Pitchers[[#This Row],[IP/GS]]&lt;&gt;0,(Pitchers[[#This Row],[WHIP]]*$AH$5+$AI$5)/9*Pitchers[[#This Row],[IP/GS]],(Pitchers[[#This Row],[WHIP]]*$AH$5+$AI$5)/9*(Pitchers[[#This Row],[IP]]/Pitchers[[#This Row],[G]]))</f>
        <v>7.3846419447921248</v>
      </c>
      <c r="X434">
        <f>Pitchers[[#This Row],[Runs from WHIP]]-AVERAGEIFS(Pitchers[Runs from WHIP],Pitchers[GS],"&gt;"&amp;0,Pitchers[IP],"&gt;"&amp;3)</f>
        <v>1.6987260386672656</v>
      </c>
      <c r="Y434">
        <f>IF(Pitchers[[#This Row],[IP/GS]]&lt;&gt;0,Pitchers[[#This Row],[ER/IP From Average]]*Pitchers[[#This Row],[IP/GS]],Pitchers[[#This Row],[ER/IP From Average]]*(Pitchers[[#This Row],[IP]]/Pitchers[[#This Row],[G]]))</f>
        <v>4.6136699144658175</v>
      </c>
      <c r="Z434">
        <f t="shared" si="20"/>
        <v>2.2984615760975973</v>
      </c>
      <c r="AA434" s="32">
        <f>IF(Pitchers[[#This Row],[W]]=0,0,Pitchers[[#This Row],[W]]/(Pitchers[[#This Row],[W]]+Pitchers[[#This Row],[L]]))</f>
        <v>0.5</v>
      </c>
      <c r="AB434" s="60"/>
    </row>
    <row r="435" spans="1:28" x14ac:dyDescent="0.25">
      <c r="A435" t="s">
        <v>3749</v>
      </c>
      <c r="B435" t="s">
        <v>5</v>
      </c>
      <c r="C435">
        <v>7</v>
      </c>
      <c r="D435">
        <v>7</v>
      </c>
      <c r="E435">
        <v>0</v>
      </c>
      <c r="F435">
        <v>0</v>
      </c>
      <c r="G435">
        <v>34.1</v>
      </c>
      <c r="H435">
        <v>33</v>
      </c>
      <c r="I435">
        <v>22</v>
      </c>
      <c r="J435">
        <v>25</v>
      </c>
      <c r="K435">
        <v>17</v>
      </c>
      <c r="L435">
        <v>6</v>
      </c>
      <c r="M435">
        <v>0</v>
      </c>
      <c r="N435">
        <v>4</v>
      </c>
      <c r="O435">
        <v>0</v>
      </c>
      <c r="P435">
        <v>0</v>
      </c>
      <c r="Q435">
        <v>0</v>
      </c>
      <c r="R435">
        <v>5.77</v>
      </c>
      <c r="S435">
        <v>1.46</v>
      </c>
      <c r="T435">
        <f t="shared" si="18"/>
        <v>4.8714285714285719</v>
      </c>
      <c r="U435">
        <f t="shared" si="19"/>
        <v>0.64516129032258063</v>
      </c>
      <c r="V435">
        <f>U435-AVERAGEIFS(Pitchers[ER/IP],Pitchers[GS],"&gt;"&amp;0,Pitchers[IP],"&gt;"&amp;3)</f>
        <v>7.3660695523261155E-2</v>
      </c>
      <c r="W435">
        <f>IF(Pitchers[[#This Row],[IP/GS]]&lt;&gt;0,(Pitchers[[#This Row],[WHIP]]*$AH$5+$AI$5)/9*Pitchers[[#This Row],[IP/GS]],(Pitchers[[#This Row],[WHIP]]*$AH$5+$AI$5)/9*(Pitchers[[#This Row],[IP]]/Pitchers[[#This Row],[G]]))</f>
        <v>2.7152740389547736</v>
      </c>
      <c r="X435">
        <f>Pitchers[[#This Row],[Runs from WHIP]]-AVERAGEIFS(Pitchers[Runs from WHIP],Pitchers[GS],"&gt;"&amp;0,Pitchers[IP],"&gt;"&amp;3)</f>
        <v>-2.9706418671700856</v>
      </c>
      <c r="Y435">
        <f>IF(Pitchers[[#This Row],[IP/GS]]&lt;&gt;0,Pitchers[[#This Row],[ER/IP From Average]]*Pitchers[[#This Row],[IP/GS]],Pitchers[[#This Row],[ER/IP From Average]]*(Pitchers[[#This Row],[IP]]/Pitchers[[#This Row],[G]]))</f>
        <v>0.35883281676331508</v>
      </c>
      <c r="Z435">
        <f t="shared" si="20"/>
        <v>-0.64863803787336338</v>
      </c>
      <c r="AA435" s="32">
        <f>IF(Pitchers[[#This Row],[W]]=0,0,Pitchers[[#This Row],[W]]/(Pitchers[[#This Row],[W]]+Pitchers[[#This Row],[L]]))</f>
        <v>0</v>
      </c>
      <c r="AB435" s="60"/>
    </row>
    <row r="436" spans="1:28" x14ac:dyDescent="0.25">
      <c r="A436" t="s">
        <v>707</v>
      </c>
      <c r="B436" t="s">
        <v>11</v>
      </c>
      <c r="C436">
        <v>28</v>
      </c>
      <c r="D436">
        <v>0</v>
      </c>
      <c r="E436">
        <v>0</v>
      </c>
      <c r="F436">
        <v>0</v>
      </c>
      <c r="G436">
        <v>34</v>
      </c>
      <c r="H436">
        <v>39</v>
      </c>
      <c r="I436">
        <v>21</v>
      </c>
      <c r="J436">
        <v>29</v>
      </c>
      <c r="K436">
        <v>14</v>
      </c>
      <c r="L436">
        <v>7</v>
      </c>
      <c r="M436">
        <v>0</v>
      </c>
      <c r="N436">
        <v>1</v>
      </c>
      <c r="O436">
        <v>0</v>
      </c>
      <c r="P436">
        <v>1</v>
      </c>
      <c r="Q436">
        <v>1</v>
      </c>
      <c r="R436">
        <v>5.56</v>
      </c>
      <c r="S436">
        <v>1.56</v>
      </c>
      <c r="T436">
        <f t="shared" si="18"/>
        <v>0</v>
      </c>
      <c r="U436">
        <f t="shared" si="19"/>
        <v>0.61764705882352944</v>
      </c>
      <c r="V436" s="60">
        <f>U436-AVERAGEIFS(Pitchers[ER/IP],Pitchers[GS],"&gt;"&amp;0,Pitchers[IP],"&gt;"&amp;3)</f>
        <v>4.6146464024209966E-2</v>
      </c>
      <c r="W436" s="60">
        <f>IF(Pitchers[[#This Row],[IP/GS]]&lt;&gt;0,(Pitchers[[#This Row],[WHIP]]*$AH$5+$AI$5)/9*Pitchers[[#This Row],[IP/GS]],(Pitchers[[#This Row],[WHIP]]*$AH$5+$AI$5)/9*(Pitchers[[#This Row],[IP]]/Pitchers[[#This Row],[G]]))</f>
        <v>0.73987050370991059</v>
      </c>
      <c r="X436" s="60">
        <f>Pitchers[[#This Row],[Runs from WHIP]]-AVERAGEIFS(Pitchers[Runs from WHIP],Pitchers[GS],"&gt;"&amp;0,Pitchers[IP],"&gt;"&amp;3)</f>
        <v>-4.9460454024149483</v>
      </c>
      <c r="Y436" s="60">
        <f>IF(Pitchers[[#This Row],[IP/GS]]&lt;&gt;0,Pitchers[[#This Row],[ER/IP From Average]]*Pitchers[[#This Row],[IP/GS]],Pitchers[[#This Row],[ER/IP From Average]]*(Pitchers[[#This Row],[IP]]/Pitchers[[#This Row],[G]]))</f>
        <v>5.6034992029397809E-2</v>
      </c>
      <c r="Z436" s="60">
        <f t="shared" si="20"/>
        <v>-1.2965314438322271</v>
      </c>
      <c r="AA436" s="32">
        <f>IF(Pitchers[[#This Row],[W]]=0,0,Pitchers[[#This Row],[W]]/(Pitchers[[#This Row],[W]]+Pitchers[[#This Row],[L]]))</f>
        <v>0</v>
      </c>
      <c r="AB436" s="60"/>
    </row>
    <row r="437" spans="1:28" x14ac:dyDescent="0.25">
      <c r="A437" t="s">
        <v>620</v>
      </c>
      <c r="B437" t="s">
        <v>12</v>
      </c>
      <c r="C437">
        <v>39</v>
      </c>
      <c r="D437">
        <v>0</v>
      </c>
      <c r="E437">
        <v>0</v>
      </c>
      <c r="F437">
        <v>0</v>
      </c>
      <c r="G437">
        <v>34</v>
      </c>
      <c r="H437">
        <v>36</v>
      </c>
      <c r="I437">
        <v>23</v>
      </c>
      <c r="J437">
        <v>27</v>
      </c>
      <c r="K437">
        <v>15</v>
      </c>
      <c r="L437">
        <v>10</v>
      </c>
      <c r="M437">
        <v>1</v>
      </c>
      <c r="N437">
        <v>1</v>
      </c>
      <c r="O437">
        <v>0</v>
      </c>
      <c r="P437">
        <v>1</v>
      </c>
      <c r="Q437">
        <v>2</v>
      </c>
      <c r="R437">
        <v>6.09</v>
      </c>
      <c r="S437">
        <v>1.5</v>
      </c>
      <c r="T437">
        <f t="shared" si="18"/>
        <v>0</v>
      </c>
      <c r="U437">
        <f t="shared" si="19"/>
        <v>0.67647058823529416</v>
      </c>
      <c r="V437">
        <f>U437-AVERAGEIFS(Pitchers[ER/IP],Pitchers[GS],"&gt;"&amp;0,Pitchers[IP],"&gt;"&amp;3)</f>
        <v>0.10496999343597468</v>
      </c>
      <c r="W437">
        <f>IF(Pitchers[[#This Row],[IP/GS]]&lt;&gt;0,(Pitchers[[#This Row],[WHIP]]*$AH$5+$AI$5)/9*Pitchers[[#This Row],[IP/GS]],(Pitchers[[#This Row],[WHIP]]*$AH$5+$AI$5)/9*(Pitchers[[#This Row],[IP]]/Pitchers[[#This Row],[G]]))</f>
        <v>0.50403223967187816</v>
      </c>
      <c r="X437">
        <f>Pitchers[[#This Row],[Runs from WHIP]]-AVERAGEIFS(Pitchers[Runs from WHIP],Pitchers[GS],"&gt;"&amp;0,Pitchers[IP],"&gt;"&amp;3)</f>
        <v>-5.1818836664529808</v>
      </c>
      <c r="Y437">
        <f>IF(Pitchers[[#This Row],[IP/GS]]&lt;&gt;0,Pitchers[[#This Row],[ER/IP From Average]]*Pitchers[[#This Row],[IP/GS]],Pitchers[[#This Row],[ER/IP From Average]]*(Pitchers[[#This Row],[IP]]/Pitchers[[#This Row],[G]]))</f>
        <v>9.1512301969824086E-2</v>
      </c>
      <c r="Z437">
        <f t="shared" si="20"/>
        <v>-1.3452307235995316</v>
      </c>
      <c r="AA437" s="32">
        <f>IF(Pitchers[[#This Row],[W]]=0,0,Pitchers[[#This Row],[W]]/(Pitchers[[#This Row],[W]]+Pitchers[[#This Row],[L]]))</f>
        <v>0.5</v>
      </c>
      <c r="AB437" s="60"/>
    </row>
    <row r="438" spans="1:28" x14ac:dyDescent="0.25">
      <c r="A438" t="s">
        <v>585</v>
      </c>
      <c r="B438" t="s">
        <v>18</v>
      </c>
      <c r="C438">
        <v>25</v>
      </c>
      <c r="D438">
        <v>0</v>
      </c>
      <c r="E438">
        <v>0</v>
      </c>
      <c r="F438">
        <v>0</v>
      </c>
      <c r="G438">
        <v>33.200000000000003</v>
      </c>
      <c r="H438">
        <v>36</v>
      </c>
      <c r="I438">
        <v>20</v>
      </c>
      <c r="J438">
        <v>27</v>
      </c>
      <c r="K438">
        <v>24</v>
      </c>
      <c r="L438">
        <v>4</v>
      </c>
      <c r="M438">
        <v>1</v>
      </c>
      <c r="N438">
        <v>0</v>
      </c>
      <c r="O438">
        <v>0</v>
      </c>
      <c r="P438">
        <v>0</v>
      </c>
      <c r="Q438">
        <v>0</v>
      </c>
      <c r="R438">
        <v>5.35</v>
      </c>
      <c r="S438">
        <v>1.78</v>
      </c>
      <c r="T438">
        <f t="shared" si="18"/>
        <v>0</v>
      </c>
      <c r="U438">
        <f t="shared" si="19"/>
        <v>0.60240963855421681</v>
      </c>
      <c r="V438">
        <f>U438-AVERAGEIFS(Pitchers[ER/IP],Pitchers[GS],"&gt;"&amp;0,Pitchers[IP],"&gt;"&amp;3)</f>
        <v>3.0909043754897336E-2</v>
      </c>
      <c r="W438">
        <f>IF(Pitchers[[#This Row],[IP/GS]]&lt;&gt;0,(Pitchers[[#This Row],[WHIP]]*$AH$5+$AI$5)/9*Pitchers[[#This Row],[IP/GS]],(Pitchers[[#This Row],[WHIP]]*$AH$5+$AI$5)/9*(Pitchers[[#This Row],[IP]]/Pitchers[[#This Row],[G]]))</f>
        <v>0.96083933344456307</v>
      </c>
      <c r="X438">
        <f>Pitchers[[#This Row],[Runs from WHIP]]-AVERAGEIFS(Pitchers[Runs from WHIP],Pitchers[GS],"&gt;"&amp;0,Pitchers[IP],"&gt;"&amp;3)</f>
        <v>-4.7250765726802957</v>
      </c>
      <c r="Y438">
        <f>IF(Pitchers[[#This Row],[IP/GS]]&lt;&gt;0,Pitchers[[#This Row],[ER/IP From Average]]*Pitchers[[#This Row],[IP/GS]],Pitchers[[#This Row],[ER/IP From Average]]*(Pitchers[[#This Row],[IP]]/Pitchers[[#This Row],[G]]))</f>
        <v>4.1047210106503668E-2</v>
      </c>
      <c r="Z438">
        <f t="shared" si="20"/>
        <v>-1.2436015353388108</v>
      </c>
      <c r="AA438" s="32">
        <f>IF(Pitchers[[#This Row],[W]]=0,0,Pitchers[[#This Row],[W]]/(Pitchers[[#This Row],[W]]+Pitchers[[#This Row],[L]]))</f>
        <v>1</v>
      </c>
      <c r="AB438" s="60"/>
    </row>
    <row r="439" spans="1:28" x14ac:dyDescent="0.25">
      <c r="A439" t="s">
        <v>531</v>
      </c>
      <c r="B439" t="s">
        <v>340</v>
      </c>
      <c r="C439">
        <v>38</v>
      </c>
      <c r="D439">
        <v>0</v>
      </c>
      <c r="E439">
        <v>0</v>
      </c>
      <c r="F439">
        <v>0</v>
      </c>
      <c r="G439">
        <v>33.1</v>
      </c>
      <c r="H439">
        <v>29</v>
      </c>
      <c r="I439">
        <v>15</v>
      </c>
      <c r="J439">
        <v>35</v>
      </c>
      <c r="K439">
        <v>16</v>
      </c>
      <c r="L439">
        <v>3</v>
      </c>
      <c r="M439">
        <v>0</v>
      </c>
      <c r="N439">
        <v>3</v>
      </c>
      <c r="O439">
        <v>2</v>
      </c>
      <c r="P439">
        <v>3</v>
      </c>
      <c r="Q439">
        <v>17</v>
      </c>
      <c r="R439">
        <v>4.05</v>
      </c>
      <c r="S439">
        <v>1.35</v>
      </c>
      <c r="T439">
        <f t="shared" si="18"/>
        <v>0</v>
      </c>
      <c r="U439">
        <f t="shared" si="19"/>
        <v>0.45317220543806647</v>
      </c>
      <c r="V439">
        <f>U439-AVERAGEIFS(Pitchers[ER/IP],Pitchers[GS],"&gt;"&amp;0,Pitchers[IP],"&gt;"&amp;3)</f>
        <v>-0.11832838936125301</v>
      </c>
      <c r="W439">
        <f>IF(Pitchers[[#This Row],[IP/GS]]&lt;&gt;0,(Pitchers[[#This Row],[WHIP]]*$AH$5+$AI$5)/9*Pitchers[[#This Row],[IP/GS]],(Pitchers[[#This Row],[WHIP]]*$AH$5+$AI$5)/9*(Pitchers[[#This Row],[IP]]/Pitchers[[#This Row],[G]]))</f>
        <v>0.43576881314058291</v>
      </c>
      <c r="X439">
        <f>Pitchers[[#This Row],[Runs from WHIP]]-AVERAGEIFS(Pitchers[Runs from WHIP],Pitchers[GS],"&gt;"&amp;0,Pitchers[IP],"&gt;"&amp;3)</f>
        <v>-5.2501470929842764</v>
      </c>
      <c r="Y439">
        <f>IF(Pitchers[[#This Row],[IP/GS]]&lt;&gt;0,Pitchers[[#This Row],[ER/IP From Average]]*Pitchers[[#This Row],[IP/GS]],Pitchers[[#This Row],[ER/IP From Average]]*(Pitchers[[#This Row],[IP]]/Pitchers[[#This Row],[G]]))</f>
        <v>-0.10307025494361775</v>
      </c>
      <c r="Z439">
        <f t="shared" si="20"/>
        <v>-1.4412673267732539</v>
      </c>
      <c r="AA439" s="32">
        <f>IF(Pitchers[[#This Row],[W]]=0,0,Pitchers[[#This Row],[W]]/(Pitchers[[#This Row],[W]]+Pitchers[[#This Row],[L]]))</f>
        <v>0</v>
      </c>
      <c r="AB439" s="60"/>
    </row>
    <row r="440" spans="1:28" x14ac:dyDescent="0.25">
      <c r="A440" t="s">
        <v>1325</v>
      </c>
      <c r="B440" t="s">
        <v>31</v>
      </c>
      <c r="C440">
        <v>31</v>
      </c>
      <c r="D440">
        <v>0</v>
      </c>
      <c r="E440">
        <v>0</v>
      </c>
      <c r="F440">
        <v>0</v>
      </c>
      <c r="G440">
        <v>33.1</v>
      </c>
      <c r="H440">
        <v>22</v>
      </c>
      <c r="I440">
        <v>9</v>
      </c>
      <c r="J440">
        <v>35</v>
      </c>
      <c r="K440">
        <v>16</v>
      </c>
      <c r="L440">
        <v>0</v>
      </c>
      <c r="M440">
        <v>2</v>
      </c>
      <c r="N440">
        <v>0</v>
      </c>
      <c r="O440">
        <v>2</v>
      </c>
      <c r="P440">
        <v>0</v>
      </c>
      <c r="Q440">
        <v>5</v>
      </c>
      <c r="R440">
        <v>2.4300000000000002</v>
      </c>
      <c r="S440">
        <v>1.1399999999999999</v>
      </c>
      <c r="T440">
        <f t="shared" si="18"/>
        <v>0</v>
      </c>
      <c r="U440">
        <f t="shared" si="19"/>
        <v>0.27190332326283989</v>
      </c>
      <c r="V440">
        <f>U440-AVERAGEIFS(Pitchers[ER/IP],Pitchers[GS],"&gt;"&amp;0,Pitchers[IP],"&gt;"&amp;3)</f>
        <v>-0.29959727153647958</v>
      </c>
      <c r="W440">
        <f>IF(Pitchers[[#This Row],[IP/GS]]&lt;&gt;0,(Pitchers[[#This Row],[WHIP]]*$AH$5+$AI$5)/9*Pitchers[[#This Row],[IP/GS]],(Pitchers[[#This Row],[WHIP]]*$AH$5+$AI$5)/9*(Pitchers[[#This Row],[IP]]/Pitchers[[#This Row],[G]]))</f>
        <v>0.41775581623996294</v>
      </c>
      <c r="X440">
        <f>Pitchers[[#This Row],[Runs from WHIP]]-AVERAGEIFS(Pitchers[Runs from WHIP],Pitchers[GS],"&gt;"&amp;0,Pitchers[IP],"&gt;"&amp;3)</f>
        <v>-5.2681600898848959</v>
      </c>
      <c r="Y440">
        <f>IF(Pitchers[[#This Row],[IP/GS]]&lt;&gt;0,Pitchers[[#This Row],[ER/IP From Average]]*Pitchers[[#This Row],[IP/GS]],Pitchers[[#This Row],[ER/IP From Average]]*(Pitchers[[#This Row],[IP]]/Pitchers[[#This Row],[G]]))</f>
        <v>-0.31989257057604759</v>
      </c>
      <c r="Z440">
        <f t="shared" si="20"/>
        <v>-1.5327997188663913</v>
      </c>
      <c r="AA440" s="32">
        <f>IF(Pitchers[[#This Row],[W]]=0,0,Pitchers[[#This Row],[W]]/(Pitchers[[#This Row],[W]]+Pitchers[[#This Row],[L]]))</f>
        <v>1</v>
      </c>
      <c r="AB440" s="60"/>
    </row>
    <row r="441" spans="1:28" x14ac:dyDescent="0.25">
      <c r="A441" t="s">
        <v>4115</v>
      </c>
      <c r="B441" t="s">
        <v>11</v>
      </c>
      <c r="C441">
        <v>7</v>
      </c>
      <c r="D441">
        <v>7</v>
      </c>
      <c r="E441">
        <v>0</v>
      </c>
      <c r="F441">
        <v>0</v>
      </c>
      <c r="G441">
        <v>33.1</v>
      </c>
      <c r="H441">
        <v>34</v>
      </c>
      <c r="I441">
        <v>18</v>
      </c>
      <c r="J441">
        <v>24</v>
      </c>
      <c r="K441">
        <v>14</v>
      </c>
      <c r="L441">
        <v>9</v>
      </c>
      <c r="M441">
        <v>2</v>
      </c>
      <c r="N441">
        <v>3</v>
      </c>
      <c r="O441">
        <v>0</v>
      </c>
      <c r="P441">
        <v>0</v>
      </c>
      <c r="Q441">
        <v>0</v>
      </c>
      <c r="R441">
        <v>4.8600000000000003</v>
      </c>
      <c r="S441">
        <v>1.44</v>
      </c>
      <c r="T441">
        <f t="shared" si="18"/>
        <v>4.7285714285714286</v>
      </c>
      <c r="U441">
        <f t="shared" si="19"/>
        <v>0.54380664652567978</v>
      </c>
      <c r="V441">
        <f>U441-AVERAGEIFS(Pitchers[ER/IP],Pitchers[GS],"&gt;"&amp;0,Pitchers[IP],"&gt;"&amp;3)</f>
        <v>-2.769394827363969E-2</v>
      </c>
      <c r="W441">
        <f>IF(Pitchers[[#This Row],[IP/GS]]&lt;&gt;0,(Pitchers[[#This Row],[WHIP]]*$AH$5+$AI$5)/9*Pitchers[[#This Row],[IP/GS]],(Pitchers[[#This Row],[WHIP]]*$AH$5+$AI$5)/9*(Pitchers[[#This Row],[IP]]/Pitchers[[#This Row],[G]]))</f>
        <v>2.5865481241449984</v>
      </c>
      <c r="X441">
        <f>Pitchers[[#This Row],[Runs from WHIP]]-AVERAGEIFS(Pitchers[Runs from WHIP],Pitchers[GS],"&gt;"&amp;0,Pitchers[IP],"&gt;"&amp;3)</f>
        <v>-3.0993677819798608</v>
      </c>
      <c r="Y441">
        <f>IF(Pitchers[[#This Row],[IP/GS]]&lt;&gt;0,Pitchers[[#This Row],[ER/IP From Average]]*Pitchers[[#This Row],[IP/GS]],Pitchers[[#This Row],[ER/IP From Average]]*(Pitchers[[#This Row],[IP]]/Pitchers[[#This Row],[G]]))</f>
        <v>-0.13095281255106769</v>
      </c>
      <c r="Z441">
        <f t="shared" si="20"/>
        <v>-0.87887920021505683</v>
      </c>
      <c r="AA441" s="32">
        <f>IF(Pitchers[[#This Row],[W]]=0,0,Pitchers[[#This Row],[W]]/(Pitchers[[#This Row],[W]]+Pitchers[[#This Row],[L]]))</f>
        <v>0.4</v>
      </c>
      <c r="AB441" s="60"/>
    </row>
    <row r="442" spans="1:28" x14ac:dyDescent="0.25">
      <c r="A442" t="s">
        <v>441</v>
      </c>
      <c r="B442" t="s">
        <v>17</v>
      </c>
      <c r="C442">
        <v>27</v>
      </c>
      <c r="D442">
        <v>0</v>
      </c>
      <c r="E442">
        <v>0</v>
      </c>
      <c r="F442">
        <v>0</v>
      </c>
      <c r="G442">
        <v>32.200000000000003</v>
      </c>
      <c r="H442">
        <v>21</v>
      </c>
      <c r="I442">
        <v>13</v>
      </c>
      <c r="J442">
        <v>34</v>
      </c>
      <c r="K442">
        <v>9</v>
      </c>
      <c r="L442">
        <v>2</v>
      </c>
      <c r="M442">
        <v>3</v>
      </c>
      <c r="N442">
        <v>1</v>
      </c>
      <c r="O442">
        <v>0</v>
      </c>
      <c r="P442">
        <v>1</v>
      </c>
      <c r="Q442">
        <v>1</v>
      </c>
      <c r="R442">
        <v>3.58</v>
      </c>
      <c r="S442">
        <v>0.92</v>
      </c>
      <c r="T442">
        <f t="shared" si="18"/>
        <v>0</v>
      </c>
      <c r="U442">
        <f t="shared" si="19"/>
        <v>0.40372670807453415</v>
      </c>
      <c r="V442">
        <f>U442-AVERAGEIFS(Pitchers[ER/IP],Pitchers[GS],"&gt;"&amp;0,Pitchers[IP],"&gt;"&amp;3)</f>
        <v>-0.16777388672478533</v>
      </c>
      <c r="W442">
        <f>IF(Pitchers[[#This Row],[IP/GS]]&lt;&gt;0,(Pitchers[[#This Row],[WHIP]]*$AH$5+$AI$5)/9*Pitchers[[#This Row],[IP/GS]],(Pitchers[[#This Row],[WHIP]]*$AH$5+$AI$5)/9*(Pitchers[[#This Row],[IP]]/Pitchers[[#This Row],[G]]))</f>
        <v>0.33038773869187243</v>
      </c>
      <c r="X442">
        <f>Pitchers[[#This Row],[Runs from WHIP]]-AVERAGEIFS(Pitchers[Runs from WHIP],Pitchers[GS],"&gt;"&amp;0,Pitchers[IP],"&gt;"&amp;3)</f>
        <v>-5.3555281674329871</v>
      </c>
      <c r="Y442">
        <f>IF(Pitchers[[#This Row],[IP/GS]]&lt;&gt;0,Pitchers[[#This Row],[ER/IP From Average]]*Pitchers[[#This Row],[IP/GS]],Pitchers[[#This Row],[ER/IP From Average]]*(Pitchers[[#This Row],[IP]]/Pitchers[[#This Row],[G]]))</f>
        <v>-0.20008589453844769</v>
      </c>
      <c r="Z442">
        <f t="shared" si="20"/>
        <v>-1.5081752024641759</v>
      </c>
      <c r="AA442" s="32">
        <f>IF(Pitchers[[#This Row],[W]]=0,0,Pitchers[[#This Row],[W]]/(Pitchers[[#This Row],[W]]+Pitchers[[#This Row],[L]]))</f>
        <v>0.75</v>
      </c>
      <c r="AB442" s="60"/>
    </row>
    <row r="443" spans="1:28" x14ac:dyDescent="0.25">
      <c r="A443" t="s">
        <v>1271</v>
      </c>
      <c r="B443" t="s">
        <v>219</v>
      </c>
      <c r="C443">
        <v>21</v>
      </c>
      <c r="D443">
        <v>2</v>
      </c>
      <c r="E443">
        <v>0</v>
      </c>
      <c r="F443">
        <v>0</v>
      </c>
      <c r="G443">
        <v>32.200000000000003</v>
      </c>
      <c r="H443">
        <v>39</v>
      </c>
      <c r="I443">
        <v>21</v>
      </c>
      <c r="J443">
        <v>25</v>
      </c>
      <c r="K443">
        <v>14</v>
      </c>
      <c r="L443">
        <v>7</v>
      </c>
      <c r="M443">
        <v>0</v>
      </c>
      <c r="N443">
        <v>2</v>
      </c>
      <c r="O443">
        <v>0</v>
      </c>
      <c r="P443">
        <v>1</v>
      </c>
      <c r="Q443">
        <v>1</v>
      </c>
      <c r="R443">
        <v>5.79</v>
      </c>
      <c r="S443">
        <v>1.62</v>
      </c>
      <c r="T443">
        <f t="shared" si="18"/>
        <v>16.100000000000001</v>
      </c>
      <c r="U443">
        <f t="shared" si="19"/>
        <v>0.65217391304347816</v>
      </c>
      <c r="V443">
        <f>U443-AVERAGEIFS(Pitchers[ER/IP],Pitchers[GS],"&gt;"&amp;0,Pitchers[IP],"&gt;"&amp;3)</f>
        <v>8.0673318244158687E-2</v>
      </c>
      <c r="W443">
        <f>IF(Pitchers[[#This Row],[IP/GS]]&lt;&gt;0,(Pitchers[[#This Row],[WHIP]]*$AH$5+$AI$5)/9*Pitchers[[#This Row],[IP/GS]],(Pitchers[[#This Row],[WHIP]]*$AH$5+$AI$5)/9*(Pitchers[[#This Row],[IP]]/Pitchers[[#This Row],[G]]))</f>
        <v>10.311335378084802</v>
      </c>
      <c r="X443">
        <f>Pitchers[[#This Row],[Runs from WHIP]]-AVERAGEIFS(Pitchers[Runs from WHIP],Pitchers[GS],"&gt;"&amp;0,Pitchers[IP],"&gt;"&amp;3)</f>
        <v>4.6254194719599431</v>
      </c>
      <c r="Y443">
        <f>IF(Pitchers[[#This Row],[IP/GS]]&lt;&gt;0,Pitchers[[#This Row],[ER/IP From Average]]*Pitchers[[#This Row],[IP/GS]],Pitchers[[#This Row],[ER/IP From Average]]*(Pitchers[[#This Row],[IP]]/Pitchers[[#This Row],[G]]))</f>
        <v>1.298840423730955</v>
      </c>
      <c r="Z443">
        <f t="shared" si="20"/>
        <v>1.7529813620150332</v>
      </c>
      <c r="AA443" s="32">
        <f>IF(Pitchers[[#This Row],[W]]=0,0,Pitchers[[#This Row],[W]]/(Pitchers[[#This Row],[W]]+Pitchers[[#This Row],[L]]))</f>
        <v>0</v>
      </c>
      <c r="AB443" s="60"/>
    </row>
    <row r="444" spans="1:28" x14ac:dyDescent="0.25">
      <c r="A444" t="s">
        <v>584</v>
      </c>
      <c r="B444" t="s">
        <v>19</v>
      </c>
      <c r="C444">
        <v>25</v>
      </c>
      <c r="D444">
        <v>0</v>
      </c>
      <c r="E444">
        <v>0</v>
      </c>
      <c r="F444">
        <v>0</v>
      </c>
      <c r="G444">
        <v>32.1</v>
      </c>
      <c r="H444">
        <v>38</v>
      </c>
      <c r="I444">
        <v>23</v>
      </c>
      <c r="J444">
        <v>32</v>
      </c>
      <c r="K444">
        <v>23</v>
      </c>
      <c r="L444">
        <v>4</v>
      </c>
      <c r="M444">
        <v>4</v>
      </c>
      <c r="N444">
        <v>1</v>
      </c>
      <c r="O444">
        <v>0</v>
      </c>
      <c r="P444">
        <v>0</v>
      </c>
      <c r="Q444">
        <v>1</v>
      </c>
      <c r="R444">
        <v>6.4</v>
      </c>
      <c r="S444">
        <v>1.89</v>
      </c>
      <c r="T444">
        <f t="shared" si="18"/>
        <v>0</v>
      </c>
      <c r="U444">
        <f t="shared" si="19"/>
        <v>0.71651090342679125</v>
      </c>
      <c r="V444">
        <f>U444-AVERAGEIFS(Pitchers[ER/IP],Pitchers[GS],"&gt;"&amp;0,Pitchers[IP],"&gt;"&amp;3)</f>
        <v>0.14501030862747177</v>
      </c>
      <c r="W444">
        <f>IF(Pitchers[[#This Row],[IP/GS]]&lt;&gt;0,(Pitchers[[#This Row],[WHIP]]*$AH$5+$AI$5)/9*Pitchers[[#This Row],[IP/GS]],(Pitchers[[#This Row],[WHIP]]*$AH$5+$AI$5)/9*(Pitchers[[#This Row],[IP]]/Pitchers[[#This Row],[G]]))</f>
        <v>1.0023325554415374</v>
      </c>
      <c r="X444">
        <f>Pitchers[[#This Row],[Runs from WHIP]]-AVERAGEIFS(Pitchers[Runs from WHIP],Pitchers[GS],"&gt;"&amp;0,Pitchers[IP],"&gt;"&amp;3)</f>
        <v>-4.683583350683322</v>
      </c>
      <c r="Y444">
        <f>IF(Pitchers[[#This Row],[IP/GS]]&lt;&gt;0,Pitchers[[#This Row],[ER/IP From Average]]*Pitchers[[#This Row],[IP/GS]],Pitchers[[#This Row],[ER/IP From Average]]*(Pitchers[[#This Row],[IP]]/Pitchers[[#This Row],[G]]))</f>
        <v>0.18619323627767376</v>
      </c>
      <c r="Z444">
        <f t="shared" si="20"/>
        <v>-1.1744782656711494</v>
      </c>
      <c r="AA444" s="32">
        <f>IF(Pitchers[[#This Row],[W]]=0,0,Pitchers[[#This Row],[W]]/(Pitchers[[#This Row],[W]]+Pitchers[[#This Row],[L]]))</f>
        <v>0.8</v>
      </c>
      <c r="AB444" s="60"/>
    </row>
    <row r="445" spans="1:28" x14ac:dyDescent="0.25">
      <c r="A445" t="s">
        <v>924</v>
      </c>
      <c r="B445" t="s">
        <v>10</v>
      </c>
      <c r="C445">
        <v>45</v>
      </c>
      <c r="D445">
        <v>0</v>
      </c>
      <c r="E445">
        <v>0</v>
      </c>
      <c r="F445">
        <v>0</v>
      </c>
      <c r="G445">
        <v>32.1</v>
      </c>
      <c r="H445">
        <v>25</v>
      </c>
      <c r="I445">
        <v>14</v>
      </c>
      <c r="J445">
        <v>37</v>
      </c>
      <c r="K445">
        <v>16</v>
      </c>
      <c r="L445">
        <v>5</v>
      </c>
      <c r="M445">
        <v>1</v>
      </c>
      <c r="N445">
        <v>0</v>
      </c>
      <c r="O445">
        <v>1</v>
      </c>
      <c r="P445">
        <v>0</v>
      </c>
      <c r="Q445">
        <v>10</v>
      </c>
      <c r="R445">
        <v>3.9</v>
      </c>
      <c r="S445">
        <v>1.27</v>
      </c>
      <c r="T445">
        <f t="shared" si="18"/>
        <v>0</v>
      </c>
      <c r="U445">
        <f t="shared" si="19"/>
        <v>0.43613707165109034</v>
      </c>
      <c r="V445">
        <f>U445-AVERAGEIFS(Pitchers[ER/IP],Pitchers[GS],"&gt;"&amp;0,Pitchers[IP],"&gt;"&amp;3)</f>
        <v>-0.13536352314822914</v>
      </c>
      <c r="W445">
        <f>IF(Pitchers[[#This Row],[IP/GS]]&lt;&gt;0,(Pitchers[[#This Row],[WHIP]]*$AH$5+$AI$5)/9*Pitchers[[#This Row],[IP/GS]],(Pitchers[[#This Row],[WHIP]]*$AH$5+$AI$5)/9*(Pitchers[[#This Row],[IP]]/Pitchers[[#This Row],[G]]))</f>
        <v>0.32723767577546242</v>
      </c>
      <c r="X445">
        <f>Pitchers[[#This Row],[Runs from WHIP]]-AVERAGEIFS(Pitchers[Runs from WHIP],Pitchers[GS],"&gt;"&amp;0,Pitchers[IP],"&gt;"&amp;3)</f>
        <v>-5.3586782303493967</v>
      </c>
      <c r="Y445">
        <f>IF(Pitchers[[#This Row],[IP/GS]]&lt;&gt;0,Pitchers[[#This Row],[ER/IP From Average]]*Pitchers[[#This Row],[IP/GS]],Pitchers[[#This Row],[ER/IP From Average]]*(Pitchers[[#This Row],[IP]]/Pitchers[[#This Row],[G]]))</f>
        <v>-9.6559313179070128E-2</v>
      </c>
      <c r="Z445">
        <f t="shared" si="20"/>
        <v>-1.4676045866981335</v>
      </c>
      <c r="AA445" s="32">
        <f>IF(Pitchers[[#This Row],[W]]=0,0,Pitchers[[#This Row],[W]]/(Pitchers[[#This Row],[W]]+Pitchers[[#This Row],[L]]))</f>
        <v>1</v>
      </c>
      <c r="AB445" s="60"/>
    </row>
    <row r="446" spans="1:28" x14ac:dyDescent="0.25">
      <c r="A446" t="s">
        <v>762</v>
      </c>
      <c r="B446" t="s">
        <v>10</v>
      </c>
      <c r="C446">
        <v>36</v>
      </c>
      <c r="D446">
        <v>0</v>
      </c>
      <c r="E446">
        <v>0</v>
      </c>
      <c r="F446">
        <v>0</v>
      </c>
      <c r="G446">
        <v>32.1</v>
      </c>
      <c r="H446">
        <v>24</v>
      </c>
      <c r="I446">
        <v>5</v>
      </c>
      <c r="J446">
        <v>28</v>
      </c>
      <c r="K446">
        <v>12</v>
      </c>
      <c r="L446">
        <v>4</v>
      </c>
      <c r="M446">
        <v>4</v>
      </c>
      <c r="N446">
        <v>0</v>
      </c>
      <c r="O446">
        <v>2</v>
      </c>
      <c r="P446">
        <v>2</v>
      </c>
      <c r="Q446">
        <v>9</v>
      </c>
      <c r="R446">
        <v>1.39</v>
      </c>
      <c r="S446">
        <v>1.1100000000000001</v>
      </c>
      <c r="T446">
        <f t="shared" si="18"/>
        <v>0</v>
      </c>
      <c r="U446">
        <f t="shared" si="19"/>
        <v>0.1557632398753894</v>
      </c>
      <c r="V446">
        <f>U446-AVERAGEIFS(Pitchers[ER/IP],Pitchers[GS],"&gt;"&amp;0,Pitchers[IP],"&gt;"&amp;3)</f>
        <v>-0.41573735492393005</v>
      </c>
      <c r="W446">
        <f>IF(Pitchers[[#This Row],[IP/GS]]&lt;&gt;0,(Pitchers[[#This Row],[WHIP]]*$AH$5+$AI$5)/9*Pitchers[[#This Row],[IP/GS]],(Pitchers[[#This Row],[WHIP]]*$AH$5+$AI$5)/9*(Pitchers[[#This Row],[IP]]/Pitchers[[#This Row],[G]]))</f>
        <v>0.33497814506956003</v>
      </c>
      <c r="X446">
        <f>Pitchers[[#This Row],[Runs from WHIP]]-AVERAGEIFS(Pitchers[Runs from WHIP],Pitchers[GS],"&gt;"&amp;0,Pitchers[IP],"&gt;"&amp;3)</f>
        <v>-5.3509377610552988</v>
      </c>
      <c r="Y446">
        <f>IF(Pitchers[[#This Row],[IP/GS]]&lt;&gt;0,Pitchers[[#This Row],[ER/IP From Average]]*Pitchers[[#This Row],[IP/GS]],Pitchers[[#This Row],[ER/IP From Average]]*(Pitchers[[#This Row],[IP]]/Pitchers[[#This Row],[G]]))</f>
        <v>-0.37069914147383765</v>
      </c>
      <c r="Z446">
        <f t="shared" si="20"/>
        <v>-1.575196392870948</v>
      </c>
      <c r="AA446" s="32">
        <f>IF(Pitchers[[#This Row],[W]]=0,0,Pitchers[[#This Row],[W]]/(Pitchers[[#This Row],[W]]+Pitchers[[#This Row],[L]]))</f>
        <v>1</v>
      </c>
      <c r="AB446" s="60"/>
    </row>
    <row r="447" spans="1:28" x14ac:dyDescent="0.25">
      <c r="A447" t="s">
        <v>1322</v>
      </c>
      <c r="B447" t="s">
        <v>12</v>
      </c>
      <c r="C447">
        <v>27</v>
      </c>
      <c r="D447">
        <v>0</v>
      </c>
      <c r="E447">
        <v>0</v>
      </c>
      <c r="F447">
        <v>0</v>
      </c>
      <c r="G447">
        <v>32</v>
      </c>
      <c r="H447">
        <v>27</v>
      </c>
      <c r="I447">
        <v>13</v>
      </c>
      <c r="J447">
        <v>25</v>
      </c>
      <c r="K447">
        <v>13</v>
      </c>
      <c r="L447">
        <v>2</v>
      </c>
      <c r="M447">
        <v>2</v>
      </c>
      <c r="N447">
        <v>0</v>
      </c>
      <c r="O447">
        <v>0</v>
      </c>
      <c r="P447">
        <v>0</v>
      </c>
      <c r="Q447">
        <v>0</v>
      </c>
      <c r="R447">
        <v>3.66</v>
      </c>
      <c r="S447">
        <v>1.25</v>
      </c>
      <c r="T447">
        <f t="shared" si="18"/>
        <v>0</v>
      </c>
      <c r="U447">
        <f t="shared" si="19"/>
        <v>0.40625</v>
      </c>
      <c r="V447">
        <f>U447-AVERAGEIFS(Pitchers[ER/IP],Pitchers[GS],"&gt;"&amp;0,Pitchers[IP],"&gt;"&amp;3)</f>
        <v>-0.16525059479931947</v>
      </c>
      <c r="W447">
        <f>IF(Pitchers[[#This Row],[IP/GS]]&lt;&gt;0,(Pitchers[[#This Row],[WHIP]]*$AH$5+$AI$5)/9*Pitchers[[#This Row],[IP/GS]],(Pitchers[[#This Row],[WHIP]]*$AH$5+$AI$5)/9*(Pitchers[[#This Row],[IP]]/Pitchers[[#This Row],[G]]))</f>
        <v>0.53139070539644528</v>
      </c>
      <c r="X447">
        <f>Pitchers[[#This Row],[Runs from WHIP]]-AVERAGEIFS(Pitchers[Runs from WHIP],Pitchers[GS],"&gt;"&amp;0,Pitchers[IP],"&gt;"&amp;3)</f>
        <v>-5.1545252007284139</v>
      </c>
      <c r="Y447">
        <f>IF(Pitchers[[#This Row],[IP/GS]]&lt;&gt;0,Pitchers[[#This Row],[ER/IP From Average]]*Pitchers[[#This Row],[IP/GS]],Pitchers[[#This Row],[ER/IP From Average]]*(Pitchers[[#This Row],[IP]]/Pitchers[[#This Row],[G]]))</f>
        <v>-0.19585255679919344</v>
      </c>
      <c r="Z447">
        <f t="shared" si="20"/>
        <v>-1.4528810762472546</v>
      </c>
      <c r="AA447" s="32">
        <f>IF(Pitchers[[#This Row],[W]]=0,0,Pitchers[[#This Row],[W]]/(Pitchers[[#This Row],[W]]+Pitchers[[#This Row],[L]]))</f>
        <v>1</v>
      </c>
      <c r="AB447" s="60"/>
    </row>
    <row r="448" spans="1:28" x14ac:dyDescent="0.25">
      <c r="A448" t="s">
        <v>616</v>
      </c>
      <c r="B448" t="s">
        <v>27</v>
      </c>
      <c r="C448">
        <v>45</v>
      </c>
      <c r="D448">
        <v>0</v>
      </c>
      <c r="E448">
        <v>0</v>
      </c>
      <c r="F448">
        <v>0</v>
      </c>
      <c r="G448">
        <v>32</v>
      </c>
      <c r="H448">
        <v>33</v>
      </c>
      <c r="I448">
        <v>18</v>
      </c>
      <c r="J448">
        <v>30</v>
      </c>
      <c r="K448">
        <v>14</v>
      </c>
      <c r="L448">
        <v>5</v>
      </c>
      <c r="M448">
        <v>4</v>
      </c>
      <c r="N448">
        <v>0</v>
      </c>
      <c r="O448">
        <v>0</v>
      </c>
      <c r="P448">
        <v>0</v>
      </c>
      <c r="Q448">
        <v>3</v>
      </c>
      <c r="R448">
        <v>5.0599999999999996</v>
      </c>
      <c r="S448">
        <v>1.47</v>
      </c>
      <c r="T448">
        <f t="shared" si="18"/>
        <v>0</v>
      </c>
      <c r="U448">
        <f t="shared" si="19"/>
        <v>0.5625</v>
      </c>
      <c r="V448">
        <f>U448-AVERAGEIFS(Pitchers[ER/IP],Pitchers[GS],"&gt;"&amp;0,Pitchers[IP],"&gt;"&amp;3)</f>
        <v>-9.0005947993194724E-3</v>
      </c>
      <c r="W448">
        <f>IF(Pitchers[[#This Row],[IP/GS]]&lt;&gt;0,(Pitchers[[#This Row],[WHIP]]*$AH$5+$AI$5)/9*Pitchers[[#This Row],[IP/GS]],(Pitchers[[#This Row],[WHIP]]*$AH$5+$AI$5)/9*(Pitchers[[#This Row],[IP]]/Pitchers[[#This Row],[G]]))</f>
        <v>0.40005644902203652</v>
      </c>
      <c r="X448">
        <f>Pitchers[[#This Row],[Runs from WHIP]]-AVERAGEIFS(Pitchers[Runs from WHIP],Pitchers[GS],"&gt;"&amp;0,Pitchers[IP],"&gt;"&amp;3)</f>
        <v>-5.2858594571028226</v>
      </c>
      <c r="Y448">
        <f>IF(Pitchers[[#This Row],[IP/GS]]&lt;&gt;0,Pitchers[[#This Row],[ER/IP From Average]]*Pitchers[[#This Row],[IP/GS]],Pitchers[[#This Row],[ER/IP From Average]]*(Pitchers[[#This Row],[IP]]/Pitchers[[#This Row],[G]]))</f>
        <v>-6.400422968404958E-3</v>
      </c>
      <c r="Z448">
        <f t="shared" si="20"/>
        <v>-1.4121226910814479</v>
      </c>
      <c r="AA448" s="32">
        <f>IF(Pitchers[[#This Row],[W]]=0,0,Pitchers[[#This Row],[W]]/(Pitchers[[#This Row],[W]]+Pitchers[[#This Row],[L]]))</f>
        <v>1</v>
      </c>
      <c r="AB448" s="60"/>
    </row>
    <row r="449" spans="1:28" x14ac:dyDescent="0.25">
      <c r="A449" t="s">
        <v>652</v>
      </c>
      <c r="B449" t="s">
        <v>28</v>
      </c>
      <c r="C449">
        <v>15</v>
      </c>
      <c r="D449">
        <v>4</v>
      </c>
      <c r="E449">
        <v>0</v>
      </c>
      <c r="F449">
        <v>0</v>
      </c>
      <c r="G449">
        <v>31.2</v>
      </c>
      <c r="H449">
        <v>31</v>
      </c>
      <c r="I449">
        <v>16</v>
      </c>
      <c r="J449">
        <v>37</v>
      </c>
      <c r="K449">
        <v>16</v>
      </c>
      <c r="L449">
        <v>6</v>
      </c>
      <c r="M449">
        <v>2</v>
      </c>
      <c r="N449">
        <v>2</v>
      </c>
      <c r="O449">
        <v>0</v>
      </c>
      <c r="P449">
        <v>1</v>
      </c>
      <c r="Q449">
        <v>0</v>
      </c>
      <c r="R449">
        <v>4.55</v>
      </c>
      <c r="S449">
        <v>1.48</v>
      </c>
      <c r="T449">
        <f t="shared" si="18"/>
        <v>7.8</v>
      </c>
      <c r="U449">
        <f t="shared" si="19"/>
        <v>0.51282051282051289</v>
      </c>
      <c r="V449">
        <f>U449-AVERAGEIFS(Pitchers[ER/IP],Pitchers[GS],"&gt;"&amp;0,Pitchers[IP],"&gt;"&amp;3)</f>
        <v>-5.8680081978806586E-2</v>
      </c>
      <c r="W449">
        <f>IF(Pitchers[[#This Row],[IP/GS]]&lt;&gt;0,(Pitchers[[#This Row],[WHIP]]*$AH$5+$AI$5)/9*Pitchers[[#This Row],[IP/GS]],(Pitchers[[#This Row],[WHIP]]*$AH$5+$AI$5)/9*(Pitchers[[#This Row],[IP]]/Pitchers[[#This Row],[G]]))</f>
        <v>4.4286148159068315</v>
      </c>
      <c r="X449">
        <f>Pitchers[[#This Row],[Runs from WHIP]]-AVERAGEIFS(Pitchers[Runs from WHIP],Pitchers[GS],"&gt;"&amp;0,Pitchers[IP],"&gt;"&amp;3)</f>
        <v>-1.2573010902180277</v>
      </c>
      <c r="Y449">
        <f>IF(Pitchers[[#This Row],[IP/GS]]&lt;&gt;0,Pitchers[[#This Row],[ER/IP From Average]]*Pitchers[[#This Row],[IP/GS]],Pitchers[[#This Row],[ER/IP From Average]]*(Pitchers[[#This Row],[IP]]/Pitchers[[#This Row],[G]]))</f>
        <v>-0.45770463943469136</v>
      </c>
      <c r="Z449">
        <f t="shared" si="20"/>
        <v>-0.51836214649868395</v>
      </c>
      <c r="AA449" s="32">
        <f>IF(Pitchers[[#This Row],[W]]=0,0,Pitchers[[#This Row],[W]]/(Pitchers[[#This Row],[W]]+Pitchers[[#This Row],[L]]))</f>
        <v>0.5</v>
      </c>
      <c r="AB449" s="60"/>
    </row>
    <row r="450" spans="1:28" x14ac:dyDescent="0.25">
      <c r="A450" t="s">
        <v>749</v>
      </c>
      <c r="B450" t="s">
        <v>18</v>
      </c>
      <c r="C450">
        <v>9</v>
      </c>
      <c r="D450">
        <v>6</v>
      </c>
      <c r="E450">
        <v>0</v>
      </c>
      <c r="F450">
        <v>0</v>
      </c>
      <c r="G450">
        <v>31.2</v>
      </c>
      <c r="H450">
        <v>33</v>
      </c>
      <c r="I450">
        <v>15</v>
      </c>
      <c r="J450">
        <v>28</v>
      </c>
      <c r="K450">
        <v>21</v>
      </c>
      <c r="L450">
        <v>5</v>
      </c>
      <c r="M450">
        <v>2</v>
      </c>
      <c r="N450">
        <v>4</v>
      </c>
      <c r="O450">
        <v>0</v>
      </c>
      <c r="P450">
        <v>0</v>
      </c>
      <c r="Q450">
        <v>0</v>
      </c>
      <c r="R450">
        <v>4.26</v>
      </c>
      <c r="S450">
        <v>1.71</v>
      </c>
      <c r="T450">
        <f t="shared" si="18"/>
        <v>5.2</v>
      </c>
      <c r="U450">
        <f t="shared" si="19"/>
        <v>0.48076923076923078</v>
      </c>
      <c r="V450">
        <f>U450-AVERAGEIFS(Pitchers[ER/IP],Pitchers[GS],"&gt;"&amp;0,Pitchers[IP],"&gt;"&amp;3)</f>
        <v>-9.073136403008869E-2</v>
      </c>
      <c r="W450">
        <f>IF(Pitchers[[#This Row],[IP/GS]]&lt;&gt;0,(Pitchers[[#This Row],[WHIP]]*$AH$5+$AI$5)/9*Pitchers[[#This Row],[IP/GS]],(Pitchers[[#This Row],[WHIP]]*$AH$5+$AI$5)/9*(Pitchers[[#This Row],[IP]]/Pitchers[[#This Row],[G]]))</f>
        <v>3.5733430346155375</v>
      </c>
      <c r="X450">
        <f>Pitchers[[#This Row],[Runs from WHIP]]-AVERAGEIFS(Pitchers[Runs from WHIP],Pitchers[GS],"&gt;"&amp;0,Pitchers[IP],"&gt;"&amp;3)</f>
        <v>-2.1125728715093217</v>
      </c>
      <c r="Y450">
        <f>IF(Pitchers[[#This Row],[IP/GS]]&lt;&gt;0,Pitchers[[#This Row],[ER/IP From Average]]*Pitchers[[#This Row],[IP/GS]],Pitchers[[#This Row],[ER/IP From Average]]*(Pitchers[[#This Row],[IP]]/Pitchers[[#This Row],[G]]))</f>
        <v>-0.47180309295646122</v>
      </c>
      <c r="Z450">
        <f t="shared" si="20"/>
        <v>-0.75207400291840376</v>
      </c>
      <c r="AA450" s="32">
        <f>IF(Pitchers[[#This Row],[W]]=0,0,Pitchers[[#This Row],[W]]/(Pitchers[[#This Row],[W]]+Pitchers[[#This Row],[L]]))</f>
        <v>0.33333333333333331</v>
      </c>
      <c r="AB450" s="60"/>
    </row>
    <row r="451" spans="1:28" x14ac:dyDescent="0.25">
      <c r="A451" t="s">
        <v>534</v>
      </c>
      <c r="B451" t="s">
        <v>27</v>
      </c>
      <c r="C451">
        <v>15</v>
      </c>
      <c r="D451">
        <v>3</v>
      </c>
      <c r="E451">
        <v>0</v>
      </c>
      <c r="F451">
        <v>0</v>
      </c>
      <c r="G451">
        <v>31</v>
      </c>
      <c r="H451">
        <v>29</v>
      </c>
      <c r="I451">
        <v>17</v>
      </c>
      <c r="J451">
        <v>24</v>
      </c>
      <c r="K451">
        <v>13</v>
      </c>
      <c r="L451">
        <v>8</v>
      </c>
      <c r="M451">
        <v>1</v>
      </c>
      <c r="N451">
        <v>2</v>
      </c>
      <c r="O451">
        <v>0</v>
      </c>
      <c r="P451">
        <v>1</v>
      </c>
      <c r="Q451">
        <v>0</v>
      </c>
      <c r="R451">
        <v>4.9400000000000004</v>
      </c>
      <c r="S451">
        <v>1.35</v>
      </c>
      <c r="T451">
        <f t="shared" si="18"/>
        <v>10.333333333333334</v>
      </c>
      <c r="U451">
        <f t="shared" si="19"/>
        <v>0.54838709677419351</v>
      </c>
      <c r="V451">
        <f>U451-AVERAGEIFS(Pitchers[ER/IP],Pitchers[GS],"&gt;"&amp;0,Pitchers[IP],"&gt;"&amp;3)</f>
        <v>-2.3113498025125967E-2</v>
      </c>
      <c r="W451">
        <f>IF(Pitchers[[#This Row],[IP/GS]]&lt;&gt;0,(Pitchers[[#This Row],[WHIP]]*$AH$5+$AI$5)/9*Pitchers[[#This Row],[IP/GS]],(Pitchers[[#This Row],[WHIP]]*$AH$5+$AI$5)/9*(Pitchers[[#This Row],[IP]]/Pitchers[[#This Row],[G]]))</f>
        <v>5.1695434227553543</v>
      </c>
      <c r="X451">
        <f>Pitchers[[#This Row],[Runs from WHIP]]-AVERAGEIFS(Pitchers[Runs from WHIP],Pitchers[GS],"&gt;"&amp;0,Pitchers[IP],"&gt;"&amp;3)</f>
        <v>-0.51637248336950492</v>
      </c>
      <c r="Y451">
        <f>IF(Pitchers[[#This Row],[IP/GS]]&lt;&gt;0,Pitchers[[#This Row],[ER/IP From Average]]*Pitchers[[#This Row],[IP/GS]],Pitchers[[#This Row],[ER/IP From Average]]*(Pitchers[[#This Row],[IP]]/Pitchers[[#This Row],[G]]))</f>
        <v>-0.23883947959296833</v>
      </c>
      <c r="Z451">
        <f t="shared" si="20"/>
        <v>-0.23323512073572195</v>
      </c>
      <c r="AA451" s="32">
        <f>IF(Pitchers[[#This Row],[W]]=0,0,Pitchers[[#This Row],[W]]/(Pitchers[[#This Row],[W]]+Pitchers[[#This Row],[L]]))</f>
        <v>0.33333333333333331</v>
      </c>
      <c r="AB451" s="60"/>
    </row>
    <row r="452" spans="1:28" x14ac:dyDescent="0.25">
      <c r="A452" t="s">
        <v>767</v>
      </c>
      <c r="B452" t="s">
        <v>1</v>
      </c>
      <c r="C452">
        <v>29</v>
      </c>
      <c r="D452">
        <v>2</v>
      </c>
      <c r="E452">
        <v>0</v>
      </c>
      <c r="F452">
        <v>0</v>
      </c>
      <c r="G452">
        <v>31</v>
      </c>
      <c r="H452">
        <v>20</v>
      </c>
      <c r="I452">
        <v>13</v>
      </c>
      <c r="J452">
        <v>51</v>
      </c>
      <c r="K452">
        <v>14</v>
      </c>
      <c r="L452">
        <v>4</v>
      </c>
      <c r="M452">
        <v>2</v>
      </c>
      <c r="N452">
        <v>2</v>
      </c>
      <c r="O452">
        <v>0</v>
      </c>
      <c r="P452">
        <v>2</v>
      </c>
      <c r="Q452">
        <v>10</v>
      </c>
      <c r="R452">
        <v>3.77</v>
      </c>
      <c r="S452">
        <v>1.1000000000000001</v>
      </c>
      <c r="T452">
        <f t="shared" si="18"/>
        <v>15.5</v>
      </c>
      <c r="U452">
        <f t="shared" si="19"/>
        <v>0.41935483870967744</v>
      </c>
      <c r="V452">
        <f>U452-AVERAGEIFS(Pitchers[ER/IP],Pitchers[GS],"&gt;"&amp;0,Pitchers[IP],"&gt;"&amp;3)</f>
        <v>-0.15214575608964204</v>
      </c>
      <c r="W452">
        <f>IF(Pitchers[[#This Row],[IP/GS]]&lt;&gt;0,(Pitchers[[#This Row],[WHIP]]*$AH$5+$AI$5)/9*Pitchers[[#This Row],[IP/GS]],(Pitchers[[#This Row],[WHIP]]*$AH$5+$AI$5)/9*(Pitchers[[#This Row],[IP]]/Pitchers[[#This Row],[G]]))</f>
        <v>5.742512471332673</v>
      </c>
      <c r="X452">
        <f>Pitchers[[#This Row],[Runs from WHIP]]-AVERAGEIFS(Pitchers[Runs from WHIP],Pitchers[GS],"&gt;"&amp;0,Pitchers[IP],"&gt;"&amp;3)</f>
        <v>5.6596565207813754E-2</v>
      </c>
      <c r="Y452">
        <f>IF(Pitchers[[#This Row],[IP/GS]]&lt;&gt;0,Pitchers[[#This Row],[ER/IP From Average]]*Pitchers[[#This Row],[IP/GS]],Pitchers[[#This Row],[ER/IP From Average]]*(Pitchers[[#This Row],[IP]]/Pitchers[[#This Row],[G]]))</f>
        <v>-2.3582592193894514</v>
      </c>
      <c r="Z452">
        <f t="shared" si="20"/>
        <v>-0.92821127036703022</v>
      </c>
      <c r="AA452" s="32">
        <f>IF(Pitchers[[#This Row],[W]]=0,0,Pitchers[[#This Row],[W]]/(Pitchers[[#This Row],[W]]+Pitchers[[#This Row],[L]]))</f>
        <v>0.5</v>
      </c>
      <c r="AB452" s="60"/>
    </row>
    <row r="453" spans="1:28" x14ac:dyDescent="0.25">
      <c r="A453" t="s">
        <v>688</v>
      </c>
      <c r="B453" t="s">
        <v>332</v>
      </c>
      <c r="C453">
        <v>27</v>
      </c>
      <c r="D453">
        <v>0</v>
      </c>
      <c r="E453">
        <v>0</v>
      </c>
      <c r="F453">
        <v>0</v>
      </c>
      <c r="G453">
        <v>31</v>
      </c>
      <c r="H453">
        <v>29</v>
      </c>
      <c r="I453">
        <v>13</v>
      </c>
      <c r="J453">
        <v>29</v>
      </c>
      <c r="K453">
        <v>16</v>
      </c>
      <c r="L453">
        <v>7</v>
      </c>
      <c r="M453">
        <v>1</v>
      </c>
      <c r="N453">
        <v>0</v>
      </c>
      <c r="O453">
        <v>0</v>
      </c>
      <c r="P453">
        <v>1</v>
      </c>
      <c r="Q453">
        <v>4</v>
      </c>
      <c r="R453">
        <v>3.77</v>
      </c>
      <c r="S453">
        <v>1.45</v>
      </c>
      <c r="T453">
        <f t="shared" ref="T453:T516" si="21">IF(D453=0,0,G453/D453)</f>
        <v>0</v>
      </c>
      <c r="U453">
        <f t="shared" ref="U453:U516" si="22">IF(G453=0,0,I453/G453)</f>
        <v>0.41935483870967744</v>
      </c>
      <c r="V453" s="60">
        <f>U453-AVERAGEIFS(Pitchers[ER/IP],Pitchers[GS],"&gt;"&amp;0,Pitchers[IP],"&gt;"&amp;3)</f>
        <v>-0.15214575608964204</v>
      </c>
      <c r="W453" s="60">
        <f>IF(Pitchers[[#This Row],[IP/GS]]&lt;&gt;0,(Pitchers[[#This Row],[WHIP]]*$AH$5+$AI$5)/9*Pitchers[[#This Row],[IP/GS]],(Pitchers[[#This Row],[WHIP]]*$AH$5+$AI$5)/9*(Pitchers[[#This Row],[IP]]/Pitchers[[#This Row],[G]]))</f>
        <v>0.63400268142616101</v>
      </c>
      <c r="X453" s="60">
        <f>Pitchers[[#This Row],[Runs from WHIP]]-AVERAGEIFS(Pitchers[Runs from WHIP],Pitchers[GS],"&gt;"&amp;0,Pitchers[IP],"&gt;"&amp;3)</f>
        <v>-5.0519132246986977</v>
      </c>
      <c r="Y453" s="60">
        <f>IF(Pitchers[[#This Row],[IP/GS]]&lt;&gt;0,Pitchers[[#This Row],[ER/IP From Average]]*Pitchers[[#This Row],[IP/GS]],Pitchers[[#This Row],[ER/IP From Average]]*(Pitchers[[#This Row],[IP]]/Pitchers[[#This Row],[G]]))</f>
        <v>-0.17468586810292233</v>
      </c>
      <c r="Z453" s="60">
        <f t="shared" ref="Z453:Z516" si="23">AVERAGE(X453,X453,Y453,Y453,Y453)/1.5</f>
        <v>-1.4170512071608219</v>
      </c>
      <c r="AA453" s="32">
        <f>IF(Pitchers[[#This Row],[W]]=0,0,Pitchers[[#This Row],[W]]/(Pitchers[[#This Row],[W]]+Pitchers[[#This Row],[L]]))</f>
        <v>1</v>
      </c>
      <c r="AB453" s="60"/>
    </row>
    <row r="454" spans="1:28" x14ac:dyDescent="0.25">
      <c r="A454" t="s">
        <v>1188</v>
      </c>
      <c r="B454" t="s">
        <v>9</v>
      </c>
      <c r="C454">
        <v>18</v>
      </c>
      <c r="D454">
        <v>2</v>
      </c>
      <c r="E454">
        <v>0</v>
      </c>
      <c r="F454">
        <v>0</v>
      </c>
      <c r="G454">
        <v>31</v>
      </c>
      <c r="H454">
        <v>36</v>
      </c>
      <c r="I454">
        <v>20</v>
      </c>
      <c r="J454">
        <v>29</v>
      </c>
      <c r="K454">
        <v>8</v>
      </c>
      <c r="L454">
        <v>10</v>
      </c>
      <c r="M454">
        <v>0</v>
      </c>
      <c r="N454">
        <v>3</v>
      </c>
      <c r="O454">
        <v>1</v>
      </c>
      <c r="P454">
        <v>1</v>
      </c>
      <c r="Q454">
        <v>0</v>
      </c>
      <c r="R454">
        <v>5.81</v>
      </c>
      <c r="S454">
        <v>1.42</v>
      </c>
      <c r="T454">
        <f t="shared" si="21"/>
        <v>15.5</v>
      </c>
      <c r="U454">
        <f t="shared" si="22"/>
        <v>0.64516129032258063</v>
      </c>
      <c r="V454">
        <f>U454-AVERAGEIFS(Pitchers[ER/IP],Pitchers[GS],"&gt;"&amp;0,Pitchers[IP],"&gt;"&amp;3)</f>
        <v>7.3660695523261155E-2</v>
      </c>
      <c r="W454">
        <f>IF(Pitchers[[#This Row],[IP/GS]]&lt;&gt;0,(Pitchers[[#This Row],[WHIP]]*$AH$5+$AI$5)/9*Pitchers[[#This Row],[IP/GS]],(Pitchers[[#This Row],[WHIP]]*$AH$5+$AI$5)/9*(Pitchers[[#This Row],[IP]]/Pitchers[[#This Row],[G]]))</f>
        <v>8.3176198797171299</v>
      </c>
      <c r="X454">
        <f>Pitchers[[#This Row],[Runs from WHIP]]-AVERAGEIFS(Pitchers[Runs from WHIP],Pitchers[GS],"&gt;"&amp;0,Pitchers[IP],"&gt;"&amp;3)</f>
        <v>2.6317039735922707</v>
      </c>
      <c r="Y454">
        <f>IF(Pitchers[[#This Row],[IP/GS]]&lt;&gt;0,Pitchers[[#This Row],[ER/IP From Average]]*Pitchers[[#This Row],[IP/GS]],Pitchers[[#This Row],[ER/IP From Average]]*(Pitchers[[#This Row],[IP]]/Pitchers[[#This Row],[G]]))</f>
        <v>1.141740780610548</v>
      </c>
      <c r="Z454">
        <f t="shared" si="23"/>
        <v>1.1584840385354913</v>
      </c>
      <c r="AA454" s="32">
        <f>IF(Pitchers[[#This Row],[W]]=0,0,Pitchers[[#This Row],[W]]/(Pitchers[[#This Row],[W]]+Pitchers[[#This Row],[L]]))</f>
        <v>0</v>
      </c>
      <c r="AB454" s="60"/>
    </row>
    <row r="455" spans="1:28" x14ac:dyDescent="0.25">
      <c r="A455" t="s">
        <v>651</v>
      </c>
      <c r="B455" t="s">
        <v>3</v>
      </c>
      <c r="C455">
        <v>39</v>
      </c>
      <c r="D455">
        <v>0</v>
      </c>
      <c r="E455">
        <v>0</v>
      </c>
      <c r="F455">
        <v>0</v>
      </c>
      <c r="G455">
        <v>30.2</v>
      </c>
      <c r="H455">
        <v>34</v>
      </c>
      <c r="I455">
        <v>15</v>
      </c>
      <c r="J455">
        <v>28</v>
      </c>
      <c r="K455">
        <v>16</v>
      </c>
      <c r="L455">
        <v>3</v>
      </c>
      <c r="M455">
        <v>1</v>
      </c>
      <c r="N455">
        <v>1</v>
      </c>
      <c r="O455">
        <v>0</v>
      </c>
      <c r="P455">
        <v>1</v>
      </c>
      <c r="Q455">
        <v>1</v>
      </c>
      <c r="R455">
        <v>4.4000000000000004</v>
      </c>
      <c r="S455">
        <v>1.63</v>
      </c>
      <c r="T455">
        <f t="shared" si="21"/>
        <v>0</v>
      </c>
      <c r="U455">
        <f t="shared" si="22"/>
        <v>0.49668874172185434</v>
      </c>
      <c r="V455">
        <f>U455-AVERAGEIFS(Pitchers[ER/IP],Pitchers[GS],"&gt;"&amp;0,Pitchers[IP],"&gt;"&amp;3)</f>
        <v>-7.4811853077465129E-2</v>
      </c>
      <c r="W455">
        <f>IF(Pitchers[[#This Row],[IP/GS]]&lt;&gt;0,(Pitchers[[#This Row],[WHIP]]*$AH$5+$AI$5)/9*Pitchers[[#This Row],[IP/GS]],(Pitchers[[#This Row],[WHIP]]*$AH$5+$AI$5)/9*(Pitchers[[#This Row],[IP]]/Pitchers[[#This Row],[G]]))</f>
        <v>0.49996282930914276</v>
      </c>
      <c r="X455">
        <f>Pitchers[[#This Row],[Runs from WHIP]]-AVERAGEIFS(Pitchers[Runs from WHIP],Pitchers[GS],"&gt;"&amp;0,Pitchers[IP],"&gt;"&amp;3)</f>
        <v>-5.185953076815716</v>
      </c>
      <c r="Y455">
        <f>IF(Pitchers[[#This Row],[IP/GS]]&lt;&gt;0,Pitchers[[#This Row],[ER/IP From Average]]*Pitchers[[#This Row],[IP/GS]],Pitchers[[#This Row],[ER/IP From Average]]*(Pitchers[[#This Row],[IP]]/Pitchers[[#This Row],[G]]))</f>
        <v>-5.7931229818960178E-2</v>
      </c>
      <c r="Z455">
        <f t="shared" si="23"/>
        <v>-1.4060933124117749</v>
      </c>
      <c r="AA455" s="32">
        <f>IF(Pitchers[[#This Row],[W]]=0,0,Pitchers[[#This Row],[W]]/(Pitchers[[#This Row],[W]]+Pitchers[[#This Row],[L]]))</f>
        <v>0.5</v>
      </c>
      <c r="AB455" s="60"/>
    </row>
    <row r="456" spans="1:28" x14ac:dyDescent="0.25">
      <c r="A456" t="s">
        <v>464</v>
      </c>
      <c r="B456" t="s">
        <v>219</v>
      </c>
      <c r="C456">
        <v>18</v>
      </c>
      <c r="D456">
        <v>1</v>
      </c>
      <c r="E456">
        <v>0</v>
      </c>
      <c r="F456">
        <v>0</v>
      </c>
      <c r="G456">
        <v>30.2</v>
      </c>
      <c r="H456">
        <v>36</v>
      </c>
      <c r="I456">
        <v>19</v>
      </c>
      <c r="J456">
        <v>30</v>
      </c>
      <c r="K456">
        <v>8</v>
      </c>
      <c r="L456">
        <v>7</v>
      </c>
      <c r="M456">
        <v>0</v>
      </c>
      <c r="N456">
        <v>2</v>
      </c>
      <c r="O456">
        <v>0</v>
      </c>
      <c r="P456">
        <v>0</v>
      </c>
      <c r="Q456">
        <v>0</v>
      </c>
      <c r="R456">
        <v>5.58</v>
      </c>
      <c r="S456">
        <v>1.43</v>
      </c>
      <c r="T456">
        <f t="shared" si="21"/>
        <v>30.2</v>
      </c>
      <c r="U456">
        <f t="shared" si="22"/>
        <v>0.62913907284768211</v>
      </c>
      <c r="V456">
        <f>U456-AVERAGEIFS(Pitchers[ER/IP],Pitchers[GS],"&gt;"&amp;0,Pitchers[IP],"&gt;"&amp;3)</f>
        <v>5.763847804836264E-2</v>
      </c>
      <c r="W456">
        <f>IF(Pitchers[[#This Row],[IP/GS]]&lt;&gt;0,(Pitchers[[#This Row],[WHIP]]*$AH$5+$AI$5)/9*Pitchers[[#This Row],[IP/GS]],(Pitchers[[#This Row],[WHIP]]*$AH$5+$AI$5)/9*(Pitchers[[#This Row],[IP]]/Pitchers[[#This Row],[G]]))</f>
        <v>16.362734063491622</v>
      </c>
      <c r="X456">
        <f>Pitchers[[#This Row],[Runs from WHIP]]-AVERAGEIFS(Pitchers[Runs from WHIP],Pitchers[GS],"&gt;"&amp;0,Pitchers[IP],"&gt;"&amp;3)</f>
        <v>10.676818157366764</v>
      </c>
      <c r="Y456">
        <f>IF(Pitchers[[#This Row],[IP/GS]]&lt;&gt;0,Pitchers[[#This Row],[ER/IP From Average]]*Pitchers[[#This Row],[IP/GS]],Pitchers[[#This Row],[ER/IP From Average]]*(Pitchers[[#This Row],[IP]]/Pitchers[[#This Row],[G]]))</f>
        <v>1.7406820370605518</v>
      </c>
      <c r="Z456">
        <f t="shared" si="23"/>
        <v>3.543424323455358</v>
      </c>
      <c r="AA456" s="32">
        <f>IF(Pitchers[[#This Row],[W]]=0,0,Pitchers[[#This Row],[W]]/(Pitchers[[#This Row],[W]]+Pitchers[[#This Row],[L]]))</f>
        <v>0</v>
      </c>
      <c r="AB456" s="60"/>
    </row>
    <row r="457" spans="1:28" x14ac:dyDescent="0.25">
      <c r="A457" t="s">
        <v>852</v>
      </c>
      <c r="B457" t="s">
        <v>9</v>
      </c>
      <c r="C457">
        <v>29</v>
      </c>
      <c r="D457">
        <v>1</v>
      </c>
      <c r="E457">
        <v>0</v>
      </c>
      <c r="F457">
        <v>0</v>
      </c>
      <c r="G457">
        <v>30.1</v>
      </c>
      <c r="H457">
        <v>27</v>
      </c>
      <c r="I457">
        <v>15</v>
      </c>
      <c r="J457">
        <v>57</v>
      </c>
      <c r="K457">
        <v>26</v>
      </c>
      <c r="L457">
        <v>1</v>
      </c>
      <c r="M457">
        <v>0</v>
      </c>
      <c r="N457">
        <v>1</v>
      </c>
      <c r="O457">
        <v>0</v>
      </c>
      <c r="P457">
        <v>0</v>
      </c>
      <c r="Q457">
        <v>2</v>
      </c>
      <c r="R457">
        <v>4.45</v>
      </c>
      <c r="S457">
        <v>1.75</v>
      </c>
      <c r="T457">
        <f t="shared" si="21"/>
        <v>30.1</v>
      </c>
      <c r="U457">
        <f t="shared" si="22"/>
        <v>0.49833887043189368</v>
      </c>
      <c r="V457">
        <f>U457-AVERAGEIFS(Pitchers[ER/IP],Pitchers[GS],"&gt;"&amp;0,Pitchers[IP],"&gt;"&amp;3)</f>
        <v>-7.3161724367425796E-2</v>
      </c>
      <c r="W457">
        <f>IF(Pitchers[[#This Row],[IP/GS]]&lt;&gt;0,(Pitchers[[#This Row],[WHIP]]*$AH$5+$AI$5)/9*Pitchers[[#This Row],[IP/GS]],(Pitchers[[#This Row],[WHIP]]*$AH$5+$AI$5)/9*(Pitchers[[#This Row],[IP]]/Pitchers[[#This Row],[G]]))</f>
        <v>21.309245275991572</v>
      </c>
      <c r="X457">
        <f>Pitchers[[#This Row],[Runs from WHIP]]-AVERAGEIFS(Pitchers[Runs from WHIP],Pitchers[GS],"&gt;"&amp;0,Pitchers[IP],"&gt;"&amp;3)</f>
        <v>15.623329369866713</v>
      </c>
      <c r="Y457">
        <f>IF(Pitchers[[#This Row],[IP/GS]]&lt;&gt;0,Pitchers[[#This Row],[ER/IP From Average]]*Pitchers[[#This Row],[IP/GS]],Pitchers[[#This Row],[ER/IP From Average]]*(Pitchers[[#This Row],[IP]]/Pitchers[[#This Row],[G]]))</f>
        <v>-2.2021679034595167</v>
      </c>
      <c r="Z457">
        <f t="shared" si="23"/>
        <v>3.2853540039139832</v>
      </c>
      <c r="AA457" s="32">
        <f>IF(Pitchers[[#This Row],[W]]=0,0,Pitchers[[#This Row],[W]]/(Pitchers[[#This Row],[W]]+Pitchers[[#This Row],[L]]))</f>
        <v>0</v>
      </c>
      <c r="AB457" s="60"/>
    </row>
    <row r="458" spans="1:28" x14ac:dyDescent="0.25">
      <c r="A458" t="s">
        <v>1358</v>
      </c>
      <c r="B458" t="s">
        <v>4</v>
      </c>
      <c r="C458">
        <v>28</v>
      </c>
      <c r="D458">
        <v>0</v>
      </c>
      <c r="E458">
        <v>0</v>
      </c>
      <c r="F458">
        <v>0</v>
      </c>
      <c r="G458">
        <v>30.1</v>
      </c>
      <c r="H458">
        <v>23</v>
      </c>
      <c r="I458">
        <v>12</v>
      </c>
      <c r="J458">
        <v>33</v>
      </c>
      <c r="K458">
        <v>8</v>
      </c>
      <c r="L458">
        <v>3</v>
      </c>
      <c r="M458">
        <v>1</v>
      </c>
      <c r="N458">
        <v>0</v>
      </c>
      <c r="O458">
        <v>0</v>
      </c>
      <c r="P458">
        <v>0</v>
      </c>
      <c r="Q458">
        <v>3</v>
      </c>
      <c r="R458">
        <v>3.56</v>
      </c>
      <c r="S458">
        <v>1.02</v>
      </c>
      <c r="T458">
        <f t="shared" si="21"/>
        <v>0</v>
      </c>
      <c r="U458">
        <f t="shared" si="22"/>
        <v>0.39867109634551495</v>
      </c>
      <c r="V458">
        <f>U458-AVERAGEIFS(Pitchers[ER/IP],Pitchers[GS],"&gt;"&amp;0,Pitchers[IP],"&gt;"&amp;3)</f>
        <v>-0.17282949845380452</v>
      </c>
      <c r="W458">
        <f>IF(Pitchers[[#This Row],[IP/GS]]&lt;&gt;0,(Pitchers[[#This Row],[WHIP]]*$AH$5+$AI$5)/9*Pitchers[[#This Row],[IP/GS]],(Pitchers[[#This Row],[WHIP]]*$AH$5+$AI$5)/9*(Pitchers[[#This Row],[IP]]/Pitchers[[#This Row],[G]]))</f>
        <v>0.35362198649543874</v>
      </c>
      <c r="X458">
        <f>Pitchers[[#This Row],[Runs from WHIP]]-AVERAGEIFS(Pitchers[Runs from WHIP],Pitchers[GS],"&gt;"&amp;0,Pitchers[IP],"&gt;"&amp;3)</f>
        <v>-5.3322939196294206</v>
      </c>
      <c r="Y458">
        <f>IF(Pitchers[[#This Row],[IP/GS]]&lt;&gt;0,Pitchers[[#This Row],[ER/IP From Average]]*Pitchers[[#This Row],[IP/GS]],Pitchers[[#This Row],[ER/IP From Average]]*(Pitchers[[#This Row],[IP]]/Pitchers[[#This Row],[G]]))</f>
        <v>-0.18579171083783985</v>
      </c>
      <c r="Z458">
        <f t="shared" si="23"/>
        <v>-1.4962617295696481</v>
      </c>
      <c r="AA458" s="32">
        <f>IF(Pitchers[[#This Row],[W]]=0,0,Pitchers[[#This Row],[W]]/(Pitchers[[#This Row],[W]]+Pitchers[[#This Row],[L]]))</f>
        <v>1</v>
      </c>
      <c r="AB458" s="60"/>
    </row>
    <row r="459" spans="1:28" x14ac:dyDescent="0.25">
      <c r="A459" t="s">
        <v>1149</v>
      </c>
      <c r="B459" t="s">
        <v>6</v>
      </c>
      <c r="C459">
        <v>28</v>
      </c>
      <c r="D459">
        <v>0</v>
      </c>
      <c r="E459">
        <v>0</v>
      </c>
      <c r="F459">
        <v>0</v>
      </c>
      <c r="G459">
        <v>30.1</v>
      </c>
      <c r="H459">
        <v>22</v>
      </c>
      <c r="I459">
        <v>15</v>
      </c>
      <c r="J459">
        <v>47</v>
      </c>
      <c r="K459">
        <v>18</v>
      </c>
      <c r="L459">
        <v>6</v>
      </c>
      <c r="M459">
        <v>1</v>
      </c>
      <c r="N459">
        <v>0</v>
      </c>
      <c r="O459">
        <v>0</v>
      </c>
      <c r="P459">
        <v>0</v>
      </c>
      <c r="Q459">
        <v>2</v>
      </c>
      <c r="R459">
        <v>4.45</v>
      </c>
      <c r="S459">
        <v>1.32</v>
      </c>
      <c r="T459">
        <f t="shared" si="21"/>
        <v>0</v>
      </c>
      <c r="U459">
        <f t="shared" si="22"/>
        <v>0.49833887043189368</v>
      </c>
      <c r="V459">
        <f>U459-AVERAGEIFS(Pitchers[ER/IP],Pitchers[GS],"&gt;"&amp;0,Pitchers[IP],"&gt;"&amp;3)</f>
        <v>-7.3161724367425796E-2</v>
      </c>
      <c r="W459">
        <f>IF(Pitchers[[#This Row],[IP/GS]]&lt;&gt;0,(Pitchers[[#This Row],[WHIP]]*$AH$5+$AI$5)/9*Pitchers[[#This Row],[IP/GS]],(Pitchers[[#This Row],[WHIP]]*$AH$5+$AI$5)/9*(Pitchers[[#This Row],[IP]]/Pitchers[[#This Row],[G]]))</f>
        <v>0.5210558855285008</v>
      </c>
      <c r="X459">
        <f>Pitchers[[#This Row],[Runs from WHIP]]-AVERAGEIFS(Pitchers[Runs from WHIP],Pitchers[GS],"&gt;"&amp;0,Pitchers[IP],"&gt;"&amp;3)</f>
        <v>-5.1648600205963584</v>
      </c>
      <c r="Y459">
        <f>IF(Pitchers[[#This Row],[IP/GS]]&lt;&gt;0,Pitchers[[#This Row],[ER/IP From Average]]*Pitchers[[#This Row],[IP/GS]],Pitchers[[#This Row],[ER/IP From Average]]*(Pitchers[[#This Row],[IP]]/Pitchers[[#This Row],[G]]))</f>
        <v>-7.8648853694982729E-2</v>
      </c>
      <c r="Z459">
        <f t="shared" si="23"/>
        <v>-1.4087555469703552</v>
      </c>
      <c r="AA459" s="32">
        <f>IF(Pitchers[[#This Row],[W]]=0,0,Pitchers[[#This Row],[W]]/(Pitchers[[#This Row],[W]]+Pitchers[[#This Row],[L]]))</f>
        <v>1</v>
      </c>
      <c r="AB459" s="60"/>
    </row>
    <row r="460" spans="1:28" x14ac:dyDescent="0.25">
      <c r="A460" t="s">
        <v>499</v>
      </c>
      <c r="B460" t="s">
        <v>218</v>
      </c>
      <c r="C460">
        <v>35</v>
      </c>
      <c r="D460">
        <v>1</v>
      </c>
      <c r="E460">
        <v>0</v>
      </c>
      <c r="F460">
        <v>0</v>
      </c>
      <c r="G460">
        <v>30</v>
      </c>
      <c r="H460">
        <v>29</v>
      </c>
      <c r="I460">
        <v>16</v>
      </c>
      <c r="J460">
        <v>39</v>
      </c>
      <c r="K460">
        <v>27</v>
      </c>
      <c r="L460">
        <v>2</v>
      </c>
      <c r="M460">
        <v>1</v>
      </c>
      <c r="N460">
        <v>6</v>
      </c>
      <c r="O460">
        <v>7</v>
      </c>
      <c r="P460">
        <v>2</v>
      </c>
      <c r="Q460">
        <v>8</v>
      </c>
      <c r="R460">
        <v>4.8</v>
      </c>
      <c r="S460">
        <v>1.87</v>
      </c>
      <c r="T460">
        <f t="shared" si="21"/>
        <v>30</v>
      </c>
      <c r="U460">
        <f t="shared" si="22"/>
        <v>0.53333333333333333</v>
      </c>
      <c r="V460">
        <f>U460-AVERAGEIFS(Pitchers[ER/IP],Pitchers[GS],"&gt;"&amp;0,Pitchers[IP],"&gt;"&amp;3)</f>
        <v>-3.8167261465986146E-2</v>
      </c>
      <c r="W460">
        <f>IF(Pitchers[[#This Row],[IP/GS]]&lt;&gt;0,(Pitchers[[#This Row],[WHIP]]*$AH$5+$AI$5)/9*Pitchers[[#This Row],[IP/GS]],(Pitchers[[#This Row],[WHIP]]*$AH$5+$AI$5)/9*(Pitchers[[#This Row],[IP]]/Pitchers[[#This Row],[G]]))</f>
        <v>23.107480011789239</v>
      </c>
      <c r="X460">
        <f>Pitchers[[#This Row],[Runs from WHIP]]-AVERAGEIFS(Pitchers[Runs from WHIP],Pitchers[GS],"&gt;"&amp;0,Pitchers[IP],"&gt;"&amp;3)</f>
        <v>17.42156410566438</v>
      </c>
      <c r="Y460">
        <f>IF(Pitchers[[#This Row],[IP/GS]]&lt;&gt;0,Pitchers[[#This Row],[ER/IP From Average]]*Pitchers[[#This Row],[IP/GS]],Pitchers[[#This Row],[ER/IP From Average]]*(Pitchers[[#This Row],[IP]]/Pitchers[[#This Row],[G]]))</f>
        <v>-1.1450178439795844</v>
      </c>
      <c r="Z460">
        <f t="shared" si="23"/>
        <v>4.1877432905853338</v>
      </c>
      <c r="AA460" s="32">
        <f>IF(Pitchers[[#This Row],[W]]=0,0,Pitchers[[#This Row],[W]]/(Pitchers[[#This Row],[W]]+Pitchers[[#This Row],[L]]))</f>
        <v>0.14285714285714285</v>
      </c>
      <c r="AB460" s="60"/>
    </row>
    <row r="461" spans="1:28" x14ac:dyDescent="0.25">
      <c r="A461" t="s">
        <v>571</v>
      </c>
      <c r="B461" t="s">
        <v>15</v>
      </c>
      <c r="C461">
        <v>40</v>
      </c>
      <c r="D461">
        <v>0</v>
      </c>
      <c r="E461">
        <v>0</v>
      </c>
      <c r="F461">
        <v>0</v>
      </c>
      <c r="G461">
        <v>29.2</v>
      </c>
      <c r="H461">
        <v>20</v>
      </c>
      <c r="I461">
        <v>13</v>
      </c>
      <c r="J461">
        <v>29</v>
      </c>
      <c r="K461">
        <v>10</v>
      </c>
      <c r="L461">
        <v>4</v>
      </c>
      <c r="M461">
        <v>3</v>
      </c>
      <c r="N461">
        <v>3</v>
      </c>
      <c r="O461">
        <v>0</v>
      </c>
      <c r="P461">
        <v>2</v>
      </c>
      <c r="Q461">
        <v>19</v>
      </c>
      <c r="R461">
        <v>3.94</v>
      </c>
      <c r="S461">
        <v>1.01</v>
      </c>
      <c r="T461">
        <f t="shared" si="21"/>
        <v>0</v>
      </c>
      <c r="U461">
        <f t="shared" si="22"/>
        <v>0.4452054794520548</v>
      </c>
      <c r="V461">
        <f>U461-AVERAGEIFS(Pitchers[ER/IP],Pitchers[GS],"&gt;"&amp;0,Pitchers[IP],"&gt;"&amp;3)</f>
        <v>-0.12629511534726467</v>
      </c>
      <c r="W461">
        <f>IF(Pitchers[[#This Row],[IP/GS]]&lt;&gt;0,(Pitchers[[#This Row],[WHIP]]*$AH$5+$AI$5)/9*Pitchers[[#This Row],[IP/GS]],(Pitchers[[#This Row],[WHIP]]*$AH$5+$AI$5)/9*(Pitchers[[#This Row],[IP]]/Pitchers[[#This Row],[G]]))</f>
        <v>0.23634402350251082</v>
      </c>
      <c r="X461">
        <f>Pitchers[[#This Row],[Runs from WHIP]]-AVERAGEIFS(Pitchers[Runs from WHIP],Pitchers[GS],"&gt;"&amp;0,Pitchers[IP],"&gt;"&amp;3)</f>
        <v>-5.4495718826223483</v>
      </c>
      <c r="Y461">
        <f>IF(Pitchers[[#This Row],[IP/GS]]&lt;&gt;0,Pitchers[[#This Row],[ER/IP From Average]]*Pitchers[[#This Row],[IP/GS]],Pitchers[[#This Row],[ER/IP From Average]]*(Pitchers[[#This Row],[IP]]/Pitchers[[#This Row],[G]]))</f>
        <v>-9.2195434203503207E-2</v>
      </c>
      <c r="Z461">
        <f t="shared" si="23"/>
        <v>-1.4900973423806942</v>
      </c>
      <c r="AA461" s="32">
        <f>IF(Pitchers[[#This Row],[W]]=0,0,Pitchers[[#This Row],[W]]/(Pitchers[[#This Row],[W]]+Pitchers[[#This Row],[L]]))</f>
        <v>0.5</v>
      </c>
      <c r="AB461" s="60"/>
    </row>
    <row r="462" spans="1:28" x14ac:dyDescent="0.25">
      <c r="A462" t="s">
        <v>631</v>
      </c>
      <c r="B462" t="s">
        <v>14</v>
      </c>
      <c r="C462">
        <v>32</v>
      </c>
      <c r="D462">
        <v>0</v>
      </c>
      <c r="E462">
        <v>0</v>
      </c>
      <c r="F462">
        <v>0</v>
      </c>
      <c r="G462">
        <v>29.2</v>
      </c>
      <c r="H462">
        <v>19</v>
      </c>
      <c r="I462">
        <v>7</v>
      </c>
      <c r="J462">
        <v>33</v>
      </c>
      <c r="K462">
        <v>11</v>
      </c>
      <c r="L462">
        <v>3</v>
      </c>
      <c r="M462">
        <v>2</v>
      </c>
      <c r="N462">
        <v>0</v>
      </c>
      <c r="O462">
        <v>1</v>
      </c>
      <c r="P462">
        <v>4</v>
      </c>
      <c r="Q462">
        <v>6</v>
      </c>
      <c r="R462">
        <v>2.12</v>
      </c>
      <c r="S462">
        <v>1.01</v>
      </c>
      <c r="T462">
        <f t="shared" si="21"/>
        <v>0</v>
      </c>
      <c r="U462">
        <f t="shared" si="22"/>
        <v>0.23972602739726029</v>
      </c>
      <c r="V462">
        <f>U462-AVERAGEIFS(Pitchers[ER/IP],Pitchers[GS],"&gt;"&amp;0,Pitchers[IP],"&gt;"&amp;3)</f>
        <v>-0.33177456740205918</v>
      </c>
      <c r="W462">
        <f>IF(Pitchers[[#This Row],[IP/GS]]&lt;&gt;0,(Pitchers[[#This Row],[WHIP]]*$AH$5+$AI$5)/9*Pitchers[[#This Row],[IP/GS]],(Pitchers[[#This Row],[WHIP]]*$AH$5+$AI$5)/9*(Pitchers[[#This Row],[IP]]/Pitchers[[#This Row],[G]]))</f>
        <v>0.2954300293781385</v>
      </c>
      <c r="X462">
        <f>Pitchers[[#This Row],[Runs from WHIP]]-AVERAGEIFS(Pitchers[Runs from WHIP],Pitchers[GS],"&gt;"&amp;0,Pitchers[IP],"&gt;"&amp;3)</f>
        <v>-5.3904858767467205</v>
      </c>
      <c r="Y462">
        <f>IF(Pitchers[[#This Row],[IP/GS]]&lt;&gt;0,Pitchers[[#This Row],[ER/IP From Average]]*Pitchers[[#This Row],[IP/GS]],Pitchers[[#This Row],[ER/IP From Average]]*(Pitchers[[#This Row],[IP]]/Pitchers[[#This Row],[G]]))</f>
        <v>-0.30274429275437897</v>
      </c>
      <c r="Z462">
        <f t="shared" si="23"/>
        <v>-1.5585606175675439</v>
      </c>
      <c r="AA462" s="32">
        <f>IF(Pitchers[[#This Row],[W]]=0,0,Pitchers[[#This Row],[W]]/(Pitchers[[#This Row],[W]]+Pitchers[[#This Row],[L]]))</f>
        <v>1</v>
      </c>
      <c r="AB462" s="60"/>
    </row>
    <row r="463" spans="1:28" x14ac:dyDescent="0.25">
      <c r="A463" t="s">
        <v>3586</v>
      </c>
      <c r="B463" t="s">
        <v>370</v>
      </c>
      <c r="C463">
        <v>24</v>
      </c>
      <c r="D463">
        <v>1</v>
      </c>
      <c r="E463">
        <v>0</v>
      </c>
      <c r="F463">
        <v>0</v>
      </c>
      <c r="G463">
        <v>29.2</v>
      </c>
      <c r="H463">
        <v>25</v>
      </c>
      <c r="I463">
        <v>10</v>
      </c>
      <c r="J463">
        <v>28</v>
      </c>
      <c r="K463">
        <v>14</v>
      </c>
      <c r="L463">
        <v>3</v>
      </c>
      <c r="M463">
        <v>1</v>
      </c>
      <c r="N463">
        <v>1</v>
      </c>
      <c r="O463">
        <v>0</v>
      </c>
      <c r="P463">
        <v>0</v>
      </c>
      <c r="Q463">
        <v>0</v>
      </c>
      <c r="R463">
        <v>3.03</v>
      </c>
      <c r="S463">
        <v>1.31</v>
      </c>
      <c r="T463">
        <f t="shared" si="21"/>
        <v>29.2</v>
      </c>
      <c r="U463">
        <f t="shared" si="22"/>
        <v>0.34246575342465752</v>
      </c>
      <c r="V463">
        <f>U463-AVERAGEIFS(Pitchers[ER/IP],Pitchers[GS],"&gt;"&amp;0,Pitchers[IP],"&gt;"&amp;3)</f>
        <v>-0.22903484137466196</v>
      </c>
      <c r="W463">
        <f>IF(Pitchers[[#This Row],[IP/GS]]&lt;&gt;0,(Pitchers[[#This Row],[WHIP]]*$AH$5+$AI$5)/9*Pitchers[[#This Row],[IP/GS]],(Pitchers[[#This Row],[WHIP]]*$AH$5+$AI$5)/9*(Pitchers[[#This Row],[IP]]/Pitchers[[#This Row],[G]]))</f>
        <v>14.001732895231047</v>
      </c>
      <c r="X463">
        <f>Pitchers[[#This Row],[Runs from WHIP]]-AVERAGEIFS(Pitchers[Runs from WHIP],Pitchers[GS],"&gt;"&amp;0,Pitchers[IP],"&gt;"&amp;3)</f>
        <v>8.3158169891061888</v>
      </c>
      <c r="Y463">
        <f>IF(Pitchers[[#This Row],[IP/GS]]&lt;&gt;0,Pitchers[[#This Row],[ER/IP From Average]]*Pitchers[[#This Row],[IP/GS]],Pitchers[[#This Row],[ER/IP From Average]]*(Pitchers[[#This Row],[IP]]/Pitchers[[#This Row],[G]]))</f>
        <v>-6.6878173681401289</v>
      </c>
      <c r="Z463">
        <f t="shared" si="23"/>
        <v>-0.45757575016106794</v>
      </c>
      <c r="AA463" s="32">
        <f>IF(Pitchers[[#This Row],[W]]=0,0,Pitchers[[#This Row],[W]]/(Pitchers[[#This Row],[W]]+Pitchers[[#This Row],[L]]))</f>
        <v>0.5</v>
      </c>
      <c r="AB463" s="60"/>
    </row>
    <row r="464" spans="1:28" x14ac:dyDescent="0.25">
      <c r="A464" t="s">
        <v>4387</v>
      </c>
      <c r="B464" t="s">
        <v>17</v>
      </c>
      <c r="C464">
        <v>5</v>
      </c>
      <c r="D464">
        <v>5</v>
      </c>
      <c r="E464">
        <v>0</v>
      </c>
      <c r="F464">
        <v>0</v>
      </c>
      <c r="G464">
        <v>29.2</v>
      </c>
      <c r="H464">
        <v>16</v>
      </c>
      <c r="I464">
        <v>4</v>
      </c>
      <c r="J464">
        <v>30</v>
      </c>
      <c r="K464">
        <v>7</v>
      </c>
      <c r="L464">
        <v>3</v>
      </c>
      <c r="M464">
        <v>4</v>
      </c>
      <c r="N464">
        <v>0</v>
      </c>
      <c r="O464">
        <v>0</v>
      </c>
      <c r="P464">
        <v>0</v>
      </c>
      <c r="Q464">
        <v>0</v>
      </c>
      <c r="R464">
        <v>1.21</v>
      </c>
      <c r="S464">
        <v>0.78</v>
      </c>
      <c r="T464">
        <f t="shared" si="21"/>
        <v>5.84</v>
      </c>
      <c r="U464">
        <f t="shared" si="22"/>
        <v>0.13698630136986301</v>
      </c>
      <c r="V464">
        <f>U464-AVERAGEIFS(Pitchers[ER/IP],Pitchers[GS],"&gt;"&amp;0,Pitchers[IP],"&gt;"&amp;3)</f>
        <v>-0.43451429342945647</v>
      </c>
      <c r="W464">
        <f>IF(Pitchers[[#This Row],[IP/GS]]&lt;&gt;0,(Pitchers[[#This Row],[WHIP]]*$AH$5+$AI$5)/9*Pitchers[[#This Row],[IP/GS]],(Pitchers[[#This Row],[WHIP]]*$AH$5+$AI$5)/9*(Pitchers[[#This Row],[IP]]/Pitchers[[#This Row],[G]]))</f>
        <v>1.1933964882333925</v>
      </c>
      <c r="X464">
        <f>Pitchers[[#This Row],[Runs from WHIP]]-AVERAGEIFS(Pitchers[Runs from WHIP],Pitchers[GS],"&gt;"&amp;0,Pitchers[IP],"&gt;"&amp;3)</f>
        <v>-4.4925194178914669</v>
      </c>
      <c r="Y464">
        <f>IF(Pitchers[[#This Row],[IP/GS]]&lt;&gt;0,Pitchers[[#This Row],[ER/IP From Average]]*Pitchers[[#This Row],[IP/GS]],Pitchers[[#This Row],[ER/IP From Average]]*(Pitchers[[#This Row],[IP]]/Pitchers[[#This Row],[G]]))</f>
        <v>-2.5375634736280257</v>
      </c>
      <c r="Z464">
        <f t="shared" si="23"/>
        <v>-2.2130305675556019</v>
      </c>
      <c r="AA464" s="32">
        <f>IF(Pitchers[[#This Row],[W]]=0,0,Pitchers[[#This Row],[W]]/(Pitchers[[#This Row],[W]]+Pitchers[[#This Row],[L]]))</f>
        <v>1</v>
      </c>
      <c r="AB464" s="60"/>
    </row>
    <row r="465" spans="1:28" x14ac:dyDescent="0.25">
      <c r="A465" t="s">
        <v>908</v>
      </c>
      <c r="B465" t="s">
        <v>5</v>
      </c>
      <c r="C465">
        <v>34</v>
      </c>
      <c r="D465">
        <v>0</v>
      </c>
      <c r="E465">
        <v>0</v>
      </c>
      <c r="F465">
        <v>0</v>
      </c>
      <c r="G465">
        <v>29.2</v>
      </c>
      <c r="H465">
        <v>27</v>
      </c>
      <c r="I465">
        <v>19</v>
      </c>
      <c r="J465">
        <v>44</v>
      </c>
      <c r="K465">
        <v>26</v>
      </c>
      <c r="L465">
        <v>10</v>
      </c>
      <c r="M465">
        <v>2</v>
      </c>
      <c r="N465">
        <v>3</v>
      </c>
      <c r="O465">
        <v>1</v>
      </c>
      <c r="P465">
        <v>1</v>
      </c>
      <c r="Q465">
        <v>4</v>
      </c>
      <c r="R465">
        <v>5.76</v>
      </c>
      <c r="S465">
        <v>1.79</v>
      </c>
      <c r="T465">
        <f t="shared" si="21"/>
        <v>0</v>
      </c>
      <c r="U465">
        <f t="shared" si="22"/>
        <v>0.65068493150684936</v>
      </c>
      <c r="V465">
        <f>U465-AVERAGEIFS(Pitchers[ER/IP],Pitchers[GS],"&gt;"&amp;0,Pitchers[IP],"&gt;"&amp;3)</f>
        <v>7.918433670752989E-2</v>
      </c>
      <c r="W465">
        <f>IF(Pitchers[[#This Row],[IP/GS]]&lt;&gt;0,(Pitchers[[#This Row],[WHIP]]*$AH$5+$AI$5)/9*Pitchers[[#This Row],[IP/GS]],(Pitchers[[#This Row],[WHIP]]*$AH$5+$AI$5)/9*(Pitchers[[#This Row],[IP]]/Pitchers[[#This Row],[G]]))</f>
        <v>0.62583788304235366</v>
      </c>
      <c r="X465">
        <f>Pitchers[[#This Row],[Runs from WHIP]]-AVERAGEIFS(Pitchers[Runs from WHIP],Pitchers[GS],"&gt;"&amp;0,Pitchers[IP],"&gt;"&amp;3)</f>
        <v>-5.0600780230825055</v>
      </c>
      <c r="Y465">
        <f>IF(Pitchers[[#This Row],[IP/GS]]&lt;&gt;0,Pitchers[[#This Row],[ER/IP From Average]]*Pitchers[[#This Row],[IP/GS]],Pitchers[[#This Row],[ER/IP From Average]]*(Pitchers[[#This Row],[IP]]/Pitchers[[#This Row],[G]]))</f>
        <v>6.8005371525290376E-2</v>
      </c>
      <c r="Z465">
        <f t="shared" si="23"/>
        <v>-1.3221519908785522</v>
      </c>
      <c r="AA465" s="32">
        <f>IF(Pitchers[[#This Row],[W]]=0,0,Pitchers[[#This Row],[W]]/(Pitchers[[#This Row],[W]]+Pitchers[[#This Row],[L]]))</f>
        <v>0.4</v>
      </c>
      <c r="AB465" s="60"/>
    </row>
    <row r="466" spans="1:28" x14ac:dyDescent="0.25">
      <c r="A466" t="s">
        <v>594</v>
      </c>
      <c r="B466" t="s">
        <v>3</v>
      </c>
      <c r="C466">
        <v>25</v>
      </c>
      <c r="D466">
        <v>0</v>
      </c>
      <c r="E466">
        <v>0</v>
      </c>
      <c r="F466">
        <v>0</v>
      </c>
      <c r="G466">
        <v>29.2</v>
      </c>
      <c r="H466">
        <v>42</v>
      </c>
      <c r="I466">
        <v>16</v>
      </c>
      <c r="J466">
        <v>16</v>
      </c>
      <c r="K466">
        <v>3</v>
      </c>
      <c r="L466">
        <v>6</v>
      </c>
      <c r="M466">
        <v>0</v>
      </c>
      <c r="N466">
        <v>0</v>
      </c>
      <c r="O466">
        <v>0</v>
      </c>
      <c r="P466">
        <v>0</v>
      </c>
      <c r="Q466">
        <v>1</v>
      </c>
      <c r="R466">
        <v>4.8499999999999996</v>
      </c>
      <c r="S466">
        <v>1.52</v>
      </c>
      <c r="T466">
        <f t="shared" si="21"/>
        <v>0</v>
      </c>
      <c r="U466">
        <f t="shared" si="22"/>
        <v>0.54794520547945202</v>
      </c>
      <c r="V466">
        <f>U466-AVERAGEIFS(Pitchers[ER/IP],Pitchers[GS],"&gt;"&amp;0,Pitchers[IP],"&gt;"&amp;3)</f>
        <v>-2.3555389319867448E-2</v>
      </c>
      <c r="W466">
        <f>IF(Pitchers[[#This Row],[IP/GS]]&lt;&gt;0,(Pitchers[[#This Row],[WHIP]]*$AH$5+$AI$5)/9*Pitchers[[#This Row],[IP/GS]],(Pitchers[[#This Row],[WHIP]]*$AH$5+$AI$5)/9*(Pitchers[[#This Row],[IP]]/Pitchers[[#This Row],[G]]))</f>
        <v>0.68741253055289886</v>
      </c>
      <c r="X466">
        <f>Pitchers[[#This Row],[Runs from WHIP]]-AVERAGEIFS(Pitchers[Runs from WHIP],Pitchers[GS],"&gt;"&amp;0,Pitchers[IP],"&gt;"&amp;3)</f>
        <v>-4.9985033755719606</v>
      </c>
      <c r="Y466">
        <f>IF(Pitchers[[#This Row],[IP/GS]]&lt;&gt;0,Pitchers[[#This Row],[ER/IP From Average]]*Pitchers[[#This Row],[IP/GS]],Pitchers[[#This Row],[ER/IP From Average]]*(Pitchers[[#This Row],[IP]]/Pitchers[[#This Row],[G]]))</f>
        <v>-2.7512694725605177E-2</v>
      </c>
      <c r="Z466">
        <f t="shared" si="23"/>
        <v>-1.343939311376098</v>
      </c>
      <c r="AA466" s="32">
        <f>IF(Pitchers[[#This Row],[W]]=0,0,Pitchers[[#This Row],[W]]/(Pitchers[[#This Row],[W]]+Pitchers[[#This Row],[L]]))</f>
        <v>0</v>
      </c>
      <c r="AB466" s="60"/>
    </row>
    <row r="467" spans="1:28" x14ac:dyDescent="0.25">
      <c r="A467" t="s">
        <v>656</v>
      </c>
      <c r="B467" t="s">
        <v>10</v>
      </c>
      <c r="C467">
        <v>36</v>
      </c>
      <c r="D467">
        <v>0</v>
      </c>
      <c r="E467">
        <v>0</v>
      </c>
      <c r="F467">
        <v>0</v>
      </c>
      <c r="G467">
        <v>29.1</v>
      </c>
      <c r="H467">
        <v>36</v>
      </c>
      <c r="I467">
        <v>23</v>
      </c>
      <c r="J467">
        <v>35</v>
      </c>
      <c r="K467">
        <v>23</v>
      </c>
      <c r="L467">
        <v>3</v>
      </c>
      <c r="M467">
        <v>3</v>
      </c>
      <c r="N467">
        <v>4</v>
      </c>
      <c r="O467">
        <v>5</v>
      </c>
      <c r="P467">
        <v>2</v>
      </c>
      <c r="Q467">
        <v>6</v>
      </c>
      <c r="R467">
        <v>7.06</v>
      </c>
      <c r="S467">
        <v>2.0099999999999998</v>
      </c>
      <c r="T467">
        <f t="shared" si="21"/>
        <v>0</v>
      </c>
      <c r="U467">
        <f t="shared" si="22"/>
        <v>0.7903780068728522</v>
      </c>
      <c r="V467">
        <f>U467-AVERAGEIFS(Pitchers[ER/IP],Pitchers[GS],"&gt;"&amp;0,Pitchers[IP],"&gt;"&amp;3)</f>
        <v>0.21887741207353273</v>
      </c>
      <c r="W467">
        <f>IF(Pitchers[[#This Row],[IP/GS]]&lt;&gt;0,(Pitchers[[#This Row],[WHIP]]*$AH$5+$AI$5)/9*Pitchers[[#This Row],[IP/GS]],(Pitchers[[#This Row],[WHIP]]*$AH$5+$AI$5)/9*(Pitchers[[#This Row],[IP]]/Pitchers[[#This Row],[G]]))</f>
        <v>0.68137150209721453</v>
      </c>
      <c r="X467">
        <f>Pitchers[[#This Row],[Runs from WHIP]]-AVERAGEIFS(Pitchers[Runs from WHIP],Pitchers[GS],"&gt;"&amp;0,Pitchers[IP],"&gt;"&amp;3)</f>
        <v>-5.0045444040276443</v>
      </c>
      <c r="Y467">
        <f>IF(Pitchers[[#This Row],[IP/GS]]&lt;&gt;0,Pitchers[[#This Row],[ER/IP From Average]]*Pitchers[[#This Row],[IP/GS]],Pitchers[[#This Row],[ER/IP From Average]]*(Pitchers[[#This Row],[IP]]/Pitchers[[#This Row],[G]]))</f>
        <v>0.17692590809277228</v>
      </c>
      <c r="Z467">
        <f t="shared" si="23"/>
        <v>-1.2637748111702634</v>
      </c>
      <c r="AA467" s="32">
        <f>IF(Pitchers[[#This Row],[W]]=0,0,Pitchers[[#This Row],[W]]/(Pitchers[[#This Row],[W]]+Pitchers[[#This Row],[L]]))</f>
        <v>0.42857142857142855</v>
      </c>
      <c r="AB467" s="60"/>
    </row>
    <row r="468" spans="1:28" x14ac:dyDescent="0.25">
      <c r="A468" t="s">
        <v>1330</v>
      </c>
      <c r="B468" t="s">
        <v>332</v>
      </c>
      <c r="C468">
        <v>11</v>
      </c>
      <c r="D468">
        <v>1</v>
      </c>
      <c r="E468">
        <v>0</v>
      </c>
      <c r="F468">
        <v>0</v>
      </c>
      <c r="G468">
        <v>29.1</v>
      </c>
      <c r="H468">
        <v>38</v>
      </c>
      <c r="I468">
        <v>17</v>
      </c>
      <c r="J468">
        <v>22</v>
      </c>
      <c r="K468">
        <v>17</v>
      </c>
      <c r="L468">
        <v>2</v>
      </c>
      <c r="M468">
        <v>2</v>
      </c>
      <c r="N468">
        <v>2</v>
      </c>
      <c r="O468">
        <v>0</v>
      </c>
      <c r="P468">
        <v>0</v>
      </c>
      <c r="Q468">
        <v>0</v>
      </c>
      <c r="R468">
        <v>5.22</v>
      </c>
      <c r="S468">
        <v>1.88</v>
      </c>
      <c r="T468">
        <f t="shared" si="21"/>
        <v>29.1</v>
      </c>
      <c r="U468">
        <f t="shared" si="22"/>
        <v>0.58419243986254288</v>
      </c>
      <c r="V468">
        <f>U468-AVERAGEIFS(Pitchers[ER/IP],Pitchers[GS],"&gt;"&amp;0,Pitchers[IP],"&gt;"&amp;3)</f>
        <v>1.2691845063223406E-2</v>
      </c>
      <c r="W468">
        <f>IF(Pitchers[[#This Row],[IP/GS]]&lt;&gt;0,(Pitchers[[#This Row],[WHIP]]*$AH$5+$AI$5)/9*Pitchers[[#This Row],[IP/GS]],(Pitchers[[#This Row],[WHIP]]*$AH$5+$AI$5)/9*(Pitchers[[#This Row],[IP]]/Pitchers[[#This Row],[G]]))</f>
        <v>22.565335501725855</v>
      </c>
      <c r="X468">
        <f>Pitchers[[#This Row],[Runs from WHIP]]-AVERAGEIFS(Pitchers[Runs from WHIP],Pitchers[GS],"&gt;"&amp;0,Pitchers[IP],"&gt;"&amp;3)</f>
        <v>16.879419595600996</v>
      </c>
      <c r="Y468">
        <f>IF(Pitchers[[#This Row],[IP/GS]]&lt;&gt;0,Pitchers[[#This Row],[ER/IP From Average]]*Pitchers[[#This Row],[IP/GS]],Pitchers[[#This Row],[ER/IP From Average]]*(Pitchers[[#This Row],[IP]]/Pitchers[[#This Row],[G]]))</f>
        <v>0.36933269133980112</v>
      </c>
      <c r="Z468">
        <f t="shared" si="23"/>
        <v>4.6489116353628521</v>
      </c>
      <c r="AA468" s="32">
        <f>IF(Pitchers[[#This Row],[W]]=0,0,Pitchers[[#This Row],[W]]/(Pitchers[[#This Row],[W]]+Pitchers[[#This Row],[L]]))</f>
        <v>0.5</v>
      </c>
      <c r="AB468" s="60"/>
    </row>
    <row r="469" spans="1:28" x14ac:dyDescent="0.25">
      <c r="A469" t="s">
        <v>294</v>
      </c>
      <c r="B469" t="s">
        <v>7</v>
      </c>
      <c r="C469">
        <v>7</v>
      </c>
      <c r="D469">
        <v>5</v>
      </c>
      <c r="E469">
        <v>0</v>
      </c>
      <c r="F469">
        <v>0</v>
      </c>
      <c r="G469">
        <v>29.1</v>
      </c>
      <c r="H469">
        <v>43</v>
      </c>
      <c r="I469">
        <v>28</v>
      </c>
      <c r="J469">
        <v>22</v>
      </c>
      <c r="K469">
        <v>18</v>
      </c>
      <c r="L469">
        <v>6</v>
      </c>
      <c r="M469">
        <v>0</v>
      </c>
      <c r="N469">
        <v>2</v>
      </c>
      <c r="O469">
        <v>0</v>
      </c>
      <c r="P469">
        <v>0</v>
      </c>
      <c r="Q469">
        <v>0</v>
      </c>
      <c r="R469">
        <v>8.59</v>
      </c>
      <c r="S469">
        <v>2.08</v>
      </c>
      <c r="T469">
        <f t="shared" si="21"/>
        <v>5.82</v>
      </c>
      <c r="U469">
        <f t="shared" si="22"/>
        <v>0.96219931271477654</v>
      </c>
      <c r="V469">
        <f>U469-AVERAGEIFS(Pitchers[ER/IP],Pitchers[GS],"&gt;"&amp;0,Pitchers[IP],"&gt;"&amp;3)</f>
        <v>0.39069871791545707</v>
      </c>
      <c r="W469">
        <f>IF(Pitchers[[#This Row],[IP/GS]]&lt;&gt;0,(Pitchers[[#This Row],[WHIP]]*$AH$5+$AI$5)/9*Pitchers[[#This Row],[IP/GS]],(Pitchers[[#This Row],[WHIP]]*$AH$5+$AI$5)/9*(Pitchers[[#This Row],[IP]]/Pitchers[[#This Row],[G]]))</f>
        <v>5.1173866615063632</v>
      </c>
      <c r="X469">
        <f>Pitchers[[#This Row],[Runs from WHIP]]-AVERAGEIFS(Pitchers[Runs from WHIP],Pitchers[GS],"&gt;"&amp;0,Pitchers[IP],"&gt;"&amp;3)</f>
        <v>-0.56852924461849597</v>
      </c>
      <c r="Y469">
        <f>IF(Pitchers[[#This Row],[IP/GS]]&lt;&gt;0,Pitchers[[#This Row],[ER/IP From Average]]*Pitchers[[#This Row],[IP/GS]],Pitchers[[#This Row],[ER/IP From Average]]*(Pitchers[[#This Row],[IP]]/Pitchers[[#This Row],[G]]))</f>
        <v>2.2738665382679604</v>
      </c>
      <c r="Z469">
        <f t="shared" si="23"/>
        <v>0.75793881674225194</v>
      </c>
      <c r="AA469" s="32">
        <f>IF(Pitchers[[#This Row],[W]]=0,0,Pitchers[[#This Row],[W]]/(Pitchers[[#This Row],[W]]+Pitchers[[#This Row],[L]]))</f>
        <v>0</v>
      </c>
      <c r="AB469" s="60"/>
    </row>
    <row r="470" spans="1:28" x14ac:dyDescent="0.25">
      <c r="A470" t="s">
        <v>614</v>
      </c>
      <c r="B470" t="s">
        <v>370</v>
      </c>
      <c r="C470">
        <v>21</v>
      </c>
      <c r="D470">
        <v>0</v>
      </c>
      <c r="E470">
        <v>0</v>
      </c>
      <c r="F470">
        <v>0</v>
      </c>
      <c r="G470">
        <v>29</v>
      </c>
      <c r="H470">
        <v>34</v>
      </c>
      <c r="I470">
        <v>17</v>
      </c>
      <c r="J470">
        <v>34</v>
      </c>
      <c r="K470">
        <v>10</v>
      </c>
      <c r="L470">
        <v>5</v>
      </c>
      <c r="M470">
        <v>2</v>
      </c>
      <c r="N470">
        <v>2</v>
      </c>
      <c r="O470">
        <v>0</v>
      </c>
      <c r="P470">
        <v>2</v>
      </c>
      <c r="Q470">
        <v>4</v>
      </c>
      <c r="R470">
        <v>5.28</v>
      </c>
      <c r="S470">
        <v>1.52</v>
      </c>
      <c r="T470">
        <f t="shared" si="21"/>
        <v>0</v>
      </c>
      <c r="U470">
        <f t="shared" si="22"/>
        <v>0.58620689655172409</v>
      </c>
      <c r="V470">
        <f>U470-AVERAGEIFS(Pitchers[ER/IP],Pitchers[GS],"&gt;"&amp;0,Pitchers[IP],"&gt;"&amp;3)</f>
        <v>1.4706301752404616E-2</v>
      </c>
      <c r="W470">
        <f>IF(Pitchers[[#This Row],[IP/GS]]&lt;&gt;0,(Pitchers[[#This Row],[WHIP]]*$AH$5+$AI$5)/9*Pitchers[[#This Row],[IP/GS]],(Pitchers[[#This Row],[WHIP]]*$AH$5+$AI$5)/9*(Pitchers[[#This Row],[IP]]/Pitchers[[#This Row],[G]]))</f>
        <v>0.81274312565370466</v>
      </c>
      <c r="X470">
        <f>Pitchers[[#This Row],[Runs from WHIP]]-AVERAGEIFS(Pitchers[Runs from WHIP],Pitchers[GS],"&gt;"&amp;0,Pitchers[IP],"&gt;"&amp;3)</f>
        <v>-4.8731727804711547</v>
      </c>
      <c r="Y470">
        <f>IF(Pitchers[[#This Row],[IP/GS]]&lt;&gt;0,Pitchers[[#This Row],[ER/IP From Average]]*Pitchers[[#This Row],[IP/GS]],Pitchers[[#This Row],[ER/IP From Average]]*(Pitchers[[#This Row],[IP]]/Pitchers[[#This Row],[G]]))</f>
        <v>2.0308702419987328E-2</v>
      </c>
      <c r="Z470">
        <f t="shared" si="23"/>
        <v>-1.2913892604909798</v>
      </c>
      <c r="AA470" s="32">
        <f>IF(Pitchers[[#This Row],[W]]=0,0,Pitchers[[#This Row],[W]]/(Pitchers[[#This Row],[W]]+Pitchers[[#This Row],[L]]))</f>
        <v>0.5</v>
      </c>
      <c r="AB470" s="60"/>
    </row>
    <row r="471" spans="1:28" x14ac:dyDescent="0.25">
      <c r="A471" t="s">
        <v>3585</v>
      </c>
      <c r="B471" t="s">
        <v>19</v>
      </c>
      <c r="C471">
        <v>22</v>
      </c>
      <c r="D471">
        <v>0</v>
      </c>
      <c r="E471">
        <v>0</v>
      </c>
      <c r="F471">
        <v>0</v>
      </c>
      <c r="G471">
        <v>29</v>
      </c>
      <c r="H471">
        <v>23</v>
      </c>
      <c r="I471">
        <v>8</v>
      </c>
      <c r="J471">
        <v>34</v>
      </c>
      <c r="K471">
        <v>5</v>
      </c>
      <c r="L471">
        <v>5</v>
      </c>
      <c r="M471">
        <v>2</v>
      </c>
      <c r="N471">
        <v>0</v>
      </c>
      <c r="O471">
        <v>0</v>
      </c>
      <c r="P471">
        <v>1</v>
      </c>
      <c r="Q471">
        <v>7</v>
      </c>
      <c r="R471">
        <v>2.48</v>
      </c>
      <c r="S471">
        <v>0.97</v>
      </c>
      <c r="T471">
        <f t="shared" si="21"/>
        <v>0</v>
      </c>
      <c r="U471">
        <f t="shared" si="22"/>
        <v>0.27586206896551724</v>
      </c>
      <c r="V471">
        <f>U471-AVERAGEIFS(Pitchers[ER/IP],Pitchers[GS],"&gt;"&amp;0,Pitchers[IP],"&gt;"&amp;3)</f>
        <v>-0.29563852583380223</v>
      </c>
      <c r="W471">
        <f>IF(Pitchers[[#This Row],[IP/GS]]&lt;&gt;0,(Pitchers[[#This Row],[WHIP]]*$AH$5+$AI$5)/9*Pitchers[[#This Row],[IP/GS]],(Pitchers[[#This Row],[WHIP]]*$AH$5+$AI$5)/9*(Pitchers[[#This Row],[IP]]/Pitchers[[#This Row],[G]]))</f>
        <v>0.39939846778187132</v>
      </c>
      <c r="X471">
        <f>Pitchers[[#This Row],[Runs from WHIP]]-AVERAGEIFS(Pitchers[Runs from WHIP],Pitchers[GS],"&gt;"&amp;0,Pitchers[IP],"&gt;"&amp;3)</f>
        <v>-5.2865174383429876</v>
      </c>
      <c r="Y471">
        <f>IF(Pitchers[[#This Row],[IP/GS]]&lt;&gt;0,Pitchers[[#This Row],[ER/IP From Average]]*Pitchers[[#This Row],[IP/GS]],Pitchers[[#This Row],[ER/IP From Average]]*(Pitchers[[#This Row],[IP]]/Pitchers[[#This Row],[G]]))</f>
        <v>-0.38970532950819381</v>
      </c>
      <c r="Z471">
        <f t="shared" si="23"/>
        <v>-1.5656201153614078</v>
      </c>
      <c r="AA471" s="32">
        <f>IF(Pitchers[[#This Row],[W]]=0,0,Pitchers[[#This Row],[W]]/(Pitchers[[#This Row],[W]]+Pitchers[[#This Row],[L]]))</f>
        <v>1</v>
      </c>
      <c r="AB471" s="60"/>
    </row>
    <row r="472" spans="1:28" x14ac:dyDescent="0.25">
      <c r="A472" t="s">
        <v>705</v>
      </c>
      <c r="B472" t="s">
        <v>2</v>
      </c>
      <c r="C472">
        <v>48</v>
      </c>
      <c r="D472">
        <v>0</v>
      </c>
      <c r="E472">
        <v>0</v>
      </c>
      <c r="F472">
        <v>0</v>
      </c>
      <c r="G472">
        <v>29</v>
      </c>
      <c r="H472">
        <v>35</v>
      </c>
      <c r="I472">
        <v>14</v>
      </c>
      <c r="J472">
        <v>28</v>
      </c>
      <c r="K472">
        <v>15</v>
      </c>
      <c r="L472">
        <v>5</v>
      </c>
      <c r="M472">
        <v>1</v>
      </c>
      <c r="N472">
        <v>1</v>
      </c>
      <c r="O472">
        <v>0</v>
      </c>
      <c r="P472">
        <v>2</v>
      </c>
      <c r="Q472">
        <v>5</v>
      </c>
      <c r="R472">
        <v>4.34</v>
      </c>
      <c r="S472">
        <v>1.72</v>
      </c>
      <c r="T472">
        <f t="shared" si="21"/>
        <v>0</v>
      </c>
      <c r="U472">
        <f t="shared" si="22"/>
        <v>0.48275862068965519</v>
      </c>
      <c r="V472">
        <f>U472-AVERAGEIFS(Pitchers[ER/IP],Pitchers[GS],"&gt;"&amp;0,Pitchers[IP],"&gt;"&amp;3)</f>
        <v>-8.8741974109664279E-2</v>
      </c>
      <c r="W472">
        <f>IF(Pitchers[[#This Row],[IP/GS]]&lt;&gt;0,(Pitchers[[#This Row],[WHIP]]*$AH$5+$AI$5)/9*Pitchers[[#This Row],[IP/GS]],(Pitchers[[#This Row],[WHIP]]*$AH$5+$AI$5)/9*(Pitchers[[#This Row],[IP]]/Pitchers[[#This Row],[G]]))</f>
        <v>0.41830874889415204</v>
      </c>
      <c r="X472">
        <f>Pitchers[[#This Row],[Runs from WHIP]]-AVERAGEIFS(Pitchers[Runs from WHIP],Pitchers[GS],"&gt;"&amp;0,Pitchers[IP],"&gt;"&amp;3)</f>
        <v>-5.2676071572307075</v>
      </c>
      <c r="Y472">
        <f>IF(Pitchers[[#This Row],[IP/GS]]&lt;&gt;0,Pitchers[[#This Row],[ER/IP From Average]]*Pitchers[[#This Row],[IP/GS]],Pitchers[[#This Row],[ER/IP From Average]]*(Pitchers[[#This Row],[IP]]/Pitchers[[#This Row],[G]]))</f>
        <v>-5.3614942691255496E-2</v>
      </c>
      <c r="Z472">
        <f t="shared" si="23"/>
        <v>-1.4261412190046912</v>
      </c>
      <c r="AA472" s="32">
        <f>IF(Pitchers[[#This Row],[W]]=0,0,Pitchers[[#This Row],[W]]/(Pitchers[[#This Row],[W]]+Pitchers[[#This Row],[L]]))</f>
        <v>0.5</v>
      </c>
      <c r="AB472" s="60"/>
    </row>
    <row r="473" spans="1:28" x14ac:dyDescent="0.25">
      <c r="A473" t="s">
        <v>583</v>
      </c>
      <c r="B473" t="s">
        <v>10</v>
      </c>
      <c r="C473">
        <v>32</v>
      </c>
      <c r="D473">
        <v>0</v>
      </c>
      <c r="E473">
        <v>0</v>
      </c>
      <c r="F473">
        <v>0</v>
      </c>
      <c r="G473">
        <v>29</v>
      </c>
      <c r="H473">
        <v>28</v>
      </c>
      <c r="I473">
        <v>20</v>
      </c>
      <c r="J473">
        <v>38</v>
      </c>
      <c r="K473">
        <v>19</v>
      </c>
      <c r="L473">
        <v>6</v>
      </c>
      <c r="M473">
        <v>0</v>
      </c>
      <c r="N473">
        <v>0</v>
      </c>
      <c r="O473">
        <v>0</v>
      </c>
      <c r="P473">
        <v>0</v>
      </c>
      <c r="Q473">
        <v>6</v>
      </c>
      <c r="R473">
        <v>6.21</v>
      </c>
      <c r="S473">
        <v>1.62</v>
      </c>
      <c r="T473">
        <f t="shared" si="21"/>
        <v>0</v>
      </c>
      <c r="U473">
        <f t="shared" si="22"/>
        <v>0.68965517241379315</v>
      </c>
      <c r="V473">
        <f>U473-AVERAGEIFS(Pitchers[ER/IP],Pitchers[GS],"&gt;"&amp;0,Pitchers[IP],"&gt;"&amp;3)</f>
        <v>0.11815457761447368</v>
      </c>
      <c r="W473">
        <f>IF(Pitchers[[#This Row],[IP/GS]]&lt;&gt;0,(Pitchers[[#This Row],[WHIP]]*$AH$5+$AI$5)/9*Pitchers[[#This Row],[IP/GS]],(Pitchers[[#This Row],[WHIP]]*$AH$5+$AI$5)/9*(Pitchers[[#This Row],[IP]]/Pitchers[[#This Row],[G]]))</f>
        <v>0.58041289977573607</v>
      </c>
      <c r="X473">
        <f>Pitchers[[#This Row],[Runs from WHIP]]-AVERAGEIFS(Pitchers[Runs from WHIP],Pitchers[GS],"&gt;"&amp;0,Pitchers[IP],"&gt;"&amp;3)</f>
        <v>-5.1055030063491227</v>
      </c>
      <c r="Y473">
        <f>IF(Pitchers[[#This Row],[IP/GS]]&lt;&gt;0,Pitchers[[#This Row],[ER/IP From Average]]*Pitchers[[#This Row],[IP/GS]],Pitchers[[#This Row],[ER/IP From Average]]*(Pitchers[[#This Row],[IP]]/Pitchers[[#This Row],[G]]))</f>
        <v>0.10707758596311677</v>
      </c>
      <c r="Z473">
        <f t="shared" si="23"/>
        <v>-1.3186364339745194</v>
      </c>
      <c r="AA473" s="32">
        <f>IF(Pitchers[[#This Row],[W]]=0,0,Pitchers[[#This Row],[W]]/(Pitchers[[#This Row],[W]]+Pitchers[[#This Row],[L]]))</f>
        <v>0</v>
      </c>
      <c r="AB473" s="60"/>
    </row>
    <row r="474" spans="1:28" x14ac:dyDescent="0.25">
      <c r="A474" t="s">
        <v>668</v>
      </c>
      <c r="B474" t="s">
        <v>218</v>
      </c>
      <c r="C474">
        <v>19</v>
      </c>
      <c r="D474">
        <v>2</v>
      </c>
      <c r="E474">
        <v>0</v>
      </c>
      <c r="F474">
        <v>0</v>
      </c>
      <c r="G474">
        <v>29</v>
      </c>
      <c r="H474">
        <v>26</v>
      </c>
      <c r="I474">
        <v>8</v>
      </c>
      <c r="J474">
        <v>24</v>
      </c>
      <c r="K474">
        <v>7</v>
      </c>
      <c r="L474">
        <v>4</v>
      </c>
      <c r="M474">
        <v>1</v>
      </c>
      <c r="N474">
        <v>1</v>
      </c>
      <c r="O474">
        <v>1</v>
      </c>
      <c r="P474">
        <v>0</v>
      </c>
      <c r="Q474">
        <v>1</v>
      </c>
      <c r="R474">
        <v>2.48</v>
      </c>
      <c r="S474">
        <v>1.1399999999999999</v>
      </c>
      <c r="T474">
        <f t="shared" si="21"/>
        <v>14.5</v>
      </c>
      <c r="U474">
        <f t="shared" si="22"/>
        <v>0.27586206896551724</v>
      </c>
      <c r="V474">
        <f>U474-AVERAGEIFS(Pitchers[ER/IP],Pitchers[GS],"&gt;"&amp;0,Pitchers[IP],"&gt;"&amp;3)</f>
        <v>-0.29563852583380223</v>
      </c>
      <c r="W474">
        <f>IF(Pitchers[[#This Row],[IP/GS]]&lt;&gt;0,(Pitchers[[#This Row],[WHIP]]*$AH$5+$AI$5)/9*Pitchers[[#This Row],[IP/GS]],(Pitchers[[#This Row],[WHIP]]*$AH$5+$AI$5)/9*(Pitchers[[#This Row],[IP]]/Pitchers[[#This Row],[G]]))</f>
        <v>5.6731492265819732</v>
      </c>
      <c r="X474">
        <f>Pitchers[[#This Row],[Runs from WHIP]]-AVERAGEIFS(Pitchers[Runs from WHIP],Pitchers[GS],"&gt;"&amp;0,Pitchers[IP],"&gt;"&amp;3)</f>
        <v>-1.2766679542886017E-2</v>
      </c>
      <c r="Y474">
        <f>IF(Pitchers[[#This Row],[IP/GS]]&lt;&gt;0,Pitchers[[#This Row],[ER/IP From Average]]*Pitchers[[#This Row],[IP/GS]],Pitchers[[#This Row],[ER/IP From Average]]*(Pitchers[[#This Row],[IP]]/Pitchers[[#This Row],[G]]))</f>
        <v>-4.2867586245901323</v>
      </c>
      <c r="Z474">
        <f t="shared" si="23"/>
        <v>-1.718107897714156</v>
      </c>
      <c r="AA474" s="32">
        <f>IF(Pitchers[[#This Row],[W]]=0,0,Pitchers[[#This Row],[W]]/(Pitchers[[#This Row],[W]]+Pitchers[[#This Row],[L]]))</f>
        <v>0.5</v>
      </c>
      <c r="AB474" s="60"/>
    </row>
    <row r="475" spans="1:28" x14ac:dyDescent="0.25">
      <c r="A475" t="s">
        <v>358</v>
      </c>
      <c r="B475" t="s">
        <v>18</v>
      </c>
      <c r="C475">
        <v>5</v>
      </c>
      <c r="D475">
        <v>5</v>
      </c>
      <c r="E475">
        <v>0</v>
      </c>
      <c r="F475">
        <v>0</v>
      </c>
      <c r="G475">
        <v>28.2</v>
      </c>
      <c r="H475">
        <v>16</v>
      </c>
      <c r="I475">
        <v>5</v>
      </c>
      <c r="J475">
        <v>24</v>
      </c>
      <c r="K475">
        <v>9</v>
      </c>
      <c r="L475">
        <v>3</v>
      </c>
      <c r="M475">
        <v>3</v>
      </c>
      <c r="N475">
        <v>0</v>
      </c>
      <c r="O475">
        <v>0</v>
      </c>
      <c r="P475">
        <v>0</v>
      </c>
      <c r="Q475">
        <v>0</v>
      </c>
      <c r="R475">
        <v>1.57</v>
      </c>
      <c r="S475">
        <v>0.87</v>
      </c>
      <c r="T475">
        <f t="shared" si="21"/>
        <v>5.64</v>
      </c>
      <c r="U475">
        <f t="shared" si="22"/>
        <v>0.1773049645390071</v>
      </c>
      <c r="V475" s="60">
        <f>U475-AVERAGEIFS(Pitchers[ER/IP],Pitchers[GS],"&gt;"&amp;0,Pitchers[IP],"&gt;"&amp;3)</f>
        <v>-0.39419563026031235</v>
      </c>
      <c r="W475" s="60">
        <f>IF(Pitchers[[#This Row],[IP/GS]]&lt;&gt;0,(Pitchers[[#This Row],[WHIP]]*$AH$5+$AI$5)/9*Pitchers[[#This Row],[IP/GS]],(Pitchers[[#This Row],[WHIP]]*$AH$5+$AI$5)/9*(Pitchers[[#This Row],[IP]]/Pitchers[[#This Row],[G]]))</f>
        <v>1.416059914940502</v>
      </c>
      <c r="X475" s="60">
        <f>Pitchers[[#This Row],[Runs from WHIP]]-AVERAGEIFS(Pitchers[Runs from WHIP],Pitchers[GS],"&gt;"&amp;0,Pitchers[IP],"&gt;"&amp;3)</f>
        <v>-4.2698559911843574</v>
      </c>
      <c r="Y475" s="60">
        <f>IF(Pitchers[[#This Row],[IP/GS]]&lt;&gt;0,Pitchers[[#This Row],[ER/IP From Average]]*Pitchers[[#This Row],[IP/GS]],Pitchers[[#This Row],[ER/IP From Average]]*(Pitchers[[#This Row],[IP]]/Pitchers[[#This Row],[G]]))</f>
        <v>-2.2232633546681617</v>
      </c>
      <c r="Z475" s="60">
        <f t="shared" si="23"/>
        <v>-2.0279336061830935</v>
      </c>
      <c r="AA475" s="32">
        <f>IF(Pitchers[[#This Row],[W]]=0,0,Pitchers[[#This Row],[W]]/(Pitchers[[#This Row],[W]]+Pitchers[[#This Row],[L]]))</f>
        <v>1</v>
      </c>
      <c r="AB475" s="60"/>
    </row>
    <row r="476" spans="1:28" x14ac:dyDescent="0.25">
      <c r="A476" t="s">
        <v>582</v>
      </c>
      <c r="B476" t="s">
        <v>24</v>
      </c>
      <c r="C476">
        <v>29</v>
      </c>
      <c r="D476">
        <v>0</v>
      </c>
      <c r="E476">
        <v>0</v>
      </c>
      <c r="F476">
        <v>0</v>
      </c>
      <c r="G476">
        <v>28.2</v>
      </c>
      <c r="H476">
        <v>16</v>
      </c>
      <c r="I476">
        <v>10</v>
      </c>
      <c r="J476">
        <v>31</v>
      </c>
      <c r="K476">
        <v>11</v>
      </c>
      <c r="L476">
        <v>2</v>
      </c>
      <c r="M476">
        <v>2</v>
      </c>
      <c r="N476">
        <v>2</v>
      </c>
      <c r="O476">
        <v>14</v>
      </c>
      <c r="P476">
        <v>1</v>
      </c>
      <c r="Q476">
        <v>3</v>
      </c>
      <c r="R476">
        <v>3.14</v>
      </c>
      <c r="S476">
        <v>0.94</v>
      </c>
      <c r="T476">
        <f t="shared" si="21"/>
        <v>0</v>
      </c>
      <c r="U476">
        <f t="shared" si="22"/>
        <v>0.3546099290780142</v>
      </c>
      <c r="V476">
        <f>U476-AVERAGEIFS(Pitchers[ER/IP],Pitchers[GS],"&gt;"&amp;0,Pitchers[IP],"&gt;"&amp;3)</f>
        <v>-0.21689066572130528</v>
      </c>
      <c r="W476">
        <f>IF(Pitchers[[#This Row],[IP/GS]]&lt;&gt;0,(Pitchers[[#This Row],[WHIP]]*$AH$5+$AI$5)/9*Pitchers[[#This Row],[IP/GS]],(Pitchers[[#This Row],[WHIP]]*$AH$5+$AI$5)/9*(Pitchers[[#This Row],[IP]]/Pitchers[[#This Row],[G]]))</f>
        <v>0.27948795824996781</v>
      </c>
      <c r="X476">
        <f>Pitchers[[#This Row],[Runs from WHIP]]-AVERAGEIFS(Pitchers[Runs from WHIP],Pitchers[GS],"&gt;"&amp;0,Pitchers[IP],"&gt;"&amp;3)</f>
        <v>-5.4064279478748913</v>
      </c>
      <c r="Y476">
        <f>IF(Pitchers[[#This Row],[IP/GS]]&lt;&gt;0,Pitchers[[#This Row],[ER/IP From Average]]*Pitchers[[#This Row],[IP/GS]],Pitchers[[#This Row],[ER/IP From Average]]*(Pitchers[[#This Row],[IP]]/Pitchers[[#This Row],[G]]))</f>
        <v>-0.2109074749427865</v>
      </c>
      <c r="Z476">
        <f t="shared" si="23"/>
        <v>-1.5260771094104186</v>
      </c>
      <c r="AA476" s="32">
        <f>IF(Pitchers[[#This Row],[W]]=0,0,Pitchers[[#This Row],[W]]/(Pitchers[[#This Row],[W]]+Pitchers[[#This Row],[L]]))</f>
        <v>0.5</v>
      </c>
      <c r="AB476" s="60"/>
    </row>
    <row r="477" spans="1:28" x14ac:dyDescent="0.25">
      <c r="A477" t="s">
        <v>507</v>
      </c>
      <c r="B477" t="s">
        <v>370</v>
      </c>
      <c r="C477">
        <v>25</v>
      </c>
      <c r="D477">
        <v>0</v>
      </c>
      <c r="E477">
        <v>0</v>
      </c>
      <c r="F477">
        <v>0</v>
      </c>
      <c r="G477">
        <v>28.2</v>
      </c>
      <c r="H477">
        <v>28</v>
      </c>
      <c r="I477">
        <v>17</v>
      </c>
      <c r="J477">
        <v>25</v>
      </c>
      <c r="K477">
        <v>12</v>
      </c>
      <c r="L477">
        <v>9</v>
      </c>
      <c r="M477">
        <v>4</v>
      </c>
      <c r="N477">
        <v>1</v>
      </c>
      <c r="O477">
        <v>0</v>
      </c>
      <c r="P477">
        <v>0</v>
      </c>
      <c r="Q477">
        <v>3</v>
      </c>
      <c r="R477">
        <v>5.34</v>
      </c>
      <c r="S477">
        <v>1.4</v>
      </c>
      <c r="T477">
        <f t="shared" si="21"/>
        <v>0</v>
      </c>
      <c r="U477">
        <f t="shared" si="22"/>
        <v>0.6028368794326241</v>
      </c>
      <c r="V477">
        <f>U477-AVERAGEIFS(Pitchers[ER/IP],Pitchers[GS],"&gt;"&amp;0,Pitchers[IP],"&gt;"&amp;3)</f>
        <v>3.1336284633304623E-2</v>
      </c>
      <c r="W477">
        <f>IF(Pitchers[[#This Row],[IP/GS]]&lt;&gt;0,(Pitchers[[#This Row],[WHIP]]*$AH$5+$AI$5)/9*Pitchers[[#This Row],[IP/GS]],(Pitchers[[#This Row],[WHIP]]*$AH$5+$AI$5)/9*(Pitchers[[#This Row],[IP]]/Pitchers[[#This Row],[G]]))</f>
        <v>0.59359549367934306</v>
      </c>
      <c r="X477">
        <f>Pitchers[[#This Row],[Runs from WHIP]]-AVERAGEIFS(Pitchers[Runs from WHIP],Pitchers[GS],"&gt;"&amp;0,Pitchers[IP],"&gt;"&amp;3)</f>
        <v>-5.0923204124455159</v>
      </c>
      <c r="Y477">
        <f>IF(Pitchers[[#This Row],[IP/GS]]&lt;&gt;0,Pitchers[[#This Row],[ER/IP From Average]]*Pitchers[[#This Row],[IP/GS]],Pitchers[[#This Row],[ER/IP From Average]]*(Pitchers[[#This Row],[IP]]/Pitchers[[#This Row],[G]]))</f>
        <v>3.534732906636761E-2</v>
      </c>
      <c r="Z477">
        <f t="shared" si="23"/>
        <v>-1.3438131783589242</v>
      </c>
      <c r="AA477" s="32">
        <f>IF(Pitchers[[#This Row],[W]]=0,0,Pitchers[[#This Row],[W]]/(Pitchers[[#This Row],[W]]+Pitchers[[#This Row],[L]]))</f>
        <v>0.8</v>
      </c>
      <c r="AB477" s="60"/>
    </row>
    <row r="478" spans="1:28" x14ac:dyDescent="0.25">
      <c r="A478" t="s">
        <v>923</v>
      </c>
      <c r="B478" t="s">
        <v>13</v>
      </c>
      <c r="C478">
        <v>28</v>
      </c>
      <c r="D478">
        <v>0</v>
      </c>
      <c r="E478">
        <v>0</v>
      </c>
      <c r="F478">
        <v>0</v>
      </c>
      <c r="G478">
        <v>28.1</v>
      </c>
      <c r="H478">
        <v>30</v>
      </c>
      <c r="I478">
        <v>14</v>
      </c>
      <c r="J478">
        <v>36</v>
      </c>
      <c r="K478">
        <v>15</v>
      </c>
      <c r="L478">
        <v>4</v>
      </c>
      <c r="M478">
        <v>2</v>
      </c>
      <c r="N478">
        <v>0</v>
      </c>
      <c r="O478">
        <v>0</v>
      </c>
      <c r="P478">
        <v>0</v>
      </c>
      <c r="Q478">
        <v>0</v>
      </c>
      <c r="R478">
        <v>4.45</v>
      </c>
      <c r="S478">
        <v>1.59</v>
      </c>
      <c r="T478">
        <f t="shared" si="21"/>
        <v>0</v>
      </c>
      <c r="U478">
        <f t="shared" si="22"/>
        <v>0.49822064056939497</v>
      </c>
      <c r="V478">
        <f>U478-AVERAGEIFS(Pitchers[ER/IP],Pitchers[GS],"&gt;"&amp;0,Pitchers[IP],"&gt;"&amp;3)</f>
        <v>-7.3279954229924504E-2</v>
      </c>
      <c r="W478">
        <f>IF(Pitchers[[#This Row],[IP/GS]]&lt;&gt;0,(Pitchers[[#This Row],[WHIP]]*$AH$5+$AI$5)/9*Pitchers[[#This Row],[IP/GS]],(Pitchers[[#This Row],[WHIP]]*$AH$5+$AI$5)/9*(Pitchers[[#This Row],[IP]]/Pitchers[[#This Row],[G]]))</f>
        <v>0.62711208272083085</v>
      </c>
      <c r="X478">
        <f>Pitchers[[#This Row],[Runs from WHIP]]-AVERAGEIFS(Pitchers[Runs from WHIP],Pitchers[GS],"&gt;"&amp;0,Pitchers[IP],"&gt;"&amp;3)</f>
        <v>-5.0588038234040287</v>
      </c>
      <c r="Y478">
        <f>IF(Pitchers[[#This Row],[IP/GS]]&lt;&gt;0,Pitchers[[#This Row],[ER/IP From Average]]*Pitchers[[#This Row],[IP/GS]],Pitchers[[#This Row],[ER/IP From Average]]*(Pitchers[[#This Row],[IP]]/Pitchers[[#This Row],[G]]))</f>
        <v>-7.3541668352174239E-2</v>
      </c>
      <c r="Z478">
        <f t="shared" si="23"/>
        <v>-1.3784310202486107</v>
      </c>
      <c r="AA478" s="32">
        <f>IF(Pitchers[[#This Row],[W]]=0,0,Pitchers[[#This Row],[W]]/(Pitchers[[#This Row],[W]]+Pitchers[[#This Row],[L]]))</f>
        <v>1</v>
      </c>
      <c r="AB478" s="60"/>
    </row>
    <row r="479" spans="1:28" x14ac:dyDescent="0.25">
      <c r="A479" t="s">
        <v>1261</v>
      </c>
      <c r="B479" t="s">
        <v>18</v>
      </c>
      <c r="C479">
        <v>8</v>
      </c>
      <c r="D479">
        <v>5</v>
      </c>
      <c r="E479">
        <v>0</v>
      </c>
      <c r="F479">
        <v>0</v>
      </c>
      <c r="G479">
        <v>28.1</v>
      </c>
      <c r="H479">
        <v>49</v>
      </c>
      <c r="I479">
        <v>35</v>
      </c>
      <c r="J479">
        <v>19</v>
      </c>
      <c r="K479">
        <v>13</v>
      </c>
      <c r="L479">
        <v>12</v>
      </c>
      <c r="M479">
        <v>1</v>
      </c>
      <c r="N479">
        <v>5</v>
      </c>
      <c r="O479">
        <v>0</v>
      </c>
      <c r="P479">
        <v>0</v>
      </c>
      <c r="Q479">
        <v>0</v>
      </c>
      <c r="R479">
        <v>11.12</v>
      </c>
      <c r="S479">
        <v>2.19</v>
      </c>
      <c r="T479">
        <f t="shared" si="21"/>
        <v>5.62</v>
      </c>
      <c r="U479">
        <f t="shared" si="22"/>
        <v>1.2455516014234875</v>
      </c>
      <c r="V479">
        <f>U479-AVERAGEIFS(Pitchers[ER/IP],Pitchers[GS],"&gt;"&amp;0,Pitchers[IP],"&gt;"&amp;3)</f>
        <v>0.67405100662416806</v>
      </c>
      <c r="W479">
        <f>IF(Pitchers[[#This Row],[IP/GS]]&lt;&gt;0,(Pitchers[[#This Row],[WHIP]]*$AH$5+$AI$5)/9*Pitchers[[#This Row],[IP/GS]],(Pitchers[[#This Row],[WHIP]]*$AH$5+$AI$5)/9*(Pitchers[[#This Row],[IP]]/Pitchers[[#This Row],[G]]))</f>
        <v>5.2624853610335052</v>
      </c>
      <c r="X479">
        <f>Pitchers[[#This Row],[Runs from WHIP]]-AVERAGEIFS(Pitchers[Runs from WHIP],Pitchers[GS],"&gt;"&amp;0,Pitchers[IP],"&gt;"&amp;3)</f>
        <v>-0.42343054509135403</v>
      </c>
      <c r="Y479">
        <f>IF(Pitchers[[#This Row],[IP/GS]]&lt;&gt;0,Pitchers[[#This Row],[ER/IP From Average]]*Pitchers[[#This Row],[IP/GS]],Pitchers[[#This Row],[ER/IP From Average]]*(Pitchers[[#This Row],[IP]]/Pitchers[[#This Row],[G]]))</f>
        <v>3.7881666572278245</v>
      </c>
      <c r="Z479">
        <f t="shared" si="23"/>
        <v>1.4023518508667687</v>
      </c>
      <c r="AA479" s="32">
        <f>IF(Pitchers[[#This Row],[W]]=0,0,Pitchers[[#This Row],[W]]/(Pitchers[[#This Row],[W]]+Pitchers[[#This Row],[L]]))</f>
        <v>0.16666666666666666</v>
      </c>
      <c r="AB479" s="60"/>
    </row>
    <row r="480" spans="1:28" x14ac:dyDescent="0.25">
      <c r="A480" t="s">
        <v>4118</v>
      </c>
      <c r="B480" t="s">
        <v>13</v>
      </c>
      <c r="C480">
        <v>9</v>
      </c>
      <c r="D480">
        <v>5</v>
      </c>
      <c r="E480">
        <v>0</v>
      </c>
      <c r="F480">
        <v>0</v>
      </c>
      <c r="G480">
        <v>28.1</v>
      </c>
      <c r="H480">
        <v>27</v>
      </c>
      <c r="I480">
        <v>5</v>
      </c>
      <c r="J480">
        <v>23</v>
      </c>
      <c r="K480">
        <v>5</v>
      </c>
      <c r="L480">
        <v>1</v>
      </c>
      <c r="M480">
        <v>2</v>
      </c>
      <c r="N480">
        <v>1</v>
      </c>
      <c r="O480">
        <v>1</v>
      </c>
      <c r="P480">
        <v>0</v>
      </c>
      <c r="Q480">
        <v>0</v>
      </c>
      <c r="R480">
        <v>1.59</v>
      </c>
      <c r="S480">
        <v>1.1299999999999999</v>
      </c>
      <c r="T480">
        <f t="shared" si="21"/>
        <v>5.62</v>
      </c>
      <c r="U480">
        <f t="shared" si="22"/>
        <v>0.1779359430604982</v>
      </c>
      <c r="V480">
        <f>U480-AVERAGEIFS(Pitchers[ER/IP],Pitchers[GS],"&gt;"&amp;0,Pitchers[IP],"&gt;"&amp;3)</f>
        <v>-0.39356465173882127</v>
      </c>
      <c r="W480">
        <f>IF(Pitchers[[#This Row],[IP/GS]]&lt;&gt;0,(Pitchers[[#This Row],[WHIP]]*$AH$5+$AI$5)/9*Pitchers[[#This Row],[IP/GS]],(Pitchers[[#This Row],[WHIP]]*$AH$5+$AI$5)/9*(Pitchers[[#This Row],[IP]]/Pitchers[[#This Row],[G]]))</f>
        <v>2.1696567615923987</v>
      </c>
      <c r="X480">
        <f>Pitchers[[#This Row],[Runs from WHIP]]-AVERAGEIFS(Pitchers[Runs from WHIP],Pitchers[GS],"&gt;"&amp;0,Pitchers[IP],"&gt;"&amp;3)</f>
        <v>-3.5162591445324605</v>
      </c>
      <c r="Y480">
        <f>IF(Pitchers[[#This Row],[IP/GS]]&lt;&gt;0,Pitchers[[#This Row],[ER/IP From Average]]*Pitchers[[#This Row],[IP/GS]],Pitchers[[#This Row],[ER/IP From Average]]*(Pitchers[[#This Row],[IP]]/Pitchers[[#This Row],[G]]))</f>
        <v>-2.2118333427721755</v>
      </c>
      <c r="Z480">
        <f t="shared" si="23"/>
        <v>-1.8224024423175262</v>
      </c>
      <c r="AA480" s="32">
        <f>IF(Pitchers[[#This Row],[W]]=0,0,Pitchers[[#This Row],[W]]/(Pitchers[[#This Row],[W]]+Pitchers[[#This Row],[L]]))</f>
        <v>0.66666666666666663</v>
      </c>
      <c r="AB480" s="60"/>
    </row>
    <row r="481" spans="1:28" x14ac:dyDescent="0.25">
      <c r="A481" t="s">
        <v>856</v>
      </c>
      <c r="B481" t="s">
        <v>2</v>
      </c>
      <c r="C481">
        <v>25</v>
      </c>
      <c r="D481">
        <v>1</v>
      </c>
      <c r="E481">
        <v>0</v>
      </c>
      <c r="F481">
        <v>0</v>
      </c>
      <c r="G481">
        <v>28</v>
      </c>
      <c r="H481">
        <v>44</v>
      </c>
      <c r="I481">
        <v>27</v>
      </c>
      <c r="J481">
        <v>17</v>
      </c>
      <c r="K481">
        <v>16</v>
      </c>
      <c r="L481">
        <v>11</v>
      </c>
      <c r="M481">
        <v>0</v>
      </c>
      <c r="N481">
        <v>3</v>
      </c>
      <c r="O481">
        <v>0</v>
      </c>
      <c r="P481">
        <v>0</v>
      </c>
      <c r="Q481">
        <v>1</v>
      </c>
      <c r="R481">
        <v>8.68</v>
      </c>
      <c r="S481">
        <v>2.14</v>
      </c>
      <c r="T481">
        <f t="shared" si="21"/>
        <v>28</v>
      </c>
      <c r="U481">
        <f t="shared" si="22"/>
        <v>0.9642857142857143</v>
      </c>
      <c r="V481">
        <f>U481-AVERAGEIFS(Pitchers[ER/IP],Pitchers[GS],"&gt;"&amp;0,Pitchers[IP],"&gt;"&amp;3)</f>
        <v>0.39278511948639483</v>
      </c>
      <c r="W481">
        <f>IF(Pitchers[[#This Row],[IP/GS]]&lt;&gt;0,(Pitchers[[#This Row],[WHIP]]*$AH$5+$AI$5)/9*Pitchers[[#This Row],[IP/GS]],(Pitchers[[#This Row],[WHIP]]*$AH$5+$AI$5)/9*(Pitchers[[#This Row],[IP]]/Pitchers[[#This Row],[G]]))</f>
        <v>25.491943442600032</v>
      </c>
      <c r="X481">
        <f>Pitchers[[#This Row],[Runs from WHIP]]-AVERAGEIFS(Pitchers[Runs from WHIP],Pitchers[GS],"&gt;"&amp;0,Pitchers[IP],"&gt;"&amp;3)</f>
        <v>19.806027536475174</v>
      </c>
      <c r="Y481">
        <f>IF(Pitchers[[#This Row],[IP/GS]]&lt;&gt;0,Pitchers[[#This Row],[ER/IP From Average]]*Pitchers[[#This Row],[IP/GS]],Pitchers[[#This Row],[ER/IP From Average]]*(Pitchers[[#This Row],[IP]]/Pitchers[[#This Row],[G]]))</f>
        <v>10.997983345619055</v>
      </c>
      <c r="Z481">
        <f t="shared" si="23"/>
        <v>9.6808006813076677</v>
      </c>
      <c r="AA481" s="32">
        <f>IF(Pitchers[[#This Row],[W]]=0,0,Pitchers[[#This Row],[W]]/(Pitchers[[#This Row],[W]]+Pitchers[[#This Row],[L]]))</f>
        <v>0</v>
      </c>
      <c r="AB481" s="60"/>
    </row>
    <row r="482" spans="1:28" x14ac:dyDescent="0.25">
      <c r="A482" t="s">
        <v>610</v>
      </c>
      <c r="B482" t="s">
        <v>8</v>
      </c>
      <c r="C482">
        <v>25</v>
      </c>
      <c r="D482">
        <v>0</v>
      </c>
      <c r="E482">
        <v>0</v>
      </c>
      <c r="F482">
        <v>0</v>
      </c>
      <c r="G482">
        <v>28</v>
      </c>
      <c r="H482">
        <v>32</v>
      </c>
      <c r="I482">
        <v>20</v>
      </c>
      <c r="J482">
        <v>40</v>
      </c>
      <c r="K482">
        <v>20</v>
      </c>
      <c r="L482">
        <v>2</v>
      </c>
      <c r="M482">
        <v>0</v>
      </c>
      <c r="N482">
        <v>1</v>
      </c>
      <c r="O482">
        <v>0</v>
      </c>
      <c r="P482">
        <v>0</v>
      </c>
      <c r="Q482">
        <v>3</v>
      </c>
      <c r="R482">
        <v>6.43</v>
      </c>
      <c r="S482">
        <v>1.86</v>
      </c>
      <c r="T482">
        <f t="shared" si="21"/>
        <v>0</v>
      </c>
      <c r="U482">
        <f t="shared" si="22"/>
        <v>0.7142857142857143</v>
      </c>
      <c r="V482">
        <f>U482-AVERAGEIFS(Pitchers[ER/IP],Pitchers[GS],"&gt;"&amp;0,Pitchers[IP],"&gt;"&amp;3)</f>
        <v>0.14278511948639483</v>
      </c>
      <c r="W482">
        <f>IF(Pitchers[[#This Row],[IP/GS]]&lt;&gt;0,(Pitchers[[#This Row],[WHIP]]*$AH$5+$AI$5)/9*Pitchers[[#This Row],[IP/GS]],(Pitchers[[#This Row],[WHIP]]*$AH$5+$AI$5)/9*(Pitchers[[#This Row],[IP]]/Pitchers[[#This Row],[G]]))</f>
        <v>0.85686449510937113</v>
      </c>
      <c r="X482">
        <f>Pitchers[[#This Row],[Runs from WHIP]]-AVERAGEIFS(Pitchers[Runs from WHIP],Pitchers[GS],"&gt;"&amp;0,Pitchers[IP],"&gt;"&amp;3)</f>
        <v>-4.8290514110154881</v>
      </c>
      <c r="Y482">
        <f>IF(Pitchers[[#This Row],[IP/GS]]&lt;&gt;0,Pitchers[[#This Row],[ER/IP From Average]]*Pitchers[[#This Row],[IP/GS]],Pitchers[[#This Row],[ER/IP From Average]]*(Pitchers[[#This Row],[IP]]/Pitchers[[#This Row],[G]]))</f>
        <v>0.15991933382476223</v>
      </c>
      <c r="Z482">
        <f t="shared" si="23"/>
        <v>-1.2237793094075586</v>
      </c>
      <c r="AA482" s="32">
        <f>IF(Pitchers[[#This Row],[W]]=0,0,Pitchers[[#This Row],[W]]/(Pitchers[[#This Row],[W]]+Pitchers[[#This Row],[L]]))</f>
        <v>0</v>
      </c>
      <c r="AB482" s="60"/>
    </row>
    <row r="483" spans="1:28" x14ac:dyDescent="0.25">
      <c r="A483" t="s">
        <v>1195</v>
      </c>
      <c r="B483" t="s">
        <v>15</v>
      </c>
      <c r="C483">
        <v>29</v>
      </c>
      <c r="D483">
        <v>0</v>
      </c>
      <c r="E483">
        <v>0</v>
      </c>
      <c r="F483">
        <v>0</v>
      </c>
      <c r="G483">
        <v>28</v>
      </c>
      <c r="H483">
        <v>26</v>
      </c>
      <c r="I483">
        <v>18</v>
      </c>
      <c r="J483">
        <v>15</v>
      </c>
      <c r="K483">
        <v>8</v>
      </c>
      <c r="L483">
        <v>3</v>
      </c>
      <c r="M483">
        <v>1</v>
      </c>
      <c r="N483">
        <v>3</v>
      </c>
      <c r="O483">
        <v>0</v>
      </c>
      <c r="P483">
        <v>1</v>
      </c>
      <c r="Q483">
        <v>7</v>
      </c>
      <c r="R483">
        <v>5.79</v>
      </c>
      <c r="S483">
        <v>1.21</v>
      </c>
      <c r="T483">
        <f t="shared" si="21"/>
        <v>0</v>
      </c>
      <c r="U483">
        <f t="shared" si="22"/>
        <v>0.6428571428571429</v>
      </c>
      <c r="V483">
        <f>U483-AVERAGEIFS(Pitchers[ER/IP],Pitchers[GS],"&gt;"&amp;0,Pitchers[IP],"&gt;"&amp;3)</f>
        <v>7.1356548057823432E-2</v>
      </c>
      <c r="W483">
        <f>IF(Pitchers[[#This Row],[IP/GS]]&lt;&gt;0,(Pitchers[[#This Row],[WHIP]]*$AH$5+$AI$5)/9*Pitchers[[#This Row],[IP/GS]],(Pitchers[[#This Row],[WHIP]]*$AH$5+$AI$5)/9*(Pitchers[[#This Row],[IP]]/Pitchers[[#This Row],[G]]))</f>
        <v>0.41284929477867688</v>
      </c>
      <c r="X483">
        <f>Pitchers[[#This Row],[Runs from WHIP]]-AVERAGEIFS(Pitchers[Runs from WHIP],Pitchers[GS],"&gt;"&amp;0,Pitchers[IP],"&gt;"&amp;3)</f>
        <v>-5.2730666113461826</v>
      </c>
      <c r="Y483">
        <f>IF(Pitchers[[#This Row],[IP/GS]]&lt;&gt;0,Pitchers[[#This Row],[ER/IP From Average]]*Pitchers[[#This Row],[IP/GS]],Pitchers[[#This Row],[ER/IP From Average]]*(Pitchers[[#This Row],[IP]]/Pitchers[[#This Row],[G]]))</f>
        <v>6.8895977435139866E-2</v>
      </c>
      <c r="Z483">
        <f t="shared" si="23"/>
        <v>-1.3785927053849258</v>
      </c>
      <c r="AA483" s="32">
        <f>IF(Pitchers[[#This Row],[W]]=0,0,Pitchers[[#This Row],[W]]/(Pitchers[[#This Row],[W]]+Pitchers[[#This Row],[L]]))</f>
        <v>0.25</v>
      </c>
      <c r="AB483" s="60"/>
    </row>
    <row r="484" spans="1:28" x14ac:dyDescent="0.25">
      <c r="A484" t="s">
        <v>1326</v>
      </c>
      <c r="B484" t="s">
        <v>219</v>
      </c>
      <c r="C484">
        <v>33</v>
      </c>
      <c r="D484">
        <v>0</v>
      </c>
      <c r="E484">
        <v>0</v>
      </c>
      <c r="F484">
        <v>0</v>
      </c>
      <c r="G484">
        <v>27.2</v>
      </c>
      <c r="H484">
        <v>19</v>
      </c>
      <c r="I484">
        <v>11</v>
      </c>
      <c r="J484">
        <v>20</v>
      </c>
      <c r="K484">
        <v>15</v>
      </c>
      <c r="L484">
        <v>3</v>
      </c>
      <c r="M484">
        <v>5</v>
      </c>
      <c r="N484">
        <v>1</v>
      </c>
      <c r="O484">
        <v>0</v>
      </c>
      <c r="P484">
        <v>1</v>
      </c>
      <c r="Q484">
        <v>0</v>
      </c>
      <c r="R484">
        <v>3.58</v>
      </c>
      <c r="S484">
        <v>1.23</v>
      </c>
      <c r="T484">
        <f t="shared" si="21"/>
        <v>0</v>
      </c>
      <c r="U484">
        <f t="shared" si="22"/>
        <v>0.40441176470588236</v>
      </c>
      <c r="V484">
        <f>U484-AVERAGEIFS(Pitchers[ER/IP],Pitchers[GS],"&gt;"&amp;0,Pitchers[IP],"&gt;"&amp;3)</f>
        <v>-0.16708883009343711</v>
      </c>
      <c r="W484">
        <f>IF(Pitchers[[#This Row],[IP/GS]]&lt;&gt;0,(Pitchers[[#This Row],[WHIP]]*$AH$5+$AI$5)/9*Pitchers[[#This Row],[IP/GS]],(Pitchers[[#This Row],[WHIP]]*$AH$5+$AI$5)/9*(Pitchers[[#This Row],[IP]]/Pitchers[[#This Row],[G]]))</f>
        <v>0.3609995622344026</v>
      </c>
      <c r="X484">
        <f>Pitchers[[#This Row],[Runs from WHIP]]-AVERAGEIFS(Pitchers[Runs from WHIP],Pitchers[GS],"&gt;"&amp;0,Pitchers[IP],"&gt;"&amp;3)</f>
        <v>-5.3249163438904565</v>
      </c>
      <c r="Y484">
        <f>IF(Pitchers[[#This Row],[IP/GS]]&lt;&gt;0,Pitchers[[#This Row],[ER/IP From Average]]*Pitchers[[#This Row],[IP/GS]],Pitchers[[#This Row],[ER/IP From Average]]*(Pitchers[[#This Row],[IP]]/Pitchers[[#This Row],[G]]))</f>
        <v>-0.13772170238004514</v>
      </c>
      <c r="Z484">
        <f t="shared" si="23"/>
        <v>-1.4750663726561397</v>
      </c>
      <c r="AA484" s="32">
        <f>IF(Pitchers[[#This Row],[W]]=0,0,Pitchers[[#This Row],[W]]/(Pitchers[[#This Row],[W]]+Pitchers[[#This Row],[L]]))</f>
        <v>0.83333333333333337</v>
      </c>
      <c r="AB484" s="60"/>
    </row>
    <row r="485" spans="1:28" x14ac:dyDescent="0.25">
      <c r="A485" t="s">
        <v>1192</v>
      </c>
      <c r="B485" t="s">
        <v>361</v>
      </c>
      <c r="C485">
        <v>22</v>
      </c>
      <c r="D485">
        <v>0</v>
      </c>
      <c r="E485">
        <v>0</v>
      </c>
      <c r="F485">
        <v>0</v>
      </c>
      <c r="G485">
        <v>27.2</v>
      </c>
      <c r="H485">
        <v>31</v>
      </c>
      <c r="I485">
        <v>12</v>
      </c>
      <c r="J485">
        <v>27</v>
      </c>
      <c r="K485">
        <v>12</v>
      </c>
      <c r="L485">
        <v>4</v>
      </c>
      <c r="M485">
        <v>0</v>
      </c>
      <c r="N485">
        <v>0</v>
      </c>
      <c r="O485">
        <v>0</v>
      </c>
      <c r="P485">
        <v>0</v>
      </c>
      <c r="Q485">
        <v>0</v>
      </c>
      <c r="R485">
        <v>3.9</v>
      </c>
      <c r="S485">
        <v>1.55</v>
      </c>
      <c r="T485">
        <f t="shared" si="21"/>
        <v>0</v>
      </c>
      <c r="U485">
        <f t="shared" si="22"/>
        <v>0.44117647058823528</v>
      </c>
      <c r="V485">
        <f>U485-AVERAGEIFS(Pitchers[ER/IP],Pitchers[GS],"&gt;"&amp;0,Pitchers[IP],"&gt;"&amp;3)</f>
        <v>-0.13032412421108419</v>
      </c>
      <c r="W485">
        <f>IF(Pitchers[[#This Row],[IP/GS]]&lt;&gt;0,(Pitchers[[#This Row],[WHIP]]*$AH$5+$AI$5)/9*Pitchers[[#This Row],[IP/GS]],(Pitchers[[#This Row],[WHIP]]*$AH$5+$AI$5)/9*(Pitchers[[#This Row],[IP]]/Pitchers[[#This Row],[G]]))</f>
        <v>0.74690380525206512</v>
      </c>
      <c r="X485">
        <f>Pitchers[[#This Row],[Runs from WHIP]]-AVERAGEIFS(Pitchers[Runs from WHIP],Pitchers[GS],"&gt;"&amp;0,Pitchers[IP],"&gt;"&amp;3)</f>
        <v>-4.9390121008727945</v>
      </c>
      <c r="Y485">
        <f>IF(Pitchers[[#This Row],[IP/GS]]&lt;&gt;0,Pitchers[[#This Row],[ER/IP From Average]]*Pitchers[[#This Row],[IP/GS]],Pitchers[[#This Row],[ER/IP From Average]]*(Pitchers[[#This Row],[IP]]/Pitchers[[#This Row],[G]]))</f>
        <v>-0.16112800811552228</v>
      </c>
      <c r="Z485">
        <f t="shared" si="23"/>
        <v>-1.3815210968122873</v>
      </c>
      <c r="AA485" s="32">
        <f>IF(Pitchers[[#This Row],[W]]=0,0,Pitchers[[#This Row],[W]]/(Pitchers[[#This Row],[W]]+Pitchers[[#This Row],[L]]))</f>
        <v>0</v>
      </c>
      <c r="AB485" s="60"/>
    </row>
    <row r="486" spans="1:28" x14ac:dyDescent="0.25">
      <c r="A486" t="s">
        <v>3803</v>
      </c>
      <c r="B486" t="s">
        <v>5</v>
      </c>
      <c r="C486">
        <v>12</v>
      </c>
      <c r="D486">
        <v>4</v>
      </c>
      <c r="E486">
        <v>0</v>
      </c>
      <c r="F486">
        <v>0</v>
      </c>
      <c r="G486">
        <v>27.2</v>
      </c>
      <c r="H486">
        <v>30</v>
      </c>
      <c r="I486">
        <v>26</v>
      </c>
      <c r="J486">
        <v>24</v>
      </c>
      <c r="K486">
        <v>14</v>
      </c>
      <c r="L486">
        <v>7</v>
      </c>
      <c r="M486">
        <v>0</v>
      </c>
      <c r="N486">
        <v>3</v>
      </c>
      <c r="O486">
        <v>0</v>
      </c>
      <c r="P486">
        <v>0</v>
      </c>
      <c r="Q486">
        <v>0</v>
      </c>
      <c r="R486">
        <v>8.4600000000000009</v>
      </c>
      <c r="S486">
        <v>1.59</v>
      </c>
      <c r="T486">
        <f t="shared" si="21"/>
        <v>6.8</v>
      </c>
      <c r="U486">
        <f t="shared" si="22"/>
        <v>0.95588235294117652</v>
      </c>
      <c r="V486">
        <f>U486-AVERAGEIFS(Pitchers[ER/IP],Pitchers[GS],"&gt;"&amp;0,Pitchers[IP],"&gt;"&amp;3)</f>
        <v>0.38438175814185704</v>
      </c>
      <c r="W486">
        <f>IF(Pitchers[[#This Row],[IP/GS]]&lt;&gt;0,(Pitchers[[#This Row],[WHIP]]*$AH$5+$AI$5)/9*Pitchers[[#This Row],[IP/GS]],(Pitchers[[#This Row],[WHIP]]*$AH$5+$AI$5)/9*(Pitchers[[#This Row],[IP]]/Pitchers[[#This Row],[G]]))</f>
        <v>4.2491864964429249</v>
      </c>
      <c r="X486">
        <f>Pitchers[[#This Row],[Runs from WHIP]]-AVERAGEIFS(Pitchers[Runs from WHIP],Pitchers[GS],"&gt;"&amp;0,Pitchers[IP],"&gt;"&amp;3)</f>
        <v>-1.4367294096819343</v>
      </c>
      <c r="Y486">
        <f>IF(Pitchers[[#This Row],[IP/GS]]&lt;&gt;0,Pitchers[[#This Row],[ER/IP From Average]]*Pitchers[[#This Row],[IP/GS]],Pitchers[[#This Row],[ER/IP From Average]]*(Pitchers[[#This Row],[IP]]/Pitchers[[#This Row],[G]]))</f>
        <v>2.6137959553646279</v>
      </c>
      <c r="Z486">
        <f t="shared" si="23"/>
        <v>0.66239053956400207</v>
      </c>
      <c r="AA486" s="32">
        <f>IF(Pitchers[[#This Row],[W]]=0,0,Pitchers[[#This Row],[W]]/(Pitchers[[#This Row],[W]]+Pitchers[[#This Row],[L]]))</f>
        <v>0</v>
      </c>
      <c r="AB486" s="60"/>
    </row>
    <row r="487" spans="1:28" x14ac:dyDescent="0.25">
      <c r="A487" t="s">
        <v>1457</v>
      </c>
      <c r="B487" t="s">
        <v>13</v>
      </c>
      <c r="C487">
        <v>12</v>
      </c>
      <c r="D487">
        <v>2</v>
      </c>
      <c r="E487">
        <v>0</v>
      </c>
      <c r="F487">
        <v>0</v>
      </c>
      <c r="G487">
        <v>27.2</v>
      </c>
      <c r="H487">
        <v>38</v>
      </c>
      <c r="I487">
        <v>19</v>
      </c>
      <c r="J487">
        <v>31</v>
      </c>
      <c r="K487">
        <v>10</v>
      </c>
      <c r="L487">
        <v>3</v>
      </c>
      <c r="M487">
        <v>3</v>
      </c>
      <c r="N487">
        <v>2</v>
      </c>
      <c r="O487">
        <v>0</v>
      </c>
      <c r="P487">
        <v>2</v>
      </c>
      <c r="Q487">
        <v>1</v>
      </c>
      <c r="R487">
        <v>6.18</v>
      </c>
      <c r="S487">
        <v>1.73</v>
      </c>
      <c r="T487">
        <f t="shared" si="21"/>
        <v>13.6</v>
      </c>
      <c r="U487">
        <f t="shared" si="22"/>
        <v>0.69852941176470595</v>
      </c>
      <c r="V487">
        <f>U487-AVERAGEIFS(Pitchers[ER/IP],Pitchers[GS],"&gt;"&amp;0,Pitchers[IP],"&gt;"&amp;3)</f>
        <v>0.12702881696538648</v>
      </c>
      <c r="W487">
        <f>IF(Pitchers[[#This Row],[IP/GS]]&lt;&gt;0,(Pitchers[[#This Row],[WHIP]]*$AH$5+$AI$5)/9*Pitchers[[#This Row],[IP/GS]],(Pitchers[[#This Row],[WHIP]]*$AH$5+$AI$5)/9*(Pitchers[[#This Row],[IP]]/Pitchers[[#This Row],[G]]))</f>
        <v>9.4868819657818175</v>
      </c>
      <c r="X487">
        <f>Pitchers[[#This Row],[Runs from WHIP]]-AVERAGEIFS(Pitchers[Runs from WHIP],Pitchers[GS],"&gt;"&amp;0,Pitchers[IP],"&gt;"&amp;3)</f>
        <v>3.8009660596569583</v>
      </c>
      <c r="Y487">
        <f>IF(Pitchers[[#This Row],[IP/GS]]&lt;&gt;0,Pitchers[[#This Row],[ER/IP From Average]]*Pitchers[[#This Row],[IP/GS]],Pitchers[[#This Row],[ER/IP From Average]]*(Pitchers[[#This Row],[IP]]/Pitchers[[#This Row],[G]]))</f>
        <v>1.7275919107292561</v>
      </c>
      <c r="Z487">
        <f t="shared" si="23"/>
        <v>1.7046277135335579</v>
      </c>
      <c r="AA487" s="32">
        <f>IF(Pitchers[[#This Row],[W]]=0,0,Pitchers[[#This Row],[W]]/(Pitchers[[#This Row],[W]]+Pitchers[[#This Row],[L]]))</f>
        <v>0.6</v>
      </c>
      <c r="AB487" s="60"/>
    </row>
    <row r="488" spans="1:28" x14ac:dyDescent="0.25">
      <c r="A488" t="s">
        <v>689</v>
      </c>
      <c r="B488" t="s">
        <v>361</v>
      </c>
      <c r="C488">
        <v>20</v>
      </c>
      <c r="D488">
        <v>2</v>
      </c>
      <c r="E488">
        <v>0</v>
      </c>
      <c r="F488">
        <v>0</v>
      </c>
      <c r="G488">
        <v>27.1</v>
      </c>
      <c r="H488">
        <v>26</v>
      </c>
      <c r="I488">
        <v>19</v>
      </c>
      <c r="J488">
        <v>25</v>
      </c>
      <c r="K488">
        <v>20</v>
      </c>
      <c r="L488">
        <v>5</v>
      </c>
      <c r="M488">
        <v>1</v>
      </c>
      <c r="N488">
        <v>2</v>
      </c>
      <c r="O488">
        <v>0</v>
      </c>
      <c r="P488">
        <v>0</v>
      </c>
      <c r="Q488">
        <v>1</v>
      </c>
      <c r="R488">
        <v>6.26</v>
      </c>
      <c r="S488">
        <v>1.68</v>
      </c>
      <c r="T488">
        <f t="shared" si="21"/>
        <v>13.55</v>
      </c>
      <c r="U488">
        <f t="shared" si="22"/>
        <v>0.70110701107011064</v>
      </c>
      <c r="V488">
        <f>U488-AVERAGEIFS(Pitchers[ER/IP],Pitchers[GS],"&gt;"&amp;0,Pitchers[IP],"&gt;"&amp;3)</f>
        <v>0.12960641627079117</v>
      </c>
      <c r="W488">
        <f>IF(Pitchers[[#This Row],[IP/GS]]&lt;&gt;0,(Pitchers[[#This Row],[WHIP]]*$AH$5+$AI$5)/9*Pitchers[[#This Row],[IP/GS]],(Pitchers[[#This Row],[WHIP]]*$AH$5+$AI$5)/9*(Pitchers[[#This Row],[IP]]/Pitchers[[#This Row],[G]]))</f>
        <v>9.1002627415709494</v>
      </c>
      <c r="X488">
        <f>Pitchers[[#This Row],[Runs from WHIP]]-AVERAGEIFS(Pitchers[Runs from WHIP],Pitchers[GS],"&gt;"&amp;0,Pitchers[IP],"&gt;"&amp;3)</f>
        <v>3.4143468354460902</v>
      </c>
      <c r="Y488">
        <f>IF(Pitchers[[#This Row],[IP/GS]]&lt;&gt;0,Pitchers[[#This Row],[ER/IP From Average]]*Pitchers[[#This Row],[IP/GS]],Pitchers[[#This Row],[ER/IP From Average]]*(Pitchers[[#This Row],[IP]]/Pitchers[[#This Row],[G]]))</f>
        <v>1.7561669404692204</v>
      </c>
      <c r="Z488">
        <f t="shared" si="23"/>
        <v>1.6129592656399792</v>
      </c>
      <c r="AA488" s="32">
        <f>IF(Pitchers[[#This Row],[W]]=0,0,Pitchers[[#This Row],[W]]/(Pitchers[[#This Row],[W]]+Pitchers[[#This Row],[L]]))</f>
        <v>0.33333333333333331</v>
      </c>
      <c r="AB488" s="60"/>
    </row>
    <row r="489" spans="1:28" x14ac:dyDescent="0.25">
      <c r="A489" t="s">
        <v>755</v>
      </c>
      <c r="B489" t="s">
        <v>29</v>
      </c>
      <c r="C489">
        <v>24</v>
      </c>
      <c r="D489">
        <v>1</v>
      </c>
      <c r="E489">
        <v>0</v>
      </c>
      <c r="F489">
        <v>0</v>
      </c>
      <c r="G489">
        <v>27</v>
      </c>
      <c r="H489">
        <v>25</v>
      </c>
      <c r="I489">
        <v>7</v>
      </c>
      <c r="J489">
        <v>20</v>
      </c>
      <c r="K489">
        <v>8</v>
      </c>
      <c r="L489">
        <v>3</v>
      </c>
      <c r="M489">
        <v>4</v>
      </c>
      <c r="N489">
        <v>0</v>
      </c>
      <c r="O489">
        <v>1</v>
      </c>
      <c r="P489">
        <v>1</v>
      </c>
      <c r="Q489">
        <v>2</v>
      </c>
      <c r="R489">
        <v>2.33</v>
      </c>
      <c r="S489">
        <v>1.22</v>
      </c>
      <c r="T489">
        <f t="shared" si="21"/>
        <v>27</v>
      </c>
      <c r="U489">
        <f t="shared" si="22"/>
        <v>0.25925925925925924</v>
      </c>
      <c r="V489">
        <f>U489-AVERAGEIFS(Pitchers[ER/IP],Pitchers[GS],"&gt;"&amp;0,Pitchers[IP],"&gt;"&amp;3)</f>
        <v>-0.31224133554006023</v>
      </c>
      <c r="W489">
        <f>IF(Pitchers[[#This Row],[IP/GS]]&lt;&gt;0,(Pitchers[[#This Row],[WHIP]]*$AH$5+$AI$5)/9*Pitchers[[#This Row],[IP/GS]],(Pitchers[[#This Row],[WHIP]]*$AH$5+$AI$5)/9*(Pitchers[[#This Row],[IP]]/Pitchers[[#This Row],[G]]))</f>
        <v>11.685212853927405</v>
      </c>
      <c r="X489">
        <f>Pitchers[[#This Row],[Runs from WHIP]]-AVERAGEIFS(Pitchers[Runs from WHIP],Pitchers[GS],"&gt;"&amp;0,Pitchers[IP],"&gt;"&amp;3)</f>
        <v>5.999296947802546</v>
      </c>
      <c r="Y489">
        <f>IF(Pitchers[[#This Row],[IP/GS]]&lt;&gt;0,Pitchers[[#This Row],[ER/IP From Average]]*Pitchers[[#This Row],[IP/GS]],Pitchers[[#This Row],[ER/IP From Average]]*(Pitchers[[#This Row],[IP]]/Pitchers[[#This Row],[G]]))</f>
        <v>-8.4305160595816258</v>
      </c>
      <c r="Z489">
        <f t="shared" si="23"/>
        <v>-1.7723939044186381</v>
      </c>
      <c r="AA489" s="32">
        <f>IF(Pitchers[[#This Row],[W]]=0,0,Pitchers[[#This Row],[W]]/(Pitchers[[#This Row],[W]]+Pitchers[[#This Row],[L]]))</f>
        <v>1</v>
      </c>
      <c r="AB489" s="60"/>
    </row>
    <row r="490" spans="1:28" x14ac:dyDescent="0.25">
      <c r="A490" t="s">
        <v>738</v>
      </c>
      <c r="B490" t="s">
        <v>31</v>
      </c>
      <c r="C490">
        <v>20</v>
      </c>
      <c r="D490">
        <v>0</v>
      </c>
      <c r="E490">
        <v>0</v>
      </c>
      <c r="F490">
        <v>0</v>
      </c>
      <c r="G490">
        <v>27</v>
      </c>
      <c r="H490">
        <v>35</v>
      </c>
      <c r="I490">
        <v>17</v>
      </c>
      <c r="J490">
        <v>18</v>
      </c>
      <c r="K490">
        <v>13</v>
      </c>
      <c r="L490">
        <v>6</v>
      </c>
      <c r="M490">
        <v>1</v>
      </c>
      <c r="N490">
        <v>2</v>
      </c>
      <c r="O490">
        <v>0</v>
      </c>
      <c r="P490">
        <v>1</v>
      </c>
      <c r="Q490">
        <v>3</v>
      </c>
      <c r="R490">
        <v>5.67</v>
      </c>
      <c r="S490">
        <v>1.78</v>
      </c>
      <c r="T490">
        <f t="shared" si="21"/>
        <v>0</v>
      </c>
      <c r="U490">
        <f t="shared" si="22"/>
        <v>0.62962962962962965</v>
      </c>
      <c r="V490">
        <f>U490-AVERAGEIFS(Pitchers[ER/IP],Pitchers[GS],"&gt;"&amp;0,Pitchers[IP],"&gt;"&amp;3)</f>
        <v>5.8129034830310178E-2</v>
      </c>
      <c r="W490">
        <f>IF(Pitchers[[#This Row],[IP/GS]]&lt;&gt;0,(Pitchers[[#This Row],[WHIP]]*$AH$5+$AI$5)/9*Pitchers[[#This Row],[IP/GS]],(Pitchers[[#This Row],[WHIP]]*$AH$5+$AI$5)/9*(Pitchers[[#This Row],[IP]]/Pitchers[[#This Row],[G]]))</f>
        <v>0.97675685252271094</v>
      </c>
      <c r="X490">
        <f>Pitchers[[#This Row],[Runs from WHIP]]-AVERAGEIFS(Pitchers[Runs from WHIP],Pitchers[GS],"&gt;"&amp;0,Pitchers[IP],"&gt;"&amp;3)</f>
        <v>-4.7091590536021481</v>
      </c>
      <c r="Y490">
        <f>IF(Pitchers[[#This Row],[IP/GS]]&lt;&gt;0,Pitchers[[#This Row],[ER/IP From Average]]*Pitchers[[#This Row],[IP/GS]],Pitchers[[#This Row],[ER/IP From Average]]*(Pitchers[[#This Row],[IP]]/Pitchers[[#This Row],[G]]))</f>
        <v>7.8474197020918748E-2</v>
      </c>
      <c r="Z490">
        <f t="shared" si="23"/>
        <v>-1.2243860688188721</v>
      </c>
      <c r="AA490" s="32">
        <f>IF(Pitchers[[#This Row],[W]]=0,0,Pitchers[[#This Row],[W]]/(Pitchers[[#This Row],[W]]+Pitchers[[#This Row],[L]]))</f>
        <v>0.33333333333333331</v>
      </c>
      <c r="AB490" s="60"/>
    </row>
    <row r="491" spans="1:28" x14ac:dyDescent="0.25">
      <c r="A491" t="s">
        <v>1356</v>
      </c>
      <c r="B491" t="s">
        <v>17</v>
      </c>
      <c r="C491">
        <v>20</v>
      </c>
      <c r="D491">
        <v>0</v>
      </c>
      <c r="E491">
        <v>0</v>
      </c>
      <c r="F491">
        <v>0</v>
      </c>
      <c r="G491">
        <v>27</v>
      </c>
      <c r="H491">
        <v>22</v>
      </c>
      <c r="I491">
        <v>10</v>
      </c>
      <c r="J491">
        <v>16</v>
      </c>
      <c r="K491">
        <v>11</v>
      </c>
      <c r="L491">
        <v>4</v>
      </c>
      <c r="M491">
        <v>1</v>
      </c>
      <c r="N491">
        <v>0</v>
      </c>
      <c r="O491">
        <v>0</v>
      </c>
      <c r="P491">
        <v>0</v>
      </c>
      <c r="Q491">
        <v>0</v>
      </c>
      <c r="R491">
        <v>3.33</v>
      </c>
      <c r="S491">
        <v>1.22</v>
      </c>
      <c r="T491">
        <f t="shared" si="21"/>
        <v>0</v>
      </c>
      <c r="U491">
        <f t="shared" si="22"/>
        <v>0.37037037037037035</v>
      </c>
      <c r="V491">
        <f>U491-AVERAGEIFS(Pitchers[ER/IP],Pitchers[GS],"&gt;"&amp;0,Pitchers[IP],"&gt;"&amp;3)</f>
        <v>-0.20113022442894912</v>
      </c>
      <c r="W491">
        <f>IF(Pitchers[[#This Row],[IP/GS]]&lt;&gt;0,(Pitchers[[#This Row],[WHIP]]*$AH$5+$AI$5)/9*Pitchers[[#This Row],[IP/GS]],(Pitchers[[#This Row],[WHIP]]*$AH$5+$AI$5)/9*(Pitchers[[#This Row],[IP]]/Pitchers[[#This Row],[G]]))</f>
        <v>0.58426064269637035</v>
      </c>
      <c r="X491">
        <f>Pitchers[[#This Row],[Runs from WHIP]]-AVERAGEIFS(Pitchers[Runs from WHIP],Pitchers[GS],"&gt;"&amp;0,Pitchers[IP],"&gt;"&amp;3)</f>
        <v>-5.1016552634284889</v>
      </c>
      <c r="Y491">
        <f>IF(Pitchers[[#This Row],[IP/GS]]&lt;&gt;0,Pitchers[[#This Row],[ER/IP From Average]]*Pitchers[[#This Row],[IP/GS]],Pitchers[[#This Row],[ER/IP From Average]]*(Pitchers[[#This Row],[IP]]/Pitchers[[#This Row],[G]]))</f>
        <v>-0.27152580297908135</v>
      </c>
      <c r="Z491">
        <f t="shared" si="23"/>
        <v>-1.469051724772563</v>
      </c>
      <c r="AA491" s="32">
        <f>IF(Pitchers[[#This Row],[W]]=0,0,Pitchers[[#This Row],[W]]/(Pitchers[[#This Row],[W]]+Pitchers[[#This Row],[L]]))</f>
        <v>1</v>
      </c>
      <c r="AB491" s="60"/>
    </row>
    <row r="492" spans="1:28" x14ac:dyDescent="0.25">
      <c r="A492" t="s">
        <v>1319</v>
      </c>
      <c r="B492" t="s">
        <v>14</v>
      </c>
      <c r="C492">
        <v>11</v>
      </c>
      <c r="D492">
        <v>2</v>
      </c>
      <c r="E492">
        <v>0</v>
      </c>
      <c r="F492">
        <v>0</v>
      </c>
      <c r="G492">
        <v>26.2</v>
      </c>
      <c r="H492">
        <v>36</v>
      </c>
      <c r="I492">
        <v>26</v>
      </c>
      <c r="J492">
        <v>19</v>
      </c>
      <c r="K492">
        <v>16</v>
      </c>
      <c r="L492">
        <v>9</v>
      </c>
      <c r="M492">
        <v>0</v>
      </c>
      <c r="N492">
        <v>4</v>
      </c>
      <c r="O492">
        <v>0</v>
      </c>
      <c r="P492">
        <v>0</v>
      </c>
      <c r="Q492">
        <v>0</v>
      </c>
      <c r="R492">
        <v>8.7799999999999994</v>
      </c>
      <c r="S492">
        <v>1.95</v>
      </c>
      <c r="T492">
        <f t="shared" si="21"/>
        <v>13.1</v>
      </c>
      <c r="U492">
        <f t="shared" si="22"/>
        <v>0.99236641221374045</v>
      </c>
      <c r="V492">
        <f>U492-AVERAGEIFS(Pitchers[ER/IP],Pitchers[GS],"&gt;"&amp;0,Pitchers[IP],"&gt;"&amp;3)</f>
        <v>0.42086581741442097</v>
      </c>
      <c r="W492">
        <f>IF(Pitchers[[#This Row],[IP/GS]]&lt;&gt;0,(Pitchers[[#This Row],[WHIP]]*$AH$5+$AI$5)/9*Pitchers[[#This Row],[IP/GS]],(Pitchers[[#This Row],[WHIP]]*$AH$5+$AI$5)/9*(Pitchers[[#This Row],[IP]]/Pitchers[[#This Row],[G]]))</f>
        <v>10.634361546811993</v>
      </c>
      <c r="X492">
        <f>Pitchers[[#This Row],[Runs from WHIP]]-AVERAGEIFS(Pitchers[Runs from WHIP],Pitchers[GS],"&gt;"&amp;0,Pitchers[IP],"&gt;"&amp;3)</f>
        <v>4.948445640687134</v>
      </c>
      <c r="Y492">
        <f>IF(Pitchers[[#This Row],[IP/GS]]&lt;&gt;0,Pitchers[[#This Row],[ER/IP From Average]]*Pitchers[[#This Row],[IP/GS]],Pitchers[[#This Row],[ER/IP From Average]]*(Pitchers[[#This Row],[IP]]/Pitchers[[#This Row],[G]]))</f>
        <v>5.5133422081289147</v>
      </c>
      <c r="Z492">
        <f t="shared" si="23"/>
        <v>3.5249223874348012</v>
      </c>
      <c r="AA492" s="32">
        <f>IF(Pitchers[[#This Row],[W]]=0,0,Pitchers[[#This Row],[W]]/(Pitchers[[#This Row],[W]]+Pitchers[[#This Row],[L]]))</f>
        <v>0</v>
      </c>
      <c r="AB492" s="60"/>
    </row>
    <row r="493" spans="1:28" x14ac:dyDescent="0.25">
      <c r="A493" t="s">
        <v>4112</v>
      </c>
      <c r="B493" t="s">
        <v>19</v>
      </c>
      <c r="C493">
        <v>6</v>
      </c>
      <c r="D493">
        <v>6</v>
      </c>
      <c r="E493">
        <v>0</v>
      </c>
      <c r="F493">
        <v>0</v>
      </c>
      <c r="G493">
        <v>26.2</v>
      </c>
      <c r="H493">
        <v>30</v>
      </c>
      <c r="I493">
        <v>22</v>
      </c>
      <c r="J493">
        <v>14</v>
      </c>
      <c r="K493">
        <v>11</v>
      </c>
      <c r="L493">
        <v>6</v>
      </c>
      <c r="M493">
        <v>0</v>
      </c>
      <c r="N493">
        <v>2</v>
      </c>
      <c r="O493">
        <v>0</v>
      </c>
      <c r="P493">
        <v>0</v>
      </c>
      <c r="Q493">
        <v>0</v>
      </c>
      <c r="R493">
        <v>7.43</v>
      </c>
      <c r="S493">
        <v>1.54</v>
      </c>
      <c r="T493">
        <f t="shared" si="21"/>
        <v>4.3666666666666663</v>
      </c>
      <c r="U493">
        <f t="shared" si="22"/>
        <v>0.83969465648854968</v>
      </c>
      <c r="V493" s="60">
        <f>U493-AVERAGEIFS(Pitchers[ER/IP],Pitchers[GS],"&gt;"&amp;0,Pitchers[IP],"&gt;"&amp;3)</f>
        <v>0.26819406168923021</v>
      </c>
      <c r="W493" s="60">
        <f>IF(Pitchers[[#This Row],[IP/GS]]&lt;&gt;0,(Pitchers[[#This Row],[WHIP]]*$AH$5+$AI$5)/9*Pitchers[[#This Row],[IP/GS]],(Pitchers[[#This Row],[WHIP]]*$AH$5+$AI$5)/9*(Pitchers[[#This Row],[IP]]/Pitchers[[#This Row],[G]]))</f>
        <v>2.6152910874835062</v>
      </c>
      <c r="X493" s="60">
        <f>Pitchers[[#This Row],[Runs from WHIP]]-AVERAGEIFS(Pitchers[Runs from WHIP],Pitchers[GS],"&gt;"&amp;0,Pitchers[IP],"&gt;"&amp;3)</f>
        <v>-3.0706248186413529</v>
      </c>
      <c r="Y493" s="60">
        <f>IF(Pitchers[[#This Row],[IP/GS]]&lt;&gt;0,Pitchers[[#This Row],[ER/IP From Average]]*Pitchers[[#This Row],[IP/GS]],Pitchers[[#This Row],[ER/IP From Average]]*(Pitchers[[#This Row],[IP]]/Pitchers[[#This Row],[G]]))</f>
        <v>1.1711140693763051</v>
      </c>
      <c r="Z493" s="60">
        <f t="shared" si="23"/>
        <v>-0.35038765722050552</v>
      </c>
      <c r="AA493" s="32">
        <f>IF(Pitchers[[#This Row],[W]]=0,0,Pitchers[[#This Row],[W]]/(Pitchers[[#This Row],[W]]+Pitchers[[#This Row],[L]]))</f>
        <v>0</v>
      </c>
      <c r="AB493" s="60"/>
    </row>
    <row r="494" spans="1:28" x14ac:dyDescent="0.25">
      <c r="A494" t="s">
        <v>561</v>
      </c>
      <c r="B494" t="s">
        <v>332</v>
      </c>
      <c r="C494">
        <v>29</v>
      </c>
      <c r="D494">
        <v>0</v>
      </c>
      <c r="E494">
        <v>0</v>
      </c>
      <c r="F494">
        <v>0</v>
      </c>
      <c r="G494">
        <v>26.2</v>
      </c>
      <c r="H494">
        <v>25</v>
      </c>
      <c r="I494">
        <v>16</v>
      </c>
      <c r="J494">
        <v>27</v>
      </c>
      <c r="K494">
        <v>17</v>
      </c>
      <c r="L494">
        <v>3</v>
      </c>
      <c r="M494">
        <v>1</v>
      </c>
      <c r="N494">
        <v>3</v>
      </c>
      <c r="O494">
        <v>1</v>
      </c>
      <c r="P494">
        <v>3</v>
      </c>
      <c r="Q494">
        <v>0</v>
      </c>
      <c r="R494">
        <v>5.4</v>
      </c>
      <c r="S494">
        <v>1.58</v>
      </c>
      <c r="T494">
        <f t="shared" si="21"/>
        <v>0</v>
      </c>
      <c r="U494">
        <f t="shared" si="22"/>
        <v>0.61068702290076338</v>
      </c>
      <c r="V494">
        <f>U494-AVERAGEIFS(Pitchers[ER/IP],Pitchers[GS],"&gt;"&amp;0,Pitchers[IP],"&gt;"&amp;3)</f>
        <v>3.9186428101443904E-2</v>
      </c>
      <c r="W494">
        <f>IF(Pitchers[[#This Row],[IP/GS]]&lt;&gt;0,(Pitchers[[#This Row],[WHIP]]*$AH$5+$AI$5)/9*Pitchers[[#This Row],[IP/GS]],(Pitchers[[#This Row],[WHIP]]*$AH$5+$AI$5)/9*(Pitchers[[#This Row],[IP]]/Pitchers[[#This Row],[G]]))</f>
        <v>0.55985661378960005</v>
      </c>
      <c r="X494">
        <f>Pitchers[[#This Row],[Runs from WHIP]]-AVERAGEIFS(Pitchers[Runs from WHIP],Pitchers[GS],"&gt;"&amp;0,Pitchers[IP],"&gt;"&amp;3)</f>
        <v>-5.1260592923352588</v>
      </c>
      <c r="Y494">
        <f>IF(Pitchers[[#This Row],[IP/GS]]&lt;&gt;0,Pitchers[[#This Row],[ER/IP From Average]]*Pitchers[[#This Row],[IP/GS]],Pitchers[[#This Row],[ER/IP From Average]]*(Pitchers[[#This Row],[IP]]/Pitchers[[#This Row],[G]]))</f>
        <v>3.5402910905442425E-2</v>
      </c>
      <c r="Z494">
        <f t="shared" si="23"/>
        <v>-1.3527879802605585</v>
      </c>
      <c r="AA494" s="32">
        <f>IF(Pitchers[[#This Row],[W]]=0,0,Pitchers[[#This Row],[W]]/(Pitchers[[#This Row],[W]]+Pitchers[[#This Row],[L]]))</f>
        <v>0.25</v>
      </c>
      <c r="AB494" s="60"/>
    </row>
    <row r="495" spans="1:28" x14ac:dyDescent="0.25">
      <c r="A495" t="s">
        <v>698</v>
      </c>
      <c r="B495" t="s">
        <v>7</v>
      </c>
      <c r="C495">
        <v>18</v>
      </c>
      <c r="D495">
        <v>0</v>
      </c>
      <c r="E495">
        <v>0</v>
      </c>
      <c r="F495">
        <v>0</v>
      </c>
      <c r="G495">
        <v>26.1</v>
      </c>
      <c r="H495">
        <v>28</v>
      </c>
      <c r="I495">
        <v>20</v>
      </c>
      <c r="J495">
        <v>23</v>
      </c>
      <c r="K495">
        <v>8</v>
      </c>
      <c r="L495">
        <v>8</v>
      </c>
      <c r="M495">
        <v>0</v>
      </c>
      <c r="N495">
        <v>0</v>
      </c>
      <c r="O495">
        <v>0</v>
      </c>
      <c r="P495">
        <v>0</v>
      </c>
      <c r="Q495">
        <v>1</v>
      </c>
      <c r="R495">
        <v>6.84</v>
      </c>
      <c r="S495">
        <v>1.37</v>
      </c>
      <c r="T495">
        <f t="shared" si="21"/>
        <v>0</v>
      </c>
      <c r="U495">
        <f t="shared" si="22"/>
        <v>0.76628352490421447</v>
      </c>
      <c r="V495">
        <f>U495-AVERAGEIFS(Pitchers[ER/IP],Pitchers[GS],"&gt;"&amp;0,Pitchers[IP],"&gt;"&amp;3)</f>
        <v>0.194782930104895</v>
      </c>
      <c r="W495">
        <f>IF(Pitchers[[#This Row],[IP/GS]]&lt;&gt;0,(Pitchers[[#This Row],[WHIP]]*$AH$5+$AI$5)/9*Pitchers[[#This Row],[IP/GS]],(Pitchers[[#This Row],[WHIP]]*$AH$5+$AI$5)/9*(Pitchers[[#This Row],[IP]]/Pitchers[[#This Row],[G]]))</f>
        <v>0.74045974537920889</v>
      </c>
      <c r="X495">
        <f>Pitchers[[#This Row],[Runs from WHIP]]-AVERAGEIFS(Pitchers[Runs from WHIP],Pitchers[GS],"&gt;"&amp;0,Pitchers[IP],"&gt;"&amp;3)</f>
        <v>-4.9454561607456506</v>
      </c>
      <c r="Y495">
        <f>IF(Pitchers[[#This Row],[IP/GS]]&lt;&gt;0,Pitchers[[#This Row],[ER/IP From Average]]*Pitchers[[#This Row],[IP/GS]],Pitchers[[#This Row],[ER/IP From Average]]*(Pitchers[[#This Row],[IP]]/Pitchers[[#This Row],[G]]))</f>
        <v>0.28243524865209779</v>
      </c>
      <c r="Z495">
        <f t="shared" si="23"/>
        <v>-1.2058142100713345</v>
      </c>
      <c r="AA495" s="32">
        <f>IF(Pitchers[[#This Row],[W]]=0,0,Pitchers[[#This Row],[W]]/(Pitchers[[#This Row],[W]]+Pitchers[[#This Row],[L]]))</f>
        <v>0</v>
      </c>
      <c r="AB495" s="60"/>
    </row>
    <row r="496" spans="1:28" x14ac:dyDescent="0.25">
      <c r="A496" t="s">
        <v>666</v>
      </c>
      <c r="B496" t="s">
        <v>8</v>
      </c>
      <c r="C496">
        <v>28</v>
      </c>
      <c r="D496">
        <v>0</v>
      </c>
      <c r="E496">
        <v>0</v>
      </c>
      <c r="F496">
        <v>0</v>
      </c>
      <c r="G496">
        <v>26.1</v>
      </c>
      <c r="H496">
        <v>28</v>
      </c>
      <c r="I496">
        <v>14</v>
      </c>
      <c r="J496">
        <v>37</v>
      </c>
      <c r="K496">
        <v>19</v>
      </c>
      <c r="L496">
        <v>4</v>
      </c>
      <c r="M496">
        <v>1</v>
      </c>
      <c r="N496">
        <v>1</v>
      </c>
      <c r="O496">
        <v>0</v>
      </c>
      <c r="P496">
        <v>1</v>
      </c>
      <c r="Q496">
        <v>2</v>
      </c>
      <c r="R496">
        <v>4.78</v>
      </c>
      <c r="S496">
        <v>1.78</v>
      </c>
      <c r="T496">
        <f t="shared" si="21"/>
        <v>0</v>
      </c>
      <c r="U496">
        <f t="shared" si="22"/>
        <v>0.53639846743295017</v>
      </c>
      <c r="V496">
        <f>U496-AVERAGEIFS(Pitchers[ER/IP],Pitchers[GS],"&gt;"&amp;0,Pitchers[IP],"&gt;"&amp;3)</f>
        <v>-3.5102127366369307E-2</v>
      </c>
      <c r="W496">
        <f>IF(Pitchers[[#This Row],[IP/GS]]&lt;&gt;0,(Pitchers[[#This Row],[WHIP]]*$AH$5+$AI$5)/9*Pitchers[[#This Row],[IP/GS]],(Pitchers[[#This Row],[WHIP]]*$AH$5+$AI$5)/9*(Pitchers[[#This Row],[IP]]/Pitchers[[#This Row],[G]]))</f>
        <v>0.67442735055139569</v>
      </c>
      <c r="X496">
        <f>Pitchers[[#This Row],[Runs from WHIP]]-AVERAGEIFS(Pitchers[Runs from WHIP],Pitchers[GS],"&gt;"&amp;0,Pitchers[IP],"&gt;"&amp;3)</f>
        <v>-5.0114885555734636</v>
      </c>
      <c r="Y496">
        <f>IF(Pitchers[[#This Row],[IP/GS]]&lt;&gt;0,Pitchers[[#This Row],[ER/IP From Average]]*Pitchers[[#This Row],[IP/GS]],Pitchers[[#This Row],[ER/IP From Average]]*(Pitchers[[#This Row],[IP]]/Pitchers[[#This Row],[G]]))</f>
        <v>-3.272019729507996E-2</v>
      </c>
      <c r="Z496">
        <f t="shared" si="23"/>
        <v>-1.3494850270709555</v>
      </c>
      <c r="AA496" s="32">
        <f>IF(Pitchers[[#This Row],[W]]=0,0,Pitchers[[#This Row],[W]]/(Pitchers[[#This Row],[W]]+Pitchers[[#This Row],[L]]))</f>
        <v>0.5</v>
      </c>
      <c r="AB496" s="60"/>
    </row>
    <row r="497" spans="1:28" x14ac:dyDescent="0.25">
      <c r="A497" t="s">
        <v>425</v>
      </c>
      <c r="B497" t="s">
        <v>6</v>
      </c>
      <c r="C497">
        <v>25</v>
      </c>
      <c r="D497">
        <v>1</v>
      </c>
      <c r="E497">
        <v>0</v>
      </c>
      <c r="F497">
        <v>0</v>
      </c>
      <c r="G497">
        <v>26.1</v>
      </c>
      <c r="H497">
        <v>16</v>
      </c>
      <c r="I497">
        <v>7</v>
      </c>
      <c r="J497">
        <v>45</v>
      </c>
      <c r="K497">
        <v>8</v>
      </c>
      <c r="L497">
        <v>4</v>
      </c>
      <c r="M497">
        <v>0</v>
      </c>
      <c r="N497">
        <v>1</v>
      </c>
      <c r="O497">
        <v>2</v>
      </c>
      <c r="P497">
        <v>0</v>
      </c>
      <c r="Q497">
        <v>12</v>
      </c>
      <c r="R497">
        <v>2.39</v>
      </c>
      <c r="S497">
        <v>0.91</v>
      </c>
      <c r="T497">
        <f t="shared" si="21"/>
        <v>26.1</v>
      </c>
      <c r="U497">
        <f t="shared" si="22"/>
        <v>0.26819923371647508</v>
      </c>
      <c r="V497">
        <f>U497-AVERAGEIFS(Pitchers[ER/IP],Pitchers[GS],"&gt;"&amp;0,Pitchers[IP],"&gt;"&amp;3)</f>
        <v>-0.30330136108284439</v>
      </c>
      <c r="W497">
        <f>IF(Pitchers[[#This Row],[IP/GS]]&lt;&gt;0,(Pitchers[[#This Row],[WHIP]]*$AH$5+$AI$5)/9*Pitchers[[#This Row],[IP/GS]],(Pitchers[[#This Row],[WHIP]]*$AH$5+$AI$5)/9*(Pitchers[[#This Row],[IP]]/Pitchers[[#This Row],[G]]))</f>
        <v>7.0950617988693487</v>
      </c>
      <c r="X497">
        <f>Pitchers[[#This Row],[Runs from WHIP]]-AVERAGEIFS(Pitchers[Runs from WHIP],Pitchers[GS],"&gt;"&amp;0,Pitchers[IP],"&gt;"&amp;3)</f>
        <v>1.4091458927444895</v>
      </c>
      <c r="Y497">
        <f>IF(Pitchers[[#This Row],[IP/GS]]&lt;&gt;0,Pitchers[[#This Row],[ER/IP From Average]]*Pitchers[[#This Row],[IP/GS]],Pitchers[[#This Row],[ER/IP From Average]]*(Pitchers[[#This Row],[IP]]/Pitchers[[#This Row],[G]]))</f>
        <v>-7.9161655242622393</v>
      </c>
      <c r="Z497">
        <f t="shared" si="23"/>
        <v>-2.790693971639699</v>
      </c>
      <c r="AA497" s="32">
        <f>IF(Pitchers[[#This Row],[W]]=0,0,Pitchers[[#This Row],[W]]/(Pitchers[[#This Row],[W]]+Pitchers[[#This Row],[L]]))</f>
        <v>0</v>
      </c>
      <c r="AB497" s="60"/>
    </row>
    <row r="498" spans="1:28" x14ac:dyDescent="0.25">
      <c r="A498" t="s">
        <v>1510</v>
      </c>
      <c r="B498" t="s">
        <v>19</v>
      </c>
      <c r="C498">
        <v>20</v>
      </c>
      <c r="D498">
        <v>0</v>
      </c>
      <c r="E498">
        <v>0</v>
      </c>
      <c r="F498">
        <v>0</v>
      </c>
      <c r="G498">
        <v>26.1</v>
      </c>
      <c r="H498">
        <v>26</v>
      </c>
      <c r="I498">
        <v>17</v>
      </c>
      <c r="J498">
        <v>27</v>
      </c>
      <c r="K498">
        <v>22</v>
      </c>
      <c r="L498">
        <v>3</v>
      </c>
      <c r="M498">
        <v>0</v>
      </c>
      <c r="N498">
        <v>0</v>
      </c>
      <c r="O498">
        <v>0</v>
      </c>
      <c r="P498">
        <v>0</v>
      </c>
      <c r="Q498">
        <v>3</v>
      </c>
      <c r="R498">
        <v>5.81</v>
      </c>
      <c r="S498">
        <v>1.82</v>
      </c>
      <c r="T498">
        <f t="shared" si="21"/>
        <v>0</v>
      </c>
      <c r="U498">
        <f t="shared" si="22"/>
        <v>0.65134099616858232</v>
      </c>
      <c r="V498">
        <f>U498-AVERAGEIFS(Pitchers[ER/IP],Pitchers[GS],"&gt;"&amp;0,Pitchers[IP],"&gt;"&amp;3)</f>
        <v>7.9840401369262848E-2</v>
      </c>
      <c r="W498">
        <f>IF(Pitchers[[#This Row],[IP/GS]]&lt;&gt;0,(Pitchers[[#This Row],[WHIP]]*$AH$5+$AI$5)/9*Pitchers[[#This Row],[IP/GS]],(Pitchers[[#This Row],[WHIP]]*$AH$5+$AI$5)/9*(Pitchers[[#This Row],[IP]]/Pitchers[[#This Row],[G]]))</f>
        <v>0.97129921954567755</v>
      </c>
      <c r="X498">
        <f>Pitchers[[#This Row],[Runs from WHIP]]-AVERAGEIFS(Pitchers[Runs from WHIP],Pitchers[GS],"&gt;"&amp;0,Pitchers[IP],"&gt;"&amp;3)</f>
        <v>-4.7146166865791814</v>
      </c>
      <c r="Y498">
        <f>IF(Pitchers[[#This Row],[IP/GS]]&lt;&gt;0,Pitchers[[#This Row],[ER/IP From Average]]*Pitchers[[#This Row],[IP/GS]],Pitchers[[#This Row],[ER/IP From Average]]*(Pitchers[[#This Row],[IP]]/Pitchers[[#This Row],[G]]))</f>
        <v>0.10419172378688803</v>
      </c>
      <c r="Z498">
        <f t="shared" si="23"/>
        <v>-1.2155544269063598</v>
      </c>
      <c r="AA498" s="32">
        <f>IF(Pitchers[[#This Row],[W]]=0,0,Pitchers[[#This Row],[W]]/(Pitchers[[#This Row],[W]]+Pitchers[[#This Row],[L]]))</f>
        <v>0</v>
      </c>
      <c r="AB498" s="60"/>
    </row>
    <row r="499" spans="1:28" x14ac:dyDescent="0.25">
      <c r="A499" t="s">
        <v>770</v>
      </c>
      <c r="B499" t="s">
        <v>370</v>
      </c>
      <c r="C499">
        <v>27</v>
      </c>
      <c r="D499">
        <v>0</v>
      </c>
      <c r="E499">
        <v>0</v>
      </c>
      <c r="F499">
        <v>0</v>
      </c>
      <c r="G499">
        <v>26</v>
      </c>
      <c r="H499">
        <v>24</v>
      </c>
      <c r="I499">
        <v>22</v>
      </c>
      <c r="J499">
        <v>38</v>
      </c>
      <c r="K499">
        <v>11</v>
      </c>
      <c r="L499">
        <v>3</v>
      </c>
      <c r="M499">
        <v>4</v>
      </c>
      <c r="N499">
        <v>0</v>
      </c>
      <c r="O499">
        <v>0</v>
      </c>
      <c r="P499">
        <v>1</v>
      </c>
      <c r="Q499">
        <v>1</v>
      </c>
      <c r="R499">
        <v>7.62</v>
      </c>
      <c r="S499">
        <v>1.35</v>
      </c>
      <c r="T499">
        <f t="shared" si="21"/>
        <v>0</v>
      </c>
      <c r="U499">
        <f t="shared" si="22"/>
        <v>0.84615384615384615</v>
      </c>
      <c r="V499">
        <f>U499-AVERAGEIFS(Pitchers[ER/IP],Pitchers[GS],"&gt;"&amp;0,Pitchers[IP],"&gt;"&amp;3)</f>
        <v>0.27465325135452667</v>
      </c>
      <c r="W499">
        <f>IF(Pitchers[[#This Row],[IP/GS]]&lt;&gt;0,(Pitchers[[#This Row],[WHIP]]*$AH$5+$AI$5)/9*Pitchers[[#This Row],[IP/GS]],(Pitchers[[#This Row],[WHIP]]*$AH$5+$AI$5)/9*(Pitchers[[#This Row],[IP]]/Pitchers[[#This Row],[G]]))</f>
        <v>0.4817495662782767</v>
      </c>
      <c r="X499">
        <f>Pitchers[[#This Row],[Runs from WHIP]]-AVERAGEIFS(Pitchers[Runs from WHIP],Pitchers[GS],"&gt;"&amp;0,Pitchers[IP],"&gt;"&amp;3)</f>
        <v>-5.2041663398465827</v>
      </c>
      <c r="Y499">
        <f>IF(Pitchers[[#This Row],[IP/GS]]&lt;&gt;0,Pitchers[[#This Row],[ER/IP From Average]]*Pitchers[[#This Row],[IP/GS]],Pitchers[[#This Row],[ER/IP From Average]]*(Pitchers[[#This Row],[IP]]/Pitchers[[#This Row],[G]]))</f>
        <v>0.26448090871176644</v>
      </c>
      <c r="Z499">
        <f t="shared" si="23"/>
        <v>-1.2819853271410488</v>
      </c>
      <c r="AA499" s="32">
        <f>IF(Pitchers[[#This Row],[W]]=0,0,Pitchers[[#This Row],[W]]/(Pitchers[[#This Row],[W]]+Pitchers[[#This Row],[L]]))</f>
        <v>1</v>
      </c>
      <c r="AB499" s="60"/>
    </row>
    <row r="500" spans="1:28" x14ac:dyDescent="0.25">
      <c r="A500" t="s">
        <v>1237</v>
      </c>
      <c r="B500" t="s">
        <v>3</v>
      </c>
      <c r="C500">
        <v>25</v>
      </c>
      <c r="D500">
        <v>0</v>
      </c>
      <c r="E500">
        <v>0</v>
      </c>
      <c r="F500">
        <v>0</v>
      </c>
      <c r="G500">
        <v>26</v>
      </c>
      <c r="H500">
        <v>31</v>
      </c>
      <c r="I500">
        <v>11</v>
      </c>
      <c r="J500">
        <v>30</v>
      </c>
      <c r="K500">
        <v>8</v>
      </c>
      <c r="L500">
        <v>4</v>
      </c>
      <c r="M500">
        <v>3</v>
      </c>
      <c r="N500">
        <v>1</v>
      </c>
      <c r="O500">
        <v>1</v>
      </c>
      <c r="P500">
        <v>0</v>
      </c>
      <c r="Q500">
        <v>0</v>
      </c>
      <c r="R500">
        <v>3.81</v>
      </c>
      <c r="S500">
        <v>1.5</v>
      </c>
      <c r="T500">
        <f t="shared" si="21"/>
        <v>0</v>
      </c>
      <c r="U500">
        <f t="shared" si="22"/>
        <v>0.42307692307692307</v>
      </c>
      <c r="V500">
        <f>U500-AVERAGEIFS(Pitchers[ER/IP],Pitchers[GS],"&gt;"&amp;0,Pitchers[IP],"&gt;"&amp;3)</f>
        <v>-0.1484236717223964</v>
      </c>
      <c r="W500">
        <f>IF(Pitchers[[#This Row],[IP/GS]]&lt;&gt;0,(Pitchers[[#This Row],[WHIP]]*$AH$5+$AI$5)/9*Pitchers[[#This Row],[IP/GS]],(Pitchers[[#This Row],[WHIP]]*$AH$5+$AI$5)/9*(Pitchers[[#This Row],[IP]]/Pitchers[[#This Row],[G]]))</f>
        <v>0.60128081297327585</v>
      </c>
      <c r="X500">
        <f>Pitchers[[#This Row],[Runs from WHIP]]-AVERAGEIFS(Pitchers[Runs from WHIP],Pitchers[GS],"&gt;"&amp;0,Pitchers[IP],"&gt;"&amp;3)</f>
        <v>-5.0846350931515829</v>
      </c>
      <c r="Y500">
        <f>IF(Pitchers[[#This Row],[IP/GS]]&lt;&gt;0,Pitchers[[#This Row],[ER/IP From Average]]*Pitchers[[#This Row],[IP/GS]],Pitchers[[#This Row],[ER/IP From Average]]*(Pitchers[[#This Row],[IP]]/Pitchers[[#This Row],[G]]))</f>
        <v>-0.15436061859129227</v>
      </c>
      <c r="Z500">
        <f t="shared" si="23"/>
        <v>-1.4176469389436057</v>
      </c>
      <c r="AA500" s="32">
        <f>IF(Pitchers[[#This Row],[W]]=0,0,Pitchers[[#This Row],[W]]/(Pitchers[[#This Row],[W]]+Pitchers[[#This Row],[L]]))</f>
        <v>0.75</v>
      </c>
      <c r="AB500" s="60"/>
    </row>
    <row r="501" spans="1:28" x14ac:dyDescent="0.25">
      <c r="A501" t="s">
        <v>1318</v>
      </c>
      <c r="B501" t="s">
        <v>361</v>
      </c>
      <c r="C501">
        <v>11</v>
      </c>
      <c r="D501">
        <v>2</v>
      </c>
      <c r="E501">
        <v>0</v>
      </c>
      <c r="F501">
        <v>0</v>
      </c>
      <c r="G501">
        <v>25.2</v>
      </c>
      <c r="H501">
        <v>32</v>
      </c>
      <c r="I501">
        <v>19</v>
      </c>
      <c r="J501">
        <v>34</v>
      </c>
      <c r="K501">
        <v>17</v>
      </c>
      <c r="L501">
        <v>7</v>
      </c>
      <c r="M501">
        <v>0</v>
      </c>
      <c r="N501">
        <v>1</v>
      </c>
      <c r="O501">
        <v>0</v>
      </c>
      <c r="P501">
        <v>0</v>
      </c>
      <c r="Q501">
        <v>0</v>
      </c>
      <c r="R501">
        <v>6.66</v>
      </c>
      <c r="S501">
        <v>1.91</v>
      </c>
      <c r="T501">
        <f t="shared" si="21"/>
        <v>12.6</v>
      </c>
      <c r="U501">
        <f t="shared" si="22"/>
        <v>0.75396825396825395</v>
      </c>
      <c r="V501">
        <f>U501-AVERAGEIFS(Pitchers[ER/IP],Pitchers[GS],"&gt;"&amp;0,Pitchers[IP],"&gt;"&amp;3)</f>
        <v>0.18246765916893448</v>
      </c>
      <c r="W501">
        <f>IF(Pitchers[[#This Row],[IP/GS]]&lt;&gt;0,(Pitchers[[#This Row],[WHIP]]*$AH$5+$AI$5)/9*Pitchers[[#This Row],[IP/GS]],(Pitchers[[#This Row],[WHIP]]*$AH$5+$AI$5)/9*(Pitchers[[#This Row],[IP]]/Pitchers[[#This Row],[G]]))</f>
        <v>9.966805744835705</v>
      </c>
      <c r="X501">
        <f>Pitchers[[#This Row],[Runs from WHIP]]-AVERAGEIFS(Pitchers[Runs from WHIP],Pitchers[GS],"&gt;"&amp;0,Pitchers[IP],"&gt;"&amp;3)</f>
        <v>4.2808898387108458</v>
      </c>
      <c r="Y501">
        <f>IF(Pitchers[[#This Row],[IP/GS]]&lt;&gt;0,Pitchers[[#This Row],[ER/IP From Average]]*Pitchers[[#This Row],[IP/GS]],Pitchers[[#This Row],[ER/IP From Average]]*(Pitchers[[#This Row],[IP]]/Pitchers[[#This Row],[G]]))</f>
        <v>2.2990925055285745</v>
      </c>
      <c r="Z501">
        <f t="shared" si="23"/>
        <v>2.0612076258676555</v>
      </c>
      <c r="AA501" s="32">
        <f>IF(Pitchers[[#This Row],[W]]=0,0,Pitchers[[#This Row],[W]]/(Pitchers[[#This Row],[W]]+Pitchers[[#This Row],[L]]))</f>
        <v>0</v>
      </c>
      <c r="AB501" s="60"/>
    </row>
    <row r="502" spans="1:28" x14ac:dyDescent="0.25">
      <c r="A502" t="s">
        <v>607</v>
      </c>
      <c r="B502" t="s">
        <v>340</v>
      </c>
      <c r="C502">
        <v>33</v>
      </c>
      <c r="D502">
        <v>0</v>
      </c>
      <c r="E502">
        <v>0</v>
      </c>
      <c r="F502">
        <v>0</v>
      </c>
      <c r="G502">
        <v>25.2</v>
      </c>
      <c r="H502">
        <v>33</v>
      </c>
      <c r="I502">
        <v>19</v>
      </c>
      <c r="J502">
        <v>30</v>
      </c>
      <c r="K502">
        <v>12</v>
      </c>
      <c r="L502">
        <v>8</v>
      </c>
      <c r="M502">
        <v>1</v>
      </c>
      <c r="N502">
        <v>2</v>
      </c>
      <c r="O502">
        <v>0</v>
      </c>
      <c r="P502">
        <v>2</v>
      </c>
      <c r="Q502">
        <v>8</v>
      </c>
      <c r="R502">
        <v>6.66</v>
      </c>
      <c r="S502">
        <v>1.75</v>
      </c>
      <c r="T502">
        <f t="shared" si="21"/>
        <v>0</v>
      </c>
      <c r="U502">
        <f t="shared" si="22"/>
        <v>0.75396825396825395</v>
      </c>
      <c r="V502">
        <f>U502-AVERAGEIFS(Pitchers[ER/IP],Pitchers[GS],"&gt;"&amp;0,Pitchers[IP],"&gt;"&amp;3)</f>
        <v>0.18246765916893448</v>
      </c>
      <c r="W502">
        <f>IF(Pitchers[[#This Row],[IP/GS]]&lt;&gt;0,(Pitchers[[#This Row],[WHIP]]*$AH$5+$AI$5)/9*Pitchers[[#This Row],[IP/GS]],(Pitchers[[#This Row],[WHIP]]*$AH$5+$AI$5)/9*(Pitchers[[#This Row],[IP]]/Pitchers[[#This Row],[G]]))</f>
        <v>0.54061510213932107</v>
      </c>
      <c r="X502">
        <f>Pitchers[[#This Row],[Runs from WHIP]]-AVERAGEIFS(Pitchers[Runs from WHIP],Pitchers[GS],"&gt;"&amp;0,Pitchers[IP],"&gt;"&amp;3)</f>
        <v>-5.1453008039855384</v>
      </c>
      <c r="Y502">
        <f>IF(Pitchers[[#This Row],[IP/GS]]&lt;&gt;0,Pitchers[[#This Row],[ER/IP From Average]]*Pitchers[[#This Row],[IP/GS]],Pitchers[[#This Row],[ER/IP From Average]]*(Pitchers[[#This Row],[IP]]/Pitchers[[#This Row],[G]]))</f>
        <v>0.13933893972900452</v>
      </c>
      <c r="Z502">
        <f t="shared" si="23"/>
        <v>-1.3163446385045419</v>
      </c>
      <c r="AA502" s="32">
        <f>IF(Pitchers[[#This Row],[W]]=0,0,Pitchers[[#This Row],[W]]/(Pitchers[[#This Row],[W]]+Pitchers[[#This Row],[L]]))</f>
        <v>0.33333333333333331</v>
      </c>
      <c r="AB502" s="60"/>
    </row>
    <row r="503" spans="1:28" x14ac:dyDescent="0.25">
      <c r="A503" t="s">
        <v>1397</v>
      </c>
      <c r="B503" t="s">
        <v>370</v>
      </c>
      <c r="C503">
        <v>8</v>
      </c>
      <c r="D503">
        <v>4</v>
      </c>
      <c r="E503">
        <v>0</v>
      </c>
      <c r="F503">
        <v>0</v>
      </c>
      <c r="G503">
        <v>25.1</v>
      </c>
      <c r="H503">
        <v>33</v>
      </c>
      <c r="I503">
        <v>19</v>
      </c>
      <c r="J503">
        <v>14</v>
      </c>
      <c r="K503">
        <v>13</v>
      </c>
      <c r="L503">
        <v>4</v>
      </c>
      <c r="M503">
        <v>2</v>
      </c>
      <c r="N503">
        <v>3</v>
      </c>
      <c r="O503">
        <v>0</v>
      </c>
      <c r="P503">
        <v>0</v>
      </c>
      <c r="Q503">
        <v>0</v>
      </c>
      <c r="R503">
        <v>6.75</v>
      </c>
      <c r="S503">
        <v>1.82</v>
      </c>
      <c r="T503">
        <f t="shared" si="21"/>
        <v>6.2750000000000004</v>
      </c>
      <c r="U503">
        <f t="shared" si="22"/>
        <v>0.75697211155378485</v>
      </c>
      <c r="V503">
        <f>U503-AVERAGEIFS(Pitchers[ER/IP],Pitchers[GS],"&gt;"&amp;0,Pitchers[IP],"&gt;"&amp;3)</f>
        <v>0.18547151675446538</v>
      </c>
      <c r="W503">
        <f>IF(Pitchers[[#This Row],[IP/GS]]&lt;&gt;0,(Pitchers[[#This Row],[WHIP]]*$AH$5+$AI$5)/9*Pitchers[[#This Row],[IP/GS]],(Pitchers[[#This Row],[WHIP]]*$AH$5+$AI$5)/9*(Pitchers[[#This Row],[IP]]/Pitchers[[#This Row],[G]]))</f>
        <v>4.6704234503058437</v>
      </c>
      <c r="X503">
        <f>Pitchers[[#This Row],[Runs from WHIP]]-AVERAGEIFS(Pitchers[Runs from WHIP],Pitchers[GS],"&gt;"&amp;0,Pitchers[IP],"&gt;"&amp;3)</f>
        <v>-1.0154924558190155</v>
      </c>
      <c r="Y503">
        <f>IF(Pitchers[[#This Row],[IP/GS]]&lt;&gt;0,Pitchers[[#This Row],[ER/IP From Average]]*Pitchers[[#This Row],[IP/GS]],Pitchers[[#This Row],[ER/IP From Average]]*(Pitchers[[#This Row],[IP]]/Pitchers[[#This Row],[G]]))</f>
        <v>1.1638337676342703</v>
      </c>
      <c r="Z503">
        <f t="shared" si="23"/>
        <v>0.19473551883530396</v>
      </c>
      <c r="AA503" s="32">
        <f>IF(Pitchers[[#This Row],[W]]=0,0,Pitchers[[#This Row],[W]]/(Pitchers[[#This Row],[W]]+Pitchers[[#This Row],[L]]))</f>
        <v>0.4</v>
      </c>
      <c r="AB503" s="60"/>
    </row>
    <row r="504" spans="1:28" x14ac:dyDescent="0.25">
      <c r="A504" t="s">
        <v>906</v>
      </c>
      <c r="B504" t="s">
        <v>13</v>
      </c>
      <c r="C504">
        <v>9</v>
      </c>
      <c r="D504">
        <v>2</v>
      </c>
      <c r="E504">
        <v>0</v>
      </c>
      <c r="F504">
        <v>0</v>
      </c>
      <c r="G504">
        <v>25.1</v>
      </c>
      <c r="H504">
        <v>29</v>
      </c>
      <c r="I504">
        <v>18</v>
      </c>
      <c r="J504">
        <v>10</v>
      </c>
      <c r="K504">
        <v>8</v>
      </c>
      <c r="L504">
        <v>5</v>
      </c>
      <c r="M504">
        <v>2</v>
      </c>
      <c r="N504">
        <v>2</v>
      </c>
      <c r="O504">
        <v>0</v>
      </c>
      <c r="P504">
        <v>0</v>
      </c>
      <c r="Q504">
        <v>1</v>
      </c>
      <c r="R504">
        <v>6.39</v>
      </c>
      <c r="S504">
        <v>1.46</v>
      </c>
      <c r="T504">
        <f t="shared" si="21"/>
        <v>12.55</v>
      </c>
      <c r="U504">
        <f t="shared" si="22"/>
        <v>0.71713147410358558</v>
      </c>
      <c r="V504">
        <f>U504-AVERAGEIFS(Pitchers[ER/IP],Pitchers[GS],"&gt;"&amp;0,Pitchers[IP],"&gt;"&amp;3)</f>
        <v>0.1456308793042661</v>
      </c>
      <c r="W504">
        <f>IF(Pitchers[[#This Row],[IP/GS]]&lt;&gt;0,(Pitchers[[#This Row],[WHIP]]*$AH$5+$AI$5)/9*Pitchers[[#This Row],[IP/GS]],(Pitchers[[#This Row],[WHIP]]*$AH$5+$AI$5)/9*(Pitchers[[#This Row],[IP]]/Pitchers[[#This Row],[G]]))</f>
        <v>6.9952147895066528</v>
      </c>
      <c r="X504">
        <f>Pitchers[[#This Row],[Runs from WHIP]]-AVERAGEIFS(Pitchers[Runs from WHIP],Pitchers[GS],"&gt;"&amp;0,Pitchers[IP],"&gt;"&amp;3)</f>
        <v>1.3092988833817936</v>
      </c>
      <c r="Y504">
        <f>IF(Pitchers[[#This Row],[IP/GS]]&lt;&gt;0,Pitchers[[#This Row],[ER/IP From Average]]*Pitchers[[#This Row],[IP/GS]],Pitchers[[#This Row],[ER/IP From Average]]*(Pitchers[[#This Row],[IP]]/Pitchers[[#This Row],[G]]))</f>
        <v>1.8276675352685396</v>
      </c>
      <c r="Z504">
        <f t="shared" si="23"/>
        <v>1.0802133830092273</v>
      </c>
      <c r="AA504" s="32">
        <f>IF(Pitchers[[#This Row],[W]]=0,0,Pitchers[[#This Row],[W]]/(Pitchers[[#This Row],[W]]+Pitchers[[#This Row],[L]]))</f>
        <v>0.5</v>
      </c>
      <c r="AB504" s="60"/>
    </row>
    <row r="505" spans="1:28" x14ac:dyDescent="0.25">
      <c r="A505" t="s">
        <v>1276</v>
      </c>
      <c r="B505" t="s">
        <v>28</v>
      </c>
      <c r="C505">
        <v>13</v>
      </c>
      <c r="D505">
        <v>0</v>
      </c>
      <c r="E505">
        <v>0</v>
      </c>
      <c r="F505">
        <v>0</v>
      </c>
      <c r="G505">
        <v>25.1</v>
      </c>
      <c r="H505">
        <v>39</v>
      </c>
      <c r="I505">
        <v>24</v>
      </c>
      <c r="J505">
        <v>23</v>
      </c>
      <c r="K505">
        <v>11</v>
      </c>
      <c r="L505">
        <v>7</v>
      </c>
      <c r="M505">
        <v>1</v>
      </c>
      <c r="N505">
        <v>1</v>
      </c>
      <c r="O505">
        <v>1</v>
      </c>
      <c r="P505">
        <v>0</v>
      </c>
      <c r="Q505">
        <v>0</v>
      </c>
      <c r="R505">
        <v>8.5299999999999994</v>
      </c>
      <c r="S505">
        <v>1.97</v>
      </c>
      <c r="T505">
        <f t="shared" si="21"/>
        <v>0</v>
      </c>
      <c r="U505">
        <f t="shared" si="22"/>
        <v>0.9561752988047808</v>
      </c>
      <c r="V505">
        <f>U505-AVERAGEIFS(Pitchers[ER/IP],Pitchers[GS],"&gt;"&amp;0,Pitchers[IP],"&gt;"&amp;3)</f>
        <v>0.38467470400546133</v>
      </c>
      <c r="W505">
        <f>IF(Pitchers[[#This Row],[IP/GS]]&lt;&gt;0,(Pitchers[[#This Row],[WHIP]]*$AH$5+$AI$5)/9*Pitchers[[#This Row],[IP/GS]],(Pitchers[[#This Row],[WHIP]]*$AH$5+$AI$5)/9*(Pitchers[[#This Row],[IP]]/Pitchers[[#This Row],[G]]))</f>
        <v>1.5874144020880181</v>
      </c>
      <c r="X505">
        <f>Pitchers[[#This Row],[Runs from WHIP]]-AVERAGEIFS(Pitchers[Runs from WHIP],Pitchers[GS],"&gt;"&amp;0,Pitchers[IP],"&gt;"&amp;3)</f>
        <v>-4.0985015040368413</v>
      </c>
      <c r="Y505">
        <f>IF(Pitchers[[#This Row],[IP/GS]]&lt;&gt;0,Pitchers[[#This Row],[ER/IP From Average]]*Pitchers[[#This Row],[IP/GS]],Pitchers[[#This Row],[ER/IP From Average]]*(Pitchers[[#This Row],[IP]]/Pitchers[[#This Row],[G]]))</f>
        <v>0.74271808234900616</v>
      </c>
      <c r="Z505">
        <f t="shared" si="23"/>
        <v>-0.79584650147022196</v>
      </c>
      <c r="AA505" s="32">
        <f>IF(Pitchers[[#This Row],[W]]=0,0,Pitchers[[#This Row],[W]]/(Pitchers[[#This Row],[W]]+Pitchers[[#This Row],[L]]))</f>
        <v>0.5</v>
      </c>
      <c r="AB505" s="60"/>
    </row>
    <row r="506" spans="1:28" x14ac:dyDescent="0.25">
      <c r="A506" t="s">
        <v>3587</v>
      </c>
      <c r="B506" t="s">
        <v>13</v>
      </c>
      <c r="C506">
        <v>18</v>
      </c>
      <c r="D506">
        <v>1</v>
      </c>
      <c r="E506">
        <v>0</v>
      </c>
      <c r="F506">
        <v>0</v>
      </c>
      <c r="G506">
        <v>25</v>
      </c>
      <c r="H506">
        <v>29</v>
      </c>
      <c r="I506">
        <v>9</v>
      </c>
      <c r="J506">
        <v>25</v>
      </c>
      <c r="K506">
        <v>1</v>
      </c>
      <c r="L506">
        <v>3</v>
      </c>
      <c r="M506">
        <v>0</v>
      </c>
      <c r="N506">
        <v>1</v>
      </c>
      <c r="O506">
        <v>0</v>
      </c>
      <c r="P506">
        <v>0</v>
      </c>
      <c r="Q506">
        <v>1</v>
      </c>
      <c r="R506">
        <v>3.24</v>
      </c>
      <c r="S506">
        <v>1.2</v>
      </c>
      <c r="T506">
        <f t="shared" si="21"/>
        <v>25</v>
      </c>
      <c r="U506">
        <f t="shared" si="22"/>
        <v>0.36</v>
      </c>
      <c r="V506" s="60">
        <f>U506-AVERAGEIFS(Pitchers[ER/IP],Pitchers[GS],"&gt;"&amp;0,Pitchers[IP],"&gt;"&amp;3)</f>
        <v>-0.21150059479931949</v>
      </c>
      <c r="W506" s="60">
        <f>IF(Pitchers[[#This Row],[IP/GS]]&lt;&gt;0,(Pitchers[[#This Row],[WHIP]]*$AH$5+$AI$5)/9*Pitchers[[#This Row],[IP/GS]],(Pitchers[[#This Row],[WHIP]]*$AH$5+$AI$5)/9*(Pitchers[[#This Row],[IP]]/Pitchers[[#This Row],[G]]))</f>
        <v>10.56005409105293</v>
      </c>
      <c r="X506" s="60">
        <f>Pitchers[[#This Row],[Runs from WHIP]]-AVERAGEIFS(Pitchers[Runs from WHIP],Pitchers[GS],"&gt;"&amp;0,Pitchers[IP],"&gt;"&amp;3)</f>
        <v>4.8741381849280705</v>
      </c>
      <c r="Y506" s="60">
        <f>IF(Pitchers[[#This Row],[IP/GS]]&lt;&gt;0,Pitchers[[#This Row],[ER/IP From Average]]*Pitchers[[#This Row],[IP/GS]],Pitchers[[#This Row],[ER/IP From Average]]*(Pitchers[[#This Row],[IP]]/Pitchers[[#This Row],[G]]))</f>
        <v>-5.2875148699829868</v>
      </c>
      <c r="Z506" s="60">
        <f t="shared" si="23"/>
        <v>-0.8152357653457093</v>
      </c>
      <c r="AA506" s="32">
        <f>IF(Pitchers[[#This Row],[W]]=0,0,Pitchers[[#This Row],[W]]/(Pitchers[[#This Row],[W]]+Pitchers[[#This Row],[L]]))</f>
        <v>0</v>
      </c>
      <c r="AB506" s="60"/>
    </row>
    <row r="507" spans="1:28" x14ac:dyDescent="0.25">
      <c r="A507" t="s">
        <v>1484</v>
      </c>
      <c r="B507" t="s">
        <v>16</v>
      </c>
      <c r="C507">
        <v>28</v>
      </c>
      <c r="D507">
        <v>0</v>
      </c>
      <c r="E507">
        <v>0</v>
      </c>
      <c r="F507">
        <v>0</v>
      </c>
      <c r="G507">
        <v>25</v>
      </c>
      <c r="H507">
        <v>19</v>
      </c>
      <c r="I507">
        <v>5</v>
      </c>
      <c r="J507">
        <v>22</v>
      </c>
      <c r="K507">
        <v>5</v>
      </c>
      <c r="L507">
        <v>2</v>
      </c>
      <c r="M507">
        <v>1</v>
      </c>
      <c r="N507">
        <v>0</v>
      </c>
      <c r="O507">
        <v>0</v>
      </c>
      <c r="P507">
        <v>1</v>
      </c>
      <c r="Q507">
        <v>5</v>
      </c>
      <c r="R507">
        <v>1.8</v>
      </c>
      <c r="S507">
        <v>0.96</v>
      </c>
      <c r="T507">
        <f t="shared" si="21"/>
        <v>0</v>
      </c>
      <c r="U507">
        <f t="shared" si="22"/>
        <v>0.2</v>
      </c>
      <c r="V507">
        <f>U507-AVERAGEIFS(Pitchers[ER/IP],Pitchers[GS],"&gt;"&amp;0,Pitchers[IP],"&gt;"&amp;3)</f>
        <v>-0.37150059479931946</v>
      </c>
      <c r="W507">
        <f>IF(Pitchers[[#This Row],[IP/GS]]&lt;&gt;0,(Pitchers[[#This Row],[WHIP]]*$AH$5+$AI$5)/9*Pitchers[[#This Row],[IP/GS]],(Pitchers[[#This Row],[WHIP]]*$AH$5+$AI$5)/9*(Pitchers[[#This Row],[IP]]/Pitchers[[#This Row],[G]]))</f>
        <v>0.26589302881131754</v>
      </c>
      <c r="X507">
        <f>Pitchers[[#This Row],[Runs from WHIP]]-AVERAGEIFS(Pitchers[Runs from WHIP],Pitchers[GS],"&gt;"&amp;0,Pitchers[IP],"&gt;"&amp;3)</f>
        <v>-5.4200228773135413</v>
      </c>
      <c r="Y507">
        <f>IF(Pitchers[[#This Row],[IP/GS]]&lt;&gt;0,Pitchers[[#This Row],[ER/IP From Average]]*Pitchers[[#This Row],[IP/GS]],Pitchers[[#This Row],[ER/IP From Average]]*(Pitchers[[#This Row],[IP]]/Pitchers[[#This Row],[G]]))</f>
        <v>-0.33169695964224954</v>
      </c>
      <c r="Z507">
        <f t="shared" si="23"/>
        <v>-1.5780182178071775</v>
      </c>
      <c r="AA507" s="32">
        <f>IF(Pitchers[[#This Row],[W]]=0,0,Pitchers[[#This Row],[W]]/(Pitchers[[#This Row],[W]]+Pitchers[[#This Row],[L]]))</f>
        <v>1</v>
      </c>
      <c r="AB507" s="60"/>
    </row>
    <row r="508" spans="1:28" x14ac:dyDescent="0.25">
      <c r="A508" t="s">
        <v>597</v>
      </c>
      <c r="B508" t="s">
        <v>11</v>
      </c>
      <c r="C508">
        <v>28</v>
      </c>
      <c r="D508">
        <v>0</v>
      </c>
      <c r="E508">
        <v>0</v>
      </c>
      <c r="F508">
        <v>0</v>
      </c>
      <c r="G508">
        <v>25</v>
      </c>
      <c r="H508">
        <v>23</v>
      </c>
      <c r="I508">
        <v>14</v>
      </c>
      <c r="J508">
        <v>24</v>
      </c>
      <c r="K508">
        <v>19</v>
      </c>
      <c r="L508">
        <v>1</v>
      </c>
      <c r="M508">
        <v>0</v>
      </c>
      <c r="N508">
        <v>2</v>
      </c>
      <c r="O508">
        <v>0</v>
      </c>
      <c r="P508">
        <v>0</v>
      </c>
      <c r="Q508">
        <v>4</v>
      </c>
      <c r="R508">
        <v>5.04</v>
      </c>
      <c r="S508">
        <v>1.68</v>
      </c>
      <c r="T508">
        <f t="shared" si="21"/>
        <v>0</v>
      </c>
      <c r="U508">
        <f t="shared" si="22"/>
        <v>0.56000000000000005</v>
      </c>
      <c r="V508">
        <f>U508-AVERAGEIFS(Pitchers[ER/IP],Pitchers[GS],"&gt;"&amp;0,Pitchers[IP],"&gt;"&amp;3)</f>
        <v>-1.1500594799319419E-2</v>
      </c>
      <c r="W508">
        <f>IF(Pitchers[[#This Row],[IP/GS]]&lt;&gt;0,(Pitchers[[#This Row],[WHIP]]*$AH$5+$AI$5)/9*Pitchers[[#This Row],[IP/GS]],(Pitchers[[#This Row],[WHIP]]*$AH$5+$AI$5)/9*(Pitchers[[#This Row],[IP]]/Pitchers[[#This Row],[G]]))</f>
        <v>0.59964830927589285</v>
      </c>
      <c r="X508">
        <f>Pitchers[[#This Row],[Runs from WHIP]]-AVERAGEIFS(Pitchers[Runs from WHIP],Pitchers[GS],"&gt;"&amp;0,Pitchers[IP],"&gt;"&amp;3)</f>
        <v>-5.0862675968489661</v>
      </c>
      <c r="Y508">
        <f>IF(Pitchers[[#This Row],[IP/GS]]&lt;&gt;0,Pitchers[[#This Row],[ER/IP From Average]]*Pitchers[[#This Row],[IP/GS]],Pitchers[[#This Row],[ER/IP From Average]]*(Pitchers[[#This Row],[IP]]/Pitchers[[#This Row],[G]]))</f>
        <v>-1.0268388213678053E-2</v>
      </c>
      <c r="Z508">
        <f t="shared" si="23"/>
        <v>-1.3604453811118622</v>
      </c>
      <c r="AA508" s="32">
        <f>IF(Pitchers[[#This Row],[W]]=0,0,Pitchers[[#This Row],[W]]/(Pitchers[[#This Row],[W]]+Pitchers[[#This Row],[L]]))</f>
        <v>0</v>
      </c>
      <c r="AB508" s="60"/>
    </row>
    <row r="509" spans="1:28" x14ac:dyDescent="0.25">
      <c r="A509" t="s">
        <v>638</v>
      </c>
      <c r="B509" t="s">
        <v>15</v>
      </c>
      <c r="C509">
        <v>23</v>
      </c>
      <c r="D509">
        <v>2</v>
      </c>
      <c r="E509">
        <v>0</v>
      </c>
      <c r="F509">
        <v>0</v>
      </c>
      <c r="G509">
        <v>25</v>
      </c>
      <c r="H509">
        <v>19</v>
      </c>
      <c r="I509">
        <v>14</v>
      </c>
      <c r="J509">
        <v>31</v>
      </c>
      <c r="K509">
        <v>6</v>
      </c>
      <c r="L509">
        <v>6</v>
      </c>
      <c r="M509">
        <v>2</v>
      </c>
      <c r="N509">
        <v>1</v>
      </c>
      <c r="O509">
        <v>0</v>
      </c>
      <c r="P509">
        <v>0</v>
      </c>
      <c r="Q509">
        <v>4</v>
      </c>
      <c r="R509">
        <v>5.04</v>
      </c>
      <c r="S509">
        <v>1</v>
      </c>
      <c r="T509">
        <f t="shared" si="21"/>
        <v>12.5</v>
      </c>
      <c r="U509">
        <f t="shared" si="22"/>
        <v>0.56000000000000005</v>
      </c>
      <c r="V509">
        <f>U509-AVERAGEIFS(Pitchers[ER/IP],Pitchers[GS],"&gt;"&amp;0,Pitchers[IP],"&gt;"&amp;3)</f>
        <v>-1.1500594799319419E-2</v>
      </c>
      <c r="W509">
        <f>IF(Pitchers[[#This Row],[IP/GS]]&lt;&gt;0,(Pitchers[[#This Row],[WHIP]]*$AH$5+$AI$5)/9*Pitchers[[#This Row],[IP/GS]],(Pitchers[[#This Row],[WHIP]]*$AH$5+$AI$5)/9*(Pitchers[[#This Row],[IP]]/Pitchers[[#This Row],[G]]))</f>
        <v>3.9820898437197827</v>
      </c>
      <c r="X509">
        <f>Pitchers[[#This Row],[Runs from WHIP]]-AVERAGEIFS(Pitchers[Runs from WHIP],Pitchers[GS],"&gt;"&amp;0,Pitchers[IP],"&gt;"&amp;3)</f>
        <v>-1.7038260624050765</v>
      </c>
      <c r="Y509">
        <f>IF(Pitchers[[#This Row],[IP/GS]]&lt;&gt;0,Pitchers[[#This Row],[ER/IP From Average]]*Pitchers[[#This Row],[IP/GS]],Pitchers[[#This Row],[ER/IP From Average]]*(Pitchers[[#This Row],[IP]]/Pitchers[[#This Row],[G]]))</f>
        <v>-0.14375743499149274</v>
      </c>
      <c r="Z509">
        <f t="shared" si="23"/>
        <v>-0.51185659063795075</v>
      </c>
      <c r="AA509" s="32">
        <f>IF(Pitchers[[#This Row],[W]]=0,0,Pitchers[[#This Row],[W]]/(Pitchers[[#This Row],[W]]+Pitchers[[#This Row],[L]]))</f>
        <v>0.66666666666666663</v>
      </c>
      <c r="AB509" s="60"/>
    </row>
    <row r="510" spans="1:28" x14ac:dyDescent="0.25">
      <c r="A510" t="s">
        <v>552</v>
      </c>
      <c r="B510" t="s">
        <v>340</v>
      </c>
      <c r="C510">
        <v>24</v>
      </c>
      <c r="D510">
        <v>0</v>
      </c>
      <c r="E510">
        <v>0</v>
      </c>
      <c r="F510">
        <v>0</v>
      </c>
      <c r="G510">
        <v>25</v>
      </c>
      <c r="H510">
        <v>18</v>
      </c>
      <c r="I510">
        <v>4</v>
      </c>
      <c r="J510">
        <v>23</v>
      </c>
      <c r="K510">
        <v>4</v>
      </c>
      <c r="L510">
        <v>3</v>
      </c>
      <c r="M510">
        <v>3</v>
      </c>
      <c r="N510">
        <v>0</v>
      </c>
      <c r="O510">
        <v>6</v>
      </c>
      <c r="P510">
        <v>2</v>
      </c>
      <c r="Q510">
        <v>3</v>
      </c>
      <c r="R510">
        <v>1.44</v>
      </c>
      <c r="S510">
        <v>0.88</v>
      </c>
      <c r="T510">
        <f t="shared" si="21"/>
        <v>0</v>
      </c>
      <c r="U510">
        <f t="shared" si="22"/>
        <v>0.16</v>
      </c>
      <c r="V510">
        <f>U510-AVERAGEIFS(Pitchers[ER/IP],Pitchers[GS],"&gt;"&amp;0,Pitchers[IP],"&gt;"&amp;3)</f>
        <v>-0.41150059479931944</v>
      </c>
      <c r="W510">
        <f>IF(Pitchers[[#This Row],[IP/GS]]&lt;&gt;0,(Pitchers[[#This Row],[WHIP]]*$AH$5+$AI$5)/9*Pitchers[[#This Row],[IP/GS]],(Pitchers[[#This Row],[WHIP]]*$AH$5+$AI$5)/9*(Pitchers[[#This Row],[IP]]/Pitchers[[#This Row],[G]]))</f>
        <v>0.26694396021964778</v>
      </c>
      <c r="X510">
        <f>Pitchers[[#This Row],[Runs from WHIP]]-AVERAGEIFS(Pitchers[Runs from WHIP],Pitchers[GS],"&gt;"&amp;0,Pitchers[IP],"&gt;"&amp;3)</f>
        <v>-5.418971945905211</v>
      </c>
      <c r="Y510">
        <f>IF(Pitchers[[#This Row],[IP/GS]]&lt;&gt;0,Pitchers[[#This Row],[ER/IP From Average]]*Pitchers[[#This Row],[IP/GS]],Pitchers[[#This Row],[ER/IP From Average]]*(Pitchers[[#This Row],[IP]]/Pitchers[[#This Row],[G]]))</f>
        <v>-0.42864645291595777</v>
      </c>
      <c r="Z510">
        <f t="shared" si="23"/>
        <v>-1.6165177667411061</v>
      </c>
      <c r="AA510" s="32">
        <f>IF(Pitchers[[#This Row],[W]]=0,0,Pitchers[[#This Row],[W]]/(Pitchers[[#This Row],[W]]+Pitchers[[#This Row],[L]]))</f>
        <v>1</v>
      </c>
      <c r="AB510" s="60"/>
    </row>
    <row r="511" spans="1:28" x14ac:dyDescent="0.25">
      <c r="A511" t="s">
        <v>636</v>
      </c>
      <c r="B511" t="s">
        <v>15</v>
      </c>
      <c r="C511">
        <v>27</v>
      </c>
      <c r="D511">
        <v>0</v>
      </c>
      <c r="E511">
        <v>0</v>
      </c>
      <c r="F511">
        <v>0</v>
      </c>
      <c r="G511">
        <v>24.2</v>
      </c>
      <c r="H511">
        <v>24</v>
      </c>
      <c r="I511">
        <v>11</v>
      </c>
      <c r="J511">
        <v>29</v>
      </c>
      <c r="K511">
        <v>12</v>
      </c>
      <c r="L511">
        <v>3</v>
      </c>
      <c r="M511">
        <v>3</v>
      </c>
      <c r="N511">
        <v>0</v>
      </c>
      <c r="O511">
        <v>0</v>
      </c>
      <c r="P511">
        <v>2</v>
      </c>
      <c r="Q511">
        <v>9</v>
      </c>
      <c r="R511">
        <v>4.01</v>
      </c>
      <c r="S511">
        <v>1.46</v>
      </c>
      <c r="T511">
        <f t="shared" si="21"/>
        <v>0</v>
      </c>
      <c r="U511">
        <f t="shared" si="22"/>
        <v>0.45454545454545459</v>
      </c>
      <c r="V511">
        <f>U511-AVERAGEIFS(Pitchers[ER/IP],Pitchers[GS],"&gt;"&amp;0,Pitchers[IP],"&gt;"&amp;3)</f>
        <v>-0.11695514025386489</v>
      </c>
      <c r="W511">
        <f>IF(Pitchers[[#This Row],[IP/GS]]&lt;&gt;0,(Pitchers[[#This Row],[WHIP]]*$AH$5+$AI$5)/9*Pitchers[[#This Row],[IP/GS]],(Pitchers[[#This Row],[WHIP]]*$AH$5+$AI$5)/9*(Pitchers[[#This Row],[IP]]/Pitchers[[#This Row],[G]]))</f>
        <v>0.49958447072764045</v>
      </c>
      <c r="X511">
        <f>Pitchers[[#This Row],[Runs from WHIP]]-AVERAGEIFS(Pitchers[Runs from WHIP],Pitchers[GS],"&gt;"&amp;0,Pitchers[IP],"&gt;"&amp;3)</f>
        <v>-5.1863314353972187</v>
      </c>
      <c r="Y511">
        <f>IF(Pitchers[[#This Row],[IP/GS]]&lt;&gt;0,Pitchers[[#This Row],[ER/IP From Average]]*Pitchers[[#This Row],[IP/GS]],Pitchers[[#This Row],[ER/IP From Average]]*(Pitchers[[#This Row],[IP]]/Pitchers[[#This Row],[G]]))</f>
        <v>-0.10482645904235297</v>
      </c>
      <c r="Z511">
        <f t="shared" si="23"/>
        <v>-1.4249522997228663</v>
      </c>
      <c r="AA511" s="32">
        <f>IF(Pitchers[[#This Row],[W]]=0,0,Pitchers[[#This Row],[W]]/(Pitchers[[#This Row],[W]]+Pitchers[[#This Row],[L]]))</f>
        <v>1</v>
      </c>
      <c r="AB511" s="60"/>
    </row>
    <row r="512" spans="1:28" x14ac:dyDescent="0.25">
      <c r="A512" t="s">
        <v>680</v>
      </c>
      <c r="B512" t="s">
        <v>370</v>
      </c>
      <c r="C512">
        <v>30</v>
      </c>
      <c r="D512">
        <v>0</v>
      </c>
      <c r="E512">
        <v>0</v>
      </c>
      <c r="F512">
        <v>0</v>
      </c>
      <c r="G512">
        <v>24.2</v>
      </c>
      <c r="H512">
        <v>26</v>
      </c>
      <c r="I512">
        <v>18</v>
      </c>
      <c r="J512">
        <v>31</v>
      </c>
      <c r="K512">
        <v>9</v>
      </c>
      <c r="L512">
        <v>7</v>
      </c>
      <c r="M512">
        <v>0</v>
      </c>
      <c r="N512">
        <v>1</v>
      </c>
      <c r="O512">
        <v>0</v>
      </c>
      <c r="P512">
        <v>2</v>
      </c>
      <c r="Q512">
        <v>8</v>
      </c>
      <c r="R512">
        <v>6.57</v>
      </c>
      <c r="S512">
        <v>1.42</v>
      </c>
      <c r="T512">
        <f t="shared" si="21"/>
        <v>0</v>
      </c>
      <c r="U512">
        <f t="shared" si="22"/>
        <v>0.74380165289256206</v>
      </c>
      <c r="V512">
        <f>U512-AVERAGEIFS(Pitchers[ER/IP],Pitchers[GS],"&gt;"&amp;0,Pitchers[IP],"&gt;"&amp;3)</f>
        <v>0.17230105809324259</v>
      </c>
      <c r="W512">
        <f>IF(Pitchers[[#This Row],[IP/GS]]&lt;&gt;0,(Pitchers[[#This Row],[WHIP]]*$AH$5+$AI$5)/9*Pitchers[[#This Row],[IP/GS]],(Pitchers[[#This Row],[WHIP]]*$AH$5+$AI$5)/9*(Pitchers[[#This Row],[IP]]/Pitchers[[#This Row],[G]]))</f>
        <v>0.43287398083689144</v>
      </c>
      <c r="X512">
        <f>Pitchers[[#This Row],[Runs from WHIP]]-AVERAGEIFS(Pitchers[Runs from WHIP],Pitchers[GS],"&gt;"&amp;0,Pitchers[IP],"&gt;"&amp;3)</f>
        <v>-5.2530419252879677</v>
      </c>
      <c r="Y512">
        <f>IF(Pitchers[[#This Row],[IP/GS]]&lt;&gt;0,Pitchers[[#This Row],[ER/IP From Average]]*Pitchers[[#This Row],[IP/GS]],Pitchers[[#This Row],[ER/IP From Average]]*(Pitchers[[#This Row],[IP]]/Pitchers[[#This Row],[G]]))</f>
        <v>0.13898952019521568</v>
      </c>
      <c r="Z512">
        <f t="shared" si="23"/>
        <v>-1.3452153719987052</v>
      </c>
      <c r="AA512" s="32">
        <f>IF(Pitchers[[#This Row],[W]]=0,0,Pitchers[[#This Row],[W]]/(Pitchers[[#This Row],[W]]+Pitchers[[#This Row],[L]]))</f>
        <v>0</v>
      </c>
      <c r="AB512" s="60"/>
    </row>
    <row r="513" spans="1:28" x14ac:dyDescent="0.25">
      <c r="A513" t="s">
        <v>491</v>
      </c>
      <c r="B513" t="s">
        <v>10</v>
      </c>
      <c r="C513">
        <v>27</v>
      </c>
      <c r="D513">
        <v>0</v>
      </c>
      <c r="E513">
        <v>0</v>
      </c>
      <c r="F513">
        <v>0</v>
      </c>
      <c r="G513">
        <v>24.2</v>
      </c>
      <c r="H513">
        <v>25</v>
      </c>
      <c r="I513">
        <v>11</v>
      </c>
      <c r="J513">
        <v>21</v>
      </c>
      <c r="K513">
        <v>5</v>
      </c>
      <c r="L513">
        <v>3</v>
      </c>
      <c r="M513">
        <v>0</v>
      </c>
      <c r="N513">
        <v>1</v>
      </c>
      <c r="O513">
        <v>1</v>
      </c>
      <c r="P513">
        <v>2</v>
      </c>
      <c r="Q513">
        <v>10</v>
      </c>
      <c r="R513">
        <v>4.01</v>
      </c>
      <c r="S513">
        <v>1.22</v>
      </c>
      <c r="T513">
        <f t="shared" si="21"/>
        <v>0</v>
      </c>
      <c r="U513">
        <f t="shared" si="22"/>
        <v>0.45454545454545459</v>
      </c>
      <c r="V513" s="60">
        <f>U513-AVERAGEIFS(Pitchers[ER/IP],Pitchers[GS],"&gt;"&amp;0,Pitchers[IP],"&gt;"&amp;3)</f>
        <v>-0.11695514025386489</v>
      </c>
      <c r="W513" s="60">
        <f>IF(Pitchers[[#This Row],[IP/GS]]&lt;&gt;0,(Pitchers[[#This Row],[WHIP]]*$AH$5+$AI$5)/9*Pitchers[[#This Row],[IP/GS]],(Pitchers[[#This Row],[WHIP]]*$AH$5+$AI$5)/9*(Pitchers[[#This Row],[IP]]/Pitchers[[#This Row],[G]]))</f>
        <v>0.38790418527440768</v>
      </c>
      <c r="X513" s="60">
        <f>Pitchers[[#This Row],[Runs from WHIP]]-AVERAGEIFS(Pitchers[Runs from WHIP],Pitchers[GS],"&gt;"&amp;0,Pitchers[IP],"&gt;"&amp;3)</f>
        <v>-5.2980117208504511</v>
      </c>
      <c r="Y513" s="60">
        <f>IF(Pitchers[[#This Row],[IP/GS]]&lt;&gt;0,Pitchers[[#This Row],[ER/IP From Average]]*Pitchers[[#This Row],[IP/GS]],Pitchers[[#This Row],[ER/IP From Average]]*(Pitchers[[#This Row],[IP]]/Pitchers[[#This Row],[G]]))</f>
        <v>-0.10482645904235297</v>
      </c>
      <c r="Z513" s="60">
        <f t="shared" si="23"/>
        <v>-1.4547337091770618</v>
      </c>
      <c r="AA513" s="32">
        <f>IF(Pitchers[[#This Row],[W]]=0,0,Pitchers[[#This Row],[W]]/(Pitchers[[#This Row],[W]]+Pitchers[[#This Row],[L]]))</f>
        <v>0</v>
      </c>
      <c r="AB513" s="60"/>
    </row>
    <row r="514" spans="1:28" x14ac:dyDescent="0.25">
      <c r="A514" t="s">
        <v>731</v>
      </c>
      <c r="B514" t="s">
        <v>28</v>
      </c>
      <c r="C514">
        <v>21</v>
      </c>
      <c r="D514">
        <v>1</v>
      </c>
      <c r="E514">
        <v>0</v>
      </c>
      <c r="F514">
        <v>0</v>
      </c>
      <c r="G514">
        <v>24.2</v>
      </c>
      <c r="H514">
        <v>34</v>
      </c>
      <c r="I514">
        <v>19</v>
      </c>
      <c r="J514">
        <v>34</v>
      </c>
      <c r="K514">
        <v>15</v>
      </c>
      <c r="L514">
        <v>6</v>
      </c>
      <c r="M514">
        <v>1</v>
      </c>
      <c r="N514">
        <v>0</v>
      </c>
      <c r="O514">
        <v>2</v>
      </c>
      <c r="P514">
        <v>0</v>
      </c>
      <c r="Q514">
        <v>2</v>
      </c>
      <c r="R514">
        <v>6.93</v>
      </c>
      <c r="S514">
        <v>1.99</v>
      </c>
      <c r="T514">
        <f t="shared" si="21"/>
        <v>24.2</v>
      </c>
      <c r="U514">
        <f t="shared" si="22"/>
        <v>0.78512396694214881</v>
      </c>
      <c r="V514">
        <f>U514-AVERAGEIFS(Pitchers[ER/IP],Pitchers[GS],"&gt;"&amp;0,Pitchers[IP],"&gt;"&amp;3)</f>
        <v>0.21362337214282934</v>
      </c>
      <c r="W514">
        <f>IF(Pitchers[[#This Row],[IP/GS]]&lt;&gt;0,(Pitchers[[#This Row],[WHIP]]*$AH$5+$AI$5)/9*Pitchers[[#This Row],[IP/GS]],(Pitchers[[#This Row],[WHIP]]*$AH$5+$AI$5)/9*(Pitchers[[#This Row],[IP]]/Pitchers[[#This Row],[G]]))</f>
        <v>20.147717729795293</v>
      </c>
      <c r="X514">
        <f>Pitchers[[#This Row],[Runs from WHIP]]-AVERAGEIFS(Pitchers[Runs from WHIP],Pitchers[GS],"&gt;"&amp;0,Pitchers[IP],"&gt;"&amp;3)</f>
        <v>14.461801823670434</v>
      </c>
      <c r="Y514">
        <f>IF(Pitchers[[#This Row],[IP/GS]]&lt;&gt;0,Pitchers[[#This Row],[ER/IP From Average]]*Pitchers[[#This Row],[IP/GS]],Pitchers[[#This Row],[ER/IP From Average]]*(Pitchers[[#This Row],[IP]]/Pitchers[[#This Row],[G]]))</f>
        <v>5.1696856058564702</v>
      </c>
      <c r="Z514">
        <f t="shared" si="23"/>
        <v>5.9243547286547047</v>
      </c>
      <c r="AA514" s="32">
        <f>IF(Pitchers[[#This Row],[W]]=0,0,Pitchers[[#This Row],[W]]/(Pitchers[[#This Row],[W]]+Pitchers[[#This Row],[L]]))</f>
        <v>1</v>
      </c>
      <c r="AB514" s="60"/>
    </row>
    <row r="515" spans="1:28" x14ac:dyDescent="0.25">
      <c r="A515" t="s">
        <v>3777</v>
      </c>
      <c r="B515" t="s">
        <v>4</v>
      </c>
      <c r="C515">
        <v>25</v>
      </c>
      <c r="D515">
        <v>0</v>
      </c>
      <c r="E515">
        <v>0</v>
      </c>
      <c r="F515">
        <v>0</v>
      </c>
      <c r="G515">
        <v>24.1</v>
      </c>
      <c r="H515">
        <v>15</v>
      </c>
      <c r="I515">
        <v>4</v>
      </c>
      <c r="J515">
        <v>28</v>
      </c>
      <c r="K515">
        <v>9</v>
      </c>
      <c r="L515">
        <v>2</v>
      </c>
      <c r="M515">
        <v>3</v>
      </c>
      <c r="N515">
        <v>0</v>
      </c>
      <c r="O515">
        <v>2</v>
      </c>
      <c r="P515">
        <v>0</v>
      </c>
      <c r="Q515">
        <v>9</v>
      </c>
      <c r="R515">
        <v>1.48</v>
      </c>
      <c r="S515">
        <v>0.99</v>
      </c>
      <c r="T515">
        <f t="shared" si="21"/>
        <v>0</v>
      </c>
      <c r="U515">
        <f t="shared" si="22"/>
        <v>0.16597510373443983</v>
      </c>
      <c r="V515">
        <f>U515-AVERAGEIFS(Pitchers[ER/IP],Pitchers[GS],"&gt;"&amp;0,Pitchers[IP],"&gt;"&amp;3)</f>
        <v>-0.40552549106487967</v>
      </c>
      <c r="W515">
        <f>IF(Pitchers[[#This Row],[IP/GS]]&lt;&gt;0,(Pitchers[[#This Row],[WHIP]]*$AH$5+$AI$5)/9*Pitchers[[#This Row],[IP/GS]],(Pitchers[[#This Row],[WHIP]]*$AH$5+$AI$5)/9*(Pitchers[[#This Row],[IP]]/Pitchers[[#This Row],[G]]))</f>
        <v>0.30209392289750309</v>
      </c>
      <c r="X515">
        <f>Pitchers[[#This Row],[Runs from WHIP]]-AVERAGEIFS(Pitchers[Runs from WHIP],Pitchers[GS],"&gt;"&amp;0,Pitchers[IP],"&gt;"&amp;3)</f>
        <v>-5.3838219832273557</v>
      </c>
      <c r="Y515">
        <f>IF(Pitchers[[#This Row],[IP/GS]]&lt;&gt;0,Pitchers[[#This Row],[ER/IP From Average]]*Pitchers[[#This Row],[IP/GS]],Pitchers[[#This Row],[ER/IP From Average]]*(Pitchers[[#This Row],[IP]]/Pitchers[[#This Row],[G]]))</f>
        <v>-0.39092657338654402</v>
      </c>
      <c r="Z515">
        <f t="shared" si="23"/>
        <v>-1.5920564915485791</v>
      </c>
      <c r="AA515" s="32">
        <f>IF(Pitchers[[#This Row],[W]]=0,0,Pitchers[[#This Row],[W]]/(Pitchers[[#This Row],[W]]+Pitchers[[#This Row],[L]]))</f>
        <v>1</v>
      </c>
      <c r="AB515" s="60"/>
    </row>
    <row r="516" spans="1:28" x14ac:dyDescent="0.25">
      <c r="A516" t="s">
        <v>649</v>
      </c>
      <c r="B516" t="s">
        <v>370</v>
      </c>
      <c r="C516">
        <v>21</v>
      </c>
      <c r="D516">
        <v>0</v>
      </c>
      <c r="E516">
        <v>0</v>
      </c>
      <c r="F516">
        <v>0</v>
      </c>
      <c r="G516">
        <v>24.1</v>
      </c>
      <c r="H516">
        <v>34</v>
      </c>
      <c r="I516">
        <v>21</v>
      </c>
      <c r="J516">
        <v>20</v>
      </c>
      <c r="K516">
        <v>6</v>
      </c>
      <c r="L516">
        <v>6</v>
      </c>
      <c r="M516">
        <v>0</v>
      </c>
      <c r="N516">
        <v>0</v>
      </c>
      <c r="O516">
        <v>0</v>
      </c>
      <c r="P516">
        <v>0</v>
      </c>
      <c r="Q516">
        <v>2</v>
      </c>
      <c r="R516">
        <v>7.77</v>
      </c>
      <c r="S516">
        <v>1.64</v>
      </c>
      <c r="T516">
        <f t="shared" si="21"/>
        <v>0</v>
      </c>
      <c r="U516">
        <f t="shared" si="22"/>
        <v>0.87136929460580903</v>
      </c>
      <c r="V516">
        <f>U516-AVERAGEIFS(Pitchers[ER/IP],Pitchers[GS],"&gt;"&amp;0,Pitchers[IP],"&gt;"&amp;3)</f>
        <v>0.29986869980648956</v>
      </c>
      <c r="W516">
        <f>IF(Pitchers[[#This Row],[IP/GS]]&lt;&gt;0,(Pitchers[[#This Row],[WHIP]]*$AH$5+$AI$5)/9*Pitchers[[#This Row],[IP/GS]],(Pitchers[[#This Row],[WHIP]]*$AH$5+$AI$5)/9*(Pitchers[[#This Row],[IP]]/Pitchers[[#This Row],[G]]))</f>
        <v>0.74691536090277355</v>
      </c>
      <c r="X516">
        <f>Pitchers[[#This Row],[Runs from WHIP]]-AVERAGEIFS(Pitchers[Runs from WHIP],Pitchers[GS],"&gt;"&amp;0,Pitchers[IP],"&gt;"&amp;3)</f>
        <v>-4.9390005452220853</v>
      </c>
      <c r="Y516">
        <f>IF(Pitchers[[#This Row],[IP/GS]]&lt;&gt;0,Pitchers[[#This Row],[ER/IP From Average]]*Pitchers[[#This Row],[IP/GS]],Pitchers[[#This Row],[ER/IP From Average]]*(Pitchers[[#This Row],[IP]]/Pitchers[[#This Row],[G]]))</f>
        <v>0.34413503168268567</v>
      </c>
      <c r="Z516">
        <f t="shared" si="23"/>
        <v>-1.1794127993861483</v>
      </c>
      <c r="AA516" s="32">
        <f>IF(Pitchers[[#This Row],[W]]=0,0,Pitchers[[#This Row],[W]]/(Pitchers[[#This Row],[W]]+Pitchers[[#This Row],[L]]))</f>
        <v>0</v>
      </c>
      <c r="AB516" s="60"/>
    </row>
    <row r="517" spans="1:28" x14ac:dyDescent="0.25">
      <c r="A517" t="s">
        <v>3678</v>
      </c>
      <c r="B517" t="s">
        <v>219</v>
      </c>
      <c r="C517">
        <v>23</v>
      </c>
      <c r="D517">
        <v>0</v>
      </c>
      <c r="E517">
        <v>0</v>
      </c>
      <c r="F517">
        <v>0</v>
      </c>
      <c r="G517">
        <v>24.1</v>
      </c>
      <c r="H517">
        <v>18</v>
      </c>
      <c r="I517">
        <v>8</v>
      </c>
      <c r="J517">
        <v>14</v>
      </c>
      <c r="K517">
        <v>9</v>
      </c>
      <c r="L517">
        <v>1</v>
      </c>
      <c r="M517">
        <v>0</v>
      </c>
      <c r="N517">
        <v>0</v>
      </c>
      <c r="O517">
        <v>1</v>
      </c>
      <c r="P517">
        <v>1</v>
      </c>
      <c r="Q517">
        <v>4</v>
      </c>
      <c r="R517">
        <v>2.96</v>
      </c>
      <c r="S517">
        <v>1.1100000000000001</v>
      </c>
      <c r="T517">
        <f t="shared" ref="T517:T576" si="24">IF(D517=0,0,G517/D517)</f>
        <v>0</v>
      </c>
      <c r="U517">
        <f t="shared" ref="U517:U576" si="25">IF(G517=0,0,I517/G517)</f>
        <v>0.33195020746887965</v>
      </c>
      <c r="V517">
        <f>U517-AVERAGEIFS(Pitchers[ER/IP],Pitchers[GS],"&gt;"&amp;0,Pitchers[IP],"&gt;"&amp;3)</f>
        <v>-0.23955038733043982</v>
      </c>
      <c r="W517">
        <f>IF(Pitchers[[#This Row],[IP/GS]]&lt;&gt;0,(Pitchers[[#This Row],[WHIP]]*$AH$5+$AI$5)/9*Pitchers[[#This Row],[IP/GS]],(Pitchers[[#This Row],[WHIP]]*$AH$5+$AI$5)/9*(Pitchers[[#This Row],[IP]]/Pitchers[[#This Row],[G]]))</f>
        <v>0.39364355771684995</v>
      </c>
      <c r="X517">
        <f>Pitchers[[#This Row],[Runs from WHIP]]-AVERAGEIFS(Pitchers[Runs from WHIP],Pitchers[GS],"&gt;"&amp;0,Pitchers[IP],"&gt;"&amp;3)</f>
        <v>-5.2922723484080096</v>
      </c>
      <c r="Y517">
        <f>IF(Pitchers[[#This Row],[IP/GS]]&lt;&gt;0,Pitchers[[#This Row],[ER/IP From Average]]*Pitchers[[#This Row],[IP/GS]],Pitchers[[#This Row],[ER/IP From Average]]*(Pitchers[[#This Row],[IP]]/Pitchers[[#This Row],[G]]))</f>
        <v>-0.25100714498537391</v>
      </c>
      <c r="Z517">
        <f t="shared" ref="Z517:Z576" si="26">AVERAGE(X517,X517,Y517,Y517,Y517)/1.5</f>
        <v>-1.5116754842362858</v>
      </c>
      <c r="AA517" s="32">
        <f>IF(Pitchers[[#This Row],[W]]=0,0,Pitchers[[#This Row],[W]]/(Pitchers[[#This Row],[W]]+Pitchers[[#This Row],[L]]))</f>
        <v>0</v>
      </c>
      <c r="AB517" s="60"/>
    </row>
    <row r="518" spans="1:28" x14ac:dyDescent="0.25">
      <c r="A518" t="s">
        <v>619</v>
      </c>
      <c r="B518" t="s">
        <v>1</v>
      </c>
      <c r="C518">
        <v>20</v>
      </c>
      <c r="D518">
        <v>0</v>
      </c>
      <c r="E518">
        <v>0</v>
      </c>
      <c r="F518">
        <v>0</v>
      </c>
      <c r="G518">
        <v>23.2</v>
      </c>
      <c r="H518">
        <v>18</v>
      </c>
      <c r="I518">
        <v>7</v>
      </c>
      <c r="J518">
        <v>27</v>
      </c>
      <c r="K518">
        <v>15</v>
      </c>
      <c r="L518">
        <v>3</v>
      </c>
      <c r="M518">
        <v>0</v>
      </c>
      <c r="N518">
        <v>1</v>
      </c>
      <c r="O518">
        <v>1</v>
      </c>
      <c r="P518">
        <v>1</v>
      </c>
      <c r="Q518">
        <v>1</v>
      </c>
      <c r="R518">
        <v>2.66</v>
      </c>
      <c r="S518">
        <v>1.39</v>
      </c>
      <c r="T518">
        <f t="shared" si="24"/>
        <v>0</v>
      </c>
      <c r="U518">
        <f t="shared" si="25"/>
        <v>0.30172413793103448</v>
      </c>
      <c r="V518">
        <f>U518-AVERAGEIFS(Pitchers[ER/IP],Pitchers[GS],"&gt;"&amp;0,Pitchers[IP],"&gt;"&amp;3)</f>
        <v>-0.269776456868285</v>
      </c>
      <c r="W518">
        <f>IF(Pitchers[[#This Row],[IP/GS]]&lt;&gt;0,(Pitchers[[#This Row],[WHIP]]*$AH$5+$AI$5)/9*Pitchers[[#This Row],[IP/GS]],(Pitchers[[#This Row],[WHIP]]*$AH$5+$AI$5)/9*(Pitchers[[#This Row],[IP]]/Pitchers[[#This Row],[G]]))</f>
        <v>0.60441265353613283</v>
      </c>
      <c r="X518">
        <f>Pitchers[[#This Row],[Runs from WHIP]]-AVERAGEIFS(Pitchers[Runs from WHIP],Pitchers[GS],"&gt;"&amp;0,Pitchers[IP],"&gt;"&amp;3)</f>
        <v>-5.0815032525887265</v>
      </c>
      <c r="Y518">
        <f>IF(Pitchers[[#This Row],[IP/GS]]&lt;&gt;0,Pitchers[[#This Row],[ER/IP From Average]]*Pitchers[[#This Row],[IP/GS]],Pitchers[[#This Row],[ER/IP From Average]]*(Pitchers[[#This Row],[IP]]/Pitchers[[#This Row],[G]]))</f>
        <v>-0.31294068996721058</v>
      </c>
      <c r="Z518">
        <f t="shared" si="26"/>
        <v>-1.4802438100105444</v>
      </c>
      <c r="AA518" s="32">
        <f>IF(Pitchers[[#This Row],[W]]=0,0,Pitchers[[#This Row],[W]]/(Pitchers[[#This Row],[W]]+Pitchers[[#This Row],[L]]))</f>
        <v>0</v>
      </c>
      <c r="AB518" s="60"/>
    </row>
    <row r="519" spans="1:28" x14ac:dyDescent="0.25">
      <c r="A519" t="s">
        <v>396</v>
      </c>
      <c r="B519" t="s">
        <v>17</v>
      </c>
      <c r="C519">
        <v>5</v>
      </c>
      <c r="D519">
        <v>5</v>
      </c>
      <c r="E519">
        <v>0</v>
      </c>
      <c r="F519">
        <v>0</v>
      </c>
      <c r="G519">
        <v>23.2</v>
      </c>
      <c r="H519">
        <v>23</v>
      </c>
      <c r="I519">
        <v>18</v>
      </c>
      <c r="J519">
        <v>11</v>
      </c>
      <c r="K519">
        <v>8</v>
      </c>
      <c r="L519">
        <v>7</v>
      </c>
      <c r="M519">
        <v>0</v>
      </c>
      <c r="N519">
        <v>2</v>
      </c>
      <c r="O519">
        <v>0</v>
      </c>
      <c r="P519">
        <v>0</v>
      </c>
      <c r="Q519">
        <v>0</v>
      </c>
      <c r="R519">
        <v>6.85</v>
      </c>
      <c r="S519">
        <v>1.31</v>
      </c>
      <c r="T519">
        <f t="shared" si="24"/>
        <v>4.6399999999999997</v>
      </c>
      <c r="U519">
        <f t="shared" si="25"/>
        <v>0.77586206896551724</v>
      </c>
      <c r="V519" s="60">
        <f>U519-AVERAGEIFS(Pitchers[ER/IP],Pitchers[GS],"&gt;"&amp;0,Pitchers[IP],"&gt;"&amp;3)</f>
        <v>0.20436147416619777</v>
      </c>
      <c r="W519" s="60">
        <f>IF(Pitchers[[#This Row],[IP/GS]]&lt;&gt;0,(Pitchers[[#This Row],[WHIP]]*$AH$5+$AI$5)/9*Pitchers[[#This Row],[IP/GS]],(Pitchers[[#This Row],[WHIP]]*$AH$5+$AI$5)/9*(Pitchers[[#This Row],[IP]]/Pitchers[[#This Row],[G]]))</f>
        <v>2.2249328984202759</v>
      </c>
      <c r="X519" s="60">
        <f>Pitchers[[#This Row],[Runs from WHIP]]-AVERAGEIFS(Pitchers[Runs from WHIP],Pitchers[GS],"&gt;"&amp;0,Pitchers[IP],"&gt;"&amp;3)</f>
        <v>-3.4609830077045833</v>
      </c>
      <c r="Y519" s="60">
        <f>IF(Pitchers[[#This Row],[IP/GS]]&lt;&gt;0,Pitchers[[#This Row],[ER/IP From Average]]*Pitchers[[#This Row],[IP/GS]],Pitchers[[#This Row],[ER/IP From Average]]*(Pitchers[[#This Row],[IP]]/Pitchers[[#This Row],[G]]))</f>
        <v>0.94823724013115751</v>
      </c>
      <c r="Z519" s="60">
        <f t="shared" si="26"/>
        <v>-0.5436339060020926</v>
      </c>
      <c r="AA519" s="32">
        <f>IF(Pitchers[[#This Row],[W]]=0,0,Pitchers[[#This Row],[W]]/(Pitchers[[#This Row],[W]]+Pitchers[[#This Row],[L]]))</f>
        <v>0</v>
      </c>
      <c r="AB519" s="60"/>
    </row>
    <row r="520" spans="1:28" x14ac:dyDescent="0.25">
      <c r="A520" t="s">
        <v>681</v>
      </c>
      <c r="B520" t="s">
        <v>27</v>
      </c>
      <c r="C520">
        <v>18</v>
      </c>
      <c r="D520">
        <v>0</v>
      </c>
      <c r="E520">
        <v>0</v>
      </c>
      <c r="F520">
        <v>0</v>
      </c>
      <c r="G520">
        <v>23.2</v>
      </c>
      <c r="H520">
        <v>34</v>
      </c>
      <c r="I520">
        <v>22</v>
      </c>
      <c r="J520">
        <v>17</v>
      </c>
      <c r="K520">
        <v>7</v>
      </c>
      <c r="L520">
        <v>11</v>
      </c>
      <c r="M520">
        <v>3</v>
      </c>
      <c r="N520">
        <v>1</v>
      </c>
      <c r="O520">
        <v>0</v>
      </c>
      <c r="P520">
        <v>1</v>
      </c>
      <c r="Q520">
        <v>0</v>
      </c>
      <c r="R520">
        <v>8.3699999999999992</v>
      </c>
      <c r="S520">
        <v>1.73</v>
      </c>
      <c r="T520">
        <f t="shared" si="24"/>
        <v>0</v>
      </c>
      <c r="U520">
        <f t="shared" si="25"/>
        <v>0.94827586206896552</v>
      </c>
      <c r="V520">
        <f>U520-AVERAGEIFS(Pitchers[ER/IP],Pitchers[GS],"&gt;"&amp;0,Pitchers[IP],"&gt;"&amp;3)</f>
        <v>0.37677526726964605</v>
      </c>
      <c r="W520">
        <f>IF(Pitchers[[#This Row],[IP/GS]]&lt;&gt;0,(Pitchers[[#This Row],[WHIP]]*$AH$5+$AI$5)/9*Pitchers[[#This Row],[IP/GS]],(Pitchers[[#This Row],[WHIP]]*$AH$5+$AI$5)/9*(Pitchers[[#This Row],[IP]]/Pitchers[[#This Row],[G]]))</f>
        <v>0.89908358499239438</v>
      </c>
      <c r="X520">
        <f>Pitchers[[#This Row],[Runs from WHIP]]-AVERAGEIFS(Pitchers[Runs from WHIP],Pitchers[GS],"&gt;"&amp;0,Pitchers[IP],"&gt;"&amp;3)</f>
        <v>-4.786832321132465</v>
      </c>
      <c r="Y520">
        <f>IF(Pitchers[[#This Row],[IP/GS]]&lt;&gt;0,Pitchers[[#This Row],[ER/IP From Average]]*Pitchers[[#This Row],[IP/GS]],Pitchers[[#This Row],[ER/IP From Average]]*(Pitchers[[#This Row],[IP]]/Pitchers[[#This Row],[G]]))</f>
        <v>0.48562145559198822</v>
      </c>
      <c r="Z520">
        <f t="shared" si="26"/>
        <v>-1.0822400367318616</v>
      </c>
      <c r="AA520" s="32">
        <f>IF(Pitchers[[#This Row],[W]]=0,0,Pitchers[[#This Row],[W]]/(Pitchers[[#This Row],[W]]+Pitchers[[#This Row],[L]]))</f>
        <v>0.75</v>
      </c>
      <c r="AB520" s="60"/>
    </row>
    <row r="521" spans="1:28" x14ac:dyDescent="0.25">
      <c r="A521" t="s">
        <v>3805</v>
      </c>
      <c r="B521" t="s">
        <v>2</v>
      </c>
      <c r="C521">
        <v>16</v>
      </c>
      <c r="D521">
        <v>0</v>
      </c>
      <c r="E521">
        <v>0</v>
      </c>
      <c r="F521">
        <v>0</v>
      </c>
      <c r="G521">
        <v>23.1</v>
      </c>
      <c r="H521">
        <v>28</v>
      </c>
      <c r="I521">
        <v>20</v>
      </c>
      <c r="J521">
        <v>27</v>
      </c>
      <c r="K521">
        <v>15</v>
      </c>
      <c r="L521">
        <v>4</v>
      </c>
      <c r="M521">
        <v>0</v>
      </c>
      <c r="N521">
        <v>1</v>
      </c>
      <c r="O521">
        <v>0</v>
      </c>
      <c r="P521">
        <v>1</v>
      </c>
      <c r="Q521">
        <v>0</v>
      </c>
      <c r="R521">
        <v>7.71</v>
      </c>
      <c r="S521">
        <v>1.84</v>
      </c>
      <c r="T521">
        <f t="shared" si="24"/>
        <v>0</v>
      </c>
      <c r="U521">
        <f t="shared" si="25"/>
        <v>0.86580086580086579</v>
      </c>
      <c r="V521">
        <f>U521-AVERAGEIFS(Pitchers[ER/IP],Pitchers[GS],"&gt;"&amp;0,Pitchers[IP],"&gt;"&amp;3)</f>
        <v>0.29430027100154632</v>
      </c>
      <c r="W521">
        <f>IF(Pitchers[[#This Row],[IP/GS]]&lt;&gt;0,(Pitchers[[#This Row],[WHIP]]*$AH$5+$AI$5)/9*Pitchers[[#This Row],[IP/GS]],(Pitchers[[#This Row],[WHIP]]*$AH$5+$AI$5)/9*(Pitchers[[#This Row],[IP]]/Pitchers[[#This Row],[G]]))</f>
        <v>1.0895607135460563</v>
      </c>
      <c r="X521">
        <f>Pitchers[[#This Row],[Runs from WHIP]]-AVERAGEIFS(Pitchers[Runs from WHIP],Pitchers[GS],"&gt;"&amp;0,Pitchers[IP],"&gt;"&amp;3)</f>
        <v>-4.5963551925788027</v>
      </c>
      <c r="Y521">
        <f>IF(Pitchers[[#This Row],[IP/GS]]&lt;&gt;0,Pitchers[[#This Row],[ER/IP From Average]]*Pitchers[[#This Row],[IP/GS]],Pitchers[[#This Row],[ER/IP From Average]]*(Pitchers[[#This Row],[IP]]/Pitchers[[#This Row],[G]]))</f>
        <v>0.4248960162584825</v>
      </c>
      <c r="Z521">
        <f t="shared" si="26"/>
        <v>-1.0557363115176208</v>
      </c>
      <c r="AA521" s="32">
        <f>IF(Pitchers[[#This Row],[W]]=0,0,Pitchers[[#This Row],[W]]/(Pitchers[[#This Row],[W]]+Pitchers[[#This Row],[L]]))</f>
        <v>0</v>
      </c>
      <c r="AB521" s="60"/>
    </row>
    <row r="522" spans="1:28" x14ac:dyDescent="0.25">
      <c r="A522" t="s">
        <v>663</v>
      </c>
      <c r="B522" t="s">
        <v>12</v>
      </c>
      <c r="C522">
        <v>30</v>
      </c>
      <c r="D522">
        <v>0</v>
      </c>
      <c r="E522">
        <v>0</v>
      </c>
      <c r="F522">
        <v>0</v>
      </c>
      <c r="G522">
        <v>23.1</v>
      </c>
      <c r="H522">
        <v>21</v>
      </c>
      <c r="I522">
        <v>13</v>
      </c>
      <c r="J522">
        <v>18</v>
      </c>
      <c r="K522">
        <v>18</v>
      </c>
      <c r="L522">
        <v>4</v>
      </c>
      <c r="M522">
        <v>3</v>
      </c>
      <c r="N522">
        <v>1</v>
      </c>
      <c r="O522">
        <v>0</v>
      </c>
      <c r="P522">
        <v>0</v>
      </c>
      <c r="Q522">
        <v>4</v>
      </c>
      <c r="R522">
        <v>5.01</v>
      </c>
      <c r="S522">
        <v>1.67</v>
      </c>
      <c r="T522">
        <f t="shared" si="24"/>
        <v>0</v>
      </c>
      <c r="U522">
        <f t="shared" si="25"/>
        <v>0.5627705627705627</v>
      </c>
      <c r="V522">
        <f>U522-AVERAGEIFS(Pitchers[ER/IP],Pitchers[GS],"&gt;"&amp;0,Pitchers[IP],"&gt;"&amp;3)</f>
        <v>-8.7300320287567734E-3</v>
      </c>
      <c r="W522">
        <f>IF(Pitchers[[#This Row],[IP/GS]]&lt;&gt;0,(Pitchers[[#This Row],[WHIP]]*$AH$5+$AI$5)/9*Pitchers[[#This Row],[IP/GS]],(Pitchers[[#This Row],[WHIP]]*$AH$5+$AI$5)/9*(Pitchers[[#This Row],[IP]]/Pitchers[[#This Row],[G]]))</f>
        <v>0.51313905533796544</v>
      </c>
      <c r="X522">
        <f>Pitchers[[#This Row],[Runs from WHIP]]-AVERAGEIFS(Pitchers[Runs from WHIP],Pitchers[GS],"&gt;"&amp;0,Pitchers[IP],"&gt;"&amp;3)</f>
        <v>-5.1727768507868941</v>
      </c>
      <c r="Y522">
        <f>IF(Pitchers[[#This Row],[IP/GS]]&lt;&gt;0,Pitchers[[#This Row],[ER/IP From Average]]*Pitchers[[#This Row],[IP/GS]],Pitchers[[#This Row],[ER/IP From Average]]*(Pitchers[[#This Row],[IP]]/Pitchers[[#This Row],[G]]))</f>
        <v>-6.722124662142716E-3</v>
      </c>
      <c r="Z522">
        <f t="shared" si="26"/>
        <v>-1.3820960100746953</v>
      </c>
      <c r="AA522" s="32">
        <f>IF(Pitchers[[#This Row],[W]]=0,0,Pitchers[[#This Row],[W]]/(Pitchers[[#This Row],[W]]+Pitchers[[#This Row],[L]]))</f>
        <v>0.75</v>
      </c>
      <c r="AB522" s="60"/>
    </row>
    <row r="523" spans="1:28" x14ac:dyDescent="0.25">
      <c r="A523" t="s">
        <v>850</v>
      </c>
      <c r="B523" t="s">
        <v>9</v>
      </c>
      <c r="C523">
        <v>16</v>
      </c>
      <c r="D523">
        <v>3</v>
      </c>
      <c r="E523">
        <v>0</v>
      </c>
      <c r="F523">
        <v>0</v>
      </c>
      <c r="G523">
        <v>23.1</v>
      </c>
      <c r="H523">
        <v>23</v>
      </c>
      <c r="I523">
        <v>10</v>
      </c>
      <c r="J523">
        <v>18</v>
      </c>
      <c r="K523">
        <v>10</v>
      </c>
      <c r="L523">
        <v>1</v>
      </c>
      <c r="M523">
        <v>0</v>
      </c>
      <c r="N523">
        <v>1</v>
      </c>
      <c r="O523">
        <v>0</v>
      </c>
      <c r="P523">
        <v>0</v>
      </c>
      <c r="Q523">
        <v>1</v>
      </c>
      <c r="R523">
        <v>3.86</v>
      </c>
      <c r="S523">
        <v>1.41</v>
      </c>
      <c r="T523">
        <f t="shared" si="24"/>
        <v>7.7</v>
      </c>
      <c r="U523">
        <f t="shared" si="25"/>
        <v>0.4329004329004329</v>
      </c>
      <c r="V523">
        <f>U523-AVERAGEIFS(Pitchers[ER/IP],Pitchers[GS],"&gt;"&amp;0,Pitchers[IP],"&gt;"&amp;3)</f>
        <v>-0.13860016189888658</v>
      </c>
      <c r="W523">
        <f>IF(Pitchers[[#This Row],[IP/GS]]&lt;&gt;0,(Pitchers[[#This Row],[WHIP]]*$AH$5+$AI$5)/9*Pitchers[[#This Row],[IP/GS]],(Pitchers[[#This Row],[WHIP]]*$AH$5+$AI$5)/9*(Pitchers[[#This Row],[IP]]/Pitchers[[#This Row],[G]]))</f>
        <v>4.0920024421728636</v>
      </c>
      <c r="X523">
        <f>Pitchers[[#This Row],[Runs from WHIP]]-AVERAGEIFS(Pitchers[Runs from WHIP],Pitchers[GS],"&gt;"&amp;0,Pitchers[IP],"&gt;"&amp;3)</f>
        <v>-1.5939134639519956</v>
      </c>
      <c r="Y523">
        <f>IF(Pitchers[[#This Row],[IP/GS]]&lt;&gt;0,Pitchers[[#This Row],[ER/IP From Average]]*Pitchers[[#This Row],[IP/GS]],Pitchers[[#This Row],[ER/IP From Average]]*(Pitchers[[#This Row],[IP]]/Pitchers[[#This Row],[G]]))</f>
        <v>-1.0672212466214266</v>
      </c>
      <c r="Z523">
        <f t="shared" si="26"/>
        <v>-0.85193208903576945</v>
      </c>
      <c r="AA523" s="32">
        <f>IF(Pitchers[[#This Row],[W]]=0,0,Pitchers[[#This Row],[W]]/(Pitchers[[#This Row],[W]]+Pitchers[[#This Row],[L]]))</f>
        <v>0</v>
      </c>
      <c r="AB523" s="60"/>
    </row>
    <row r="524" spans="1:28" x14ac:dyDescent="0.25">
      <c r="A524" t="s">
        <v>354</v>
      </c>
      <c r="B524" t="s">
        <v>218</v>
      </c>
      <c r="C524">
        <v>7</v>
      </c>
      <c r="D524">
        <v>3</v>
      </c>
      <c r="E524">
        <v>0</v>
      </c>
      <c r="F524">
        <v>0</v>
      </c>
      <c r="G524">
        <v>23.1</v>
      </c>
      <c r="H524">
        <v>23</v>
      </c>
      <c r="I524">
        <v>5</v>
      </c>
      <c r="J524">
        <v>24</v>
      </c>
      <c r="K524">
        <v>5</v>
      </c>
      <c r="L524">
        <v>3</v>
      </c>
      <c r="M524">
        <v>3</v>
      </c>
      <c r="N524">
        <v>0</v>
      </c>
      <c r="O524">
        <v>0</v>
      </c>
      <c r="P524">
        <v>0</v>
      </c>
      <c r="Q524">
        <v>0</v>
      </c>
      <c r="R524">
        <v>1.93</v>
      </c>
      <c r="S524">
        <v>1.2</v>
      </c>
      <c r="T524">
        <f t="shared" si="24"/>
        <v>7.7</v>
      </c>
      <c r="U524">
        <f t="shared" si="25"/>
        <v>0.21645021645021645</v>
      </c>
      <c r="V524">
        <f>U524-AVERAGEIFS(Pitchers[ER/IP],Pitchers[GS],"&gt;"&amp;0,Pitchers[IP],"&gt;"&amp;3)</f>
        <v>-0.35505037834910302</v>
      </c>
      <c r="W524">
        <f>IF(Pitchers[[#This Row],[IP/GS]]&lt;&gt;0,(Pitchers[[#This Row],[WHIP]]*$AH$5+$AI$5)/9*Pitchers[[#This Row],[IP/GS]],(Pitchers[[#This Row],[WHIP]]*$AH$5+$AI$5)/9*(Pitchers[[#This Row],[IP]]/Pitchers[[#This Row],[G]]))</f>
        <v>3.2524966600443026</v>
      </c>
      <c r="X524">
        <f>Pitchers[[#This Row],[Runs from WHIP]]-AVERAGEIFS(Pitchers[Runs from WHIP],Pitchers[GS],"&gt;"&amp;0,Pitchers[IP],"&gt;"&amp;3)</f>
        <v>-2.4334192460805566</v>
      </c>
      <c r="Y524">
        <f>IF(Pitchers[[#This Row],[IP/GS]]&lt;&gt;0,Pitchers[[#This Row],[ER/IP From Average]]*Pitchers[[#This Row],[IP/GS]],Pitchers[[#This Row],[ER/IP From Average]]*(Pitchers[[#This Row],[IP]]/Pitchers[[#This Row],[G]]))</f>
        <v>-2.7338879132880933</v>
      </c>
      <c r="Z524">
        <f t="shared" si="26"/>
        <v>-1.7424669642700525</v>
      </c>
      <c r="AA524" s="32">
        <f>IF(Pitchers[[#This Row],[W]]=0,0,Pitchers[[#This Row],[W]]/(Pitchers[[#This Row],[W]]+Pitchers[[#This Row],[L]]))</f>
        <v>1</v>
      </c>
      <c r="AB524" s="60"/>
    </row>
    <row r="525" spans="1:28" x14ac:dyDescent="0.25">
      <c r="A525" t="s">
        <v>3750</v>
      </c>
      <c r="B525" t="s">
        <v>19</v>
      </c>
      <c r="C525">
        <v>21</v>
      </c>
      <c r="D525">
        <v>1</v>
      </c>
      <c r="E525">
        <v>0</v>
      </c>
      <c r="F525">
        <v>0</v>
      </c>
      <c r="G525">
        <v>23.1</v>
      </c>
      <c r="H525">
        <v>20</v>
      </c>
      <c r="I525">
        <v>6</v>
      </c>
      <c r="J525">
        <v>21</v>
      </c>
      <c r="K525">
        <v>6</v>
      </c>
      <c r="L525">
        <v>2</v>
      </c>
      <c r="M525">
        <v>2</v>
      </c>
      <c r="N525">
        <v>3</v>
      </c>
      <c r="O525">
        <v>1</v>
      </c>
      <c r="P525">
        <v>0</v>
      </c>
      <c r="Q525">
        <v>4</v>
      </c>
      <c r="R525">
        <v>2.31</v>
      </c>
      <c r="S525">
        <v>1.1100000000000001</v>
      </c>
      <c r="T525">
        <f t="shared" si="24"/>
        <v>23.1</v>
      </c>
      <c r="U525">
        <f t="shared" si="25"/>
        <v>0.25974025974025972</v>
      </c>
      <c r="V525">
        <f>U525-AVERAGEIFS(Pitchers[ER/IP],Pitchers[GS],"&gt;"&amp;0,Pitchers[IP],"&gt;"&amp;3)</f>
        <v>-0.31176033505905976</v>
      </c>
      <c r="W525">
        <f>IF(Pitchers[[#This Row],[IP/GS]]&lt;&gt;0,(Pitchers[[#This Row],[WHIP]]*$AH$5+$AI$5)/9*Pitchers[[#This Row],[IP/GS]],(Pitchers[[#This Row],[WHIP]]*$AH$5+$AI$5)/9*(Pitchers[[#This Row],[IP]]/Pitchers[[#This Row],[G]]))</f>
        <v>8.6781254031104709</v>
      </c>
      <c r="X525">
        <f>Pitchers[[#This Row],[Runs from WHIP]]-AVERAGEIFS(Pitchers[Runs from WHIP],Pitchers[GS],"&gt;"&amp;0,Pitchers[IP],"&gt;"&amp;3)</f>
        <v>2.9922094969856117</v>
      </c>
      <c r="Y525">
        <f>IF(Pitchers[[#This Row],[IP/GS]]&lt;&gt;0,Pitchers[[#This Row],[ER/IP From Average]]*Pitchers[[#This Row],[IP/GS]],Pitchers[[#This Row],[ER/IP From Average]]*(Pitchers[[#This Row],[IP]]/Pitchers[[#This Row],[G]]))</f>
        <v>-7.2016637398642809</v>
      </c>
      <c r="Z525">
        <f t="shared" si="26"/>
        <v>-2.0827429634162158</v>
      </c>
      <c r="AA525" s="32">
        <f>IF(Pitchers[[#This Row],[W]]=0,0,Pitchers[[#This Row],[W]]/(Pitchers[[#This Row],[W]]+Pitchers[[#This Row],[L]]))</f>
        <v>0.4</v>
      </c>
      <c r="AB525" s="60"/>
    </row>
    <row r="526" spans="1:28" x14ac:dyDescent="0.25">
      <c r="A526" t="s">
        <v>1509</v>
      </c>
      <c r="B526" t="s">
        <v>1</v>
      </c>
      <c r="C526">
        <v>23</v>
      </c>
      <c r="D526">
        <v>2</v>
      </c>
      <c r="E526">
        <v>0</v>
      </c>
      <c r="F526">
        <v>0</v>
      </c>
      <c r="G526">
        <v>23</v>
      </c>
      <c r="H526">
        <v>13</v>
      </c>
      <c r="I526">
        <v>6</v>
      </c>
      <c r="J526">
        <v>27</v>
      </c>
      <c r="K526">
        <v>11</v>
      </c>
      <c r="L526">
        <v>1</v>
      </c>
      <c r="M526">
        <v>1</v>
      </c>
      <c r="N526">
        <v>0</v>
      </c>
      <c r="O526">
        <v>0</v>
      </c>
      <c r="P526">
        <v>1</v>
      </c>
      <c r="Q526">
        <v>7</v>
      </c>
      <c r="R526">
        <v>2.35</v>
      </c>
      <c r="S526">
        <v>1.04</v>
      </c>
      <c r="T526">
        <f t="shared" si="24"/>
        <v>11.5</v>
      </c>
      <c r="U526">
        <f t="shared" si="25"/>
        <v>0.2608695652173913</v>
      </c>
      <c r="V526" s="60">
        <f>U526-AVERAGEIFS(Pitchers[ER/IP],Pitchers[GS],"&gt;"&amp;0,Pitchers[IP],"&gt;"&amp;3)</f>
        <v>-0.31063102958192818</v>
      </c>
      <c r="W526" s="60">
        <f>IF(Pitchers[[#This Row],[IP/GS]]&lt;&gt;0,(Pitchers[[#This Row],[WHIP]]*$AH$5+$AI$5)/9*Pitchers[[#This Row],[IP/GS]],(Pitchers[[#This Row],[WHIP]]*$AH$5+$AI$5)/9*(Pitchers[[#This Row],[IP]]/Pitchers[[#This Row],[G]]))</f>
        <v>3.9023431013546301</v>
      </c>
      <c r="X526" s="60">
        <f>Pitchers[[#This Row],[Runs from WHIP]]-AVERAGEIFS(Pitchers[Runs from WHIP],Pitchers[GS],"&gt;"&amp;0,Pitchers[IP],"&gt;"&amp;3)</f>
        <v>-1.7835728047702291</v>
      </c>
      <c r="Y526" s="60">
        <f>IF(Pitchers[[#This Row],[IP/GS]]&lt;&gt;0,Pitchers[[#This Row],[ER/IP From Average]]*Pitchers[[#This Row],[IP/GS]],Pitchers[[#This Row],[ER/IP From Average]]*(Pitchers[[#This Row],[IP]]/Pitchers[[#This Row],[G]]))</f>
        <v>-3.5722568401921739</v>
      </c>
      <c r="Z526" s="60">
        <f t="shared" si="26"/>
        <v>-1.9045221506822643</v>
      </c>
      <c r="AA526" s="32">
        <f>IF(Pitchers[[#This Row],[W]]=0,0,Pitchers[[#This Row],[W]]/(Pitchers[[#This Row],[W]]+Pitchers[[#This Row],[L]]))</f>
        <v>1</v>
      </c>
      <c r="AB526" s="60"/>
    </row>
    <row r="527" spans="1:28" x14ac:dyDescent="0.25">
      <c r="A527" t="s">
        <v>1481</v>
      </c>
      <c r="B527" t="s">
        <v>370</v>
      </c>
      <c r="C527">
        <v>22</v>
      </c>
      <c r="D527">
        <v>0</v>
      </c>
      <c r="E527">
        <v>0</v>
      </c>
      <c r="F527">
        <v>0</v>
      </c>
      <c r="G527">
        <v>23</v>
      </c>
      <c r="H527">
        <v>16</v>
      </c>
      <c r="I527">
        <v>10</v>
      </c>
      <c r="J527">
        <v>30</v>
      </c>
      <c r="K527">
        <v>11</v>
      </c>
      <c r="L527">
        <v>2</v>
      </c>
      <c r="M527">
        <v>1</v>
      </c>
      <c r="N527">
        <v>1</v>
      </c>
      <c r="O527">
        <v>1</v>
      </c>
      <c r="P527">
        <v>1</v>
      </c>
      <c r="Q527">
        <v>8</v>
      </c>
      <c r="R527">
        <v>3.91</v>
      </c>
      <c r="S527">
        <v>1.17</v>
      </c>
      <c r="T527">
        <f t="shared" si="24"/>
        <v>0</v>
      </c>
      <c r="U527">
        <f t="shared" si="25"/>
        <v>0.43478260869565216</v>
      </c>
      <c r="V527" s="60">
        <f>U527-AVERAGEIFS(Pitchers[ER/IP],Pitchers[GS],"&gt;"&amp;0,Pitchers[IP],"&gt;"&amp;3)</f>
        <v>-0.13671798610366731</v>
      </c>
      <c r="W527" s="60">
        <f>IF(Pitchers[[#This Row],[IP/GS]]&lt;&gt;0,(Pitchers[[#This Row],[WHIP]]*$AH$5+$AI$5)/9*Pitchers[[#This Row],[IP/GS]],(Pitchers[[#This Row],[WHIP]]*$AH$5+$AI$5)/9*(Pitchers[[#This Row],[IP]]/Pitchers[[#This Row],[G]]))</f>
        <v>0.42531904982136587</v>
      </c>
      <c r="X527" s="60">
        <f>Pitchers[[#This Row],[Runs from WHIP]]-AVERAGEIFS(Pitchers[Runs from WHIP],Pitchers[GS],"&gt;"&amp;0,Pitchers[IP],"&gt;"&amp;3)</f>
        <v>-5.2605968563034935</v>
      </c>
      <c r="Y527" s="60">
        <f>IF(Pitchers[[#This Row],[IP/GS]]&lt;&gt;0,Pitchers[[#This Row],[ER/IP From Average]]*Pitchers[[#This Row],[IP/GS]],Pitchers[[#This Row],[ER/IP From Average]]*(Pitchers[[#This Row],[IP]]/Pitchers[[#This Row],[G]]))</f>
        <v>-0.14293244001747035</v>
      </c>
      <c r="Z527" s="60">
        <f t="shared" si="26"/>
        <v>-1.4599988043545862</v>
      </c>
      <c r="AA527" s="32">
        <f>IF(Pitchers[[#This Row],[W]]=0,0,Pitchers[[#This Row],[W]]/(Pitchers[[#This Row],[W]]+Pitchers[[#This Row],[L]]))</f>
        <v>0.5</v>
      </c>
      <c r="AB527" s="60"/>
    </row>
    <row r="528" spans="1:28" x14ac:dyDescent="0.25">
      <c r="A528" t="s">
        <v>641</v>
      </c>
      <c r="B528" t="s">
        <v>7</v>
      </c>
      <c r="C528">
        <v>25</v>
      </c>
      <c r="D528">
        <v>0</v>
      </c>
      <c r="E528">
        <v>0</v>
      </c>
      <c r="F528">
        <v>0</v>
      </c>
      <c r="G528">
        <v>23</v>
      </c>
      <c r="H528">
        <v>24</v>
      </c>
      <c r="I528">
        <v>16</v>
      </c>
      <c r="J528">
        <v>29</v>
      </c>
      <c r="K528">
        <v>20</v>
      </c>
      <c r="L528">
        <v>9</v>
      </c>
      <c r="M528">
        <v>0</v>
      </c>
      <c r="N528">
        <v>2</v>
      </c>
      <c r="O528">
        <v>4</v>
      </c>
      <c r="P528">
        <v>0</v>
      </c>
      <c r="Q528">
        <v>0</v>
      </c>
      <c r="R528">
        <v>6.26</v>
      </c>
      <c r="S528">
        <v>1.91</v>
      </c>
      <c r="T528">
        <f t="shared" si="24"/>
        <v>0</v>
      </c>
      <c r="U528">
        <f t="shared" si="25"/>
        <v>0.69565217391304346</v>
      </c>
      <c r="V528">
        <f>U528-AVERAGEIFS(Pitchers[ER/IP],Pitchers[GS],"&gt;"&amp;0,Pitchers[IP],"&gt;"&amp;3)</f>
        <v>0.12415157911372399</v>
      </c>
      <c r="W528">
        <f>IF(Pitchers[[#This Row],[IP/GS]]&lt;&gt;0,(Pitchers[[#This Row],[WHIP]]*$AH$5+$AI$5)/9*Pitchers[[#This Row],[IP/GS]],(Pitchers[[#This Row],[WHIP]]*$AH$5+$AI$5)/9*(Pitchers[[#This Row],[IP]]/Pitchers[[#This Row],[G]]))</f>
        <v>0.72773502263879752</v>
      </c>
      <c r="X528">
        <f>Pitchers[[#This Row],[Runs from WHIP]]-AVERAGEIFS(Pitchers[Runs from WHIP],Pitchers[GS],"&gt;"&amp;0,Pitchers[IP],"&gt;"&amp;3)</f>
        <v>-4.9581808834860617</v>
      </c>
      <c r="Y528">
        <f>IF(Pitchers[[#This Row],[IP/GS]]&lt;&gt;0,Pitchers[[#This Row],[ER/IP From Average]]*Pitchers[[#This Row],[IP/GS]],Pitchers[[#This Row],[ER/IP From Average]]*(Pitchers[[#This Row],[IP]]/Pitchers[[#This Row],[G]]))</f>
        <v>0.11421945278462607</v>
      </c>
      <c r="Z528">
        <f t="shared" si="26"/>
        <v>-1.2764937878157661</v>
      </c>
      <c r="AA528" s="32">
        <f>IF(Pitchers[[#This Row],[W]]=0,0,Pitchers[[#This Row],[W]]/(Pitchers[[#This Row],[W]]+Pitchers[[#This Row],[L]]))</f>
        <v>0</v>
      </c>
      <c r="AB528" s="60"/>
    </row>
    <row r="529" spans="1:28" x14ac:dyDescent="0.25">
      <c r="A529" t="s">
        <v>577</v>
      </c>
      <c r="B529" t="s">
        <v>15</v>
      </c>
      <c r="C529">
        <v>25</v>
      </c>
      <c r="D529">
        <v>0</v>
      </c>
      <c r="E529">
        <v>0</v>
      </c>
      <c r="F529">
        <v>0</v>
      </c>
      <c r="G529">
        <v>23</v>
      </c>
      <c r="H529">
        <v>16</v>
      </c>
      <c r="I529">
        <v>10</v>
      </c>
      <c r="J529">
        <v>20</v>
      </c>
      <c r="K529">
        <v>8</v>
      </c>
      <c r="L529">
        <v>7</v>
      </c>
      <c r="M529">
        <v>2</v>
      </c>
      <c r="N529">
        <v>1</v>
      </c>
      <c r="O529">
        <v>0</v>
      </c>
      <c r="P529">
        <v>1</v>
      </c>
      <c r="Q529">
        <v>4</v>
      </c>
      <c r="R529">
        <v>3.91</v>
      </c>
      <c r="S529">
        <v>1.04</v>
      </c>
      <c r="T529">
        <f t="shared" si="24"/>
        <v>0</v>
      </c>
      <c r="U529">
        <f t="shared" si="25"/>
        <v>0.43478260869565216</v>
      </c>
      <c r="V529">
        <f>U529-AVERAGEIFS(Pitchers[ER/IP],Pitchers[GS],"&gt;"&amp;0,Pitchers[IP],"&gt;"&amp;3)</f>
        <v>-0.13671798610366731</v>
      </c>
      <c r="W529">
        <f>IF(Pitchers[[#This Row],[IP/GS]]&lt;&gt;0,(Pitchers[[#This Row],[WHIP]]*$AH$5+$AI$5)/9*Pitchers[[#This Row],[IP/GS]],(Pitchers[[#This Row],[WHIP]]*$AH$5+$AI$5)/9*(Pitchers[[#This Row],[IP]]/Pitchers[[#This Row],[G]]))</f>
        <v>0.3121874481083704</v>
      </c>
      <c r="X529">
        <f>Pitchers[[#This Row],[Runs from WHIP]]-AVERAGEIFS(Pitchers[Runs from WHIP],Pitchers[GS],"&gt;"&amp;0,Pitchers[IP],"&gt;"&amp;3)</f>
        <v>-5.3737284580164886</v>
      </c>
      <c r="Y529">
        <f>IF(Pitchers[[#This Row],[IP/GS]]&lt;&gt;0,Pitchers[[#This Row],[ER/IP From Average]]*Pitchers[[#This Row],[IP/GS]],Pitchers[[#This Row],[ER/IP From Average]]*(Pitchers[[#This Row],[IP]]/Pitchers[[#This Row],[G]]))</f>
        <v>-0.12578054721537393</v>
      </c>
      <c r="Z529">
        <f t="shared" si="26"/>
        <v>-1.4833064743572131</v>
      </c>
      <c r="AA529" s="32">
        <f>IF(Pitchers[[#This Row],[W]]=0,0,Pitchers[[#This Row],[W]]/(Pitchers[[#This Row],[W]]+Pitchers[[#This Row],[L]]))</f>
        <v>0.66666666666666663</v>
      </c>
      <c r="AB529" s="60"/>
    </row>
    <row r="530" spans="1:28" x14ac:dyDescent="0.25">
      <c r="A530" t="s">
        <v>1406</v>
      </c>
      <c r="B530" t="s">
        <v>27</v>
      </c>
      <c r="C530">
        <v>9</v>
      </c>
      <c r="D530">
        <v>4</v>
      </c>
      <c r="E530">
        <v>0</v>
      </c>
      <c r="F530">
        <v>0</v>
      </c>
      <c r="G530">
        <v>22.2</v>
      </c>
      <c r="H530">
        <v>33</v>
      </c>
      <c r="I530">
        <v>21</v>
      </c>
      <c r="J530">
        <v>16</v>
      </c>
      <c r="K530">
        <v>6</v>
      </c>
      <c r="L530">
        <v>6</v>
      </c>
      <c r="M530">
        <v>1</v>
      </c>
      <c r="N530">
        <v>1</v>
      </c>
      <c r="O530">
        <v>0</v>
      </c>
      <c r="P530">
        <v>0</v>
      </c>
      <c r="Q530">
        <v>0</v>
      </c>
      <c r="R530">
        <v>8.34</v>
      </c>
      <c r="S530">
        <v>1.72</v>
      </c>
      <c r="T530">
        <f t="shared" si="24"/>
        <v>5.55</v>
      </c>
      <c r="U530">
        <f t="shared" si="25"/>
        <v>0.94594594594594594</v>
      </c>
      <c r="V530" s="60">
        <f>U530-AVERAGEIFS(Pitchers[ER/IP],Pitchers[GS],"&gt;"&amp;0,Pitchers[IP],"&gt;"&amp;3)</f>
        <v>0.37444535114662647</v>
      </c>
      <c r="W530" s="60">
        <f>IF(Pitchers[[#This Row],[IP/GS]]&lt;&gt;0,(Pitchers[[#This Row],[WHIP]]*$AH$5+$AI$5)/9*Pitchers[[#This Row],[IP/GS]],(Pitchers[[#This Row],[WHIP]]*$AH$5+$AI$5)/9*(Pitchers[[#This Row],[IP]]/Pitchers[[#This Row],[G]]))</f>
        <v>3.8426707139793832</v>
      </c>
      <c r="X530" s="60">
        <f>Pitchers[[#This Row],[Runs from WHIP]]-AVERAGEIFS(Pitchers[Runs from WHIP],Pitchers[GS],"&gt;"&amp;0,Pitchers[IP],"&gt;"&amp;3)</f>
        <v>-1.843245192145476</v>
      </c>
      <c r="Y530" s="60">
        <f>IF(Pitchers[[#This Row],[IP/GS]]&lt;&gt;0,Pitchers[[#This Row],[ER/IP From Average]]*Pitchers[[#This Row],[IP/GS]],Pitchers[[#This Row],[ER/IP From Average]]*(Pitchers[[#This Row],[IP]]/Pitchers[[#This Row],[G]]))</f>
        <v>2.0781716988637768</v>
      </c>
      <c r="Z530" s="60">
        <f t="shared" si="26"/>
        <v>0.33973662830671714</v>
      </c>
      <c r="AA530" s="32">
        <f>IF(Pitchers[[#This Row],[W]]=0,0,Pitchers[[#This Row],[W]]/(Pitchers[[#This Row],[W]]+Pitchers[[#This Row],[L]]))</f>
        <v>0.5</v>
      </c>
      <c r="AB530" s="60"/>
    </row>
    <row r="531" spans="1:28" x14ac:dyDescent="0.25">
      <c r="A531" t="s">
        <v>645</v>
      </c>
      <c r="B531" t="s">
        <v>13</v>
      </c>
      <c r="C531">
        <v>27</v>
      </c>
      <c r="D531">
        <v>0</v>
      </c>
      <c r="E531">
        <v>0</v>
      </c>
      <c r="F531">
        <v>0</v>
      </c>
      <c r="G531">
        <v>22.2</v>
      </c>
      <c r="H531">
        <v>17</v>
      </c>
      <c r="I531">
        <v>8</v>
      </c>
      <c r="J531">
        <v>27</v>
      </c>
      <c r="K531">
        <v>4</v>
      </c>
      <c r="L531">
        <v>3</v>
      </c>
      <c r="M531">
        <v>0</v>
      </c>
      <c r="N531">
        <v>1</v>
      </c>
      <c r="O531">
        <v>3</v>
      </c>
      <c r="P531">
        <v>2</v>
      </c>
      <c r="Q531">
        <v>16</v>
      </c>
      <c r="R531">
        <v>3.18</v>
      </c>
      <c r="S531">
        <v>0.93</v>
      </c>
      <c r="T531">
        <f t="shared" si="24"/>
        <v>0</v>
      </c>
      <c r="U531">
        <f t="shared" si="25"/>
        <v>0.3603603603603604</v>
      </c>
      <c r="V531">
        <f>U531-AVERAGEIFS(Pitchers[ER/IP],Pitchers[GS],"&gt;"&amp;0,Pitchers[IP],"&gt;"&amp;3)</f>
        <v>-0.21114023443895907</v>
      </c>
      <c r="W531">
        <f>IF(Pitchers[[#This Row],[IP/GS]]&lt;&gt;0,(Pitchers[[#This Row],[WHIP]]*$AH$5+$AI$5)/9*Pitchers[[#This Row],[IP/GS]],(Pitchers[[#This Row],[WHIP]]*$AH$5+$AI$5)/9*(Pitchers[[#This Row],[IP]]/Pitchers[[#This Row],[G]]))</f>
        <v>0.23205162214086297</v>
      </c>
      <c r="X531">
        <f>Pitchers[[#This Row],[Runs from WHIP]]-AVERAGEIFS(Pitchers[Runs from WHIP],Pitchers[GS],"&gt;"&amp;0,Pitchers[IP],"&gt;"&amp;3)</f>
        <v>-5.4538642839839966</v>
      </c>
      <c r="Y531">
        <f>IF(Pitchers[[#This Row],[IP/GS]]&lt;&gt;0,Pitchers[[#This Row],[ER/IP From Average]]*Pitchers[[#This Row],[IP/GS]],Pitchers[[#This Row],[ER/IP From Average]]*(Pitchers[[#This Row],[IP]]/Pitchers[[#This Row],[G]]))</f>
        <v>-0.1736041927609219</v>
      </c>
      <c r="Z531">
        <f t="shared" si="26"/>
        <v>-1.5238054861667676</v>
      </c>
      <c r="AA531" s="32">
        <f>IF(Pitchers[[#This Row],[W]]=0,0,Pitchers[[#This Row],[W]]/(Pitchers[[#This Row],[W]]+Pitchers[[#This Row],[L]]))</f>
        <v>0</v>
      </c>
      <c r="AB531" s="60"/>
    </row>
    <row r="532" spans="1:28" x14ac:dyDescent="0.25">
      <c r="A532" t="s">
        <v>1195</v>
      </c>
      <c r="B532" t="s">
        <v>13</v>
      </c>
      <c r="C532">
        <v>23</v>
      </c>
      <c r="D532">
        <v>0</v>
      </c>
      <c r="E532">
        <v>0</v>
      </c>
      <c r="F532">
        <v>0</v>
      </c>
      <c r="G532">
        <v>22.2</v>
      </c>
      <c r="H532">
        <v>20</v>
      </c>
      <c r="I532">
        <v>8</v>
      </c>
      <c r="J532">
        <v>11</v>
      </c>
      <c r="K532">
        <v>2</v>
      </c>
      <c r="L532">
        <v>3</v>
      </c>
      <c r="M532">
        <v>0</v>
      </c>
      <c r="N532">
        <v>0</v>
      </c>
      <c r="O532">
        <v>1</v>
      </c>
      <c r="P532">
        <v>0</v>
      </c>
      <c r="Q532">
        <v>1</v>
      </c>
      <c r="R532">
        <v>3.18</v>
      </c>
      <c r="S532">
        <v>0.97</v>
      </c>
      <c r="T532">
        <f t="shared" si="24"/>
        <v>0</v>
      </c>
      <c r="U532">
        <f t="shared" si="25"/>
        <v>0.3603603603603604</v>
      </c>
      <c r="V532">
        <f>U532-AVERAGEIFS(Pitchers[ER/IP],Pitchers[GS],"&gt;"&amp;0,Pitchers[IP],"&gt;"&amp;3)</f>
        <v>-0.21114023443895907</v>
      </c>
      <c r="W532">
        <f>IF(Pitchers[[#This Row],[IP/GS]]&lt;&gt;0,(Pitchers[[#This Row],[WHIP]]*$AH$5+$AI$5)/9*Pitchers[[#This Row],[IP/GS]],(Pitchers[[#This Row],[WHIP]]*$AH$5+$AI$5)/9*(Pitchers[[#This Row],[IP]]/Pitchers[[#This Row],[G]]))</f>
        <v>0.29245309095152316</v>
      </c>
      <c r="X532">
        <f>Pitchers[[#This Row],[Runs from WHIP]]-AVERAGEIFS(Pitchers[Runs from WHIP],Pitchers[GS],"&gt;"&amp;0,Pitchers[IP],"&gt;"&amp;3)</f>
        <v>-5.3934628151733364</v>
      </c>
      <c r="Y532">
        <f>IF(Pitchers[[#This Row],[IP/GS]]&lt;&gt;0,Pitchers[[#This Row],[ER/IP From Average]]*Pitchers[[#This Row],[IP/GS]],Pitchers[[#This Row],[ER/IP From Average]]*(Pitchers[[#This Row],[IP]]/Pitchers[[#This Row],[G]]))</f>
        <v>-0.20379622628456048</v>
      </c>
      <c r="Z532">
        <f t="shared" si="26"/>
        <v>-1.5197752412267136</v>
      </c>
      <c r="AA532" s="32">
        <f>IF(Pitchers[[#This Row],[W]]=0,0,Pitchers[[#This Row],[W]]/(Pitchers[[#This Row],[W]]+Pitchers[[#This Row],[L]]))</f>
        <v>0</v>
      </c>
      <c r="AB532" s="60"/>
    </row>
    <row r="533" spans="1:28" x14ac:dyDescent="0.25">
      <c r="A533" t="s">
        <v>4394</v>
      </c>
      <c r="B533" t="s">
        <v>18</v>
      </c>
      <c r="C533">
        <v>5</v>
      </c>
      <c r="D533">
        <v>3</v>
      </c>
      <c r="E533">
        <v>0</v>
      </c>
      <c r="F533">
        <v>0</v>
      </c>
      <c r="G533">
        <v>22.2</v>
      </c>
      <c r="H533">
        <v>22</v>
      </c>
      <c r="I533">
        <v>12</v>
      </c>
      <c r="J533">
        <v>20</v>
      </c>
      <c r="K533">
        <v>11</v>
      </c>
      <c r="L533">
        <v>2</v>
      </c>
      <c r="M533">
        <v>1</v>
      </c>
      <c r="N533">
        <v>2</v>
      </c>
      <c r="O533">
        <v>0</v>
      </c>
      <c r="P533">
        <v>0</v>
      </c>
      <c r="Q533">
        <v>0</v>
      </c>
      <c r="R533">
        <v>4.76</v>
      </c>
      <c r="S533">
        <v>1.46</v>
      </c>
      <c r="T533">
        <f t="shared" si="24"/>
        <v>7.3999999999999995</v>
      </c>
      <c r="U533">
        <f t="shared" si="25"/>
        <v>0.54054054054054057</v>
      </c>
      <c r="V533" s="60">
        <f>U533-AVERAGEIFS(Pitchers[ER/IP],Pitchers[GS],"&gt;"&amp;0,Pitchers[IP],"&gt;"&amp;3)</f>
        <v>-3.0960054258778902E-2</v>
      </c>
      <c r="W533">
        <f>IF(Pitchers[[#This Row],[IP/GS]]&lt;&gt;0,(Pitchers[[#This Row],[WHIP]]*$AH$5+$AI$5)/9*Pitchers[[#This Row],[IP/GS]],(Pitchers[[#This Row],[WHIP]]*$AH$5+$AI$5)/9*(Pitchers[[#This Row],[IP]]/Pitchers[[#This Row],[G]]))</f>
        <v>4.1246684814620895</v>
      </c>
      <c r="X533" s="60">
        <f>Pitchers[[#This Row],[Runs from WHIP]]-AVERAGEIFS(Pitchers[Runs from WHIP],Pitchers[GS],"&gt;"&amp;0,Pitchers[IP],"&gt;"&amp;3)</f>
        <v>-1.5612474246627697</v>
      </c>
      <c r="Y533">
        <f>IF(Pitchers[[#This Row],[IP/GS]]&lt;&gt;0,Pitchers[[#This Row],[ER/IP From Average]]*Pitchers[[#This Row],[IP/GS]],Pitchers[[#This Row],[ER/IP From Average]]*(Pitchers[[#This Row],[IP]]/Pitchers[[#This Row],[G]]))</f>
        <v>-0.22910440151496386</v>
      </c>
      <c r="Z533" s="60">
        <f t="shared" si="26"/>
        <v>-0.50797440718272413</v>
      </c>
      <c r="AA533" s="32">
        <f>IF(Pitchers[[#This Row],[W]]=0,0,Pitchers[[#This Row],[W]]/(Pitchers[[#This Row],[W]]+Pitchers[[#This Row],[L]]))</f>
        <v>0.33333333333333331</v>
      </c>
      <c r="AB533" s="60"/>
    </row>
    <row r="534" spans="1:28" x14ac:dyDescent="0.25">
      <c r="A534" t="s">
        <v>923</v>
      </c>
      <c r="B534" t="s">
        <v>1</v>
      </c>
      <c r="C534">
        <v>22</v>
      </c>
      <c r="D534">
        <v>0</v>
      </c>
      <c r="E534">
        <v>0</v>
      </c>
      <c r="F534">
        <v>0</v>
      </c>
      <c r="G534">
        <v>22.1</v>
      </c>
      <c r="H534">
        <v>21</v>
      </c>
      <c r="I534">
        <v>9</v>
      </c>
      <c r="J534">
        <v>28</v>
      </c>
      <c r="K534">
        <v>5</v>
      </c>
      <c r="L534">
        <v>3</v>
      </c>
      <c r="M534">
        <v>3</v>
      </c>
      <c r="N534">
        <v>2</v>
      </c>
      <c r="O534">
        <v>5</v>
      </c>
      <c r="P534">
        <v>2</v>
      </c>
      <c r="Q534">
        <v>1</v>
      </c>
      <c r="R534">
        <v>3.63</v>
      </c>
      <c r="S534">
        <v>1.1599999999999999</v>
      </c>
      <c r="T534">
        <f t="shared" si="24"/>
        <v>0</v>
      </c>
      <c r="U534">
        <f t="shared" si="25"/>
        <v>0.40723981900452488</v>
      </c>
      <c r="V534">
        <f>U534-AVERAGEIFS(Pitchers[ER/IP],Pitchers[GS],"&gt;"&amp;0,Pitchers[IP],"&gt;"&amp;3)</f>
        <v>-0.16426077579479459</v>
      </c>
      <c r="W534">
        <f>IF(Pitchers[[#This Row],[IP/GS]]&lt;&gt;0,(Pitchers[[#This Row],[WHIP]]*$AH$5+$AI$5)/9*Pitchers[[#This Row],[IP/GS]],(Pitchers[[#This Row],[WHIP]]*$AH$5+$AI$5)/9*(Pitchers[[#This Row],[IP]]/Pitchers[[#This Row],[G]]))</f>
        <v>0.40346078281508851</v>
      </c>
      <c r="X534">
        <f>Pitchers[[#This Row],[Runs from WHIP]]-AVERAGEIFS(Pitchers[Runs from WHIP],Pitchers[GS],"&gt;"&amp;0,Pitchers[IP],"&gt;"&amp;3)</f>
        <v>-5.282455123309771</v>
      </c>
      <c r="Y534">
        <f>IF(Pitchers[[#This Row],[IP/GS]]&lt;&gt;0,Pitchers[[#This Row],[ER/IP From Average]]*Pitchers[[#This Row],[IP/GS]],Pitchers[[#This Row],[ER/IP From Average]]*(Pitchers[[#This Row],[IP]]/Pitchers[[#This Row],[G]]))</f>
        <v>-0.16500741568477095</v>
      </c>
      <c r="Z534">
        <f t="shared" si="26"/>
        <v>-1.4746576658231809</v>
      </c>
      <c r="AA534" s="32">
        <f>IF(Pitchers[[#This Row],[W]]=0,0,Pitchers[[#This Row],[W]]/(Pitchers[[#This Row],[W]]+Pitchers[[#This Row],[L]]))</f>
        <v>0.6</v>
      </c>
      <c r="AB534" s="60"/>
    </row>
    <row r="535" spans="1:28" x14ac:dyDescent="0.25">
      <c r="A535" t="s">
        <v>614</v>
      </c>
      <c r="B535" t="s">
        <v>1</v>
      </c>
      <c r="C535">
        <v>23</v>
      </c>
      <c r="D535">
        <v>8</v>
      </c>
      <c r="E535">
        <v>0</v>
      </c>
      <c r="F535">
        <v>0</v>
      </c>
      <c r="G535">
        <v>22.1</v>
      </c>
      <c r="H535">
        <v>22</v>
      </c>
      <c r="I535">
        <v>15</v>
      </c>
      <c r="J535">
        <v>29</v>
      </c>
      <c r="K535">
        <v>6</v>
      </c>
      <c r="L535">
        <v>5</v>
      </c>
      <c r="M535">
        <v>1</v>
      </c>
      <c r="N535">
        <v>2</v>
      </c>
      <c r="O535">
        <v>0</v>
      </c>
      <c r="P535">
        <v>1</v>
      </c>
      <c r="Q535">
        <v>4</v>
      </c>
      <c r="R535">
        <v>6.04</v>
      </c>
      <c r="S535">
        <v>1.25</v>
      </c>
      <c r="T535">
        <f t="shared" si="24"/>
        <v>2.7625000000000002</v>
      </c>
      <c r="U535">
        <f t="shared" si="25"/>
        <v>0.67873303167420806</v>
      </c>
      <c r="V535">
        <f>U535-AVERAGEIFS(Pitchers[ER/IP],Pitchers[GS],"&gt;"&amp;0,Pitchers[IP],"&gt;"&amp;3)</f>
        <v>0.10723243687488859</v>
      </c>
      <c r="W535">
        <f>IF(Pitchers[[#This Row],[IP/GS]]&lt;&gt;0,(Pitchers[[#This Row],[WHIP]]*$AH$5+$AI$5)/9*Pitchers[[#This Row],[IP/GS]],(Pitchers[[#This Row],[WHIP]]*$AH$5+$AI$5)/9*(Pitchers[[#This Row],[IP]]/Pitchers[[#This Row],[G]]))</f>
        <v>1.2385970074611679</v>
      </c>
      <c r="X535">
        <f>Pitchers[[#This Row],[Runs from WHIP]]-AVERAGEIFS(Pitchers[Runs from WHIP],Pitchers[GS],"&gt;"&amp;0,Pitchers[IP],"&gt;"&amp;3)</f>
        <v>-4.4473188986636911</v>
      </c>
      <c r="Y535">
        <f>IF(Pitchers[[#This Row],[IP/GS]]&lt;&gt;0,Pitchers[[#This Row],[ER/IP From Average]]*Pitchers[[#This Row],[IP/GS]],Pitchers[[#This Row],[ER/IP From Average]]*(Pitchers[[#This Row],[IP]]/Pitchers[[#This Row],[G]]))</f>
        <v>0.29622960686687977</v>
      </c>
      <c r="Z535">
        <f t="shared" si="26"/>
        <v>-1.0674598635635653</v>
      </c>
      <c r="AA535" s="32">
        <f>IF(Pitchers[[#This Row],[W]]=0,0,Pitchers[[#This Row],[W]]/(Pitchers[[#This Row],[W]]+Pitchers[[#This Row],[L]]))</f>
        <v>0.33333333333333331</v>
      </c>
      <c r="AB535" s="60"/>
    </row>
    <row r="536" spans="1:28" x14ac:dyDescent="0.25">
      <c r="A536" t="s">
        <v>648</v>
      </c>
      <c r="B536" t="s">
        <v>1</v>
      </c>
      <c r="C536">
        <v>20</v>
      </c>
      <c r="D536">
        <v>0</v>
      </c>
      <c r="E536">
        <v>0</v>
      </c>
      <c r="F536">
        <v>0</v>
      </c>
      <c r="G536">
        <v>22.1</v>
      </c>
      <c r="H536">
        <v>20</v>
      </c>
      <c r="I536">
        <v>14</v>
      </c>
      <c r="J536">
        <v>21</v>
      </c>
      <c r="K536">
        <v>12</v>
      </c>
      <c r="L536">
        <v>5</v>
      </c>
      <c r="M536">
        <v>0</v>
      </c>
      <c r="N536">
        <v>2</v>
      </c>
      <c r="O536">
        <v>0</v>
      </c>
      <c r="P536">
        <v>2</v>
      </c>
      <c r="Q536">
        <v>3</v>
      </c>
      <c r="R536">
        <v>5.64</v>
      </c>
      <c r="S536">
        <v>1.43</v>
      </c>
      <c r="T536">
        <f t="shared" si="24"/>
        <v>0</v>
      </c>
      <c r="U536">
        <f t="shared" si="25"/>
        <v>0.63348416289592757</v>
      </c>
      <c r="V536" s="60">
        <f>U536-AVERAGEIFS(Pitchers[ER/IP],Pitchers[GS],"&gt;"&amp;0,Pitchers[IP],"&gt;"&amp;3)</f>
        <v>6.1983568096608099E-2</v>
      </c>
      <c r="W536" s="60">
        <f>IF(Pitchers[[#This Row],[IP/GS]]&lt;&gt;0,(Pitchers[[#This Row],[WHIP]]*$AH$5+$AI$5)/9*Pitchers[[#This Row],[IP/GS]],(Pitchers[[#This Row],[WHIP]]*$AH$5+$AI$5)/9*(Pitchers[[#This Row],[IP]]/Pitchers[[#This Row],[G]]))</f>
        <v>0.59870268676020666</v>
      </c>
      <c r="X536" s="60">
        <f>Pitchers[[#This Row],[Runs from WHIP]]-AVERAGEIFS(Pitchers[Runs from WHIP],Pitchers[GS],"&gt;"&amp;0,Pitchers[IP],"&gt;"&amp;3)</f>
        <v>-5.0872132193646529</v>
      </c>
      <c r="Y536" s="60">
        <f>IF(Pitchers[[#This Row],[IP/GS]]&lt;&gt;0,Pitchers[[#This Row],[ER/IP From Average]]*Pitchers[[#This Row],[IP/GS]],Pitchers[[#This Row],[ER/IP From Average]]*(Pitchers[[#This Row],[IP]]/Pitchers[[#This Row],[G]]))</f>
        <v>6.8491842746751949E-2</v>
      </c>
      <c r="Z536" s="60">
        <f t="shared" si="26"/>
        <v>-1.3291934547318733</v>
      </c>
      <c r="AA536" s="32">
        <f>IF(Pitchers[[#This Row],[W]]=0,0,Pitchers[[#This Row],[W]]/(Pitchers[[#This Row],[W]]+Pitchers[[#This Row],[L]]))</f>
        <v>0</v>
      </c>
      <c r="AB536" s="60"/>
    </row>
    <row r="537" spans="1:28" x14ac:dyDescent="0.25">
      <c r="A537" t="s">
        <v>1394</v>
      </c>
      <c r="B537" t="s">
        <v>17</v>
      </c>
      <c r="C537">
        <v>5</v>
      </c>
      <c r="D537">
        <v>5</v>
      </c>
      <c r="E537">
        <v>0</v>
      </c>
      <c r="F537">
        <v>0</v>
      </c>
      <c r="G537">
        <v>22.1</v>
      </c>
      <c r="H537">
        <v>30</v>
      </c>
      <c r="I537">
        <v>15</v>
      </c>
      <c r="J537">
        <v>18</v>
      </c>
      <c r="K537">
        <v>7</v>
      </c>
      <c r="L537">
        <v>4</v>
      </c>
      <c r="M537">
        <v>0</v>
      </c>
      <c r="N537">
        <v>3</v>
      </c>
      <c r="O537">
        <v>0</v>
      </c>
      <c r="P537">
        <v>0</v>
      </c>
      <c r="Q537">
        <v>0</v>
      </c>
      <c r="R537">
        <v>6.04</v>
      </c>
      <c r="S537">
        <v>1.66</v>
      </c>
      <c r="T537">
        <f t="shared" si="24"/>
        <v>4.42</v>
      </c>
      <c r="U537">
        <f t="shared" si="25"/>
        <v>0.67873303167420806</v>
      </c>
      <c r="V537" s="60">
        <f>U537-AVERAGEIFS(Pitchers[ER/IP],Pitchers[GS],"&gt;"&amp;0,Pitchers[IP],"&gt;"&amp;3)</f>
        <v>0.10723243687488859</v>
      </c>
      <c r="W537" s="60">
        <f>IF(Pitchers[[#This Row],[IP/GS]]&lt;&gt;0,(Pitchers[[#This Row],[WHIP]]*$AH$5+$AI$5)/9*Pitchers[[#This Row],[IP/GS]],(Pitchers[[#This Row],[WHIP]]*$AH$5+$AI$5)/9*(Pitchers[[#This Row],[IP]]/Pitchers[[#This Row],[G]]))</f>
        <v>2.9226039307834957</v>
      </c>
      <c r="X537" s="60">
        <f>Pitchers[[#This Row],[Runs from WHIP]]-AVERAGEIFS(Pitchers[Runs from WHIP],Pitchers[GS],"&gt;"&amp;0,Pitchers[IP],"&gt;"&amp;3)</f>
        <v>-2.7633119753413635</v>
      </c>
      <c r="Y537" s="60">
        <f>IF(Pitchers[[#This Row],[IP/GS]]&lt;&gt;0,Pitchers[[#This Row],[ER/IP From Average]]*Pitchers[[#This Row],[IP/GS]],Pitchers[[#This Row],[ER/IP From Average]]*(Pitchers[[#This Row],[IP]]/Pitchers[[#This Row],[G]]))</f>
        <v>0.47396737098700759</v>
      </c>
      <c r="Z537" s="60">
        <f t="shared" si="26"/>
        <v>-0.54729624502956065</v>
      </c>
      <c r="AA537" s="32">
        <f>IF(Pitchers[[#This Row],[W]]=0,0,Pitchers[[#This Row],[W]]/(Pitchers[[#This Row],[W]]+Pitchers[[#This Row],[L]]))</f>
        <v>0</v>
      </c>
      <c r="AB537" s="60"/>
    </row>
    <row r="538" spans="1:28" x14ac:dyDescent="0.25">
      <c r="A538" t="s">
        <v>483</v>
      </c>
      <c r="B538" t="s">
        <v>332</v>
      </c>
      <c r="C538">
        <v>12</v>
      </c>
      <c r="D538">
        <v>3</v>
      </c>
      <c r="E538">
        <v>0</v>
      </c>
      <c r="F538">
        <v>0</v>
      </c>
      <c r="G538">
        <v>22.1</v>
      </c>
      <c r="H538">
        <v>28</v>
      </c>
      <c r="I538">
        <v>20</v>
      </c>
      <c r="J538">
        <v>15</v>
      </c>
      <c r="K538">
        <v>12</v>
      </c>
      <c r="L538">
        <v>6</v>
      </c>
      <c r="M538">
        <v>0</v>
      </c>
      <c r="N538">
        <v>2</v>
      </c>
      <c r="O538">
        <v>0</v>
      </c>
      <c r="P538">
        <v>0</v>
      </c>
      <c r="Q538">
        <v>1</v>
      </c>
      <c r="R538">
        <v>8.06</v>
      </c>
      <c r="S538">
        <v>1.79</v>
      </c>
      <c r="T538">
        <f t="shared" si="24"/>
        <v>7.3666666666666671</v>
      </c>
      <c r="U538">
        <f t="shared" si="25"/>
        <v>0.90497737556561075</v>
      </c>
      <c r="V538" s="60">
        <f>U538-AVERAGEIFS(Pitchers[ER/IP],Pitchers[GS],"&gt;"&amp;0,Pitchers[IP],"&gt;"&amp;3)</f>
        <v>0.33347678076629128</v>
      </c>
      <c r="W538" s="60">
        <f>IF(Pitchers[[#This Row],[IP/GS]]&lt;&gt;0,(Pitchers[[#This Row],[WHIP]]*$AH$5+$AI$5)/9*Pitchers[[#This Row],[IP/GS]],(Pitchers[[#This Row],[WHIP]]*$AH$5+$AI$5)/9*(Pitchers[[#This Row],[IP]]/Pitchers[[#This Row],[G]]))</f>
        <v>5.3682030287445732</v>
      </c>
      <c r="X538" s="60">
        <f>Pitchers[[#This Row],[Runs from WHIP]]-AVERAGEIFS(Pitchers[Runs from WHIP],Pitchers[GS],"&gt;"&amp;0,Pitchers[IP],"&gt;"&amp;3)</f>
        <v>-0.31771287738028597</v>
      </c>
      <c r="Y538" s="60">
        <f>IF(Pitchers[[#This Row],[IP/GS]]&lt;&gt;0,Pitchers[[#This Row],[ER/IP From Average]]*Pitchers[[#This Row],[IP/GS]],Pitchers[[#This Row],[ER/IP From Average]]*(Pitchers[[#This Row],[IP]]/Pitchers[[#This Row],[G]]))</f>
        <v>2.4566122849783461</v>
      </c>
      <c r="Z538" s="60">
        <f t="shared" si="26"/>
        <v>0.89792148002326211</v>
      </c>
      <c r="AA538" s="32">
        <f>IF(Pitchers[[#This Row],[W]]=0,0,Pitchers[[#This Row],[W]]/(Pitchers[[#This Row],[W]]+Pitchers[[#This Row],[L]]))</f>
        <v>0</v>
      </c>
      <c r="AB538" s="60"/>
    </row>
    <row r="539" spans="1:28" x14ac:dyDescent="0.25">
      <c r="A539" t="s">
        <v>528</v>
      </c>
      <c r="B539" t="s">
        <v>19</v>
      </c>
      <c r="C539">
        <v>13</v>
      </c>
      <c r="D539">
        <v>1</v>
      </c>
      <c r="E539">
        <v>0</v>
      </c>
      <c r="F539">
        <v>0</v>
      </c>
      <c r="G539">
        <v>22.1</v>
      </c>
      <c r="H539">
        <v>26</v>
      </c>
      <c r="I539">
        <v>18</v>
      </c>
      <c r="J539">
        <v>17</v>
      </c>
      <c r="K539">
        <v>18</v>
      </c>
      <c r="L539">
        <v>4</v>
      </c>
      <c r="M539">
        <v>2</v>
      </c>
      <c r="N539">
        <v>1</v>
      </c>
      <c r="O539">
        <v>0</v>
      </c>
      <c r="P539">
        <v>1</v>
      </c>
      <c r="Q539">
        <v>0</v>
      </c>
      <c r="R539">
        <v>7.25</v>
      </c>
      <c r="S539">
        <v>1.97</v>
      </c>
      <c r="T539">
        <f t="shared" si="24"/>
        <v>22.1</v>
      </c>
      <c r="U539">
        <f t="shared" si="25"/>
        <v>0.81447963800904977</v>
      </c>
      <c r="V539">
        <f>U539-AVERAGEIFS(Pitchers[ER/IP],Pitchers[GS],"&gt;"&amp;0,Pitchers[IP],"&gt;"&amp;3)</f>
        <v>0.24297904320973029</v>
      </c>
      <c r="W539">
        <f>IF(Pitchers[[#This Row],[IP/GS]]&lt;&gt;0,(Pitchers[[#This Row],[WHIP]]*$AH$5+$AI$5)/9*Pitchers[[#This Row],[IP/GS]],(Pitchers[[#This Row],[WHIP]]*$AH$5+$AI$5)/9*(Pitchers[[#This Row],[IP]]/Pitchers[[#This Row],[G]]))</f>
        <v>18.169886761748511</v>
      </c>
      <c r="X539">
        <f>Pitchers[[#This Row],[Runs from WHIP]]-AVERAGEIFS(Pitchers[Runs from WHIP],Pitchers[GS],"&gt;"&amp;0,Pitchers[IP],"&gt;"&amp;3)</f>
        <v>12.483970855623653</v>
      </c>
      <c r="Y539">
        <f>IF(Pitchers[[#This Row],[IP/GS]]&lt;&gt;0,Pitchers[[#This Row],[ER/IP From Average]]*Pitchers[[#This Row],[IP/GS]],Pitchers[[#This Row],[ER/IP From Average]]*(Pitchers[[#This Row],[IP]]/Pitchers[[#This Row],[G]]))</f>
        <v>5.3698368549350395</v>
      </c>
      <c r="Z539">
        <f t="shared" si="26"/>
        <v>5.4769936368069887</v>
      </c>
      <c r="AA539" s="32">
        <f>IF(Pitchers[[#This Row],[W]]=0,0,Pitchers[[#This Row],[W]]/(Pitchers[[#This Row],[W]]+Pitchers[[#This Row],[L]]))</f>
        <v>0.66666666666666663</v>
      </c>
      <c r="AB539" s="60"/>
    </row>
    <row r="540" spans="1:28" x14ac:dyDescent="0.25">
      <c r="A540" t="s">
        <v>277</v>
      </c>
      <c r="B540" t="s">
        <v>12</v>
      </c>
      <c r="C540">
        <v>15</v>
      </c>
      <c r="D540">
        <v>1</v>
      </c>
      <c r="E540">
        <v>0</v>
      </c>
      <c r="F540">
        <v>0</v>
      </c>
      <c r="G540">
        <v>22.1</v>
      </c>
      <c r="H540">
        <v>21</v>
      </c>
      <c r="I540">
        <v>10</v>
      </c>
      <c r="J540">
        <v>29</v>
      </c>
      <c r="K540">
        <v>5</v>
      </c>
      <c r="L540">
        <v>3</v>
      </c>
      <c r="M540">
        <v>0</v>
      </c>
      <c r="N540">
        <v>2</v>
      </c>
      <c r="O540">
        <v>0</v>
      </c>
      <c r="P540">
        <v>0</v>
      </c>
      <c r="Q540">
        <v>2</v>
      </c>
      <c r="R540">
        <v>4.03</v>
      </c>
      <c r="S540">
        <v>1.1599999999999999</v>
      </c>
      <c r="T540">
        <f t="shared" si="24"/>
        <v>22.1</v>
      </c>
      <c r="U540">
        <f t="shared" si="25"/>
        <v>0.45248868778280538</v>
      </c>
      <c r="V540">
        <f>U540-AVERAGEIFS(Pitchers[ER/IP],Pitchers[GS],"&gt;"&amp;0,Pitchers[IP],"&gt;"&amp;3)</f>
        <v>-0.1190119070165141</v>
      </c>
      <c r="W540">
        <f>IF(Pitchers[[#This Row],[IP/GS]]&lt;&gt;0,(Pitchers[[#This Row],[WHIP]]*$AH$5+$AI$5)/9*Pitchers[[#This Row],[IP/GS]],(Pitchers[[#This Row],[WHIP]]*$AH$5+$AI$5)/9*(Pitchers[[#This Row],[IP]]/Pitchers[[#This Row],[G]]))</f>
        <v>8.8761372219319465</v>
      </c>
      <c r="X540">
        <f>Pitchers[[#This Row],[Runs from WHIP]]-AVERAGEIFS(Pitchers[Runs from WHIP],Pitchers[GS],"&gt;"&amp;0,Pitchers[IP],"&gt;"&amp;3)</f>
        <v>3.1902213158070873</v>
      </c>
      <c r="Y540">
        <f>IF(Pitchers[[#This Row],[IP/GS]]&lt;&gt;0,Pitchers[[#This Row],[ER/IP From Average]]*Pitchers[[#This Row],[IP/GS]],Pitchers[[#This Row],[ER/IP From Average]]*(Pitchers[[#This Row],[IP]]/Pitchers[[#This Row],[G]]))</f>
        <v>-2.6301631450649618</v>
      </c>
      <c r="Z540">
        <f t="shared" si="26"/>
        <v>-0.20133957381076142</v>
      </c>
      <c r="AA540" s="32">
        <f>IF(Pitchers[[#This Row],[W]]=0,0,Pitchers[[#This Row],[W]]/(Pitchers[[#This Row],[W]]+Pitchers[[#This Row],[L]]))</f>
        <v>0</v>
      </c>
      <c r="AB540" s="60"/>
    </row>
    <row r="541" spans="1:28" x14ac:dyDescent="0.25">
      <c r="A541" t="s">
        <v>1198</v>
      </c>
      <c r="B541" t="s">
        <v>27</v>
      </c>
      <c r="C541">
        <v>24</v>
      </c>
      <c r="D541">
        <v>0</v>
      </c>
      <c r="E541">
        <v>0</v>
      </c>
      <c r="F541">
        <v>0</v>
      </c>
      <c r="G541">
        <v>22</v>
      </c>
      <c r="H541">
        <v>21</v>
      </c>
      <c r="I541">
        <v>17</v>
      </c>
      <c r="J541">
        <v>20</v>
      </c>
      <c r="K541">
        <v>17</v>
      </c>
      <c r="L541">
        <v>6</v>
      </c>
      <c r="M541">
        <v>0</v>
      </c>
      <c r="N541">
        <v>3</v>
      </c>
      <c r="O541">
        <v>0</v>
      </c>
      <c r="P541">
        <v>3</v>
      </c>
      <c r="Q541">
        <v>1</v>
      </c>
      <c r="R541">
        <v>6.95</v>
      </c>
      <c r="S541">
        <v>1.73</v>
      </c>
      <c r="T541">
        <f t="shared" si="24"/>
        <v>0</v>
      </c>
      <c r="U541">
        <f t="shared" si="25"/>
        <v>0.77272727272727271</v>
      </c>
      <c r="V541">
        <f>U541-AVERAGEIFS(Pitchers[ER/IP],Pitchers[GS],"&gt;"&amp;0,Pitchers[IP],"&gt;"&amp;3)</f>
        <v>0.20122667792795323</v>
      </c>
      <c r="W541">
        <f>IF(Pitchers[[#This Row],[IP/GS]]&lt;&gt;0,(Pitchers[[#This Row],[WHIP]]*$AH$5+$AI$5)/9*Pitchers[[#This Row],[IP/GS]],(Pitchers[[#This Row],[WHIP]]*$AH$5+$AI$5)/9*(Pitchers[[#This Row],[IP]]/Pitchers[[#This Row],[G]]))</f>
        <v>0.63943444622303913</v>
      </c>
      <c r="X541">
        <f>Pitchers[[#This Row],[Runs from WHIP]]-AVERAGEIFS(Pitchers[Runs from WHIP],Pitchers[GS],"&gt;"&amp;0,Pitchers[IP],"&gt;"&amp;3)</f>
        <v>-5.0464814599018197</v>
      </c>
      <c r="Y541">
        <f>IF(Pitchers[[#This Row],[IP/GS]]&lt;&gt;0,Pitchers[[#This Row],[ER/IP From Average]]*Pitchers[[#This Row],[IP/GS]],Pitchers[[#This Row],[ER/IP From Average]]*(Pitchers[[#This Row],[IP]]/Pitchers[[#This Row],[G]]))</f>
        <v>0.1844577881006238</v>
      </c>
      <c r="Z541">
        <f t="shared" si="26"/>
        <v>-1.2719452740669028</v>
      </c>
      <c r="AA541" s="32">
        <f>IF(Pitchers[[#This Row],[W]]=0,0,Pitchers[[#This Row],[W]]/(Pitchers[[#This Row],[W]]+Pitchers[[#This Row],[L]]))</f>
        <v>0</v>
      </c>
      <c r="AB541" s="60"/>
    </row>
    <row r="542" spans="1:28" x14ac:dyDescent="0.25">
      <c r="A542" t="s">
        <v>1395</v>
      </c>
      <c r="B542" t="s">
        <v>6</v>
      </c>
      <c r="C542">
        <v>10</v>
      </c>
      <c r="D542">
        <v>3</v>
      </c>
      <c r="E542">
        <v>0</v>
      </c>
      <c r="F542">
        <v>0</v>
      </c>
      <c r="G542">
        <v>22</v>
      </c>
      <c r="H542">
        <v>25</v>
      </c>
      <c r="I542">
        <v>17</v>
      </c>
      <c r="J542">
        <v>26</v>
      </c>
      <c r="K542">
        <v>17</v>
      </c>
      <c r="L542">
        <v>4</v>
      </c>
      <c r="M542">
        <v>0</v>
      </c>
      <c r="N542">
        <v>2</v>
      </c>
      <c r="O542">
        <v>0</v>
      </c>
      <c r="P542">
        <v>0</v>
      </c>
      <c r="Q542">
        <v>0</v>
      </c>
      <c r="R542">
        <v>6.95</v>
      </c>
      <c r="S542">
        <v>1.91</v>
      </c>
      <c r="T542">
        <f t="shared" si="24"/>
        <v>7.333333333333333</v>
      </c>
      <c r="U542">
        <f t="shared" si="25"/>
        <v>0.77272727272727271</v>
      </c>
      <c r="V542">
        <f>U542-AVERAGEIFS(Pitchers[ER/IP],Pitchers[GS],"&gt;"&amp;0,Pitchers[IP],"&gt;"&amp;3)</f>
        <v>0.20122667792795323</v>
      </c>
      <c r="W542">
        <f>IF(Pitchers[[#This Row],[IP/GS]]&lt;&gt;0,(Pitchers[[#This Row],[WHIP]]*$AH$5+$AI$5)/9*Pitchers[[#This Row],[IP/GS]],(Pitchers[[#This Row],[WHIP]]*$AH$5+$AI$5)/9*(Pitchers[[#This Row],[IP]]/Pitchers[[#This Row],[G]]))</f>
        <v>5.8007864123382404</v>
      </c>
      <c r="X542">
        <f>Pitchers[[#This Row],[Runs from WHIP]]-AVERAGEIFS(Pitchers[Runs from WHIP],Pitchers[GS],"&gt;"&amp;0,Pitchers[IP],"&gt;"&amp;3)</f>
        <v>0.11487050621338124</v>
      </c>
      <c r="Y542">
        <f>IF(Pitchers[[#This Row],[IP/GS]]&lt;&gt;0,Pitchers[[#This Row],[ER/IP From Average]]*Pitchers[[#This Row],[IP/GS]],Pitchers[[#This Row],[ER/IP From Average]]*(Pitchers[[#This Row],[IP]]/Pitchers[[#This Row],[G]]))</f>
        <v>1.4756623048049904</v>
      </c>
      <c r="Z542">
        <f t="shared" si="26"/>
        <v>0.62089705691223118</v>
      </c>
      <c r="AA542" s="32">
        <f>IF(Pitchers[[#This Row],[W]]=0,0,Pitchers[[#This Row],[W]]/(Pitchers[[#This Row],[W]]+Pitchers[[#This Row],[L]]))</f>
        <v>0</v>
      </c>
      <c r="AB542" s="60"/>
    </row>
    <row r="543" spans="1:28" x14ac:dyDescent="0.25">
      <c r="A543" t="s">
        <v>1485</v>
      </c>
      <c r="B543" t="s">
        <v>19</v>
      </c>
      <c r="C543">
        <v>6</v>
      </c>
      <c r="D543">
        <v>4</v>
      </c>
      <c r="E543">
        <v>0</v>
      </c>
      <c r="F543">
        <v>0</v>
      </c>
      <c r="G543">
        <v>22</v>
      </c>
      <c r="H543">
        <v>26</v>
      </c>
      <c r="I543">
        <v>14</v>
      </c>
      <c r="J543">
        <v>17</v>
      </c>
      <c r="K543">
        <v>15</v>
      </c>
      <c r="L543">
        <v>3</v>
      </c>
      <c r="M543">
        <v>1</v>
      </c>
      <c r="N543">
        <v>2</v>
      </c>
      <c r="O543">
        <v>0</v>
      </c>
      <c r="P543">
        <v>0</v>
      </c>
      <c r="Q543">
        <v>0</v>
      </c>
      <c r="R543">
        <v>5.73</v>
      </c>
      <c r="S543">
        <v>1.86</v>
      </c>
      <c r="T543">
        <f t="shared" si="24"/>
        <v>5.5</v>
      </c>
      <c r="U543">
        <f t="shared" si="25"/>
        <v>0.63636363636363635</v>
      </c>
      <c r="V543">
        <f>U543-AVERAGEIFS(Pitchers[ER/IP],Pitchers[GS],"&gt;"&amp;0,Pitchers[IP],"&gt;"&amp;3)</f>
        <v>6.4863041564316881E-2</v>
      </c>
      <c r="W543">
        <f>IF(Pitchers[[#This Row],[IP/GS]]&lt;&gt;0,(Pitchers[[#This Row],[WHIP]]*$AH$5+$AI$5)/9*Pitchers[[#This Row],[IP/GS]],(Pitchers[[#This Row],[WHIP]]*$AH$5+$AI$5)/9*(Pitchers[[#This Row],[IP]]/Pitchers[[#This Row],[G]]))</f>
        <v>4.2078167170549472</v>
      </c>
      <c r="X543">
        <f>Pitchers[[#This Row],[Runs from WHIP]]-AVERAGEIFS(Pitchers[Runs from WHIP],Pitchers[GS],"&gt;"&amp;0,Pitchers[IP],"&gt;"&amp;3)</f>
        <v>-1.478099189069912</v>
      </c>
      <c r="Y543">
        <f>IF(Pitchers[[#This Row],[IP/GS]]&lt;&gt;0,Pitchers[[#This Row],[ER/IP From Average]]*Pitchers[[#This Row],[IP/GS]],Pitchers[[#This Row],[ER/IP From Average]]*(Pitchers[[#This Row],[IP]]/Pitchers[[#This Row],[G]]))</f>
        <v>0.35674672860374285</v>
      </c>
      <c r="Z543">
        <f t="shared" si="26"/>
        <v>-0.25146109231047936</v>
      </c>
      <c r="AA543" s="32">
        <f>IF(Pitchers[[#This Row],[W]]=0,0,Pitchers[[#This Row],[W]]/(Pitchers[[#This Row],[W]]+Pitchers[[#This Row],[L]]))</f>
        <v>0.33333333333333331</v>
      </c>
      <c r="AB543" s="60"/>
    </row>
    <row r="544" spans="1:28" x14ac:dyDescent="0.25">
      <c r="A544" t="s">
        <v>759</v>
      </c>
      <c r="B544" t="s">
        <v>18</v>
      </c>
      <c r="C544">
        <v>23</v>
      </c>
      <c r="D544">
        <v>1</v>
      </c>
      <c r="E544">
        <v>0</v>
      </c>
      <c r="F544">
        <v>0</v>
      </c>
      <c r="G544">
        <v>21.2</v>
      </c>
      <c r="H544">
        <v>20</v>
      </c>
      <c r="I544">
        <v>12</v>
      </c>
      <c r="J544">
        <v>14</v>
      </c>
      <c r="K544">
        <v>8</v>
      </c>
      <c r="L544">
        <v>5</v>
      </c>
      <c r="M544">
        <v>0</v>
      </c>
      <c r="N544">
        <v>2</v>
      </c>
      <c r="O544">
        <v>0</v>
      </c>
      <c r="P544">
        <v>0</v>
      </c>
      <c r="Q544">
        <v>2</v>
      </c>
      <c r="R544">
        <v>4.9800000000000004</v>
      </c>
      <c r="S544">
        <v>1.29</v>
      </c>
      <c r="T544">
        <f t="shared" si="24"/>
        <v>21.2</v>
      </c>
      <c r="U544">
        <f t="shared" si="25"/>
        <v>0.56603773584905659</v>
      </c>
      <c r="V544">
        <f>U544-AVERAGEIFS(Pitchers[ER/IP],Pitchers[GS],"&gt;"&amp;0,Pitchers[IP],"&gt;"&amp;3)</f>
        <v>-5.4628589502628833E-3</v>
      </c>
      <c r="W544">
        <f>IF(Pitchers[[#This Row],[IP/GS]]&lt;&gt;0,(Pitchers[[#This Row],[WHIP]]*$AH$5+$AI$5)/9*Pitchers[[#This Row],[IP/GS]],(Pitchers[[#This Row],[WHIP]]*$AH$5+$AI$5)/9*(Pitchers[[#This Row],[IP]]/Pitchers[[#This Row],[G]]))</f>
        <v>9.9455115416317437</v>
      </c>
      <c r="X544">
        <f>Pitchers[[#This Row],[Runs from WHIP]]-AVERAGEIFS(Pitchers[Runs from WHIP],Pitchers[GS],"&gt;"&amp;0,Pitchers[IP],"&gt;"&amp;3)</f>
        <v>4.2595956355068845</v>
      </c>
      <c r="Y544">
        <f>IF(Pitchers[[#This Row],[IP/GS]]&lt;&gt;0,Pitchers[[#This Row],[ER/IP From Average]]*Pitchers[[#This Row],[IP/GS]],Pitchers[[#This Row],[ER/IP From Average]]*(Pitchers[[#This Row],[IP]]/Pitchers[[#This Row],[G]]))</f>
        <v>-0.11581260974557313</v>
      </c>
      <c r="Z544">
        <f t="shared" si="26"/>
        <v>1.0895671255702732</v>
      </c>
      <c r="AA544" s="32">
        <f>IF(Pitchers[[#This Row],[W]]=0,0,Pitchers[[#This Row],[W]]/(Pitchers[[#This Row],[W]]+Pitchers[[#This Row],[L]]))</f>
        <v>0</v>
      </c>
      <c r="AB544" s="60"/>
    </row>
    <row r="545" spans="1:28" x14ac:dyDescent="0.25">
      <c r="A545" t="s">
        <v>715</v>
      </c>
      <c r="B545" t="s">
        <v>18</v>
      </c>
      <c r="C545">
        <v>10</v>
      </c>
      <c r="D545">
        <v>0</v>
      </c>
      <c r="E545">
        <v>0</v>
      </c>
      <c r="F545">
        <v>0</v>
      </c>
      <c r="G545">
        <v>21.2</v>
      </c>
      <c r="H545">
        <v>28</v>
      </c>
      <c r="I545">
        <v>20</v>
      </c>
      <c r="J545">
        <v>16</v>
      </c>
      <c r="K545">
        <v>6</v>
      </c>
      <c r="L545">
        <v>9</v>
      </c>
      <c r="M545">
        <v>4</v>
      </c>
      <c r="N545">
        <v>0</v>
      </c>
      <c r="O545">
        <v>0</v>
      </c>
      <c r="P545">
        <v>0</v>
      </c>
      <c r="Q545">
        <v>0</v>
      </c>
      <c r="R545">
        <v>8.31</v>
      </c>
      <c r="S545">
        <v>1.57</v>
      </c>
      <c r="T545">
        <f t="shared" si="24"/>
        <v>0</v>
      </c>
      <c r="U545">
        <f t="shared" si="25"/>
        <v>0.94339622641509435</v>
      </c>
      <c r="V545">
        <f>U545-AVERAGEIFS(Pitchers[ER/IP],Pitchers[GS],"&gt;"&amp;0,Pitchers[IP],"&gt;"&amp;3)</f>
        <v>0.37189563161577488</v>
      </c>
      <c r="W545">
        <f>IF(Pitchers[[#This Row],[IP/GS]]&lt;&gt;0,(Pitchers[[#This Row],[WHIP]]*$AH$5+$AI$5)/9*Pitchers[[#This Row],[IP/GS]],(Pitchers[[#This Row],[WHIP]]*$AH$5+$AI$5)/9*(Pitchers[[#This Row],[IP]]/Pitchers[[#This Row],[G]]))</f>
        <v>1.302733363360153</v>
      </c>
      <c r="X545">
        <f>Pitchers[[#This Row],[Runs from WHIP]]-AVERAGEIFS(Pitchers[Runs from WHIP],Pitchers[GS],"&gt;"&amp;0,Pitchers[IP],"&gt;"&amp;3)</f>
        <v>-4.3831825427647058</v>
      </c>
      <c r="Y545">
        <f>IF(Pitchers[[#This Row],[IP/GS]]&lt;&gt;0,Pitchers[[#This Row],[ER/IP From Average]]*Pitchers[[#This Row],[IP/GS]],Pitchers[[#This Row],[ER/IP From Average]]*(Pitchers[[#This Row],[IP]]/Pitchers[[#This Row],[G]]))</f>
        <v>0.78841873902544279</v>
      </c>
      <c r="Z545">
        <f t="shared" si="26"/>
        <v>-0.85348118246041116</v>
      </c>
      <c r="AA545" s="32">
        <f>IF(Pitchers[[#This Row],[W]]=0,0,Pitchers[[#This Row],[W]]/(Pitchers[[#This Row],[W]]+Pitchers[[#This Row],[L]]))</f>
        <v>1</v>
      </c>
      <c r="AB545" s="60"/>
    </row>
    <row r="546" spans="1:28" x14ac:dyDescent="0.25">
      <c r="A546" t="s">
        <v>3679</v>
      </c>
      <c r="B546" t="s">
        <v>18</v>
      </c>
      <c r="C546">
        <v>23</v>
      </c>
      <c r="D546">
        <v>0</v>
      </c>
      <c r="E546">
        <v>0</v>
      </c>
      <c r="F546">
        <v>0</v>
      </c>
      <c r="G546">
        <v>21.2</v>
      </c>
      <c r="H546">
        <v>15</v>
      </c>
      <c r="I546">
        <v>7</v>
      </c>
      <c r="J546">
        <v>18</v>
      </c>
      <c r="K546">
        <v>10</v>
      </c>
      <c r="L546">
        <v>1</v>
      </c>
      <c r="M546">
        <v>3</v>
      </c>
      <c r="N546">
        <v>0</v>
      </c>
      <c r="O546">
        <v>0</v>
      </c>
      <c r="P546">
        <v>1</v>
      </c>
      <c r="Q546">
        <v>4</v>
      </c>
      <c r="R546">
        <v>2.91</v>
      </c>
      <c r="S546">
        <v>1.1499999999999999</v>
      </c>
      <c r="T546">
        <f t="shared" si="24"/>
        <v>0</v>
      </c>
      <c r="U546">
        <f t="shared" si="25"/>
        <v>0.33018867924528306</v>
      </c>
      <c r="V546">
        <f>U546-AVERAGEIFS(Pitchers[ER/IP],Pitchers[GS],"&gt;"&amp;0,Pitchers[IP],"&gt;"&amp;3)</f>
        <v>-0.24131191555403642</v>
      </c>
      <c r="W546">
        <f>IF(Pitchers[[#This Row],[IP/GS]]&lt;&gt;0,(Pitchers[[#This Row],[WHIP]]*$AH$5+$AI$5)/9*Pitchers[[#This Row],[IP/GS]],(Pitchers[[#This Row],[WHIP]]*$AH$5+$AI$5)/9*(Pitchers[[#This Row],[IP]]/Pitchers[[#This Row],[G]]))</f>
        <v>0.36541741285421087</v>
      </c>
      <c r="X546">
        <f>Pitchers[[#This Row],[Runs from WHIP]]-AVERAGEIFS(Pitchers[Runs from WHIP],Pitchers[GS],"&gt;"&amp;0,Pitchers[IP],"&gt;"&amp;3)</f>
        <v>-5.3204984932706481</v>
      </c>
      <c r="Y546">
        <f>IF(Pitchers[[#This Row],[IP/GS]]&lt;&gt;0,Pitchers[[#This Row],[ER/IP From Average]]*Pitchers[[#This Row],[IP/GS]],Pitchers[[#This Row],[ER/IP From Average]]*(Pitchers[[#This Row],[IP]]/Pitchers[[#This Row],[G]]))</f>
        <v>-0.22242663520632922</v>
      </c>
      <c r="Z546">
        <f t="shared" si="26"/>
        <v>-1.5077702522880376</v>
      </c>
      <c r="AA546" s="32">
        <f>IF(Pitchers[[#This Row],[W]]=0,0,Pitchers[[#This Row],[W]]/(Pitchers[[#This Row],[W]]+Pitchers[[#This Row],[L]]))</f>
        <v>1</v>
      </c>
      <c r="AB546" s="60"/>
    </row>
    <row r="547" spans="1:28" x14ac:dyDescent="0.25">
      <c r="A547" t="s">
        <v>743</v>
      </c>
      <c r="B547" t="s">
        <v>10</v>
      </c>
      <c r="C547">
        <v>27</v>
      </c>
      <c r="D547">
        <v>0</v>
      </c>
      <c r="E547">
        <v>0</v>
      </c>
      <c r="F547">
        <v>0</v>
      </c>
      <c r="G547">
        <v>21.2</v>
      </c>
      <c r="H547">
        <v>18</v>
      </c>
      <c r="I547">
        <v>12</v>
      </c>
      <c r="J547">
        <v>22</v>
      </c>
      <c r="K547">
        <v>11</v>
      </c>
      <c r="L547">
        <v>5</v>
      </c>
      <c r="M547">
        <v>3</v>
      </c>
      <c r="N547">
        <v>1</v>
      </c>
      <c r="O547">
        <v>0</v>
      </c>
      <c r="P547">
        <v>1</v>
      </c>
      <c r="Q547">
        <v>6</v>
      </c>
      <c r="R547">
        <v>4.9800000000000004</v>
      </c>
      <c r="S547">
        <v>1.34</v>
      </c>
      <c r="T547">
        <f t="shared" si="24"/>
        <v>0</v>
      </c>
      <c r="U547">
        <f t="shared" si="25"/>
        <v>0.56603773584905659</v>
      </c>
      <c r="V547">
        <f>U547-AVERAGEIFS(Pitchers[ER/IP],Pitchers[GS],"&gt;"&amp;0,Pitchers[IP],"&gt;"&amp;3)</f>
        <v>-5.4628589502628833E-3</v>
      </c>
      <c r="W547">
        <f>IF(Pitchers[[#This Row],[IP/GS]]&lt;&gt;0,(Pitchers[[#This Row],[WHIP]]*$AH$5+$AI$5)/9*Pitchers[[#This Row],[IP/GS]],(Pitchers[[#This Row],[WHIP]]*$AH$5+$AI$5)/9*(Pitchers[[#This Row],[IP]]/Pitchers[[#This Row],[G]]))</f>
        <v>0.38873470056288068</v>
      </c>
      <c r="X547">
        <f>Pitchers[[#This Row],[Runs from WHIP]]-AVERAGEIFS(Pitchers[Runs from WHIP],Pitchers[GS],"&gt;"&amp;0,Pitchers[IP],"&gt;"&amp;3)</f>
        <v>-5.2971812055619782</v>
      </c>
      <c r="Y547">
        <f>IF(Pitchers[[#This Row],[IP/GS]]&lt;&gt;0,Pitchers[[#This Row],[ER/IP From Average]]*Pitchers[[#This Row],[IP/GS]],Pitchers[[#This Row],[ER/IP From Average]]*(Pitchers[[#This Row],[IP]]/Pitchers[[#This Row],[G]]))</f>
        <v>-4.2893559165027087E-3</v>
      </c>
      <c r="Z547">
        <f t="shared" si="26"/>
        <v>-1.4142973971831287</v>
      </c>
      <c r="AA547" s="32">
        <f>IF(Pitchers[[#This Row],[W]]=0,0,Pitchers[[#This Row],[W]]/(Pitchers[[#This Row],[W]]+Pitchers[[#This Row],[L]]))</f>
        <v>0.75</v>
      </c>
      <c r="AB547" s="60"/>
    </row>
    <row r="548" spans="1:28" x14ac:dyDescent="0.25">
      <c r="A548" t="s">
        <v>548</v>
      </c>
      <c r="B548" t="s">
        <v>218</v>
      </c>
      <c r="C548">
        <v>23</v>
      </c>
      <c r="D548">
        <v>0</v>
      </c>
      <c r="E548">
        <v>0</v>
      </c>
      <c r="F548">
        <v>0</v>
      </c>
      <c r="G548">
        <v>21.1</v>
      </c>
      <c r="H548">
        <v>12</v>
      </c>
      <c r="I548">
        <v>5</v>
      </c>
      <c r="J548">
        <v>41</v>
      </c>
      <c r="K548">
        <v>2</v>
      </c>
      <c r="L548">
        <v>3</v>
      </c>
      <c r="M548">
        <v>3</v>
      </c>
      <c r="N548">
        <v>0</v>
      </c>
      <c r="O548">
        <v>0</v>
      </c>
      <c r="P548">
        <v>3</v>
      </c>
      <c r="Q548">
        <v>9</v>
      </c>
      <c r="R548">
        <v>2.11</v>
      </c>
      <c r="S548">
        <v>0.66</v>
      </c>
      <c r="T548">
        <f t="shared" si="24"/>
        <v>0</v>
      </c>
      <c r="U548">
        <f t="shared" si="25"/>
        <v>0.23696682464454974</v>
      </c>
      <c r="V548">
        <f>U548-AVERAGEIFS(Pitchers[ER/IP],Pitchers[GS],"&gt;"&amp;0,Pitchers[IP],"&gt;"&amp;3)</f>
        <v>-0.33453377015476971</v>
      </c>
      <c r="W548">
        <f>IF(Pitchers[[#This Row],[IP/GS]]&lt;&gt;0,(Pitchers[[#This Row],[WHIP]]*$AH$5+$AI$5)/9*Pitchers[[#This Row],[IP/GS]],(Pitchers[[#This Row],[WHIP]]*$AH$5+$AI$5)/9*(Pitchers[[#This Row],[IP]]/Pitchers[[#This Row],[G]]))</f>
        <v>0.1303133505171539</v>
      </c>
      <c r="X548">
        <f>Pitchers[[#This Row],[Runs from WHIP]]-AVERAGEIFS(Pitchers[Runs from WHIP],Pitchers[GS],"&gt;"&amp;0,Pitchers[IP],"&gt;"&amp;3)</f>
        <v>-5.5556025556077051</v>
      </c>
      <c r="Y548">
        <f>IF(Pitchers[[#This Row],[IP/GS]]&lt;&gt;0,Pitchers[[#This Row],[ER/IP From Average]]*Pitchers[[#This Row],[IP/GS]],Pitchers[[#This Row],[ER/IP From Average]]*(Pitchers[[#This Row],[IP]]/Pitchers[[#This Row],[G]]))</f>
        <v>-0.30689837175068002</v>
      </c>
      <c r="Z548">
        <f t="shared" si="26"/>
        <v>-1.6042533635289935</v>
      </c>
      <c r="AA548" s="32">
        <f>IF(Pitchers[[#This Row],[W]]=0,0,Pitchers[[#This Row],[W]]/(Pitchers[[#This Row],[W]]+Pitchers[[#This Row],[L]]))</f>
        <v>1</v>
      </c>
      <c r="AB548" s="60"/>
    </row>
    <row r="549" spans="1:28" x14ac:dyDescent="0.25">
      <c r="A549" t="s">
        <v>760</v>
      </c>
      <c r="B549" t="s">
        <v>29</v>
      </c>
      <c r="C549">
        <v>21</v>
      </c>
      <c r="D549">
        <v>0</v>
      </c>
      <c r="E549">
        <v>0</v>
      </c>
      <c r="F549">
        <v>0</v>
      </c>
      <c r="G549">
        <v>21.1</v>
      </c>
      <c r="H549">
        <v>21</v>
      </c>
      <c r="I549">
        <v>15</v>
      </c>
      <c r="J549">
        <v>28</v>
      </c>
      <c r="K549">
        <v>5</v>
      </c>
      <c r="L549">
        <v>4</v>
      </c>
      <c r="M549">
        <v>1</v>
      </c>
      <c r="N549">
        <v>0</v>
      </c>
      <c r="O549">
        <v>0</v>
      </c>
      <c r="P549">
        <v>0</v>
      </c>
      <c r="Q549">
        <v>0</v>
      </c>
      <c r="R549">
        <v>6.33</v>
      </c>
      <c r="S549">
        <v>1.22</v>
      </c>
      <c r="T549">
        <f t="shared" si="24"/>
        <v>0</v>
      </c>
      <c r="U549">
        <f t="shared" si="25"/>
        <v>0.71090047393364919</v>
      </c>
      <c r="V549" s="60">
        <f>U549-AVERAGEIFS(Pitchers[ER/IP],Pitchers[GS],"&gt;"&amp;0,Pitchers[IP],"&gt;"&amp;3)</f>
        <v>0.13939987913432972</v>
      </c>
      <c r="W549" s="60">
        <f>IF(Pitchers[[#This Row],[IP/GS]]&lt;&gt;0,(Pitchers[[#This Row],[WHIP]]*$AH$5+$AI$5)/9*Pitchers[[#This Row],[IP/GS]],(Pitchers[[#This Row],[WHIP]]*$AH$5+$AI$5)/9*(Pitchers[[#This Row],[IP]]/Pitchers[[#This Row],[G]]))</f>
        <v>0.43484654535779232</v>
      </c>
      <c r="X549" s="60">
        <f>Pitchers[[#This Row],[Runs from WHIP]]-AVERAGEIFS(Pitchers[Runs from WHIP],Pitchers[GS],"&gt;"&amp;0,Pitchers[IP],"&gt;"&amp;3)</f>
        <v>-5.2510693607670671</v>
      </c>
      <c r="Y549" s="60">
        <f>IF(Pitchers[[#This Row],[IP/GS]]&lt;&gt;0,Pitchers[[#This Row],[ER/IP From Average]]*Pitchers[[#This Row],[IP/GS]],Pitchers[[#This Row],[ER/IP From Average]]*(Pitchers[[#This Row],[IP]]/Pitchers[[#This Row],[G]]))</f>
        <v>0.14006368808258843</v>
      </c>
      <c r="Z549" s="60">
        <f t="shared" si="26"/>
        <v>-1.3442596876381827</v>
      </c>
      <c r="AA549" s="32">
        <f>IF(Pitchers[[#This Row],[W]]=0,0,Pitchers[[#This Row],[W]]/(Pitchers[[#This Row],[W]]+Pitchers[[#This Row],[L]]))</f>
        <v>1</v>
      </c>
      <c r="AB549" s="60"/>
    </row>
    <row r="550" spans="1:28" x14ac:dyDescent="0.25">
      <c r="A550" t="s">
        <v>281</v>
      </c>
      <c r="B550" t="s">
        <v>5</v>
      </c>
      <c r="C550">
        <v>22</v>
      </c>
      <c r="D550">
        <v>0</v>
      </c>
      <c r="E550">
        <v>0</v>
      </c>
      <c r="F550">
        <v>0</v>
      </c>
      <c r="G550">
        <v>21.1</v>
      </c>
      <c r="H550">
        <v>17</v>
      </c>
      <c r="I550">
        <v>13</v>
      </c>
      <c r="J550">
        <v>28</v>
      </c>
      <c r="K550">
        <v>19</v>
      </c>
      <c r="L550">
        <v>4</v>
      </c>
      <c r="M550">
        <v>0</v>
      </c>
      <c r="N550">
        <v>2</v>
      </c>
      <c r="O550">
        <v>1</v>
      </c>
      <c r="P550">
        <v>4</v>
      </c>
      <c r="Q550">
        <v>5</v>
      </c>
      <c r="R550">
        <v>5.48</v>
      </c>
      <c r="S550">
        <v>1.69</v>
      </c>
      <c r="T550">
        <f t="shared" si="24"/>
        <v>0</v>
      </c>
      <c r="U550">
        <f t="shared" si="25"/>
        <v>0.61611374407582931</v>
      </c>
      <c r="V550" s="60">
        <f>U550-AVERAGEIFS(Pitchers[ER/IP],Pitchers[GS],"&gt;"&amp;0,Pitchers[IP],"&gt;"&amp;3)</f>
        <v>4.4613149276509834E-2</v>
      </c>
      <c r="W550" s="60">
        <f>IF(Pitchers[[#This Row],[IP/GS]]&lt;&gt;0,(Pitchers[[#This Row],[WHIP]]*$AH$5+$AI$5)/9*Pitchers[[#This Row],[IP/GS]],(Pitchers[[#This Row],[WHIP]]*$AH$5+$AI$5)/9*(Pitchers[[#This Row],[IP]]/Pitchers[[#This Row],[G]]))</f>
        <v>0.64911067021092661</v>
      </c>
      <c r="X550" s="60">
        <f>Pitchers[[#This Row],[Runs from WHIP]]-AVERAGEIFS(Pitchers[Runs from WHIP],Pitchers[GS],"&gt;"&amp;0,Pitchers[IP],"&gt;"&amp;3)</f>
        <v>-5.036805235913933</v>
      </c>
      <c r="Y550" s="60">
        <f>IF(Pitchers[[#This Row],[IP/GS]]&lt;&gt;0,Pitchers[[#This Row],[ER/IP From Average]]*Pitchers[[#This Row],[IP/GS]],Pitchers[[#This Row],[ER/IP From Average]]*(Pitchers[[#This Row],[IP]]/Pitchers[[#This Row],[G]]))</f>
        <v>4.2788065897016253E-2</v>
      </c>
      <c r="Z550" s="60">
        <f t="shared" si="26"/>
        <v>-1.3260328365515759</v>
      </c>
      <c r="AA550" s="32">
        <f>IF(Pitchers[[#This Row],[W]]=0,0,Pitchers[[#This Row],[W]]/(Pitchers[[#This Row],[W]]+Pitchers[[#This Row],[L]]))</f>
        <v>0</v>
      </c>
      <c r="AB550" s="60"/>
    </row>
    <row r="551" spans="1:28" x14ac:dyDescent="0.25">
      <c r="A551" t="s">
        <v>1455</v>
      </c>
      <c r="B551" t="s">
        <v>16</v>
      </c>
      <c r="C551">
        <v>8</v>
      </c>
      <c r="D551">
        <v>0</v>
      </c>
      <c r="E551">
        <v>0</v>
      </c>
      <c r="F551">
        <v>0</v>
      </c>
      <c r="G551">
        <v>21.1</v>
      </c>
      <c r="H551">
        <v>26</v>
      </c>
      <c r="I551">
        <v>13</v>
      </c>
      <c r="J551">
        <v>23</v>
      </c>
      <c r="K551">
        <v>5</v>
      </c>
      <c r="L551">
        <v>5</v>
      </c>
      <c r="M551">
        <v>0</v>
      </c>
      <c r="N551">
        <v>1</v>
      </c>
      <c r="O551">
        <v>0</v>
      </c>
      <c r="P551">
        <v>0</v>
      </c>
      <c r="Q551">
        <v>0</v>
      </c>
      <c r="R551">
        <v>5.48</v>
      </c>
      <c r="S551">
        <v>1.45</v>
      </c>
      <c r="T551">
        <f t="shared" si="24"/>
        <v>0</v>
      </c>
      <c r="U551">
        <f t="shared" si="25"/>
        <v>0.61611374407582931</v>
      </c>
      <c r="V551">
        <f>U551-AVERAGEIFS(Pitchers[ER/IP],Pitchers[GS],"&gt;"&amp;0,Pitchers[IP],"&gt;"&amp;3)</f>
        <v>4.4613149276509834E-2</v>
      </c>
      <c r="W551">
        <f>IF(Pitchers[[#This Row],[IP/GS]]&lt;&gt;0,(Pitchers[[#This Row],[WHIP]]*$AH$5+$AI$5)/9*Pitchers[[#This Row],[IP/GS]],(Pitchers[[#This Row],[WHIP]]*$AH$5+$AI$5)/9*(Pitchers[[#This Row],[IP]]/Pitchers[[#This Row],[G]]))</f>
        <v>1.4564166435825965</v>
      </c>
      <c r="X551">
        <f>Pitchers[[#This Row],[Runs from WHIP]]-AVERAGEIFS(Pitchers[Runs from WHIP],Pitchers[GS],"&gt;"&amp;0,Pitchers[IP],"&gt;"&amp;3)</f>
        <v>-4.2294992625422623</v>
      </c>
      <c r="Y551">
        <f>IF(Pitchers[[#This Row],[IP/GS]]&lt;&gt;0,Pitchers[[#This Row],[ER/IP From Average]]*Pitchers[[#This Row],[IP/GS]],Pitchers[[#This Row],[ER/IP From Average]]*(Pitchers[[#This Row],[IP]]/Pitchers[[#This Row],[G]]))</f>
        <v>0.11766718121679469</v>
      </c>
      <c r="Z551">
        <f t="shared" si="26"/>
        <v>-1.0807995975245517</v>
      </c>
      <c r="AA551" s="32">
        <f>IF(Pitchers[[#This Row],[W]]=0,0,Pitchers[[#This Row],[W]]/(Pitchers[[#This Row],[W]]+Pitchers[[#This Row],[L]]))</f>
        <v>0</v>
      </c>
      <c r="AB551" s="60"/>
    </row>
    <row r="552" spans="1:28" x14ac:dyDescent="0.25">
      <c r="A552" t="s">
        <v>4116</v>
      </c>
      <c r="B552" t="s">
        <v>332</v>
      </c>
      <c r="C552">
        <v>6</v>
      </c>
      <c r="D552">
        <v>4</v>
      </c>
      <c r="E552">
        <v>0</v>
      </c>
      <c r="F552">
        <v>0</v>
      </c>
      <c r="G552">
        <v>21</v>
      </c>
      <c r="H552">
        <v>30</v>
      </c>
      <c r="I552">
        <v>21</v>
      </c>
      <c r="J552">
        <v>4</v>
      </c>
      <c r="K552">
        <v>9</v>
      </c>
      <c r="L552">
        <v>5</v>
      </c>
      <c r="M552">
        <v>0</v>
      </c>
      <c r="N552">
        <v>3</v>
      </c>
      <c r="O552">
        <v>0</v>
      </c>
      <c r="P552">
        <v>0</v>
      </c>
      <c r="Q552">
        <v>0</v>
      </c>
      <c r="R552">
        <v>9</v>
      </c>
      <c r="S552">
        <v>1.86</v>
      </c>
      <c r="T552">
        <f t="shared" si="24"/>
        <v>5.25</v>
      </c>
      <c r="U552">
        <f t="shared" si="25"/>
        <v>1</v>
      </c>
      <c r="V552" s="60">
        <f>U552-AVERAGEIFS(Pitchers[ER/IP],Pitchers[GS],"&gt;"&amp;0,Pitchers[IP],"&gt;"&amp;3)</f>
        <v>0.42849940520068053</v>
      </c>
      <c r="W552" s="60">
        <f>IF(Pitchers[[#This Row],[IP/GS]]&lt;&gt;0,(Pitchers[[#This Row],[WHIP]]*$AH$5+$AI$5)/9*Pitchers[[#This Row],[IP/GS]],(Pitchers[[#This Row],[WHIP]]*$AH$5+$AI$5)/9*(Pitchers[[#This Row],[IP]]/Pitchers[[#This Row],[G]]))</f>
        <v>4.016552320825177</v>
      </c>
      <c r="X552" s="60">
        <f>Pitchers[[#This Row],[Runs from WHIP]]-AVERAGEIFS(Pitchers[Runs from WHIP],Pitchers[GS],"&gt;"&amp;0,Pitchers[IP],"&gt;"&amp;3)</f>
        <v>-1.6693635852996822</v>
      </c>
      <c r="Y552" s="60">
        <f>IF(Pitchers[[#This Row],[IP/GS]]&lt;&gt;0,Pitchers[[#This Row],[ER/IP From Average]]*Pitchers[[#This Row],[IP/GS]],Pitchers[[#This Row],[ER/IP From Average]]*(Pitchers[[#This Row],[IP]]/Pitchers[[#This Row],[G]]))</f>
        <v>2.2496218773035728</v>
      </c>
      <c r="Z552" s="60">
        <f t="shared" si="26"/>
        <v>0.45468512817484719</v>
      </c>
      <c r="AA552" s="32">
        <f>IF(Pitchers[[#This Row],[W]]=0,0,Pitchers[[#This Row],[W]]/(Pitchers[[#This Row],[W]]+Pitchers[[#This Row],[L]]))</f>
        <v>0</v>
      </c>
      <c r="AB552" s="60"/>
    </row>
    <row r="553" spans="1:28" x14ac:dyDescent="0.25">
      <c r="A553" t="s">
        <v>662</v>
      </c>
      <c r="B553" t="s">
        <v>18</v>
      </c>
      <c r="C553">
        <v>11</v>
      </c>
      <c r="D553">
        <v>0</v>
      </c>
      <c r="E553">
        <v>0</v>
      </c>
      <c r="F553">
        <v>0</v>
      </c>
      <c r="G553">
        <v>21</v>
      </c>
      <c r="H553">
        <v>24</v>
      </c>
      <c r="I553">
        <v>7</v>
      </c>
      <c r="J553">
        <v>14</v>
      </c>
      <c r="K553">
        <v>8</v>
      </c>
      <c r="L553">
        <v>4</v>
      </c>
      <c r="M553">
        <v>3</v>
      </c>
      <c r="N553">
        <v>1</v>
      </c>
      <c r="O553">
        <v>0</v>
      </c>
      <c r="P553">
        <v>0</v>
      </c>
      <c r="Q553">
        <v>0</v>
      </c>
      <c r="R553">
        <v>3</v>
      </c>
      <c r="S553">
        <v>1.52</v>
      </c>
      <c r="T553">
        <f t="shared" si="24"/>
        <v>0</v>
      </c>
      <c r="U553">
        <f t="shared" si="25"/>
        <v>0.33333333333333331</v>
      </c>
      <c r="V553">
        <f>U553-AVERAGEIFS(Pitchers[ER/IP],Pitchers[GS],"&gt;"&amp;0,Pitchers[IP],"&gt;"&amp;3)</f>
        <v>-0.23816726146598616</v>
      </c>
      <c r="W553">
        <f>IF(Pitchers[[#This Row],[IP/GS]]&lt;&gt;0,(Pitchers[[#This Row],[WHIP]]*$AH$5+$AI$5)/9*Pitchers[[#This Row],[IP/GS]],(Pitchers[[#This Row],[WHIP]]*$AH$5+$AI$5)/9*(Pitchers[[#This Row],[IP]]/Pitchers[[#This Row],[G]]))</f>
        <v>1.12357278499462</v>
      </c>
      <c r="X553">
        <f>Pitchers[[#This Row],[Runs from WHIP]]-AVERAGEIFS(Pitchers[Runs from WHIP],Pitchers[GS],"&gt;"&amp;0,Pitchers[IP],"&gt;"&amp;3)</f>
        <v>-4.5623431211302394</v>
      </c>
      <c r="Y553">
        <f>IF(Pitchers[[#This Row],[IP/GS]]&lt;&gt;0,Pitchers[[#This Row],[ER/IP From Average]]*Pitchers[[#This Row],[IP/GS]],Pitchers[[#This Row],[ER/IP From Average]]*(Pitchers[[#This Row],[IP]]/Pitchers[[#This Row],[G]]))</f>
        <v>-0.45468295370779177</v>
      </c>
      <c r="Z553">
        <f t="shared" si="26"/>
        <v>-1.398498013784514</v>
      </c>
      <c r="AA553" s="32">
        <f>IF(Pitchers[[#This Row],[W]]=0,0,Pitchers[[#This Row],[W]]/(Pitchers[[#This Row],[W]]+Pitchers[[#This Row],[L]]))</f>
        <v>0.75</v>
      </c>
      <c r="AB553" s="60"/>
    </row>
    <row r="554" spans="1:28" x14ac:dyDescent="0.25">
      <c r="A554" t="s">
        <v>684</v>
      </c>
      <c r="B554" t="s">
        <v>340</v>
      </c>
      <c r="C554">
        <v>36</v>
      </c>
      <c r="D554">
        <v>0</v>
      </c>
      <c r="E554">
        <v>0</v>
      </c>
      <c r="F554">
        <v>0</v>
      </c>
      <c r="G554">
        <v>21</v>
      </c>
      <c r="H554">
        <v>19</v>
      </c>
      <c r="I554">
        <v>11</v>
      </c>
      <c r="J554">
        <v>18</v>
      </c>
      <c r="K554">
        <v>9</v>
      </c>
      <c r="L554">
        <v>1</v>
      </c>
      <c r="M554">
        <v>1</v>
      </c>
      <c r="N554">
        <v>2</v>
      </c>
      <c r="O554">
        <v>0</v>
      </c>
      <c r="P554">
        <v>1</v>
      </c>
      <c r="Q554">
        <v>9</v>
      </c>
      <c r="R554">
        <v>4.71</v>
      </c>
      <c r="S554">
        <v>1.33</v>
      </c>
      <c r="T554">
        <f t="shared" si="24"/>
        <v>0</v>
      </c>
      <c r="U554">
        <f t="shared" si="25"/>
        <v>0.52380952380952384</v>
      </c>
      <c r="V554">
        <f>U554-AVERAGEIFS(Pitchers[ER/IP],Pitchers[GS],"&gt;"&amp;0,Pitchers[IP],"&gt;"&amp;3)</f>
        <v>-4.7691070989795636E-2</v>
      </c>
      <c r="W554">
        <f>IF(Pitchers[[#This Row],[IP/GS]]&lt;&gt;0,(Pitchers[[#This Row],[WHIP]]*$AH$5+$AI$5)/9*Pitchers[[#This Row],[IP/GS]],(Pitchers[[#This Row],[WHIP]]*$AH$5+$AI$5)/9*(Pitchers[[#This Row],[IP]]/Pitchers[[#This Row],[G]]))</f>
        <v>0.2857720239127044</v>
      </c>
      <c r="X554">
        <f>Pitchers[[#This Row],[Runs from WHIP]]-AVERAGEIFS(Pitchers[Runs from WHIP],Pitchers[GS],"&gt;"&amp;0,Pitchers[IP],"&gt;"&amp;3)</f>
        <v>-5.4001438822121548</v>
      </c>
      <c r="Y554">
        <f>IF(Pitchers[[#This Row],[IP/GS]]&lt;&gt;0,Pitchers[[#This Row],[ER/IP From Average]]*Pitchers[[#This Row],[IP/GS]],Pitchers[[#This Row],[ER/IP From Average]]*(Pitchers[[#This Row],[IP]]/Pitchers[[#This Row],[G]]))</f>
        <v>-2.7819791410714122E-2</v>
      </c>
      <c r="Z554">
        <f t="shared" si="26"/>
        <v>-1.4511662851541935</v>
      </c>
      <c r="AA554" s="32">
        <f>IF(Pitchers[[#This Row],[W]]=0,0,Pitchers[[#This Row],[W]]/(Pitchers[[#This Row],[W]]+Pitchers[[#This Row],[L]]))</f>
        <v>0.33333333333333331</v>
      </c>
      <c r="AB554" s="60"/>
    </row>
    <row r="555" spans="1:28" x14ac:dyDescent="0.25">
      <c r="A555" t="s">
        <v>533</v>
      </c>
      <c r="B555" t="s">
        <v>10</v>
      </c>
      <c r="C555">
        <v>23</v>
      </c>
      <c r="D555">
        <v>0</v>
      </c>
      <c r="E555">
        <v>0</v>
      </c>
      <c r="F555">
        <v>0</v>
      </c>
      <c r="G555">
        <v>21</v>
      </c>
      <c r="H555">
        <v>22</v>
      </c>
      <c r="I555">
        <v>9</v>
      </c>
      <c r="J555">
        <v>24</v>
      </c>
      <c r="K555">
        <v>2</v>
      </c>
      <c r="L555">
        <v>1</v>
      </c>
      <c r="M555">
        <v>1</v>
      </c>
      <c r="N555">
        <v>0</v>
      </c>
      <c r="O555">
        <v>11</v>
      </c>
      <c r="P555">
        <v>0</v>
      </c>
      <c r="Q555">
        <v>0</v>
      </c>
      <c r="R555">
        <v>3.86</v>
      </c>
      <c r="S555">
        <v>1.1399999999999999</v>
      </c>
      <c r="T555">
        <f t="shared" si="24"/>
        <v>0</v>
      </c>
      <c r="U555">
        <f t="shared" si="25"/>
        <v>0.42857142857142855</v>
      </c>
      <c r="V555">
        <f>U555-AVERAGEIFS(Pitchers[ER/IP],Pitchers[GS],"&gt;"&amp;0,Pitchers[IP],"&gt;"&amp;3)</f>
        <v>-0.14292916622789092</v>
      </c>
      <c r="W555">
        <f>IF(Pitchers[[#This Row],[IP/GS]]&lt;&gt;0,(Pitchers[[#This Row],[WHIP]]*$AH$5+$AI$5)/9*Pitchers[[#This Row],[IP/GS]],(Pitchers[[#This Row],[WHIP]]*$AH$5+$AI$5)/9*(Pitchers[[#This Row],[IP]]/Pitchers[[#This Row],[G]]))</f>
        <v>0.35722978638147357</v>
      </c>
      <c r="X555">
        <f>Pitchers[[#This Row],[Runs from WHIP]]-AVERAGEIFS(Pitchers[Runs from WHIP],Pitchers[GS],"&gt;"&amp;0,Pitchers[IP],"&gt;"&amp;3)</f>
        <v>-5.3286861197433852</v>
      </c>
      <c r="Y555">
        <f>IF(Pitchers[[#This Row],[IP/GS]]&lt;&gt;0,Pitchers[[#This Row],[ER/IP From Average]]*Pitchers[[#This Row],[IP/GS]],Pitchers[[#This Row],[ER/IP From Average]]*(Pitchers[[#This Row],[IP]]/Pitchers[[#This Row],[G]]))</f>
        <v>-0.13050054307763953</v>
      </c>
      <c r="Z555">
        <f t="shared" si="26"/>
        <v>-1.4731831824959585</v>
      </c>
      <c r="AA555" s="32">
        <f>IF(Pitchers[[#This Row],[W]]=0,0,Pitchers[[#This Row],[W]]/(Pitchers[[#This Row],[W]]+Pitchers[[#This Row],[L]]))</f>
        <v>1</v>
      </c>
      <c r="AB555" s="60"/>
    </row>
    <row r="556" spans="1:28" x14ac:dyDescent="0.25">
      <c r="A556" t="s">
        <v>3611</v>
      </c>
      <c r="B556" t="s">
        <v>8</v>
      </c>
      <c r="C556">
        <v>16</v>
      </c>
      <c r="D556">
        <v>0</v>
      </c>
      <c r="E556">
        <v>0</v>
      </c>
      <c r="F556">
        <v>0</v>
      </c>
      <c r="G556">
        <v>21</v>
      </c>
      <c r="H556">
        <v>18</v>
      </c>
      <c r="I556">
        <v>15</v>
      </c>
      <c r="J556">
        <v>20</v>
      </c>
      <c r="K556">
        <v>9</v>
      </c>
      <c r="L556">
        <v>3</v>
      </c>
      <c r="M556">
        <v>0</v>
      </c>
      <c r="N556">
        <v>2</v>
      </c>
      <c r="O556">
        <v>0</v>
      </c>
      <c r="P556">
        <v>0</v>
      </c>
      <c r="Q556">
        <v>1</v>
      </c>
      <c r="R556">
        <v>6.43</v>
      </c>
      <c r="S556">
        <v>1.29</v>
      </c>
      <c r="T556">
        <f t="shared" si="24"/>
        <v>0</v>
      </c>
      <c r="U556">
        <f t="shared" si="25"/>
        <v>0.7142857142857143</v>
      </c>
      <c r="V556">
        <f>U556-AVERAGEIFS(Pitchers[ER/IP],Pitchers[GS],"&gt;"&amp;0,Pitchers[IP],"&gt;"&amp;3)</f>
        <v>0.14278511948639483</v>
      </c>
      <c r="W556">
        <f>IF(Pitchers[[#This Row],[IP/GS]]&lt;&gt;0,(Pitchers[[#This Row],[WHIP]]*$AH$5+$AI$5)/9*Pitchers[[#This Row],[IP/GS]],(Pitchers[[#This Row],[WHIP]]*$AH$5+$AI$5)/9*(Pitchers[[#This Row],[IP]]/Pitchers[[#This Row],[G]]))</f>
        <v>0.61573037256564456</v>
      </c>
      <c r="X556">
        <f>Pitchers[[#This Row],[Runs from WHIP]]-AVERAGEIFS(Pitchers[Runs from WHIP],Pitchers[GS],"&gt;"&amp;0,Pitchers[IP],"&gt;"&amp;3)</f>
        <v>-5.070185533559215</v>
      </c>
      <c r="Y556">
        <f>IF(Pitchers[[#This Row],[IP/GS]]&lt;&gt;0,Pitchers[[#This Row],[ER/IP From Average]]*Pitchers[[#This Row],[IP/GS]],Pitchers[[#This Row],[ER/IP From Average]]*(Pitchers[[#This Row],[IP]]/Pitchers[[#This Row],[G]]))</f>
        <v>0.18740546932589322</v>
      </c>
      <c r="Z556">
        <f t="shared" si="26"/>
        <v>-1.2770872878854331</v>
      </c>
      <c r="AA556" s="32">
        <f>IF(Pitchers[[#This Row],[W]]=0,0,Pitchers[[#This Row],[W]]/(Pitchers[[#This Row],[W]]+Pitchers[[#This Row],[L]]))</f>
        <v>0</v>
      </c>
      <c r="AB556" s="60"/>
    </row>
    <row r="557" spans="1:28" x14ac:dyDescent="0.25">
      <c r="A557" t="s">
        <v>3727</v>
      </c>
      <c r="B557" t="s">
        <v>1</v>
      </c>
      <c r="C557">
        <v>14</v>
      </c>
      <c r="D557">
        <v>2</v>
      </c>
      <c r="E557">
        <v>0</v>
      </c>
      <c r="F557">
        <v>0</v>
      </c>
      <c r="G557">
        <v>21</v>
      </c>
      <c r="H557">
        <v>22</v>
      </c>
      <c r="I557">
        <v>14</v>
      </c>
      <c r="J557">
        <v>11</v>
      </c>
      <c r="K557">
        <v>13</v>
      </c>
      <c r="L557">
        <v>2</v>
      </c>
      <c r="M557">
        <v>1</v>
      </c>
      <c r="N557">
        <v>1</v>
      </c>
      <c r="O557">
        <v>0</v>
      </c>
      <c r="P557">
        <v>1</v>
      </c>
      <c r="Q557">
        <v>0</v>
      </c>
      <c r="R557">
        <v>6</v>
      </c>
      <c r="S557">
        <v>1.67</v>
      </c>
      <c r="T557">
        <f t="shared" si="24"/>
        <v>10.5</v>
      </c>
      <c r="U557">
        <f t="shared" si="25"/>
        <v>0.66666666666666663</v>
      </c>
      <c r="V557">
        <f>U557-AVERAGEIFS(Pitchers[ER/IP],Pitchers[GS],"&gt;"&amp;0,Pitchers[IP],"&gt;"&amp;3)</f>
        <v>9.5166071867347157E-2</v>
      </c>
      <c r="W557">
        <f>IF(Pitchers[[#This Row],[IP/GS]]&lt;&gt;0,(Pitchers[[#This Row],[WHIP]]*$AH$5+$AI$5)/9*Pitchers[[#This Row],[IP/GS]],(Pitchers[[#This Row],[WHIP]]*$AH$5+$AI$5)/9*(Pitchers[[#This Row],[IP]]/Pitchers[[#This Row],[G]]))</f>
        <v>6.9973507546086191</v>
      </c>
      <c r="X557">
        <f>Pitchers[[#This Row],[Runs from WHIP]]-AVERAGEIFS(Pitchers[Runs from WHIP],Pitchers[GS],"&gt;"&amp;0,Pitchers[IP],"&gt;"&amp;3)</f>
        <v>1.3114348484837599</v>
      </c>
      <c r="Y557">
        <f>IF(Pitchers[[#This Row],[IP/GS]]&lt;&gt;0,Pitchers[[#This Row],[ER/IP From Average]]*Pitchers[[#This Row],[IP/GS]],Pitchers[[#This Row],[ER/IP From Average]]*(Pitchers[[#This Row],[IP]]/Pitchers[[#This Row],[G]]))</f>
        <v>0.9992437546071451</v>
      </c>
      <c r="Z557">
        <f t="shared" si="26"/>
        <v>0.74941346143852738</v>
      </c>
      <c r="AA557" s="32">
        <f>IF(Pitchers[[#This Row],[W]]=0,0,Pitchers[[#This Row],[W]]/(Pitchers[[#This Row],[W]]+Pitchers[[#This Row],[L]]))</f>
        <v>0.5</v>
      </c>
      <c r="AB557" s="60"/>
    </row>
    <row r="558" spans="1:28" x14ac:dyDescent="0.25">
      <c r="A558" t="s">
        <v>742</v>
      </c>
      <c r="B558" t="s">
        <v>340</v>
      </c>
      <c r="C558">
        <v>24</v>
      </c>
      <c r="D558">
        <v>0</v>
      </c>
      <c r="E558">
        <v>0</v>
      </c>
      <c r="F558">
        <v>0</v>
      </c>
      <c r="G558">
        <v>21</v>
      </c>
      <c r="H558">
        <v>20</v>
      </c>
      <c r="I558">
        <v>12</v>
      </c>
      <c r="J558">
        <v>15</v>
      </c>
      <c r="K558">
        <v>8</v>
      </c>
      <c r="L558">
        <v>5</v>
      </c>
      <c r="M558">
        <v>2</v>
      </c>
      <c r="N558">
        <v>0</v>
      </c>
      <c r="O558">
        <v>0</v>
      </c>
      <c r="P558">
        <v>0</v>
      </c>
      <c r="Q558">
        <v>11</v>
      </c>
      <c r="R558">
        <v>5.14</v>
      </c>
      <c r="S558">
        <v>1.33</v>
      </c>
      <c r="T558">
        <f t="shared" si="24"/>
        <v>0</v>
      </c>
      <c r="U558">
        <f t="shared" si="25"/>
        <v>0.5714285714285714</v>
      </c>
      <c r="V558">
        <f>U558-AVERAGEIFS(Pitchers[ER/IP],Pitchers[GS],"&gt;"&amp;0,Pitchers[IP],"&gt;"&amp;3)</f>
        <v>-7.2023370748075521E-5</v>
      </c>
      <c r="W558">
        <f>IF(Pitchers[[#This Row],[IP/GS]]&lt;&gt;0,(Pitchers[[#This Row],[WHIP]]*$AH$5+$AI$5)/9*Pitchers[[#This Row],[IP/GS]],(Pitchers[[#This Row],[WHIP]]*$AH$5+$AI$5)/9*(Pitchers[[#This Row],[IP]]/Pitchers[[#This Row],[G]]))</f>
        <v>0.4286580358690566</v>
      </c>
      <c r="X558">
        <f>Pitchers[[#This Row],[Runs from WHIP]]-AVERAGEIFS(Pitchers[Runs from WHIP],Pitchers[GS],"&gt;"&amp;0,Pitchers[IP],"&gt;"&amp;3)</f>
        <v>-5.2572578702558026</v>
      </c>
      <c r="Y558">
        <f>IF(Pitchers[[#This Row],[IP/GS]]&lt;&gt;0,Pitchers[[#This Row],[ER/IP From Average]]*Pitchers[[#This Row],[IP/GS]],Pitchers[[#This Row],[ER/IP From Average]]*(Pitchers[[#This Row],[IP]]/Pitchers[[#This Row],[G]]))</f>
        <v>-6.3020449404566081E-5</v>
      </c>
      <c r="Z558">
        <f t="shared" si="26"/>
        <v>-1.4019606402479761</v>
      </c>
      <c r="AA558" s="32">
        <f>IF(Pitchers[[#This Row],[W]]=0,0,Pitchers[[#This Row],[W]]/(Pitchers[[#This Row],[W]]+Pitchers[[#This Row],[L]]))</f>
        <v>1</v>
      </c>
      <c r="AB558" s="60"/>
    </row>
    <row r="559" spans="1:28" x14ac:dyDescent="0.25">
      <c r="A559" t="s">
        <v>747</v>
      </c>
      <c r="B559" t="s">
        <v>15</v>
      </c>
      <c r="C559">
        <v>14</v>
      </c>
      <c r="D559">
        <v>0</v>
      </c>
      <c r="E559">
        <v>0</v>
      </c>
      <c r="F559">
        <v>0</v>
      </c>
      <c r="G559">
        <v>20.2</v>
      </c>
      <c r="H559">
        <v>22</v>
      </c>
      <c r="I559">
        <v>15</v>
      </c>
      <c r="J559">
        <v>24</v>
      </c>
      <c r="K559">
        <v>14</v>
      </c>
      <c r="L559">
        <v>6</v>
      </c>
      <c r="M559">
        <v>0</v>
      </c>
      <c r="N559">
        <v>0</v>
      </c>
      <c r="O559">
        <v>0</v>
      </c>
      <c r="P559">
        <v>0</v>
      </c>
      <c r="Q559">
        <v>0</v>
      </c>
      <c r="R559">
        <v>6.53</v>
      </c>
      <c r="S559">
        <v>1.74</v>
      </c>
      <c r="T559">
        <f t="shared" si="24"/>
        <v>0</v>
      </c>
      <c r="U559">
        <f t="shared" si="25"/>
        <v>0.74257425742574257</v>
      </c>
      <c r="V559">
        <f>U559-AVERAGEIFS(Pitchers[ER/IP],Pitchers[GS],"&gt;"&amp;0,Pitchers[IP],"&gt;"&amp;3)</f>
        <v>0.1710736626264231</v>
      </c>
      <c r="W559">
        <f>IF(Pitchers[[#This Row],[IP/GS]]&lt;&gt;0,(Pitchers[[#This Row],[WHIP]]*$AH$5+$AI$5)/9*Pitchers[[#This Row],[IP/GS]],(Pitchers[[#This Row],[WHIP]]*$AH$5+$AI$5)/9*(Pitchers[[#This Row],[IP]]/Pitchers[[#This Row],[G]]))</f>
        <v>1.0139773788924056</v>
      </c>
      <c r="X559">
        <f>Pitchers[[#This Row],[Runs from WHIP]]-AVERAGEIFS(Pitchers[Runs from WHIP],Pitchers[GS],"&gt;"&amp;0,Pitchers[IP],"&gt;"&amp;3)</f>
        <v>-4.6719385272324541</v>
      </c>
      <c r="Y559">
        <f>IF(Pitchers[[#This Row],[IP/GS]]&lt;&gt;0,Pitchers[[#This Row],[ER/IP From Average]]*Pitchers[[#This Row],[IP/GS]],Pitchers[[#This Row],[ER/IP From Average]]*(Pitchers[[#This Row],[IP]]/Pitchers[[#This Row],[G]]))</f>
        <v>0.24683485607526762</v>
      </c>
      <c r="Z559">
        <f t="shared" si="26"/>
        <v>-1.1471163314985475</v>
      </c>
      <c r="AA559" s="32">
        <f>IF(Pitchers[[#This Row],[W]]=0,0,Pitchers[[#This Row],[W]]/(Pitchers[[#This Row],[W]]+Pitchers[[#This Row],[L]]))</f>
        <v>0</v>
      </c>
      <c r="AB559" s="60"/>
    </row>
    <row r="560" spans="1:28" x14ac:dyDescent="0.25">
      <c r="A560" t="s">
        <v>1161</v>
      </c>
      <c r="B560" t="s">
        <v>8</v>
      </c>
      <c r="C560">
        <v>5</v>
      </c>
      <c r="D560">
        <v>5</v>
      </c>
      <c r="E560">
        <v>0</v>
      </c>
      <c r="F560">
        <v>0</v>
      </c>
      <c r="G560">
        <v>20.2</v>
      </c>
      <c r="H560">
        <v>32</v>
      </c>
      <c r="I560">
        <v>26</v>
      </c>
      <c r="J560">
        <v>17</v>
      </c>
      <c r="K560">
        <v>13</v>
      </c>
      <c r="L560">
        <v>6</v>
      </c>
      <c r="M560">
        <v>1</v>
      </c>
      <c r="N560">
        <v>3</v>
      </c>
      <c r="O560">
        <v>0</v>
      </c>
      <c r="P560">
        <v>0</v>
      </c>
      <c r="Q560">
        <v>0</v>
      </c>
      <c r="R560">
        <v>11.32</v>
      </c>
      <c r="S560">
        <v>2.1800000000000002</v>
      </c>
      <c r="T560">
        <f t="shared" si="24"/>
        <v>4.04</v>
      </c>
      <c r="U560">
        <f t="shared" si="25"/>
        <v>1.2871287128712872</v>
      </c>
      <c r="V560">
        <f>U560-AVERAGEIFS(Pitchers[ER/IP],Pitchers[GS],"&gt;"&amp;0,Pitchers[IP],"&gt;"&amp;3)</f>
        <v>0.71562811807196769</v>
      </c>
      <c r="W560">
        <f>IF(Pitchers[[#This Row],[IP/GS]]&lt;&gt;0,(Pitchers[[#This Row],[WHIP]]*$AH$5+$AI$5)/9*Pitchers[[#This Row],[IP/GS]],(Pitchers[[#This Row],[WHIP]]*$AH$5+$AI$5)/9*(Pitchers[[#This Row],[IP]]/Pitchers[[#This Row],[G]]))</f>
        <v>3.7620219288713597</v>
      </c>
      <c r="X560">
        <f>Pitchers[[#This Row],[Runs from WHIP]]-AVERAGEIFS(Pitchers[Runs from WHIP],Pitchers[GS],"&gt;"&amp;0,Pitchers[IP],"&gt;"&amp;3)</f>
        <v>-1.9238939772534995</v>
      </c>
      <c r="Y560">
        <f>IF(Pitchers[[#This Row],[IP/GS]]&lt;&gt;0,Pitchers[[#This Row],[ER/IP From Average]]*Pitchers[[#This Row],[IP/GS]],Pitchers[[#This Row],[ER/IP From Average]]*(Pitchers[[#This Row],[IP]]/Pitchers[[#This Row],[G]]))</f>
        <v>2.8911375970107493</v>
      </c>
      <c r="Z560">
        <f t="shared" si="26"/>
        <v>0.64341664487003314</v>
      </c>
      <c r="AA560" s="32">
        <f>IF(Pitchers[[#This Row],[W]]=0,0,Pitchers[[#This Row],[W]]/(Pitchers[[#This Row],[W]]+Pitchers[[#This Row],[L]]))</f>
        <v>0.25</v>
      </c>
      <c r="AB560" s="60"/>
    </row>
    <row r="561" spans="1:28" x14ac:dyDescent="0.25">
      <c r="A561" t="s">
        <v>449</v>
      </c>
      <c r="B561" t="s">
        <v>4</v>
      </c>
      <c r="C561">
        <v>9</v>
      </c>
      <c r="D561">
        <v>0</v>
      </c>
      <c r="E561">
        <v>0</v>
      </c>
      <c r="F561">
        <v>0</v>
      </c>
      <c r="G561">
        <v>20.2</v>
      </c>
      <c r="H561">
        <v>29</v>
      </c>
      <c r="I561">
        <v>21</v>
      </c>
      <c r="J561">
        <v>9</v>
      </c>
      <c r="K561">
        <v>4</v>
      </c>
      <c r="L561">
        <v>8</v>
      </c>
      <c r="M561">
        <v>0</v>
      </c>
      <c r="N561">
        <v>0</v>
      </c>
      <c r="O561">
        <v>0</v>
      </c>
      <c r="P561">
        <v>0</v>
      </c>
      <c r="Q561">
        <v>0</v>
      </c>
      <c r="R561">
        <v>9.15</v>
      </c>
      <c r="S561">
        <v>1.6</v>
      </c>
      <c r="T561">
        <f t="shared" si="24"/>
        <v>0</v>
      </c>
      <c r="U561">
        <f t="shared" si="25"/>
        <v>1.0396039603960396</v>
      </c>
      <c r="V561">
        <f>U561-AVERAGEIFS(Pitchers[ER/IP],Pitchers[GS],"&gt;"&amp;0,Pitchers[IP],"&gt;"&amp;3)</f>
        <v>0.46810336559672017</v>
      </c>
      <c r="W561">
        <f>IF(Pitchers[[#This Row],[IP/GS]]&lt;&gt;0,(Pitchers[[#This Row],[WHIP]]*$AH$5+$AI$5)/9*Pitchers[[#This Row],[IP/GS]],(Pitchers[[#This Row],[WHIP]]*$AH$5+$AI$5)/9*(Pitchers[[#This Row],[IP]]/Pitchers[[#This Row],[G]]))</f>
        <v>1.414161860201107</v>
      </c>
      <c r="X561">
        <f>Pitchers[[#This Row],[Runs from WHIP]]-AVERAGEIFS(Pitchers[Runs from WHIP],Pitchers[GS],"&gt;"&amp;0,Pitchers[IP],"&gt;"&amp;3)</f>
        <v>-4.2717540459237524</v>
      </c>
      <c r="Y561">
        <f>IF(Pitchers[[#This Row],[IP/GS]]&lt;&gt;0,Pitchers[[#This Row],[ER/IP From Average]]*Pitchers[[#This Row],[IP/GS]],Pitchers[[#This Row],[ER/IP From Average]]*(Pitchers[[#This Row],[IP]]/Pitchers[[#This Row],[G]]))</f>
        <v>1.0506319983393053</v>
      </c>
      <c r="Z561">
        <f t="shared" si="26"/>
        <v>-0.7188816129106117</v>
      </c>
      <c r="AA561" s="32">
        <f>IF(Pitchers[[#This Row],[W]]=0,0,Pitchers[[#This Row],[W]]/(Pitchers[[#This Row],[W]]+Pitchers[[#This Row],[L]]))</f>
        <v>0</v>
      </c>
      <c r="AB561" s="60"/>
    </row>
    <row r="562" spans="1:28" x14ac:dyDescent="0.25">
      <c r="A562" t="s">
        <v>487</v>
      </c>
      <c r="B562" t="s">
        <v>11</v>
      </c>
      <c r="C562">
        <v>5</v>
      </c>
      <c r="D562">
        <v>5</v>
      </c>
      <c r="E562">
        <v>0</v>
      </c>
      <c r="F562">
        <v>0</v>
      </c>
      <c r="G562">
        <v>20.2</v>
      </c>
      <c r="H562">
        <v>33</v>
      </c>
      <c r="I562">
        <v>27</v>
      </c>
      <c r="J562">
        <v>23</v>
      </c>
      <c r="K562">
        <v>11</v>
      </c>
      <c r="L562">
        <v>8</v>
      </c>
      <c r="M562">
        <v>0</v>
      </c>
      <c r="N562">
        <v>3</v>
      </c>
      <c r="O562">
        <v>0</v>
      </c>
      <c r="P562">
        <v>0</v>
      </c>
      <c r="Q562">
        <v>0</v>
      </c>
      <c r="R562">
        <v>11.76</v>
      </c>
      <c r="S562">
        <v>2.13</v>
      </c>
      <c r="T562">
        <f t="shared" si="24"/>
        <v>4.04</v>
      </c>
      <c r="U562">
        <f t="shared" si="25"/>
        <v>1.3366336633663367</v>
      </c>
      <c r="V562">
        <f>U562-AVERAGEIFS(Pitchers[ER/IP],Pitchers[GS],"&gt;"&amp;0,Pitchers[IP],"&gt;"&amp;3)</f>
        <v>0.76513306856701724</v>
      </c>
      <c r="W562">
        <f>IF(Pitchers[[#This Row],[IP/GS]]&lt;&gt;0,(Pitchers[[#This Row],[WHIP]]*$AH$5+$AI$5)/9*Pitchers[[#This Row],[IP/GS]],(Pitchers[[#This Row],[WHIP]]*$AH$5+$AI$5)/9*(Pitchers[[#This Row],[IP]]/Pitchers[[#This Row],[G]]))</f>
        <v>3.6571486029653792</v>
      </c>
      <c r="X562">
        <f>Pitchers[[#This Row],[Runs from WHIP]]-AVERAGEIFS(Pitchers[Runs from WHIP],Pitchers[GS],"&gt;"&amp;0,Pitchers[IP],"&gt;"&amp;3)</f>
        <v>-2.02876730315948</v>
      </c>
      <c r="Y562">
        <f>IF(Pitchers[[#This Row],[IP/GS]]&lt;&gt;0,Pitchers[[#This Row],[ER/IP From Average]]*Pitchers[[#This Row],[IP/GS]],Pitchers[[#This Row],[ER/IP From Average]]*(Pitchers[[#This Row],[IP]]/Pitchers[[#This Row],[G]]))</f>
        <v>3.0911375970107495</v>
      </c>
      <c r="Z562">
        <f t="shared" si="26"/>
        <v>0.69545042462843842</v>
      </c>
      <c r="AA562" s="32">
        <f>IF(Pitchers[[#This Row],[W]]=0,0,Pitchers[[#This Row],[W]]/(Pitchers[[#This Row],[W]]+Pitchers[[#This Row],[L]]))</f>
        <v>0</v>
      </c>
      <c r="AB562" s="60"/>
    </row>
    <row r="563" spans="1:28" x14ac:dyDescent="0.25">
      <c r="A563" t="s">
        <v>1461</v>
      </c>
      <c r="B563" t="s">
        <v>31</v>
      </c>
      <c r="C563">
        <v>23</v>
      </c>
      <c r="D563">
        <v>0</v>
      </c>
      <c r="E563">
        <v>0</v>
      </c>
      <c r="F563">
        <v>0</v>
      </c>
      <c r="G563">
        <v>20.2</v>
      </c>
      <c r="H563">
        <v>21</v>
      </c>
      <c r="I563">
        <v>15</v>
      </c>
      <c r="J563">
        <v>30</v>
      </c>
      <c r="K563">
        <v>12</v>
      </c>
      <c r="L563">
        <v>9</v>
      </c>
      <c r="M563">
        <v>0</v>
      </c>
      <c r="N563">
        <v>4</v>
      </c>
      <c r="O563">
        <v>13</v>
      </c>
      <c r="P563">
        <v>3</v>
      </c>
      <c r="Q563">
        <v>0</v>
      </c>
      <c r="R563">
        <v>6.53</v>
      </c>
      <c r="S563">
        <v>1.6</v>
      </c>
      <c r="T563">
        <f t="shared" si="24"/>
        <v>0</v>
      </c>
      <c r="U563">
        <f t="shared" si="25"/>
        <v>0.74257425742574257</v>
      </c>
      <c r="V563">
        <f>U563-AVERAGEIFS(Pitchers[ER/IP],Pitchers[GS],"&gt;"&amp;0,Pitchers[IP],"&gt;"&amp;3)</f>
        <v>0.1710736626264231</v>
      </c>
      <c r="W563">
        <f>IF(Pitchers[[#This Row],[IP/GS]]&lt;&gt;0,(Pitchers[[#This Row],[WHIP]]*$AH$5+$AI$5)/9*Pitchers[[#This Row],[IP/GS]],(Pitchers[[#This Row],[WHIP]]*$AH$5+$AI$5)/9*(Pitchers[[#This Row],[IP]]/Pitchers[[#This Row],[G]]))</f>
        <v>0.55336768442652007</v>
      </c>
      <c r="X563">
        <f>Pitchers[[#This Row],[Runs from WHIP]]-AVERAGEIFS(Pitchers[Runs from WHIP],Pitchers[GS],"&gt;"&amp;0,Pitchers[IP],"&gt;"&amp;3)</f>
        <v>-5.1325482216983396</v>
      </c>
      <c r="Y563">
        <f>IF(Pitchers[[#This Row],[IP/GS]]&lt;&gt;0,Pitchers[[#This Row],[ER/IP From Average]]*Pitchers[[#This Row],[IP/GS]],Pitchers[[#This Row],[ER/IP From Average]]*(Pitchers[[#This Row],[IP]]/Pitchers[[#This Row],[G]]))</f>
        <v>0.15024730369798897</v>
      </c>
      <c r="Z563">
        <f t="shared" si="26"/>
        <v>-1.3085806043070281</v>
      </c>
      <c r="AA563" s="32">
        <f>IF(Pitchers[[#This Row],[W]]=0,0,Pitchers[[#This Row],[W]]/(Pitchers[[#This Row],[W]]+Pitchers[[#This Row],[L]]))</f>
        <v>0</v>
      </c>
      <c r="AB563" s="60"/>
    </row>
    <row r="564" spans="1:28" x14ac:dyDescent="0.25">
      <c r="A564" t="s">
        <v>1398</v>
      </c>
      <c r="B564" t="s">
        <v>9</v>
      </c>
      <c r="C564">
        <v>14</v>
      </c>
      <c r="D564">
        <v>0</v>
      </c>
      <c r="E564">
        <v>0</v>
      </c>
      <c r="F564">
        <v>0</v>
      </c>
      <c r="G564">
        <v>20.100000000000001</v>
      </c>
      <c r="H564">
        <v>26</v>
      </c>
      <c r="I564">
        <v>22</v>
      </c>
      <c r="J564">
        <v>29</v>
      </c>
      <c r="K564">
        <v>13</v>
      </c>
      <c r="L564">
        <v>5</v>
      </c>
      <c r="M564">
        <v>0</v>
      </c>
      <c r="N564">
        <v>0</v>
      </c>
      <c r="O564">
        <v>0</v>
      </c>
      <c r="P564">
        <v>0</v>
      </c>
      <c r="Q564">
        <v>0</v>
      </c>
      <c r="R564">
        <v>9.74</v>
      </c>
      <c r="S564">
        <v>1.92</v>
      </c>
      <c r="T564">
        <f t="shared" si="24"/>
        <v>0</v>
      </c>
      <c r="U564">
        <f t="shared" si="25"/>
        <v>1.0945273631840795</v>
      </c>
      <c r="V564">
        <f>U564-AVERAGEIFS(Pitchers[ER/IP],Pitchers[GS],"&gt;"&amp;0,Pitchers[IP],"&gt;"&amp;3)</f>
        <v>0.52302676838476003</v>
      </c>
      <c r="W564">
        <f>IF(Pitchers[[#This Row],[IP/GS]]&lt;&gt;0,(Pitchers[[#This Row],[WHIP]]*$AH$5+$AI$5)/9*Pitchers[[#This Row],[IP/GS]],(Pitchers[[#This Row],[WHIP]]*$AH$5+$AI$5)/9*(Pitchers[[#This Row],[IP]]/Pitchers[[#This Row],[G]]))</f>
        <v>1.1431273116446481</v>
      </c>
      <c r="X564">
        <f>Pitchers[[#This Row],[Runs from WHIP]]-AVERAGEIFS(Pitchers[Runs from WHIP],Pitchers[GS],"&gt;"&amp;0,Pitchers[IP],"&gt;"&amp;3)</f>
        <v>-4.5427885944802107</v>
      </c>
      <c r="Y564">
        <f>IF(Pitchers[[#This Row],[IP/GS]]&lt;&gt;0,Pitchers[[#This Row],[ER/IP From Average]]*Pitchers[[#This Row],[IP/GS]],Pitchers[[#This Row],[ER/IP From Average]]*(Pitchers[[#This Row],[IP]]/Pitchers[[#This Row],[G]]))</f>
        <v>0.75091700318097687</v>
      </c>
      <c r="Z564">
        <f t="shared" si="26"/>
        <v>-0.91104349058899892</v>
      </c>
      <c r="AA564" s="32">
        <f>IF(Pitchers[[#This Row],[W]]=0,0,Pitchers[[#This Row],[W]]/(Pitchers[[#This Row],[W]]+Pitchers[[#This Row],[L]]))</f>
        <v>0</v>
      </c>
      <c r="AB564" s="60"/>
    </row>
    <row r="565" spans="1:28" x14ac:dyDescent="0.25">
      <c r="A565" t="s">
        <v>573</v>
      </c>
      <c r="B565" t="s">
        <v>17</v>
      </c>
      <c r="C565">
        <v>28</v>
      </c>
      <c r="D565">
        <v>0</v>
      </c>
      <c r="E565">
        <v>0</v>
      </c>
      <c r="F565">
        <v>0</v>
      </c>
      <c r="G565">
        <v>20.100000000000001</v>
      </c>
      <c r="H565">
        <v>16</v>
      </c>
      <c r="I565">
        <v>10</v>
      </c>
      <c r="J565">
        <v>21</v>
      </c>
      <c r="K565">
        <v>16</v>
      </c>
      <c r="L565">
        <v>0</v>
      </c>
      <c r="M565">
        <v>1</v>
      </c>
      <c r="N565">
        <v>1</v>
      </c>
      <c r="O565">
        <v>0</v>
      </c>
      <c r="P565">
        <v>0</v>
      </c>
      <c r="Q565">
        <v>13</v>
      </c>
      <c r="R565">
        <v>4.43</v>
      </c>
      <c r="S565">
        <v>1.57</v>
      </c>
      <c r="T565">
        <f t="shared" si="24"/>
        <v>0</v>
      </c>
      <c r="U565">
        <f t="shared" si="25"/>
        <v>0.49751243781094523</v>
      </c>
      <c r="V565">
        <f>U565-AVERAGEIFS(Pitchers[ER/IP],Pitchers[GS],"&gt;"&amp;0,Pitchers[IP],"&gt;"&amp;3)</f>
        <v>-7.3988156988374243E-2</v>
      </c>
      <c r="W565">
        <f>IF(Pitchers[[#This Row],[IP/GS]]&lt;&gt;0,(Pitchers[[#This Row],[WHIP]]*$AH$5+$AI$5)/9*Pitchers[[#This Row],[IP/GS]],(Pitchers[[#This Row],[WHIP]]*$AH$5+$AI$5)/9*(Pitchers[[#This Row],[IP]]/Pitchers[[#This Row],[G]]))</f>
        <v>0.4411209670407526</v>
      </c>
      <c r="X565">
        <f>Pitchers[[#This Row],[Runs from WHIP]]-AVERAGEIFS(Pitchers[Runs from WHIP],Pitchers[GS],"&gt;"&amp;0,Pitchers[IP],"&gt;"&amp;3)</f>
        <v>-5.2447949390841062</v>
      </c>
      <c r="Y565">
        <f>IF(Pitchers[[#This Row],[IP/GS]]&lt;&gt;0,Pitchers[[#This Row],[ER/IP From Average]]*Pitchers[[#This Row],[IP/GS]],Pitchers[[#This Row],[ER/IP From Average]]*(Pitchers[[#This Row],[IP]]/Pitchers[[#This Row],[G]]))</f>
        <v>-5.3112926980940084E-2</v>
      </c>
      <c r="Z565">
        <f t="shared" si="26"/>
        <v>-1.419857154548138</v>
      </c>
      <c r="AA565" s="32">
        <f>IF(Pitchers[[#This Row],[W]]=0,0,Pitchers[[#This Row],[W]]/(Pitchers[[#This Row],[W]]+Pitchers[[#This Row],[L]]))</f>
        <v>0.5</v>
      </c>
      <c r="AB565" s="60"/>
    </row>
    <row r="566" spans="1:28" x14ac:dyDescent="0.25">
      <c r="A566" t="s">
        <v>1351</v>
      </c>
      <c r="B566" t="s">
        <v>24</v>
      </c>
      <c r="C566">
        <v>13</v>
      </c>
      <c r="D566">
        <v>2</v>
      </c>
      <c r="E566">
        <v>0</v>
      </c>
      <c r="F566">
        <v>0</v>
      </c>
      <c r="G566">
        <v>20.100000000000001</v>
      </c>
      <c r="H566">
        <v>23</v>
      </c>
      <c r="I566">
        <v>11</v>
      </c>
      <c r="J566">
        <v>19</v>
      </c>
      <c r="K566">
        <v>11</v>
      </c>
      <c r="L566">
        <v>2</v>
      </c>
      <c r="M566">
        <v>0</v>
      </c>
      <c r="N566">
        <v>2</v>
      </c>
      <c r="O566">
        <v>1</v>
      </c>
      <c r="P566">
        <v>0</v>
      </c>
      <c r="Q566">
        <v>1</v>
      </c>
      <c r="R566">
        <v>4.87</v>
      </c>
      <c r="S566">
        <v>1.67</v>
      </c>
      <c r="T566">
        <f t="shared" si="24"/>
        <v>10.050000000000001</v>
      </c>
      <c r="U566">
        <f t="shared" si="25"/>
        <v>0.54726368159203975</v>
      </c>
      <c r="V566">
        <f>U566-AVERAGEIFS(Pitchers[ER/IP],Pitchers[GS],"&gt;"&amp;0,Pitchers[IP],"&gt;"&amp;3)</f>
        <v>-2.423691320727972E-2</v>
      </c>
      <c r="W566">
        <f>IF(Pitchers[[#This Row],[IP/GS]]&lt;&gt;0,(Pitchers[[#This Row],[WHIP]]*$AH$5+$AI$5)/9*Pitchers[[#This Row],[IP/GS]],(Pitchers[[#This Row],[WHIP]]*$AH$5+$AI$5)/9*(Pitchers[[#This Row],[IP]]/Pitchers[[#This Row],[G]]))</f>
        <v>6.6974642936968216</v>
      </c>
      <c r="X566">
        <f>Pitchers[[#This Row],[Runs from WHIP]]-AVERAGEIFS(Pitchers[Runs from WHIP],Pitchers[GS],"&gt;"&amp;0,Pitchers[IP],"&gt;"&amp;3)</f>
        <v>1.0115483875719624</v>
      </c>
      <c r="Y566">
        <f>IF(Pitchers[[#This Row],[IP/GS]]&lt;&gt;0,Pitchers[[#This Row],[ER/IP From Average]]*Pitchers[[#This Row],[IP/GS]],Pitchers[[#This Row],[ER/IP From Average]]*(Pitchers[[#This Row],[IP]]/Pitchers[[#This Row],[G]]))</f>
        <v>-0.2435809777331612</v>
      </c>
      <c r="Z566">
        <f t="shared" si="26"/>
        <v>0.17231384559259214</v>
      </c>
      <c r="AA566" s="32">
        <f>IF(Pitchers[[#This Row],[W]]=0,0,Pitchers[[#This Row],[W]]/(Pitchers[[#This Row],[W]]+Pitchers[[#This Row],[L]]))</f>
        <v>0</v>
      </c>
      <c r="AB566" s="60"/>
    </row>
    <row r="567" spans="1:28" x14ac:dyDescent="0.25">
      <c r="A567" t="s">
        <v>3681</v>
      </c>
      <c r="B567" t="s">
        <v>18</v>
      </c>
      <c r="C567">
        <v>28</v>
      </c>
      <c r="D567">
        <v>1</v>
      </c>
      <c r="E567">
        <v>0</v>
      </c>
      <c r="F567">
        <v>0</v>
      </c>
      <c r="G567">
        <v>20</v>
      </c>
      <c r="H567">
        <v>20</v>
      </c>
      <c r="I567">
        <v>9</v>
      </c>
      <c r="J567">
        <v>26</v>
      </c>
      <c r="K567">
        <v>10</v>
      </c>
      <c r="L567">
        <v>3</v>
      </c>
      <c r="M567">
        <v>0</v>
      </c>
      <c r="N567">
        <v>3</v>
      </c>
      <c r="O567">
        <v>0</v>
      </c>
      <c r="P567">
        <v>0</v>
      </c>
      <c r="Q567">
        <v>4</v>
      </c>
      <c r="R567">
        <v>4.05</v>
      </c>
      <c r="S567">
        <v>1.5</v>
      </c>
      <c r="T567">
        <f t="shared" si="24"/>
        <v>20</v>
      </c>
      <c r="U567">
        <f t="shared" si="25"/>
        <v>0.45</v>
      </c>
      <c r="V567">
        <f>U567-AVERAGEIFS(Pitchers[ER/IP],Pitchers[GS],"&gt;"&amp;0,Pitchers[IP],"&gt;"&amp;3)</f>
        <v>-0.12150059479931946</v>
      </c>
      <c r="W567">
        <f>IF(Pitchers[[#This Row],[IP/GS]]&lt;&gt;0,(Pitchers[[#This Row],[WHIP]]*$AH$5+$AI$5)/9*Pitchers[[#This Row],[IP/GS]],(Pitchers[[#This Row],[WHIP]]*$AH$5+$AI$5)/9*(Pitchers[[#This Row],[IP]]/Pitchers[[#This Row],[G]]))</f>
        <v>11.563092557178381</v>
      </c>
      <c r="X567">
        <f>Pitchers[[#This Row],[Runs from WHIP]]-AVERAGEIFS(Pitchers[Runs from WHIP],Pitchers[GS],"&gt;"&amp;0,Pitchers[IP],"&gt;"&amp;3)</f>
        <v>5.8771766510535217</v>
      </c>
      <c r="Y567">
        <f>IF(Pitchers[[#This Row],[IP/GS]]&lt;&gt;0,Pitchers[[#This Row],[ER/IP From Average]]*Pitchers[[#This Row],[IP/GS]],Pitchers[[#This Row],[ER/IP From Average]]*(Pitchers[[#This Row],[IP]]/Pitchers[[#This Row],[G]]))</f>
        <v>-2.4300118959863894</v>
      </c>
      <c r="Z567">
        <f t="shared" si="26"/>
        <v>0.59524234855305003</v>
      </c>
      <c r="AA567" s="32">
        <f>IF(Pitchers[[#This Row],[W]]=0,0,Pitchers[[#This Row],[W]]/(Pitchers[[#This Row],[W]]+Pitchers[[#This Row],[L]]))</f>
        <v>0</v>
      </c>
      <c r="AB567" s="60"/>
    </row>
    <row r="568" spans="1:28" x14ac:dyDescent="0.25">
      <c r="A568" t="s">
        <v>724</v>
      </c>
      <c r="B568" t="s">
        <v>332</v>
      </c>
      <c r="C568">
        <v>25</v>
      </c>
      <c r="D568">
        <v>0</v>
      </c>
      <c r="E568">
        <v>0</v>
      </c>
      <c r="F568">
        <v>0</v>
      </c>
      <c r="G568">
        <v>20</v>
      </c>
      <c r="H568">
        <v>30</v>
      </c>
      <c r="I568">
        <v>17</v>
      </c>
      <c r="J568">
        <v>17</v>
      </c>
      <c r="K568">
        <v>8</v>
      </c>
      <c r="L568">
        <v>2</v>
      </c>
      <c r="M568">
        <v>0</v>
      </c>
      <c r="N568">
        <v>3</v>
      </c>
      <c r="O568">
        <v>0</v>
      </c>
      <c r="P568">
        <v>1</v>
      </c>
      <c r="Q568">
        <v>2</v>
      </c>
      <c r="R568">
        <v>7.65</v>
      </c>
      <c r="S568">
        <v>1.9</v>
      </c>
      <c r="T568">
        <f t="shared" si="24"/>
        <v>0</v>
      </c>
      <c r="U568">
        <f t="shared" si="25"/>
        <v>0.85</v>
      </c>
      <c r="V568">
        <f>U568-AVERAGEIFS(Pitchers[ER/IP],Pitchers[GS],"&gt;"&amp;0,Pitchers[IP],"&gt;"&amp;3)</f>
        <v>0.27849940520068051</v>
      </c>
      <c r="W568">
        <f>IF(Pitchers[[#This Row],[IP/GS]]&lt;&gt;0,(Pitchers[[#This Row],[WHIP]]*$AH$5+$AI$5)/9*Pitchers[[#This Row],[IP/GS]],(Pitchers[[#This Row],[WHIP]]*$AH$5+$AI$5)/9*(Pitchers[[#This Row],[IP]]/Pitchers[[#This Row],[G]]))</f>
        <v>0.62865966411839036</v>
      </c>
      <c r="X568">
        <f>Pitchers[[#This Row],[Runs from WHIP]]-AVERAGEIFS(Pitchers[Runs from WHIP],Pitchers[GS],"&gt;"&amp;0,Pitchers[IP],"&gt;"&amp;3)</f>
        <v>-5.0572562420064688</v>
      </c>
      <c r="Y568">
        <f>IF(Pitchers[[#This Row],[IP/GS]]&lt;&gt;0,Pitchers[[#This Row],[ER/IP From Average]]*Pitchers[[#This Row],[IP/GS]],Pitchers[[#This Row],[ER/IP From Average]]*(Pitchers[[#This Row],[IP]]/Pitchers[[#This Row],[G]]))</f>
        <v>0.22279952416054441</v>
      </c>
      <c r="Z568">
        <f t="shared" si="26"/>
        <v>-1.2594818548708406</v>
      </c>
      <c r="AA568" s="32">
        <f>IF(Pitchers[[#This Row],[W]]=0,0,Pitchers[[#This Row],[W]]/(Pitchers[[#This Row],[W]]+Pitchers[[#This Row],[L]]))</f>
        <v>0</v>
      </c>
      <c r="AB568" s="60"/>
    </row>
    <row r="569" spans="1:28" x14ac:dyDescent="0.25">
      <c r="A569" t="s">
        <v>723</v>
      </c>
      <c r="B569" t="s">
        <v>10</v>
      </c>
      <c r="C569">
        <v>6</v>
      </c>
      <c r="D569">
        <v>4</v>
      </c>
      <c r="E569">
        <v>0</v>
      </c>
      <c r="F569">
        <v>0</v>
      </c>
      <c r="G569">
        <v>20</v>
      </c>
      <c r="H569">
        <v>26</v>
      </c>
      <c r="I569">
        <v>16</v>
      </c>
      <c r="J569">
        <v>16</v>
      </c>
      <c r="K569">
        <v>10</v>
      </c>
      <c r="L569">
        <v>5</v>
      </c>
      <c r="M569">
        <v>1</v>
      </c>
      <c r="N569">
        <v>1</v>
      </c>
      <c r="O569">
        <v>0</v>
      </c>
      <c r="P569">
        <v>0</v>
      </c>
      <c r="Q569">
        <v>0</v>
      </c>
      <c r="R569">
        <v>7.2</v>
      </c>
      <c r="S569">
        <v>1.8</v>
      </c>
      <c r="T569">
        <f t="shared" si="24"/>
        <v>5</v>
      </c>
      <c r="U569">
        <f t="shared" si="25"/>
        <v>0.8</v>
      </c>
      <c r="V569">
        <f>U569-AVERAGEIFS(Pitchers[ER/IP],Pitchers[GS],"&gt;"&amp;0,Pitchers[IP],"&gt;"&amp;3)</f>
        <v>0.22849940520068057</v>
      </c>
      <c r="W569">
        <f>IF(Pitchers[[#This Row],[IP/GS]]&lt;&gt;0,(Pitchers[[#This Row],[WHIP]]*$AH$5+$AI$5)/9*Pitchers[[#This Row],[IP/GS]],(Pitchers[[#This Row],[WHIP]]*$AH$5+$AI$5)/9*(Pitchers[[#This Row],[IP]]/Pitchers[[#This Row],[G]]))</f>
        <v>3.6695354603786039</v>
      </c>
      <c r="X569">
        <f>Pitchers[[#This Row],[Runs from WHIP]]-AVERAGEIFS(Pitchers[Runs from WHIP],Pitchers[GS],"&gt;"&amp;0,Pitchers[IP],"&gt;"&amp;3)</f>
        <v>-2.0163804457462553</v>
      </c>
      <c r="Y569">
        <f>IF(Pitchers[[#This Row],[IP/GS]]&lt;&gt;0,Pitchers[[#This Row],[ER/IP From Average]]*Pitchers[[#This Row],[IP/GS]],Pitchers[[#This Row],[ER/IP From Average]]*(Pitchers[[#This Row],[IP]]/Pitchers[[#This Row],[G]]))</f>
        <v>1.1424970260034029</v>
      </c>
      <c r="Z569">
        <f t="shared" si="26"/>
        <v>-8.0702641797640293E-2</v>
      </c>
      <c r="AA569" s="32">
        <f>IF(Pitchers[[#This Row],[W]]=0,0,Pitchers[[#This Row],[W]]/(Pitchers[[#This Row],[W]]+Pitchers[[#This Row],[L]]))</f>
        <v>0.5</v>
      </c>
      <c r="AB569" s="60"/>
    </row>
    <row r="570" spans="1:28" x14ac:dyDescent="0.25">
      <c r="A570" t="s">
        <v>452</v>
      </c>
      <c r="B570" t="s">
        <v>10</v>
      </c>
      <c r="C570">
        <v>7</v>
      </c>
      <c r="D570">
        <v>4</v>
      </c>
      <c r="E570">
        <v>0</v>
      </c>
      <c r="F570">
        <v>0</v>
      </c>
      <c r="G570">
        <v>19.2</v>
      </c>
      <c r="H570">
        <v>24</v>
      </c>
      <c r="I570">
        <v>19</v>
      </c>
      <c r="J570">
        <v>18</v>
      </c>
      <c r="K570">
        <v>13</v>
      </c>
      <c r="L570">
        <v>4</v>
      </c>
      <c r="M570">
        <v>0</v>
      </c>
      <c r="N570">
        <v>3</v>
      </c>
      <c r="O570">
        <v>0</v>
      </c>
      <c r="P570">
        <v>0</v>
      </c>
      <c r="Q570">
        <v>0</v>
      </c>
      <c r="R570">
        <v>8.69</v>
      </c>
      <c r="S570">
        <v>1.88</v>
      </c>
      <c r="T570">
        <f t="shared" si="24"/>
        <v>4.8</v>
      </c>
      <c r="U570">
        <f t="shared" si="25"/>
        <v>0.98958333333333337</v>
      </c>
      <c r="V570">
        <f>U570-AVERAGEIFS(Pitchers[ER/IP],Pitchers[GS],"&gt;"&amp;0,Pitchers[IP],"&gt;"&amp;3)</f>
        <v>0.4180827385340139</v>
      </c>
      <c r="W570">
        <f>IF(Pitchers[[#This Row],[IP/GS]]&lt;&gt;0,(Pitchers[[#This Row],[WHIP]]*$AH$5+$AI$5)/9*Pitchers[[#This Row],[IP/GS]],(Pitchers[[#This Row],[WHIP]]*$AH$5+$AI$5)/9*(Pitchers[[#This Row],[IP]]/Pitchers[[#This Row],[G]]))</f>
        <v>3.7221171961609656</v>
      </c>
      <c r="X570">
        <f>Pitchers[[#This Row],[Runs from WHIP]]-AVERAGEIFS(Pitchers[Runs from WHIP],Pitchers[GS],"&gt;"&amp;0,Pitchers[IP],"&gt;"&amp;3)</f>
        <v>-1.9637987099638936</v>
      </c>
      <c r="Y570">
        <f>IF(Pitchers[[#This Row],[IP/GS]]&lt;&gt;0,Pitchers[[#This Row],[ER/IP From Average]]*Pitchers[[#This Row],[IP/GS]],Pitchers[[#This Row],[ER/IP From Average]]*(Pitchers[[#This Row],[IP]]/Pitchers[[#This Row],[G]]))</f>
        <v>2.0067971449632664</v>
      </c>
      <c r="Z570">
        <f t="shared" si="26"/>
        <v>0.27903920199493498</v>
      </c>
      <c r="AA570" s="32">
        <f>IF(Pitchers[[#This Row],[W]]=0,0,Pitchers[[#This Row],[W]]/(Pitchers[[#This Row],[W]]+Pitchers[[#This Row],[L]]))</f>
        <v>0</v>
      </c>
      <c r="AB570" s="60"/>
    </row>
    <row r="571" spans="1:28" x14ac:dyDescent="0.25">
      <c r="A571" t="s">
        <v>4388</v>
      </c>
      <c r="B571" t="s">
        <v>7</v>
      </c>
      <c r="C571">
        <v>9</v>
      </c>
      <c r="D571">
        <v>1</v>
      </c>
      <c r="E571">
        <v>0</v>
      </c>
      <c r="F571">
        <v>0</v>
      </c>
      <c r="G571">
        <v>19.2</v>
      </c>
      <c r="H571">
        <v>17</v>
      </c>
      <c r="I571">
        <v>6</v>
      </c>
      <c r="J571">
        <v>13</v>
      </c>
      <c r="K571">
        <v>11</v>
      </c>
      <c r="L571">
        <v>5</v>
      </c>
      <c r="M571">
        <v>0</v>
      </c>
      <c r="N571">
        <v>1</v>
      </c>
      <c r="O571">
        <v>0</v>
      </c>
      <c r="P571">
        <v>0</v>
      </c>
      <c r="Q571">
        <v>0</v>
      </c>
      <c r="R571">
        <v>2.75</v>
      </c>
      <c r="S571">
        <v>1.42</v>
      </c>
      <c r="T571">
        <f t="shared" si="24"/>
        <v>19.2</v>
      </c>
      <c r="U571">
        <f t="shared" si="25"/>
        <v>0.3125</v>
      </c>
      <c r="V571">
        <f>U571-AVERAGEIFS(Pitchers[ER/IP],Pitchers[GS],"&gt;"&amp;0,Pitchers[IP],"&gt;"&amp;3)</f>
        <v>-0.25900059479931947</v>
      </c>
      <c r="W571">
        <f>IF(Pitchers[[#This Row],[IP/GS]]&lt;&gt;0,(Pitchers[[#This Row],[WHIP]]*$AH$5+$AI$5)/9*Pitchers[[#This Row],[IP/GS]],(Pitchers[[#This Row],[WHIP]]*$AH$5+$AI$5)/9*(Pitchers[[#This Row],[IP]]/Pitchers[[#This Row],[G]]))</f>
        <v>10.303116238101218</v>
      </c>
      <c r="X571">
        <f>Pitchers[[#This Row],[Runs from WHIP]]-AVERAGEIFS(Pitchers[Runs from WHIP],Pitchers[GS],"&gt;"&amp;0,Pitchers[IP],"&gt;"&amp;3)</f>
        <v>4.6172003319763588</v>
      </c>
      <c r="Y571">
        <f>IF(Pitchers[[#This Row],[IP/GS]]&lt;&gt;0,Pitchers[[#This Row],[ER/IP From Average]]*Pitchers[[#This Row],[IP/GS]],Pitchers[[#This Row],[ER/IP From Average]]*(Pitchers[[#This Row],[IP]]/Pitchers[[#This Row],[G]]))</f>
        <v>-4.9728114201469333</v>
      </c>
      <c r="Z571">
        <f t="shared" si="26"/>
        <v>-0.75787114619841101</v>
      </c>
      <c r="AA571" s="32">
        <f>IF(Pitchers[[#This Row],[W]]=0,0,Pitchers[[#This Row],[W]]/(Pitchers[[#This Row],[W]]+Pitchers[[#This Row],[L]]))</f>
        <v>0</v>
      </c>
      <c r="AB571" s="60"/>
    </row>
    <row r="572" spans="1:28" x14ac:dyDescent="0.25">
      <c r="A572" t="s">
        <v>477</v>
      </c>
      <c r="B572" t="s">
        <v>361</v>
      </c>
      <c r="C572">
        <v>16</v>
      </c>
      <c r="D572">
        <v>1</v>
      </c>
      <c r="E572">
        <v>0</v>
      </c>
      <c r="F572">
        <v>0</v>
      </c>
      <c r="G572">
        <v>19.2</v>
      </c>
      <c r="H572">
        <v>17</v>
      </c>
      <c r="I572">
        <v>10</v>
      </c>
      <c r="J572">
        <v>20</v>
      </c>
      <c r="K572">
        <v>8</v>
      </c>
      <c r="L572">
        <v>3</v>
      </c>
      <c r="M572">
        <v>1</v>
      </c>
      <c r="N572">
        <v>1</v>
      </c>
      <c r="O572">
        <v>0</v>
      </c>
      <c r="P572">
        <v>0</v>
      </c>
      <c r="Q572">
        <v>0</v>
      </c>
      <c r="R572">
        <v>4.58</v>
      </c>
      <c r="S572">
        <v>1.27</v>
      </c>
      <c r="T572">
        <f t="shared" si="24"/>
        <v>19.2</v>
      </c>
      <c r="U572">
        <f t="shared" si="25"/>
        <v>0.52083333333333337</v>
      </c>
      <c r="V572">
        <f>U572-AVERAGEIFS(Pitchers[ER/IP],Pitchers[GS],"&gt;"&amp;0,Pitchers[IP],"&gt;"&amp;3)</f>
        <v>-5.0667261465986102E-2</v>
      </c>
      <c r="W572">
        <f>IF(Pitchers[[#This Row],[IP/GS]]&lt;&gt;0,(Pitchers[[#This Row],[WHIP]]*$AH$5+$AI$5)/9*Pitchers[[#This Row],[IP/GS]],(Pitchers[[#This Row],[WHIP]]*$AH$5+$AI$5)/9*(Pitchers[[#This Row],[IP]]/Pitchers[[#This Row],[G]]))</f>
        <v>8.8078925816199209</v>
      </c>
      <c r="X572">
        <f>Pitchers[[#This Row],[Runs from WHIP]]-AVERAGEIFS(Pitchers[Runs from WHIP],Pitchers[GS],"&gt;"&amp;0,Pitchers[IP],"&gt;"&amp;3)</f>
        <v>3.1219766754950617</v>
      </c>
      <c r="Y572">
        <f>IF(Pitchers[[#This Row],[IP/GS]]&lt;&gt;0,Pitchers[[#This Row],[ER/IP From Average]]*Pitchers[[#This Row],[IP/GS]],Pitchers[[#This Row],[ER/IP From Average]]*(Pitchers[[#This Row],[IP]]/Pitchers[[#This Row],[G]]))</f>
        <v>-0.97281142014693311</v>
      </c>
      <c r="Z572">
        <f t="shared" si="26"/>
        <v>0.44340254540657648</v>
      </c>
      <c r="AA572" s="32">
        <f>IF(Pitchers[[#This Row],[W]]=0,0,Pitchers[[#This Row],[W]]/(Pitchers[[#This Row],[W]]+Pitchers[[#This Row],[L]]))</f>
        <v>0.5</v>
      </c>
      <c r="AB572" s="60"/>
    </row>
    <row r="573" spans="1:28" x14ac:dyDescent="0.25">
      <c r="A573" t="s">
        <v>570</v>
      </c>
      <c r="B573" t="s">
        <v>6</v>
      </c>
      <c r="C573">
        <v>18</v>
      </c>
      <c r="D573">
        <v>1</v>
      </c>
      <c r="E573">
        <v>0</v>
      </c>
      <c r="F573">
        <v>0</v>
      </c>
      <c r="G573">
        <v>19.2</v>
      </c>
      <c r="H573">
        <v>22</v>
      </c>
      <c r="I573">
        <v>15</v>
      </c>
      <c r="J573">
        <v>22</v>
      </c>
      <c r="K573">
        <v>11</v>
      </c>
      <c r="L573">
        <v>3</v>
      </c>
      <c r="M573">
        <v>1</v>
      </c>
      <c r="N573">
        <v>1</v>
      </c>
      <c r="O573">
        <v>0</v>
      </c>
      <c r="P573">
        <v>0</v>
      </c>
      <c r="Q573">
        <v>1</v>
      </c>
      <c r="R573">
        <v>6.86</v>
      </c>
      <c r="S573">
        <v>1.68</v>
      </c>
      <c r="T573">
        <f t="shared" si="24"/>
        <v>19.2</v>
      </c>
      <c r="U573">
        <f t="shared" si="25"/>
        <v>0.78125</v>
      </c>
      <c r="V573">
        <f>U573-AVERAGEIFS(Pitchers[ER/IP],Pitchers[GS],"&gt;"&amp;0,Pitchers[IP],"&gt;"&amp;3)</f>
        <v>0.20974940520068053</v>
      </c>
      <c r="W573">
        <f>IF(Pitchers[[#This Row],[IP/GS]]&lt;&gt;0,(Pitchers[[#This Row],[WHIP]]*$AH$5+$AI$5)/9*Pitchers[[#This Row],[IP/GS]],(Pitchers[[#This Row],[WHIP]]*$AH$5+$AI$5)/9*(Pitchers[[#This Row],[IP]]/Pitchers[[#This Row],[G]]))</f>
        <v>12.8948372426688</v>
      </c>
      <c r="X573">
        <f>Pitchers[[#This Row],[Runs from WHIP]]-AVERAGEIFS(Pitchers[Runs from WHIP],Pitchers[GS],"&gt;"&amp;0,Pitchers[IP],"&gt;"&amp;3)</f>
        <v>7.2089213365439404</v>
      </c>
      <c r="Y573">
        <f>IF(Pitchers[[#This Row],[IP/GS]]&lt;&gt;0,Pitchers[[#This Row],[ER/IP From Average]]*Pitchers[[#This Row],[IP/GS]],Pitchers[[#This Row],[ER/IP From Average]]*(Pitchers[[#This Row],[IP]]/Pitchers[[#This Row],[G]]))</f>
        <v>4.0271885798530658</v>
      </c>
      <c r="Z573">
        <f t="shared" si="26"/>
        <v>3.5332544550196103</v>
      </c>
      <c r="AA573" s="32">
        <f>IF(Pitchers[[#This Row],[W]]=0,0,Pitchers[[#This Row],[W]]/(Pitchers[[#This Row],[W]]+Pitchers[[#This Row],[L]]))</f>
        <v>0.5</v>
      </c>
      <c r="AB573" s="60"/>
    </row>
    <row r="574" spans="1:28" x14ac:dyDescent="0.25">
      <c r="A574" t="s">
        <v>690</v>
      </c>
      <c r="B574" t="s">
        <v>27</v>
      </c>
      <c r="C574">
        <v>17</v>
      </c>
      <c r="D574">
        <v>0</v>
      </c>
      <c r="E574">
        <v>0</v>
      </c>
      <c r="F574">
        <v>0</v>
      </c>
      <c r="G574">
        <v>19.2</v>
      </c>
      <c r="H574">
        <v>18</v>
      </c>
      <c r="I574">
        <v>10</v>
      </c>
      <c r="J574">
        <v>22</v>
      </c>
      <c r="K574">
        <v>3</v>
      </c>
      <c r="L574">
        <v>3</v>
      </c>
      <c r="M574">
        <v>1</v>
      </c>
      <c r="N574">
        <v>1</v>
      </c>
      <c r="O574">
        <v>1</v>
      </c>
      <c r="P574">
        <v>0</v>
      </c>
      <c r="Q574">
        <v>0</v>
      </c>
      <c r="R574">
        <v>4.58</v>
      </c>
      <c r="S574">
        <v>1.07</v>
      </c>
      <c r="T574">
        <f t="shared" si="24"/>
        <v>0</v>
      </c>
      <c r="U574">
        <f t="shared" si="25"/>
        <v>0.52083333333333337</v>
      </c>
      <c r="V574">
        <f>U574-AVERAGEIFS(Pitchers[ER/IP],Pitchers[GS],"&gt;"&amp;0,Pitchers[IP],"&gt;"&amp;3)</f>
        <v>-5.0667261465986102E-2</v>
      </c>
      <c r="W574">
        <f>IF(Pitchers[[#This Row],[IP/GS]]&lt;&gt;0,(Pitchers[[#This Row],[WHIP]]*$AH$5+$AI$5)/9*Pitchers[[#This Row],[IP/GS]],(Pitchers[[#This Row],[WHIP]]*$AH$5+$AI$5)/9*(Pitchers[[#This Row],[IP]]/Pitchers[[#This Row],[G]]))</f>
        <v>0.40083888468499179</v>
      </c>
      <c r="X574">
        <f>Pitchers[[#This Row],[Runs from WHIP]]-AVERAGEIFS(Pitchers[Runs from WHIP],Pitchers[GS],"&gt;"&amp;0,Pitchers[IP],"&gt;"&amp;3)</f>
        <v>-5.285077021439867</v>
      </c>
      <c r="Y574">
        <f>IF(Pitchers[[#This Row],[IP/GS]]&lt;&gt;0,Pitchers[[#This Row],[ER/IP From Average]]*Pitchers[[#This Row],[IP/GS]],Pitchers[[#This Row],[ER/IP From Average]]*(Pitchers[[#This Row],[IP]]/Pitchers[[#This Row],[G]]))</f>
        <v>-5.7224201185113711E-2</v>
      </c>
      <c r="Z574">
        <f t="shared" si="26"/>
        <v>-1.4322435528580104</v>
      </c>
      <c r="AA574" s="32">
        <f>IF(Pitchers[[#This Row],[W]]=0,0,Pitchers[[#This Row],[W]]/(Pitchers[[#This Row],[W]]+Pitchers[[#This Row],[L]]))</f>
        <v>0.5</v>
      </c>
      <c r="AB574" s="60"/>
    </row>
    <row r="575" spans="1:28" x14ac:dyDescent="0.25">
      <c r="A575" t="s">
        <v>667</v>
      </c>
      <c r="B575" t="s">
        <v>219</v>
      </c>
      <c r="C575">
        <v>21</v>
      </c>
      <c r="D575">
        <v>0</v>
      </c>
      <c r="E575">
        <v>0</v>
      </c>
      <c r="F575">
        <v>0</v>
      </c>
      <c r="G575">
        <v>19.2</v>
      </c>
      <c r="H575">
        <v>18</v>
      </c>
      <c r="I575">
        <v>12</v>
      </c>
      <c r="J575">
        <v>18</v>
      </c>
      <c r="K575">
        <v>9</v>
      </c>
      <c r="L575">
        <v>4</v>
      </c>
      <c r="M575">
        <v>2</v>
      </c>
      <c r="N575">
        <v>0</v>
      </c>
      <c r="O575">
        <v>0</v>
      </c>
      <c r="P575">
        <v>0</v>
      </c>
      <c r="Q575">
        <v>0</v>
      </c>
      <c r="R575">
        <v>5.49</v>
      </c>
      <c r="S575">
        <v>1.37</v>
      </c>
      <c r="T575">
        <f t="shared" si="24"/>
        <v>0</v>
      </c>
      <c r="U575">
        <f t="shared" si="25"/>
        <v>0.625</v>
      </c>
      <c r="V575">
        <f>U575-AVERAGEIFS(Pitchers[ER/IP],Pitchers[GS],"&gt;"&amp;0,Pitchers[IP],"&gt;"&amp;3)</f>
        <v>5.3499405200680528E-2</v>
      </c>
      <c r="W575">
        <f>IF(Pitchers[[#This Row],[IP/GS]]&lt;&gt;0,(Pitchers[[#This Row],[WHIP]]*$AH$5+$AI$5)/9*Pitchers[[#This Row],[IP/GS]],(Pitchers[[#This Row],[WHIP]]*$AH$5+$AI$5)/9*(Pitchers[[#This Row],[IP]]/Pitchers[[#This Row],[G]]))</f>
        <v>0.46689087393368828</v>
      </c>
      <c r="X575">
        <f>Pitchers[[#This Row],[Runs from WHIP]]-AVERAGEIFS(Pitchers[Runs from WHIP],Pitchers[GS],"&gt;"&amp;0,Pitchers[IP],"&gt;"&amp;3)</f>
        <v>-5.2190250321911709</v>
      </c>
      <c r="Y575">
        <f>IF(Pitchers[[#This Row],[IP/GS]]&lt;&gt;0,Pitchers[[#This Row],[ER/IP From Average]]*Pitchers[[#This Row],[IP/GS]],Pitchers[[#This Row],[ER/IP From Average]]*(Pitchers[[#This Row],[IP]]/Pitchers[[#This Row],[G]]))</f>
        <v>4.8913741897765053E-2</v>
      </c>
      <c r="Z575">
        <f t="shared" si="26"/>
        <v>-1.3721745118252062</v>
      </c>
      <c r="AA575" s="32">
        <f>IF(Pitchers[[#This Row],[W]]=0,0,Pitchers[[#This Row],[W]]/(Pitchers[[#This Row],[W]]+Pitchers[[#This Row],[L]]))</f>
        <v>1</v>
      </c>
      <c r="AB575" s="60"/>
    </row>
    <row r="576" spans="1:28" x14ac:dyDescent="0.25">
      <c r="A576" t="s">
        <v>4391</v>
      </c>
      <c r="B576" t="s">
        <v>370</v>
      </c>
      <c r="C576">
        <v>5</v>
      </c>
      <c r="D576">
        <v>3</v>
      </c>
      <c r="E576">
        <v>0</v>
      </c>
      <c r="F576">
        <v>0</v>
      </c>
      <c r="G576">
        <v>19.2</v>
      </c>
      <c r="H576">
        <v>17</v>
      </c>
      <c r="I576">
        <v>13</v>
      </c>
      <c r="J576">
        <v>19</v>
      </c>
      <c r="K576">
        <v>12</v>
      </c>
      <c r="L576">
        <v>3</v>
      </c>
      <c r="M576">
        <v>0</v>
      </c>
      <c r="N576">
        <v>2</v>
      </c>
      <c r="O576">
        <v>0</v>
      </c>
      <c r="P576">
        <v>0</v>
      </c>
      <c r="Q576">
        <v>0</v>
      </c>
      <c r="R576">
        <v>5.95</v>
      </c>
      <c r="S576">
        <v>1.47</v>
      </c>
      <c r="T576">
        <f t="shared" si="24"/>
        <v>6.3999999999999995</v>
      </c>
      <c r="U576">
        <f t="shared" si="25"/>
        <v>0.67708333333333337</v>
      </c>
      <c r="V576">
        <f>U576-AVERAGEIFS(Pitchers[ER/IP],Pitchers[GS],"&gt;"&amp;0,Pitchers[IP],"&gt;"&amp;3)</f>
        <v>0.1055827385340139</v>
      </c>
      <c r="W576">
        <f>IF(Pitchers[[#This Row],[IP/GS]]&lt;&gt;0,(Pitchers[[#This Row],[WHIP]]*$AH$5+$AI$5)/9*Pitchers[[#This Row],[IP/GS]],(Pitchers[[#This Row],[WHIP]]*$AH$5+$AI$5)/9*(Pitchers[[#This Row],[IP]]/Pitchers[[#This Row],[G]]))</f>
        <v>3.6005080411983283</v>
      </c>
      <c r="X576">
        <f>Pitchers[[#This Row],[Runs from WHIP]]-AVERAGEIFS(Pitchers[Runs from WHIP],Pitchers[GS],"&gt;"&amp;0,Pitchers[IP],"&gt;"&amp;3)</f>
        <v>-2.0854078649265309</v>
      </c>
      <c r="Y576">
        <f>IF(Pitchers[[#This Row],[IP/GS]]&lt;&gt;0,Pitchers[[#This Row],[ER/IP From Average]]*Pitchers[[#This Row],[IP/GS]],Pitchers[[#This Row],[ER/IP From Average]]*(Pitchers[[#This Row],[IP]]/Pitchers[[#This Row],[G]]))</f>
        <v>0.67572952661768892</v>
      </c>
      <c r="Z576">
        <f t="shared" si="26"/>
        <v>-0.28581695333333262</v>
      </c>
      <c r="AA576" s="32">
        <f>IF(Pitchers[[#This Row],[W]]=0,0,Pitchers[[#This Row],[W]]/(Pitchers[[#This Row],[W]]+Pitchers[[#This Row],[L]]))</f>
        <v>0</v>
      </c>
      <c r="AB576" s="60"/>
    </row>
    <row r="577" spans="1:28" x14ac:dyDescent="0.25">
      <c r="A577" t="s">
        <v>3588</v>
      </c>
      <c r="B577" t="s">
        <v>332</v>
      </c>
      <c r="C577">
        <v>16</v>
      </c>
      <c r="D577">
        <v>0</v>
      </c>
      <c r="E577">
        <v>0</v>
      </c>
      <c r="F577">
        <v>0</v>
      </c>
      <c r="G577">
        <v>19.100000000000001</v>
      </c>
      <c r="H577">
        <v>21</v>
      </c>
      <c r="I577">
        <v>8</v>
      </c>
      <c r="J577">
        <v>15</v>
      </c>
      <c r="K577">
        <v>10</v>
      </c>
      <c r="L577">
        <v>4</v>
      </c>
      <c r="M577">
        <v>0</v>
      </c>
      <c r="N577">
        <v>0</v>
      </c>
      <c r="O577">
        <v>0</v>
      </c>
      <c r="P577">
        <v>1</v>
      </c>
      <c r="Q577">
        <v>0</v>
      </c>
      <c r="R577">
        <v>3.72</v>
      </c>
      <c r="S577">
        <v>1.6</v>
      </c>
      <c r="T577">
        <f t="shared" ref="T577:T594" si="27">IF(D577=0,0,G577/D577)</f>
        <v>0</v>
      </c>
      <c r="U577">
        <f t="shared" ref="U577:U594" si="28">IF(G577=0,0,I577/G577)</f>
        <v>0.41884816753926696</v>
      </c>
      <c r="V577" s="60">
        <f>U577-AVERAGEIFS(Pitchers[ER/IP],Pitchers[GS],"&gt;"&amp;0,Pitchers[IP],"&gt;"&amp;3)</f>
        <v>-0.15265242726005251</v>
      </c>
      <c r="W577" s="60">
        <f>IF(Pitchers[[#This Row],[IP/GS]]&lt;&gt;0,(Pitchers[[#This Row],[WHIP]]*$AH$5+$AI$5)/9*Pitchers[[#This Row],[IP/GS]],(Pitchers[[#This Row],[WHIP]]*$AH$5+$AI$5)/9*(Pitchers[[#This Row],[IP]]/Pitchers[[#This Row],[G]]))</f>
        <v>0.7521485883928537</v>
      </c>
      <c r="X577" s="60">
        <f>Pitchers[[#This Row],[Runs from WHIP]]-AVERAGEIFS(Pitchers[Runs from WHIP],Pitchers[GS],"&gt;"&amp;0,Pitchers[IP],"&gt;"&amp;3)</f>
        <v>-4.9337673177320056</v>
      </c>
      <c r="Y577" s="60">
        <f>IF(Pitchers[[#This Row],[IP/GS]]&lt;&gt;0,Pitchers[[#This Row],[ER/IP From Average]]*Pitchers[[#This Row],[IP/GS]],Pitchers[[#This Row],[ER/IP From Average]]*(Pitchers[[#This Row],[IP]]/Pitchers[[#This Row],[G]]))</f>
        <v>-0.18222883504168771</v>
      </c>
      <c r="Z577" s="60">
        <f t="shared" ref="Z577:Z594" si="29">AVERAGE(X577,X577,Y577,Y577,Y577)/1.5</f>
        <v>-1.3885628187452099</v>
      </c>
      <c r="AA577" s="32">
        <f>IF(Pitchers[[#This Row],[W]]=0,0,Pitchers[[#This Row],[W]]/(Pitchers[[#This Row],[W]]+Pitchers[[#This Row],[L]]))</f>
        <v>0</v>
      </c>
      <c r="AB577" s="60"/>
    </row>
    <row r="578" spans="1:28" x14ac:dyDescent="0.25">
      <c r="A578" t="s">
        <v>755</v>
      </c>
      <c r="B578" t="s">
        <v>218</v>
      </c>
      <c r="C578">
        <v>9</v>
      </c>
      <c r="D578">
        <v>0</v>
      </c>
      <c r="E578">
        <v>0</v>
      </c>
      <c r="F578">
        <v>0</v>
      </c>
      <c r="G578">
        <v>19.100000000000001</v>
      </c>
      <c r="H578">
        <v>16</v>
      </c>
      <c r="I578">
        <v>4</v>
      </c>
      <c r="J578">
        <v>11</v>
      </c>
      <c r="K578">
        <v>5</v>
      </c>
      <c r="L578">
        <v>2</v>
      </c>
      <c r="M578">
        <v>0</v>
      </c>
      <c r="N578">
        <v>0</v>
      </c>
      <c r="O578">
        <v>0</v>
      </c>
      <c r="P578">
        <v>0</v>
      </c>
      <c r="Q578">
        <v>0</v>
      </c>
      <c r="R578">
        <v>1.86</v>
      </c>
      <c r="S578">
        <v>1.0900000000000001</v>
      </c>
      <c r="T578">
        <f t="shared" si="27"/>
        <v>0</v>
      </c>
      <c r="U578">
        <f t="shared" si="28"/>
        <v>0.20942408376963348</v>
      </c>
      <c r="V578" s="60">
        <f>U578-AVERAGEIFS(Pitchers[ER/IP],Pitchers[GS],"&gt;"&amp;0,Pitchers[IP],"&gt;"&amp;3)</f>
        <v>-0.36207651102968597</v>
      </c>
      <c r="W578" s="60">
        <f>IF(Pitchers[[#This Row],[IP/GS]]&lt;&gt;0,(Pitchers[[#This Row],[WHIP]]*$AH$5+$AI$5)/9*Pitchers[[#This Row],[IP/GS]],(Pitchers[[#This Row],[WHIP]]*$AH$5+$AI$5)/9*(Pitchers[[#This Row],[IP]]/Pitchers[[#This Row],[G]]))</f>
        <v>0.77523276679623354</v>
      </c>
      <c r="X578" s="60">
        <f>Pitchers[[#This Row],[Runs from WHIP]]-AVERAGEIFS(Pitchers[Runs from WHIP],Pitchers[GS],"&gt;"&amp;0,Pitchers[IP],"&gt;"&amp;3)</f>
        <v>-4.9106831393286257</v>
      </c>
      <c r="Y578" s="60">
        <f>IF(Pitchers[[#This Row],[IP/GS]]&lt;&gt;0,Pitchers[[#This Row],[ER/IP From Average]]*Pitchers[[#This Row],[IP/GS]],Pitchers[[#This Row],[ER/IP From Average]]*(Pitchers[[#This Row],[IP]]/Pitchers[[#This Row],[G]]))</f>
        <v>-0.76840681785188913</v>
      </c>
      <c r="Z578" s="60">
        <f t="shared" si="29"/>
        <v>-1.6168782309617227</v>
      </c>
      <c r="AA578" s="32">
        <f>IF(Pitchers[[#This Row],[W]]=0,0,Pitchers[[#This Row],[W]]/(Pitchers[[#This Row],[W]]+Pitchers[[#This Row],[L]]))</f>
        <v>0</v>
      </c>
      <c r="AB578" s="60"/>
    </row>
    <row r="579" spans="1:28" x14ac:dyDescent="0.25">
      <c r="A579" t="s">
        <v>634</v>
      </c>
      <c r="B579" t="s">
        <v>11</v>
      </c>
      <c r="C579">
        <v>15</v>
      </c>
      <c r="D579">
        <v>0</v>
      </c>
      <c r="E579">
        <v>0</v>
      </c>
      <c r="F579">
        <v>0</v>
      </c>
      <c r="G579">
        <v>19.100000000000001</v>
      </c>
      <c r="H579">
        <v>21</v>
      </c>
      <c r="I579">
        <v>15</v>
      </c>
      <c r="J579">
        <v>14</v>
      </c>
      <c r="K579">
        <v>16</v>
      </c>
      <c r="L579">
        <v>4</v>
      </c>
      <c r="M579">
        <v>0</v>
      </c>
      <c r="N579">
        <v>0</v>
      </c>
      <c r="O579">
        <v>0</v>
      </c>
      <c r="P579">
        <v>0</v>
      </c>
      <c r="Q579">
        <v>1</v>
      </c>
      <c r="R579">
        <v>6.98</v>
      </c>
      <c r="S579">
        <v>1.91</v>
      </c>
      <c r="T579">
        <f t="shared" si="27"/>
        <v>0</v>
      </c>
      <c r="U579">
        <f t="shared" si="28"/>
        <v>0.78534031413612559</v>
      </c>
      <c r="V579" s="60">
        <f>U579-AVERAGEIFS(Pitchers[ER/IP],Pitchers[GS],"&gt;"&amp;0,Pitchers[IP],"&gt;"&amp;3)</f>
        <v>0.21383971933680612</v>
      </c>
      <c r="W579" s="60">
        <f>IF(Pitchers[[#This Row],[IP/GS]]&lt;&gt;0,(Pitchers[[#This Row],[WHIP]]*$AH$5+$AI$5)/9*Pitchers[[#This Row],[IP/GS]],(Pitchers[[#This Row],[WHIP]]*$AH$5+$AI$5)/9*(Pitchers[[#This Row],[IP]]/Pitchers[[#This Row],[G]]))</f>
        <v>1.0072274588696402</v>
      </c>
      <c r="X579" s="60">
        <f>Pitchers[[#This Row],[Runs from WHIP]]-AVERAGEIFS(Pitchers[Runs from WHIP],Pitchers[GS],"&gt;"&amp;0,Pitchers[IP],"&gt;"&amp;3)</f>
        <v>-4.6786884472552188</v>
      </c>
      <c r="Y579" s="60">
        <f>IF(Pitchers[[#This Row],[IP/GS]]&lt;&gt;0,Pitchers[[#This Row],[ER/IP From Average]]*Pitchers[[#This Row],[IP/GS]],Pitchers[[#This Row],[ER/IP From Average]]*(Pitchers[[#This Row],[IP]]/Pitchers[[#This Row],[G]]))</f>
        <v>0.27228924262219983</v>
      </c>
      <c r="Z579" s="60">
        <f t="shared" si="29"/>
        <v>-1.1387345555525117</v>
      </c>
      <c r="AA579" s="32">
        <f>IF(Pitchers[[#This Row],[W]]=0,0,Pitchers[[#This Row],[W]]/(Pitchers[[#This Row],[W]]+Pitchers[[#This Row],[L]]))</f>
        <v>0</v>
      </c>
      <c r="AB579" s="60"/>
    </row>
    <row r="580" spans="1:28" x14ac:dyDescent="0.25">
      <c r="A580" t="s">
        <v>1279</v>
      </c>
      <c r="B580" t="s">
        <v>2</v>
      </c>
      <c r="C580">
        <v>18</v>
      </c>
      <c r="D580">
        <v>0</v>
      </c>
      <c r="E580">
        <v>0</v>
      </c>
      <c r="F580">
        <v>0</v>
      </c>
      <c r="G580">
        <v>19.100000000000001</v>
      </c>
      <c r="H580">
        <v>15</v>
      </c>
      <c r="I580">
        <v>12</v>
      </c>
      <c r="J580">
        <v>29</v>
      </c>
      <c r="K580">
        <v>9</v>
      </c>
      <c r="L580">
        <v>2</v>
      </c>
      <c r="M580">
        <v>0</v>
      </c>
      <c r="N580">
        <v>0</v>
      </c>
      <c r="O580">
        <v>0</v>
      </c>
      <c r="P580">
        <v>1</v>
      </c>
      <c r="Q580">
        <v>1</v>
      </c>
      <c r="R580">
        <v>5.59</v>
      </c>
      <c r="S580">
        <v>1.24</v>
      </c>
      <c r="T580">
        <f t="shared" si="27"/>
        <v>0</v>
      </c>
      <c r="U580">
        <f t="shared" si="28"/>
        <v>0.62827225130890052</v>
      </c>
      <c r="V580" s="60">
        <f>U580-AVERAGEIFS(Pitchers[ER/IP],Pitchers[GS],"&gt;"&amp;0,Pitchers[IP],"&gt;"&amp;3)</f>
        <v>5.6771656509581048E-2</v>
      </c>
      <c r="W580" s="60">
        <f>IF(Pitchers[[#This Row],[IP/GS]]&lt;&gt;0,(Pitchers[[#This Row],[WHIP]]*$AH$5+$AI$5)/9*Pitchers[[#This Row],[IP/GS]],(Pitchers[[#This Row],[WHIP]]*$AH$5+$AI$5)/9*(Pitchers[[#This Row],[IP]]/Pitchers[[#This Row],[G]]))</f>
        <v>0.47025171857980885</v>
      </c>
      <c r="X580" s="60">
        <f>Pitchers[[#This Row],[Runs from WHIP]]-AVERAGEIFS(Pitchers[Runs from WHIP],Pitchers[GS],"&gt;"&amp;0,Pitchers[IP],"&gt;"&amp;3)</f>
        <v>-5.21566418754505</v>
      </c>
      <c r="Y580" s="60">
        <f>IF(Pitchers[[#This Row],[IP/GS]]&lt;&gt;0,Pitchers[[#This Row],[ER/IP From Average]]*Pitchers[[#This Row],[IP/GS]],Pitchers[[#This Row],[ER/IP From Average]]*(Pitchers[[#This Row],[IP]]/Pitchers[[#This Row],[G]]))</f>
        <v>6.0241035518499887E-2</v>
      </c>
      <c r="Z580" s="60">
        <f t="shared" si="29"/>
        <v>-1.3667473691379468</v>
      </c>
      <c r="AA580" s="32">
        <f>IF(Pitchers[[#This Row],[W]]=0,0,Pitchers[[#This Row],[W]]/(Pitchers[[#This Row],[W]]+Pitchers[[#This Row],[L]]))</f>
        <v>0</v>
      </c>
      <c r="AB580" s="60"/>
    </row>
    <row r="581" spans="1:28" x14ac:dyDescent="0.25">
      <c r="A581" t="s">
        <v>1232</v>
      </c>
      <c r="B581" t="s">
        <v>16</v>
      </c>
      <c r="C581">
        <v>5</v>
      </c>
      <c r="D581">
        <v>5</v>
      </c>
      <c r="E581">
        <v>0</v>
      </c>
      <c r="F581">
        <v>0</v>
      </c>
      <c r="G581">
        <v>19.100000000000001</v>
      </c>
      <c r="H581">
        <v>23</v>
      </c>
      <c r="I581">
        <v>12</v>
      </c>
      <c r="J581">
        <v>19</v>
      </c>
      <c r="K581">
        <v>12</v>
      </c>
      <c r="L581">
        <v>8</v>
      </c>
      <c r="M581">
        <v>1</v>
      </c>
      <c r="N581">
        <v>1</v>
      </c>
      <c r="O581">
        <v>0</v>
      </c>
      <c r="P581">
        <v>0</v>
      </c>
      <c r="Q581">
        <v>0</v>
      </c>
      <c r="R581">
        <v>5.59</v>
      </c>
      <c r="S581">
        <v>1.81</v>
      </c>
      <c r="T581">
        <f t="shared" si="27"/>
        <v>3.8200000000000003</v>
      </c>
      <c r="U581">
        <f t="shared" si="28"/>
        <v>0.62827225130890052</v>
      </c>
      <c r="V581" s="60">
        <f>U581-AVERAGEIFS(Pitchers[ER/IP],Pitchers[GS],"&gt;"&amp;0,Pitchers[IP],"&gt;"&amp;3)</f>
        <v>5.6771656509581048E-2</v>
      </c>
      <c r="W581" s="60">
        <f>IF(Pitchers[[#This Row],[IP/GS]]&lt;&gt;0,(Pitchers[[#This Row],[WHIP]]*$AH$5+$AI$5)/9*Pitchers[[#This Row],[IP/GS]],(Pitchers[[#This Row],[WHIP]]*$AH$5+$AI$5)/9*(Pitchers[[#This Row],[IP]]/Pitchers[[#This Row],[G]]))</f>
        <v>2.8233575721728599</v>
      </c>
      <c r="X581" s="60">
        <f>Pitchers[[#This Row],[Runs from WHIP]]-AVERAGEIFS(Pitchers[Runs from WHIP],Pitchers[GS],"&gt;"&amp;0,Pitchers[IP],"&gt;"&amp;3)</f>
        <v>-2.8625583339519993</v>
      </c>
      <c r="Y581" s="60">
        <f>IF(Pitchers[[#This Row],[IP/GS]]&lt;&gt;0,Pitchers[[#This Row],[ER/IP From Average]]*Pitchers[[#This Row],[IP/GS]],Pitchers[[#This Row],[ER/IP From Average]]*(Pitchers[[#This Row],[IP]]/Pitchers[[#This Row],[G]]))</f>
        <v>0.21686772786659961</v>
      </c>
      <c r="Z581" s="60">
        <f t="shared" si="29"/>
        <v>-0.67660179790722663</v>
      </c>
      <c r="AA581" s="32">
        <f>IF(Pitchers[[#This Row],[W]]=0,0,Pitchers[[#This Row],[W]]/(Pitchers[[#This Row],[W]]+Pitchers[[#This Row],[L]]))</f>
        <v>0.5</v>
      </c>
      <c r="AB581" s="60"/>
    </row>
    <row r="582" spans="1:28" x14ac:dyDescent="0.25">
      <c r="A582" t="s">
        <v>4120</v>
      </c>
      <c r="B582" t="s">
        <v>8</v>
      </c>
      <c r="C582">
        <v>5</v>
      </c>
      <c r="D582">
        <v>3</v>
      </c>
      <c r="E582">
        <v>0</v>
      </c>
      <c r="F582">
        <v>0</v>
      </c>
      <c r="G582">
        <v>19</v>
      </c>
      <c r="H582">
        <v>23</v>
      </c>
      <c r="I582">
        <v>14</v>
      </c>
      <c r="J582">
        <v>17</v>
      </c>
      <c r="K582">
        <v>6</v>
      </c>
      <c r="L582">
        <v>5</v>
      </c>
      <c r="M582">
        <v>0</v>
      </c>
      <c r="N582">
        <v>0</v>
      </c>
      <c r="O582">
        <v>0</v>
      </c>
      <c r="P582">
        <v>0</v>
      </c>
      <c r="Q582">
        <v>0</v>
      </c>
      <c r="R582">
        <v>6.63</v>
      </c>
      <c r="S582">
        <v>1.53</v>
      </c>
      <c r="T582">
        <f t="shared" si="27"/>
        <v>6.333333333333333</v>
      </c>
      <c r="U582">
        <f t="shared" si="28"/>
        <v>0.73684210526315785</v>
      </c>
      <c r="V582" s="60">
        <f>U582-AVERAGEIFS(Pitchers[ER/IP],Pitchers[GS],"&gt;"&amp;0,Pitchers[IP],"&gt;"&amp;3)</f>
        <v>0.16534151046383838</v>
      </c>
      <c r="W582" s="60">
        <f>IF(Pitchers[[#This Row],[IP/GS]]&lt;&gt;0,(Pitchers[[#This Row],[WHIP]]*$AH$5+$AI$5)/9*Pitchers[[#This Row],[IP/GS]],(Pitchers[[#This Row],[WHIP]]*$AH$5+$AI$5)/9*(Pitchers[[#This Row],[IP]]/Pitchers[[#This Row],[G]]))</f>
        <v>3.7602892037771283</v>
      </c>
      <c r="X582" s="60">
        <f>Pitchers[[#This Row],[Runs from WHIP]]-AVERAGEIFS(Pitchers[Runs from WHIP],Pitchers[GS],"&gt;"&amp;0,Pitchers[IP],"&gt;"&amp;3)</f>
        <v>-1.9256267023477309</v>
      </c>
      <c r="Y582" s="60">
        <f>IF(Pitchers[[#This Row],[IP/GS]]&lt;&gt;0,Pitchers[[#This Row],[ER/IP From Average]]*Pitchers[[#This Row],[IP/GS]],Pitchers[[#This Row],[ER/IP From Average]]*(Pitchers[[#This Row],[IP]]/Pitchers[[#This Row],[G]]))</f>
        <v>1.0471628996043096</v>
      </c>
      <c r="Z582" s="60">
        <f t="shared" si="29"/>
        <v>-9.463529411767109E-2</v>
      </c>
      <c r="AA582" s="32">
        <f>IF(Pitchers[[#This Row],[W]]=0,0,Pitchers[[#This Row],[W]]/(Pitchers[[#This Row],[W]]+Pitchers[[#This Row],[L]]))</f>
        <v>0</v>
      </c>
      <c r="AB582" s="60"/>
    </row>
    <row r="583" spans="1:28" x14ac:dyDescent="0.25">
      <c r="A583" t="s">
        <v>3590</v>
      </c>
      <c r="B583" t="s">
        <v>11</v>
      </c>
      <c r="C583">
        <v>20</v>
      </c>
      <c r="D583">
        <v>0</v>
      </c>
      <c r="E583">
        <v>0</v>
      </c>
      <c r="F583">
        <v>0</v>
      </c>
      <c r="G583">
        <v>19</v>
      </c>
      <c r="H583">
        <v>21</v>
      </c>
      <c r="I583">
        <v>14</v>
      </c>
      <c r="J583">
        <v>23</v>
      </c>
      <c r="K583">
        <v>10</v>
      </c>
      <c r="L583">
        <v>5</v>
      </c>
      <c r="M583">
        <v>2</v>
      </c>
      <c r="N583">
        <v>0</v>
      </c>
      <c r="O583">
        <v>0</v>
      </c>
      <c r="P583">
        <v>0</v>
      </c>
      <c r="Q583">
        <v>0</v>
      </c>
      <c r="R583">
        <v>6.63</v>
      </c>
      <c r="S583">
        <v>1.63</v>
      </c>
      <c r="T583">
        <f t="shared" si="27"/>
        <v>0</v>
      </c>
      <c r="U583">
        <f t="shared" si="28"/>
        <v>0.73684210526315785</v>
      </c>
      <c r="V583" s="60">
        <f>U583-AVERAGEIFS(Pitchers[ER/IP],Pitchers[GS],"&gt;"&amp;0,Pitchers[IP],"&gt;"&amp;3)</f>
        <v>0.16534151046383838</v>
      </c>
      <c r="W583" s="60">
        <f>IF(Pitchers[[#This Row],[IP/GS]]&lt;&gt;0,(Pitchers[[#This Row],[WHIP]]*$AH$5+$AI$5)/9*Pitchers[[#This Row],[IP/GS]],(Pitchers[[#This Row],[WHIP]]*$AH$5+$AI$5)/9*(Pitchers[[#This Row],[IP]]/Pitchers[[#This Row],[G]]))</f>
        <v>0.61336499423522306</v>
      </c>
      <c r="X583" s="60">
        <f>Pitchers[[#This Row],[Runs from WHIP]]-AVERAGEIFS(Pitchers[Runs from WHIP],Pitchers[GS],"&gt;"&amp;0,Pitchers[IP],"&gt;"&amp;3)</f>
        <v>-5.0725509118896364</v>
      </c>
      <c r="Y583" s="60">
        <f>IF(Pitchers[[#This Row],[IP/GS]]&lt;&gt;0,Pitchers[[#This Row],[ER/IP From Average]]*Pitchers[[#This Row],[IP/GS]],Pitchers[[#This Row],[ER/IP From Average]]*(Pitchers[[#This Row],[IP]]/Pitchers[[#This Row],[G]]))</f>
        <v>0.15707443494064646</v>
      </c>
      <c r="Z583" s="60">
        <f t="shared" si="29"/>
        <v>-1.2898504691943111</v>
      </c>
      <c r="AA583" s="32">
        <f>IF(Pitchers[[#This Row],[W]]=0,0,Pitchers[[#This Row],[W]]/(Pitchers[[#This Row],[W]]+Pitchers[[#This Row],[L]]))</f>
        <v>1</v>
      </c>
      <c r="AB583" s="60"/>
    </row>
    <row r="584" spans="1:28" x14ac:dyDescent="0.25">
      <c r="A584" t="s">
        <v>1328</v>
      </c>
      <c r="B584" t="s">
        <v>15</v>
      </c>
      <c r="C584">
        <v>20</v>
      </c>
      <c r="D584">
        <v>0</v>
      </c>
      <c r="E584">
        <v>0</v>
      </c>
      <c r="F584">
        <v>0</v>
      </c>
      <c r="G584">
        <v>19</v>
      </c>
      <c r="H584">
        <v>15</v>
      </c>
      <c r="I584">
        <v>8</v>
      </c>
      <c r="J584">
        <v>13</v>
      </c>
      <c r="K584">
        <v>12</v>
      </c>
      <c r="L584">
        <v>2</v>
      </c>
      <c r="M584">
        <v>1</v>
      </c>
      <c r="N584">
        <v>0</v>
      </c>
      <c r="O584">
        <v>0</v>
      </c>
      <c r="P584">
        <v>1</v>
      </c>
      <c r="Q584">
        <v>0</v>
      </c>
      <c r="R584">
        <v>3.79</v>
      </c>
      <c r="S584">
        <v>1.42</v>
      </c>
      <c r="T584">
        <f t="shared" si="27"/>
        <v>0</v>
      </c>
      <c r="U584">
        <f t="shared" si="28"/>
        <v>0.42105263157894735</v>
      </c>
      <c r="V584" s="60">
        <f>U584-AVERAGEIFS(Pitchers[ER/IP],Pitchers[GS],"&gt;"&amp;0,Pitchers[IP],"&gt;"&amp;3)</f>
        <v>-0.15044796322037213</v>
      </c>
      <c r="W584" s="60">
        <f>IF(Pitchers[[#This Row],[IP/GS]]&lt;&gt;0,(Pitchers[[#This Row],[WHIP]]*$AH$5+$AI$5)/9*Pitchers[[#This Row],[IP/GS]],(Pitchers[[#This Row],[WHIP]]*$AH$5+$AI$5)/9*(Pitchers[[#This Row],[IP]]/Pitchers[[#This Row],[G]]))</f>
        <v>0.50978960553104979</v>
      </c>
      <c r="X584" s="60">
        <f>Pitchers[[#This Row],[Runs from WHIP]]-AVERAGEIFS(Pitchers[Runs from WHIP],Pitchers[GS],"&gt;"&amp;0,Pitchers[IP],"&gt;"&amp;3)</f>
        <v>-5.1761263005938094</v>
      </c>
      <c r="Y584" s="60">
        <f>IF(Pitchers[[#This Row],[IP/GS]]&lt;&gt;0,Pitchers[[#This Row],[ER/IP From Average]]*Pitchers[[#This Row],[IP/GS]],Pitchers[[#This Row],[ER/IP From Average]]*(Pitchers[[#This Row],[IP]]/Pitchers[[#This Row],[G]]))</f>
        <v>-0.14292556505935353</v>
      </c>
      <c r="Z584" s="60">
        <f t="shared" si="29"/>
        <v>-1.4374705728487573</v>
      </c>
      <c r="AA584" s="32">
        <f>IF(Pitchers[[#This Row],[W]]=0,0,Pitchers[[#This Row],[W]]/(Pitchers[[#This Row],[W]]+Pitchers[[#This Row],[L]]))</f>
        <v>1</v>
      </c>
      <c r="AB584" s="60"/>
    </row>
    <row r="585" spans="1:28" x14ac:dyDescent="0.25">
      <c r="A585" t="s">
        <v>611</v>
      </c>
      <c r="B585" t="s">
        <v>24</v>
      </c>
      <c r="C585">
        <v>16</v>
      </c>
      <c r="D585">
        <v>0</v>
      </c>
      <c r="E585">
        <v>0</v>
      </c>
      <c r="F585">
        <v>0</v>
      </c>
      <c r="G585">
        <v>19</v>
      </c>
      <c r="H585">
        <v>21</v>
      </c>
      <c r="I585">
        <v>14</v>
      </c>
      <c r="J585">
        <v>16</v>
      </c>
      <c r="K585">
        <v>11</v>
      </c>
      <c r="L585">
        <v>3</v>
      </c>
      <c r="M585">
        <v>0</v>
      </c>
      <c r="N585">
        <v>1</v>
      </c>
      <c r="O585">
        <v>0</v>
      </c>
      <c r="P585">
        <v>0</v>
      </c>
      <c r="Q585">
        <v>1</v>
      </c>
      <c r="R585">
        <v>6.63</v>
      </c>
      <c r="S585">
        <v>1.68</v>
      </c>
      <c r="T585">
        <f t="shared" si="27"/>
        <v>0</v>
      </c>
      <c r="U585">
        <f t="shared" si="28"/>
        <v>0.73684210526315785</v>
      </c>
      <c r="V585" s="60">
        <f>U585-AVERAGEIFS(Pitchers[ER/IP],Pitchers[GS],"&gt;"&amp;0,Pitchers[IP],"&gt;"&amp;3)</f>
        <v>0.16534151046383838</v>
      </c>
      <c r="W585" s="60">
        <f>IF(Pitchers[[#This Row],[IP/GS]]&lt;&gt;0,(Pitchers[[#This Row],[WHIP]]*$AH$5+$AI$5)/9*Pitchers[[#This Row],[IP/GS]],(Pitchers[[#This Row],[WHIP]]*$AH$5+$AI$5)/9*(Pitchers[[#This Row],[IP]]/Pitchers[[#This Row],[G]]))</f>
        <v>0.7975322513369375</v>
      </c>
      <c r="X585" s="60">
        <f>Pitchers[[#This Row],[Runs from WHIP]]-AVERAGEIFS(Pitchers[Runs from WHIP],Pitchers[GS],"&gt;"&amp;0,Pitchers[IP],"&gt;"&amp;3)</f>
        <v>-4.8883836547879218</v>
      </c>
      <c r="Y585" s="60">
        <f>IF(Pitchers[[#This Row],[IP/GS]]&lt;&gt;0,Pitchers[[#This Row],[ER/IP From Average]]*Pitchers[[#This Row],[IP/GS]],Pitchers[[#This Row],[ER/IP From Average]]*(Pitchers[[#This Row],[IP]]/Pitchers[[#This Row],[G]]))</f>
        <v>0.19634304367580807</v>
      </c>
      <c r="Z585" s="60">
        <f t="shared" si="29"/>
        <v>-1.2250317571397891</v>
      </c>
      <c r="AA585" s="32">
        <f>IF(Pitchers[[#This Row],[W]]=0,0,Pitchers[[#This Row],[W]]/(Pitchers[[#This Row],[W]]+Pitchers[[#This Row],[L]]))</f>
        <v>0</v>
      </c>
      <c r="AB585" s="60"/>
    </row>
    <row r="586" spans="1:28" x14ac:dyDescent="0.25">
      <c r="A586" t="s">
        <v>383</v>
      </c>
      <c r="B586" t="s">
        <v>16</v>
      </c>
      <c r="C586">
        <v>4</v>
      </c>
      <c r="D586">
        <v>4</v>
      </c>
      <c r="E586">
        <v>0</v>
      </c>
      <c r="F586">
        <v>0</v>
      </c>
      <c r="G586">
        <v>18.2</v>
      </c>
      <c r="H586">
        <v>14</v>
      </c>
      <c r="I586">
        <v>10</v>
      </c>
      <c r="J586">
        <v>16</v>
      </c>
      <c r="K586">
        <v>9</v>
      </c>
      <c r="L586">
        <v>5</v>
      </c>
      <c r="M586">
        <v>2</v>
      </c>
      <c r="N586">
        <v>0</v>
      </c>
      <c r="O586">
        <v>0</v>
      </c>
      <c r="P586">
        <v>0</v>
      </c>
      <c r="Q586">
        <v>0</v>
      </c>
      <c r="R586">
        <v>4.82</v>
      </c>
      <c r="S586">
        <v>1.23</v>
      </c>
      <c r="T586">
        <f t="shared" si="27"/>
        <v>4.55</v>
      </c>
      <c r="U586">
        <f t="shared" si="28"/>
        <v>0.5494505494505495</v>
      </c>
      <c r="V586" s="60">
        <f>U586-AVERAGEIFS(Pitchers[ER/IP],Pitchers[GS],"&gt;"&amp;0,Pitchers[IP],"&gt;"&amp;3)</f>
        <v>-2.2050045348769975E-2</v>
      </c>
      <c r="W586" s="60">
        <f>IF(Pitchers[[#This Row],[IP/GS]]&lt;&gt;0,(Pitchers[[#This Row],[WHIP]]*$AH$5+$AI$5)/9*Pitchers[[#This Row],[IP/GS]],(Pitchers[[#This Row],[WHIP]]*$AH$5+$AI$5)/9*(Pitchers[[#This Row],[IP]]/Pitchers[[#This Row],[G]]))</f>
        <v>1.9927972157902778</v>
      </c>
      <c r="X586" s="60">
        <f>Pitchers[[#This Row],[Runs from WHIP]]-AVERAGEIFS(Pitchers[Runs from WHIP],Pitchers[GS],"&gt;"&amp;0,Pitchers[IP],"&gt;"&amp;3)</f>
        <v>-3.6931186903345816</v>
      </c>
      <c r="Y586" s="60">
        <f>IF(Pitchers[[#This Row],[IP/GS]]&lt;&gt;0,Pitchers[[#This Row],[ER/IP From Average]]*Pitchers[[#This Row],[IP/GS]],Pitchers[[#This Row],[ER/IP From Average]]*(Pitchers[[#This Row],[IP]]/Pitchers[[#This Row],[G]]))</f>
        <v>-0.10032770633690338</v>
      </c>
      <c r="Z586" s="60">
        <f t="shared" si="29"/>
        <v>-1.0249627332906499</v>
      </c>
      <c r="AA586" s="32">
        <f>IF(Pitchers[[#This Row],[W]]=0,0,Pitchers[[#This Row],[W]]/(Pitchers[[#This Row],[W]]+Pitchers[[#This Row],[L]]))</f>
        <v>1</v>
      </c>
      <c r="AB586" s="60"/>
    </row>
    <row r="587" spans="1:28" x14ac:dyDescent="0.25">
      <c r="A587" t="s">
        <v>600</v>
      </c>
      <c r="B587" t="s">
        <v>9</v>
      </c>
      <c r="C587">
        <v>16</v>
      </c>
      <c r="D587">
        <v>0</v>
      </c>
      <c r="E587">
        <v>0</v>
      </c>
      <c r="F587">
        <v>0</v>
      </c>
      <c r="G587">
        <v>18.2</v>
      </c>
      <c r="H587">
        <v>21</v>
      </c>
      <c r="I587">
        <v>16</v>
      </c>
      <c r="J587">
        <v>22</v>
      </c>
      <c r="K587">
        <v>10</v>
      </c>
      <c r="L587">
        <v>4</v>
      </c>
      <c r="M587">
        <v>0</v>
      </c>
      <c r="N587">
        <v>0</v>
      </c>
      <c r="O587">
        <v>0</v>
      </c>
      <c r="P587">
        <v>0</v>
      </c>
      <c r="Q587">
        <v>0</v>
      </c>
      <c r="R587">
        <v>7.71</v>
      </c>
      <c r="S587">
        <v>1.66</v>
      </c>
      <c r="T587">
        <f t="shared" si="27"/>
        <v>0</v>
      </c>
      <c r="U587">
        <f t="shared" si="28"/>
        <v>0.87912087912087911</v>
      </c>
      <c r="V587" s="60">
        <f>U587-AVERAGEIFS(Pitchers[ER/IP],Pitchers[GS],"&gt;"&amp;0,Pitchers[IP],"&gt;"&amp;3)</f>
        <v>0.30762028432155963</v>
      </c>
      <c r="W587" s="60">
        <f>IF(Pitchers[[#This Row],[IP/GS]]&lt;&gt;0,(Pitchers[[#This Row],[WHIP]]*$AH$5+$AI$5)/9*Pitchers[[#This Row],[IP/GS]],(Pitchers[[#This Row],[WHIP]]*$AH$5+$AI$5)/9*(Pitchers[[#This Row],[IP]]/Pitchers[[#This Row],[G]]))</f>
        <v>0.75214071748104661</v>
      </c>
      <c r="X587" s="60">
        <f>Pitchers[[#This Row],[Runs from WHIP]]-AVERAGEIFS(Pitchers[Runs from WHIP],Pitchers[GS],"&gt;"&amp;0,Pitchers[IP],"&gt;"&amp;3)</f>
        <v>-4.9337751886438124</v>
      </c>
      <c r="Y587" s="60">
        <f>IF(Pitchers[[#This Row],[IP/GS]]&lt;&gt;0,Pitchers[[#This Row],[ER/IP From Average]]*Pitchers[[#This Row],[IP/GS]],Pitchers[[#This Row],[ER/IP From Average]]*(Pitchers[[#This Row],[IP]]/Pitchers[[#This Row],[G]]))</f>
        <v>0.34991807341577408</v>
      </c>
      <c r="Z587" s="60">
        <f t="shared" si="29"/>
        <v>-1.1757061542720406</v>
      </c>
      <c r="AA587" s="32">
        <f>IF(Pitchers[[#This Row],[W]]=0,0,Pitchers[[#This Row],[W]]/(Pitchers[[#This Row],[W]]+Pitchers[[#This Row],[L]]))</f>
        <v>0</v>
      </c>
      <c r="AB587" s="60"/>
    </row>
    <row r="588" spans="1:28" x14ac:dyDescent="0.25">
      <c r="A588" t="s">
        <v>752</v>
      </c>
      <c r="B588" t="s">
        <v>332</v>
      </c>
      <c r="C588">
        <v>15</v>
      </c>
      <c r="D588">
        <v>0</v>
      </c>
      <c r="E588">
        <v>0</v>
      </c>
      <c r="F588">
        <v>0</v>
      </c>
      <c r="G588">
        <v>18.100000000000001</v>
      </c>
      <c r="H588">
        <v>28</v>
      </c>
      <c r="I588">
        <v>22</v>
      </c>
      <c r="J588">
        <v>18</v>
      </c>
      <c r="K588">
        <v>19</v>
      </c>
      <c r="L588">
        <v>2</v>
      </c>
      <c r="M588">
        <v>0</v>
      </c>
      <c r="N588">
        <v>1</v>
      </c>
      <c r="O588">
        <v>0</v>
      </c>
      <c r="P588">
        <v>0</v>
      </c>
      <c r="Q588">
        <v>0</v>
      </c>
      <c r="R588">
        <v>10.8</v>
      </c>
      <c r="S588">
        <v>2.56</v>
      </c>
      <c r="T588">
        <f t="shared" si="27"/>
        <v>0</v>
      </c>
      <c r="U588">
        <f t="shared" si="28"/>
        <v>1.2154696132596685</v>
      </c>
      <c r="V588" s="60">
        <f>U588-AVERAGEIFS(Pitchers[ER/IP],Pitchers[GS],"&gt;"&amp;0,Pitchers[IP],"&gt;"&amp;3)</f>
        <v>0.64396901846034904</v>
      </c>
      <c r="W588" s="60">
        <f>IF(Pitchers[[#This Row],[IP/GS]]&lt;&gt;0,(Pitchers[[#This Row],[WHIP]]*$AH$5+$AI$5)/9*Pitchers[[#This Row],[IP/GS]],(Pitchers[[#This Row],[WHIP]]*$AH$5+$AI$5)/9*(Pitchers[[#This Row],[IP]]/Pitchers[[#This Row],[G]]))</f>
        <v>1.3616992017194423</v>
      </c>
      <c r="X588" s="60">
        <f>Pitchers[[#This Row],[Runs from WHIP]]-AVERAGEIFS(Pitchers[Runs from WHIP],Pitchers[GS],"&gt;"&amp;0,Pitchers[IP],"&gt;"&amp;3)</f>
        <v>-4.3242167044054174</v>
      </c>
      <c r="Y588" s="60">
        <f>IF(Pitchers[[#This Row],[IP/GS]]&lt;&gt;0,Pitchers[[#This Row],[ER/IP From Average]]*Pitchers[[#This Row],[IP/GS]],Pitchers[[#This Row],[ER/IP From Average]]*(Pitchers[[#This Row],[IP]]/Pitchers[[#This Row],[G]]))</f>
        <v>0.77705594894215457</v>
      </c>
      <c r="Z588" s="60">
        <f t="shared" si="29"/>
        <v>-0.84230207493124931</v>
      </c>
      <c r="AA588" s="32">
        <f>IF(Pitchers[[#This Row],[W]]=0,0,Pitchers[[#This Row],[W]]/(Pitchers[[#This Row],[W]]+Pitchers[[#This Row],[L]]))</f>
        <v>0</v>
      </c>
      <c r="AB588" s="60"/>
    </row>
    <row r="589" spans="1:28" x14ac:dyDescent="0.25">
      <c r="A589" t="s">
        <v>4390</v>
      </c>
      <c r="B589" t="s">
        <v>6</v>
      </c>
      <c r="C589">
        <v>9</v>
      </c>
      <c r="D589">
        <v>0</v>
      </c>
      <c r="E589">
        <v>0</v>
      </c>
      <c r="F589">
        <v>0</v>
      </c>
      <c r="G589">
        <v>18.100000000000001</v>
      </c>
      <c r="H589">
        <v>10</v>
      </c>
      <c r="I589">
        <v>1</v>
      </c>
      <c r="J589">
        <v>15</v>
      </c>
      <c r="K589">
        <v>1</v>
      </c>
      <c r="L589">
        <v>1</v>
      </c>
      <c r="M589">
        <v>4</v>
      </c>
      <c r="N589">
        <v>0</v>
      </c>
      <c r="O589">
        <v>0</v>
      </c>
      <c r="P589">
        <v>0</v>
      </c>
      <c r="Q589">
        <v>2</v>
      </c>
      <c r="R589">
        <v>0.49</v>
      </c>
      <c r="S589">
        <v>0.6</v>
      </c>
      <c r="T589">
        <f t="shared" si="27"/>
        <v>0</v>
      </c>
      <c r="U589">
        <f t="shared" si="28"/>
        <v>5.5248618784530384E-2</v>
      </c>
      <c r="V589" s="60">
        <f>U589-AVERAGEIFS(Pitchers[ER/IP],Pitchers[GS],"&gt;"&amp;0,Pitchers[IP],"&gt;"&amp;3)</f>
        <v>-0.51625197601478912</v>
      </c>
      <c r="W589" s="60">
        <f>IF(Pitchers[[#This Row],[IP/GS]]&lt;&gt;0,(Pitchers[[#This Row],[WHIP]]*$AH$5+$AI$5)/9*Pitchers[[#This Row],[IP/GS]],(Pitchers[[#This Row],[WHIP]]*$AH$5+$AI$5)/9*(Pitchers[[#This Row],[IP]]/Pitchers[[#This Row],[G]]))</f>
        <v>0.22302666191934387</v>
      </c>
      <c r="X589" s="60">
        <f>Pitchers[[#This Row],[Runs from WHIP]]-AVERAGEIFS(Pitchers[Runs from WHIP],Pitchers[GS],"&gt;"&amp;0,Pitchers[IP],"&gt;"&amp;3)</f>
        <v>-5.462889244205515</v>
      </c>
      <c r="Y589" s="60">
        <f>IF(Pitchers[[#This Row],[IP/GS]]&lt;&gt;0,Pitchers[[#This Row],[ER/IP From Average]]*Pitchers[[#This Row],[IP/GS]],Pitchers[[#This Row],[ER/IP From Average]]*(Pitchers[[#This Row],[IP]]/Pitchers[[#This Row],[G]]))</f>
        <v>-1.0382400850964093</v>
      </c>
      <c r="Z589" s="60">
        <f t="shared" si="29"/>
        <v>-1.8720664991600346</v>
      </c>
      <c r="AA589" s="32">
        <f>IF(Pitchers[[#This Row],[W]]=0,0,Pitchers[[#This Row],[W]]/(Pitchers[[#This Row],[W]]+Pitchers[[#This Row],[L]]))</f>
        <v>1</v>
      </c>
      <c r="AB589" s="60"/>
    </row>
    <row r="590" spans="1:28" x14ac:dyDescent="0.25">
      <c r="A590" t="s">
        <v>1245</v>
      </c>
      <c r="B590" t="s">
        <v>4</v>
      </c>
      <c r="C590">
        <v>17</v>
      </c>
      <c r="D590">
        <v>0</v>
      </c>
      <c r="E590">
        <v>0</v>
      </c>
      <c r="F590">
        <v>0</v>
      </c>
      <c r="G590">
        <v>18.100000000000001</v>
      </c>
      <c r="H590">
        <v>23</v>
      </c>
      <c r="I590">
        <v>12</v>
      </c>
      <c r="J590">
        <v>22</v>
      </c>
      <c r="K590">
        <v>5</v>
      </c>
      <c r="L590">
        <v>4</v>
      </c>
      <c r="M590">
        <v>1</v>
      </c>
      <c r="N590">
        <v>0</v>
      </c>
      <c r="O590">
        <v>1</v>
      </c>
      <c r="P590">
        <v>1</v>
      </c>
      <c r="Q590">
        <v>0</v>
      </c>
      <c r="R590">
        <v>5.89</v>
      </c>
      <c r="S590">
        <v>1.53</v>
      </c>
      <c r="T590">
        <f t="shared" si="27"/>
        <v>0</v>
      </c>
      <c r="U590">
        <f t="shared" si="28"/>
        <v>0.66298342541436461</v>
      </c>
      <c r="V590" s="60">
        <f>U590-AVERAGEIFS(Pitchers[ER/IP],Pitchers[GS],"&gt;"&amp;0,Pitchers[IP],"&gt;"&amp;3)</f>
        <v>9.1482830615045141E-2</v>
      </c>
      <c r="W590" s="60">
        <f>IF(Pitchers[[#This Row],[IP/GS]]&lt;&gt;0,(Pitchers[[#This Row],[WHIP]]*$AH$5+$AI$5)/9*Pitchers[[#This Row],[IP/GS]],(Pitchers[[#This Row],[WHIP]]*$AH$5+$AI$5)/9*(Pitchers[[#This Row],[IP]]/Pitchers[[#This Row],[G]]))</f>
        <v>0.63214768967522617</v>
      </c>
      <c r="X590" s="60">
        <f>Pitchers[[#This Row],[Runs from WHIP]]-AVERAGEIFS(Pitchers[Runs from WHIP],Pitchers[GS],"&gt;"&amp;0,Pitchers[IP],"&gt;"&amp;3)</f>
        <v>-5.0537682164496331</v>
      </c>
      <c r="Y590" s="60">
        <f>IF(Pitchers[[#This Row],[IP/GS]]&lt;&gt;0,Pitchers[[#This Row],[ER/IP From Average]]*Pitchers[[#This Row],[IP/GS]],Pitchers[[#This Row],[ER/IP From Average]]*(Pitchers[[#This Row],[IP]]/Pitchers[[#This Row],[G]]))</f>
        <v>9.7402307890136292E-2</v>
      </c>
      <c r="Z590" s="60">
        <f t="shared" si="29"/>
        <v>-1.3087106012305141</v>
      </c>
      <c r="AA590" s="32">
        <f>IF(Pitchers[[#This Row],[W]]=0,0,Pitchers[[#This Row],[W]]/(Pitchers[[#This Row],[W]]+Pitchers[[#This Row],[L]]))</f>
        <v>1</v>
      </c>
      <c r="AB590" s="60"/>
    </row>
    <row r="591" spans="1:28" x14ac:dyDescent="0.25">
      <c r="A591" t="s">
        <v>847</v>
      </c>
      <c r="B591" t="s">
        <v>11</v>
      </c>
      <c r="C591">
        <v>21</v>
      </c>
      <c r="D591">
        <v>0</v>
      </c>
      <c r="E591">
        <v>0</v>
      </c>
      <c r="F591">
        <v>0</v>
      </c>
      <c r="G591">
        <v>18.100000000000001</v>
      </c>
      <c r="H591">
        <v>29</v>
      </c>
      <c r="I591">
        <v>19</v>
      </c>
      <c r="J591">
        <v>16</v>
      </c>
      <c r="K591">
        <v>6</v>
      </c>
      <c r="L591">
        <v>6</v>
      </c>
      <c r="M591">
        <v>3</v>
      </c>
      <c r="N591">
        <v>1</v>
      </c>
      <c r="O591">
        <v>0</v>
      </c>
      <c r="P591">
        <v>1</v>
      </c>
      <c r="Q591">
        <v>3</v>
      </c>
      <c r="R591">
        <v>9.33</v>
      </c>
      <c r="S591">
        <v>1.91</v>
      </c>
      <c r="T591">
        <f t="shared" si="27"/>
        <v>0</v>
      </c>
      <c r="U591">
        <f t="shared" si="28"/>
        <v>1.0497237569060773</v>
      </c>
      <c r="V591" s="60">
        <f>U591-AVERAGEIFS(Pitchers[ER/IP],Pitchers[GS],"&gt;"&amp;0,Pitchers[IP],"&gt;"&amp;3)</f>
        <v>0.47822316210675786</v>
      </c>
      <c r="W591" s="60">
        <f>IF(Pitchers[[#This Row],[IP/GS]]&lt;&gt;0,(Pitchers[[#This Row],[WHIP]]*$AH$5+$AI$5)/9*Pitchers[[#This Row],[IP/GS]],(Pitchers[[#This Row],[WHIP]]*$AH$5+$AI$5)/9*(Pitchers[[#This Row],[IP]]/Pitchers[[#This Row],[G]]))</f>
        <v>0.6817807406709232</v>
      </c>
      <c r="X591" s="60">
        <f>Pitchers[[#This Row],[Runs from WHIP]]-AVERAGEIFS(Pitchers[Runs from WHIP],Pitchers[GS],"&gt;"&amp;0,Pitchers[IP],"&gt;"&amp;3)</f>
        <v>-5.0041351654539357</v>
      </c>
      <c r="Y591" s="60">
        <f>IF(Pitchers[[#This Row],[IP/GS]]&lt;&gt;0,Pitchers[[#This Row],[ER/IP From Average]]*Pitchers[[#This Row],[IP/GS]],Pitchers[[#This Row],[ER/IP From Average]]*(Pitchers[[#This Row],[IP]]/Pitchers[[#This Row],[G]]))</f>
        <v>0.41218282067296752</v>
      </c>
      <c r="Z591" s="60">
        <f t="shared" si="29"/>
        <v>-1.1695629158518626</v>
      </c>
      <c r="AA591" s="32">
        <f>IF(Pitchers[[#This Row],[W]]=0,0,Pitchers[[#This Row],[W]]/(Pitchers[[#This Row],[W]]+Pitchers[[#This Row],[L]]))</f>
        <v>0.75</v>
      </c>
      <c r="AB591" s="60"/>
    </row>
    <row r="592" spans="1:28" x14ac:dyDescent="0.25">
      <c r="A592" t="s">
        <v>579</v>
      </c>
      <c r="B592" t="s">
        <v>15</v>
      </c>
      <c r="C592">
        <v>20</v>
      </c>
      <c r="D592">
        <v>0</v>
      </c>
      <c r="E592">
        <v>0</v>
      </c>
      <c r="F592">
        <v>0</v>
      </c>
      <c r="G592">
        <v>18</v>
      </c>
      <c r="H592">
        <v>23</v>
      </c>
      <c r="I592">
        <v>10</v>
      </c>
      <c r="J592">
        <v>9</v>
      </c>
      <c r="K592">
        <v>2</v>
      </c>
      <c r="L592">
        <v>5</v>
      </c>
      <c r="M592">
        <v>0</v>
      </c>
      <c r="N592">
        <v>1</v>
      </c>
      <c r="O592">
        <v>3</v>
      </c>
      <c r="P592">
        <v>0</v>
      </c>
      <c r="Q592">
        <v>6</v>
      </c>
      <c r="R592">
        <v>5</v>
      </c>
      <c r="S592">
        <v>1.39</v>
      </c>
      <c r="T592">
        <f t="shared" si="27"/>
        <v>0</v>
      </c>
      <c r="U592">
        <f t="shared" si="28"/>
        <v>0.55555555555555558</v>
      </c>
      <c r="V592" s="60">
        <f>U592-AVERAGEIFS(Pitchers[ER/IP],Pitchers[GS],"&gt;"&amp;0,Pitchers[IP],"&gt;"&amp;3)</f>
        <v>-1.5945039243763892E-2</v>
      </c>
      <c r="W592" s="60">
        <f>IF(Pitchers[[#This Row],[IP/GS]]&lt;&gt;0,(Pitchers[[#This Row],[WHIP]]*$AH$5+$AI$5)/9*Pitchers[[#This Row],[IP/GS]],(Pitchers[[#This Row],[WHIP]]*$AH$5+$AI$5)/9*(Pitchers[[#This Row],[IP]]/Pitchers[[#This Row],[G]]))</f>
        <v>0.46894085188148243</v>
      </c>
      <c r="X592" s="60">
        <f>Pitchers[[#This Row],[Runs from WHIP]]-AVERAGEIFS(Pitchers[Runs from WHIP],Pitchers[GS],"&gt;"&amp;0,Pitchers[IP],"&gt;"&amp;3)</f>
        <v>-5.2169750542433766</v>
      </c>
      <c r="Y592" s="60">
        <f>IF(Pitchers[[#This Row],[IP/GS]]&lt;&gt;0,Pitchers[[#This Row],[ER/IP From Average]]*Pitchers[[#This Row],[IP/GS]],Pitchers[[#This Row],[ER/IP From Average]]*(Pitchers[[#This Row],[IP]]/Pitchers[[#This Row],[G]]))</f>
        <v>-1.4350535319387504E-2</v>
      </c>
      <c r="Z592" s="60">
        <f t="shared" si="29"/>
        <v>-1.3969335619259888</v>
      </c>
      <c r="AA592" s="32">
        <f>IF(Pitchers[[#This Row],[W]]=0,0,Pitchers[[#This Row],[W]]/(Pitchers[[#This Row],[W]]+Pitchers[[#This Row],[L]]))</f>
        <v>0</v>
      </c>
      <c r="AB592" s="60"/>
    </row>
    <row r="593" spans="1:28" x14ac:dyDescent="0.25">
      <c r="A593" t="s">
        <v>1417</v>
      </c>
      <c r="B593" t="s">
        <v>16</v>
      </c>
      <c r="C593">
        <v>5</v>
      </c>
      <c r="D593">
        <v>2</v>
      </c>
      <c r="E593">
        <v>0</v>
      </c>
      <c r="F593">
        <v>0</v>
      </c>
      <c r="G593">
        <v>18</v>
      </c>
      <c r="H593">
        <v>17</v>
      </c>
      <c r="I593">
        <v>8</v>
      </c>
      <c r="J593">
        <v>18</v>
      </c>
      <c r="K593">
        <v>5</v>
      </c>
      <c r="L593">
        <v>1</v>
      </c>
      <c r="M593">
        <v>1</v>
      </c>
      <c r="N593">
        <v>1</v>
      </c>
      <c r="O593">
        <v>1</v>
      </c>
      <c r="P593">
        <v>0</v>
      </c>
      <c r="Q593">
        <v>0</v>
      </c>
      <c r="R593">
        <v>4</v>
      </c>
      <c r="S593">
        <v>1.22</v>
      </c>
      <c r="T593">
        <f t="shared" si="27"/>
        <v>9</v>
      </c>
      <c r="U593">
        <f t="shared" si="28"/>
        <v>0.44444444444444442</v>
      </c>
      <c r="V593" s="60">
        <f>U593-AVERAGEIFS(Pitchers[ER/IP],Pitchers[GS],"&gt;"&amp;0,Pitchers[IP],"&gt;"&amp;3)</f>
        <v>-0.12705615035487505</v>
      </c>
      <c r="W593" s="60">
        <f>IF(Pitchers[[#This Row],[IP/GS]]&lt;&gt;0,(Pitchers[[#This Row],[WHIP]]*$AH$5+$AI$5)/9*Pitchers[[#This Row],[IP/GS]],(Pitchers[[#This Row],[WHIP]]*$AH$5+$AI$5)/9*(Pitchers[[#This Row],[IP]]/Pitchers[[#This Row],[G]]))</f>
        <v>3.8950709513091351</v>
      </c>
      <c r="X593" s="60">
        <f>Pitchers[[#This Row],[Runs from WHIP]]-AVERAGEIFS(Pitchers[Runs from WHIP],Pitchers[GS],"&gt;"&amp;0,Pitchers[IP],"&gt;"&amp;3)</f>
        <v>-1.7908449548157241</v>
      </c>
      <c r="Y593" s="60">
        <f>IF(Pitchers[[#This Row],[IP/GS]]&lt;&gt;0,Pitchers[[#This Row],[ER/IP From Average]]*Pitchers[[#This Row],[IP/GS]],Pitchers[[#This Row],[ER/IP From Average]]*(Pitchers[[#This Row],[IP]]/Pitchers[[#This Row],[G]]))</f>
        <v>-1.1435053531938755</v>
      </c>
      <c r="Z593" s="60">
        <f t="shared" si="29"/>
        <v>-0.93496079589507664</v>
      </c>
      <c r="AA593" s="32">
        <f>IF(Pitchers[[#This Row],[W]]=0,0,Pitchers[[#This Row],[W]]/(Pitchers[[#This Row],[W]]+Pitchers[[#This Row],[L]]))</f>
        <v>0.5</v>
      </c>
      <c r="AB593" s="60"/>
    </row>
    <row r="594" spans="1:28" x14ac:dyDescent="0.25">
      <c r="A594" t="s">
        <v>669</v>
      </c>
      <c r="B594" t="s">
        <v>11</v>
      </c>
      <c r="C594">
        <v>28</v>
      </c>
      <c r="D594">
        <v>0</v>
      </c>
      <c r="E594">
        <v>0</v>
      </c>
      <c r="F594">
        <v>0</v>
      </c>
      <c r="G594">
        <v>17.2</v>
      </c>
      <c r="H594">
        <v>17</v>
      </c>
      <c r="I594">
        <v>14</v>
      </c>
      <c r="J594">
        <v>15</v>
      </c>
      <c r="K594">
        <v>6</v>
      </c>
      <c r="L594">
        <v>4</v>
      </c>
      <c r="M594">
        <v>1</v>
      </c>
      <c r="N594">
        <v>0</v>
      </c>
      <c r="O594">
        <v>0</v>
      </c>
      <c r="P594">
        <v>1</v>
      </c>
      <c r="Q594">
        <v>2</v>
      </c>
      <c r="R594">
        <v>7.13</v>
      </c>
      <c r="S594">
        <v>1.3</v>
      </c>
      <c r="T594">
        <f t="shared" si="27"/>
        <v>0</v>
      </c>
      <c r="U594">
        <f t="shared" si="28"/>
        <v>0.81395348837209303</v>
      </c>
      <c r="V594" s="60">
        <f>U594-AVERAGEIFS(Pitchers[ER/IP],Pitchers[GS],"&gt;"&amp;0,Pitchers[IP],"&gt;"&amp;3)</f>
        <v>0.24245289357277355</v>
      </c>
      <c r="W594" s="60">
        <f>IF(Pitchers[[#This Row],[IP/GS]]&lt;&gt;0,(Pitchers[[#This Row],[WHIP]]*$AH$5+$AI$5)/9*Pitchers[[#This Row],[IP/GS]],(Pitchers[[#This Row],[WHIP]]*$AH$5+$AI$5)/9*(Pitchers[[#This Row],[IP]]/Pitchers[[#This Row],[G]]))</f>
        <v>0.29136778605312186</v>
      </c>
      <c r="X594" s="60">
        <f>Pitchers[[#This Row],[Runs from WHIP]]-AVERAGEIFS(Pitchers[Runs from WHIP],Pitchers[GS],"&gt;"&amp;0,Pitchers[IP],"&gt;"&amp;3)</f>
        <v>-5.3945481200717378</v>
      </c>
      <c r="Y594" s="60">
        <f>IF(Pitchers[[#This Row],[IP/GS]]&lt;&gt;0,Pitchers[[#This Row],[ER/IP From Average]]*Pitchers[[#This Row],[IP/GS]],Pitchers[[#This Row],[ER/IP From Average]]*(Pitchers[[#This Row],[IP]]/Pitchers[[#This Row],[G]]))</f>
        <v>0.14893534890898946</v>
      </c>
      <c r="Z594" s="60">
        <f t="shared" si="29"/>
        <v>-1.378972025788868</v>
      </c>
      <c r="AA594" s="32">
        <f>IF(Pitchers[[#This Row],[W]]=0,0,Pitchers[[#This Row],[W]]/(Pitchers[[#This Row],[W]]+Pitchers[[#This Row],[L]]))</f>
        <v>1</v>
      </c>
      <c r="AB594" s="60"/>
    </row>
    <row r="595" spans="1:28" x14ac:dyDescent="0.25">
      <c r="A595" t="s">
        <v>622</v>
      </c>
      <c r="B595" t="s">
        <v>10</v>
      </c>
      <c r="C595">
        <v>20</v>
      </c>
      <c r="D595">
        <v>0</v>
      </c>
      <c r="E595">
        <v>0</v>
      </c>
      <c r="F595">
        <v>0</v>
      </c>
      <c r="G595">
        <v>17.2</v>
      </c>
      <c r="H595">
        <v>17</v>
      </c>
      <c r="I595">
        <v>8</v>
      </c>
      <c r="J595">
        <v>22</v>
      </c>
      <c r="K595">
        <v>1</v>
      </c>
      <c r="L595">
        <v>1</v>
      </c>
      <c r="M595">
        <v>1</v>
      </c>
      <c r="N595">
        <v>1</v>
      </c>
      <c r="O595">
        <v>0</v>
      </c>
      <c r="P595">
        <v>1</v>
      </c>
      <c r="Q595">
        <v>6</v>
      </c>
      <c r="R595">
        <v>4.08</v>
      </c>
      <c r="S595">
        <v>1.02</v>
      </c>
      <c r="T595">
        <f t="shared" ref="T595:T602" si="30">IF(D595=0,0,G595/D595)</f>
        <v>0</v>
      </c>
      <c r="U595">
        <f t="shared" ref="U595:U602" si="31">IF(G595=0,0,I595/G595)</f>
        <v>0.46511627906976744</v>
      </c>
      <c r="V595" s="60">
        <f>U595-AVERAGEIFS(Pitchers[ER/IP],Pitchers[GS],"&gt;"&amp;0,Pitchers[IP],"&gt;"&amp;3)</f>
        <v>-0.10638431572955204</v>
      </c>
      <c r="W595" s="60">
        <f>IF(Pitchers[[#This Row],[IP/GS]]&lt;&gt;0,(Pitchers[[#This Row],[WHIP]]*$AH$5+$AI$5)/9*Pitchers[[#This Row],[IP/GS]],(Pitchers[[#This Row],[WHIP]]*$AH$5+$AI$5)/9*(Pitchers[[#This Row],[IP]]/Pitchers[[#This Row],[G]]))</f>
        <v>0.282897589196351</v>
      </c>
      <c r="X595" s="60">
        <f>Pitchers[[#This Row],[Runs from WHIP]]-AVERAGEIFS(Pitchers[Runs from WHIP],Pitchers[GS],"&gt;"&amp;0,Pitchers[IP],"&gt;"&amp;3)</f>
        <v>-5.4030183169285078</v>
      </c>
      <c r="Y595" s="60">
        <f>IF(Pitchers[[#This Row],[IP/GS]]&lt;&gt;0,Pitchers[[#This Row],[ER/IP From Average]]*Pitchers[[#This Row],[IP/GS]],Pitchers[[#This Row],[ER/IP From Average]]*(Pitchers[[#This Row],[IP]]/Pitchers[[#This Row],[G]]))</f>
        <v>-9.1490511527414747E-2</v>
      </c>
      <c r="Z595" s="60">
        <f t="shared" ref="Z595:Z602" si="32">AVERAGE(X595,X595,Y595,Y595,Y595)/1.5</f>
        <v>-1.4774010891252345</v>
      </c>
      <c r="AA595" s="32">
        <f>IF(Pitchers[[#This Row],[W]]=0,0,Pitchers[[#This Row],[W]]/(Pitchers[[#This Row],[W]]+Pitchers[[#This Row],[L]]))</f>
        <v>0.5</v>
      </c>
      <c r="AB595" s="60"/>
    </row>
    <row r="596" spans="1:28" x14ac:dyDescent="0.25">
      <c r="A596" t="s">
        <v>4389</v>
      </c>
      <c r="B596" t="s">
        <v>219</v>
      </c>
      <c r="C596">
        <v>17</v>
      </c>
      <c r="D596">
        <v>0</v>
      </c>
      <c r="E596">
        <v>0</v>
      </c>
      <c r="F596">
        <v>0</v>
      </c>
      <c r="G596">
        <v>17.2</v>
      </c>
      <c r="H596">
        <v>12</v>
      </c>
      <c r="I596">
        <v>2</v>
      </c>
      <c r="J596">
        <v>16</v>
      </c>
      <c r="K596">
        <v>3</v>
      </c>
      <c r="L596">
        <v>0</v>
      </c>
      <c r="M596">
        <v>2</v>
      </c>
      <c r="N596">
        <v>0</v>
      </c>
      <c r="O596">
        <v>0</v>
      </c>
      <c r="P596">
        <v>2</v>
      </c>
      <c r="Q596">
        <v>5</v>
      </c>
      <c r="R596">
        <v>1.02</v>
      </c>
      <c r="S596">
        <v>0.85</v>
      </c>
      <c r="T596">
        <f t="shared" si="30"/>
        <v>0</v>
      </c>
      <c r="U596">
        <f t="shared" si="31"/>
        <v>0.11627906976744186</v>
      </c>
      <c r="V596" s="60">
        <f>U596-AVERAGEIFS(Pitchers[ER/IP],Pitchers[GS],"&gt;"&amp;0,Pitchers[IP],"&gt;"&amp;3)</f>
        <v>-0.45522152503187763</v>
      </c>
      <c r="W596" s="60">
        <f>IF(Pitchers[[#This Row],[IP/GS]]&lt;&gt;0,(Pitchers[[#This Row],[WHIP]]*$AH$5+$AI$5)/9*Pitchers[[#This Row],[IP/GS]],(Pitchers[[#This Row],[WHIP]]*$AH$5+$AI$5)/9*(Pitchers[[#This Row],[IP]]/Pitchers[[#This Row],[G]]))</f>
        <v>0.24352261368787795</v>
      </c>
      <c r="X596" s="60">
        <f>Pitchers[[#This Row],[Runs from WHIP]]-AVERAGEIFS(Pitchers[Runs from WHIP],Pitchers[GS],"&gt;"&amp;0,Pitchers[IP],"&gt;"&amp;3)</f>
        <v>-5.4423932924369813</v>
      </c>
      <c r="Y596" s="60">
        <f>IF(Pitchers[[#This Row],[IP/GS]]&lt;&gt;0,Pitchers[[#This Row],[ER/IP From Average]]*Pitchers[[#This Row],[IP/GS]],Pitchers[[#This Row],[ER/IP From Average]]*(Pitchers[[#This Row],[IP]]/Pitchers[[#This Row],[G]]))</f>
        <v>-0.4605770723851938</v>
      </c>
      <c r="Z596" s="60">
        <f t="shared" si="32"/>
        <v>-1.6355357069372725</v>
      </c>
      <c r="AA596" s="32">
        <f>IF(Pitchers[[#This Row],[W]]=0,0,Pitchers[[#This Row],[W]]/(Pitchers[[#This Row],[W]]+Pitchers[[#This Row],[L]]))</f>
        <v>1</v>
      </c>
      <c r="AB596" s="60"/>
    </row>
    <row r="597" spans="1:28" x14ac:dyDescent="0.25">
      <c r="A597" t="s">
        <v>1238</v>
      </c>
      <c r="B597" t="s">
        <v>14</v>
      </c>
      <c r="C597">
        <v>15</v>
      </c>
      <c r="D597">
        <v>0</v>
      </c>
      <c r="E597">
        <v>0</v>
      </c>
      <c r="F597">
        <v>0</v>
      </c>
      <c r="G597">
        <v>17.100000000000001</v>
      </c>
      <c r="H597">
        <v>16</v>
      </c>
      <c r="I597">
        <v>11</v>
      </c>
      <c r="J597">
        <v>21</v>
      </c>
      <c r="K597">
        <v>13</v>
      </c>
      <c r="L597">
        <v>3</v>
      </c>
      <c r="M597">
        <v>0</v>
      </c>
      <c r="N597">
        <v>1</v>
      </c>
      <c r="O597">
        <v>0</v>
      </c>
      <c r="P597">
        <v>0</v>
      </c>
      <c r="Q597">
        <v>0</v>
      </c>
      <c r="R597">
        <v>5.71</v>
      </c>
      <c r="S597">
        <v>1.67</v>
      </c>
      <c r="T597">
        <f t="shared" si="30"/>
        <v>0</v>
      </c>
      <c r="U597">
        <f t="shared" si="31"/>
        <v>0.64327485380116955</v>
      </c>
      <c r="V597" s="60">
        <f>U597-AVERAGEIFS(Pitchers[ER/IP],Pitchers[GS],"&gt;"&amp;0,Pitchers[IP],"&gt;"&amp;3)</f>
        <v>7.1774259001850083E-2</v>
      </c>
      <c r="W597" s="60">
        <f>IF(Pitchers[[#This Row],[IP/GS]]&lt;&gt;0,(Pitchers[[#This Row],[WHIP]]*$AH$5+$AI$5)/9*Pitchers[[#This Row],[IP/GS]],(Pitchers[[#This Row],[WHIP]]*$AH$5+$AI$5)/9*(Pitchers[[#This Row],[IP]]/Pitchers[[#This Row],[G]]))</f>
        <v>0.75971236764322159</v>
      </c>
      <c r="X597" s="60">
        <f>Pitchers[[#This Row],[Runs from WHIP]]-AVERAGEIFS(Pitchers[Runs from WHIP],Pitchers[GS],"&gt;"&amp;0,Pitchers[IP],"&gt;"&amp;3)</f>
        <v>-4.9262035384816372</v>
      </c>
      <c r="Y597" s="60">
        <f>IF(Pitchers[[#This Row],[IP/GS]]&lt;&gt;0,Pitchers[[#This Row],[ER/IP From Average]]*Pitchers[[#This Row],[IP/GS]],Pitchers[[#This Row],[ER/IP From Average]]*(Pitchers[[#This Row],[IP]]/Pitchers[[#This Row],[G]]))</f>
        <v>8.1822655262109106E-2</v>
      </c>
      <c r="Z597" s="60">
        <f t="shared" si="32"/>
        <v>-1.2809252148235932</v>
      </c>
      <c r="AA597" s="32">
        <f>IF(Pitchers[[#This Row],[W]]=0,0,Pitchers[[#This Row],[W]]/(Pitchers[[#This Row],[W]]+Pitchers[[#This Row],[L]]))</f>
        <v>0</v>
      </c>
      <c r="AB597" s="60"/>
    </row>
    <row r="598" spans="1:28" x14ac:dyDescent="0.25">
      <c r="A598" t="s">
        <v>1219</v>
      </c>
      <c r="B598" t="s">
        <v>14</v>
      </c>
      <c r="C598">
        <v>14</v>
      </c>
      <c r="D598">
        <v>2</v>
      </c>
      <c r="E598">
        <v>0</v>
      </c>
      <c r="F598">
        <v>0</v>
      </c>
      <c r="G598">
        <v>17.100000000000001</v>
      </c>
      <c r="H598">
        <v>27</v>
      </c>
      <c r="I598">
        <v>18</v>
      </c>
      <c r="J598">
        <v>22</v>
      </c>
      <c r="K598">
        <v>9</v>
      </c>
      <c r="L598">
        <v>4</v>
      </c>
      <c r="M598">
        <v>0</v>
      </c>
      <c r="N598">
        <v>1</v>
      </c>
      <c r="O598">
        <v>0</v>
      </c>
      <c r="P598">
        <v>0</v>
      </c>
      <c r="Q598">
        <v>0</v>
      </c>
      <c r="R598">
        <v>9.35</v>
      </c>
      <c r="S598">
        <v>2.08</v>
      </c>
      <c r="T598">
        <f t="shared" si="30"/>
        <v>8.5500000000000007</v>
      </c>
      <c r="U598">
        <f t="shared" si="31"/>
        <v>1.0526315789473684</v>
      </c>
      <c r="V598" s="60">
        <f>U598-AVERAGEIFS(Pitchers[ER/IP],Pitchers[GS],"&gt;"&amp;0,Pitchers[IP],"&gt;"&amp;3)</f>
        <v>0.48113098414804889</v>
      </c>
      <c r="W598" s="60">
        <f>IF(Pitchers[[#This Row],[IP/GS]]&lt;&gt;0,(Pitchers[[#This Row],[WHIP]]*$AH$5+$AI$5)/9*Pitchers[[#This Row],[IP/GS]],(Pitchers[[#This Row],[WHIP]]*$AH$5+$AI$5)/9*(Pitchers[[#This Row],[IP]]/Pitchers[[#This Row],[G]]))</f>
        <v>7.5178103016974926</v>
      </c>
      <c r="X598" s="60">
        <f>Pitchers[[#This Row],[Runs from WHIP]]-AVERAGEIFS(Pitchers[Runs from WHIP],Pitchers[GS],"&gt;"&amp;0,Pitchers[IP],"&gt;"&amp;3)</f>
        <v>1.8318943955726334</v>
      </c>
      <c r="Y598" s="60">
        <f>IF(Pitchers[[#This Row],[IP/GS]]&lt;&gt;0,Pitchers[[#This Row],[ER/IP From Average]]*Pitchers[[#This Row],[IP/GS]],Pitchers[[#This Row],[ER/IP From Average]]*(Pitchers[[#This Row],[IP]]/Pitchers[[#This Row],[G]]))</f>
        <v>4.1136699144658184</v>
      </c>
      <c r="Z598" s="60">
        <f t="shared" si="32"/>
        <v>2.1339731379390297</v>
      </c>
      <c r="AA598" s="32">
        <f>IF(Pitchers[[#This Row],[W]]=0,0,Pitchers[[#This Row],[W]]/(Pitchers[[#This Row],[W]]+Pitchers[[#This Row],[L]]))</f>
        <v>0</v>
      </c>
      <c r="AB598" s="60"/>
    </row>
    <row r="599" spans="1:28" x14ac:dyDescent="0.25">
      <c r="A599" t="s">
        <v>4393</v>
      </c>
      <c r="B599" t="s">
        <v>14</v>
      </c>
      <c r="C599">
        <v>4</v>
      </c>
      <c r="D599">
        <v>4</v>
      </c>
      <c r="E599">
        <v>0</v>
      </c>
      <c r="F599">
        <v>0</v>
      </c>
      <c r="G599">
        <v>17.100000000000001</v>
      </c>
      <c r="H599">
        <v>25</v>
      </c>
      <c r="I599">
        <v>16</v>
      </c>
      <c r="J599">
        <v>9</v>
      </c>
      <c r="K599">
        <v>6</v>
      </c>
      <c r="L599">
        <v>4</v>
      </c>
      <c r="M599">
        <v>0</v>
      </c>
      <c r="N599">
        <v>3</v>
      </c>
      <c r="O599">
        <v>0</v>
      </c>
      <c r="P599">
        <v>0</v>
      </c>
      <c r="Q599">
        <v>0</v>
      </c>
      <c r="R599">
        <v>8.31</v>
      </c>
      <c r="S599">
        <v>1.79</v>
      </c>
      <c r="T599">
        <f t="shared" si="30"/>
        <v>4.2750000000000004</v>
      </c>
      <c r="U599">
        <f t="shared" si="31"/>
        <v>0.93567251461988299</v>
      </c>
      <c r="V599" s="60">
        <f>U599-AVERAGEIFS(Pitchers[ER/IP],Pitchers[GS],"&gt;"&amp;0,Pitchers[IP],"&gt;"&amp;3)</f>
        <v>0.36417191982056352</v>
      </c>
      <c r="W599" s="60">
        <f>IF(Pitchers[[#This Row],[IP/GS]]&lt;&gt;0,(Pitchers[[#This Row],[WHIP]]*$AH$5+$AI$5)/9*Pitchers[[#This Row],[IP/GS]],(Pitchers[[#This Row],[WHIP]]*$AH$5+$AI$5)/9*(Pitchers[[#This Row],[IP]]/Pitchers[[#This Row],[G]]))</f>
        <v>3.1152580924728124</v>
      </c>
      <c r="X599" s="60">
        <f>Pitchers[[#This Row],[Runs from WHIP]]-AVERAGEIFS(Pitchers[Runs from WHIP],Pitchers[GS],"&gt;"&amp;0,Pitchers[IP],"&gt;"&amp;3)</f>
        <v>-2.5706578136520468</v>
      </c>
      <c r="Y599" s="60">
        <f>IF(Pitchers[[#This Row],[IP/GS]]&lt;&gt;0,Pitchers[[#This Row],[ER/IP From Average]]*Pitchers[[#This Row],[IP/GS]],Pitchers[[#This Row],[ER/IP From Average]]*(Pitchers[[#This Row],[IP]]/Pitchers[[#This Row],[G]]))</f>
        <v>1.5568349572329092</v>
      </c>
      <c r="Z599" s="60">
        <f t="shared" si="32"/>
        <v>-6.2774767414048804E-2</v>
      </c>
      <c r="AA599" s="32">
        <f>IF(Pitchers[[#This Row],[W]]=0,0,Pitchers[[#This Row],[W]]/(Pitchers[[#This Row],[W]]+Pitchers[[#This Row],[L]]))</f>
        <v>0</v>
      </c>
      <c r="AB599" s="60"/>
    </row>
    <row r="600" spans="1:28" x14ac:dyDescent="0.25">
      <c r="A600" t="s">
        <v>3726</v>
      </c>
      <c r="B600" t="s">
        <v>1</v>
      </c>
      <c r="C600">
        <v>14</v>
      </c>
      <c r="D600">
        <v>0</v>
      </c>
      <c r="E600">
        <v>0</v>
      </c>
      <c r="F600">
        <v>0</v>
      </c>
      <c r="G600">
        <v>17.100000000000001</v>
      </c>
      <c r="H600">
        <v>14</v>
      </c>
      <c r="I600">
        <v>8</v>
      </c>
      <c r="J600">
        <v>18</v>
      </c>
      <c r="K600">
        <v>8</v>
      </c>
      <c r="L600">
        <v>0</v>
      </c>
      <c r="M600">
        <v>1</v>
      </c>
      <c r="N600">
        <v>0</v>
      </c>
      <c r="O600">
        <v>0</v>
      </c>
      <c r="P600">
        <v>0</v>
      </c>
      <c r="Q600">
        <v>1</v>
      </c>
      <c r="R600">
        <v>4.1500000000000004</v>
      </c>
      <c r="S600">
        <v>1.27</v>
      </c>
      <c r="T600">
        <f t="shared" si="30"/>
        <v>0</v>
      </c>
      <c r="U600">
        <f t="shared" si="31"/>
        <v>0.46783625730994149</v>
      </c>
      <c r="V600" s="60">
        <f>U600-AVERAGEIFS(Pitchers[ER/IP],Pitchers[GS],"&gt;"&amp;0,Pitchers[IP],"&gt;"&amp;3)</f>
        <v>-0.10366433748937798</v>
      </c>
      <c r="W600" s="60">
        <f>IF(Pitchers[[#This Row],[IP/GS]]&lt;&gt;0,(Pitchers[[#This Row],[WHIP]]*$AH$5+$AI$5)/9*Pitchers[[#This Row],[IP/GS]],(Pitchers[[#This Row],[WHIP]]*$AH$5+$AI$5)/9*(Pitchers[[#This Row],[IP]]/Pitchers[[#This Row],[G]]))</f>
        <v>0.56032352360751736</v>
      </c>
      <c r="X600" s="60">
        <f>Pitchers[[#This Row],[Runs from WHIP]]-AVERAGEIFS(Pitchers[Runs from WHIP],Pitchers[GS],"&gt;"&amp;0,Pitchers[IP],"&gt;"&amp;3)</f>
        <v>-5.1255923825173415</v>
      </c>
      <c r="Y600" s="60">
        <f>IF(Pitchers[[#This Row],[IP/GS]]&lt;&gt;0,Pitchers[[#This Row],[ER/IP From Average]]*Pitchers[[#This Row],[IP/GS]],Pitchers[[#This Row],[ER/IP From Average]]*(Pitchers[[#This Row],[IP]]/Pitchers[[#This Row],[G]]))</f>
        <v>-0.12661858364774026</v>
      </c>
      <c r="Z600" s="60">
        <f t="shared" si="32"/>
        <v>-1.4174720687970541</v>
      </c>
      <c r="AA600" s="32">
        <f>IF(Pitchers[[#This Row],[W]]=0,0,Pitchers[[#This Row],[W]]/(Pitchers[[#This Row],[W]]+Pitchers[[#This Row],[L]]))</f>
        <v>1</v>
      </c>
      <c r="AB600" s="60"/>
    </row>
    <row r="601" spans="1:28" x14ac:dyDescent="0.25">
      <c r="A601" t="s">
        <v>1419</v>
      </c>
      <c r="B601" t="s">
        <v>18</v>
      </c>
      <c r="C601">
        <v>17</v>
      </c>
      <c r="D601">
        <v>1</v>
      </c>
      <c r="E601">
        <v>0</v>
      </c>
      <c r="F601">
        <v>0</v>
      </c>
      <c r="G601">
        <v>17.100000000000001</v>
      </c>
      <c r="H601">
        <v>14</v>
      </c>
      <c r="I601">
        <v>7</v>
      </c>
      <c r="J601">
        <v>18</v>
      </c>
      <c r="K601">
        <v>7</v>
      </c>
      <c r="L601">
        <v>3</v>
      </c>
      <c r="M601">
        <v>0</v>
      </c>
      <c r="N601">
        <v>0</v>
      </c>
      <c r="O601">
        <v>0</v>
      </c>
      <c r="P601">
        <v>2</v>
      </c>
      <c r="Q601">
        <v>4</v>
      </c>
      <c r="R601">
        <v>3.63</v>
      </c>
      <c r="S601">
        <v>1.21</v>
      </c>
      <c r="T601">
        <f t="shared" si="30"/>
        <v>17.100000000000001</v>
      </c>
      <c r="U601">
        <f t="shared" si="31"/>
        <v>0.40935672514619881</v>
      </c>
      <c r="V601" s="60">
        <f>U601-AVERAGEIFS(Pitchers[ER/IP],Pitchers[GS],"&gt;"&amp;0,Pitchers[IP],"&gt;"&amp;3)</f>
        <v>-0.16214386965312066</v>
      </c>
      <c r="W601" s="60">
        <f>IF(Pitchers[[#This Row],[IP/GS]]&lt;&gt;0,(Pitchers[[#This Row],[WHIP]]*$AH$5+$AI$5)/9*Pitchers[[#This Row],[IP/GS]],(Pitchers[[#This Row],[WHIP]]*$AH$5+$AI$5)/9*(Pitchers[[#This Row],[IP]]/Pitchers[[#This Row],[G]]))</f>
        <v>7.3118559028837815</v>
      </c>
      <c r="X601" s="60">
        <f>Pitchers[[#This Row],[Runs from WHIP]]-AVERAGEIFS(Pitchers[Runs from WHIP],Pitchers[GS],"&gt;"&amp;0,Pitchers[IP],"&gt;"&amp;3)</f>
        <v>1.6259399967589223</v>
      </c>
      <c r="Y601" s="60">
        <f>IF(Pitchers[[#This Row],[IP/GS]]&lt;&gt;0,Pitchers[[#This Row],[ER/IP From Average]]*Pitchers[[#This Row],[IP/GS]],Pitchers[[#This Row],[ER/IP From Average]]*(Pitchers[[#This Row],[IP]]/Pitchers[[#This Row],[G]]))</f>
        <v>-2.7726601710683636</v>
      </c>
      <c r="Z601" s="60">
        <f t="shared" si="32"/>
        <v>-0.67548006929163285</v>
      </c>
      <c r="AA601" s="32">
        <f>IF(Pitchers[[#This Row],[W]]=0,0,Pitchers[[#This Row],[W]]/(Pitchers[[#This Row],[W]]+Pitchers[[#This Row],[L]]))</f>
        <v>0</v>
      </c>
      <c r="AB601" s="60"/>
    </row>
    <row r="602" spans="1:28" x14ac:dyDescent="0.25">
      <c r="A602" t="s">
        <v>566</v>
      </c>
      <c r="B602" t="s">
        <v>29</v>
      </c>
      <c r="C602">
        <v>28</v>
      </c>
      <c r="D602">
        <v>0</v>
      </c>
      <c r="E602">
        <v>0</v>
      </c>
      <c r="F602">
        <v>0</v>
      </c>
      <c r="G602">
        <v>17.100000000000001</v>
      </c>
      <c r="H602">
        <v>17</v>
      </c>
      <c r="I602">
        <v>7</v>
      </c>
      <c r="J602">
        <v>9</v>
      </c>
      <c r="K602">
        <v>7</v>
      </c>
      <c r="L602">
        <v>2</v>
      </c>
      <c r="M602">
        <v>3</v>
      </c>
      <c r="N602">
        <v>2</v>
      </c>
      <c r="O602">
        <v>0</v>
      </c>
      <c r="P602">
        <v>0</v>
      </c>
      <c r="Q602">
        <v>6</v>
      </c>
      <c r="R602">
        <v>3.63</v>
      </c>
      <c r="S602">
        <v>1.38</v>
      </c>
      <c r="T602">
        <f t="shared" si="30"/>
        <v>0</v>
      </c>
      <c r="U602">
        <f t="shared" si="31"/>
        <v>0.40935672514619881</v>
      </c>
      <c r="V602" s="60">
        <f>U602-AVERAGEIFS(Pitchers[ER/IP],Pitchers[GS],"&gt;"&amp;0,Pitchers[IP],"&gt;"&amp;3)</f>
        <v>-0.16214386965312066</v>
      </c>
      <c r="W602" s="60">
        <f>IF(Pitchers[[#This Row],[IP/GS]]&lt;&gt;0,(Pitchers[[#This Row],[WHIP]]*$AH$5+$AI$5)/9*Pitchers[[#This Row],[IP/GS]],(Pitchers[[#This Row],[WHIP]]*$AH$5+$AI$5)/9*(Pitchers[[#This Row],[IP]]/Pitchers[[#This Row],[G]]))</f>
        <v>0.31503918861230679</v>
      </c>
      <c r="X602" s="60">
        <f>Pitchers[[#This Row],[Runs from WHIP]]-AVERAGEIFS(Pitchers[Runs from WHIP],Pitchers[GS],"&gt;"&amp;0,Pitchers[IP],"&gt;"&amp;3)</f>
        <v>-5.3708767175125525</v>
      </c>
      <c r="Y602" s="60">
        <f>IF(Pitchers[[#This Row],[IP/GS]]&lt;&gt;0,Pitchers[[#This Row],[ER/IP From Average]]*Pitchers[[#This Row],[IP/GS]],Pitchers[[#This Row],[ER/IP From Average]]*(Pitchers[[#This Row],[IP]]/Pitchers[[#This Row],[G]]))</f>
        <v>-9.9023577538155841E-2</v>
      </c>
      <c r="Z602" s="60">
        <f t="shared" si="32"/>
        <v>-1.4718432223519435</v>
      </c>
      <c r="AA602" s="32">
        <f>IF(Pitchers[[#This Row],[W]]=0,0,Pitchers[[#This Row],[W]]/(Pitchers[[#This Row],[W]]+Pitchers[[#This Row],[L]]))</f>
        <v>0.6</v>
      </c>
      <c r="AB602" s="60"/>
    </row>
    <row r="603" spans="1:28" x14ac:dyDescent="0.25">
      <c r="A603" t="s">
        <v>1419</v>
      </c>
      <c r="B603" t="s">
        <v>31</v>
      </c>
      <c r="C603">
        <v>24</v>
      </c>
      <c r="D603">
        <v>0</v>
      </c>
      <c r="E603">
        <v>0</v>
      </c>
      <c r="F603">
        <v>0</v>
      </c>
      <c r="G603">
        <v>17</v>
      </c>
      <c r="H603">
        <v>17</v>
      </c>
      <c r="I603">
        <v>6</v>
      </c>
      <c r="J603">
        <v>18</v>
      </c>
      <c r="K603">
        <v>10</v>
      </c>
      <c r="L603">
        <v>2</v>
      </c>
      <c r="M603">
        <v>2</v>
      </c>
      <c r="N603">
        <v>1</v>
      </c>
      <c r="O603">
        <v>1</v>
      </c>
      <c r="P603">
        <v>2</v>
      </c>
      <c r="Q603">
        <v>1</v>
      </c>
      <c r="R603">
        <v>3.18</v>
      </c>
      <c r="S603">
        <v>1.59</v>
      </c>
      <c r="T603">
        <f t="shared" ref="T603:T605" si="33">IF(D603=0,0,G603/D603)</f>
        <v>0</v>
      </c>
      <c r="U603">
        <f t="shared" ref="U603:U605" si="34">IF(G603=0,0,I603/G603)</f>
        <v>0.35294117647058826</v>
      </c>
      <c r="V603" s="60">
        <f>U603-AVERAGEIFS(Pitchers[ER/IP],Pitchers[GS],"&gt;"&amp;0,Pitchers[IP],"&gt;"&amp;3)</f>
        <v>-0.21855941832873121</v>
      </c>
      <c r="W603" s="60">
        <f>IF(Pitchers[[#This Row],[IP/GS]]&lt;&gt;0,(Pitchers[[#This Row],[WHIP]]*$AH$5+$AI$5)/9*Pitchers[[#This Row],[IP/GS]],(Pitchers[[#This Row],[WHIP]]*$AH$5+$AI$5)/9*(Pitchers[[#This Row],[IP]]/Pitchers[[#This Row],[G]]))</f>
        <v>0.44262359337947138</v>
      </c>
      <c r="X603" s="60">
        <f>Pitchers[[#This Row],[Runs from WHIP]]-AVERAGEIFS(Pitchers[Runs from WHIP],Pitchers[GS],"&gt;"&amp;0,Pitchers[IP],"&gt;"&amp;3)</f>
        <v>-5.2432923127453881</v>
      </c>
      <c r="Y603" s="60">
        <f>IF(Pitchers[[#This Row],[IP/GS]]&lt;&gt;0,Pitchers[[#This Row],[ER/IP From Average]]*Pitchers[[#This Row],[IP/GS]],Pitchers[[#This Row],[ER/IP From Average]]*(Pitchers[[#This Row],[IP]]/Pitchers[[#This Row],[G]]))</f>
        <v>-0.15481292131618463</v>
      </c>
      <c r="Z603" s="60">
        <f t="shared" ref="Z603:Z605" si="35">AVERAGE(X603,X603,Y603,Y603,Y603)/1.5</f>
        <v>-1.4601364519252436</v>
      </c>
      <c r="AA603" s="32">
        <f>IF(Pitchers[[#This Row],[W]]=0,0,Pitchers[[#This Row],[W]]/(Pitchers[[#This Row],[W]]+Pitchers[[#This Row],[L]]))</f>
        <v>0.66666666666666663</v>
      </c>
      <c r="AB603" s="60"/>
    </row>
    <row r="604" spans="1:28" x14ac:dyDescent="0.25">
      <c r="A604" t="s">
        <v>3450</v>
      </c>
      <c r="B604" t="s">
        <v>219</v>
      </c>
      <c r="C604">
        <v>8</v>
      </c>
      <c r="D604">
        <v>3</v>
      </c>
      <c r="E604">
        <v>0</v>
      </c>
      <c r="F604">
        <v>0</v>
      </c>
      <c r="G604">
        <v>17</v>
      </c>
      <c r="H604">
        <v>13</v>
      </c>
      <c r="I604">
        <v>10</v>
      </c>
      <c r="J604">
        <v>22</v>
      </c>
      <c r="K604">
        <v>12</v>
      </c>
      <c r="L604">
        <v>4</v>
      </c>
      <c r="M604">
        <v>0</v>
      </c>
      <c r="N604">
        <v>1</v>
      </c>
      <c r="O604">
        <v>0</v>
      </c>
      <c r="P604">
        <v>0</v>
      </c>
      <c r="Q604">
        <v>0</v>
      </c>
      <c r="R604">
        <v>5.29</v>
      </c>
      <c r="S604">
        <v>1.47</v>
      </c>
      <c r="T604">
        <f t="shared" si="33"/>
        <v>5.666666666666667</v>
      </c>
      <c r="U604">
        <f t="shared" si="34"/>
        <v>0.58823529411764708</v>
      </c>
      <c r="V604" s="60">
        <f>U604-AVERAGEIFS(Pitchers[ER/IP],Pitchers[GS],"&gt;"&amp;0,Pitchers[IP],"&gt;"&amp;3)</f>
        <v>1.6734699318327606E-2</v>
      </c>
      <c r="W604" s="60">
        <f>IF(Pitchers[[#This Row],[IP/GS]]&lt;&gt;0,(Pitchers[[#This Row],[WHIP]]*$AH$5+$AI$5)/9*Pitchers[[#This Row],[IP/GS]],(Pitchers[[#This Row],[WHIP]]*$AH$5+$AI$5)/9*(Pitchers[[#This Row],[IP]]/Pitchers[[#This Row],[G]]))</f>
        <v>3.1879498281443537</v>
      </c>
      <c r="X604" s="60">
        <f>Pitchers[[#This Row],[Runs from WHIP]]-AVERAGEIFS(Pitchers[Runs from WHIP],Pitchers[GS],"&gt;"&amp;0,Pitchers[IP],"&gt;"&amp;3)</f>
        <v>-2.4979660779805055</v>
      </c>
      <c r="Y604" s="60">
        <f>IF(Pitchers[[#This Row],[IP/GS]]&lt;&gt;0,Pitchers[[#This Row],[ER/IP From Average]]*Pitchers[[#This Row],[IP/GS]],Pitchers[[#This Row],[ER/IP From Average]]*(Pitchers[[#This Row],[IP]]/Pitchers[[#This Row],[G]]))</f>
        <v>9.4829962803856443E-2</v>
      </c>
      <c r="Z604" s="60">
        <f t="shared" si="35"/>
        <v>-0.62819230233992573</v>
      </c>
      <c r="AA604" s="32">
        <f>IF(Pitchers[[#This Row],[W]]=0,0,Pitchers[[#This Row],[W]]/(Pitchers[[#This Row],[W]]+Pitchers[[#This Row],[L]]))</f>
        <v>0</v>
      </c>
      <c r="AB604" s="60"/>
    </row>
    <row r="605" spans="1:28" x14ac:dyDescent="0.25">
      <c r="A605" t="s">
        <v>4130</v>
      </c>
      <c r="B605" t="s">
        <v>19</v>
      </c>
      <c r="C605">
        <v>9</v>
      </c>
      <c r="D605">
        <v>2</v>
      </c>
      <c r="E605">
        <v>0</v>
      </c>
      <c r="F605">
        <v>0</v>
      </c>
      <c r="G605">
        <v>16.2</v>
      </c>
      <c r="H605">
        <v>14</v>
      </c>
      <c r="I605">
        <v>8</v>
      </c>
      <c r="J605">
        <v>19</v>
      </c>
      <c r="K605">
        <v>13</v>
      </c>
      <c r="L605">
        <v>3</v>
      </c>
      <c r="M605">
        <v>2</v>
      </c>
      <c r="N605">
        <v>1</v>
      </c>
      <c r="O605">
        <v>0</v>
      </c>
      <c r="P605">
        <v>0</v>
      </c>
      <c r="Q605">
        <v>1</v>
      </c>
      <c r="R605">
        <v>4.32</v>
      </c>
      <c r="S605">
        <v>1.62</v>
      </c>
      <c r="T605">
        <f t="shared" si="33"/>
        <v>8.1</v>
      </c>
      <c r="U605">
        <f t="shared" si="34"/>
        <v>0.49382716049382719</v>
      </c>
      <c r="V605" s="60">
        <f>U605-AVERAGEIFS(Pitchers[ER/IP],Pitchers[GS],"&gt;"&amp;0,Pitchers[IP],"&gt;"&amp;3)</f>
        <v>-7.7673434305492284E-2</v>
      </c>
      <c r="W605" s="60">
        <f>IF(Pitchers[[#This Row],[IP/GS]]&lt;&gt;0,(Pitchers[[#This Row],[WHIP]]*$AH$5+$AI$5)/9*Pitchers[[#This Row],[IP/GS]],(Pitchers[[#This Row],[WHIP]]*$AH$5+$AI$5)/9*(Pitchers[[#This Row],[IP]]/Pitchers[[#This Row],[G]]))</f>
        <v>5.1876904697196826</v>
      </c>
      <c r="X605" s="60">
        <f>Pitchers[[#This Row],[Runs from WHIP]]-AVERAGEIFS(Pitchers[Runs from WHIP],Pitchers[GS],"&gt;"&amp;0,Pitchers[IP],"&gt;"&amp;3)</f>
        <v>-0.49822543640517658</v>
      </c>
      <c r="Y605" s="60">
        <f>IF(Pitchers[[#This Row],[IP/GS]]&lt;&gt;0,Pitchers[[#This Row],[ER/IP From Average]]*Pitchers[[#This Row],[IP/GS]],Pitchers[[#This Row],[ER/IP From Average]]*(Pitchers[[#This Row],[IP]]/Pitchers[[#This Row],[G]]))</f>
        <v>-0.62915481787448746</v>
      </c>
      <c r="Z605" s="60">
        <f t="shared" si="35"/>
        <v>-0.38452204352450875</v>
      </c>
      <c r="AA605" s="32">
        <f>IF(Pitchers[[#This Row],[W]]=0,0,Pitchers[[#This Row],[W]]/(Pitchers[[#This Row],[W]]+Pitchers[[#This Row],[L]]))</f>
        <v>0.66666666666666663</v>
      </c>
      <c r="AB605" s="60"/>
    </row>
    <row r="606" spans="1:28" x14ac:dyDescent="0.25">
      <c r="A606" t="s">
        <v>1412</v>
      </c>
      <c r="B606" t="s">
        <v>19</v>
      </c>
      <c r="C606">
        <v>7</v>
      </c>
      <c r="D606">
        <v>4</v>
      </c>
      <c r="E606">
        <v>0</v>
      </c>
      <c r="F606">
        <v>0</v>
      </c>
      <c r="G606">
        <v>16.2</v>
      </c>
      <c r="H606">
        <v>21</v>
      </c>
      <c r="I606">
        <v>17</v>
      </c>
      <c r="J606">
        <v>21</v>
      </c>
      <c r="K606">
        <v>8</v>
      </c>
      <c r="L606">
        <v>7</v>
      </c>
      <c r="M606">
        <v>0</v>
      </c>
      <c r="N606">
        <v>3</v>
      </c>
      <c r="O606">
        <v>0</v>
      </c>
      <c r="P606">
        <v>0</v>
      </c>
      <c r="Q606">
        <v>0</v>
      </c>
      <c r="R606">
        <v>9.18</v>
      </c>
      <c r="S606">
        <v>1.74</v>
      </c>
      <c r="T606">
        <f t="shared" ref="T606:T610" si="36">IF(D606=0,0,G606/D606)</f>
        <v>4.05</v>
      </c>
      <c r="U606">
        <f t="shared" ref="U606:U610" si="37">IF(G606=0,0,I606/G606)</f>
        <v>1.0493827160493827</v>
      </c>
      <c r="V606" s="60">
        <f>U606-AVERAGEIFS(Pitchers[ER/IP],Pitchers[GS],"&gt;"&amp;0,Pitchers[IP],"&gt;"&amp;3)</f>
        <v>0.47788212125006324</v>
      </c>
      <c r="W606" s="60">
        <f>IF(Pitchers[[#This Row],[IP/GS]]&lt;&gt;0,(Pitchers[[#This Row],[WHIP]]*$AH$5+$AI$5)/9*Pitchers[[#This Row],[IP/GS]],(Pitchers[[#This Row],[WHIP]]*$AH$5+$AI$5)/9*(Pitchers[[#This Row],[IP]]/Pitchers[[#This Row],[G]]))</f>
        <v>2.8461642268910592</v>
      </c>
      <c r="X606" s="60">
        <f>Pitchers[[#This Row],[Runs from WHIP]]-AVERAGEIFS(Pitchers[Runs from WHIP],Pitchers[GS],"&gt;"&amp;0,Pitchers[IP],"&gt;"&amp;3)</f>
        <v>-2.8397516792338</v>
      </c>
      <c r="Y606" s="60">
        <f>IF(Pitchers[[#This Row],[IP/GS]]&lt;&gt;0,Pitchers[[#This Row],[ER/IP From Average]]*Pitchers[[#This Row],[IP/GS]],Pitchers[[#This Row],[ER/IP From Average]]*(Pitchers[[#This Row],[IP]]/Pitchers[[#This Row],[G]]))</f>
        <v>1.935422591062756</v>
      </c>
      <c r="Z606" s="60">
        <f t="shared" ref="Z606:Z610" si="38">AVERAGE(X606,X606,Y606,Y606,Y606)/1.5</f>
        <v>1.690192196275575E-2</v>
      </c>
      <c r="AA606" s="32">
        <f>IF(Pitchers[[#This Row],[W]]=0,0,Pitchers[[#This Row],[W]]/(Pitchers[[#This Row],[W]]+Pitchers[[#This Row],[L]]))</f>
        <v>0</v>
      </c>
      <c r="AB606" s="60"/>
    </row>
    <row r="607" spans="1:28" x14ac:dyDescent="0.25">
      <c r="A607" t="s">
        <v>665</v>
      </c>
      <c r="B607" t="s">
        <v>1</v>
      </c>
      <c r="C607">
        <v>12</v>
      </c>
      <c r="D607">
        <v>0</v>
      </c>
      <c r="E607">
        <v>0</v>
      </c>
      <c r="F607">
        <v>0</v>
      </c>
      <c r="G607">
        <v>16.2</v>
      </c>
      <c r="H607">
        <v>17</v>
      </c>
      <c r="I607">
        <v>9</v>
      </c>
      <c r="J607">
        <v>11</v>
      </c>
      <c r="K607">
        <v>4</v>
      </c>
      <c r="L607">
        <v>6</v>
      </c>
      <c r="M607">
        <v>0</v>
      </c>
      <c r="N607">
        <v>0</v>
      </c>
      <c r="O607">
        <v>1</v>
      </c>
      <c r="P607">
        <v>0</v>
      </c>
      <c r="Q607">
        <v>1</v>
      </c>
      <c r="R607">
        <v>4.8600000000000003</v>
      </c>
      <c r="S607">
        <v>1.26</v>
      </c>
      <c r="T607">
        <f t="shared" si="36"/>
        <v>0</v>
      </c>
      <c r="U607">
        <f t="shared" si="37"/>
        <v>0.55555555555555558</v>
      </c>
      <c r="V607" s="60">
        <f>U607-AVERAGEIFS(Pitchers[ER/IP],Pitchers[GS],"&gt;"&amp;0,Pitchers[IP],"&gt;"&amp;3)</f>
        <v>-1.5945039243763892E-2</v>
      </c>
      <c r="W607" s="60">
        <f>IF(Pitchers[[#This Row],[IP/GS]]&lt;&gt;0,(Pitchers[[#This Row],[WHIP]]*$AH$5+$AI$5)/9*Pitchers[[#This Row],[IP/GS]],(Pitchers[[#This Row],[WHIP]]*$AH$5+$AI$5)/9*(Pitchers[[#This Row],[IP]]/Pitchers[[#This Row],[G]]))</f>
        <v>0.61229608625539456</v>
      </c>
      <c r="X607" s="60">
        <f>Pitchers[[#This Row],[Runs from WHIP]]-AVERAGEIFS(Pitchers[Runs from WHIP],Pitchers[GS],"&gt;"&amp;0,Pitchers[IP],"&gt;"&amp;3)</f>
        <v>-5.0736198198694646</v>
      </c>
      <c r="Y607" s="60">
        <f>IF(Pitchers[[#This Row],[IP/GS]]&lt;&gt;0,Pitchers[[#This Row],[ER/IP From Average]]*Pitchers[[#This Row],[IP/GS]],Pitchers[[#This Row],[ER/IP From Average]]*(Pitchers[[#This Row],[IP]]/Pitchers[[#This Row],[G]]))</f>
        <v>-2.1525802979081254E-2</v>
      </c>
      <c r="Z607" s="60">
        <f t="shared" si="38"/>
        <v>-1.3615756064901563</v>
      </c>
      <c r="AA607" s="32">
        <f>IF(Pitchers[[#This Row],[W]]=0,0,Pitchers[[#This Row],[W]]/(Pitchers[[#This Row],[W]]+Pitchers[[#This Row],[L]]))</f>
        <v>0</v>
      </c>
      <c r="AB607" s="60"/>
    </row>
    <row r="608" spans="1:28" x14ac:dyDescent="0.25">
      <c r="A608" t="s">
        <v>575</v>
      </c>
      <c r="B608" t="s">
        <v>3</v>
      </c>
      <c r="C608">
        <v>16</v>
      </c>
      <c r="D608">
        <v>0</v>
      </c>
      <c r="E608">
        <v>0</v>
      </c>
      <c r="F608">
        <v>0</v>
      </c>
      <c r="G608">
        <v>16.2</v>
      </c>
      <c r="H608">
        <v>18</v>
      </c>
      <c r="I608">
        <v>10</v>
      </c>
      <c r="J608">
        <v>18</v>
      </c>
      <c r="K608">
        <v>9</v>
      </c>
      <c r="L608">
        <v>5</v>
      </c>
      <c r="M608">
        <v>0</v>
      </c>
      <c r="N608">
        <v>1</v>
      </c>
      <c r="O608">
        <v>0</v>
      </c>
      <c r="P608">
        <v>0</v>
      </c>
      <c r="Q608">
        <v>2</v>
      </c>
      <c r="R608">
        <v>5.4</v>
      </c>
      <c r="S608">
        <v>1.62</v>
      </c>
      <c r="T608">
        <f t="shared" si="36"/>
        <v>0</v>
      </c>
      <c r="U608">
        <f t="shared" si="37"/>
        <v>0.61728395061728403</v>
      </c>
      <c r="V608" s="60">
        <f>U608-AVERAGEIFS(Pitchers[ER/IP],Pitchers[GS],"&gt;"&amp;0,Pitchers[IP],"&gt;"&amp;3)</f>
        <v>4.5783355817964555E-2</v>
      </c>
      <c r="W608" s="60">
        <f>IF(Pitchers[[#This Row],[IP/GS]]&lt;&gt;0,(Pitchers[[#This Row],[WHIP]]*$AH$5+$AI$5)/9*Pitchers[[#This Row],[IP/GS]],(Pitchers[[#This Row],[WHIP]]*$AH$5+$AI$5)/9*(Pitchers[[#This Row],[IP]]/Pitchers[[#This Row],[G]]))</f>
        <v>0.64846130871496033</v>
      </c>
      <c r="X608" s="60">
        <f>Pitchers[[#This Row],[Runs from WHIP]]-AVERAGEIFS(Pitchers[Runs from WHIP],Pitchers[GS],"&gt;"&amp;0,Pitchers[IP],"&gt;"&amp;3)</f>
        <v>-5.0374545974098988</v>
      </c>
      <c r="Y608" s="60">
        <f>IF(Pitchers[[#This Row],[IP/GS]]&lt;&gt;0,Pitchers[[#This Row],[ER/IP From Average]]*Pitchers[[#This Row],[IP/GS]],Pitchers[[#This Row],[ER/IP From Average]]*(Pitchers[[#This Row],[IP]]/Pitchers[[#This Row],[G]]))</f>
        <v>4.6355647765689109E-2</v>
      </c>
      <c r="Z608" s="60">
        <f t="shared" si="38"/>
        <v>-1.3247789668696976</v>
      </c>
      <c r="AA608" s="32">
        <f>IF(Pitchers[[#This Row],[W]]=0,0,Pitchers[[#This Row],[W]]/(Pitchers[[#This Row],[W]]+Pitchers[[#This Row],[L]]))</f>
        <v>0</v>
      </c>
      <c r="AB608" s="60"/>
    </row>
    <row r="609" spans="1:28" x14ac:dyDescent="0.25">
      <c r="A609" t="s">
        <v>668</v>
      </c>
      <c r="B609" t="s">
        <v>3</v>
      </c>
      <c r="C609">
        <v>17</v>
      </c>
      <c r="D609">
        <v>0</v>
      </c>
      <c r="E609">
        <v>0</v>
      </c>
      <c r="F609">
        <v>0</v>
      </c>
      <c r="G609">
        <v>16.100000000000001</v>
      </c>
      <c r="H609">
        <v>20</v>
      </c>
      <c r="I609">
        <v>7</v>
      </c>
      <c r="J609">
        <v>15</v>
      </c>
      <c r="K609">
        <v>5</v>
      </c>
      <c r="L609">
        <v>3</v>
      </c>
      <c r="M609">
        <v>0</v>
      </c>
      <c r="N609">
        <v>0</v>
      </c>
      <c r="O609">
        <v>0</v>
      </c>
      <c r="P609">
        <v>0</v>
      </c>
      <c r="Q609">
        <v>1</v>
      </c>
      <c r="R609">
        <v>3.86</v>
      </c>
      <c r="S609">
        <v>1.53</v>
      </c>
      <c r="T609">
        <f t="shared" si="36"/>
        <v>0</v>
      </c>
      <c r="U609">
        <f t="shared" si="37"/>
        <v>0.43478260869565216</v>
      </c>
      <c r="V609" s="60">
        <f>U609-AVERAGEIFS(Pitchers[ER/IP],Pitchers[GS],"&gt;"&amp;0,Pitchers[IP],"&gt;"&amp;3)</f>
        <v>-0.13671798610366731</v>
      </c>
      <c r="W609" s="60">
        <f>IF(Pitchers[[#This Row],[IP/GS]]&lt;&gt;0,(Pitchers[[#This Row],[WHIP]]*$AH$5+$AI$5)/9*Pitchers[[#This Row],[IP/GS]],(Pitchers[[#This Row],[WHIP]]*$AH$5+$AI$5)/9*(Pitchers[[#This Row],[IP]]/Pitchers[[#This Row],[G]]))</f>
        <v>0.56229711623044987</v>
      </c>
      <c r="X609" s="60">
        <f>Pitchers[[#This Row],[Runs from WHIP]]-AVERAGEIFS(Pitchers[Runs from WHIP],Pitchers[GS],"&gt;"&amp;0,Pitchers[IP],"&gt;"&amp;3)</f>
        <v>-5.123618789894409</v>
      </c>
      <c r="Y609" s="60">
        <f>IF(Pitchers[[#This Row],[IP/GS]]&lt;&gt;0,Pitchers[[#This Row],[ER/IP From Average]]*Pitchers[[#This Row],[IP/GS]],Pitchers[[#This Row],[ER/IP From Average]]*(Pitchers[[#This Row],[IP]]/Pitchers[[#This Row],[G]]))</f>
        <v>-0.12947997507464964</v>
      </c>
      <c r="Z609" s="60">
        <f t="shared" si="38"/>
        <v>-1.4180903340017024</v>
      </c>
      <c r="AA609" s="32">
        <f>IF(Pitchers[[#This Row],[W]]=0,0,Pitchers[[#This Row],[W]]/(Pitchers[[#This Row],[W]]+Pitchers[[#This Row],[L]]))</f>
        <v>0</v>
      </c>
      <c r="AB609" s="60"/>
    </row>
    <row r="610" spans="1:28" x14ac:dyDescent="0.25">
      <c r="A610" t="s">
        <v>3589</v>
      </c>
      <c r="B610" t="s">
        <v>12</v>
      </c>
      <c r="C610">
        <v>12</v>
      </c>
      <c r="D610">
        <v>0</v>
      </c>
      <c r="E610">
        <v>0</v>
      </c>
      <c r="F610">
        <v>0</v>
      </c>
      <c r="G610">
        <v>16.100000000000001</v>
      </c>
      <c r="H610">
        <v>22</v>
      </c>
      <c r="I610">
        <v>14</v>
      </c>
      <c r="J610">
        <v>16</v>
      </c>
      <c r="K610">
        <v>8</v>
      </c>
      <c r="L610">
        <v>4</v>
      </c>
      <c r="M610">
        <v>1</v>
      </c>
      <c r="N610">
        <v>0</v>
      </c>
      <c r="O610">
        <v>2</v>
      </c>
      <c r="P610">
        <v>0</v>
      </c>
      <c r="Q610">
        <v>1</v>
      </c>
      <c r="R610">
        <v>7.71</v>
      </c>
      <c r="S610">
        <v>1.84</v>
      </c>
      <c r="T610">
        <f t="shared" si="36"/>
        <v>0</v>
      </c>
      <c r="U610">
        <f t="shared" si="37"/>
        <v>0.86956521739130432</v>
      </c>
      <c r="V610" s="60">
        <f>U610-AVERAGEIFS(Pitchers[ER/IP],Pitchers[GS],"&gt;"&amp;0,Pitchers[IP],"&gt;"&amp;3)</f>
        <v>0.29806462259198485</v>
      </c>
      <c r="W610" s="60">
        <f>IF(Pitchers[[#This Row],[IP/GS]]&lt;&gt;0,(Pitchers[[#This Row],[WHIP]]*$AH$5+$AI$5)/9*Pitchers[[#This Row],[IP/GS]],(Pitchers[[#This Row],[WHIP]]*$AH$5+$AI$5)/9*(Pitchers[[#This Row],[IP]]/Pitchers[[#This Row],[G]]))</f>
        <v>1.0125210671337088</v>
      </c>
      <c r="X610" s="60">
        <f>Pitchers[[#This Row],[Runs from WHIP]]-AVERAGEIFS(Pitchers[Runs from WHIP],Pitchers[GS],"&gt;"&amp;0,Pitchers[IP],"&gt;"&amp;3)</f>
        <v>-4.6733948389911504</v>
      </c>
      <c r="Y610" s="60">
        <f>IF(Pitchers[[#This Row],[IP/GS]]&lt;&gt;0,Pitchers[[#This Row],[ER/IP From Average]]*Pitchers[[#This Row],[IP/GS]],Pitchers[[#This Row],[ER/IP From Average]]*(Pitchers[[#This Row],[IP]]/Pitchers[[#This Row],[G]]))</f>
        <v>0.39990336864424636</v>
      </c>
      <c r="Z610" s="60">
        <f t="shared" si="38"/>
        <v>-1.0862772762732751</v>
      </c>
      <c r="AA610" s="32">
        <f>IF(Pitchers[[#This Row],[W]]=0,0,Pitchers[[#This Row],[W]]/(Pitchers[[#This Row],[W]]+Pitchers[[#This Row],[L]]))</f>
        <v>1</v>
      </c>
      <c r="AB610" s="60"/>
    </row>
    <row r="611" spans="1:28" x14ac:dyDescent="0.25">
      <c r="A611" t="s">
        <v>1459</v>
      </c>
      <c r="B611" t="s">
        <v>27</v>
      </c>
      <c r="C611">
        <v>9</v>
      </c>
      <c r="D611">
        <v>0</v>
      </c>
      <c r="E611">
        <v>0</v>
      </c>
      <c r="F611">
        <v>0</v>
      </c>
      <c r="G611">
        <v>16.100000000000001</v>
      </c>
      <c r="H611">
        <v>21</v>
      </c>
      <c r="I611">
        <v>10</v>
      </c>
      <c r="J611">
        <v>11</v>
      </c>
      <c r="K611">
        <v>5</v>
      </c>
      <c r="L611">
        <v>0</v>
      </c>
      <c r="M611">
        <v>1</v>
      </c>
      <c r="N611">
        <v>1</v>
      </c>
      <c r="O611">
        <v>0</v>
      </c>
      <c r="P611">
        <v>0</v>
      </c>
      <c r="Q611">
        <v>0</v>
      </c>
      <c r="R611">
        <v>5.51</v>
      </c>
      <c r="S611">
        <v>1.59</v>
      </c>
      <c r="T611">
        <f t="shared" ref="T611:T642" si="39">IF(D611=0,0,G611/D611)</f>
        <v>0</v>
      </c>
      <c r="U611">
        <f t="shared" ref="U611:U642" si="40">IF(G611=0,0,I611/G611)</f>
        <v>0.6211180124223602</v>
      </c>
      <c r="V611" s="60">
        <f>U611-AVERAGEIFS(Pitchers[ER/IP],Pitchers[GS],"&gt;"&amp;0,Pitchers[IP],"&gt;"&amp;3)</f>
        <v>4.9617417623040727E-2</v>
      </c>
      <c r="W611" s="60">
        <f>IF(Pitchers[[#This Row],[IP/GS]]&lt;&gt;0,(Pitchers[[#This Row],[WHIP]]*$AH$5+$AI$5)/9*Pitchers[[#This Row],[IP/GS]],(Pitchers[[#This Row],[WHIP]]*$AH$5+$AI$5)/9*(Pitchers[[#This Row],[IP]]/Pitchers[[#This Row],[G]]))</f>
        <v>1.117841545632861</v>
      </c>
      <c r="X611" s="60">
        <f>Pitchers[[#This Row],[Runs from WHIP]]-AVERAGEIFS(Pitchers[Runs from WHIP],Pitchers[GS],"&gt;"&amp;0,Pitchers[IP],"&gt;"&amp;3)</f>
        <v>-4.5680743604919982</v>
      </c>
      <c r="Y611" s="60">
        <f>IF(Pitchers[[#This Row],[IP/GS]]&lt;&gt;0,Pitchers[[#This Row],[ER/IP From Average]]*Pitchers[[#This Row],[IP/GS]],Pitchers[[#This Row],[ER/IP From Average]]*(Pitchers[[#This Row],[IP]]/Pitchers[[#This Row],[G]]))</f>
        <v>8.8760047081217305E-2</v>
      </c>
      <c r="Z611" s="60">
        <f t="shared" ref="Z611:Z642" si="41">AVERAGE(X611,X611,Y611,Y611,Y611)/1.5</f>
        <v>-1.182649143965379</v>
      </c>
      <c r="AA611" s="32">
        <f>IF(Pitchers[[#This Row],[W]]=0,0,Pitchers[[#This Row],[W]]/(Pitchers[[#This Row],[W]]+Pitchers[[#This Row],[L]]))</f>
        <v>0.5</v>
      </c>
      <c r="AB611" s="60"/>
    </row>
    <row r="612" spans="1:28" x14ac:dyDescent="0.25">
      <c r="A612" t="s">
        <v>629</v>
      </c>
      <c r="B612" t="s">
        <v>13</v>
      </c>
      <c r="C612">
        <v>22</v>
      </c>
      <c r="D612">
        <v>0</v>
      </c>
      <c r="E612">
        <v>0</v>
      </c>
      <c r="F612">
        <v>0</v>
      </c>
      <c r="G612">
        <v>16.100000000000001</v>
      </c>
      <c r="H612">
        <v>30</v>
      </c>
      <c r="I612">
        <v>19</v>
      </c>
      <c r="J612">
        <v>15</v>
      </c>
      <c r="K612">
        <v>7</v>
      </c>
      <c r="L612">
        <v>2</v>
      </c>
      <c r="M612">
        <v>2</v>
      </c>
      <c r="N612">
        <v>2</v>
      </c>
      <c r="O612">
        <v>1</v>
      </c>
      <c r="P612">
        <v>0</v>
      </c>
      <c r="Q612">
        <v>6</v>
      </c>
      <c r="R612">
        <v>10.47</v>
      </c>
      <c r="S612">
        <v>2.27</v>
      </c>
      <c r="T612">
        <f t="shared" si="39"/>
        <v>0</v>
      </c>
      <c r="U612">
        <f t="shared" si="40"/>
        <v>1.1801242236024843</v>
      </c>
      <c r="V612" s="60">
        <f>U612-AVERAGEIFS(Pitchers[ER/IP],Pitchers[GS],"&gt;"&amp;0,Pitchers[IP],"&gt;"&amp;3)</f>
        <v>0.60862362880316478</v>
      </c>
      <c r="W612" s="60">
        <f>IF(Pitchers[[#This Row],[IP/GS]]&lt;&gt;0,(Pitchers[[#This Row],[WHIP]]*$AH$5+$AI$5)/9*Pitchers[[#This Row],[IP/GS]],(Pitchers[[#This Row],[WHIP]]*$AH$5+$AI$5)/9*(Pitchers[[#This Row],[IP]]/Pitchers[[#This Row],[G]]))</f>
        <v>0.71565911385670788</v>
      </c>
      <c r="X612" s="60">
        <f>Pitchers[[#This Row],[Runs from WHIP]]-AVERAGEIFS(Pitchers[Runs from WHIP],Pitchers[GS],"&gt;"&amp;0,Pitchers[IP],"&gt;"&amp;3)</f>
        <v>-4.9702567922681515</v>
      </c>
      <c r="Y612" s="60">
        <f>IF(Pitchers[[#This Row],[IP/GS]]&lt;&gt;0,Pitchers[[#This Row],[ER/IP From Average]]*Pitchers[[#This Row],[IP/GS]],Pitchers[[#This Row],[ER/IP From Average]]*(Pitchers[[#This Row],[IP]]/Pitchers[[#This Row],[G]]))</f>
        <v>0.4454018374423161</v>
      </c>
      <c r="Z612" s="60">
        <f t="shared" si="41"/>
        <v>-1.1472410762945804</v>
      </c>
      <c r="AA612" s="32">
        <f>IF(Pitchers[[#This Row],[W]]=0,0,Pitchers[[#This Row],[W]]/(Pitchers[[#This Row],[W]]+Pitchers[[#This Row],[L]]))</f>
        <v>0.5</v>
      </c>
      <c r="AB612" s="60"/>
    </row>
    <row r="613" spans="1:28" x14ac:dyDescent="0.25">
      <c r="A613" t="s">
        <v>675</v>
      </c>
      <c r="B613" t="s">
        <v>6</v>
      </c>
      <c r="C613">
        <v>8</v>
      </c>
      <c r="D613">
        <v>0</v>
      </c>
      <c r="E613">
        <v>0</v>
      </c>
      <c r="F613">
        <v>0</v>
      </c>
      <c r="G613">
        <v>16</v>
      </c>
      <c r="H613">
        <v>25</v>
      </c>
      <c r="I613">
        <v>13</v>
      </c>
      <c r="J613">
        <v>11</v>
      </c>
      <c r="K613">
        <v>9</v>
      </c>
      <c r="L613">
        <v>4</v>
      </c>
      <c r="M613">
        <v>0</v>
      </c>
      <c r="N613">
        <v>0</v>
      </c>
      <c r="O613">
        <v>0</v>
      </c>
      <c r="P613">
        <v>0</v>
      </c>
      <c r="Q613">
        <v>0</v>
      </c>
      <c r="R613">
        <v>7.31</v>
      </c>
      <c r="S613">
        <v>2.13</v>
      </c>
      <c r="T613">
        <f t="shared" si="39"/>
        <v>0</v>
      </c>
      <c r="U613">
        <f t="shared" si="40"/>
        <v>0.8125</v>
      </c>
      <c r="V613" s="60">
        <f>U613-AVERAGEIFS(Pitchers[ER/IP],Pitchers[GS],"&gt;"&amp;0,Pitchers[IP],"&gt;"&amp;3)</f>
        <v>0.24099940520068053</v>
      </c>
      <c r="W613" s="60">
        <f>IF(Pitchers[[#This Row],[IP/GS]]&lt;&gt;0,(Pitchers[[#This Row],[WHIP]]*$AH$5+$AI$5)/9*Pitchers[[#This Row],[IP/GS]],(Pitchers[[#This Row],[WHIP]]*$AH$5+$AI$5)/9*(Pitchers[[#This Row],[IP]]/Pitchers[[#This Row],[G]]))</f>
        <v>1.8104696054284055</v>
      </c>
      <c r="X613" s="60">
        <f>Pitchers[[#This Row],[Runs from WHIP]]-AVERAGEIFS(Pitchers[Runs from WHIP],Pitchers[GS],"&gt;"&amp;0,Pitchers[IP],"&gt;"&amp;3)</f>
        <v>-3.8754463006964537</v>
      </c>
      <c r="Y613" s="60">
        <f>IF(Pitchers[[#This Row],[IP/GS]]&lt;&gt;0,Pitchers[[#This Row],[ER/IP From Average]]*Pitchers[[#This Row],[IP/GS]],Pitchers[[#This Row],[ER/IP From Average]]*(Pitchers[[#This Row],[IP]]/Pitchers[[#This Row],[G]]))</f>
        <v>0.48199881040136106</v>
      </c>
      <c r="Z613" s="60">
        <f t="shared" si="41"/>
        <v>-0.84065282269184316</v>
      </c>
      <c r="AA613" s="32">
        <f>IF(Pitchers[[#This Row],[W]]=0,0,Pitchers[[#This Row],[W]]/(Pitchers[[#This Row],[W]]+Pitchers[[#This Row],[L]]))</f>
        <v>0</v>
      </c>
      <c r="AB613" s="60"/>
    </row>
    <row r="614" spans="1:28" x14ac:dyDescent="0.25">
      <c r="A614" t="s">
        <v>461</v>
      </c>
      <c r="B614" t="s">
        <v>1</v>
      </c>
      <c r="C614">
        <v>9</v>
      </c>
      <c r="D614">
        <v>0</v>
      </c>
      <c r="E614">
        <v>0</v>
      </c>
      <c r="F614">
        <v>0</v>
      </c>
      <c r="G614">
        <v>16</v>
      </c>
      <c r="H614">
        <v>24</v>
      </c>
      <c r="I614">
        <v>12</v>
      </c>
      <c r="J614">
        <v>16</v>
      </c>
      <c r="K614">
        <v>5</v>
      </c>
      <c r="L614">
        <v>1</v>
      </c>
      <c r="M614">
        <v>0</v>
      </c>
      <c r="N614">
        <v>0</v>
      </c>
      <c r="O614">
        <v>0</v>
      </c>
      <c r="P614">
        <v>0</v>
      </c>
      <c r="Q614">
        <v>0</v>
      </c>
      <c r="R614">
        <v>6.75</v>
      </c>
      <c r="S614">
        <v>1.81</v>
      </c>
      <c r="T614">
        <f t="shared" si="39"/>
        <v>0</v>
      </c>
      <c r="U614">
        <f t="shared" si="40"/>
        <v>0.75</v>
      </c>
      <c r="V614" s="60">
        <f>U614-AVERAGEIFS(Pitchers[ER/IP],Pitchers[GS],"&gt;"&amp;0,Pitchers[IP],"&gt;"&amp;3)</f>
        <v>0.17849940520068053</v>
      </c>
      <c r="W614" s="60">
        <f>IF(Pitchers[[#This Row],[IP/GS]]&lt;&gt;0,(Pitchers[[#This Row],[WHIP]]*$AH$5+$AI$5)/9*Pitchers[[#This Row],[IP/GS]],(Pitchers[[#This Row],[WHIP]]*$AH$5+$AI$5)/9*(Pitchers[[#This Row],[IP]]/Pitchers[[#This Row],[G]]))</f>
        <v>1.3139534949030178</v>
      </c>
      <c r="X614" s="60">
        <f>Pitchers[[#This Row],[Runs from WHIP]]-AVERAGEIFS(Pitchers[Runs from WHIP],Pitchers[GS],"&gt;"&amp;0,Pitchers[IP],"&gt;"&amp;3)</f>
        <v>-4.3719624112218414</v>
      </c>
      <c r="Y614" s="60">
        <f>IF(Pitchers[[#This Row],[IP/GS]]&lt;&gt;0,Pitchers[[#This Row],[ER/IP From Average]]*Pitchers[[#This Row],[IP/GS]],Pitchers[[#This Row],[ER/IP From Average]]*(Pitchers[[#This Row],[IP]]/Pitchers[[#This Row],[G]]))</f>
        <v>0.31733227591232094</v>
      </c>
      <c r="Z614" s="60">
        <f t="shared" si="41"/>
        <v>-1.0389237326275627</v>
      </c>
      <c r="AA614" s="32">
        <f>IF(Pitchers[[#This Row],[W]]=0,0,Pitchers[[#This Row],[W]]/(Pitchers[[#This Row],[W]]+Pitchers[[#This Row],[L]]))</f>
        <v>0</v>
      </c>
      <c r="AB614" s="60"/>
    </row>
    <row r="615" spans="1:28" x14ac:dyDescent="0.25">
      <c r="A615" t="s">
        <v>4554</v>
      </c>
      <c r="B615" t="s">
        <v>219</v>
      </c>
      <c r="C615">
        <v>4</v>
      </c>
      <c r="D615">
        <v>4</v>
      </c>
      <c r="E615">
        <v>0</v>
      </c>
      <c r="F615">
        <v>0</v>
      </c>
      <c r="G615">
        <v>16</v>
      </c>
      <c r="H615">
        <v>11</v>
      </c>
      <c r="I615">
        <v>9</v>
      </c>
      <c r="J615">
        <v>13</v>
      </c>
      <c r="K615">
        <v>9</v>
      </c>
      <c r="L615">
        <v>3</v>
      </c>
      <c r="M615">
        <v>1</v>
      </c>
      <c r="N615">
        <v>2</v>
      </c>
      <c r="O615">
        <v>0</v>
      </c>
      <c r="P615">
        <v>0</v>
      </c>
      <c r="Q615">
        <v>0</v>
      </c>
      <c r="R615">
        <v>5.0599999999999996</v>
      </c>
      <c r="S615">
        <v>1.25</v>
      </c>
      <c r="T615">
        <f t="shared" si="39"/>
        <v>4</v>
      </c>
      <c r="U615">
        <f t="shared" si="40"/>
        <v>0.5625</v>
      </c>
      <c r="V615" s="60">
        <f>U615-AVERAGEIFS(Pitchers[ER/IP],Pitchers[GS],"&gt;"&amp;0,Pitchers[IP],"&gt;"&amp;3)</f>
        <v>-9.0005947993194724E-3</v>
      </c>
      <c r="W615" s="60">
        <f>IF(Pitchers[[#This Row],[IP/GS]]&lt;&gt;0,(Pitchers[[#This Row],[WHIP]]*$AH$5+$AI$5)/9*Pitchers[[#This Row],[IP/GS]],(Pitchers[[#This Row],[WHIP]]*$AH$5+$AI$5)/9*(Pitchers[[#This Row],[IP]]/Pitchers[[#This Row],[G]]))</f>
        <v>1.7934436307130031</v>
      </c>
      <c r="X615" s="60">
        <f>Pitchers[[#This Row],[Runs from WHIP]]-AVERAGEIFS(Pitchers[Runs from WHIP],Pitchers[GS],"&gt;"&amp;0,Pitchers[IP],"&gt;"&amp;3)</f>
        <v>-3.8924722754118561</v>
      </c>
      <c r="Y615" s="60">
        <f>IF(Pitchers[[#This Row],[IP/GS]]&lt;&gt;0,Pitchers[[#This Row],[ER/IP From Average]]*Pitchers[[#This Row],[IP/GS]],Pitchers[[#This Row],[ER/IP From Average]]*(Pitchers[[#This Row],[IP]]/Pitchers[[#This Row],[G]]))</f>
        <v>-3.6002379197277889E-2</v>
      </c>
      <c r="Z615" s="60">
        <f t="shared" si="41"/>
        <v>-1.0523935584554061</v>
      </c>
      <c r="AA615" s="32">
        <f>IF(Pitchers[[#This Row],[W]]=0,0,Pitchers[[#This Row],[W]]/(Pitchers[[#This Row],[W]]+Pitchers[[#This Row],[L]]))</f>
        <v>0.33333333333333331</v>
      </c>
      <c r="AB615" s="60"/>
    </row>
    <row r="616" spans="1:28" x14ac:dyDescent="0.25">
      <c r="A616" t="s">
        <v>368</v>
      </c>
      <c r="B616" t="s">
        <v>18</v>
      </c>
      <c r="C616">
        <v>6</v>
      </c>
      <c r="D616">
        <v>0</v>
      </c>
      <c r="E616">
        <v>0</v>
      </c>
      <c r="F616">
        <v>0</v>
      </c>
      <c r="G616">
        <v>16</v>
      </c>
      <c r="H616">
        <v>15</v>
      </c>
      <c r="I616">
        <v>7</v>
      </c>
      <c r="J616">
        <v>12</v>
      </c>
      <c r="K616">
        <v>7</v>
      </c>
      <c r="L616">
        <v>2</v>
      </c>
      <c r="M616">
        <v>1</v>
      </c>
      <c r="N616">
        <v>0</v>
      </c>
      <c r="O616">
        <v>0</v>
      </c>
      <c r="P616">
        <v>0</v>
      </c>
      <c r="Q616">
        <v>0</v>
      </c>
      <c r="R616">
        <v>3.94</v>
      </c>
      <c r="S616">
        <v>1.38</v>
      </c>
      <c r="T616">
        <f t="shared" si="39"/>
        <v>0</v>
      </c>
      <c r="U616">
        <f t="shared" si="40"/>
        <v>0.4375</v>
      </c>
      <c r="V616" s="60">
        <f>U616-AVERAGEIFS(Pitchers[ER/IP],Pitchers[GS],"&gt;"&amp;0,Pitchers[IP],"&gt;"&amp;3)</f>
        <v>-0.13400059479931947</v>
      </c>
      <c r="W616" s="60">
        <f>IF(Pitchers[[#This Row],[IP/GS]]&lt;&gt;0,(Pitchers[[#This Row],[WHIP]]*$AH$5+$AI$5)/9*Pitchers[[#This Row],[IP/GS]],(Pitchers[[#This Row],[WHIP]]*$AH$5+$AI$5)/9*(Pitchers[[#This Row],[IP]]/Pitchers[[#This Row],[G]]))</f>
        <v>1.3756097124591951</v>
      </c>
      <c r="X616" s="60">
        <f>Pitchers[[#This Row],[Runs from WHIP]]-AVERAGEIFS(Pitchers[Runs from WHIP],Pitchers[GS],"&gt;"&amp;0,Pitchers[IP],"&gt;"&amp;3)</f>
        <v>-4.3103061936656637</v>
      </c>
      <c r="Y616" s="60">
        <f>IF(Pitchers[[#This Row],[IP/GS]]&lt;&gt;0,Pitchers[[#This Row],[ER/IP From Average]]*Pitchers[[#This Row],[IP/GS]],Pitchers[[#This Row],[ER/IP From Average]]*(Pitchers[[#This Row],[IP]]/Pitchers[[#This Row],[G]]))</f>
        <v>-0.35733491946485191</v>
      </c>
      <c r="Z616" s="60">
        <f t="shared" si="41"/>
        <v>-1.2923489527634513</v>
      </c>
      <c r="AA616" s="32">
        <f>IF(Pitchers[[#This Row],[W]]=0,0,Pitchers[[#This Row],[W]]/(Pitchers[[#This Row],[W]]+Pitchers[[#This Row],[L]]))</f>
        <v>1</v>
      </c>
      <c r="AB616" s="60"/>
    </row>
    <row r="617" spans="1:28" x14ac:dyDescent="0.25">
      <c r="A617" t="s">
        <v>626</v>
      </c>
      <c r="B617" t="s">
        <v>19</v>
      </c>
      <c r="C617">
        <v>11</v>
      </c>
      <c r="D617">
        <v>4</v>
      </c>
      <c r="E617">
        <v>0</v>
      </c>
      <c r="F617">
        <v>0</v>
      </c>
      <c r="G617">
        <v>16</v>
      </c>
      <c r="H617">
        <v>20</v>
      </c>
      <c r="I617">
        <v>12</v>
      </c>
      <c r="J617">
        <v>10</v>
      </c>
      <c r="K617">
        <v>12</v>
      </c>
      <c r="L617">
        <v>3</v>
      </c>
      <c r="M617">
        <v>0</v>
      </c>
      <c r="N617">
        <v>1</v>
      </c>
      <c r="O617">
        <v>0</v>
      </c>
      <c r="P617">
        <v>0</v>
      </c>
      <c r="Q617">
        <v>1</v>
      </c>
      <c r="R617">
        <v>6.75</v>
      </c>
      <c r="S617">
        <v>2</v>
      </c>
      <c r="T617">
        <f t="shared" si="39"/>
        <v>4</v>
      </c>
      <c r="U617">
        <f t="shared" si="40"/>
        <v>0.75</v>
      </c>
      <c r="V617" s="60">
        <f>U617-AVERAGEIFS(Pitchers[ER/IP],Pitchers[GS],"&gt;"&amp;0,Pitchers[IP],"&gt;"&amp;3)</f>
        <v>0.17849940520068053</v>
      </c>
      <c r="W617" s="60">
        <f>IF(Pitchers[[#This Row],[IP/GS]]&lt;&gt;0,(Pitchers[[#This Row],[WHIP]]*$AH$5+$AI$5)/9*Pitchers[[#This Row],[IP/GS]],(Pitchers[[#This Row],[WHIP]]*$AH$5+$AI$5)/9*(Pitchers[[#This Row],[IP]]/Pitchers[[#This Row],[G]]))</f>
        <v>3.3509682728810213</v>
      </c>
      <c r="X617" s="60">
        <f>Pitchers[[#This Row],[Runs from WHIP]]-AVERAGEIFS(Pitchers[Runs from WHIP],Pitchers[GS],"&gt;"&amp;0,Pitchers[IP],"&gt;"&amp;3)</f>
        <v>-2.3349476332438379</v>
      </c>
      <c r="Y617" s="60">
        <f>IF(Pitchers[[#This Row],[IP/GS]]&lt;&gt;0,Pitchers[[#This Row],[ER/IP From Average]]*Pitchers[[#This Row],[IP/GS]],Pitchers[[#This Row],[ER/IP From Average]]*(Pitchers[[#This Row],[IP]]/Pitchers[[#This Row],[G]]))</f>
        <v>0.71399762080272211</v>
      </c>
      <c r="Z617" s="60">
        <f t="shared" si="41"/>
        <v>-0.33705365387726793</v>
      </c>
      <c r="AA617" s="32">
        <f>IF(Pitchers[[#This Row],[W]]=0,0,Pitchers[[#This Row],[W]]/(Pitchers[[#This Row],[W]]+Pitchers[[#This Row],[L]]))</f>
        <v>0</v>
      </c>
      <c r="AB617" s="60"/>
    </row>
    <row r="618" spans="1:28" x14ac:dyDescent="0.25">
      <c r="A618" t="s">
        <v>1431</v>
      </c>
      <c r="B618" t="s">
        <v>19</v>
      </c>
      <c r="C618">
        <v>11</v>
      </c>
      <c r="D618">
        <v>0</v>
      </c>
      <c r="E618">
        <v>0</v>
      </c>
      <c r="F618">
        <v>0</v>
      </c>
      <c r="G618">
        <v>16</v>
      </c>
      <c r="H618">
        <v>17</v>
      </c>
      <c r="I618">
        <v>7</v>
      </c>
      <c r="J618">
        <v>18</v>
      </c>
      <c r="K618">
        <v>9</v>
      </c>
      <c r="L618">
        <v>3</v>
      </c>
      <c r="M618">
        <v>0</v>
      </c>
      <c r="N618">
        <v>0</v>
      </c>
      <c r="O618">
        <v>0</v>
      </c>
      <c r="P618">
        <v>0</v>
      </c>
      <c r="Q618">
        <v>0</v>
      </c>
      <c r="R618">
        <v>3.94</v>
      </c>
      <c r="S618">
        <v>1.63</v>
      </c>
      <c r="T618">
        <f t="shared" si="39"/>
        <v>0</v>
      </c>
      <c r="U618">
        <f t="shared" si="40"/>
        <v>0.4375</v>
      </c>
      <c r="V618" s="60">
        <f>U618-AVERAGEIFS(Pitchers[ER/IP],Pitchers[GS],"&gt;"&amp;0,Pitchers[IP],"&gt;"&amp;3)</f>
        <v>-0.13400059479931947</v>
      </c>
      <c r="W618" s="60">
        <f>IF(Pitchers[[#This Row],[IP/GS]]&lt;&gt;0,(Pitchers[[#This Row],[WHIP]]*$AH$5+$AI$5)/9*Pitchers[[#This Row],[IP/GS]],(Pitchers[[#This Row],[WHIP]]*$AH$5+$AI$5)/9*(Pitchers[[#This Row],[IP]]/Pitchers[[#This Row],[G]]))</f>
        <v>0.93912343614962401</v>
      </c>
      <c r="X618" s="60">
        <f>Pitchers[[#This Row],[Runs from WHIP]]-AVERAGEIFS(Pitchers[Runs from WHIP],Pitchers[GS],"&gt;"&amp;0,Pitchers[IP],"&gt;"&amp;3)</f>
        <v>-4.7467924699752349</v>
      </c>
      <c r="Y618" s="60">
        <f>IF(Pitchers[[#This Row],[IP/GS]]&lt;&gt;0,Pitchers[[#This Row],[ER/IP From Average]]*Pitchers[[#This Row],[IP/GS]],Pitchers[[#This Row],[ER/IP From Average]]*(Pitchers[[#This Row],[IP]]/Pitchers[[#This Row],[G]]))</f>
        <v>-0.19490995607173742</v>
      </c>
      <c r="Z618" s="60">
        <f t="shared" si="41"/>
        <v>-1.3437753077554246</v>
      </c>
      <c r="AA618" s="32">
        <f>IF(Pitchers[[#This Row],[W]]=0,0,Pitchers[[#This Row],[W]]/(Pitchers[[#This Row],[W]]+Pitchers[[#This Row],[L]]))</f>
        <v>0</v>
      </c>
      <c r="AB618" s="60"/>
    </row>
    <row r="619" spans="1:28" x14ac:dyDescent="0.25">
      <c r="A619" t="s">
        <v>1275</v>
      </c>
      <c r="B619" t="s">
        <v>340</v>
      </c>
      <c r="C619">
        <v>7</v>
      </c>
      <c r="D619">
        <v>1</v>
      </c>
      <c r="E619">
        <v>0</v>
      </c>
      <c r="F619">
        <v>0</v>
      </c>
      <c r="G619">
        <v>16</v>
      </c>
      <c r="H619">
        <v>22</v>
      </c>
      <c r="I619">
        <v>18</v>
      </c>
      <c r="J619">
        <v>18</v>
      </c>
      <c r="K619">
        <v>4</v>
      </c>
      <c r="L619">
        <v>7</v>
      </c>
      <c r="M619">
        <v>0</v>
      </c>
      <c r="N619">
        <v>0</v>
      </c>
      <c r="O619">
        <v>1</v>
      </c>
      <c r="P619">
        <v>0</v>
      </c>
      <c r="Q619">
        <v>0</v>
      </c>
      <c r="R619">
        <v>10.130000000000001</v>
      </c>
      <c r="S619">
        <v>1.63</v>
      </c>
      <c r="T619">
        <f t="shared" si="39"/>
        <v>16</v>
      </c>
      <c r="U619">
        <f t="shared" si="40"/>
        <v>1.125</v>
      </c>
      <c r="V619" s="60">
        <f>U619-AVERAGEIFS(Pitchers[ER/IP],Pitchers[GS],"&gt;"&amp;0,Pitchers[IP],"&gt;"&amp;3)</f>
        <v>0.55349940520068053</v>
      </c>
      <c r="W619" s="60">
        <f>IF(Pitchers[[#This Row],[IP/GS]]&lt;&gt;0,(Pitchers[[#This Row],[WHIP]]*$AH$5+$AI$5)/9*Pitchers[[#This Row],[IP/GS]],(Pitchers[[#This Row],[WHIP]]*$AH$5+$AI$5)/9*(Pitchers[[#This Row],[IP]]/Pitchers[[#This Row],[G]]))</f>
        <v>10.330357797645863</v>
      </c>
      <c r="X619" s="60">
        <f>Pitchers[[#This Row],[Runs from WHIP]]-AVERAGEIFS(Pitchers[Runs from WHIP],Pitchers[GS],"&gt;"&amp;0,Pitchers[IP],"&gt;"&amp;3)</f>
        <v>4.6444418915210042</v>
      </c>
      <c r="Y619" s="60">
        <f>IF(Pitchers[[#This Row],[IP/GS]]&lt;&gt;0,Pitchers[[#This Row],[ER/IP From Average]]*Pitchers[[#This Row],[IP/GS]],Pitchers[[#This Row],[ER/IP From Average]]*(Pitchers[[#This Row],[IP]]/Pitchers[[#This Row],[G]]))</f>
        <v>8.8559904832108884</v>
      </c>
      <c r="Z619" s="60">
        <f t="shared" si="41"/>
        <v>4.7809140310232898</v>
      </c>
      <c r="AA619" s="32">
        <f>IF(Pitchers[[#This Row],[W]]=0,0,Pitchers[[#This Row],[W]]/(Pitchers[[#This Row],[W]]+Pitchers[[#This Row],[L]]))</f>
        <v>0</v>
      </c>
      <c r="AB619" s="60"/>
    </row>
    <row r="620" spans="1:28" x14ac:dyDescent="0.25">
      <c r="A620" t="s">
        <v>664</v>
      </c>
      <c r="B620" t="s">
        <v>340</v>
      </c>
      <c r="C620">
        <v>17</v>
      </c>
      <c r="D620">
        <v>0</v>
      </c>
      <c r="E620">
        <v>0</v>
      </c>
      <c r="F620">
        <v>0</v>
      </c>
      <c r="G620">
        <v>15.2</v>
      </c>
      <c r="H620">
        <v>16</v>
      </c>
      <c r="I620">
        <v>7</v>
      </c>
      <c r="J620">
        <v>11</v>
      </c>
      <c r="K620">
        <v>4</v>
      </c>
      <c r="L620">
        <v>5</v>
      </c>
      <c r="M620">
        <v>1</v>
      </c>
      <c r="N620">
        <v>0</v>
      </c>
      <c r="O620">
        <v>0</v>
      </c>
      <c r="P620">
        <v>1</v>
      </c>
      <c r="Q620">
        <v>4</v>
      </c>
      <c r="R620">
        <v>4.0199999999999996</v>
      </c>
      <c r="S620">
        <v>1.28</v>
      </c>
      <c r="T620">
        <f t="shared" si="39"/>
        <v>0</v>
      </c>
      <c r="U620">
        <f t="shared" si="40"/>
        <v>0.46052631578947373</v>
      </c>
      <c r="V620" s="60">
        <f>U620-AVERAGEIFS(Pitchers[ER/IP],Pitchers[GS],"&gt;"&amp;0,Pitchers[IP],"&gt;"&amp;3)</f>
        <v>-0.11097427900984574</v>
      </c>
      <c r="W620" s="60">
        <f>IF(Pitchers[[#This Row],[IP/GS]]&lt;&gt;0,(Pitchers[[#This Row],[WHIP]]*$AH$5+$AI$5)/9*Pitchers[[#This Row],[IP/GS]],(Pitchers[[#This Row],[WHIP]]*$AH$5+$AI$5)/9*(Pitchers[[#This Row],[IP]]/Pitchers[[#This Row],[G]]))</f>
        <v>0.41481350248935006</v>
      </c>
      <c r="X620" s="60">
        <f>Pitchers[[#This Row],[Runs from WHIP]]-AVERAGEIFS(Pitchers[Runs from WHIP],Pitchers[GS],"&gt;"&amp;0,Pitchers[IP],"&gt;"&amp;3)</f>
        <v>-5.271102403635509</v>
      </c>
      <c r="Y620" s="60">
        <f>IF(Pitchers[[#This Row],[IP/GS]]&lt;&gt;0,Pitchers[[#This Row],[ER/IP From Average]]*Pitchers[[#This Row],[IP/GS]],Pitchers[[#This Row],[ER/IP From Average]]*(Pitchers[[#This Row],[IP]]/Pitchers[[#This Row],[G]]))</f>
        <v>-9.9224061232332655E-2</v>
      </c>
      <c r="Z620" s="60">
        <f t="shared" si="41"/>
        <v>-1.4453169321290689</v>
      </c>
      <c r="AA620" s="32">
        <f>IF(Pitchers[[#This Row],[W]]=0,0,Pitchers[[#This Row],[W]]/(Pitchers[[#This Row],[W]]+Pitchers[[#This Row],[L]]))</f>
        <v>1</v>
      </c>
      <c r="AB620" s="60"/>
    </row>
    <row r="621" spans="1:28" x14ac:dyDescent="0.25">
      <c r="A621" t="s">
        <v>702</v>
      </c>
      <c r="B621" t="s">
        <v>8</v>
      </c>
      <c r="C621">
        <v>9</v>
      </c>
      <c r="D621">
        <v>0</v>
      </c>
      <c r="E621">
        <v>0</v>
      </c>
      <c r="F621">
        <v>0</v>
      </c>
      <c r="G621">
        <v>15.2</v>
      </c>
      <c r="H621">
        <v>14</v>
      </c>
      <c r="I621">
        <v>10</v>
      </c>
      <c r="J621">
        <v>16</v>
      </c>
      <c r="K621">
        <v>7</v>
      </c>
      <c r="L621">
        <v>2</v>
      </c>
      <c r="M621">
        <v>0</v>
      </c>
      <c r="N621">
        <v>0</v>
      </c>
      <c r="O621">
        <v>1</v>
      </c>
      <c r="P621">
        <v>0</v>
      </c>
      <c r="Q621">
        <v>0</v>
      </c>
      <c r="R621">
        <v>5.74</v>
      </c>
      <c r="S621">
        <v>1.34</v>
      </c>
      <c r="T621">
        <f t="shared" si="39"/>
        <v>0</v>
      </c>
      <c r="U621">
        <f t="shared" si="40"/>
        <v>0.65789473684210531</v>
      </c>
      <c r="V621" s="60">
        <f>U621-AVERAGEIFS(Pitchers[ER/IP],Pitchers[GS],"&gt;"&amp;0,Pitchers[IP],"&gt;"&amp;3)</f>
        <v>8.6394142042785838E-2</v>
      </c>
      <c r="W621" s="60">
        <f>IF(Pitchers[[#This Row],[IP/GS]]&lt;&gt;0,(Pitchers[[#This Row],[WHIP]]*$AH$5+$AI$5)/9*Pitchers[[#This Row],[IP/GS]],(Pitchers[[#This Row],[WHIP]]*$AH$5+$AI$5)/9*(Pitchers[[#This Row],[IP]]/Pitchers[[#This Row],[G]]))</f>
        <v>0.83614633705978103</v>
      </c>
      <c r="X621" s="60">
        <f>Pitchers[[#This Row],[Runs from WHIP]]-AVERAGEIFS(Pitchers[Runs from WHIP],Pitchers[GS],"&gt;"&amp;0,Pitchers[IP],"&gt;"&amp;3)</f>
        <v>-4.8497695690650779</v>
      </c>
      <c r="Y621" s="60">
        <f>IF(Pitchers[[#This Row],[IP/GS]]&lt;&gt;0,Pitchers[[#This Row],[ER/IP From Average]]*Pitchers[[#This Row],[IP/GS]],Pitchers[[#This Row],[ER/IP From Average]]*(Pitchers[[#This Row],[IP]]/Pitchers[[#This Row],[G]]))</f>
        <v>0.14591010656114942</v>
      </c>
      <c r="Z621" s="60">
        <f t="shared" si="41"/>
        <v>-1.2349078424595608</v>
      </c>
      <c r="AA621" s="32">
        <f>IF(Pitchers[[#This Row],[W]]=0,0,Pitchers[[#This Row],[W]]/(Pitchers[[#This Row],[W]]+Pitchers[[#This Row],[L]]))</f>
        <v>0</v>
      </c>
      <c r="AB621" s="60"/>
    </row>
    <row r="622" spans="1:28" x14ac:dyDescent="0.25">
      <c r="A622" t="s">
        <v>367</v>
      </c>
      <c r="B622" t="s">
        <v>31</v>
      </c>
      <c r="C622">
        <v>20</v>
      </c>
      <c r="D622">
        <v>1</v>
      </c>
      <c r="E622">
        <v>0</v>
      </c>
      <c r="F622">
        <v>0</v>
      </c>
      <c r="G622">
        <v>15.2</v>
      </c>
      <c r="H622">
        <v>14</v>
      </c>
      <c r="I622">
        <v>12</v>
      </c>
      <c r="J622">
        <v>11</v>
      </c>
      <c r="K622">
        <v>10</v>
      </c>
      <c r="L622">
        <v>3</v>
      </c>
      <c r="M622">
        <v>0</v>
      </c>
      <c r="N622">
        <v>1</v>
      </c>
      <c r="O622">
        <v>0</v>
      </c>
      <c r="P622">
        <v>1</v>
      </c>
      <c r="Q622">
        <v>2</v>
      </c>
      <c r="R622">
        <v>6.89</v>
      </c>
      <c r="S622">
        <v>1.53</v>
      </c>
      <c r="T622">
        <f t="shared" si="39"/>
        <v>15.2</v>
      </c>
      <c r="U622">
        <f t="shared" si="40"/>
        <v>0.78947368421052633</v>
      </c>
      <c r="V622" s="60">
        <f>U622-AVERAGEIFS(Pitchers[ER/IP],Pitchers[GS],"&gt;"&amp;0,Pitchers[IP],"&gt;"&amp;3)</f>
        <v>0.21797308941120686</v>
      </c>
      <c r="W622" s="60">
        <f>IF(Pitchers[[#This Row],[IP/GS]]&lt;&gt;0,(Pitchers[[#This Row],[WHIP]]*$AH$5+$AI$5)/9*Pitchers[[#This Row],[IP/GS]],(Pitchers[[#This Row],[WHIP]]*$AH$5+$AI$5)/9*(Pitchers[[#This Row],[IP]]/Pitchers[[#This Row],[G]]))</f>
        <v>9.0246940890651075</v>
      </c>
      <c r="X622" s="60">
        <f>Pitchers[[#This Row],[Runs from WHIP]]-AVERAGEIFS(Pitchers[Runs from WHIP],Pitchers[GS],"&gt;"&amp;0,Pitchers[IP],"&gt;"&amp;3)</f>
        <v>3.3387781829402483</v>
      </c>
      <c r="Y622" s="60">
        <f>IF(Pitchers[[#This Row],[IP/GS]]&lt;&gt;0,Pitchers[[#This Row],[ER/IP From Average]]*Pitchers[[#This Row],[IP/GS]],Pitchers[[#This Row],[ER/IP From Average]]*(Pitchers[[#This Row],[IP]]/Pitchers[[#This Row],[G]]))</f>
        <v>3.3131909590503441</v>
      </c>
      <c r="Z622" s="60">
        <f t="shared" si="41"/>
        <v>2.2156172324042038</v>
      </c>
      <c r="AA622" s="32">
        <f>IF(Pitchers[[#This Row],[W]]=0,0,Pitchers[[#This Row],[W]]/(Pitchers[[#This Row],[W]]+Pitchers[[#This Row],[L]]))</f>
        <v>0</v>
      </c>
      <c r="AB622" s="60"/>
    </row>
    <row r="623" spans="1:28" x14ac:dyDescent="0.25">
      <c r="A623" t="s">
        <v>603</v>
      </c>
      <c r="B623" t="s">
        <v>19</v>
      </c>
      <c r="C623">
        <v>16</v>
      </c>
      <c r="D623">
        <v>0</v>
      </c>
      <c r="E623">
        <v>0</v>
      </c>
      <c r="F623">
        <v>0</v>
      </c>
      <c r="G623">
        <v>15.1</v>
      </c>
      <c r="H623">
        <v>23</v>
      </c>
      <c r="I623">
        <v>14</v>
      </c>
      <c r="J623">
        <v>10</v>
      </c>
      <c r="K623">
        <v>6</v>
      </c>
      <c r="L623">
        <v>2</v>
      </c>
      <c r="M623">
        <v>1</v>
      </c>
      <c r="N623">
        <v>0</v>
      </c>
      <c r="O623">
        <v>0</v>
      </c>
      <c r="P623">
        <v>0</v>
      </c>
      <c r="Q623">
        <v>0</v>
      </c>
      <c r="R623">
        <v>8.2200000000000006</v>
      </c>
      <c r="S623">
        <v>1.89</v>
      </c>
      <c r="T623">
        <f t="shared" si="39"/>
        <v>0</v>
      </c>
      <c r="U623">
        <f t="shared" si="40"/>
        <v>0.92715231788079477</v>
      </c>
      <c r="V623" s="60">
        <f>U623-AVERAGEIFS(Pitchers[ER/IP],Pitchers[GS],"&gt;"&amp;0,Pitchers[IP],"&gt;"&amp;3)</f>
        <v>0.3556517230814753</v>
      </c>
      <c r="W623" s="60">
        <f>IF(Pitchers[[#This Row],[IP/GS]]&lt;&gt;0,(Pitchers[[#This Row],[WHIP]]*$AH$5+$AI$5)/9*Pitchers[[#This Row],[IP/GS]],(Pitchers[[#This Row],[WHIP]]*$AH$5+$AI$5)/9*(Pitchers[[#This Row],[IP]]/Pitchers[[#This Row],[G]]))</f>
        <v>0.73672223457784336</v>
      </c>
      <c r="X623" s="60">
        <f>Pitchers[[#This Row],[Runs from WHIP]]-AVERAGEIFS(Pitchers[Runs from WHIP],Pitchers[GS],"&gt;"&amp;0,Pitchers[IP],"&gt;"&amp;3)</f>
        <v>-4.9491936715470155</v>
      </c>
      <c r="Y623" s="60">
        <f>IF(Pitchers[[#This Row],[IP/GS]]&lt;&gt;0,Pitchers[[#This Row],[ER/IP From Average]]*Pitchers[[#This Row],[IP/GS]],Pitchers[[#This Row],[ER/IP From Average]]*(Pitchers[[#This Row],[IP]]/Pitchers[[#This Row],[G]]))</f>
        <v>0.33564631365814229</v>
      </c>
      <c r="Z623" s="60">
        <f t="shared" si="41"/>
        <v>-1.1855264536159476</v>
      </c>
      <c r="AA623" s="32">
        <f>IF(Pitchers[[#This Row],[W]]=0,0,Pitchers[[#This Row],[W]]/(Pitchers[[#This Row],[W]]+Pitchers[[#This Row],[L]]))</f>
        <v>1</v>
      </c>
      <c r="AB623" s="60"/>
    </row>
    <row r="624" spans="1:28" x14ac:dyDescent="0.25">
      <c r="A624" t="s">
        <v>540</v>
      </c>
      <c r="B624" t="s">
        <v>13</v>
      </c>
      <c r="C624">
        <v>13</v>
      </c>
      <c r="D624">
        <v>0</v>
      </c>
      <c r="E624">
        <v>0</v>
      </c>
      <c r="F624">
        <v>0</v>
      </c>
      <c r="G624">
        <v>15.1</v>
      </c>
      <c r="H624">
        <v>16</v>
      </c>
      <c r="I624">
        <v>15</v>
      </c>
      <c r="J624">
        <v>15</v>
      </c>
      <c r="K624">
        <v>12</v>
      </c>
      <c r="L624">
        <v>3</v>
      </c>
      <c r="M624">
        <v>0</v>
      </c>
      <c r="N624">
        <v>2</v>
      </c>
      <c r="O624">
        <v>0</v>
      </c>
      <c r="P624">
        <v>1</v>
      </c>
      <c r="Q624">
        <v>2</v>
      </c>
      <c r="R624">
        <v>8.8000000000000007</v>
      </c>
      <c r="S624">
        <v>1.83</v>
      </c>
      <c r="T624">
        <f t="shared" si="39"/>
        <v>0</v>
      </c>
      <c r="U624">
        <f t="shared" si="40"/>
        <v>0.99337748344370869</v>
      </c>
      <c r="V624" s="60">
        <f>U624-AVERAGEIFS(Pitchers[ER/IP],Pitchers[GS],"&gt;"&amp;0,Pitchers[IP],"&gt;"&amp;3)</f>
        <v>0.42187688864438921</v>
      </c>
      <c r="W624" s="60">
        <f>IF(Pitchers[[#This Row],[IP/GS]]&lt;&gt;0,(Pitchers[[#This Row],[WHIP]]*$AH$5+$AI$5)/9*Pitchers[[#This Row],[IP/GS]],(Pitchers[[#This Row],[WHIP]]*$AH$5+$AI$5)/9*(Pitchers[[#This Row],[IP]]/Pitchers[[#This Row],[G]]))</f>
        <v>0.87055256240851953</v>
      </c>
      <c r="X624" s="60">
        <f>Pitchers[[#This Row],[Runs from WHIP]]-AVERAGEIFS(Pitchers[Runs from WHIP],Pitchers[GS],"&gt;"&amp;0,Pitchers[IP],"&gt;"&amp;3)</f>
        <v>-4.8153633437163395</v>
      </c>
      <c r="Y624" s="60">
        <f>IF(Pitchers[[#This Row],[IP/GS]]&lt;&gt;0,Pitchers[[#This Row],[ER/IP From Average]]*Pitchers[[#This Row],[IP/GS]],Pitchers[[#This Row],[ER/IP From Average]]*(Pitchers[[#This Row],[IP]]/Pitchers[[#This Row],[G]]))</f>
        <v>0.49002623219463665</v>
      </c>
      <c r="Z624" s="60">
        <f t="shared" si="41"/>
        <v>-1.0880863987798357</v>
      </c>
      <c r="AA624" s="32">
        <f>IF(Pitchers[[#This Row],[W]]=0,0,Pitchers[[#This Row],[W]]/(Pitchers[[#This Row],[W]]+Pitchers[[#This Row],[L]]))</f>
        <v>0</v>
      </c>
      <c r="AB624" s="60"/>
    </row>
    <row r="625" spans="1:28" x14ac:dyDescent="0.25">
      <c r="A625" t="s">
        <v>634</v>
      </c>
      <c r="B625" t="s">
        <v>10</v>
      </c>
      <c r="C625">
        <v>17</v>
      </c>
      <c r="D625">
        <v>0</v>
      </c>
      <c r="E625">
        <v>0</v>
      </c>
      <c r="F625">
        <v>0</v>
      </c>
      <c r="G625">
        <v>15.1</v>
      </c>
      <c r="H625">
        <v>11</v>
      </c>
      <c r="I625">
        <v>6</v>
      </c>
      <c r="J625">
        <v>12</v>
      </c>
      <c r="K625">
        <v>13</v>
      </c>
      <c r="L625">
        <v>2</v>
      </c>
      <c r="M625">
        <v>1</v>
      </c>
      <c r="N625">
        <v>2</v>
      </c>
      <c r="O625">
        <v>0</v>
      </c>
      <c r="P625">
        <v>0</v>
      </c>
      <c r="Q625">
        <v>1</v>
      </c>
      <c r="R625">
        <v>3.52</v>
      </c>
      <c r="S625">
        <v>1.57</v>
      </c>
      <c r="T625">
        <f t="shared" si="39"/>
        <v>0</v>
      </c>
      <c r="U625">
        <f t="shared" si="40"/>
        <v>0.39735099337748347</v>
      </c>
      <c r="V625" s="60">
        <f>U625-AVERAGEIFS(Pitchers[ER/IP],Pitchers[GS],"&gt;"&amp;0,Pitchers[IP],"&gt;"&amp;3)</f>
        <v>-0.174149601421836</v>
      </c>
      <c r="W625" s="60">
        <f>IF(Pitchers[[#This Row],[IP/GS]]&lt;&gt;0,(Pitchers[[#This Row],[WHIP]]*$AH$5+$AI$5)/9*Pitchers[[#This Row],[IP/GS]],(Pitchers[[#This Row],[WHIP]]*$AH$5+$AI$5)/9*(Pitchers[[#This Row],[IP]]/Pitchers[[#This Row],[G]]))</f>
        <v>0.54581780762314946</v>
      </c>
      <c r="X625" s="60">
        <f>Pitchers[[#This Row],[Runs from WHIP]]-AVERAGEIFS(Pitchers[Runs from WHIP],Pitchers[GS],"&gt;"&amp;0,Pitchers[IP],"&gt;"&amp;3)</f>
        <v>-5.14009809850171</v>
      </c>
      <c r="Y625" s="60">
        <f>IF(Pitchers[[#This Row],[IP/GS]]&lt;&gt;0,Pitchers[[#This Row],[ER/IP From Average]]*Pitchers[[#This Row],[IP/GS]],Pitchers[[#This Row],[ER/IP From Average]]*(Pitchers[[#This Row],[IP]]/Pitchers[[#This Row],[G]]))</f>
        <v>-0.15468582243939549</v>
      </c>
      <c r="Z625" s="60">
        <f t="shared" si="41"/>
        <v>-1.4325671552428807</v>
      </c>
      <c r="AA625" s="32">
        <f>IF(Pitchers[[#This Row],[W]]=0,0,Pitchers[[#This Row],[W]]/(Pitchers[[#This Row],[W]]+Pitchers[[#This Row],[L]]))</f>
        <v>0.33333333333333331</v>
      </c>
      <c r="AB625" s="60"/>
    </row>
    <row r="626" spans="1:28" x14ac:dyDescent="0.25">
      <c r="A626" t="s">
        <v>1416</v>
      </c>
      <c r="B626" t="s">
        <v>18</v>
      </c>
      <c r="C626">
        <v>17</v>
      </c>
      <c r="D626">
        <v>0</v>
      </c>
      <c r="E626">
        <v>0</v>
      </c>
      <c r="F626">
        <v>0</v>
      </c>
      <c r="G626">
        <v>15.1</v>
      </c>
      <c r="H626">
        <v>17</v>
      </c>
      <c r="I626">
        <v>13</v>
      </c>
      <c r="J626">
        <v>21</v>
      </c>
      <c r="K626">
        <v>9</v>
      </c>
      <c r="L626">
        <v>4</v>
      </c>
      <c r="M626">
        <v>0</v>
      </c>
      <c r="N626">
        <v>2</v>
      </c>
      <c r="O626">
        <v>0</v>
      </c>
      <c r="P626">
        <v>0</v>
      </c>
      <c r="Q626">
        <v>5</v>
      </c>
      <c r="R626">
        <v>7.63</v>
      </c>
      <c r="S626">
        <v>1.7</v>
      </c>
      <c r="T626">
        <f t="shared" si="39"/>
        <v>0</v>
      </c>
      <c r="U626">
        <f t="shared" si="40"/>
        <v>0.86092715231788086</v>
      </c>
      <c r="V626" s="60">
        <f>U626-AVERAGEIFS(Pitchers[ER/IP],Pitchers[GS],"&gt;"&amp;0,Pitchers[IP],"&gt;"&amp;3)</f>
        <v>0.28942655751856139</v>
      </c>
      <c r="W626" s="60">
        <f>IF(Pitchers[[#This Row],[IP/GS]]&lt;&gt;0,(Pitchers[[#This Row],[WHIP]]*$AH$5+$AI$5)/9*Pitchers[[#This Row],[IP/GS]],(Pitchers[[#This Row],[WHIP]]*$AH$5+$AI$5)/9*(Pitchers[[#This Row],[IP]]/Pitchers[[#This Row],[G]]))</f>
        <v>0.60576723649718522</v>
      </c>
      <c r="X626" s="60">
        <f>Pitchers[[#This Row],[Runs from WHIP]]-AVERAGEIFS(Pitchers[Runs from WHIP],Pitchers[GS],"&gt;"&amp;0,Pitchers[IP],"&gt;"&amp;3)</f>
        <v>-5.0801486696276736</v>
      </c>
      <c r="Y626" s="60">
        <f>IF(Pitchers[[#This Row],[IP/GS]]&lt;&gt;0,Pitchers[[#This Row],[ER/IP From Average]]*Pitchers[[#This Row],[IP/GS]],Pitchers[[#This Row],[ER/IP From Average]]*(Pitchers[[#This Row],[IP]]/Pitchers[[#This Row],[G]]))</f>
        <v>0.25707888344295743</v>
      </c>
      <c r="Z626" s="60">
        <f t="shared" si="41"/>
        <v>-1.2518747585235299</v>
      </c>
      <c r="AA626" s="32">
        <f>IF(Pitchers[[#This Row],[W]]=0,0,Pitchers[[#This Row],[W]]/(Pitchers[[#This Row],[W]]+Pitchers[[#This Row],[L]]))</f>
        <v>0</v>
      </c>
      <c r="AB626" s="60"/>
    </row>
    <row r="627" spans="1:28" x14ac:dyDescent="0.25">
      <c r="A627" t="s">
        <v>650</v>
      </c>
      <c r="B627" t="s">
        <v>2</v>
      </c>
      <c r="C627">
        <v>13</v>
      </c>
      <c r="D627">
        <v>0</v>
      </c>
      <c r="E627">
        <v>0</v>
      </c>
      <c r="F627">
        <v>0</v>
      </c>
      <c r="G627">
        <v>15.1</v>
      </c>
      <c r="H627">
        <v>24</v>
      </c>
      <c r="I627">
        <v>14</v>
      </c>
      <c r="J627">
        <v>10</v>
      </c>
      <c r="K627">
        <v>13</v>
      </c>
      <c r="L627">
        <v>3</v>
      </c>
      <c r="M627">
        <v>0</v>
      </c>
      <c r="N627">
        <v>0</v>
      </c>
      <c r="O627">
        <v>0</v>
      </c>
      <c r="P627">
        <v>1</v>
      </c>
      <c r="Q627">
        <v>0</v>
      </c>
      <c r="R627">
        <v>8.2200000000000006</v>
      </c>
      <c r="S627">
        <v>2.41</v>
      </c>
      <c r="T627">
        <f t="shared" si="39"/>
        <v>0</v>
      </c>
      <c r="U627">
        <f t="shared" si="40"/>
        <v>0.92715231788079477</v>
      </c>
      <c r="V627" s="60">
        <f>U627-AVERAGEIFS(Pitchers[ER/IP],Pitchers[GS],"&gt;"&amp;0,Pitchers[IP],"&gt;"&amp;3)</f>
        <v>0.3556517230814753</v>
      </c>
      <c r="W627" s="60">
        <f>IF(Pitchers[[#This Row],[IP/GS]]&lt;&gt;0,(Pitchers[[#This Row],[WHIP]]*$AH$5+$AI$5)/9*Pitchers[[#This Row],[IP/GS]],(Pitchers[[#This Row],[WHIP]]*$AH$5+$AI$5)/9*(Pitchers[[#This Row],[IP]]/Pitchers[[#This Row],[G]]))</f>
        <v>1.2203166858984555</v>
      </c>
      <c r="X627" s="60">
        <f>Pitchers[[#This Row],[Runs from WHIP]]-AVERAGEIFS(Pitchers[Runs from WHIP],Pitchers[GS],"&gt;"&amp;0,Pitchers[IP],"&gt;"&amp;3)</f>
        <v>-4.4655992202264034</v>
      </c>
      <c r="Y627" s="60">
        <f>IF(Pitchers[[#This Row],[IP/GS]]&lt;&gt;0,Pitchers[[#This Row],[ER/IP From Average]]*Pitchers[[#This Row],[IP/GS]],Pitchers[[#This Row],[ER/IP From Average]]*(Pitchers[[#This Row],[IP]]/Pitchers[[#This Row],[G]]))</f>
        <v>0.41310315527155972</v>
      </c>
      <c r="Z627" s="60">
        <f t="shared" si="41"/>
        <v>-1.0255851966184169</v>
      </c>
      <c r="AA627" s="32">
        <f>IF(Pitchers[[#This Row],[W]]=0,0,Pitchers[[#This Row],[W]]/(Pitchers[[#This Row],[W]]+Pitchers[[#This Row],[L]]))</f>
        <v>0</v>
      </c>
      <c r="AB627" s="60"/>
    </row>
    <row r="628" spans="1:28" x14ac:dyDescent="0.25">
      <c r="A628" t="s">
        <v>761</v>
      </c>
      <c r="B628" t="s">
        <v>31</v>
      </c>
      <c r="C628">
        <v>20</v>
      </c>
      <c r="D628">
        <v>0</v>
      </c>
      <c r="E628">
        <v>0</v>
      </c>
      <c r="F628">
        <v>0</v>
      </c>
      <c r="G628">
        <v>15.1</v>
      </c>
      <c r="H628">
        <v>8</v>
      </c>
      <c r="I628">
        <v>10</v>
      </c>
      <c r="J628">
        <v>17</v>
      </c>
      <c r="K628">
        <v>9</v>
      </c>
      <c r="L628">
        <v>3</v>
      </c>
      <c r="M628">
        <v>1</v>
      </c>
      <c r="N628">
        <v>1</v>
      </c>
      <c r="O628">
        <v>0</v>
      </c>
      <c r="P628">
        <v>2</v>
      </c>
      <c r="Q628">
        <v>4</v>
      </c>
      <c r="R628">
        <v>5.87</v>
      </c>
      <c r="S628">
        <v>1.1100000000000001</v>
      </c>
      <c r="T628">
        <f t="shared" si="39"/>
        <v>0</v>
      </c>
      <c r="U628">
        <f t="shared" si="40"/>
        <v>0.66225165562913912</v>
      </c>
      <c r="V628" s="60">
        <f>U628-AVERAGEIFS(Pitchers[ER/IP],Pitchers[GS],"&gt;"&amp;0,Pitchers[IP],"&gt;"&amp;3)</f>
        <v>9.0751060829819652E-2</v>
      </c>
      <c r="W628" s="60">
        <f>IF(Pitchers[[#This Row],[IP/GS]]&lt;&gt;0,(Pitchers[[#This Row],[WHIP]]*$AH$5+$AI$5)/9*Pitchers[[#This Row],[IP/GS]],(Pitchers[[#This Row],[WHIP]]*$AH$5+$AI$5)/9*(Pitchers[[#This Row],[IP]]/Pitchers[[#This Row],[G]]))</f>
        <v>0.28363570040469288</v>
      </c>
      <c r="X628" s="60">
        <f>Pitchers[[#This Row],[Runs from WHIP]]-AVERAGEIFS(Pitchers[Runs from WHIP],Pitchers[GS],"&gt;"&amp;0,Pitchers[IP],"&gt;"&amp;3)</f>
        <v>-5.4022802057201664</v>
      </c>
      <c r="Y628" s="60">
        <f>IF(Pitchers[[#This Row],[IP/GS]]&lt;&gt;0,Pitchers[[#This Row],[ER/IP From Average]]*Pitchers[[#This Row],[IP/GS]],Pitchers[[#This Row],[ER/IP From Average]]*(Pitchers[[#This Row],[IP]]/Pitchers[[#This Row],[G]]))</f>
        <v>6.8517050926513834E-2</v>
      </c>
      <c r="Z628" s="60">
        <f t="shared" si="41"/>
        <v>-1.4132012344881053</v>
      </c>
      <c r="AA628" s="32">
        <f>IF(Pitchers[[#This Row],[W]]=0,0,Pitchers[[#This Row],[W]]/(Pitchers[[#This Row],[W]]+Pitchers[[#This Row],[L]]))</f>
        <v>0.5</v>
      </c>
      <c r="AB628" s="60"/>
    </row>
    <row r="629" spans="1:28" x14ac:dyDescent="0.25">
      <c r="A629" t="s">
        <v>686</v>
      </c>
      <c r="B629" t="s">
        <v>15</v>
      </c>
      <c r="C629">
        <v>20</v>
      </c>
      <c r="D629">
        <v>0</v>
      </c>
      <c r="E629">
        <v>0</v>
      </c>
      <c r="F629">
        <v>0</v>
      </c>
      <c r="G629">
        <v>15</v>
      </c>
      <c r="H629">
        <v>19</v>
      </c>
      <c r="I629">
        <v>9</v>
      </c>
      <c r="J629">
        <v>11</v>
      </c>
      <c r="K629">
        <v>7</v>
      </c>
      <c r="L629">
        <v>5</v>
      </c>
      <c r="M629">
        <v>1</v>
      </c>
      <c r="N629">
        <v>0</v>
      </c>
      <c r="O629">
        <v>0</v>
      </c>
      <c r="P629">
        <v>2</v>
      </c>
      <c r="Q629">
        <v>2</v>
      </c>
      <c r="R629">
        <v>5.4</v>
      </c>
      <c r="S629">
        <v>1.73</v>
      </c>
      <c r="T629">
        <f t="shared" si="39"/>
        <v>0</v>
      </c>
      <c r="U629">
        <f t="shared" si="40"/>
        <v>0.6</v>
      </c>
      <c r="V629" s="60">
        <f>U629-AVERAGEIFS(Pitchers[ER/IP],Pitchers[GS],"&gt;"&amp;0,Pitchers[IP],"&gt;"&amp;3)</f>
        <v>2.8499405200680505E-2</v>
      </c>
      <c r="W629" s="60">
        <f>IF(Pitchers[[#This Row],[IP/GS]]&lt;&gt;0,(Pitchers[[#This Row],[WHIP]]*$AH$5+$AI$5)/9*Pitchers[[#This Row],[IP/GS]],(Pitchers[[#This Row],[WHIP]]*$AH$5+$AI$5)/9*(Pitchers[[#This Row],[IP]]/Pitchers[[#This Row],[G]]))</f>
        <v>0.52317363781885018</v>
      </c>
      <c r="X629" s="60">
        <f>Pitchers[[#This Row],[Runs from WHIP]]-AVERAGEIFS(Pitchers[Runs from WHIP],Pitchers[GS],"&gt;"&amp;0,Pitchers[IP],"&gt;"&amp;3)</f>
        <v>-5.1627422683060091</v>
      </c>
      <c r="Y629" s="60">
        <f>IF(Pitchers[[#This Row],[IP/GS]]&lt;&gt;0,Pitchers[[#This Row],[ER/IP From Average]]*Pitchers[[#This Row],[IP/GS]],Pitchers[[#This Row],[ER/IP From Average]]*(Pitchers[[#This Row],[IP]]/Pitchers[[#This Row],[G]]))</f>
        <v>2.1374553900510379E-2</v>
      </c>
      <c r="Z629" s="60">
        <f t="shared" si="41"/>
        <v>-1.3681814499880647</v>
      </c>
      <c r="AA629" s="32">
        <f>IF(Pitchers[[#This Row],[W]]=0,0,Pitchers[[#This Row],[W]]/(Pitchers[[#This Row],[W]]+Pitchers[[#This Row],[L]]))</f>
        <v>1</v>
      </c>
      <c r="AB629" s="60"/>
    </row>
    <row r="630" spans="1:28" x14ac:dyDescent="0.25">
      <c r="A630" t="s">
        <v>773</v>
      </c>
      <c r="B630" t="s">
        <v>1</v>
      </c>
      <c r="C630">
        <v>17</v>
      </c>
      <c r="D630">
        <v>0</v>
      </c>
      <c r="E630">
        <v>0</v>
      </c>
      <c r="F630">
        <v>0</v>
      </c>
      <c r="G630">
        <v>14.2</v>
      </c>
      <c r="H630">
        <v>9</v>
      </c>
      <c r="I630">
        <v>9</v>
      </c>
      <c r="J630">
        <v>18</v>
      </c>
      <c r="K630">
        <v>12</v>
      </c>
      <c r="L630">
        <v>1</v>
      </c>
      <c r="M630">
        <v>2</v>
      </c>
      <c r="N630">
        <v>1</v>
      </c>
      <c r="O630">
        <v>0</v>
      </c>
      <c r="P630">
        <v>2</v>
      </c>
      <c r="Q630">
        <v>1</v>
      </c>
      <c r="R630">
        <v>5.52</v>
      </c>
      <c r="S630">
        <v>1.43</v>
      </c>
      <c r="T630">
        <f t="shared" si="39"/>
        <v>0</v>
      </c>
      <c r="U630">
        <f t="shared" si="40"/>
        <v>0.63380281690140849</v>
      </c>
      <c r="V630" s="60">
        <f>U630-AVERAGEIFS(Pitchers[ER/IP],Pitchers[GS],"&gt;"&amp;0,Pitchers[IP],"&gt;"&amp;3)</f>
        <v>6.2302222102089022E-2</v>
      </c>
      <c r="W630" s="60">
        <f>IF(Pitchers[[#This Row],[IP/GS]]&lt;&gt;0,(Pitchers[[#This Row],[WHIP]]*$AH$5+$AI$5)/9*Pitchers[[#This Row],[IP/GS]],(Pitchers[[#This Row],[WHIP]]*$AH$5+$AI$5)/9*(Pitchers[[#This Row],[IP]]/Pitchers[[#This Row],[G]]))</f>
        <v>0.45257269906813596</v>
      </c>
      <c r="X630" s="60">
        <f>Pitchers[[#This Row],[Runs from WHIP]]-AVERAGEIFS(Pitchers[Runs from WHIP],Pitchers[GS],"&gt;"&amp;0,Pitchers[IP],"&gt;"&amp;3)</f>
        <v>-5.2333432070567234</v>
      </c>
      <c r="Y630" s="60">
        <f>IF(Pitchers[[#This Row],[IP/GS]]&lt;&gt;0,Pitchers[[#This Row],[ER/IP From Average]]*Pitchers[[#This Row],[IP/GS]],Pitchers[[#This Row],[ER/IP From Average]]*(Pitchers[[#This Row],[IP]]/Pitchers[[#This Row],[G]]))</f>
        <v>5.2040679638215528E-2</v>
      </c>
      <c r="Z630" s="60">
        <f t="shared" si="41"/>
        <v>-1.3747419166931731</v>
      </c>
      <c r="AA630" s="32">
        <f>IF(Pitchers[[#This Row],[W]]=0,0,Pitchers[[#This Row],[W]]/(Pitchers[[#This Row],[W]]+Pitchers[[#This Row],[L]]))</f>
        <v>0.66666666666666663</v>
      </c>
      <c r="AB630" s="60"/>
    </row>
    <row r="631" spans="1:28" x14ac:dyDescent="0.25">
      <c r="A631" t="s">
        <v>498</v>
      </c>
      <c r="B631" t="s">
        <v>16</v>
      </c>
      <c r="C631">
        <v>13</v>
      </c>
      <c r="D631">
        <v>0</v>
      </c>
      <c r="E631">
        <v>0</v>
      </c>
      <c r="F631">
        <v>0</v>
      </c>
      <c r="G631">
        <v>14.2</v>
      </c>
      <c r="H631">
        <v>21</v>
      </c>
      <c r="I631">
        <v>12</v>
      </c>
      <c r="J631">
        <v>10</v>
      </c>
      <c r="K631">
        <v>9</v>
      </c>
      <c r="L631">
        <v>6</v>
      </c>
      <c r="M631">
        <v>0</v>
      </c>
      <c r="N631">
        <v>1</v>
      </c>
      <c r="O631">
        <v>0</v>
      </c>
      <c r="P631">
        <v>0</v>
      </c>
      <c r="Q631">
        <v>0</v>
      </c>
      <c r="R631">
        <v>7.36</v>
      </c>
      <c r="S631">
        <v>2.0499999999999998</v>
      </c>
      <c r="T631">
        <f t="shared" si="39"/>
        <v>0</v>
      </c>
      <c r="U631">
        <f t="shared" si="40"/>
        <v>0.84507042253521136</v>
      </c>
      <c r="V631" s="60">
        <f>U631-AVERAGEIFS(Pitchers[ER/IP],Pitchers[GS],"&gt;"&amp;0,Pitchers[IP],"&gt;"&amp;3)</f>
        <v>0.27356982773589189</v>
      </c>
      <c r="W631" s="60">
        <f>IF(Pitchers[[#This Row],[IP/GS]]&lt;&gt;0,(Pitchers[[#This Row],[WHIP]]*$AH$5+$AI$5)/9*Pitchers[[#This Row],[IP/GS]],(Pitchers[[#This Row],[WHIP]]*$AH$5+$AI$5)/9*(Pitchers[[#This Row],[IP]]/Pitchers[[#This Row],[G]]))</f>
        <v>0.94342704108005537</v>
      </c>
      <c r="X631" s="60">
        <f>Pitchers[[#This Row],[Runs from WHIP]]-AVERAGEIFS(Pitchers[Runs from WHIP],Pitchers[GS],"&gt;"&amp;0,Pitchers[IP],"&gt;"&amp;3)</f>
        <v>-4.7424888650448036</v>
      </c>
      <c r="Y631" s="60">
        <f>IF(Pitchers[[#This Row],[IP/GS]]&lt;&gt;0,Pitchers[[#This Row],[ER/IP From Average]]*Pitchers[[#This Row],[IP/GS]],Pitchers[[#This Row],[ER/IP From Average]]*(Pitchers[[#This Row],[IP]]/Pitchers[[#This Row],[G]]))</f>
        <v>0.29882242721920493</v>
      </c>
      <c r="Z631" s="60">
        <f t="shared" si="41"/>
        <v>-1.1451347264575988</v>
      </c>
      <c r="AA631" s="32">
        <f>IF(Pitchers[[#This Row],[W]]=0,0,Pitchers[[#This Row],[W]]/(Pitchers[[#This Row],[W]]+Pitchers[[#This Row],[L]]))</f>
        <v>0</v>
      </c>
      <c r="AB631" s="60"/>
    </row>
    <row r="632" spans="1:28" x14ac:dyDescent="0.25">
      <c r="A632" t="s">
        <v>704</v>
      </c>
      <c r="B632" t="s">
        <v>6</v>
      </c>
      <c r="C632">
        <v>10</v>
      </c>
      <c r="D632">
        <v>0</v>
      </c>
      <c r="E632">
        <v>0</v>
      </c>
      <c r="F632">
        <v>0</v>
      </c>
      <c r="G632">
        <v>14.2</v>
      </c>
      <c r="H632">
        <v>22</v>
      </c>
      <c r="I632">
        <v>16</v>
      </c>
      <c r="J632">
        <v>15</v>
      </c>
      <c r="K632">
        <v>7</v>
      </c>
      <c r="L632">
        <v>1</v>
      </c>
      <c r="M632">
        <v>1</v>
      </c>
      <c r="N632">
        <v>1</v>
      </c>
      <c r="O632">
        <v>0</v>
      </c>
      <c r="P632">
        <v>1</v>
      </c>
      <c r="Q632">
        <v>0</v>
      </c>
      <c r="R632">
        <v>9.82</v>
      </c>
      <c r="S632">
        <v>1.98</v>
      </c>
      <c r="T632">
        <f t="shared" si="39"/>
        <v>0</v>
      </c>
      <c r="U632">
        <f t="shared" si="40"/>
        <v>1.1267605633802817</v>
      </c>
      <c r="V632" s="60">
        <f>U632-AVERAGEIFS(Pitchers[ER/IP],Pitchers[GS],"&gt;"&amp;0,Pitchers[IP],"&gt;"&amp;3)</f>
        <v>0.55525996858096227</v>
      </c>
      <c r="W632" s="60">
        <f>IF(Pitchers[[#This Row],[IP/GS]]&lt;&gt;0,(Pitchers[[#This Row],[WHIP]]*$AH$5+$AI$5)/9*Pitchers[[#This Row],[IP/GS]],(Pitchers[[#This Row],[WHIP]]*$AH$5+$AI$5)/9*(Pitchers[[#This Row],[IP]]/Pitchers[[#This Row],[G]]))</f>
        <v>1.1748491702602386</v>
      </c>
      <c r="X632" s="60">
        <f>Pitchers[[#This Row],[Runs from WHIP]]-AVERAGEIFS(Pitchers[Runs from WHIP],Pitchers[GS],"&gt;"&amp;0,Pitchers[IP],"&gt;"&amp;3)</f>
        <v>-4.5110667358646204</v>
      </c>
      <c r="Y632" s="60">
        <f>IF(Pitchers[[#This Row],[IP/GS]]&lt;&gt;0,Pitchers[[#This Row],[ER/IP From Average]]*Pitchers[[#This Row],[IP/GS]],Pitchers[[#This Row],[ER/IP From Average]]*(Pitchers[[#This Row],[IP]]/Pitchers[[#This Row],[G]]))</f>
        <v>0.78846915538496642</v>
      </c>
      <c r="Z632" s="60">
        <f t="shared" si="41"/>
        <v>-0.88756346740991221</v>
      </c>
      <c r="AA632" s="32">
        <f>IF(Pitchers[[#This Row],[W]]=0,0,Pitchers[[#This Row],[W]]/(Pitchers[[#This Row],[W]]+Pitchers[[#This Row],[L]]))</f>
        <v>0.5</v>
      </c>
      <c r="AB632" s="60"/>
    </row>
    <row r="633" spans="1:28" x14ac:dyDescent="0.25">
      <c r="A633" t="s">
        <v>615</v>
      </c>
      <c r="B633" t="s">
        <v>27</v>
      </c>
      <c r="C633">
        <v>16</v>
      </c>
      <c r="D633">
        <v>0</v>
      </c>
      <c r="E633">
        <v>0</v>
      </c>
      <c r="F633">
        <v>0</v>
      </c>
      <c r="G633">
        <v>14.2</v>
      </c>
      <c r="H633">
        <v>15</v>
      </c>
      <c r="I633">
        <v>6</v>
      </c>
      <c r="J633">
        <v>15</v>
      </c>
      <c r="K633">
        <v>3</v>
      </c>
      <c r="L633">
        <v>1</v>
      </c>
      <c r="M633">
        <v>1</v>
      </c>
      <c r="N633">
        <v>1</v>
      </c>
      <c r="O633">
        <v>0</v>
      </c>
      <c r="P633">
        <v>1</v>
      </c>
      <c r="Q633">
        <v>2</v>
      </c>
      <c r="R633">
        <v>3.68</v>
      </c>
      <c r="S633">
        <v>1.23</v>
      </c>
      <c r="T633">
        <f t="shared" si="39"/>
        <v>0</v>
      </c>
      <c r="U633">
        <f t="shared" si="40"/>
        <v>0.42253521126760568</v>
      </c>
      <c r="V633" s="60">
        <f>U633-AVERAGEIFS(Pitchers[ER/IP],Pitchers[GS],"&gt;"&amp;0,Pitchers[IP],"&gt;"&amp;3)</f>
        <v>-0.14896538353171379</v>
      </c>
      <c r="W633" s="60">
        <f>IF(Pitchers[[#This Row],[IP/GS]]&lt;&gt;0,(Pitchers[[#This Row],[WHIP]]*$AH$5+$AI$5)/9*Pitchers[[#This Row],[IP/GS]],(Pitchers[[#This Row],[WHIP]]*$AH$5+$AI$5)/9*(Pitchers[[#This Row],[IP]]/Pitchers[[#This Row],[G]]))</f>
        <v>0.38870495143162009</v>
      </c>
      <c r="X633" s="60">
        <f>Pitchers[[#This Row],[Runs from WHIP]]-AVERAGEIFS(Pitchers[Runs from WHIP],Pitchers[GS],"&gt;"&amp;0,Pitchers[IP],"&gt;"&amp;3)</f>
        <v>-5.2972109546932389</v>
      </c>
      <c r="Y633" s="60">
        <f>IF(Pitchers[[#This Row],[IP/GS]]&lt;&gt;0,Pitchers[[#This Row],[ER/IP From Average]]*Pitchers[[#This Row],[IP/GS]],Pitchers[[#This Row],[ER/IP From Average]]*(Pitchers[[#This Row],[IP]]/Pitchers[[#This Row],[G]]))</f>
        <v>-0.13220677788439597</v>
      </c>
      <c r="Z633" s="60">
        <f t="shared" si="41"/>
        <v>-1.4654722990719551</v>
      </c>
      <c r="AA633" s="32">
        <f>IF(Pitchers[[#This Row],[W]]=0,0,Pitchers[[#This Row],[W]]/(Pitchers[[#This Row],[W]]+Pitchers[[#This Row],[L]]))</f>
        <v>0.5</v>
      </c>
      <c r="AB633" s="60"/>
    </row>
    <row r="634" spans="1:28" x14ac:dyDescent="0.25">
      <c r="A634" t="s">
        <v>392</v>
      </c>
      <c r="B634" t="s">
        <v>9</v>
      </c>
      <c r="C634">
        <v>6</v>
      </c>
      <c r="D634">
        <v>5</v>
      </c>
      <c r="E634">
        <v>0</v>
      </c>
      <c r="F634">
        <v>0</v>
      </c>
      <c r="G634">
        <v>14.2</v>
      </c>
      <c r="H634">
        <v>16</v>
      </c>
      <c r="I634">
        <v>12</v>
      </c>
      <c r="J634">
        <v>21</v>
      </c>
      <c r="K634">
        <v>7</v>
      </c>
      <c r="L634">
        <v>6</v>
      </c>
      <c r="M634">
        <v>0</v>
      </c>
      <c r="N634">
        <v>2</v>
      </c>
      <c r="O634">
        <v>0</v>
      </c>
      <c r="P634">
        <v>0</v>
      </c>
      <c r="Q634">
        <v>0</v>
      </c>
      <c r="R634">
        <v>7.36</v>
      </c>
      <c r="S634">
        <v>1.57</v>
      </c>
      <c r="T634">
        <f t="shared" si="39"/>
        <v>2.84</v>
      </c>
      <c r="U634">
        <f t="shared" si="40"/>
        <v>0.84507042253521136</v>
      </c>
      <c r="V634" s="60">
        <f>U634-AVERAGEIFS(Pitchers[ER/IP],Pitchers[GS],"&gt;"&amp;0,Pitchers[IP],"&gt;"&amp;3)</f>
        <v>0.27356982773589189</v>
      </c>
      <c r="W634" s="60">
        <f>IF(Pitchers[[#This Row],[IP/GS]]&lt;&gt;0,(Pitchers[[#This Row],[WHIP]]*$AH$5+$AI$5)/9*Pitchers[[#This Row],[IP/GS]],(Pitchers[[#This Row],[WHIP]]*$AH$5+$AI$5)/9*(Pitchers[[#This Row],[IP]]/Pitchers[[#This Row],[G]]))</f>
        <v>1.7451711094069973</v>
      </c>
      <c r="X634" s="60">
        <f>Pitchers[[#This Row],[Runs from WHIP]]-AVERAGEIFS(Pitchers[Runs from WHIP],Pitchers[GS],"&gt;"&amp;0,Pitchers[IP],"&gt;"&amp;3)</f>
        <v>-3.9407447967178619</v>
      </c>
      <c r="Y634" s="60">
        <f>IF(Pitchers[[#This Row],[IP/GS]]&lt;&gt;0,Pitchers[[#This Row],[ER/IP From Average]]*Pitchers[[#This Row],[IP/GS]],Pitchers[[#This Row],[ER/IP From Average]]*(Pitchers[[#This Row],[IP]]/Pitchers[[#This Row],[G]]))</f>
        <v>0.77693831076993292</v>
      </c>
      <c r="Z634" s="60">
        <f t="shared" si="41"/>
        <v>-0.74008995481678996</v>
      </c>
      <c r="AA634" s="32">
        <f>IF(Pitchers[[#This Row],[W]]=0,0,Pitchers[[#This Row],[W]]/(Pitchers[[#This Row],[W]]+Pitchers[[#This Row],[L]]))</f>
        <v>0</v>
      </c>
      <c r="AB634" s="60"/>
    </row>
    <row r="635" spans="1:28" x14ac:dyDescent="0.25">
      <c r="A635" t="s">
        <v>722</v>
      </c>
      <c r="B635" t="s">
        <v>8</v>
      </c>
      <c r="C635">
        <v>5</v>
      </c>
      <c r="D635">
        <v>0</v>
      </c>
      <c r="E635">
        <v>0</v>
      </c>
      <c r="F635">
        <v>0</v>
      </c>
      <c r="G635">
        <v>14.1</v>
      </c>
      <c r="H635">
        <v>18</v>
      </c>
      <c r="I635">
        <v>14</v>
      </c>
      <c r="J635">
        <v>5</v>
      </c>
      <c r="K635">
        <v>6</v>
      </c>
      <c r="L635">
        <v>7</v>
      </c>
      <c r="M635">
        <v>0</v>
      </c>
      <c r="N635">
        <v>1</v>
      </c>
      <c r="O635">
        <v>0</v>
      </c>
      <c r="P635">
        <v>0</v>
      </c>
      <c r="Q635">
        <v>0</v>
      </c>
      <c r="R635">
        <v>8.7899999999999991</v>
      </c>
      <c r="S635">
        <v>1.67</v>
      </c>
      <c r="T635">
        <f t="shared" si="39"/>
        <v>0</v>
      </c>
      <c r="U635">
        <f t="shared" si="40"/>
        <v>0.99290780141843971</v>
      </c>
      <c r="V635" s="60">
        <f>U635-AVERAGEIFS(Pitchers[ER/IP],Pitchers[GS],"&gt;"&amp;0,Pitchers[IP],"&gt;"&amp;3)</f>
        <v>0.42140720661912023</v>
      </c>
      <c r="W635" s="60">
        <f>IF(Pitchers[[#This Row],[IP/GS]]&lt;&gt;0,(Pitchers[[#This Row],[WHIP]]*$AH$5+$AI$5)/9*Pitchers[[#This Row],[IP/GS]],(Pitchers[[#This Row],[WHIP]]*$AH$5+$AI$5)/9*(Pitchers[[#This Row],[IP]]/Pitchers[[#This Row],[G]]))</f>
        <v>1.8792884883806005</v>
      </c>
      <c r="X635" s="60">
        <f>Pitchers[[#This Row],[Runs from WHIP]]-AVERAGEIFS(Pitchers[Runs from WHIP],Pitchers[GS],"&gt;"&amp;0,Pitchers[IP],"&gt;"&amp;3)</f>
        <v>-3.8066274177442585</v>
      </c>
      <c r="Y635" s="60">
        <f>IF(Pitchers[[#This Row],[IP/GS]]&lt;&gt;0,Pitchers[[#This Row],[ER/IP From Average]]*Pitchers[[#This Row],[IP/GS]],Pitchers[[#This Row],[ER/IP From Average]]*(Pitchers[[#This Row],[IP]]/Pitchers[[#This Row],[G]]))</f>
        <v>1.188368322665919</v>
      </c>
      <c r="Z635" s="60">
        <f t="shared" si="41"/>
        <v>-0.5397533156654345</v>
      </c>
      <c r="AA635" s="32">
        <f>IF(Pitchers[[#This Row],[W]]=0,0,Pitchers[[#This Row],[W]]/(Pitchers[[#This Row],[W]]+Pitchers[[#This Row],[L]]))</f>
        <v>0</v>
      </c>
      <c r="AB635" s="60"/>
    </row>
    <row r="636" spans="1:28" x14ac:dyDescent="0.25">
      <c r="A636" t="s">
        <v>589</v>
      </c>
      <c r="B636" t="s">
        <v>5</v>
      </c>
      <c r="C636">
        <v>15</v>
      </c>
      <c r="D636">
        <v>0</v>
      </c>
      <c r="E636">
        <v>0</v>
      </c>
      <c r="F636">
        <v>0</v>
      </c>
      <c r="G636">
        <v>14.1</v>
      </c>
      <c r="H636">
        <v>9</v>
      </c>
      <c r="I636">
        <v>10</v>
      </c>
      <c r="J636">
        <v>14</v>
      </c>
      <c r="K636">
        <v>5</v>
      </c>
      <c r="L636">
        <v>6</v>
      </c>
      <c r="M636">
        <v>0</v>
      </c>
      <c r="N636">
        <v>2</v>
      </c>
      <c r="O636">
        <v>0</v>
      </c>
      <c r="P636">
        <v>1</v>
      </c>
      <c r="Q636">
        <v>3</v>
      </c>
      <c r="R636">
        <v>6.28</v>
      </c>
      <c r="S636">
        <v>0.98</v>
      </c>
      <c r="T636">
        <f t="shared" si="39"/>
        <v>0</v>
      </c>
      <c r="U636">
        <f t="shared" si="40"/>
        <v>0.70921985815602839</v>
      </c>
      <c r="V636" s="60">
        <f>U636-AVERAGEIFS(Pitchers[ER/IP],Pitchers[GS],"&gt;"&amp;0,Pitchers[IP],"&gt;"&amp;3)</f>
        <v>0.13771926335670892</v>
      </c>
      <c r="W636" s="60">
        <f>IF(Pitchers[[#This Row],[IP/GS]]&lt;&gt;0,(Pitchers[[#This Row],[WHIP]]*$AH$5+$AI$5)/9*Pitchers[[#This Row],[IP/GS]],(Pitchers[[#This Row],[WHIP]]*$AH$5+$AI$5)/9*(Pitchers[[#This Row],[IP]]/Pitchers[[#This Row],[G]]))</f>
        <v>0.28969266849014141</v>
      </c>
      <c r="X636" s="60">
        <f>Pitchers[[#This Row],[Runs from WHIP]]-AVERAGEIFS(Pitchers[Runs from WHIP],Pitchers[GS],"&gt;"&amp;0,Pitchers[IP],"&gt;"&amp;3)</f>
        <v>-5.3962232376347181</v>
      </c>
      <c r="Y636" s="60">
        <f>IF(Pitchers[[#This Row],[IP/GS]]&lt;&gt;0,Pitchers[[#This Row],[ER/IP From Average]]*Pitchers[[#This Row],[IP/GS]],Pitchers[[#This Row],[ER/IP From Average]]*(Pitchers[[#This Row],[IP]]/Pitchers[[#This Row],[G]]))</f>
        <v>0.12945610755530637</v>
      </c>
      <c r="Z636" s="60">
        <f t="shared" si="41"/>
        <v>-1.3872104203471356</v>
      </c>
      <c r="AA636" s="32">
        <f>IF(Pitchers[[#This Row],[W]]=0,0,Pitchers[[#This Row],[W]]/(Pitchers[[#This Row],[W]]+Pitchers[[#This Row],[L]]))</f>
        <v>0</v>
      </c>
      <c r="AB636" s="60"/>
    </row>
    <row r="637" spans="1:28" x14ac:dyDescent="0.25">
      <c r="A637" t="s">
        <v>531</v>
      </c>
      <c r="B637" t="s">
        <v>17</v>
      </c>
      <c r="C637">
        <v>17</v>
      </c>
      <c r="D637">
        <v>0</v>
      </c>
      <c r="E637">
        <v>0</v>
      </c>
      <c r="F637">
        <v>0</v>
      </c>
      <c r="G637">
        <v>14.1</v>
      </c>
      <c r="H637">
        <v>20</v>
      </c>
      <c r="I637">
        <v>15</v>
      </c>
      <c r="J637">
        <v>14</v>
      </c>
      <c r="K637">
        <v>12</v>
      </c>
      <c r="L637">
        <v>2</v>
      </c>
      <c r="M637">
        <v>0</v>
      </c>
      <c r="N637">
        <v>2</v>
      </c>
      <c r="O637">
        <v>0</v>
      </c>
      <c r="P637">
        <v>1</v>
      </c>
      <c r="Q637">
        <v>0</v>
      </c>
      <c r="R637">
        <v>9.42</v>
      </c>
      <c r="S637">
        <v>2.23</v>
      </c>
      <c r="T637">
        <f t="shared" si="39"/>
        <v>0</v>
      </c>
      <c r="U637">
        <f t="shared" si="40"/>
        <v>1.0638297872340425</v>
      </c>
      <c r="V637" s="60">
        <f>U637-AVERAGEIFS(Pitchers[ER/IP],Pitchers[GS],"&gt;"&amp;0,Pitchers[IP],"&gt;"&amp;3)</f>
        <v>0.49232919243472306</v>
      </c>
      <c r="W637" s="60">
        <f>IF(Pitchers[[#This Row],[IP/GS]]&lt;&gt;0,(Pitchers[[#This Row],[WHIP]]*$AH$5+$AI$5)/9*Pitchers[[#This Row],[IP/GS]],(Pitchers[[#This Row],[WHIP]]*$AH$5+$AI$5)/9*(Pitchers[[#This Row],[IP]]/Pitchers[[#This Row],[G]]))</f>
        <v>0.79387337059348395</v>
      </c>
      <c r="X637" s="60">
        <f>Pitchers[[#This Row],[Runs from WHIP]]-AVERAGEIFS(Pitchers[Runs from WHIP],Pitchers[GS],"&gt;"&amp;0,Pitchers[IP],"&gt;"&amp;3)</f>
        <v>-4.8920425355313757</v>
      </c>
      <c r="Y637" s="60">
        <f>IF(Pitchers[[#This Row],[IP/GS]]&lt;&gt;0,Pitchers[[#This Row],[ER/IP From Average]]*Pitchers[[#This Row],[IP/GS]],Pitchers[[#This Row],[ER/IP From Average]]*(Pitchers[[#This Row],[IP]]/Pitchers[[#This Row],[G]]))</f>
        <v>0.40834362431350557</v>
      </c>
      <c r="Z637" s="60">
        <f t="shared" si="41"/>
        <v>-1.1412072264162978</v>
      </c>
      <c r="AA637" s="32">
        <f>IF(Pitchers[[#This Row],[W]]=0,0,Pitchers[[#This Row],[W]]/(Pitchers[[#This Row],[W]]+Pitchers[[#This Row],[L]]))</f>
        <v>0</v>
      </c>
      <c r="AB637" s="60"/>
    </row>
    <row r="638" spans="1:28" x14ac:dyDescent="0.25">
      <c r="A638" t="s">
        <v>530</v>
      </c>
      <c r="B638" t="s">
        <v>18</v>
      </c>
      <c r="C638">
        <v>11</v>
      </c>
      <c r="D638">
        <v>0</v>
      </c>
      <c r="E638">
        <v>0</v>
      </c>
      <c r="F638">
        <v>0</v>
      </c>
      <c r="G638">
        <v>14</v>
      </c>
      <c r="H638">
        <v>12</v>
      </c>
      <c r="I638">
        <v>6</v>
      </c>
      <c r="J638">
        <v>15</v>
      </c>
      <c r="K638">
        <v>5</v>
      </c>
      <c r="L638">
        <v>1</v>
      </c>
      <c r="M638">
        <v>0</v>
      </c>
      <c r="N638">
        <v>0</v>
      </c>
      <c r="O638">
        <v>1</v>
      </c>
      <c r="P638">
        <v>0</v>
      </c>
      <c r="Q638">
        <v>1</v>
      </c>
      <c r="R638">
        <v>3.86</v>
      </c>
      <c r="S638">
        <v>1.21</v>
      </c>
      <c r="T638">
        <f t="shared" si="39"/>
        <v>0</v>
      </c>
      <c r="U638">
        <f t="shared" si="40"/>
        <v>0.42857142857142855</v>
      </c>
      <c r="V638" s="60">
        <f>U638-AVERAGEIFS(Pitchers[ER/IP],Pitchers[GS],"&gt;"&amp;0,Pitchers[IP],"&gt;"&amp;3)</f>
        <v>-0.14292916622789092</v>
      </c>
      <c r="W638" s="60">
        <f>IF(Pitchers[[#This Row],[IP/GS]]&lt;&gt;0,(Pitchers[[#This Row],[WHIP]]*$AH$5+$AI$5)/9*Pitchers[[#This Row],[IP/GS]],(Pitchers[[#This Row],[WHIP]]*$AH$5+$AI$5)/9*(Pitchers[[#This Row],[IP]]/Pitchers[[#This Row],[G]]))</f>
        <v>0.54421043402643765</v>
      </c>
      <c r="X638" s="60">
        <f>Pitchers[[#This Row],[Runs from WHIP]]-AVERAGEIFS(Pitchers[Runs from WHIP],Pitchers[GS],"&gt;"&amp;0,Pitchers[IP],"&gt;"&amp;3)</f>
        <v>-5.1417054720984217</v>
      </c>
      <c r="Y638" s="60">
        <f>IF(Pitchers[[#This Row],[IP/GS]]&lt;&gt;0,Pitchers[[#This Row],[ER/IP From Average]]*Pitchers[[#This Row],[IP/GS]],Pitchers[[#This Row],[ER/IP From Average]]*(Pitchers[[#This Row],[IP]]/Pitchers[[#This Row],[G]]))</f>
        <v>-0.18190984792640663</v>
      </c>
      <c r="Z638" s="60">
        <f t="shared" si="41"/>
        <v>-1.4438853983968087</v>
      </c>
      <c r="AA638" s="32">
        <f>IF(Pitchers[[#This Row],[W]]=0,0,Pitchers[[#This Row],[W]]/(Pitchers[[#This Row],[W]]+Pitchers[[#This Row],[L]]))</f>
        <v>0</v>
      </c>
      <c r="AB638" s="60"/>
    </row>
    <row r="639" spans="1:28" x14ac:dyDescent="0.25">
      <c r="A639" t="s">
        <v>4392</v>
      </c>
      <c r="B639" t="s">
        <v>18</v>
      </c>
      <c r="C639">
        <v>3</v>
      </c>
      <c r="D639">
        <v>2</v>
      </c>
      <c r="E639">
        <v>0</v>
      </c>
      <c r="F639">
        <v>0</v>
      </c>
      <c r="G639">
        <v>14</v>
      </c>
      <c r="H639">
        <v>15</v>
      </c>
      <c r="I639">
        <v>9</v>
      </c>
      <c r="J639">
        <v>13</v>
      </c>
      <c r="K639">
        <v>5</v>
      </c>
      <c r="L639">
        <v>0</v>
      </c>
      <c r="M639">
        <v>1</v>
      </c>
      <c r="N639">
        <v>0</v>
      </c>
      <c r="O639">
        <v>0</v>
      </c>
      <c r="P639">
        <v>0</v>
      </c>
      <c r="Q639">
        <v>0</v>
      </c>
      <c r="R639">
        <v>5.79</v>
      </c>
      <c r="S639">
        <v>1.43</v>
      </c>
      <c r="T639">
        <f t="shared" si="39"/>
        <v>7</v>
      </c>
      <c r="U639">
        <f t="shared" si="40"/>
        <v>0.6428571428571429</v>
      </c>
      <c r="V639" s="60">
        <f>U639-AVERAGEIFS(Pitchers[ER/IP],Pitchers[GS],"&gt;"&amp;0,Pitchers[IP],"&gt;"&amp;3)</f>
        <v>7.1356548057823432E-2</v>
      </c>
      <c r="W639" s="60">
        <f>IF(Pitchers[[#This Row],[IP/GS]]&lt;&gt;0,(Pitchers[[#This Row],[WHIP]]*$AH$5+$AI$5)/9*Pitchers[[#This Row],[IP/GS]],(Pitchers[[#This Row],[WHIP]]*$AH$5+$AI$5)/9*(Pitchers[[#This Row],[IP]]/Pitchers[[#This Row],[G]]))</f>
        <v>3.7926867034583229</v>
      </c>
      <c r="X639" s="60">
        <f>Pitchers[[#This Row],[Runs from WHIP]]-AVERAGEIFS(Pitchers[Runs from WHIP],Pitchers[GS],"&gt;"&amp;0,Pitchers[IP],"&gt;"&amp;3)</f>
        <v>-1.8932292026665363</v>
      </c>
      <c r="Y639" s="60">
        <f>IF(Pitchers[[#This Row],[IP/GS]]&lt;&gt;0,Pitchers[[#This Row],[ER/IP From Average]]*Pitchers[[#This Row],[IP/GS]],Pitchers[[#This Row],[ER/IP From Average]]*(Pitchers[[#This Row],[IP]]/Pitchers[[#This Row],[G]]))</f>
        <v>0.49949583640476403</v>
      </c>
      <c r="Z639" s="60">
        <f t="shared" si="41"/>
        <v>-0.30506278614917065</v>
      </c>
      <c r="AA639" s="32">
        <f>IF(Pitchers[[#This Row],[W]]=0,0,Pitchers[[#This Row],[W]]/(Pitchers[[#This Row],[W]]+Pitchers[[#This Row],[L]]))</f>
        <v>1</v>
      </c>
      <c r="AB639" s="60"/>
    </row>
    <row r="640" spans="1:28" x14ac:dyDescent="0.25">
      <c r="A640" t="s">
        <v>534</v>
      </c>
      <c r="B640" t="s">
        <v>218</v>
      </c>
      <c r="C640">
        <v>10</v>
      </c>
      <c r="D640">
        <v>0</v>
      </c>
      <c r="E640">
        <v>0</v>
      </c>
      <c r="F640">
        <v>0</v>
      </c>
      <c r="G640">
        <v>14</v>
      </c>
      <c r="H640">
        <v>15</v>
      </c>
      <c r="I640">
        <v>9</v>
      </c>
      <c r="J640">
        <v>18</v>
      </c>
      <c r="K640">
        <v>5</v>
      </c>
      <c r="L640">
        <v>2</v>
      </c>
      <c r="M640">
        <v>1</v>
      </c>
      <c r="N640">
        <v>0</v>
      </c>
      <c r="O640">
        <v>0</v>
      </c>
      <c r="P640">
        <v>0</v>
      </c>
      <c r="Q640">
        <v>1</v>
      </c>
      <c r="R640">
        <v>5.79</v>
      </c>
      <c r="S640">
        <v>1.43</v>
      </c>
      <c r="T640">
        <f t="shared" si="39"/>
        <v>0</v>
      </c>
      <c r="U640">
        <f t="shared" si="40"/>
        <v>0.6428571428571429</v>
      </c>
      <c r="V640" s="60">
        <f>U640-AVERAGEIFS(Pitchers[ER/IP],Pitchers[GS],"&gt;"&amp;0,Pitchers[IP],"&gt;"&amp;3)</f>
        <v>7.1356548057823432E-2</v>
      </c>
      <c r="W640" s="60">
        <f>IF(Pitchers[[#This Row],[IP/GS]]&lt;&gt;0,(Pitchers[[#This Row],[WHIP]]*$AH$5+$AI$5)/9*Pitchers[[#This Row],[IP/GS]],(Pitchers[[#This Row],[WHIP]]*$AH$5+$AI$5)/9*(Pitchers[[#This Row],[IP]]/Pitchers[[#This Row],[G]]))</f>
        <v>0.75853734069166456</v>
      </c>
      <c r="X640" s="60">
        <f>Pitchers[[#This Row],[Runs from WHIP]]-AVERAGEIFS(Pitchers[Runs from WHIP],Pitchers[GS],"&gt;"&amp;0,Pitchers[IP],"&gt;"&amp;3)</f>
        <v>-4.9273785654331945</v>
      </c>
      <c r="Y640" s="60">
        <f>IF(Pitchers[[#This Row],[IP/GS]]&lt;&gt;0,Pitchers[[#This Row],[ER/IP From Average]]*Pitchers[[#This Row],[IP/GS]],Pitchers[[#This Row],[ER/IP From Average]]*(Pitchers[[#This Row],[IP]]/Pitchers[[#This Row],[G]]))</f>
        <v>9.98991672809528E-2</v>
      </c>
      <c r="Z640" s="60">
        <f t="shared" si="41"/>
        <v>-1.274007950536471</v>
      </c>
      <c r="AA640" s="32">
        <f>IF(Pitchers[[#This Row],[W]]=0,0,Pitchers[[#This Row],[W]]/(Pitchers[[#This Row],[W]]+Pitchers[[#This Row],[L]]))</f>
        <v>1</v>
      </c>
      <c r="AB640" s="60"/>
    </row>
    <row r="641" spans="1:28" x14ac:dyDescent="0.25">
      <c r="A641" t="s">
        <v>644</v>
      </c>
      <c r="B641" t="s">
        <v>1</v>
      </c>
      <c r="C641">
        <v>19</v>
      </c>
      <c r="D641">
        <v>0</v>
      </c>
      <c r="E641">
        <v>0</v>
      </c>
      <c r="F641">
        <v>0</v>
      </c>
      <c r="G641">
        <v>14</v>
      </c>
      <c r="H641">
        <v>13</v>
      </c>
      <c r="I641">
        <v>5</v>
      </c>
      <c r="J641">
        <v>20</v>
      </c>
      <c r="K641">
        <v>14</v>
      </c>
      <c r="L641">
        <v>1</v>
      </c>
      <c r="M641">
        <v>2</v>
      </c>
      <c r="N641">
        <v>0</v>
      </c>
      <c r="O641">
        <v>0</v>
      </c>
      <c r="P641">
        <v>1</v>
      </c>
      <c r="Q641">
        <v>5</v>
      </c>
      <c r="R641">
        <v>3.21</v>
      </c>
      <c r="S641">
        <v>1.93</v>
      </c>
      <c r="T641">
        <f t="shared" si="39"/>
        <v>0</v>
      </c>
      <c r="U641">
        <f t="shared" si="40"/>
        <v>0.35714285714285715</v>
      </c>
      <c r="V641" s="60">
        <f>U641-AVERAGEIFS(Pitchers[ER/IP],Pitchers[GS],"&gt;"&amp;0,Pitchers[IP],"&gt;"&amp;3)</f>
        <v>-0.21435773765646232</v>
      </c>
      <c r="W641" s="60">
        <f>IF(Pitchers[[#This Row],[IP/GS]]&lt;&gt;0,(Pitchers[[#This Row],[WHIP]]*$AH$5+$AI$5)/9*Pitchers[[#This Row],[IP/GS]],(Pitchers[[#This Row],[WHIP]]*$AH$5+$AI$5)/9*(Pitchers[[#This Row],[IP]]/Pitchers[[#This Row],[G]]))</f>
        <v>0.5905051353671239</v>
      </c>
      <c r="X641" s="60">
        <f>Pitchers[[#This Row],[Runs from WHIP]]-AVERAGEIFS(Pitchers[Runs from WHIP],Pitchers[GS],"&gt;"&amp;0,Pitchers[IP],"&gt;"&amp;3)</f>
        <v>-5.0954107707577352</v>
      </c>
      <c r="Y641" s="60">
        <f>IF(Pitchers[[#This Row],[IP/GS]]&lt;&gt;0,Pitchers[[#This Row],[ER/IP From Average]]*Pitchers[[#This Row],[IP/GS]],Pitchers[[#This Row],[ER/IP From Average]]*(Pitchers[[#This Row],[IP]]/Pitchers[[#This Row],[G]]))</f>
        <v>-0.15794780669423539</v>
      </c>
      <c r="Z641" s="60">
        <f t="shared" si="41"/>
        <v>-1.4219553282130901</v>
      </c>
      <c r="AA641" s="32">
        <f>IF(Pitchers[[#This Row],[W]]=0,0,Pitchers[[#This Row],[W]]/(Pitchers[[#This Row],[W]]+Pitchers[[#This Row],[L]]))</f>
        <v>1</v>
      </c>
      <c r="AB641" s="60"/>
    </row>
    <row r="642" spans="1:28" x14ac:dyDescent="0.25">
      <c r="A642" t="s">
        <v>464</v>
      </c>
      <c r="B642" t="s">
        <v>15</v>
      </c>
      <c r="C642">
        <v>14</v>
      </c>
      <c r="D642">
        <v>0</v>
      </c>
      <c r="E642">
        <v>0</v>
      </c>
      <c r="F642">
        <v>0</v>
      </c>
      <c r="G642">
        <v>14</v>
      </c>
      <c r="H642">
        <v>11</v>
      </c>
      <c r="I642">
        <v>3</v>
      </c>
      <c r="J642">
        <v>17</v>
      </c>
      <c r="K642">
        <v>4</v>
      </c>
      <c r="L642">
        <v>1</v>
      </c>
      <c r="M642">
        <v>1</v>
      </c>
      <c r="N642">
        <v>2</v>
      </c>
      <c r="O642">
        <v>0</v>
      </c>
      <c r="P642">
        <v>0</v>
      </c>
      <c r="Q642">
        <v>1</v>
      </c>
      <c r="R642">
        <v>1.93</v>
      </c>
      <c r="S642">
        <v>1.07</v>
      </c>
      <c r="T642">
        <f t="shared" si="39"/>
        <v>0</v>
      </c>
      <c r="U642">
        <f t="shared" si="40"/>
        <v>0.21428571428571427</v>
      </c>
      <c r="V642" s="60">
        <f>U642-AVERAGEIFS(Pitchers[ER/IP],Pitchers[GS],"&gt;"&amp;0,Pitchers[IP],"&gt;"&amp;3)</f>
        <v>-0.35721488051360517</v>
      </c>
      <c r="W642" s="60">
        <f>IF(Pitchers[[#This Row],[IP/GS]]&lt;&gt;0,(Pitchers[[#This Row],[WHIP]]*$AH$5+$AI$5)/9*Pitchers[[#This Row],[IP/GS]],(Pitchers[[#This Row],[WHIP]]*$AH$5+$AI$5)/9*(Pitchers[[#This Row],[IP]]/Pitchers[[#This Row],[G]]))</f>
        <v>0.35490942914816981</v>
      </c>
      <c r="X642" s="60">
        <f>Pitchers[[#This Row],[Runs from WHIP]]-AVERAGEIFS(Pitchers[Runs from WHIP],Pitchers[GS],"&gt;"&amp;0,Pitchers[IP],"&gt;"&amp;3)</f>
        <v>-5.3310064769766896</v>
      </c>
      <c r="Y642" s="60">
        <f>IF(Pitchers[[#This Row],[IP/GS]]&lt;&gt;0,Pitchers[[#This Row],[ER/IP From Average]]*Pitchers[[#This Row],[IP/GS]],Pitchers[[#This Row],[ER/IP From Average]]*(Pitchers[[#This Row],[IP]]/Pitchers[[#This Row],[G]]))</f>
        <v>-0.35721488051360517</v>
      </c>
      <c r="Z642" s="60">
        <f t="shared" si="41"/>
        <v>-1.5644876793992264</v>
      </c>
      <c r="AA642" s="32">
        <f>IF(Pitchers[[#This Row],[W]]=0,0,Pitchers[[#This Row],[W]]/(Pitchers[[#This Row],[W]]+Pitchers[[#This Row],[L]]))</f>
        <v>0.33333333333333331</v>
      </c>
      <c r="AB642" s="60"/>
    </row>
    <row r="643" spans="1:28" x14ac:dyDescent="0.25">
      <c r="A643" t="s">
        <v>1147</v>
      </c>
      <c r="B643" t="s">
        <v>14</v>
      </c>
      <c r="C643">
        <v>9</v>
      </c>
      <c r="D643">
        <v>0</v>
      </c>
      <c r="E643">
        <v>0</v>
      </c>
      <c r="F643">
        <v>0</v>
      </c>
      <c r="G643">
        <v>14</v>
      </c>
      <c r="H643">
        <v>19</v>
      </c>
      <c r="I643">
        <v>12</v>
      </c>
      <c r="J643">
        <v>16</v>
      </c>
      <c r="K643">
        <v>7</v>
      </c>
      <c r="L643">
        <v>2</v>
      </c>
      <c r="M643">
        <v>0</v>
      </c>
      <c r="N643">
        <v>0</v>
      </c>
      <c r="O643">
        <v>0</v>
      </c>
      <c r="P643">
        <v>0</v>
      </c>
      <c r="Q643">
        <v>0</v>
      </c>
      <c r="R643">
        <v>7.71</v>
      </c>
      <c r="S643">
        <v>1.86</v>
      </c>
      <c r="T643">
        <f t="shared" ref="T643:T662" si="42">IF(D643=0,0,G643/D643)</f>
        <v>0</v>
      </c>
      <c r="U643">
        <f t="shared" ref="U643:U662" si="43">IF(G643=0,0,I643/G643)</f>
        <v>0.8571428571428571</v>
      </c>
      <c r="V643" s="60">
        <f>U643-AVERAGEIFS(Pitchers[ER/IP],Pitchers[GS],"&gt;"&amp;0,Pitchers[IP],"&gt;"&amp;3)</f>
        <v>0.28564226234353762</v>
      </c>
      <c r="W643" s="60">
        <f>IF(Pitchers[[#This Row],[IP/GS]]&lt;&gt;0,(Pitchers[[#This Row],[WHIP]]*$AH$5+$AI$5)/9*Pitchers[[#This Row],[IP/GS]],(Pitchers[[#This Row],[WHIP]]*$AH$5+$AI$5)/9*(Pitchers[[#This Row],[IP]]/Pitchers[[#This Row],[G]]))</f>
        <v>1.1900895765407931</v>
      </c>
      <c r="X643" s="60">
        <f>Pitchers[[#This Row],[Runs from WHIP]]-AVERAGEIFS(Pitchers[Runs from WHIP],Pitchers[GS],"&gt;"&amp;0,Pitchers[IP],"&gt;"&amp;3)</f>
        <v>-4.4958263295840659</v>
      </c>
      <c r="Y643" s="60">
        <f>IF(Pitchers[[#This Row],[IP/GS]]&lt;&gt;0,Pitchers[[#This Row],[ER/IP From Average]]*Pitchers[[#This Row],[IP/GS]],Pitchers[[#This Row],[ER/IP From Average]]*(Pitchers[[#This Row],[IP]]/Pitchers[[#This Row],[G]]))</f>
        <v>0.44433240808994739</v>
      </c>
      <c r="Z643" s="60">
        <f t="shared" ref="Z643:Z662" si="44">AVERAGE(X643,X643,Y643,Y643,Y643)/1.5</f>
        <v>-1.0211540579864387</v>
      </c>
      <c r="AA643" s="32">
        <f>IF(Pitchers[[#This Row],[W]]=0,0,Pitchers[[#This Row],[W]]/(Pitchers[[#This Row],[W]]+Pitchers[[#This Row],[L]]))</f>
        <v>0</v>
      </c>
      <c r="AB643" s="60"/>
    </row>
    <row r="644" spans="1:28" x14ac:dyDescent="0.25">
      <c r="A644" t="s">
        <v>767</v>
      </c>
      <c r="B644" t="s">
        <v>2</v>
      </c>
      <c r="C644">
        <v>13</v>
      </c>
      <c r="D644">
        <v>0</v>
      </c>
      <c r="E644">
        <v>0</v>
      </c>
      <c r="F644">
        <v>0</v>
      </c>
      <c r="G644">
        <v>14</v>
      </c>
      <c r="H644">
        <v>14</v>
      </c>
      <c r="I644">
        <v>8</v>
      </c>
      <c r="J644">
        <v>9</v>
      </c>
      <c r="K644">
        <v>10</v>
      </c>
      <c r="L644">
        <v>2</v>
      </c>
      <c r="M644">
        <v>0</v>
      </c>
      <c r="N644">
        <v>0</v>
      </c>
      <c r="O644">
        <v>0</v>
      </c>
      <c r="P644">
        <v>0</v>
      </c>
      <c r="Q644">
        <v>0</v>
      </c>
      <c r="R644">
        <v>5.14</v>
      </c>
      <c r="S644">
        <v>1.71</v>
      </c>
      <c r="T644">
        <f t="shared" si="42"/>
        <v>0</v>
      </c>
      <c r="U644">
        <f t="shared" si="43"/>
        <v>0.5714285714285714</v>
      </c>
      <c r="V644" s="60">
        <f>U644-AVERAGEIFS(Pitchers[ER/IP],Pitchers[GS],"&gt;"&amp;0,Pitchers[IP],"&gt;"&amp;3)</f>
        <v>-7.2023370748075521E-5</v>
      </c>
      <c r="W644" s="60">
        <f>IF(Pitchers[[#This Row],[IP/GS]]&lt;&gt;0,(Pitchers[[#This Row],[WHIP]]*$AH$5+$AI$5)/9*Pitchers[[#This Row],[IP/GS]],(Pitchers[[#This Row],[WHIP]]*$AH$5+$AI$5)/9*(Pitchers[[#This Row],[IP]]/Pitchers[[#This Row],[G]]))</f>
        <v>0.74004145687304024</v>
      </c>
      <c r="X644" s="60">
        <f>Pitchers[[#This Row],[Runs from WHIP]]-AVERAGEIFS(Pitchers[Runs from WHIP],Pitchers[GS],"&gt;"&amp;0,Pitchers[IP],"&gt;"&amp;3)</f>
        <v>-4.9458744492518187</v>
      </c>
      <c r="Y644" s="60">
        <f>IF(Pitchers[[#This Row],[IP/GS]]&lt;&gt;0,Pitchers[[#This Row],[ER/IP From Average]]*Pitchers[[#This Row],[IP/GS]],Pitchers[[#This Row],[ER/IP From Average]]*(Pitchers[[#This Row],[IP]]/Pitchers[[#This Row],[G]]))</f>
        <v>-7.7563630036389016E-5</v>
      </c>
      <c r="Z644" s="60">
        <f t="shared" si="44"/>
        <v>-1.3189308785858327</v>
      </c>
      <c r="AA644" s="32">
        <f>IF(Pitchers[[#This Row],[W]]=0,0,Pitchers[[#This Row],[W]]/(Pitchers[[#This Row],[W]]+Pitchers[[#This Row],[L]]))</f>
        <v>0</v>
      </c>
      <c r="AB644" s="60"/>
    </row>
    <row r="645" spans="1:28" x14ac:dyDescent="0.25">
      <c r="A645" t="s">
        <v>1483</v>
      </c>
      <c r="B645" t="s">
        <v>6</v>
      </c>
      <c r="C645">
        <v>15</v>
      </c>
      <c r="D645">
        <v>0</v>
      </c>
      <c r="E645">
        <v>0</v>
      </c>
      <c r="F645">
        <v>0</v>
      </c>
      <c r="G645">
        <v>14</v>
      </c>
      <c r="H645">
        <v>10</v>
      </c>
      <c r="I645">
        <v>8</v>
      </c>
      <c r="J645">
        <v>13</v>
      </c>
      <c r="K645">
        <v>8</v>
      </c>
      <c r="L645">
        <v>4</v>
      </c>
      <c r="M645">
        <v>0</v>
      </c>
      <c r="N645">
        <v>1</v>
      </c>
      <c r="O645">
        <v>0</v>
      </c>
      <c r="P645">
        <v>2</v>
      </c>
      <c r="Q645">
        <v>2</v>
      </c>
      <c r="R645">
        <v>5.14</v>
      </c>
      <c r="S645">
        <v>1.29</v>
      </c>
      <c r="T645">
        <f t="shared" si="42"/>
        <v>0</v>
      </c>
      <c r="U645">
        <f t="shared" si="43"/>
        <v>0.5714285714285714</v>
      </c>
      <c r="V645" s="60">
        <f>U645-AVERAGEIFS(Pitchers[ER/IP],Pitchers[GS],"&gt;"&amp;0,Pitchers[IP],"&gt;"&amp;3)</f>
        <v>-7.2023370748075521E-5</v>
      </c>
      <c r="W645" s="60">
        <f>IF(Pitchers[[#This Row],[IP/GS]]&lt;&gt;0,(Pitchers[[#This Row],[WHIP]]*$AH$5+$AI$5)/9*Pitchers[[#This Row],[IP/GS]],(Pitchers[[#This Row],[WHIP]]*$AH$5+$AI$5)/9*(Pitchers[[#This Row],[IP]]/Pitchers[[#This Row],[G]]))</f>
        <v>0.43785270938001386</v>
      </c>
      <c r="X645" s="60">
        <f>Pitchers[[#This Row],[Runs from WHIP]]-AVERAGEIFS(Pitchers[Runs from WHIP],Pitchers[GS],"&gt;"&amp;0,Pitchers[IP],"&gt;"&amp;3)</f>
        <v>-5.2480631967448454</v>
      </c>
      <c r="Y645" s="60">
        <f>IF(Pitchers[[#This Row],[IP/GS]]&lt;&gt;0,Pitchers[[#This Row],[ER/IP From Average]]*Pitchers[[#This Row],[IP/GS]],Pitchers[[#This Row],[ER/IP From Average]]*(Pitchers[[#This Row],[IP]]/Pitchers[[#This Row],[G]]))</f>
        <v>-6.7221812698203817E-5</v>
      </c>
      <c r="Z645" s="60">
        <f t="shared" si="44"/>
        <v>-1.399510407857038</v>
      </c>
      <c r="AA645" s="32">
        <f>IF(Pitchers[[#This Row],[W]]=0,0,Pitchers[[#This Row],[W]]/(Pitchers[[#This Row],[W]]+Pitchers[[#This Row],[L]]))</f>
        <v>0</v>
      </c>
      <c r="AB645" s="60"/>
    </row>
    <row r="646" spans="1:28" x14ac:dyDescent="0.25">
      <c r="A646" t="s">
        <v>751</v>
      </c>
      <c r="B646" t="s">
        <v>13</v>
      </c>
      <c r="C646">
        <v>15</v>
      </c>
      <c r="D646">
        <v>0</v>
      </c>
      <c r="E646">
        <v>0</v>
      </c>
      <c r="F646">
        <v>0</v>
      </c>
      <c r="G646">
        <v>14</v>
      </c>
      <c r="H646">
        <v>19</v>
      </c>
      <c r="I646">
        <v>11</v>
      </c>
      <c r="J646">
        <v>18</v>
      </c>
      <c r="K646">
        <v>11</v>
      </c>
      <c r="L646">
        <v>2</v>
      </c>
      <c r="M646">
        <v>0</v>
      </c>
      <c r="N646">
        <v>1</v>
      </c>
      <c r="O646">
        <v>0</v>
      </c>
      <c r="P646">
        <v>0</v>
      </c>
      <c r="Q646">
        <v>1</v>
      </c>
      <c r="R646">
        <v>7.07</v>
      </c>
      <c r="S646">
        <v>2.14</v>
      </c>
      <c r="T646">
        <f t="shared" si="42"/>
        <v>0</v>
      </c>
      <c r="U646">
        <f t="shared" si="43"/>
        <v>0.7857142857142857</v>
      </c>
      <c r="V646" s="60">
        <f>U646-AVERAGEIFS(Pitchers[ER/IP],Pitchers[GS],"&gt;"&amp;0,Pitchers[IP],"&gt;"&amp;3)</f>
        <v>0.21421369091496623</v>
      </c>
      <c r="W646" s="60">
        <f>IF(Pitchers[[#This Row],[IP/GS]]&lt;&gt;0,(Pitchers[[#This Row],[WHIP]]*$AH$5+$AI$5)/9*Pitchers[[#This Row],[IP/GS]],(Pitchers[[#This Row],[WHIP]]*$AH$5+$AI$5)/9*(Pitchers[[#This Row],[IP]]/Pitchers[[#This Row],[G]]))</f>
        <v>0.84973144808666778</v>
      </c>
      <c r="X646" s="60">
        <f>Pitchers[[#This Row],[Runs from WHIP]]-AVERAGEIFS(Pitchers[Runs from WHIP],Pitchers[GS],"&gt;"&amp;0,Pitchers[IP],"&gt;"&amp;3)</f>
        <v>-4.8361844580381916</v>
      </c>
      <c r="Y646" s="60">
        <f>IF(Pitchers[[#This Row],[IP/GS]]&lt;&gt;0,Pitchers[[#This Row],[ER/IP From Average]]*Pitchers[[#This Row],[IP/GS]],Pitchers[[#This Row],[ER/IP From Average]]*(Pitchers[[#This Row],[IP]]/Pitchers[[#This Row],[G]]))</f>
        <v>0.19993277818730182</v>
      </c>
      <c r="Z646" s="60">
        <f t="shared" si="44"/>
        <v>-1.2096760775352637</v>
      </c>
      <c r="AA646" s="32">
        <f>IF(Pitchers[[#This Row],[W]]=0,0,Pitchers[[#This Row],[W]]/(Pitchers[[#This Row],[W]]+Pitchers[[#This Row],[L]]))</f>
        <v>0</v>
      </c>
      <c r="AB646" s="60"/>
    </row>
    <row r="647" spans="1:28" x14ac:dyDescent="0.25">
      <c r="A647" t="s">
        <v>550</v>
      </c>
      <c r="B647" t="s">
        <v>28</v>
      </c>
      <c r="C647">
        <v>18</v>
      </c>
      <c r="D647">
        <v>0</v>
      </c>
      <c r="E647">
        <v>0</v>
      </c>
      <c r="F647">
        <v>0</v>
      </c>
      <c r="G647">
        <v>14</v>
      </c>
      <c r="H647">
        <v>17</v>
      </c>
      <c r="I647">
        <v>7</v>
      </c>
      <c r="J647">
        <v>8</v>
      </c>
      <c r="K647">
        <v>4</v>
      </c>
      <c r="L647">
        <v>2</v>
      </c>
      <c r="M647">
        <v>1</v>
      </c>
      <c r="N647">
        <v>1</v>
      </c>
      <c r="O647">
        <v>0</v>
      </c>
      <c r="P647">
        <v>0</v>
      </c>
      <c r="Q647">
        <v>2</v>
      </c>
      <c r="R647">
        <v>4.5</v>
      </c>
      <c r="S647">
        <v>1.5</v>
      </c>
      <c r="T647">
        <f t="shared" si="42"/>
        <v>0</v>
      </c>
      <c r="U647">
        <f t="shared" si="43"/>
        <v>0.5</v>
      </c>
      <c r="V647" s="60">
        <f>U647-AVERAGEIFS(Pitchers[ER/IP],Pitchers[GS],"&gt;"&amp;0,Pitchers[IP],"&gt;"&amp;3)</f>
        <v>-7.1500594799319472E-2</v>
      </c>
      <c r="W647" s="60">
        <f>IF(Pitchers[[#This Row],[IP/GS]]&lt;&gt;0,(Pitchers[[#This Row],[WHIP]]*$AH$5+$AI$5)/9*Pitchers[[#This Row],[IP/GS]],(Pitchers[[#This Row],[WHIP]]*$AH$5+$AI$5)/9*(Pitchers[[#This Row],[IP]]/Pitchers[[#This Row],[G]]))</f>
        <v>0.44967582166804815</v>
      </c>
      <c r="X647" s="60">
        <f>Pitchers[[#This Row],[Runs from WHIP]]-AVERAGEIFS(Pitchers[Runs from WHIP],Pitchers[GS],"&gt;"&amp;0,Pitchers[IP],"&gt;"&amp;3)</f>
        <v>-5.2362400844568109</v>
      </c>
      <c r="Y647" s="60">
        <f>IF(Pitchers[[#This Row],[IP/GS]]&lt;&gt;0,Pitchers[[#This Row],[ER/IP From Average]]*Pitchers[[#This Row],[IP/GS]],Pitchers[[#This Row],[ER/IP From Average]]*(Pitchers[[#This Row],[IP]]/Pitchers[[#This Row],[G]]))</f>
        <v>-5.5611573732804037E-2</v>
      </c>
      <c r="Z647" s="60">
        <f t="shared" si="44"/>
        <v>-1.4185753186816046</v>
      </c>
      <c r="AA647" s="32">
        <f>IF(Pitchers[[#This Row],[W]]=0,0,Pitchers[[#This Row],[W]]/(Pitchers[[#This Row],[W]]+Pitchers[[#This Row],[L]]))</f>
        <v>0.5</v>
      </c>
      <c r="AB647" s="60"/>
    </row>
    <row r="648" spans="1:28" x14ac:dyDescent="0.25">
      <c r="A648" t="s">
        <v>4114</v>
      </c>
      <c r="B648" t="s">
        <v>6</v>
      </c>
      <c r="C648">
        <v>13</v>
      </c>
      <c r="D648">
        <v>0</v>
      </c>
      <c r="E648">
        <v>0</v>
      </c>
      <c r="F648">
        <v>0</v>
      </c>
      <c r="G648">
        <v>13.2</v>
      </c>
      <c r="H648">
        <v>18</v>
      </c>
      <c r="I648">
        <v>6</v>
      </c>
      <c r="J648">
        <v>14</v>
      </c>
      <c r="K648">
        <v>6</v>
      </c>
      <c r="L648">
        <v>2</v>
      </c>
      <c r="M648">
        <v>0</v>
      </c>
      <c r="N648">
        <v>0</v>
      </c>
      <c r="O648">
        <v>0</v>
      </c>
      <c r="P648">
        <v>0</v>
      </c>
      <c r="Q648">
        <v>2</v>
      </c>
      <c r="R648">
        <v>3.95</v>
      </c>
      <c r="S648">
        <v>1.76</v>
      </c>
      <c r="T648">
        <f t="shared" si="42"/>
        <v>0</v>
      </c>
      <c r="U648">
        <f t="shared" si="43"/>
        <v>0.45454545454545459</v>
      </c>
      <c r="V648" s="60">
        <f>U648-AVERAGEIFS(Pitchers[ER/IP],Pitchers[GS],"&gt;"&amp;0,Pitchers[IP],"&gt;"&amp;3)</f>
        <v>-0.11695514025386489</v>
      </c>
      <c r="W648" s="60">
        <f>IF(Pitchers[[#This Row],[IP/GS]]&lt;&gt;0,(Pitchers[[#This Row],[WHIP]]*$AH$5+$AI$5)/9*Pitchers[[#This Row],[IP/GS]],(Pitchers[[#This Row],[WHIP]]*$AH$5+$AI$5)/9*(Pitchers[[#This Row],[IP]]/Pitchers[[#This Row],[G]]))</f>
        <v>0.72411148295214933</v>
      </c>
      <c r="X648" s="60">
        <f>Pitchers[[#This Row],[Runs from WHIP]]-AVERAGEIFS(Pitchers[Runs from WHIP],Pitchers[GS],"&gt;"&amp;0,Pitchers[IP],"&gt;"&amp;3)</f>
        <v>-4.9618044231727101</v>
      </c>
      <c r="Y648" s="60">
        <f>IF(Pitchers[[#This Row],[IP/GS]]&lt;&gt;0,Pitchers[[#This Row],[ER/IP From Average]]*Pitchers[[#This Row],[IP/GS]],Pitchers[[#This Row],[ER/IP From Average]]*(Pitchers[[#This Row],[IP]]/Pitchers[[#This Row],[G]]))</f>
        <v>-0.11875445010392434</v>
      </c>
      <c r="Z648" s="60">
        <f t="shared" si="44"/>
        <v>-1.3706496262209591</v>
      </c>
      <c r="AA648" s="32">
        <f>IF(Pitchers[[#This Row],[W]]=0,0,Pitchers[[#This Row],[W]]/(Pitchers[[#This Row],[W]]+Pitchers[[#This Row],[L]]))</f>
        <v>0</v>
      </c>
      <c r="AB648" s="60"/>
    </row>
    <row r="649" spans="1:28" x14ac:dyDescent="0.25">
      <c r="A649" t="s">
        <v>706</v>
      </c>
      <c r="B649" t="s">
        <v>27</v>
      </c>
      <c r="C649">
        <v>9</v>
      </c>
      <c r="D649">
        <v>1</v>
      </c>
      <c r="E649">
        <v>0</v>
      </c>
      <c r="F649">
        <v>0</v>
      </c>
      <c r="G649">
        <v>13.2</v>
      </c>
      <c r="H649">
        <v>15</v>
      </c>
      <c r="I649">
        <v>10</v>
      </c>
      <c r="J649">
        <v>10</v>
      </c>
      <c r="K649">
        <v>13</v>
      </c>
      <c r="L649">
        <v>1</v>
      </c>
      <c r="M649">
        <v>0</v>
      </c>
      <c r="N649">
        <v>3</v>
      </c>
      <c r="O649">
        <v>0</v>
      </c>
      <c r="P649">
        <v>0</v>
      </c>
      <c r="Q649">
        <v>0</v>
      </c>
      <c r="R649">
        <v>6.59</v>
      </c>
      <c r="S649">
        <v>2.0499999999999998</v>
      </c>
      <c r="T649">
        <f t="shared" si="42"/>
        <v>13.2</v>
      </c>
      <c r="U649">
        <f t="shared" si="43"/>
        <v>0.75757575757575757</v>
      </c>
      <c r="V649" s="60">
        <f>U649-AVERAGEIFS(Pitchers[ER/IP],Pitchers[GS],"&gt;"&amp;0,Pitchers[IP],"&gt;"&amp;3)</f>
        <v>0.1860751627764381</v>
      </c>
      <c r="W649" s="60">
        <f>IF(Pitchers[[#This Row],[IP/GS]]&lt;&gt;0,(Pitchers[[#This Row],[WHIP]]*$AH$5+$AI$5)/9*Pitchers[[#This Row],[IP/GS]],(Pitchers[[#This Row],[WHIP]]*$AH$5+$AI$5)/9*(Pitchers[[#This Row],[IP]]/Pitchers[[#This Row],[G]]))</f>
        <v>11.400850721784332</v>
      </c>
      <c r="X649" s="60">
        <f>Pitchers[[#This Row],[Runs from WHIP]]-AVERAGEIFS(Pitchers[Runs from WHIP],Pitchers[GS],"&gt;"&amp;0,Pitchers[IP],"&gt;"&amp;3)</f>
        <v>5.7149348156594728</v>
      </c>
      <c r="Y649" s="60">
        <f>IF(Pitchers[[#This Row],[IP/GS]]&lt;&gt;0,Pitchers[[#This Row],[ER/IP From Average]]*Pitchers[[#This Row],[IP/GS]],Pitchers[[#This Row],[ER/IP From Average]]*(Pitchers[[#This Row],[IP]]/Pitchers[[#This Row],[G]]))</f>
        <v>2.4561921486489826</v>
      </c>
      <c r="Z649" s="60">
        <f t="shared" si="44"/>
        <v>2.5064594769687858</v>
      </c>
      <c r="AA649" s="32">
        <f>IF(Pitchers[[#This Row],[W]]=0,0,Pitchers[[#This Row],[W]]/(Pitchers[[#This Row],[W]]+Pitchers[[#This Row],[L]]))</f>
        <v>0</v>
      </c>
      <c r="AB649" s="60"/>
    </row>
    <row r="650" spans="1:28" x14ac:dyDescent="0.25">
      <c r="A650" t="s">
        <v>1334</v>
      </c>
      <c r="B650" t="s">
        <v>7</v>
      </c>
      <c r="C650">
        <v>3</v>
      </c>
      <c r="D650">
        <v>1</v>
      </c>
      <c r="E650">
        <v>0</v>
      </c>
      <c r="F650">
        <v>0</v>
      </c>
      <c r="G650">
        <v>13.2</v>
      </c>
      <c r="H650">
        <v>18</v>
      </c>
      <c r="I650">
        <v>15</v>
      </c>
      <c r="J650">
        <v>10</v>
      </c>
      <c r="K650">
        <v>6</v>
      </c>
      <c r="L650">
        <v>6</v>
      </c>
      <c r="M650">
        <v>0</v>
      </c>
      <c r="N650">
        <v>1</v>
      </c>
      <c r="O650">
        <v>0</v>
      </c>
      <c r="P650">
        <v>0</v>
      </c>
      <c r="Q650">
        <v>0</v>
      </c>
      <c r="R650">
        <v>9.8800000000000008</v>
      </c>
      <c r="S650">
        <v>1.76</v>
      </c>
      <c r="T650">
        <f t="shared" si="42"/>
        <v>13.2</v>
      </c>
      <c r="U650">
        <f t="shared" si="43"/>
        <v>1.1363636363636365</v>
      </c>
      <c r="V650" s="60">
        <f>U650-AVERAGEIFS(Pitchers[ER/IP],Pitchers[GS],"&gt;"&amp;0,Pitchers[IP],"&gt;"&amp;3)</f>
        <v>0.56486304156431699</v>
      </c>
      <c r="W650" s="60">
        <f>IF(Pitchers[[#This Row],[IP/GS]]&lt;&gt;0,(Pitchers[[#This Row],[WHIP]]*$AH$5+$AI$5)/9*Pitchers[[#This Row],[IP/GS]],(Pitchers[[#This Row],[WHIP]]*$AH$5+$AI$5)/9*(Pitchers[[#This Row],[IP]]/Pitchers[[#This Row],[G]]))</f>
        <v>9.4134492783779411</v>
      </c>
      <c r="X650" s="60">
        <f>Pitchers[[#This Row],[Runs from WHIP]]-AVERAGEIFS(Pitchers[Runs from WHIP],Pitchers[GS],"&gt;"&amp;0,Pitchers[IP],"&gt;"&amp;3)</f>
        <v>3.7275333722530819</v>
      </c>
      <c r="Y650" s="60">
        <f>IF(Pitchers[[#This Row],[IP/GS]]&lt;&gt;0,Pitchers[[#This Row],[ER/IP From Average]]*Pitchers[[#This Row],[IP/GS]],Pitchers[[#This Row],[ER/IP From Average]]*(Pitchers[[#This Row],[IP]]/Pitchers[[#This Row],[G]]))</f>
        <v>7.4561921486489835</v>
      </c>
      <c r="Z650" s="60">
        <f t="shared" si="44"/>
        <v>3.9764857587270819</v>
      </c>
      <c r="AA650" s="32">
        <f>IF(Pitchers[[#This Row],[W]]=0,0,Pitchers[[#This Row],[W]]/(Pitchers[[#This Row],[W]]+Pitchers[[#This Row],[L]]))</f>
        <v>0</v>
      </c>
      <c r="AB650" s="60"/>
    </row>
    <row r="651" spans="1:28" x14ac:dyDescent="0.25">
      <c r="A651" t="s">
        <v>639</v>
      </c>
      <c r="B651" t="s">
        <v>1</v>
      </c>
      <c r="C651">
        <v>15</v>
      </c>
      <c r="D651">
        <v>0</v>
      </c>
      <c r="E651">
        <v>0</v>
      </c>
      <c r="F651">
        <v>0</v>
      </c>
      <c r="G651">
        <v>13.2</v>
      </c>
      <c r="H651">
        <v>14</v>
      </c>
      <c r="I651">
        <v>8</v>
      </c>
      <c r="J651">
        <v>17</v>
      </c>
      <c r="K651">
        <v>8</v>
      </c>
      <c r="L651">
        <v>6</v>
      </c>
      <c r="M651">
        <v>2</v>
      </c>
      <c r="N651">
        <v>2</v>
      </c>
      <c r="O651">
        <v>3</v>
      </c>
      <c r="P651">
        <v>3</v>
      </c>
      <c r="Q651">
        <v>0</v>
      </c>
      <c r="R651">
        <v>5.27</v>
      </c>
      <c r="S651">
        <v>1.61</v>
      </c>
      <c r="T651">
        <f t="shared" si="42"/>
        <v>0</v>
      </c>
      <c r="U651">
        <f t="shared" si="43"/>
        <v>0.60606060606060608</v>
      </c>
      <c r="V651" s="60">
        <f>U651-AVERAGEIFS(Pitchers[ER/IP],Pitchers[GS],"&gt;"&amp;0,Pitchers[IP],"&gt;"&amp;3)</f>
        <v>3.4560011261286605E-2</v>
      </c>
      <c r="W651" s="60">
        <f>IF(Pitchers[[#This Row],[IP/GS]]&lt;&gt;0,(Pitchers[[#This Row],[WHIP]]*$AH$5+$AI$5)/9*Pitchers[[#This Row],[IP/GS]],(Pitchers[[#This Row],[WHIP]]*$AH$5+$AI$5)/9*(Pitchers[[#This Row],[IP]]/Pitchers[[#This Row],[G]]))</f>
        <v>0.55903220096980344</v>
      </c>
      <c r="X651" s="60">
        <f>Pitchers[[#This Row],[Runs from WHIP]]-AVERAGEIFS(Pitchers[Runs from WHIP],Pitchers[GS],"&gt;"&amp;0,Pitchers[IP],"&gt;"&amp;3)</f>
        <v>-5.1268837051550555</v>
      </c>
      <c r="Y651" s="60">
        <f>IF(Pitchers[[#This Row],[IP/GS]]&lt;&gt;0,Pitchers[[#This Row],[ER/IP From Average]]*Pitchers[[#This Row],[IP/GS]],Pitchers[[#This Row],[ER/IP From Average]]*(Pitchers[[#This Row],[IP]]/Pitchers[[#This Row],[G]]))</f>
        <v>3.0412809909932212E-2</v>
      </c>
      <c r="Z651" s="60">
        <f t="shared" si="44"/>
        <v>-1.3550038640773749</v>
      </c>
      <c r="AA651" s="32">
        <f>IF(Pitchers[[#This Row],[W]]=0,0,Pitchers[[#This Row],[W]]/(Pitchers[[#This Row],[W]]+Pitchers[[#This Row],[L]]))</f>
        <v>0.5</v>
      </c>
      <c r="AB651" s="60"/>
    </row>
    <row r="652" spans="1:28" x14ac:dyDescent="0.25">
      <c r="A652" t="s">
        <v>1396</v>
      </c>
      <c r="B652" t="s">
        <v>361</v>
      </c>
      <c r="C652">
        <v>3</v>
      </c>
      <c r="D652">
        <v>3</v>
      </c>
      <c r="E652">
        <v>0</v>
      </c>
      <c r="F652">
        <v>0</v>
      </c>
      <c r="G652">
        <v>13.1</v>
      </c>
      <c r="H652">
        <v>24</v>
      </c>
      <c r="I652">
        <v>14</v>
      </c>
      <c r="J652">
        <v>7</v>
      </c>
      <c r="K652">
        <v>7</v>
      </c>
      <c r="L652">
        <v>3</v>
      </c>
      <c r="M652">
        <v>0</v>
      </c>
      <c r="N652">
        <v>2</v>
      </c>
      <c r="O652">
        <v>0</v>
      </c>
      <c r="P652">
        <v>0</v>
      </c>
      <c r="Q652">
        <v>0</v>
      </c>
      <c r="R652">
        <v>9.4499999999999993</v>
      </c>
      <c r="S652">
        <v>2.33</v>
      </c>
      <c r="T652">
        <f t="shared" si="42"/>
        <v>4.3666666666666663</v>
      </c>
      <c r="U652">
        <f t="shared" si="43"/>
        <v>1.0687022900763359</v>
      </c>
      <c r="V652" s="60">
        <f>U652-AVERAGEIFS(Pitchers[ER/IP],Pitchers[GS],"&gt;"&amp;0,Pitchers[IP],"&gt;"&amp;3)</f>
        <v>0.49720169527701641</v>
      </c>
      <c r="W652" s="60">
        <f>IF(Pitchers[[#This Row],[IP/GS]]&lt;&gt;0,(Pitchers[[#This Row],[WHIP]]*$AH$5+$AI$5)/9*Pitchers[[#This Row],[IP/GS]],(Pitchers[[#This Row],[WHIP]]*$AH$5+$AI$5)/9*(Pitchers[[#This Row],[IP]]/Pitchers[[#This Row],[G]]))</f>
        <v>4.4062713676831526</v>
      </c>
      <c r="X652" s="60">
        <f>Pitchers[[#This Row],[Runs from WHIP]]-AVERAGEIFS(Pitchers[Runs from WHIP],Pitchers[GS],"&gt;"&amp;0,Pitchers[IP],"&gt;"&amp;3)</f>
        <v>-1.2796445384417066</v>
      </c>
      <c r="Y652" s="60">
        <f>IF(Pitchers[[#This Row],[IP/GS]]&lt;&gt;0,Pitchers[[#This Row],[ER/IP From Average]]*Pitchers[[#This Row],[IP/GS]],Pitchers[[#This Row],[ER/IP From Average]]*(Pitchers[[#This Row],[IP]]/Pitchers[[#This Row],[G]]))</f>
        <v>2.1711140693763049</v>
      </c>
      <c r="Z652" s="60">
        <f t="shared" si="44"/>
        <v>0.52720708416606687</v>
      </c>
      <c r="AA652" s="32">
        <f>IF(Pitchers[[#This Row],[W]]=0,0,Pitchers[[#This Row],[W]]/(Pitchers[[#This Row],[W]]+Pitchers[[#This Row],[L]]))</f>
        <v>0</v>
      </c>
      <c r="AB652" s="60"/>
    </row>
    <row r="653" spans="1:28" x14ac:dyDescent="0.25">
      <c r="A653" t="s">
        <v>591</v>
      </c>
      <c r="B653" t="s">
        <v>361</v>
      </c>
      <c r="C653">
        <v>3</v>
      </c>
      <c r="D653">
        <v>3</v>
      </c>
      <c r="E653">
        <v>0</v>
      </c>
      <c r="F653">
        <v>0</v>
      </c>
      <c r="G653">
        <v>13.1</v>
      </c>
      <c r="H653">
        <v>19</v>
      </c>
      <c r="I653">
        <v>14</v>
      </c>
      <c r="J653">
        <v>5</v>
      </c>
      <c r="K653">
        <v>6</v>
      </c>
      <c r="L653">
        <v>6</v>
      </c>
      <c r="M653">
        <v>0</v>
      </c>
      <c r="N653">
        <v>2</v>
      </c>
      <c r="O653">
        <v>0</v>
      </c>
      <c r="P653">
        <v>0</v>
      </c>
      <c r="Q653">
        <v>0</v>
      </c>
      <c r="R653">
        <v>9.4499999999999993</v>
      </c>
      <c r="S653">
        <v>1.88</v>
      </c>
      <c r="T653">
        <f t="shared" si="42"/>
        <v>4.3666666666666663</v>
      </c>
      <c r="U653">
        <f t="shared" si="43"/>
        <v>1.0687022900763359</v>
      </c>
      <c r="V653" s="60">
        <f>U653-AVERAGEIFS(Pitchers[ER/IP],Pitchers[GS],"&gt;"&amp;0,Pitchers[IP],"&gt;"&amp;3)</f>
        <v>0.49720169527701641</v>
      </c>
      <c r="W653" s="60">
        <f>IF(Pitchers[[#This Row],[IP/GS]]&lt;&gt;0,(Pitchers[[#This Row],[WHIP]]*$AH$5+$AI$5)/9*Pitchers[[#This Row],[IP/GS]],(Pitchers[[#This Row],[WHIP]]*$AH$5+$AI$5)/9*(Pitchers[[#This Row],[IP]]/Pitchers[[#This Row],[G]]))</f>
        <v>3.3860927270631005</v>
      </c>
      <c r="X653" s="60">
        <f>Pitchers[[#This Row],[Runs from WHIP]]-AVERAGEIFS(Pitchers[Runs from WHIP],Pitchers[GS],"&gt;"&amp;0,Pitchers[IP],"&gt;"&amp;3)</f>
        <v>-2.2998231790617587</v>
      </c>
      <c r="Y653" s="60">
        <f>IF(Pitchers[[#This Row],[IP/GS]]&lt;&gt;0,Pitchers[[#This Row],[ER/IP From Average]]*Pitchers[[#This Row],[IP/GS]],Pitchers[[#This Row],[ER/IP From Average]]*(Pitchers[[#This Row],[IP]]/Pitchers[[#This Row],[G]]))</f>
        <v>2.1711140693763049</v>
      </c>
      <c r="Z653" s="60">
        <f t="shared" si="44"/>
        <v>0.25515944666738632</v>
      </c>
      <c r="AA653" s="32">
        <f>IF(Pitchers[[#This Row],[W]]=0,0,Pitchers[[#This Row],[W]]/(Pitchers[[#This Row],[W]]+Pitchers[[#This Row],[L]]))</f>
        <v>0</v>
      </c>
      <c r="AB653" s="60"/>
    </row>
    <row r="654" spans="1:28" x14ac:dyDescent="0.25">
      <c r="A654" t="s">
        <v>461</v>
      </c>
      <c r="B654" t="s">
        <v>8</v>
      </c>
      <c r="C654">
        <v>10</v>
      </c>
      <c r="D654">
        <v>0</v>
      </c>
      <c r="E654">
        <v>0</v>
      </c>
      <c r="F654">
        <v>0</v>
      </c>
      <c r="G654">
        <v>13.1</v>
      </c>
      <c r="H654">
        <v>20</v>
      </c>
      <c r="I654">
        <v>14</v>
      </c>
      <c r="J654">
        <v>14</v>
      </c>
      <c r="K654">
        <v>7</v>
      </c>
      <c r="L654">
        <v>5</v>
      </c>
      <c r="M654">
        <v>0</v>
      </c>
      <c r="N654">
        <v>1</v>
      </c>
      <c r="O654">
        <v>1</v>
      </c>
      <c r="P654">
        <v>1</v>
      </c>
      <c r="Q654">
        <v>0</v>
      </c>
      <c r="R654">
        <v>9.4499999999999993</v>
      </c>
      <c r="S654">
        <v>2.0299999999999998</v>
      </c>
      <c r="T654">
        <f t="shared" si="42"/>
        <v>0</v>
      </c>
      <c r="U654">
        <f t="shared" si="43"/>
        <v>1.0687022900763359</v>
      </c>
      <c r="V654" s="60">
        <f>U654-AVERAGEIFS(Pitchers[ER/IP],Pitchers[GS],"&gt;"&amp;0,Pitchers[IP],"&gt;"&amp;3)</f>
        <v>0.49720169527701641</v>
      </c>
      <c r="W654" s="60">
        <f>IF(Pitchers[[#This Row],[IP/GS]]&lt;&gt;0,(Pitchers[[#This Row],[WHIP]]*$AH$5+$AI$5)/9*Pitchers[[#This Row],[IP/GS]],(Pitchers[[#This Row],[WHIP]]*$AH$5+$AI$5)/9*(Pitchers[[#This Row],[IP]]/Pitchers[[#This Row],[G]]))</f>
        <v>1.1178456821809355</v>
      </c>
      <c r="X654" s="60">
        <f>Pitchers[[#This Row],[Runs from WHIP]]-AVERAGEIFS(Pitchers[Runs from WHIP],Pitchers[GS],"&gt;"&amp;0,Pitchers[IP],"&gt;"&amp;3)</f>
        <v>-4.5680702239439235</v>
      </c>
      <c r="Y654" s="60">
        <f>IF(Pitchers[[#This Row],[IP/GS]]&lt;&gt;0,Pitchers[[#This Row],[ER/IP From Average]]*Pitchers[[#This Row],[IP/GS]],Pitchers[[#This Row],[ER/IP From Average]]*(Pitchers[[#This Row],[IP]]/Pitchers[[#This Row],[G]]))</f>
        <v>0.6513342208128915</v>
      </c>
      <c r="Z654" s="60">
        <f t="shared" si="44"/>
        <v>-0.95761837139322292</v>
      </c>
      <c r="AA654" s="32">
        <f>IF(Pitchers[[#This Row],[W]]=0,0,Pitchers[[#This Row],[W]]/(Pitchers[[#This Row],[W]]+Pitchers[[#This Row],[L]]))</f>
        <v>0</v>
      </c>
      <c r="AB654" s="60"/>
    </row>
    <row r="655" spans="1:28" x14ac:dyDescent="0.25">
      <c r="A655" t="s">
        <v>4132</v>
      </c>
      <c r="B655" t="s">
        <v>19</v>
      </c>
      <c r="C655">
        <v>9</v>
      </c>
      <c r="D655">
        <v>1</v>
      </c>
      <c r="E655">
        <v>0</v>
      </c>
      <c r="F655">
        <v>0</v>
      </c>
      <c r="G655">
        <v>13.1</v>
      </c>
      <c r="H655">
        <v>6</v>
      </c>
      <c r="I655">
        <v>4</v>
      </c>
      <c r="J655">
        <v>12</v>
      </c>
      <c r="K655">
        <v>3</v>
      </c>
      <c r="L655">
        <v>3</v>
      </c>
      <c r="M655">
        <v>1</v>
      </c>
      <c r="N655">
        <v>0</v>
      </c>
      <c r="O655">
        <v>0</v>
      </c>
      <c r="P655">
        <v>0</v>
      </c>
      <c r="Q655">
        <v>0</v>
      </c>
      <c r="R655">
        <v>2.7</v>
      </c>
      <c r="S655">
        <v>0.68</v>
      </c>
      <c r="T655">
        <f t="shared" si="42"/>
        <v>13.1</v>
      </c>
      <c r="U655">
        <f t="shared" si="43"/>
        <v>0.30534351145038169</v>
      </c>
      <c r="V655" s="60">
        <f>U655-AVERAGEIFS(Pitchers[ER/IP],Pitchers[GS],"&gt;"&amp;0,Pitchers[IP],"&gt;"&amp;3)</f>
        <v>-0.26615708334893778</v>
      </c>
      <c r="W655" s="60">
        <f>IF(Pitchers[[#This Row],[IP/GS]]&lt;&gt;0,(Pitchers[[#This Row],[WHIP]]*$AH$5+$AI$5)/9*Pitchers[[#This Row],[IP/GS]],(Pitchers[[#This Row],[WHIP]]*$AH$5+$AI$5)/9*(Pitchers[[#This Row],[IP]]/Pitchers[[#This Row],[G]]))</f>
        <v>1.9968490562288888</v>
      </c>
      <c r="X655" s="60">
        <f>Pitchers[[#This Row],[Runs from WHIP]]-AVERAGEIFS(Pitchers[Runs from WHIP],Pitchers[GS],"&gt;"&amp;0,Pitchers[IP],"&gt;"&amp;3)</f>
        <v>-3.6890668498959704</v>
      </c>
      <c r="Y655" s="60">
        <f>IF(Pitchers[[#This Row],[IP/GS]]&lt;&gt;0,Pitchers[[#This Row],[ER/IP From Average]]*Pitchers[[#This Row],[IP/GS]],Pitchers[[#This Row],[ER/IP From Average]]*(Pitchers[[#This Row],[IP]]/Pitchers[[#This Row],[G]]))</f>
        <v>-3.4866577918710848</v>
      </c>
      <c r="Z655" s="60">
        <f t="shared" si="44"/>
        <v>-2.3784142767206924</v>
      </c>
      <c r="AA655" s="32">
        <f>IF(Pitchers[[#This Row],[W]]=0,0,Pitchers[[#This Row],[W]]/(Pitchers[[#This Row],[W]]+Pitchers[[#This Row],[L]]))</f>
        <v>1</v>
      </c>
      <c r="AB655" s="60"/>
    </row>
    <row r="656" spans="1:28" x14ac:dyDescent="0.25">
      <c r="A656" t="s">
        <v>4121</v>
      </c>
      <c r="B656" t="s">
        <v>219</v>
      </c>
      <c r="C656">
        <v>21</v>
      </c>
      <c r="D656">
        <v>0</v>
      </c>
      <c r="E656">
        <v>0</v>
      </c>
      <c r="F656">
        <v>0</v>
      </c>
      <c r="G656">
        <v>13</v>
      </c>
      <c r="H656">
        <v>9</v>
      </c>
      <c r="I656">
        <v>6</v>
      </c>
      <c r="J656">
        <v>9</v>
      </c>
      <c r="K656">
        <v>3</v>
      </c>
      <c r="L656">
        <v>2</v>
      </c>
      <c r="M656">
        <v>0</v>
      </c>
      <c r="N656">
        <v>2</v>
      </c>
      <c r="O656">
        <v>0</v>
      </c>
      <c r="P656">
        <v>0</v>
      </c>
      <c r="Q656">
        <v>8</v>
      </c>
      <c r="R656">
        <v>4.1500000000000004</v>
      </c>
      <c r="S656">
        <v>0.92</v>
      </c>
      <c r="T656">
        <f t="shared" si="42"/>
        <v>0</v>
      </c>
      <c r="U656">
        <f t="shared" si="43"/>
        <v>0.46153846153846156</v>
      </c>
      <c r="V656" s="60">
        <f>U656-AVERAGEIFS(Pitchers[ER/IP],Pitchers[GS],"&gt;"&amp;0,Pitchers[IP],"&gt;"&amp;3)</f>
        <v>-0.10996213326085791</v>
      </c>
      <c r="W656" s="60">
        <f>IF(Pitchers[[#This Row],[IP/GS]]&lt;&gt;0,(Pitchers[[#This Row],[WHIP]]*$AH$5+$AI$5)/9*Pitchers[[#This Row],[IP/GS]],(Pitchers[[#This Row],[WHIP]]*$AH$5+$AI$5)/9*(Pitchers[[#This Row],[IP]]/Pitchers[[#This Row],[G]]))</f>
        <v>0.17149674102461879</v>
      </c>
      <c r="X656" s="60">
        <f>Pitchers[[#This Row],[Runs from WHIP]]-AVERAGEIFS(Pitchers[Runs from WHIP],Pitchers[GS],"&gt;"&amp;0,Pitchers[IP],"&gt;"&amp;3)</f>
        <v>-5.5144191651002403</v>
      </c>
      <c r="Y656" s="60">
        <f>IF(Pitchers[[#This Row],[IP/GS]]&lt;&gt;0,Pitchers[[#This Row],[ER/IP From Average]]*Pitchers[[#This Row],[IP/GS]],Pitchers[[#This Row],[ER/IP From Average]]*(Pitchers[[#This Row],[IP]]/Pitchers[[#This Row],[G]]))</f>
        <v>-6.8071796780531088E-2</v>
      </c>
      <c r="Z656" s="60">
        <f t="shared" si="44"/>
        <v>-1.4977404960722767</v>
      </c>
      <c r="AA656" s="32">
        <f>IF(Pitchers[[#This Row],[W]]=0,0,Pitchers[[#This Row],[W]]/(Pitchers[[#This Row],[W]]+Pitchers[[#This Row],[L]]))</f>
        <v>0</v>
      </c>
      <c r="AB656" s="60"/>
    </row>
    <row r="657" spans="1:28" x14ac:dyDescent="0.25">
      <c r="A657" t="s">
        <v>4135</v>
      </c>
      <c r="B657" t="s">
        <v>2</v>
      </c>
      <c r="C657">
        <v>13</v>
      </c>
      <c r="D657">
        <v>0</v>
      </c>
      <c r="E657">
        <v>0</v>
      </c>
      <c r="F657">
        <v>0</v>
      </c>
      <c r="G657">
        <v>13</v>
      </c>
      <c r="H657">
        <v>16</v>
      </c>
      <c r="I657">
        <v>9</v>
      </c>
      <c r="J657">
        <v>19</v>
      </c>
      <c r="K657">
        <v>4</v>
      </c>
      <c r="L657">
        <v>3</v>
      </c>
      <c r="M657">
        <v>2</v>
      </c>
      <c r="N657">
        <v>0</v>
      </c>
      <c r="O657">
        <v>0</v>
      </c>
      <c r="P657">
        <v>1</v>
      </c>
      <c r="Q657">
        <v>1</v>
      </c>
      <c r="R657">
        <v>6.23</v>
      </c>
      <c r="S657">
        <v>1.54</v>
      </c>
      <c r="T657">
        <f t="shared" si="42"/>
        <v>0</v>
      </c>
      <c r="U657">
        <f t="shared" si="43"/>
        <v>0.69230769230769229</v>
      </c>
      <c r="V657" s="60">
        <f>U657-AVERAGEIFS(Pitchers[ER/IP],Pitchers[GS],"&gt;"&amp;0,Pitchers[IP],"&gt;"&amp;3)</f>
        <v>0.12080709750837282</v>
      </c>
      <c r="W657" s="60">
        <f>IF(Pitchers[[#This Row],[IP/GS]]&lt;&gt;0,(Pitchers[[#This Row],[WHIP]]*$AH$5+$AI$5)/9*Pitchers[[#This Row],[IP/GS]],(Pitchers[[#This Row],[WHIP]]*$AH$5+$AI$5)/9*(Pitchers[[#This Row],[IP]]/Pitchers[[#This Row],[G]]))</f>
        <v>0.59892162308782593</v>
      </c>
      <c r="X657" s="60">
        <f>Pitchers[[#This Row],[Runs from WHIP]]-AVERAGEIFS(Pitchers[Runs from WHIP],Pitchers[GS],"&gt;"&amp;0,Pitchers[IP],"&gt;"&amp;3)</f>
        <v>-5.0869942830370336</v>
      </c>
      <c r="Y657" s="60">
        <f>IF(Pitchers[[#This Row],[IP/GS]]&lt;&gt;0,Pitchers[[#This Row],[ER/IP From Average]]*Pitchers[[#This Row],[IP/GS]],Pitchers[[#This Row],[ER/IP From Average]]*(Pitchers[[#This Row],[IP]]/Pitchers[[#This Row],[G]]))</f>
        <v>0.12080709750837282</v>
      </c>
      <c r="Z657" s="60">
        <f t="shared" si="44"/>
        <v>-1.3082089698065269</v>
      </c>
      <c r="AA657" s="32">
        <f>IF(Pitchers[[#This Row],[W]]=0,0,Pitchers[[#This Row],[W]]/(Pitchers[[#This Row],[W]]+Pitchers[[#This Row],[L]]))</f>
        <v>1</v>
      </c>
      <c r="AB657" s="60"/>
    </row>
    <row r="658" spans="1:28" x14ac:dyDescent="0.25">
      <c r="A658" t="s">
        <v>570</v>
      </c>
      <c r="B658" t="s">
        <v>332</v>
      </c>
      <c r="C658">
        <v>15</v>
      </c>
      <c r="D658">
        <v>0</v>
      </c>
      <c r="E658">
        <v>0</v>
      </c>
      <c r="F658">
        <v>0</v>
      </c>
      <c r="G658">
        <v>13</v>
      </c>
      <c r="H658">
        <v>14</v>
      </c>
      <c r="I658">
        <v>12</v>
      </c>
      <c r="J658">
        <v>10</v>
      </c>
      <c r="K658">
        <v>11</v>
      </c>
      <c r="L658">
        <v>4</v>
      </c>
      <c r="M658">
        <v>0</v>
      </c>
      <c r="N658">
        <v>4</v>
      </c>
      <c r="O658">
        <v>0</v>
      </c>
      <c r="P658">
        <v>0</v>
      </c>
      <c r="Q658">
        <v>0</v>
      </c>
      <c r="R658">
        <v>8.31</v>
      </c>
      <c r="S658">
        <v>1.92</v>
      </c>
      <c r="T658">
        <f t="shared" si="42"/>
        <v>0</v>
      </c>
      <c r="U658">
        <f t="shared" si="43"/>
        <v>0.92307692307692313</v>
      </c>
      <c r="V658" s="60">
        <f>U658-AVERAGEIFS(Pitchers[ER/IP],Pitchers[GS],"&gt;"&amp;0,Pitchers[IP],"&gt;"&amp;3)</f>
        <v>0.35157632827760366</v>
      </c>
      <c r="W658" s="60">
        <f>IF(Pitchers[[#This Row],[IP/GS]]&lt;&gt;0,(Pitchers[[#This Row],[WHIP]]*$AH$5+$AI$5)/9*Pitchers[[#This Row],[IP/GS]],(Pitchers[[#This Row],[WHIP]]*$AH$5+$AI$5)/9*(Pitchers[[#This Row],[IP]]/Pitchers[[#This Row],[G]]))</f>
        <v>0.69004700072744929</v>
      </c>
      <c r="X658" s="60">
        <f>Pitchers[[#This Row],[Runs from WHIP]]-AVERAGEIFS(Pitchers[Runs from WHIP],Pitchers[GS],"&gt;"&amp;0,Pitchers[IP],"&gt;"&amp;3)</f>
        <v>-4.9958689053974101</v>
      </c>
      <c r="Y658" s="60">
        <f>IF(Pitchers[[#This Row],[IP/GS]]&lt;&gt;0,Pitchers[[#This Row],[ER/IP From Average]]*Pitchers[[#This Row],[IP/GS]],Pitchers[[#This Row],[ER/IP From Average]]*(Pitchers[[#This Row],[IP]]/Pitchers[[#This Row],[G]]))</f>
        <v>0.30469948450725653</v>
      </c>
      <c r="Z658" s="60">
        <f t="shared" si="44"/>
        <v>-1.2103519143030732</v>
      </c>
      <c r="AA658" s="32">
        <f>IF(Pitchers[[#This Row],[W]]=0,0,Pitchers[[#This Row],[W]]/(Pitchers[[#This Row],[W]]+Pitchers[[#This Row],[L]]))</f>
        <v>0</v>
      </c>
      <c r="AB658" s="60"/>
    </row>
    <row r="659" spans="1:28" x14ac:dyDescent="0.25">
      <c r="A659" t="s">
        <v>540</v>
      </c>
      <c r="B659" t="s">
        <v>7</v>
      </c>
      <c r="C659">
        <v>20</v>
      </c>
      <c r="D659">
        <v>0</v>
      </c>
      <c r="E659">
        <v>0</v>
      </c>
      <c r="F659">
        <v>0</v>
      </c>
      <c r="G659">
        <v>13</v>
      </c>
      <c r="H659">
        <v>9</v>
      </c>
      <c r="I659">
        <v>5</v>
      </c>
      <c r="J659">
        <v>13</v>
      </c>
      <c r="K659">
        <v>8</v>
      </c>
      <c r="L659">
        <v>1</v>
      </c>
      <c r="M659">
        <v>0</v>
      </c>
      <c r="N659">
        <v>0</v>
      </c>
      <c r="O659">
        <v>0</v>
      </c>
      <c r="P659">
        <v>0</v>
      </c>
      <c r="Q659">
        <v>2</v>
      </c>
      <c r="R659">
        <v>3.46</v>
      </c>
      <c r="S659">
        <v>1.31</v>
      </c>
      <c r="T659">
        <f t="shared" si="42"/>
        <v>0</v>
      </c>
      <c r="U659">
        <f t="shared" si="43"/>
        <v>0.38461538461538464</v>
      </c>
      <c r="V659" s="60">
        <f>U659-AVERAGEIFS(Pitchers[ER/IP],Pitchers[GS],"&gt;"&amp;0,Pitchers[IP],"&gt;"&amp;3)</f>
        <v>-0.18688521018393484</v>
      </c>
      <c r="W659" s="60">
        <f>IF(Pitchers[[#This Row],[IP/GS]]&lt;&gt;0,(Pitchers[[#This Row],[WHIP]]*$AH$5+$AI$5)/9*Pitchers[[#This Row],[IP/GS]],(Pitchers[[#This Row],[WHIP]]*$AH$5+$AI$5)/9*(Pitchers[[#This Row],[IP]]/Pitchers[[#This Row],[G]]))</f>
        <v>0.31168241033904731</v>
      </c>
      <c r="X659" s="60">
        <f>Pitchers[[#This Row],[Runs from WHIP]]-AVERAGEIFS(Pitchers[Runs from WHIP],Pitchers[GS],"&gt;"&amp;0,Pitchers[IP],"&gt;"&amp;3)</f>
        <v>-5.3742334957858118</v>
      </c>
      <c r="Y659" s="60">
        <f>IF(Pitchers[[#This Row],[IP/GS]]&lt;&gt;0,Pitchers[[#This Row],[ER/IP From Average]]*Pitchers[[#This Row],[IP/GS]],Pitchers[[#This Row],[ER/IP From Average]]*(Pitchers[[#This Row],[IP]]/Pitchers[[#This Row],[G]]))</f>
        <v>-0.12147538661955765</v>
      </c>
      <c r="Z659" s="60">
        <f t="shared" si="44"/>
        <v>-1.4817190868573729</v>
      </c>
      <c r="AA659" s="32">
        <f>IF(Pitchers[[#This Row],[W]]=0,0,Pitchers[[#This Row],[W]]/(Pitchers[[#This Row],[W]]+Pitchers[[#This Row],[L]]))</f>
        <v>0</v>
      </c>
      <c r="AB659" s="60"/>
    </row>
    <row r="660" spans="1:28" x14ac:dyDescent="0.25">
      <c r="A660" t="s">
        <v>1203</v>
      </c>
      <c r="B660" t="s">
        <v>6</v>
      </c>
      <c r="C660">
        <v>7</v>
      </c>
      <c r="D660">
        <v>0</v>
      </c>
      <c r="E660">
        <v>0</v>
      </c>
      <c r="F660">
        <v>0</v>
      </c>
      <c r="G660">
        <v>12.2</v>
      </c>
      <c r="H660">
        <v>16</v>
      </c>
      <c r="I660">
        <v>11</v>
      </c>
      <c r="J660">
        <v>14</v>
      </c>
      <c r="K660">
        <v>10</v>
      </c>
      <c r="L660">
        <v>3</v>
      </c>
      <c r="M660">
        <v>0</v>
      </c>
      <c r="N660">
        <v>1</v>
      </c>
      <c r="O660">
        <v>0</v>
      </c>
      <c r="P660">
        <v>0</v>
      </c>
      <c r="Q660">
        <v>0</v>
      </c>
      <c r="R660">
        <v>7.82</v>
      </c>
      <c r="S660">
        <v>2.0499999999999998</v>
      </c>
      <c r="T660">
        <f t="shared" si="42"/>
        <v>0</v>
      </c>
      <c r="U660">
        <f t="shared" si="43"/>
        <v>0.90163934426229508</v>
      </c>
      <c r="V660" s="60">
        <f>U660-AVERAGEIFS(Pitchers[ER/IP],Pitchers[GS],"&gt;"&amp;0,Pitchers[IP],"&gt;"&amp;3)</f>
        <v>0.33013874946297561</v>
      </c>
      <c r="W660" s="60">
        <f>IF(Pitchers[[#This Row],[IP/GS]]&lt;&gt;0,(Pitchers[[#This Row],[WHIP]]*$AH$5+$AI$5)/9*Pitchers[[#This Row],[IP/GS]],(Pitchers[[#This Row],[WHIP]]*$AH$5+$AI$5)/9*(Pitchers[[#This Row],[IP]]/Pitchers[[#This Row],[G]]))</f>
        <v>1.5053071299325633</v>
      </c>
      <c r="X660" s="60">
        <f>Pitchers[[#This Row],[Runs from WHIP]]-AVERAGEIFS(Pitchers[Runs from WHIP],Pitchers[GS],"&gt;"&amp;0,Pitchers[IP],"&gt;"&amp;3)</f>
        <v>-4.1806087761922957</v>
      </c>
      <c r="Y660" s="60">
        <f>IF(Pitchers[[#This Row],[IP/GS]]&lt;&gt;0,Pitchers[[#This Row],[ER/IP From Average]]*Pitchers[[#This Row],[IP/GS]],Pitchers[[#This Row],[ER/IP From Average]]*(Pitchers[[#This Row],[IP]]/Pitchers[[#This Row],[G]]))</f>
        <v>0.57538467763547174</v>
      </c>
      <c r="Z660" s="60">
        <f t="shared" si="44"/>
        <v>-0.88467513593042346</v>
      </c>
      <c r="AA660" s="32">
        <f>IF(Pitchers[[#This Row],[W]]=0,0,Pitchers[[#This Row],[W]]/(Pitchers[[#This Row],[W]]+Pitchers[[#This Row],[L]]))</f>
        <v>0</v>
      </c>
      <c r="AB660" s="60"/>
    </row>
    <row r="661" spans="1:28" x14ac:dyDescent="0.25">
      <c r="A661" t="s">
        <v>677</v>
      </c>
      <c r="B661" t="s">
        <v>19</v>
      </c>
      <c r="C661">
        <v>12</v>
      </c>
      <c r="D661">
        <v>0</v>
      </c>
      <c r="E661">
        <v>0</v>
      </c>
      <c r="F661">
        <v>0</v>
      </c>
      <c r="G661">
        <v>12.2</v>
      </c>
      <c r="H661">
        <v>11</v>
      </c>
      <c r="I661">
        <v>11</v>
      </c>
      <c r="J661">
        <v>10</v>
      </c>
      <c r="K661">
        <v>15</v>
      </c>
      <c r="L661">
        <v>5</v>
      </c>
      <c r="M661">
        <v>0</v>
      </c>
      <c r="N661">
        <v>0</v>
      </c>
      <c r="O661">
        <v>1</v>
      </c>
      <c r="P661">
        <v>0</v>
      </c>
      <c r="Q661">
        <v>0</v>
      </c>
      <c r="R661">
        <v>7.82</v>
      </c>
      <c r="S661">
        <v>2.0499999999999998</v>
      </c>
      <c r="T661">
        <f t="shared" si="42"/>
        <v>0</v>
      </c>
      <c r="U661">
        <f t="shared" si="43"/>
        <v>0.90163934426229508</v>
      </c>
      <c r="V661" s="60">
        <f>U661-AVERAGEIFS(Pitchers[ER/IP],Pitchers[GS],"&gt;"&amp;0,Pitchers[IP],"&gt;"&amp;3)</f>
        <v>0.33013874946297561</v>
      </c>
      <c r="W661" s="60">
        <f>IF(Pitchers[[#This Row],[IP/GS]]&lt;&gt;0,(Pitchers[[#This Row],[WHIP]]*$AH$5+$AI$5)/9*Pitchers[[#This Row],[IP/GS]],(Pitchers[[#This Row],[WHIP]]*$AH$5+$AI$5)/9*(Pitchers[[#This Row],[IP]]/Pitchers[[#This Row],[G]]))</f>
        <v>0.87809582579399525</v>
      </c>
      <c r="X661" s="60">
        <f>Pitchers[[#This Row],[Runs from WHIP]]-AVERAGEIFS(Pitchers[Runs from WHIP],Pitchers[GS],"&gt;"&amp;0,Pitchers[IP],"&gt;"&amp;3)</f>
        <v>-4.8078200803308642</v>
      </c>
      <c r="Y661" s="60">
        <f>IF(Pitchers[[#This Row],[IP/GS]]&lt;&gt;0,Pitchers[[#This Row],[ER/IP From Average]]*Pitchers[[#This Row],[IP/GS]],Pitchers[[#This Row],[ER/IP From Average]]*(Pitchers[[#This Row],[IP]]/Pitchers[[#This Row],[G]]))</f>
        <v>0.33564106195402521</v>
      </c>
      <c r="Z661" s="60">
        <f t="shared" si="44"/>
        <v>-1.1478289299732871</v>
      </c>
      <c r="AA661" s="32">
        <f>IF(Pitchers[[#This Row],[W]]=0,0,Pitchers[[#This Row],[W]]/(Pitchers[[#This Row],[W]]+Pitchers[[#This Row],[L]]))</f>
        <v>0</v>
      </c>
      <c r="AB661" s="60"/>
    </row>
    <row r="662" spans="1:28" x14ac:dyDescent="0.25">
      <c r="A662" t="s">
        <v>1482</v>
      </c>
      <c r="B662" t="s">
        <v>19</v>
      </c>
      <c r="C662">
        <v>9</v>
      </c>
      <c r="D662">
        <v>0</v>
      </c>
      <c r="E662">
        <v>0</v>
      </c>
      <c r="F662">
        <v>0</v>
      </c>
      <c r="G662">
        <v>12.1</v>
      </c>
      <c r="H662">
        <v>11</v>
      </c>
      <c r="I662">
        <v>7</v>
      </c>
      <c r="J662">
        <v>14</v>
      </c>
      <c r="K662">
        <v>8</v>
      </c>
      <c r="L662">
        <v>1</v>
      </c>
      <c r="M662">
        <v>1</v>
      </c>
      <c r="N662">
        <v>1</v>
      </c>
      <c r="O662">
        <v>0</v>
      </c>
      <c r="P662">
        <v>0</v>
      </c>
      <c r="Q662">
        <v>0</v>
      </c>
      <c r="R662">
        <v>5.1100000000000003</v>
      </c>
      <c r="S662">
        <v>1.54</v>
      </c>
      <c r="T662">
        <f t="shared" si="42"/>
        <v>0</v>
      </c>
      <c r="U662">
        <f t="shared" si="43"/>
        <v>0.57851239669421495</v>
      </c>
      <c r="V662" s="60">
        <f>U662-AVERAGEIFS(Pitchers[ER/IP],Pitchers[GS],"&gt;"&amp;0,Pitchers[IP],"&gt;"&amp;3)</f>
        <v>7.0118018948954752E-3</v>
      </c>
      <c r="W662" s="60">
        <f>IF(Pitchers[[#This Row],[IP/GS]]&lt;&gt;0,(Pitchers[[#This Row],[WHIP]]*$AH$5+$AI$5)/9*Pitchers[[#This Row],[IP/GS]],(Pitchers[[#This Row],[WHIP]]*$AH$5+$AI$5)/9*(Pitchers[[#This Row],[IP]]/Pitchers[[#This Row],[G]]))</f>
        <v>0.80521684881807698</v>
      </c>
      <c r="X662" s="60">
        <f>Pitchers[[#This Row],[Runs from WHIP]]-AVERAGEIFS(Pitchers[Runs from WHIP],Pitchers[GS],"&gt;"&amp;0,Pitchers[IP],"&gt;"&amp;3)</f>
        <v>-4.8806990573067823</v>
      </c>
      <c r="Y662" s="60">
        <f>IF(Pitchers[[#This Row],[IP/GS]]&lt;&gt;0,Pitchers[[#This Row],[ER/IP From Average]]*Pitchers[[#This Row],[IP/GS]],Pitchers[[#This Row],[ER/IP From Average]]*(Pitchers[[#This Row],[IP]]/Pitchers[[#This Row],[G]]))</f>
        <v>9.4269781031372495E-3</v>
      </c>
      <c r="Z662" s="60">
        <f t="shared" si="44"/>
        <v>-1.297748957373887</v>
      </c>
      <c r="AA662" s="32">
        <f>IF(Pitchers[[#This Row],[W]]=0,0,Pitchers[[#This Row],[W]]/(Pitchers[[#This Row],[W]]+Pitchers[[#This Row],[L]]))</f>
        <v>0.5</v>
      </c>
      <c r="AB662" s="60"/>
    </row>
    <row r="663" spans="1:28" x14ac:dyDescent="0.25">
      <c r="A663" t="s">
        <v>1407</v>
      </c>
      <c r="B663" t="s">
        <v>218</v>
      </c>
      <c r="C663">
        <v>13</v>
      </c>
      <c r="D663">
        <v>0</v>
      </c>
      <c r="E663">
        <v>0</v>
      </c>
      <c r="F663">
        <v>0</v>
      </c>
      <c r="G663">
        <v>12.1</v>
      </c>
      <c r="H663">
        <v>17</v>
      </c>
      <c r="I663">
        <v>7</v>
      </c>
      <c r="J663">
        <v>13</v>
      </c>
      <c r="K663">
        <v>3</v>
      </c>
      <c r="L663">
        <v>1</v>
      </c>
      <c r="M663">
        <v>2</v>
      </c>
      <c r="N663">
        <v>1</v>
      </c>
      <c r="O663">
        <v>2</v>
      </c>
      <c r="P663">
        <v>0</v>
      </c>
      <c r="Q663">
        <v>3</v>
      </c>
      <c r="R663">
        <v>5.1100000000000003</v>
      </c>
      <c r="S663">
        <v>1.62</v>
      </c>
      <c r="T663">
        <f t="shared" ref="T663:T672" si="45">IF(D663=0,0,G663/D663)</f>
        <v>0</v>
      </c>
      <c r="U663">
        <f t="shared" ref="U663:U672" si="46">IF(G663=0,0,I663/G663)</f>
        <v>0.57851239669421495</v>
      </c>
      <c r="V663" s="60">
        <f>U663-AVERAGEIFS(Pitchers[ER/IP],Pitchers[GS],"&gt;"&amp;0,Pitchers[IP],"&gt;"&amp;3)</f>
        <v>7.0118018948954752E-3</v>
      </c>
      <c r="W663" s="60">
        <f>IF(Pitchers[[#This Row],[IP/GS]]&lt;&gt;0,(Pitchers[[#This Row],[WHIP]]*$AH$5+$AI$5)/9*Pitchers[[#This Row],[IP/GS]],(Pitchers[[#This Row],[WHIP]]*$AH$5+$AI$5)/9*(Pitchers[[#This Row],[IP]]/Pitchers[[#This Row],[G]]))</f>
        <v>0.59611637876171097</v>
      </c>
      <c r="X663" s="60">
        <f>Pitchers[[#This Row],[Runs from WHIP]]-AVERAGEIFS(Pitchers[Runs from WHIP],Pitchers[GS],"&gt;"&amp;0,Pitchers[IP],"&gt;"&amp;3)</f>
        <v>-5.089799527363148</v>
      </c>
      <c r="Y663" s="60">
        <f>IF(Pitchers[[#This Row],[IP/GS]]&lt;&gt;0,Pitchers[[#This Row],[ER/IP From Average]]*Pitchers[[#This Row],[IP/GS]],Pitchers[[#This Row],[ER/IP From Average]]*(Pitchers[[#This Row],[IP]]/Pitchers[[#This Row],[G]]))</f>
        <v>6.5263694560180963E-3</v>
      </c>
      <c r="Z663" s="60">
        <f t="shared" ref="Z663:Z672" si="47">AVERAGE(X663,X663,Y663,Y663,Y663)/1.5</f>
        <v>-1.3546693261810987</v>
      </c>
      <c r="AA663" s="32">
        <f>IF(Pitchers[[#This Row],[W]]=0,0,Pitchers[[#This Row],[W]]/(Pitchers[[#This Row],[W]]+Pitchers[[#This Row],[L]]))</f>
        <v>0.66666666666666663</v>
      </c>
      <c r="AB663" s="60"/>
    </row>
    <row r="664" spans="1:28" x14ac:dyDescent="0.25">
      <c r="A664" t="s">
        <v>4124</v>
      </c>
      <c r="B664" t="s">
        <v>1</v>
      </c>
      <c r="C664">
        <v>17</v>
      </c>
      <c r="D664">
        <v>0</v>
      </c>
      <c r="E664">
        <v>0</v>
      </c>
      <c r="F664">
        <v>0</v>
      </c>
      <c r="G664">
        <v>12.1</v>
      </c>
      <c r="H664">
        <v>10</v>
      </c>
      <c r="I664">
        <v>5</v>
      </c>
      <c r="J664">
        <v>7</v>
      </c>
      <c r="K664">
        <v>3</v>
      </c>
      <c r="L664">
        <v>2</v>
      </c>
      <c r="M664">
        <v>0</v>
      </c>
      <c r="N664">
        <v>0</v>
      </c>
      <c r="O664">
        <v>0</v>
      </c>
      <c r="P664">
        <v>2</v>
      </c>
      <c r="Q664">
        <v>3</v>
      </c>
      <c r="R664">
        <v>3.65</v>
      </c>
      <c r="S664">
        <v>1.05</v>
      </c>
      <c r="T664">
        <f t="shared" si="45"/>
        <v>0</v>
      </c>
      <c r="U664">
        <f t="shared" si="46"/>
        <v>0.41322314049586778</v>
      </c>
      <c r="V664" s="60">
        <f>U664-AVERAGEIFS(Pitchers[ER/IP],Pitchers[GS],"&gt;"&amp;0,Pitchers[IP],"&gt;"&amp;3)</f>
        <v>-0.15827745430345169</v>
      </c>
      <c r="W664" s="60">
        <f>IF(Pitchers[[#This Row],[IP/GS]]&lt;&gt;0,(Pitchers[[#This Row],[WHIP]]*$AH$5+$AI$5)/9*Pitchers[[#This Row],[IP/GS]],(Pitchers[[#This Row],[WHIP]]*$AH$5+$AI$5)/9*(Pitchers[[#This Row],[IP]]/Pitchers[[#This Row],[G]]))</f>
        <v>0.24522139832693926</v>
      </c>
      <c r="X664" s="60">
        <f>Pitchers[[#This Row],[Runs from WHIP]]-AVERAGEIFS(Pitchers[Runs from WHIP],Pitchers[GS],"&gt;"&amp;0,Pitchers[IP],"&gt;"&amp;3)</f>
        <v>-5.4406945077979199</v>
      </c>
      <c r="Y664" s="60">
        <f>IF(Pitchers[[#This Row],[IP/GS]]&lt;&gt;0,Pitchers[[#This Row],[ER/IP From Average]]*Pitchers[[#This Row],[IP/GS]],Pitchers[[#This Row],[ER/IP From Average]]*(Pitchers[[#This Row],[IP]]/Pitchers[[#This Row],[G]]))</f>
        <v>-0.11265630571010385</v>
      </c>
      <c r="Z664" s="60">
        <f t="shared" si="47"/>
        <v>-1.4959143910301533</v>
      </c>
      <c r="AA664" s="32">
        <f>IF(Pitchers[[#This Row],[W]]=0,0,Pitchers[[#This Row],[W]]/(Pitchers[[#This Row],[W]]+Pitchers[[#This Row],[L]]))</f>
        <v>0</v>
      </c>
      <c r="AB664" s="60"/>
    </row>
    <row r="665" spans="1:28" x14ac:dyDescent="0.25">
      <c r="A665" t="s">
        <v>605</v>
      </c>
      <c r="B665" t="s">
        <v>8</v>
      </c>
      <c r="C665">
        <v>3</v>
      </c>
      <c r="D665">
        <v>3</v>
      </c>
      <c r="E665">
        <v>0</v>
      </c>
      <c r="F665">
        <v>0</v>
      </c>
      <c r="G665">
        <v>12.1</v>
      </c>
      <c r="H665">
        <v>21</v>
      </c>
      <c r="I665">
        <v>15</v>
      </c>
      <c r="J665">
        <v>8</v>
      </c>
      <c r="K665">
        <v>2</v>
      </c>
      <c r="L665">
        <v>9</v>
      </c>
      <c r="M665">
        <v>0</v>
      </c>
      <c r="N665">
        <v>2</v>
      </c>
      <c r="O665">
        <v>0</v>
      </c>
      <c r="P665">
        <v>0</v>
      </c>
      <c r="Q665">
        <v>0</v>
      </c>
      <c r="R665">
        <v>10.95</v>
      </c>
      <c r="S665">
        <v>1.86</v>
      </c>
      <c r="T665">
        <f t="shared" si="45"/>
        <v>4.0333333333333332</v>
      </c>
      <c r="U665">
        <f t="shared" si="46"/>
        <v>1.2396694214876034</v>
      </c>
      <c r="V665" s="60">
        <f>U665-AVERAGEIFS(Pitchers[ER/IP],Pitchers[GS],"&gt;"&amp;0,Pitchers[IP],"&gt;"&amp;3)</f>
        <v>0.66816882668828392</v>
      </c>
      <c r="W665" s="60">
        <f>IF(Pitchers[[#This Row],[IP/GS]]&lt;&gt;0,(Pitchers[[#This Row],[WHIP]]*$AH$5+$AI$5)/9*Pitchers[[#This Row],[IP/GS]],(Pitchers[[#This Row],[WHIP]]*$AH$5+$AI$5)/9*(Pitchers[[#This Row],[IP]]/Pitchers[[#This Row],[G]]))</f>
        <v>3.0857322591736276</v>
      </c>
      <c r="X665" s="60">
        <f>Pitchers[[#This Row],[Runs from WHIP]]-AVERAGEIFS(Pitchers[Runs from WHIP],Pitchers[GS],"&gt;"&amp;0,Pitchers[IP],"&gt;"&amp;3)</f>
        <v>-2.6001836469512316</v>
      </c>
      <c r="Y665" s="60">
        <f>IF(Pitchers[[#This Row],[IP/GS]]&lt;&gt;0,Pitchers[[#This Row],[ER/IP From Average]]*Pitchers[[#This Row],[IP/GS]],Pitchers[[#This Row],[ER/IP From Average]]*(Pitchers[[#This Row],[IP]]/Pitchers[[#This Row],[G]]))</f>
        <v>2.6949476009760782</v>
      </c>
      <c r="Z665" s="60">
        <f t="shared" si="47"/>
        <v>0.38459673453676951</v>
      </c>
      <c r="AA665" s="32">
        <f>IF(Pitchers[[#This Row],[W]]=0,0,Pitchers[[#This Row],[W]]/(Pitchers[[#This Row],[W]]+Pitchers[[#This Row],[L]]))</f>
        <v>0</v>
      </c>
      <c r="AB665" s="60"/>
    </row>
    <row r="666" spans="1:28" x14ac:dyDescent="0.25">
      <c r="A666" t="s">
        <v>1404</v>
      </c>
      <c r="B666" t="s">
        <v>31</v>
      </c>
      <c r="C666">
        <v>4</v>
      </c>
      <c r="D666">
        <v>2</v>
      </c>
      <c r="E666">
        <v>0</v>
      </c>
      <c r="F666">
        <v>0</v>
      </c>
      <c r="G666">
        <v>12.1</v>
      </c>
      <c r="H666">
        <v>13</v>
      </c>
      <c r="I666">
        <v>10</v>
      </c>
      <c r="J666">
        <v>13</v>
      </c>
      <c r="K666">
        <v>9</v>
      </c>
      <c r="L666">
        <v>4</v>
      </c>
      <c r="M666">
        <v>1</v>
      </c>
      <c r="N666">
        <v>1</v>
      </c>
      <c r="O666">
        <v>0</v>
      </c>
      <c r="P666">
        <v>0</v>
      </c>
      <c r="Q666">
        <v>0</v>
      </c>
      <c r="R666">
        <v>7.3</v>
      </c>
      <c r="S666">
        <v>1.78</v>
      </c>
      <c r="T666">
        <f t="shared" si="45"/>
        <v>6.05</v>
      </c>
      <c r="U666">
        <f t="shared" si="46"/>
        <v>0.82644628099173556</v>
      </c>
      <c r="V666" s="60">
        <f>U666-AVERAGEIFS(Pitchers[ER/IP],Pitchers[GS],"&gt;"&amp;0,Pitchers[IP],"&gt;"&amp;3)</f>
        <v>0.25494568619241609</v>
      </c>
      <c r="W666" s="60">
        <f>IF(Pitchers[[#This Row],[IP/GS]]&lt;&gt;0,(Pitchers[[#This Row],[WHIP]]*$AH$5+$AI$5)/9*Pitchers[[#This Row],[IP/GS]],(Pitchers[[#This Row],[WHIP]]*$AH$5+$AI$5)/9*(Pitchers[[#This Row],[IP]]/Pitchers[[#This Row],[G]]))</f>
        <v>4.3773177464906672</v>
      </c>
      <c r="X666" s="60">
        <f>Pitchers[[#This Row],[Runs from WHIP]]-AVERAGEIFS(Pitchers[Runs from WHIP],Pitchers[GS],"&gt;"&amp;0,Pitchers[IP],"&gt;"&amp;3)</f>
        <v>-1.308598159634192</v>
      </c>
      <c r="Y666" s="60">
        <f>IF(Pitchers[[#This Row],[IP/GS]]&lt;&gt;0,Pitchers[[#This Row],[ER/IP From Average]]*Pitchers[[#This Row],[IP/GS]],Pitchers[[#This Row],[ER/IP From Average]]*(Pitchers[[#This Row],[IP]]/Pitchers[[#This Row],[G]]))</f>
        <v>1.5424214014641173</v>
      </c>
      <c r="Z666" s="60">
        <f t="shared" si="47"/>
        <v>0.26800905134986241</v>
      </c>
      <c r="AA666" s="32">
        <f>IF(Pitchers[[#This Row],[W]]=0,0,Pitchers[[#This Row],[W]]/(Pitchers[[#This Row],[W]]+Pitchers[[#This Row],[L]]))</f>
        <v>0.5</v>
      </c>
      <c r="AB666" s="60"/>
    </row>
    <row r="667" spans="1:28" x14ac:dyDescent="0.25">
      <c r="A667" t="s">
        <v>649</v>
      </c>
      <c r="B667" t="s">
        <v>3</v>
      </c>
      <c r="C667">
        <v>9</v>
      </c>
      <c r="D667">
        <v>0</v>
      </c>
      <c r="E667">
        <v>0</v>
      </c>
      <c r="F667">
        <v>0</v>
      </c>
      <c r="G667">
        <v>12.1</v>
      </c>
      <c r="H667">
        <v>4</v>
      </c>
      <c r="I667">
        <v>4</v>
      </c>
      <c r="J667">
        <v>13</v>
      </c>
      <c r="K667">
        <v>6</v>
      </c>
      <c r="L667">
        <v>1</v>
      </c>
      <c r="M667">
        <v>0</v>
      </c>
      <c r="N667">
        <v>0</v>
      </c>
      <c r="O667">
        <v>0</v>
      </c>
      <c r="P667">
        <v>0</v>
      </c>
      <c r="Q667">
        <v>0</v>
      </c>
      <c r="R667">
        <v>2.92</v>
      </c>
      <c r="S667">
        <v>0.81</v>
      </c>
      <c r="T667">
        <f t="shared" si="45"/>
        <v>0</v>
      </c>
      <c r="U667">
        <f t="shared" si="46"/>
        <v>0.33057851239669422</v>
      </c>
      <c r="V667" s="60">
        <f>U667-AVERAGEIFS(Pitchers[ER/IP],Pitchers[GS],"&gt;"&amp;0,Pitchers[IP],"&gt;"&amp;3)</f>
        <v>-0.24092208240262525</v>
      </c>
      <c r="W667" s="60">
        <f>IF(Pitchers[[#This Row],[IP/GS]]&lt;&gt;0,(Pitchers[[#This Row],[WHIP]]*$AH$5+$AI$5)/9*Pitchers[[#This Row],[IP/GS]],(Pitchers[[#This Row],[WHIP]]*$AH$5+$AI$5)/9*(Pitchers[[#This Row],[IP]]/Pitchers[[#This Row],[G]]))</f>
        <v>0.29567554643770277</v>
      </c>
      <c r="X667" s="60">
        <f>Pitchers[[#This Row],[Runs from WHIP]]-AVERAGEIFS(Pitchers[Runs from WHIP],Pitchers[GS],"&gt;"&amp;0,Pitchers[IP],"&gt;"&amp;3)</f>
        <v>-5.3902403596871569</v>
      </c>
      <c r="Y667" s="60">
        <f>IF(Pitchers[[#This Row],[IP/GS]]&lt;&gt;0,Pitchers[[#This Row],[ER/IP From Average]]*Pitchers[[#This Row],[IP/GS]],Pitchers[[#This Row],[ER/IP From Average]]*(Pitchers[[#This Row],[IP]]/Pitchers[[#This Row],[G]]))</f>
        <v>-0.32390635523019612</v>
      </c>
      <c r="Z667" s="60">
        <f t="shared" si="47"/>
        <v>-1.5669599713419871</v>
      </c>
      <c r="AA667" s="32">
        <f>IF(Pitchers[[#This Row],[W]]=0,0,Pitchers[[#This Row],[W]]/(Pitchers[[#This Row],[W]]+Pitchers[[#This Row],[L]]))</f>
        <v>0</v>
      </c>
      <c r="AB667" s="60"/>
    </row>
    <row r="668" spans="1:28" x14ac:dyDescent="0.25">
      <c r="A668" t="s">
        <v>1164</v>
      </c>
      <c r="B668" t="s">
        <v>10</v>
      </c>
      <c r="C668">
        <v>14</v>
      </c>
      <c r="D668">
        <v>0</v>
      </c>
      <c r="E668">
        <v>0</v>
      </c>
      <c r="F668">
        <v>0</v>
      </c>
      <c r="G668">
        <v>12</v>
      </c>
      <c r="H668">
        <v>12</v>
      </c>
      <c r="I668">
        <v>4</v>
      </c>
      <c r="J668">
        <v>14</v>
      </c>
      <c r="K668">
        <v>4</v>
      </c>
      <c r="L668">
        <v>4</v>
      </c>
      <c r="M668">
        <v>0</v>
      </c>
      <c r="N668">
        <v>1</v>
      </c>
      <c r="O668">
        <v>0</v>
      </c>
      <c r="P668">
        <v>1</v>
      </c>
      <c r="Q668">
        <v>1</v>
      </c>
      <c r="R668">
        <v>3</v>
      </c>
      <c r="S668">
        <v>1.33</v>
      </c>
      <c r="T668">
        <f t="shared" si="45"/>
        <v>0</v>
      </c>
      <c r="U668">
        <f t="shared" si="46"/>
        <v>0.33333333333333331</v>
      </c>
      <c r="V668" s="60">
        <f>U668-AVERAGEIFS(Pitchers[ER/IP],Pitchers[GS],"&gt;"&amp;0,Pitchers[IP],"&gt;"&amp;3)</f>
        <v>-0.23816726146598616</v>
      </c>
      <c r="W668" s="60">
        <f>IF(Pitchers[[#This Row],[IP/GS]]&lt;&gt;0,(Pitchers[[#This Row],[WHIP]]*$AH$5+$AI$5)/9*Pitchers[[#This Row],[IP/GS]],(Pitchers[[#This Row],[WHIP]]*$AH$5+$AI$5)/9*(Pitchers[[#This Row],[IP]]/Pitchers[[#This Row],[G]]))</f>
        <v>0.41990991268805544</v>
      </c>
      <c r="X668" s="60">
        <f>Pitchers[[#This Row],[Runs from WHIP]]-AVERAGEIFS(Pitchers[Runs from WHIP],Pitchers[GS],"&gt;"&amp;0,Pitchers[IP],"&gt;"&amp;3)</f>
        <v>-5.2660059934368038</v>
      </c>
      <c r="Y668" s="60">
        <f>IF(Pitchers[[#This Row],[IP/GS]]&lt;&gt;0,Pitchers[[#This Row],[ER/IP From Average]]*Pitchers[[#This Row],[IP/GS]],Pitchers[[#This Row],[ER/IP From Average]]*(Pitchers[[#This Row],[IP]]/Pitchers[[#This Row],[G]]))</f>
        <v>-0.20414336697084526</v>
      </c>
      <c r="Z668" s="60">
        <f t="shared" si="47"/>
        <v>-1.485925611704819</v>
      </c>
      <c r="AA668" s="32">
        <f>IF(Pitchers[[#This Row],[W]]=0,0,Pitchers[[#This Row],[W]]/(Pitchers[[#This Row],[W]]+Pitchers[[#This Row],[L]]))</f>
        <v>0</v>
      </c>
      <c r="AB668" s="60"/>
    </row>
    <row r="669" spans="1:28" x14ac:dyDescent="0.25">
      <c r="A669" t="s">
        <v>4555</v>
      </c>
      <c r="B669" t="s">
        <v>17</v>
      </c>
      <c r="C669">
        <v>6</v>
      </c>
      <c r="D669">
        <v>0</v>
      </c>
      <c r="E669">
        <v>0</v>
      </c>
      <c r="F669">
        <v>0</v>
      </c>
      <c r="G669">
        <v>12</v>
      </c>
      <c r="H669">
        <v>5</v>
      </c>
      <c r="I669">
        <v>2</v>
      </c>
      <c r="J669">
        <v>16</v>
      </c>
      <c r="K669">
        <v>3</v>
      </c>
      <c r="L669">
        <v>1</v>
      </c>
      <c r="M669">
        <v>0</v>
      </c>
      <c r="N669">
        <v>0</v>
      </c>
      <c r="O669">
        <v>2</v>
      </c>
      <c r="P669">
        <v>0</v>
      </c>
      <c r="Q669">
        <v>2</v>
      </c>
      <c r="R669">
        <v>1.5</v>
      </c>
      <c r="S669">
        <v>0.67</v>
      </c>
      <c r="T669">
        <f t="shared" si="45"/>
        <v>0</v>
      </c>
      <c r="U669">
        <f t="shared" si="46"/>
        <v>0.16666666666666666</v>
      </c>
      <c r="V669" s="60">
        <f>U669-AVERAGEIFS(Pitchers[ER/IP],Pitchers[GS],"&gt;"&amp;0,Pitchers[IP],"&gt;"&amp;3)</f>
        <v>-0.40483392813265284</v>
      </c>
      <c r="W669" s="60">
        <f>IF(Pitchers[[#This Row],[IP/GS]]&lt;&gt;0,(Pitchers[[#This Row],[WHIP]]*$AH$5+$AI$5)/9*Pitchers[[#This Row],[IP/GS]],(Pitchers[[#This Row],[WHIP]]*$AH$5+$AI$5)/9*(Pitchers[[#This Row],[IP]]/Pitchers[[#This Row],[G]]))</f>
        <v>0.29447895371820132</v>
      </c>
      <c r="X669" s="60">
        <f>Pitchers[[#This Row],[Runs from WHIP]]-AVERAGEIFS(Pitchers[Runs from WHIP],Pitchers[GS],"&gt;"&amp;0,Pitchers[IP],"&gt;"&amp;3)</f>
        <v>-5.3914369524066581</v>
      </c>
      <c r="Y669" s="60">
        <f>IF(Pitchers[[#This Row],[IP/GS]]&lt;&gt;0,Pitchers[[#This Row],[ER/IP From Average]]*Pitchers[[#This Row],[IP/GS]],Pitchers[[#This Row],[ER/IP From Average]]*(Pitchers[[#This Row],[IP]]/Pitchers[[#This Row],[G]]))</f>
        <v>-0.80966785626530569</v>
      </c>
      <c r="Z669" s="60">
        <f t="shared" si="47"/>
        <v>-1.7615836631478974</v>
      </c>
      <c r="AA669" s="32">
        <f>IF(Pitchers[[#This Row],[W]]=0,0,Pitchers[[#This Row],[W]]/(Pitchers[[#This Row],[W]]+Pitchers[[#This Row],[L]]))</f>
        <v>0</v>
      </c>
      <c r="AB669" s="60"/>
    </row>
    <row r="670" spans="1:28" x14ac:dyDescent="0.25">
      <c r="A670" t="s">
        <v>4912</v>
      </c>
      <c r="B670" t="s">
        <v>28</v>
      </c>
      <c r="C670">
        <v>3</v>
      </c>
      <c r="D670">
        <v>3</v>
      </c>
      <c r="E670">
        <v>0</v>
      </c>
      <c r="F670">
        <v>0</v>
      </c>
      <c r="G670">
        <v>12</v>
      </c>
      <c r="H670">
        <v>6</v>
      </c>
      <c r="I670">
        <v>2</v>
      </c>
      <c r="J670">
        <v>17</v>
      </c>
      <c r="K670">
        <v>6</v>
      </c>
      <c r="L670">
        <v>0</v>
      </c>
      <c r="M670">
        <v>1</v>
      </c>
      <c r="N670">
        <v>1</v>
      </c>
      <c r="O670">
        <v>0</v>
      </c>
      <c r="P670">
        <v>0</v>
      </c>
      <c r="Q670">
        <v>0</v>
      </c>
      <c r="R670">
        <v>1.5</v>
      </c>
      <c r="S670">
        <v>1</v>
      </c>
      <c r="T670">
        <f t="shared" si="45"/>
        <v>4</v>
      </c>
      <c r="U670">
        <f t="shared" si="46"/>
        <v>0.16666666666666666</v>
      </c>
      <c r="V670" s="60">
        <f>U670-AVERAGEIFS(Pitchers[ER/IP],Pitchers[GS],"&gt;"&amp;0,Pitchers[IP],"&gt;"&amp;3)</f>
        <v>-0.40483392813265284</v>
      </c>
      <c r="W670" s="60">
        <f>IF(Pitchers[[#This Row],[IP/GS]]&lt;&gt;0,(Pitchers[[#This Row],[WHIP]]*$AH$5+$AI$5)/9*Pitchers[[#This Row],[IP/GS]],(Pitchers[[#This Row],[WHIP]]*$AH$5+$AI$5)/9*(Pitchers[[#This Row],[IP]]/Pitchers[[#This Row],[G]]))</f>
        <v>1.2742687499903305</v>
      </c>
      <c r="X670" s="60">
        <f>Pitchers[[#This Row],[Runs from WHIP]]-AVERAGEIFS(Pitchers[Runs from WHIP],Pitchers[GS],"&gt;"&amp;0,Pitchers[IP],"&gt;"&amp;3)</f>
        <v>-4.4116471561345287</v>
      </c>
      <c r="Y670" s="60">
        <f>IF(Pitchers[[#This Row],[IP/GS]]&lt;&gt;0,Pitchers[[#This Row],[ER/IP From Average]]*Pitchers[[#This Row],[IP/GS]],Pitchers[[#This Row],[ER/IP From Average]]*(Pitchers[[#This Row],[IP]]/Pitchers[[#This Row],[G]]))</f>
        <v>-1.6193357125306114</v>
      </c>
      <c r="Z670" s="60">
        <f t="shared" si="47"/>
        <v>-1.8241735266481189</v>
      </c>
      <c r="AA670" s="32">
        <f>IF(Pitchers[[#This Row],[W]]=0,0,Pitchers[[#This Row],[W]]/(Pitchers[[#This Row],[W]]+Pitchers[[#This Row],[L]]))</f>
        <v>0.5</v>
      </c>
      <c r="AB670" s="60"/>
    </row>
    <row r="671" spans="1:28" x14ac:dyDescent="0.25">
      <c r="A671" t="s">
        <v>549</v>
      </c>
      <c r="B671" t="s">
        <v>29</v>
      </c>
      <c r="C671">
        <v>26</v>
      </c>
      <c r="D671">
        <v>0</v>
      </c>
      <c r="E671">
        <v>0</v>
      </c>
      <c r="F671">
        <v>0</v>
      </c>
      <c r="G671">
        <v>11.2</v>
      </c>
      <c r="H671">
        <v>9</v>
      </c>
      <c r="I671">
        <v>1</v>
      </c>
      <c r="J671">
        <v>9</v>
      </c>
      <c r="K671">
        <v>2</v>
      </c>
      <c r="L671">
        <v>1</v>
      </c>
      <c r="M671">
        <v>2</v>
      </c>
      <c r="N671">
        <v>0</v>
      </c>
      <c r="O671">
        <v>0</v>
      </c>
      <c r="P671">
        <v>0</v>
      </c>
      <c r="Q671">
        <v>3</v>
      </c>
      <c r="R671">
        <v>0.77</v>
      </c>
      <c r="S671">
        <v>0.94</v>
      </c>
      <c r="T671">
        <f t="shared" si="45"/>
        <v>0</v>
      </c>
      <c r="U671">
        <f t="shared" si="46"/>
        <v>8.9285714285714288E-2</v>
      </c>
      <c r="V671" s="60">
        <f>U671-AVERAGEIFS(Pitchers[ER/IP],Pitchers[GS],"&gt;"&amp;0,Pitchers[IP],"&gt;"&amp;3)</f>
        <v>-0.48221488051360517</v>
      </c>
      <c r="W671" s="60">
        <f>IF(Pitchers[[#This Row],[IP/GS]]&lt;&gt;0,(Pitchers[[#This Row],[WHIP]]*$AH$5+$AI$5)/9*Pitchers[[#This Row],[IP/GS]],(Pitchers[[#This Row],[WHIP]]*$AH$5+$AI$5)/9*(Pitchers[[#This Row],[IP]]/Pitchers[[#This Row],[G]]))</f>
        <v>0.12381026846643417</v>
      </c>
      <c r="X671" s="60">
        <f>Pitchers[[#This Row],[Runs from WHIP]]-AVERAGEIFS(Pitchers[Runs from WHIP],Pitchers[GS],"&gt;"&amp;0,Pitchers[IP],"&gt;"&amp;3)</f>
        <v>-5.5621056376584246</v>
      </c>
      <c r="Y671" s="60">
        <f>IF(Pitchers[[#This Row],[IP/GS]]&lt;&gt;0,Pitchers[[#This Row],[ER/IP From Average]]*Pitchers[[#This Row],[IP/GS]],Pitchers[[#This Row],[ER/IP From Average]]*(Pitchers[[#This Row],[IP]]/Pitchers[[#This Row],[G]]))</f>
        <v>-0.2077233331443222</v>
      </c>
      <c r="Z671" s="60">
        <f t="shared" si="47"/>
        <v>-1.5663175032999757</v>
      </c>
      <c r="AA671" s="32">
        <f>IF(Pitchers[[#This Row],[W]]=0,0,Pitchers[[#This Row],[W]]/(Pitchers[[#This Row],[W]]+Pitchers[[#This Row],[L]]))</f>
        <v>1</v>
      </c>
      <c r="AB671" s="60"/>
    </row>
    <row r="672" spans="1:28" x14ac:dyDescent="0.25">
      <c r="A672" t="s">
        <v>718</v>
      </c>
      <c r="B672" t="s">
        <v>12</v>
      </c>
      <c r="C672">
        <v>8</v>
      </c>
      <c r="D672">
        <v>0</v>
      </c>
      <c r="E672">
        <v>0</v>
      </c>
      <c r="F672">
        <v>0</v>
      </c>
      <c r="G672">
        <v>11.2</v>
      </c>
      <c r="H672">
        <v>8</v>
      </c>
      <c r="I672">
        <v>7</v>
      </c>
      <c r="J672">
        <v>7</v>
      </c>
      <c r="K672">
        <v>4</v>
      </c>
      <c r="L672">
        <v>0</v>
      </c>
      <c r="M672">
        <v>1</v>
      </c>
      <c r="N672">
        <v>0</v>
      </c>
      <c r="O672">
        <v>0</v>
      </c>
      <c r="P672">
        <v>0</v>
      </c>
      <c r="Q672">
        <v>0</v>
      </c>
      <c r="R672">
        <v>5.4</v>
      </c>
      <c r="S672">
        <v>1.03</v>
      </c>
      <c r="T672">
        <f t="shared" si="45"/>
        <v>0</v>
      </c>
      <c r="U672">
        <f t="shared" si="46"/>
        <v>0.625</v>
      </c>
      <c r="V672" s="60">
        <f>U672-AVERAGEIFS(Pitchers[ER/IP],Pitchers[GS],"&gt;"&amp;0,Pitchers[IP],"&gt;"&amp;3)</f>
        <v>5.3499405200680528E-2</v>
      </c>
      <c r="W672" s="60">
        <f>IF(Pitchers[[#This Row],[IP/GS]]&lt;&gt;0,(Pitchers[[#This Row],[WHIP]]*$AH$5+$AI$5)/9*Pitchers[[#This Row],[IP/GS]],(Pitchers[[#This Row],[WHIP]]*$AH$5+$AI$5)/9*(Pitchers[[#This Row],[IP]]/Pitchers[[#This Row],[G]]))</f>
        <v>0.46779940748696797</v>
      </c>
      <c r="X672" s="60">
        <f>Pitchers[[#This Row],[Runs from WHIP]]-AVERAGEIFS(Pitchers[Runs from WHIP],Pitchers[GS],"&gt;"&amp;0,Pitchers[IP],"&gt;"&amp;3)</f>
        <v>-5.2181164986378912</v>
      </c>
      <c r="Y672" s="60">
        <f>IF(Pitchers[[#This Row],[IP/GS]]&lt;&gt;0,Pitchers[[#This Row],[ER/IP From Average]]*Pitchers[[#This Row],[IP/GS]],Pitchers[[#This Row],[ER/IP From Average]]*(Pitchers[[#This Row],[IP]]/Pitchers[[#This Row],[G]]))</f>
        <v>7.4899167280952736E-2</v>
      </c>
      <c r="Z672" s="60">
        <f t="shared" si="47"/>
        <v>-1.3615380660577234</v>
      </c>
      <c r="AA672" s="32">
        <f>IF(Pitchers[[#This Row],[W]]=0,0,Pitchers[[#This Row],[W]]/(Pitchers[[#This Row],[W]]+Pitchers[[#This Row],[L]]))</f>
        <v>1</v>
      </c>
      <c r="AB672" s="60"/>
    </row>
    <row r="673" spans="1:28" x14ac:dyDescent="0.25">
      <c r="A673" t="s">
        <v>919</v>
      </c>
      <c r="B673" t="s">
        <v>31</v>
      </c>
      <c r="C673">
        <v>14</v>
      </c>
      <c r="D673">
        <v>0</v>
      </c>
      <c r="E673">
        <v>0</v>
      </c>
      <c r="F673">
        <v>0</v>
      </c>
      <c r="G673">
        <v>11.2</v>
      </c>
      <c r="H673">
        <v>6</v>
      </c>
      <c r="I673">
        <v>7</v>
      </c>
      <c r="J673">
        <v>18</v>
      </c>
      <c r="K673">
        <v>10</v>
      </c>
      <c r="L673">
        <v>2</v>
      </c>
      <c r="M673">
        <v>1</v>
      </c>
      <c r="N673">
        <v>0</v>
      </c>
      <c r="O673">
        <v>0</v>
      </c>
      <c r="P673">
        <v>0</v>
      </c>
      <c r="Q673">
        <v>0</v>
      </c>
      <c r="R673">
        <v>5.4</v>
      </c>
      <c r="S673">
        <v>1.37</v>
      </c>
      <c r="T673">
        <f t="shared" ref="T673:T693" si="48">IF(D673=0,0,G673/D673)</f>
        <v>0</v>
      </c>
      <c r="U673">
        <f t="shared" ref="U673:U693" si="49">IF(G673=0,0,I673/G673)</f>
        <v>0.625</v>
      </c>
      <c r="V673" s="60">
        <f>U673-AVERAGEIFS(Pitchers[ER/IP],Pitchers[GS],"&gt;"&amp;0,Pitchers[IP],"&gt;"&amp;3)</f>
        <v>5.3499405200680528E-2</v>
      </c>
      <c r="W673" s="60">
        <f>IF(Pitchers[[#This Row],[IP/GS]]&lt;&gt;0,(Pitchers[[#This Row],[WHIP]]*$AH$5+$AI$5)/9*Pitchers[[#This Row],[IP/GS]],(Pitchers[[#This Row],[WHIP]]*$AH$5+$AI$5)/9*(Pitchers[[#This Row],[IP]]/Pitchers[[#This Row],[G]]))</f>
        <v>0.40852951469197724</v>
      </c>
      <c r="X673" s="60">
        <f>Pitchers[[#This Row],[Runs from WHIP]]-AVERAGEIFS(Pitchers[Runs from WHIP],Pitchers[GS],"&gt;"&amp;0,Pitchers[IP],"&gt;"&amp;3)</f>
        <v>-5.2773863914328816</v>
      </c>
      <c r="Y673" s="60">
        <f>IF(Pitchers[[#This Row],[IP/GS]]&lt;&gt;0,Pitchers[[#This Row],[ER/IP From Average]]*Pitchers[[#This Row],[IP/GS]],Pitchers[[#This Row],[ER/IP From Average]]*(Pitchers[[#This Row],[IP]]/Pitchers[[#This Row],[G]]))</f>
        <v>4.2799524160544417E-2</v>
      </c>
      <c r="Z673" s="60">
        <f t="shared" ref="Z673:Z693" si="50">AVERAGE(X673,X673,Y673,Y673,Y673)/1.5</f>
        <v>-1.3901832280512172</v>
      </c>
      <c r="AA673" s="32">
        <f>IF(Pitchers[[#This Row],[W]]=0,0,Pitchers[[#This Row],[W]]/(Pitchers[[#This Row],[W]]+Pitchers[[#This Row],[L]]))</f>
        <v>1</v>
      </c>
      <c r="AB673" s="60"/>
    </row>
    <row r="674" spans="1:28" x14ac:dyDescent="0.25">
      <c r="A674" t="s">
        <v>3804</v>
      </c>
      <c r="B674" t="s">
        <v>31</v>
      </c>
      <c r="C674">
        <v>12</v>
      </c>
      <c r="D674">
        <v>0</v>
      </c>
      <c r="E674">
        <v>0</v>
      </c>
      <c r="F674">
        <v>0</v>
      </c>
      <c r="G674">
        <v>11.2</v>
      </c>
      <c r="H674">
        <v>13</v>
      </c>
      <c r="I674">
        <v>7</v>
      </c>
      <c r="J674">
        <v>13</v>
      </c>
      <c r="K674">
        <v>3</v>
      </c>
      <c r="L674">
        <v>2</v>
      </c>
      <c r="M674">
        <v>0</v>
      </c>
      <c r="N674">
        <v>0</v>
      </c>
      <c r="O674">
        <v>0</v>
      </c>
      <c r="P674">
        <v>0</v>
      </c>
      <c r="Q674">
        <v>0</v>
      </c>
      <c r="R674">
        <v>5.4</v>
      </c>
      <c r="S674">
        <v>1.37</v>
      </c>
      <c r="T674">
        <f t="shared" si="48"/>
        <v>0</v>
      </c>
      <c r="U674">
        <f t="shared" si="49"/>
        <v>0.625</v>
      </c>
      <c r="V674" s="60">
        <f>U674-AVERAGEIFS(Pitchers[ER/IP],Pitchers[GS],"&gt;"&amp;0,Pitchers[IP],"&gt;"&amp;3)</f>
        <v>5.3499405200680528E-2</v>
      </c>
      <c r="W674" s="60">
        <f>IF(Pitchers[[#This Row],[IP/GS]]&lt;&gt;0,(Pitchers[[#This Row],[WHIP]]*$AH$5+$AI$5)/9*Pitchers[[#This Row],[IP/GS]],(Pitchers[[#This Row],[WHIP]]*$AH$5+$AI$5)/9*(Pitchers[[#This Row],[IP]]/Pitchers[[#This Row],[G]]))</f>
        <v>0.47661776714064008</v>
      </c>
      <c r="X674" s="60">
        <f>Pitchers[[#This Row],[Runs from WHIP]]-AVERAGEIFS(Pitchers[Runs from WHIP],Pitchers[GS],"&gt;"&amp;0,Pitchers[IP],"&gt;"&amp;3)</f>
        <v>-5.2092981389842192</v>
      </c>
      <c r="Y674" s="60">
        <f>IF(Pitchers[[#This Row],[IP/GS]]&lt;&gt;0,Pitchers[[#This Row],[ER/IP From Average]]*Pitchers[[#This Row],[IP/GS]],Pitchers[[#This Row],[ER/IP From Average]]*(Pitchers[[#This Row],[IP]]/Pitchers[[#This Row],[G]]))</f>
        <v>4.9932778187301824E-2</v>
      </c>
      <c r="Z674" s="60">
        <f t="shared" si="50"/>
        <v>-1.3691730591208711</v>
      </c>
      <c r="AA674" s="32">
        <f>IF(Pitchers[[#This Row],[W]]=0,0,Pitchers[[#This Row],[W]]/(Pitchers[[#This Row],[W]]+Pitchers[[#This Row],[L]]))</f>
        <v>0</v>
      </c>
      <c r="AB674" s="60"/>
    </row>
    <row r="675" spans="1:28" x14ac:dyDescent="0.25">
      <c r="A675" t="s">
        <v>855</v>
      </c>
      <c r="B675" t="s">
        <v>9</v>
      </c>
      <c r="C675">
        <v>13</v>
      </c>
      <c r="D675">
        <v>1</v>
      </c>
      <c r="E675">
        <v>0</v>
      </c>
      <c r="F675">
        <v>0</v>
      </c>
      <c r="G675">
        <v>11.2</v>
      </c>
      <c r="H675">
        <v>10</v>
      </c>
      <c r="I675">
        <v>9</v>
      </c>
      <c r="J675">
        <v>11</v>
      </c>
      <c r="K675">
        <v>5</v>
      </c>
      <c r="L675">
        <v>2</v>
      </c>
      <c r="M675">
        <v>0</v>
      </c>
      <c r="N675">
        <v>1</v>
      </c>
      <c r="O675">
        <v>0</v>
      </c>
      <c r="P675">
        <v>0</v>
      </c>
      <c r="Q675">
        <v>0</v>
      </c>
      <c r="R675">
        <v>6.94</v>
      </c>
      <c r="S675">
        <v>1.29</v>
      </c>
      <c r="T675">
        <f t="shared" si="48"/>
        <v>11.2</v>
      </c>
      <c r="U675">
        <f t="shared" si="49"/>
        <v>0.8035714285714286</v>
      </c>
      <c r="V675" s="60">
        <f>U675-AVERAGEIFS(Pitchers[ER/IP],Pitchers[GS],"&gt;"&amp;0,Pitchers[IP],"&gt;"&amp;3)</f>
        <v>0.23207083377210913</v>
      </c>
      <c r="W675" s="60">
        <f>IF(Pitchers[[#This Row],[IP/GS]]&lt;&gt;0,(Pitchers[[#This Row],[WHIP]]*$AH$5+$AI$5)/9*Pitchers[[#This Row],[IP/GS]],(Pitchers[[#This Row],[WHIP]]*$AH$5+$AI$5)/9*(Pitchers[[#This Row],[IP]]/Pitchers[[#This Row],[G]]))</f>
        <v>5.2542325125601659</v>
      </c>
      <c r="X675" s="60">
        <f>Pitchers[[#This Row],[Runs from WHIP]]-AVERAGEIFS(Pitchers[Runs from WHIP],Pitchers[GS],"&gt;"&amp;0,Pitchers[IP],"&gt;"&amp;3)</f>
        <v>-0.43168339356469332</v>
      </c>
      <c r="Y675" s="60">
        <f>IF(Pitchers[[#This Row],[IP/GS]]&lt;&gt;0,Pitchers[[#This Row],[ER/IP From Average]]*Pitchers[[#This Row],[IP/GS]],Pitchers[[#This Row],[ER/IP From Average]]*(Pitchers[[#This Row],[IP]]/Pitchers[[#This Row],[G]]))</f>
        <v>2.599193338247622</v>
      </c>
      <c r="Z675" s="60">
        <f t="shared" si="50"/>
        <v>0.92456176368179721</v>
      </c>
      <c r="AA675" s="32">
        <f>IF(Pitchers[[#This Row],[W]]=0,0,Pitchers[[#This Row],[W]]/(Pitchers[[#This Row],[W]]+Pitchers[[#This Row],[L]]))</f>
        <v>0</v>
      </c>
      <c r="AB675" s="60"/>
    </row>
    <row r="676" spans="1:28" x14ac:dyDescent="0.25">
      <c r="A676" t="s">
        <v>4126</v>
      </c>
      <c r="B676" t="s">
        <v>370</v>
      </c>
      <c r="C676">
        <v>10</v>
      </c>
      <c r="D676">
        <v>0</v>
      </c>
      <c r="E676">
        <v>0</v>
      </c>
      <c r="F676">
        <v>0</v>
      </c>
      <c r="G676">
        <v>11.2</v>
      </c>
      <c r="H676">
        <v>12</v>
      </c>
      <c r="I676">
        <v>3</v>
      </c>
      <c r="J676">
        <v>7</v>
      </c>
      <c r="K676">
        <v>3</v>
      </c>
      <c r="L676">
        <v>1</v>
      </c>
      <c r="M676">
        <v>0</v>
      </c>
      <c r="N676">
        <v>1</v>
      </c>
      <c r="O676">
        <v>0</v>
      </c>
      <c r="P676">
        <v>0</v>
      </c>
      <c r="Q676">
        <v>0</v>
      </c>
      <c r="R676">
        <v>2.31</v>
      </c>
      <c r="S676">
        <v>1.29</v>
      </c>
      <c r="T676">
        <f t="shared" si="48"/>
        <v>0</v>
      </c>
      <c r="U676">
        <f t="shared" si="49"/>
        <v>0.26785714285714285</v>
      </c>
      <c r="V676" s="60">
        <f>U676-AVERAGEIFS(Pitchers[ER/IP],Pitchers[GS],"&gt;"&amp;0,Pitchers[IP],"&gt;"&amp;3)</f>
        <v>-0.30364345194217662</v>
      </c>
      <c r="W676" s="60">
        <f>IF(Pitchers[[#This Row],[IP/GS]]&lt;&gt;0,(Pitchers[[#This Row],[WHIP]]*$AH$5+$AI$5)/9*Pitchers[[#This Row],[IP/GS]],(Pitchers[[#This Row],[WHIP]]*$AH$5+$AI$5)/9*(Pitchers[[#This Row],[IP]]/Pitchers[[#This Row],[G]]))</f>
        <v>0.52542325125601663</v>
      </c>
      <c r="X676" s="60">
        <f>Pitchers[[#This Row],[Runs from WHIP]]-AVERAGEIFS(Pitchers[Runs from WHIP],Pitchers[GS],"&gt;"&amp;0,Pitchers[IP],"&gt;"&amp;3)</f>
        <v>-5.1604926548688423</v>
      </c>
      <c r="Y676" s="60">
        <f>IF(Pitchers[[#This Row],[IP/GS]]&lt;&gt;0,Pitchers[[#This Row],[ER/IP From Average]]*Pitchers[[#This Row],[IP/GS]],Pitchers[[#This Row],[ER/IP From Average]]*(Pitchers[[#This Row],[IP]]/Pitchers[[#This Row],[G]]))</f>
        <v>-0.3400806661752378</v>
      </c>
      <c r="Z676" s="60">
        <f t="shared" si="50"/>
        <v>-1.5121636411017867</v>
      </c>
      <c r="AA676" s="32">
        <f>IF(Pitchers[[#This Row],[W]]=0,0,Pitchers[[#This Row],[W]]/(Pitchers[[#This Row],[W]]+Pitchers[[#This Row],[L]]))</f>
        <v>0</v>
      </c>
      <c r="AB676" s="60"/>
    </row>
    <row r="677" spans="1:28" x14ac:dyDescent="0.25">
      <c r="A677" t="s">
        <v>504</v>
      </c>
      <c r="B677" t="s">
        <v>10</v>
      </c>
      <c r="C677">
        <v>15</v>
      </c>
      <c r="D677">
        <v>0</v>
      </c>
      <c r="E677">
        <v>0</v>
      </c>
      <c r="F677">
        <v>0</v>
      </c>
      <c r="G677">
        <v>11.2</v>
      </c>
      <c r="H677">
        <v>18</v>
      </c>
      <c r="I677">
        <v>7</v>
      </c>
      <c r="J677">
        <v>11</v>
      </c>
      <c r="K677">
        <v>10</v>
      </c>
      <c r="L677">
        <v>1</v>
      </c>
      <c r="M677">
        <v>0</v>
      </c>
      <c r="N677">
        <v>1</v>
      </c>
      <c r="O677">
        <v>0</v>
      </c>
      <c r="P677">
        <v>0</v>
      </c>
      <c r="Q677">
        <v>0</v>
      </c>
      <c r="R677">
        <v>5.4</v>
      </c>
      <c r="S677">
        <v>2.4</v>
      </c>
      <c r="T677">
        <f t="shared" si="48"/>
        <v>0</v>
      </c>
      <c r="U677">
        <f t="shared" si="49"/>
        <v>0.625</v>
      </c>
      <c r="V677" s="60">
        <f>U677-AVERAGEIFS(Pitchers[ER/IP],Pitchers[GS],"&gt;"&amp;0,Pitchers[IP],"&gt;"&amp;3)</f>
        <v>5.3499405200680528E-2</v>
      </c>
      <c r="W677" s="60">
        <f>IF(Pitchers[[#This Row],[IP/GS]]&lt;&gt;0,(Pitchers[[#This Row],[WHIP]]*$AH$5+$AI$5)/9*Pitchers[[#This Row],[IP/GS]],(Pitchers[[#This Row],[WHIP]]*$AH$5+$AI$5)/9*(Pitchers[[#This Row],[IP]]/Pitchers[[#This Row],[G]]))</f>
        <v>0.7805743086469622</v>
      </c>
      <c r="X677" s="60">
        <f>Pitchers[[#This Row],[Runs from WHIP]]-AVERAGEIFS(Pitchers[Runs from WHIP],Pitchers[GS],"&gt;"&amp;0,Pitchers[IP],"&gt;"&amp;3)</f>
        <v>-4.9053415974778973</v>
      </c>
      <c r="Y677" s="60">
        <f>IF(Pitchers[[#This Row],[IP/GS]]&lt;&gt;0,Pitchers[[#This Row],[ER/IP From Average]]*Pitchers[[#This Row],[IP/GS]],Pitchers[[#This Row],[ER/IP From Average]]*(Pitchers[[#This Row],[IP]]/Pitchers[[#This Row],[G]]))</f>
        <v>3.9946222549841454E-2</v>
      </c>
      <c r="Z677" s="60">
        <f t="shared" si="50"/>
        <v>-1.2921126036408357</v>
      </c>
      <c r="AA677" s="32">
        <f>IF(Pitchers[[#This Row],[W]]=0,0,Pitchers[[#This Row],[W]]/(Pitchers[[#This Row],[W]]+Pitchers[[#This Row],[L]]))</f>
        <v>0</v>
      </c>
      <c r="AB677" s="60"/>
    </row>
    <row r="678" spans="1:28" x14ac:dyDescent="0.25">
      <c r="A678" t="s">
        <v>4117</v>
      </c>
      <c r="B678" t="s">
        <v>24</v>
      </c>
      <c r="C678">
        <v>13</v>
      </c>
      <c r="D678">
        <v>0</v>
      </c>
      <c r="E678">
        <v>0</v>
      </c>
      <c r="F678">
        <v>0</v>
      </c>
      <c r="G678">
        <v>11.2</v>
      </c>
      <c r="H678">
        <v>9</v>
      </c>
      <c r="I678">
        <v>7</v>
      </c>
      <c r="J678">
        <v>16</v>
      </c>
      <c r="K678">
        <v>6</v>
      </c>
      <c r="L678">
        <v>2</v>
      </c>
      <c r="M678">
        <v>0</v>
      </c>
      <c r="N678">
        <v>1</v>
      </c>
      <c r="O678">
        <v>0</v>
      </c>
      <c r="P678">
        <v>3</v>
      </c>
      <c r="Q678">
        <v>0</v>
      </c>
      <c r="R678">
        <v>5.4</v>
      </c>
      <c r="S678">
        <v>1.29</v>
      </c>
      <c r="T678">
        <f t="shared" si="48"/>
        <v>0</v>
      </c>
      <c r="U678">
        <f t="shared" si="49"/>
        <v>0.625</v>
      </c>
      <c r="V678" s="60">
        <f>U678-AVERAGEIFS(Pitchers[ER/IP],Pitchers[GS],"&gt;"&amp;0,Pitchers[IP],"&gt;"&amp;3)</f>
        <v>5.3499405200680528E-2</v>
      </c>
      <c r="W678" s="60">
        <f>IF(Pitchers[[#This Row],[IP/GS]]&lt;&gt;0,(Pitchers[[#This Row],[WHIP]]*$AH$5+$AI$5)/9*Pitchers[[#This Row],[IP/GS]],(Pitchers[[#This Row],[WHIP]]*$AH$5+$AI$5)/9*(Pitchers[[#This Row],[IP]]/Pitchers[[#This Row],[G]]))</f>
        <v>0.40417173173539739</v>
      </c>
      <c r="X678" s="60">
        <f>Pitchers[[#This Row],[Runs from WHIP]]-AVERAGEIFS(Pitchers[Runs from WHIP],Pitchers[GS],"&gt;"&amp;0,Pitchers[IP],"&gt;"&amp;3)</f>
        <v>-5.2817441743894618</v>
      </c>
      <c r="Y678" s="60">
        <f>IF(Pitchers[[#This Row],[IP/GS]]&lt;&gt;0,Pitchers[[#This Row],[ER/IP From Average]]*Pitchers[[#This Row],[IP/GS]],Pitchers[[#This Row],[ER/IP From Average]]*(Pitchers[[#This Row],[IP]]/Pitchers[[#This Row],[G]]))</f>
        <v>4.6091795249817068E-2</v>
      </c>
      <c r="Z678" s="60">
        <f t="shared" si="50"/>
        <v>-1.3900283950705965</v>
      </c>
      <c r="AA678" s="32">
        <f>IF(Pitchers[[#This Row],[W]]=0,0,Pitchers[[#This Row],[W]]/(Pitchers[[#This Row],[W]]+Pitchers[[#This Row],[L]]))</f>
        <v>0</v>
      </c>
      <c r="AB678" s="60"/>
    </row>
    <row r="679" spans="1:28" x14ac:dyDescent="0.25">
      <c r="A679" t="s">
        <v>544</v>
      </c>
      <c r="B679" t="s">
        <v>6</v>
      </c>
      <c r="C679">
        <v>13</v>
      </c>
      <c r="D679">
        <v>0</v>
      </c>
      <c r="E679">
        <v>0</v>
      </c>
      <c r="F679">
        <v>0</v>
      </c>
      <c r="G679">
        <v>11.1</v>
      </c>
      <c r="H679">
        <v>15</v>
      </c>
      <c r="I679">
        <v>12</v>
      </c>
      <c r="J679">
        <v>13</v>
      </c>
      <c r="K679">
        <v>9</v>
      </c>
      <c r="L679">
        <v>3</v>
      </c>
      <c r="M679">
        <v>1</v>
      </c>
      <c r="N679">
        <v>1</v>
      </c>
      <c r="O679">
        <v>1</v>
      </c>
      <c r="P679">
        <v>0</v>
      </c>
      <c r="Q679">
        <v>1</v>
      </c>
      <c r="R679">
        <v>9.5299999999999994</v>
      </c>
      <c r="S679">
        <v>2.12</v>
      </c>
      <c r="T679">
        <f t="shared" si="48"/>
        <v>0</v>
      </c>
      <c r="U679">
        <f t="shared" si="49"/>
        <v>1.0810810810810811</v>
      </c>
      <c r="V679" s="60">
        <f>U679-AVERAGEIFS(Pitchers[ER/IP],Pitchers[GS],"&gt;"&amp;0,Pitchers[IP],"&gt;"&amp;3)</f>
        <v>0.50958048628176167</v>
      </c>
      <c r="W679" s="60">
        <f>IF(Pitchers[[#This Row],[IP/GS]]&lt;&gt;0,(Pitchers[[#This Row],[WHIP]]*$AH$5+$AI$5)/9*Pitchers[[#This Row],[IP/GS]],(Pitchers[[#This Row],[WHIP]]*$AH$5+$AI$5)/9*(Pitchers[[#This Row],[IP]]/Pitchers[[#This Row],[G]]))</f>
        <v>0.7684982998744182</v>
      </c>
      <c r="X679" s="60">
        <f>Pitchers[[#This Row],[Runs from WHIP]]-AVERAGEIFS(Pitchers[Runs from WHIP],Pitchers[GS],"&gt;"&amp;0,Pitchers[IP],"&gt;"&amp;3)</f>
        <v>-4.9174176062504413</v>
      </c>
      <c r="Y679" s="60">
        <f>IF(Pitchers[[#This Row],[IP/GS]]&lt;&gt;0,Pitchers[[#This Row],[ER/IP From Average]]*Pitchers[[#This Row],[IP/GS]],Pitchers[[#This Row],[ER/IP From Average]]*(Pitchers[[#This Row],[IP]]/Pitchers[[#This Row],[G]]))</f>
        <v>0.43510333828673492</v>
      </c>
      <c r="Z679" s="60">
        <f t="shared" si="50"/>
        <v>-1.1372700263520903</v>
      </c>
      <c r="AA679" s="32">
        <f>IF(Pitchers[[#This Row],[W]]=0,0,Pitchers[[#This Row],[W]]/(Pitchers[[#This Row],[W]]+Pitchers[[#This Row],[L]]))</f>
        <v>0.5</v>
      </c>
      <c r="AB679" s="60"/>
    </row>
    <row r="680" spans="1:28" x14ac:dyDescent="0.25">
      <c r="A680" t="s">
        <v>500</v>
      </c>
      <c r="B680" t="s">
        <v>13</v>
      </c>
      <c r="C680">
        <v>12</v>
      </c>
      <c r="D680">
        <v>0</v>
      </c>
      <c r="E680">
        <v>0</v>
      </c>
      <c r="F680">
        <v>0</v>
      </c>
      <c r="G680">
        <v>11.1</v>
      </c>
      <c r="H680">
        <v>14</v>
      </c>
      <c r="I680">
        <v>9</v>
      </c>
      <c r="J680">
        <v>8</v>
      </c>
      <c r="K680">
        <v>6</v>
      </c>
      <c r="L680">
        <v>3</v>
      </c>
      <c r="M680">
        <v>1</v>
      </c>
      <c r="N680">
        <v>0</v>
      </c>
      <c r="O680">
        <v>0</v>
      </c>
      <c r="P680">
        <v>1</v>
      </c>
      <c r="Q680">
        <v>6</v>
      </c>
      <c r="R680">
        <v>7.15</v>
      </c>
      <c r="S680">
        <v>1.76</v>
      </c>
      <c r="T680">
        <f t="shared" si="48"/>
        <v>0</v>
      </c>
      <c r="U680">
        <f t="shared" si="49"/>
        <v>0.81081081081081086</v>
      </c>
      <c r="V680" s="60">
        <f>U680-AVERAGEIFS(Pitchers[ER/IP],Pitchers[GS],"&gt;"&amp;0,Pitchers[IP],"&gt;"&amp;3)</f>
        <v>0.23931021601149138</v>
      </c>
      <c r="W680" s="60">
        <f>IF(Pitchers[[#This Row],[IP/GS]]&lt;&gt;0,(Pitchers[[#This Row],[WHIP]]*$AH$5+$AI$5)/9*Pitchers[[#This Row],[IP/GS]],(Pitchers[[#This Row],[WHIP]]*$AH$5+$AI$5)/9*(Pitchers[[#This Row],[IP]]/Pitchers[[#This Row],[G]]))</f>
        <v>0.6596545895833027</v>
      </c>
      <c r="X680" s="60">
        <f>Pitchers[[#This Row],[Runs from WHIP]]-AVERAGEIFS(Pitchers[Runs from WHIP],Pitchers[GS],"&gt;"&amp;0,Pitchers[IP],"&gt;"&amp;3)</f>
        <v>-5.0262613165415564</v>
      </c>
      <c r="Y680" s="60">
        <f>IF(Pitchers[[#This Row],[IP/GS]]&lt;&gt;0,Pitchers[[#This Row],[ER/IP From Average]]*Pitchers[[#This Row],[IP/GS]],Pitchers[[#This Row],[ER/IP From Average]]*(Pitchers[[#This Row],[IP]]/Pitchers[[#This Row],[G]]))</f>
        <v>0.22136194981062951</v>
      </c>
      <c r="Z680" s="60">
        <f t="shared" si="50"/>
        <v>-1.2517915711534964</v>
      </c>
      <c r="AA680" s="32">
        <f>IF(Pitchers[[#This Row],[W]]=0,0,Pitchers[[#This Row],[W]]/(Pitchers[[#This Row],[W]]+Pitchers[[#This Row],[L]]))</f>
        <v>1</v>
      </c>
      <c r="AB680" s="60"/>
    </row>
    <row r="681" spans="1:28" x14ac:dyDescent="0.25">
      <c r="A681" t="s">
        <v>4137</v>
      </c>
      <c r="B681" t="s">
        <v>17</v>
      </c>
      <c r="C681">
        <v>10</v>
      </c>
      <c r="D681">
        <v>0</v>
      </c>
      <c r="E681">
        <v>0</v>
      </c>
      <c r="F681">
        <v>0</v>
      </c>
      <c r="G681">
        <v>11.1</v>
      </c>
      <c r="H681">
        <v>10</v>
      </c>
      <c r="I681">
        <v>4</v>
      </c>
      <c r="J681">
        <v>13</v>
      </c>
      <c r="K681">
        <v>5</v>
      </c>
      <c r="L681">
        <v>1</v>
      </c>
      <c r="M681">
        <v>2</v>
      </c>
      <c r="N681">
        <v>0</v>
      </c>
      <c r="O681">
        <v>0</v>
      </c>
      <c r="P681">
        <v>1</v>
      </c>
      <c r="Q681">
        <v>2</v>
      </c>
      <c r="R681">
        <v>3.18</v>
      </c>
      <c r="S681">
        <v>1.32</v>
      </c>
      <c r="T681">
        <f t="shared" si="48"/>
        <v>0</v>
      </c>
      <c r="U681">
        <f t="shared" si="49"/>
        <v>0.3603603603603604</v>
      </c>
      <c r="V681" s="60">
        <f>U681-AVERAGEIFS(Pitchers[ER/IP],Pitchers[GS],"&gt;"&amp;0,Pitchers[IP],"&gt;"&amp;3)</f>
        <v>-0.21114023443895907</v>
      </c>
      <c r="W681" s="60">
        <f>IF(Pitchers[[#This Row],[IP/GS]]&lt;&gt;0,(Pitchers[[#This Row],[WHIP]]*$AH$5+$AI$5)/9*Pitchers[[#This Row],[IP/GS]],(Pitchers[[#This Row],[WHIP]]*$AH$5+$AI$5)/9*(Pitchers[[#This Row],[IP]]/Pitchers[[#This Row],[G]]))</f>
        <v>0.5380204957550101</v>
      </c>
      <c r="X681" s="60">
        <f>Pitchers[[#This Row],[Runs from WHIP]]-AVERAGEIFS(Pitchers[Runs from WHIP],Pitchers[GS],"&gt;"&amp;0,Pitchers[IP],"&gt;"&amp;3)</f>
        <v>-5.1478954103698493</v>
      </c>
      <c r="Y681" s="60">
        <f>IF(Pitchers[[#This Row],[IP/GS]]&lt;&gt;0,Pitchers[[#This Row],[ER/IP From Average]]*Pitchers[[#This Row],[IP/GS]],Pitchers[[#This Row],[ER/IP From Average]]*(Pitchers[[#This Row],[IP]]/Pitchers[[#This Row],[G]]))</f>
        <v>-0.23436566022724453</v>
      </c>
      <c r="Z681" s="60">
        <f t="shared" si="50"/>
        <v>-1.4665183735228575</v>
      </c>
      <c r="AA681" s="32">
        <f>IF(Pitchers[[#This Row],[W]]=0,0,Pitchers[[#This Row],[W]]/(Pitchers[[#This Row],[W]]+Pitchers[[#This Row],[L]]))</f>
        <v>1</v>
      </c>
      <c r="AB681" s="60"/>
    </row>
    <row r="682" spans="1:28" x14ac:dyDescent="0.25">
      <c r="A682" t="s">
        <v>1428</v>
      </c>
      <c r="B682" t="s">
        <v>17</v>
      </c>
      <c r="C682">
        <v>4</v>
      </c>
      <c r="D682">
        <v>1</v>
      </c>
      <c r="E682">
        <v>0</v>
      </c>
      <c r="F682">
        <v>0</v>
      </c>
      <c r="G682">
        <v>11</v>
      </c>
      <c r="H682">
        <v>19</v>
      </c>
      <c r="I682">
        <v>13</v>
      </c>
      <c r="J682">
        <v>8</v>
      </c>
      <c r="K682">
        <v>4</v>
      </c>
      <c r="L682">
        <v>3</v>
      </c>
      <c r="M682">
        <v>0</v>
      </c>
      <c r="N682">
        <v>2</v>
      </c>
      <c r="O682">
        <v>0</v>
      </c>
      <c r="P682">
        <v>0</v>
      </c>
      <c r="Q682">
        <v>0</v>
      </c>
      <c r="R682">
        <v>10.64</v>
      </c>
      <c r="S682">
        <v>2.09</v>
      </c>
      <c r="T682">
        <f t="shared" si="48"/>
        <v>11</v>
      </c>
      <c r="U682">
        <f t="shared" si="49"/>
        <v>1.1818181818181819</v>
      </c>
      <c r="V682" s="60">
        <f>U682-AVERAGEIFS(Pitchers[ER/IP],Pitchers[GS],"&gt;"&amp;0,Pitchers[IP],"&gt;"&amp;3)</f>
        <v>0.61031758701886241</v>
      </c>
      <c r="W682" s="60">
        <f>IF(Pitchers[[#This Row],[IP/GS]]&lt;&gt;0,(Pitchers[[#This Row],[WHIP]]*$AH$5+$AI$5)/9*Pitchers[[#This Row],[IP/GS]],(Pitchers[[#This Row],[WHIP]]*$AH$5+$AI$5)/9*(Pitchers[[#This Row],[IP]]/Pitchers[[#This Row],[G]]))</f>
        <v>9.7291458823382548</v>
      </c>
      <c r="X682" s="60">
        <f>Pitchers[[#This Row],[Runs from WHIP]]-AVERAGEIFS(Pitchers[Runs from WHIP],Pitchers[GS],"&gt;"&amp;0,Pitchers[IP],"&gt;"&amp;3)</f>
        <v>4.0432299762133956</v>
      </c>
      <c r="Y682" s="60">
        <f>IF(Pitchers[[#This Row],[IP/GS]]&lt;&gt;0,Pitchers[[#This Row],[ER/IP From Average]]*Pitchers[[#This Row],[IP/GS]],Pitchers[[#This Row],[ER/IP From Average]]*(Pitchers[[#This Row],[IP]]/Pitchers[[#This Row],[G]]))</f>
        <v>6.7134934572074867</v>
      </c>
      <c r="Z682" s="60">
        <f t="shared" si="50"/>
        <v>3.7635920432065668</v>
      </c>
      <c r="AA682" s="32">
        <f>IF(Pitchers[[#This Row],[W]]=0,0,Pitchers[[#This Row],[W]]/(Pitchers[[#This Row],[W]]+Pitchers[[#This Row],[L]]))</f>
        <v>0</v>
      </c>
      <c r="AB682" s="60"/>
    </row>
    <row r="683" spans="1:28" x14ac:dyDescent="0.25">
      <c r="A683" t="s">
        <v>673</v>
      </c>
      <c r="B683" t="s">
        <v>31</v>
      </c>
      <c r="C683">
        <v>12</v>
      </c>
      <c r="D683">
        <v>0</v>
      </c>
      <c r="E683">
        <v>0</v>
      </c>
      <c r="F683">
        <v>0</v>
      </c>
      <c r="G683">
        <v>11</v>
      </c>
      <c r="H683">
        <v>14</v>
      </c>
      <c r="I683">
        <v>6</v>
      </c>
      <c r="J683">
        <v>9</v>
      </c>
      <c r="K683">
        <v>5</v>
      </c>
      <c r="L683">
        <v>2</v>
      </c>
      <c r="M683">
        <v>0</v>
      </c>
      <c r="N683">
        <v>0</v>
      </c>
      <c r="O683">
        <v>1</v>
      </c>
      <c r="P683">
        <v>0</v>
      </c>
      <c r="Q683">
        <v>0</v>
      </c>
      <c r="R683">
        <v>4.91</v>
      </c>
      <c r="S683">
        <v>1.73</v>
      </c>
      <c r="T683">
        <f t="shared" si="48"/>
        <v>0</v>
      </c>
      <c r="U683">
        <f t="shared" si="49"/>
        <v>0.54545454545454541</v>
      </c>
      <c r="V683" s="60">
        <f>U683-AVERAGEIFS(Pitchers[ER/IP],Pitchers[GS],"&gt;"&amp;0,Pitchers[IP],"&gt;"&amp;3)</f>
        <v>-2.6046049344774058E-2</v>
      </c>
      <c r="W683" s="60">
        <f>IF(Pitchers[[#This Row],[IP/GS]]&lt;&gt;0,(Pitchers[[#This Row],[WHIP]]*$AH$5+$AI$5)/9*Pitchers[[#This Row],[IP/GS]],(Pitchers[[#This Row],[WHIP]]*$AH$5+$AI$5)/9*(Pitchers[[#This Row],[IP]]/Pitchers[[#This Row],[G]]))</f>
        <v>0.63943444622303913</v>
      </c>
      <c r="X683" s="60">
        <f>Pitchers[[#This Row],[Runs from WHIP]]-AVERAGEIFS(Pitchers[Runs from WHIP],Pitchers[GS],"&gt;"&amp;0,Pitchers[IP],"&gt;"&amp;3)</f>
        <v>-5.0464814599018197</v>
      </c>
      <c r="Y683" s="60">
        <f>IF(Pitchers[[#This Row],[IP/GS]]&lt;&gt;0,Pitchers[[#This Row],[ER/IP From Average]]*Pitchers[[#This Row],[IP/GS]],Pitchers[[#This Row],[ER/IP From Average]]*(Pitchers[[#This Row],[IP]]/Pitchers[[#This Row],[G]]))</f>
        <v>-2.3875545232709551E-2</v>
      </c>
      <c r="Z683" s="60">
        <f t="shared" si="50"/>
        <v>-1.3552786074002354</v>
      </c>
      <c r="AA683" s="32">
        <f>IF(Pitchers[[#This Row],[W]]=0,0,Pitchers[[#This Row],[W]]/(Pitchers[[#This Row],[W]]+Pitchers[[#This Row],[L]]))</f>
        <v>0</v>
      </c>
      <c r="AB683" s="60"/>
    </row>
    <row r="684" spans="1:28" x14ac:dyDescent="0.25">
      <c r="A684" t="s">
        <v>504</v>
      </c>
      <c r="B684" t="s">
        <v>1</v>
      </c>
      <c r="C684">
        <v>11</v>
      </c>
      <c r="D684">
        <v>0</v>
      </c>
      <c r="E684">
        <v>0</v>
      </c>
      <c r="F684">
        <v>0</v>
      </c>
      <c r="G684">
        <v>11</v>
      </c>
      <c r="H684">
        <v>20</v>
      </c>
      <c r="I684">
        <v>12</v>
      </c>
      <c r="J684">
        <v>8</v>
      </c>
      <c r="K684">
        <v>7</v>
      </c>
      <c r="L684">
        <v>2</v>
      </c>
      <c r="M684">
        <v>0</v>
      </c>
      <c r="N684">
        <v>0</v>
      </c>
      <c r="O684">
        <v>0</v>
      </c>
      <c r="P684">
        <v>1</v>
      </c>
      <c r="Q684">
        <v>1</v>
      </c>
      <c r="R684">
        <v>9.82</v>
      </c>
      <c r="S684">
        <v>2.4500000000000002</v>
      </c>
      <c r="T684">
        <f t="shared" si="48"/>
        <v>0</v>
      </c>
      <c r="U684">
        <f t="shared" si="49"/>
        <v>1.0909090909090908</v>
      </c>
      <c r="V684" s="60">
        <f>U684-AVERAGEIFS(Pitchers[ER/IP],Pitchers[GS],"&gt;"&amp;0,Pitchers[IP],"&gt;"&amp;3)</f>
        <v>0.51940849610977136</v>
      </c>
      <c r="W684" s="60">
        <f>IF(Pitchers[[#This Row],[IP/GS]]&lt;&gt;0,(Pitchers[[#This Row],[WHIP]]*$AH$5+$AI$5)/9*Pitchers[[#This Row],[IP/GS]],(Pitchers[[#This Row],[WHIP]]*$AH$5+$AI$5)/9*(Pitchers[[#This Row],[IP]]/Pitchers[[#This Row],[G]]))</f>
        <v>1.0713707645454582</v>
      </c>
      <c r="X684" s="60">
        <f>Pitchers[[#This Row],[Runs from WHIP]]-AVERAGEIFS(Pitchers[Runs from WHIP],Pitchers[GS],"&gt;"&amp;0,Pitchers[IP],"&gt;"&amp;3)</f>
        <v>-4.6145451415794012</v>
      </c>
      <c r="Y684" s="60">
        <f>IF(Pitchers[[#This Row],[IP/GS]]&lt;&gt;0,Pitchers[[#This Row],[ER/IP From Average]]*Pitchers[[#This Row],[IP/GS]],Pitchers[[#This Row],[ER/IP From Average]]*(Pitchers[[#This Row],[IP]]/Pitchers[[#This Row],[G]]))</f>
        <v>0.51940849610977136</v>
      </c>
      <c r="Z684" s="60">
        <f t="shared" si="50"/>
        <v>-1.0227819726439318</v>
      </c>
      <c r="AA684" s="32">
        <f>IF(Pitchers[[#This Row],[W]]=0,0,Pitchers[[#This Row],[W]]/(Pitchers[[#This Row],[W]]+Pitchers[[#This Row],[L]]))</f>
        <v>0</v>
      </c>
      <c r="AB684" s="60"/>
    </row>
    <row r="685" spans="1:28" x14ac:dyDescent="0.25">
      <c r="A685" t="s">
        <v>4396</v>
      </c>
      <c r="B685" t="s">
        <v>370</v>
      </c>
      <c r="C685">
        <v>13</v>
      </c>
      <c r="D685">
        <v>0</v>
      </c>
      <c r="E685">
        <v>0</v>
      </c>
      <c r="F685">
        <v>0</v>
      </c>
      <c r="G685">
        <v>11</v>
      </c>
      <c r="H685">
        <v>10</v>
      </c>
      <c r="I685">
        <v>8</v>
      </c>
      <c r="J685">
        <v>14</v>
      </c>
      <c r="K685">
        <v>5</v>
      </c>
      <c r="L685">
        <v>3</v>
      </c>
      <c r="M685">
        <v>0</v>
      </c>
      <c r="N685">
        <v>2</v>
      </c>
      <c r="O685">
        <v>0</v>
      </c>
      <c r="P685">
        <v>0</v>
      </c>
      <c r="Q685">
        <v>2</v>
      </c>
      <c r="R685">
        <v>6.55</v>
      </c>
      <c r="S685">
        <v>1.36</v>
      </c>
      <c r="T685">
        <f t="shared" si="48"/>
        <v>0</v>
      </c>
      <c r="U685">
        <f t="shared" si="49"/>
        <v>0.72727272727272729</v>
      </c>
      <c r="V685" s="60">
        <f>U685-AVERAGEIFS(Pitchers[ER/IP],Pitchers[GS],"&gt;"&amp;0,Pitchers[IP],"&gt;"&amp;3)</f>
        <v>0.15577213247340782</v>
      </c>
      <c r="W685" s="60">
        <f>IF(Pitchers[[#This Row],[IP/GS]]&lt;&gt;0,(Pitchers[[#This Row],[WHIP]]*$AH$5+$AI$5)/9*Pitchers[[#This Row],[IP/GS]],(Pitchers[[#This Row],[WHIP]]*$AH$5+$AI$5)/9*(Pitchers[[#This Row],[IP]]/Pitchers[[#This Row],[G]]))</f>
        <v>0.42770550693347642</v>
      </c>
      <c r="X685" s="60">
        <f>Pitchers[[#This Row],[Runs from WHIP]]-AVERAGEIFS(Pitchers[Runs from WHIP],Pitchers[GS],"&gt;"&amp;0,Pitchers[IP],"&gt;"&amp;3)</f>
        <v>-5.2582103991913831</v>
      </c>
      <c r="Y685" s="60">
        <f>IF(Pitchers[[#This Row],[IP/GS]]&lt;&gt;0,Pitchers[[#This Row],[ER/IP From Average]]*Pitchers[[#This Row],[IP/GS]],Pitchers[[#This Row],[ER/IP From Average]]*(Pitchers[[#This Row],[IP]]/Pitchers[[#This Row],[G]]))</f>
        <v>0.13180718901596047</v>
      </c>
      <c r="Z685" s="60">
        <f t="shared" si="50"/>
        <v>-1.3494665641779846</v>
      </c>
      <c r="AA685" s="32">
        <f>IF(Pitchers[[#This Row],[W]]=0,0,Pitchers[[#This Row],[W]]/(Pitchers[[#This Row],[W]]+Pitchers[[#This Row],[L]]))</f>
        <v>0</v>
      </c>
      <c r="AB685" s="60"/>
    </row>
    <row r="686" spans="1:28" x14ac:dyDescent="0.25">
      <c r="A686" t="s">
        <v>922</v>
      </c>
      <c r="B686" t="s">
        <v>15</v>
      </c>
      <c r="C686">
        <v>5</v>
      </c>
      <c r="D686">
        <v>1</v>
      </c>
      <c r="E686">
        <v>0</v>
      </c>
      <c r="F686">
        <v>0</v>
      </c>
      <c r="G686">
        <v>11</v>
      </c>
      <c r="H686">
        <v>13</v>
      </c>
      <c r="I686">
        <v>9</v>
      </c>
      <c r="J686">
        <v>9</v>
      </c>
      <c r="K686">
        <v>5</v>
      </c>
      <c r="L686">
        <v>4</v>
      </c>
      <c r="M686">
        <v>0</v>
      </c>
      <c r="N686">
        <v>1</v>
      </c>
      <c r="O686">
        <v>0</v>
      </c>
      <c r="P686">
        <v>0</v>
      </c>
      <c r="Q686">
        <v>0</v>
      </c>
      <c r="R686">
        <v>7.36</v>
      </c>
      <c r="S686">
        <v>1.64</v>
      </c>
      <c r="T686">
        <f t="shared" si="48"/>
        <v>11</v>
      </c>
      <c r="U686">
        <f t="shared" si="49"/>
        <v>0.81818181818181823</v>
      </c>
      <c r="V686" s="60">
        <f>U686-AVERAGEIFS(Pitchers[ER/IP],Pitchers[GS],"&gt;"&amp;0,Pitchers[IP],"&gt;"&amp;3)</f>
        <v>0.24668122338249876</v>
      </c>
      <c r="W686" s="60">
        <f>IF(Pitchers[[#This Row],[IP/GS]]&lt;&gt;0,(Pitchers[[#This Row],[WHIP]]*$AH$5+$AI$5)/9*Pitchers[[#This Row],[IP/GS]],(Pitchers[[#This Row],[WHIP]]*$AH$5+$AI$5)/9*(Pitchers[[#This Row],[IP]]/Pitchers[[#This Row],[G]]))</f>
        <v>7.1592302227610238</v>
      </c>
      <c r="X686" s="60">
        <f>Pitchers[[#This Row],[Runs from WHIP]]-AVERAGEIFS(Pitchers[Runs from WHIP],Pitchers[GS],"&gt;"&amp;0,Pitchers[IP],"&gt;"&amp;3)</f>
        <v>1.4733143166361646</v>
      </c>
      <c r="Y686" s="60">
        <f>IF(Pitchers[[#This Row],[IP/GS]]&lt;&gt;0,Pitchers[[#This Row],[ER/IP From Average]]*Pitchers[[#This Row],[IP/GS]],Pitchers[[#This Row],[ER/IP From Average]]*(Pitchers[[#This Row],[IP]]/Pitchers[[#This Row],[G]]))</f>
        <v>2.7134934572074862</v>
      </c>
      <c r="Z686" s="60">
        <f t="shared" si="50"/>
        <v>1.4782812006526382</v>
      </c>
      <c r="AA686" s="32">
        <f>IF(Pitchers[[#This Row],[W]]=0,0,Pitchers[[#This Row],[W]]/(Pitchers[[#This Row],[W]]+Pitchers[[#This Row],[L]]))</f>
        <v>0</v>
      </c>
      <c r="AB686" s="60"/>
    </row>
    <row r="687" spans="1:28" x14ac:dyDescent="0.25">
      <c r="A687" t="s">
        <v>1320</v>
      </c>
      <c r="B687" t="s">
        <v>14</v>
      </c>
      <c r="C687">
        <v>5</v>
      </c>
      <c r="D687">
        <v>1</v>
      </c>
      <c r="E687">
        <v>0</v>
      </c>
      <c r="F687">
        <v>0</v>
      </c>
      <c r="G687">
        <v>10.199999999999999</v>
      </c>
      <c r="H687">
        <v>12</v>
      </c>
      <c r="I687">
        <v>8</v>
      </c>
      <c r="J687">
        <v>10</v>
      </c>
      <c r="K687">
        <v>8</v>
      </c>
      <c r="L687">
        <v>3</v>
      </c>
      <c r="M687">
        <v>0</v>
      </c>
      <c r="N687">
        <v>1</v>
      </c>
      <c r="O687">
        <v>0</v>
      </c>
      <c r="P687">
        <v>0</v>
      </c>
      <c r="Q687">
        <v>0</v>
      </c>
      <c r="R687">
        <v>6.75</v>
      </c>
      <c r="S687">
        <v>1.88</v>
      </c>
      <c r="T687">
        <f t="shared" si="48"/>
        <v>10.199999999999999</v>
      </c>
      <c r="U687">
        <f t="shared" si="49"/>
        <v>0.78431372549019618</v>
      </c>
      <c r="V687" s="60">
        <f>U687-AVERAGEIFS(Pitchers[ER/IP],Pitchers[GS],"&gt;"&amp;0,Pitchers[IP],"&gt;"&amp;3)</f>
        <v>0.21281313069087671</v>
      </c>
      <c r="W687" s="60">
        <f>IF(Pitchers[[#This Row],[IP/GS]]&lt;&gt;0,(Pitchers[[#This Row],[WHIP]]*$AH$5+$AI$5)/9*Pitchers[[#This Row],[IP/GS]],(Pitchers[[#This Row],[WHIP]]*$AH$5+$AI$5)/9*(Pitchers[[#This Row],[IP]]/Pitchers[[#This Row],[G]]))</f>
        <v>7.909499041842051</v>
      </c>
      <c r="X687" s="60">
        <f>Pitchers[[#This Row],[Runs from WHIP]]-AVERAGEIFS(Pitchers[Runs from WHIP],Pitchers[GS],"&gt;"&amp;0,Pitchers[IP],"&gt;"&amp;3)</f>
        <v>2.2235831357171918</v>
      </c>
      <c r="Y687" s="60">
        <f>IF(Pitchers[[#This Row],[IP/GS]]&lt;&gt;0,Pitchers[[#This Row],[ER/IP From Average]]*Pitchers[[#This Row],[IP/GS]],Pitchers[[#This Row],[ER/IP From Average]]*(Pitchers[[#This Row],[IP]]/Pitchers[[#This Row],[G]]))</f>
        <v>2.1706939330469424</v>
      </c>
      <c r="Z687" s="60">
        <f t="shared" si="50"/>
        <v>1.4612330760766949</v>
      </c>
      <c r="AA687" s="32">
        <f>IF(Pitchers[[#This Row],[W]]=0,0,Pitchers[[#This Row],[W]]/(Pitchers[[#This Row],[W]]+Pitchers[[#This Row],[L]]))</f>
        <v>0</v>
      </c>
      <c r="AB687" s="60"/>
    </row>
    <row r="688" spans="1:28" x14ac:dyDescent="0.25">
      <c r="A688" t="s">
        <v>670</v>
      </c>
      <c r="B688" t="s">
        <v>370</v>
      </c>
      <c r="C688">
        <v>10</v>
      </c>
      <c r="D688">
        <v>0</v>
      </c>
      <c r="E688">
        <v>0</v>
      </c>
      <c r="F688">
        <v>0</v>
      </c>
      <c r="G688">
        <v>10.199999999999999</v>
      </c>
      <c r="H688">
        <v>14</v>
      </c>
      <c r="I688">
        <v>12</v>
      </c>
      <c r="J688">
        <v>15</v>
      </c>
      <c r="K688">
        <v>8</v>
      </c>
      <c r="L688">
        <v>2</v>
      </c>
      <c r="M688">
        <v>1</v>
      </c>
      <c r="N688">
        <v>0</v>
      </c>
      <c r="O688">
        <v>0</v>
      </c>
      <c r="P688">
        <v>1</v>
      </c>
      <c r="Q688">
        <v>0</v>
      </c>
      <c r="R688">
        <v>10.130000000000001</v>
      </c>
      <c r="S688">
        <v>2.06</v>
      </c>
      <c r="T688">
        <f t="shared" si="48"/>
        <v>0</v>
      </c>
      <c r="U688">
        <f t="shared" si="49"/>
        <v>1.1764705882352942</v>
      </c>
      <c r="V688" s="60">
        <f>U688-AVERAGEIFS(Pitchers[ER/IP],Pitchers[GS],"&gt;"&amp;0,Pitchers[IP],"&gt;"&amp;3)</f>
        <v>0.60496999343597468</v>
      </c>
      <c r="W688" s="60">
        <f>IF(Pitchers[[#This Row],[IP/GS]]&lt;&gt;0,(Pitchers[[#This Row],[WHIP]]*$AH$5+$AI$5)/9*Pitchers[[#This Row],[IP/GS]],(Pitchers[[#This Row],[WHIP]]*$AH$5+$AI$5)/9*(Pitchers[[#This Row],[IP]]/Pitchers[[#This Row],[G]]))</f>
        <v>0.88627041228488812</v>
      </c>
      <c r="X688" s="60">
        <f>Pitchers[[#This Row],[Runs from WHIP]]-AVERAGEIFS(Pitchers[Runs from WHIP],Pitchers[GS],"&gt;"&amp;0,Pitchers[IP],"&gt;"&amp;3)</f>
        <v>-4.7996454938399715</v>
      </c>
      <c r="Y688" s="60">
        <f>IF(Pitchers[[#This Row],[IP/GS]]&lt;&gt;0,Pitchers[[#This Row],[ER/IP From Average]]*Pitchers[[#This Row],[IP/GS]],Pitchers[[#This Row],[ER/IP From Average]]*(Pitchers[[#This Row],[IP]]/Pitchers[[#This Row],[G]]))</f>
        <v>0.61706939330469424</v>
      </c>
      <c r="Z688" s="60">
        <f t="shared" si="50"/>
        <v>-1.0330777077021145</v>
      </c>
      <c r="AA688" s="32">
        <f>IF(Pitchers[[#This Row],[W]]=0,0,Pitchers[[#This Row],[W]]/(Pitchers[[#This Row],[W]]+Pitchers[[#This Row],[L]]))</f>
        <v>1</v>
      </c>
      <c r="AB688" s="60"/>
    </row>
    <row r="689" spans="1:28" x14ac:dyDescent="0.25">
      <c r="A689" t="s">
        <v>643</v>
      </c>
      <c r="B689" t="s">
        <v>31</v>
      </c>
      <c r="C689">
        <v>13</v>
      </c>
      <c r="D689">
        <v>0</v>
      </c>
      <c r="E689">
        <v>0</v>
      </c>
      <c r="F689">
        <v>0</v>
      </c>
      <c r="G689">
        <v>10.199999999999999</v>
      </c>
      <c r="H689">
        <v>12</v>
      </c>
      <c r="I689">
        <v>7</v>
      </c>
      <c r="J689">
        <v>10</v>
      </c>
      <c r="K689">
        <v>5</v>
      </c>
      <c r="L689">
        <v>2</v>
      </c>
      <c r="M689">
        <v>1</v>
      </c>
      <c r="N689">
        <v>0</v>
      </c>
      <c r="O689">
        <v>0</v>
      </c>
      <c r="P689">
        <v>1</v>
      </c>
      <c r="Q689">
        <v>0</v>
      </c>
      <c r="R689">
        <v>5.91</v>
      </c>
      <c r="S689">
        <v>1.59</v>
      </c>
      <c r="T689">
        <f t="shared" si="48"/>
        <v>0</v>
      </c>
      <c r="U689">
        <f t="shared" si="49"/>
        <v>0.68627450980392157</v>
      </c>
      <c r="V689" s="60">
        <f>U689-AVERAGEIFS(Pitchers[ER/IP],Pitchers[GS],"&gt;"&amp;0,Pitchers[IP],"&gt;"&amp;3)</f>
        <v>0.1147739150046021</v>
      </c>
      <c r="W689" s="60">
        <f>IF(Pitchers[[#This Row],[IP/GS]]&lt;&gt;0,(Pitchers[[#This Row],[WHIP]]*$AH$5+$AI$5)/9*Pitchers[[#This Row],[IP/GS]],(Pitchers[[#This Row],[WHIP]]*$AH$5+$AI$5)/9*(Pitchers[[#This Row],[IP]]/Pitchers[[#This Row],[G]]))</f>
        <v>0.49029074958956825</v>
      </c>
      <c r="X689" s="60">
        <f>Pitchers[[#This Row],[Runs from WHIP]]-AVERAGEIFS(Pitchers[Runs from WHIP],Pitchers[GS],"&gt;"&amp;0,Pitchers[IP],"&gt;"&amp;3)</f>
        <v>-5.1956251565352911</v>
      </c>
      <c r="Y689" s="60">
        <f>IF(Pitchers[[#This Row],[IP/GS]]&lt;&gt;0,Pitchers[[#This Row],[ER/IP From Average]]*Pitchers[[#This Row],[IP/GS]],Pitchers[[#This Row],[ER/IP From Average]]*(Pitchers[[#This Row],[IP]]/Pitchers[[#This Row],[G]]))</f>
        <v>9.0053379465149339E-2</v>
      </c>
      <c r="Z689" s="60">
        <f t="shared" si="50"/>
        <v>-1.3494786899566842</v>
      </c>
      <c r="AA689" s="32">
        <f>IF(Pitchers[[#This Row],[W]]=0,0,Pitchers[[#This Row],[W]]/(Pitchers[[#This Row],[W]]+Pitchers[[#This Row],[L]]))</f>
        <v>1</v>
      </c>
      <c r="AB689" s="60"/>
    </row>
    <row r="690" spans="1:28" x14ac:dyDescent="0.25">
      <c r="A690" t="s">
        <v>3751</v>
      </c>
      <c r="B690" t="s">
        <v>5</v>
      </c>
      <c r="C690">
        <v>10</v>
      </c>
      <c r="D690">
        <v>0</v>
      </c>
      <c r="E690">
        <v>0</v>
      </c>
      <c r="F690">
        <v>0</v>
      </c>
      <c r="G690">
        <v>10.199999999999999</v>
      </c>
      <c r="H690">
        <v>5</v>
      </c>
      <c r="I690">
        <v>4</v>
      </c>
      <c r="J690">
        <v>11</v>
      </c>
      <c r="K690">
        <v>8</v>
      </c>
      <c r="L690">
        <v>3</v>
      </c>
      <c r="M690">
        <v>0</v>
      </c>
      <c r="N690">
        <v>0</v>
      </c>
      <c r="O690">
        <v>0</v>
      </c>
      <c r="P690">
        <v>0</v>
      </c>
      <c r="Q690">
        <v>0</v>
      </c>
      <c r="R690">
        <v>3.38</v>
      </c>
      <c r="S690">
        <v>1.22</v>
      </c>
      <c r="T690">
        <f t="shared" si="48"/>
        <v>0</v>
      </c>
      <c r="U690">
        <f t="shared" si="49"/>
        <v>0.39215686274509809</v>
      </c>
      <c r="V690" s="60">
        <f>U690-AVERAGEIFS(Pitchers[ER/IP],Pitchers[GS],"&gt;"&amp;0,Pitchers[IP],"&gt;"&amp;3)</f>
        <v>-0.17934373205422138</v>
      </c>
      <c r="W690" s="60">
        <f>IF(Pitchers[[#This Row],[IP/GS]]&lt;&gt;0,(Pitchers[[#This Row],[WHIP]]*$AH$5+$AI$5)/9*Pitchers[[#This Row],[IP/GS]],(Pitchers[[#This Row],[WHIP]]*$AH$5+$AI$5)/9*(Pitchers[[#This Row],[IP]]/Pitchers[[#This Row],[G]]))</f>
        <v>0.44144137448170201</v>
      </c>
      <c r="X690" s="60">
        <f>Pitchers[[#This Row],[Runs from WHIP]]-AVERAGEIFS(Pitchers[Runs from WHIP],Pitchers[GS],"&gt;"&amp;0,Pitchers[IP],"&gt;"&amp;3)</f>
        <v>-5.2444745316431574</v>
      </c>
      <c r="Y690" s="60">
        <f>IF(Pitchers[[#This Row],[IP/GS]]&lt;&gt;0,Pitchers[[#This Row],[ER/IP From Average]]*Pitchers[[#This Row],[IP/GS]],Pitchers[[#This Row],[ER/IP From Average]]*(Pitchers[[#This Row],[IP]]/Pitchers[[#This Row],[G]]))</f>
        <v>-0.18293060669530581</v>
      </c>
      <c r="Z690" s="60">
        <f t="shared" si="50"/>
        <v>-1.4716987844496312</v>
      </c>
      <c r="AA690" s="32">
        <f>IF(Pitchers[[#This Row],[W]]=0,0,Pitchers[[#This Row],[W]]/(Pitchers[[#This Row],[W]]+Pitchers[[#This Row],[L]]))</f>
        <v>0</v>
      </c>
      <c r="AB690" s="60"/>
    </row>
    <row r="691" spans="1:28" x14ac:dyDescent="0.25">
      <c r="A691" t="s">
        <v>1204</v>
      </c>
      <c r="B691" t="s">
        <v>2</v>
      </c>
      <c r="C691">
        <v>8</v>
      </c>
      <c r="D691">
        <v>0</v>
      </c>
      <c r="E691">
        <v>0</v>
      </c>
      <c r="F691">
        <v>0</v>
      </c>
      <c r="G691">
        <v>10.199999999999999</v>
      </c>
      <c r="H691">
        <v>12</v>
      </c>
      <c r="I691">
        <v>7</v>
      </c>
      <c r="J691">
        <v>8</v>
      </c>
      <c r="K691">
        <v>5</v>
      </c>
      <c r="L691">
        <v>1</v>
      </c>
      <c r="M691">
        <v>0</v>
      </c>
      <c r="N691">
        <v>0</v>
      </c>
      <c r="O691">
        <v>0</v>
      </c>
      <c r="P691">
        <v>0</v>
      </c>
      <c r="Q691">
        <v>0</v>
      </c>
      <c r="R691">
        <v>5.91</v>
      </c>
      <c r="S691">
        <v>1.59</v>
      </c>
      <c r="T691">
        <f t="shared" si="48"/>
        <v>0</v>
      </c>
      <c r="U691">
        <f t="shared" si="49"/>
        <v>0.68627450980392157</v>
      </c>
      <c r="V691" s="60">
        <f>U691-AVERAGEIFS(Pitchers[ER/IP],Pitchers[GS],"&gt;"&amp;0,Pitchers[IP],"&gt;"&amp;3)</f>
        <v>0.1147739150046021</v>
      </c>
      <c r="W691" s="60">
        <f>IF(Pitchers[[#This Row],[IP/GS]]&lt;&gt;0,(Pitchers[[#This Row],[WHIP]]*$AH$5+$AI$5)/9*Pitchers[[#This Row],[IP/GS]],(Pitchers[[#This Row],[WHIP]]*$AH$5+$AI$5)/9*(Pitchers[[#This Row],[IP]]/Pitchers[[#This Row],[G]]))</f>
        <v>0.79672246808304836</v>
      </c>
      <c r="X691" s="60">
        <f>Pitchers[[#This Row],[Runs from WHIP]]-AVERAGEIFS(Pitchers[Runs from WHIP],Pitchers[GS],"&gt;"&amp;0,Pitchers[IP],"&gt;"&amp;3)</f>
        <v>-4.8891934380418105</v>
      </c>
      <c r="Y691" s="60">
        <f>IF(Pitchers[[#This Row],[IP/GS]]&lt;&gt;0,Pitchers[[#This Row],[ER/IP From Average]]*Pitchers[[#This Row],[IP/GS]],Pitchers[[#This Row],[ER/IP From Average]]*(Pitchers[[#This Row],[IP]]/Pitchers[[#This Row],[G]]))</f>
        <v>0.14633674163086766</v>
      </c>
      <c r="Z691" s="60">
        <f t="shared" si="50"/>
        <v>-1.245250220158802</v>
      </c>
      <c r="AA691" s="32">
        <f>IF(Pitchers[[#This Row],[W]]=0,0,Pitchers[[#This Row],[W]]/(Pitchers[[#This Row],[W]]+Pitchers[[#This Row],[L]]))</f>
        <v>0</v>
      </c>
      <c r="AB691" s="60"/>
    </row>
    <row r="692" spans="1:28" x14ac:dyDescent="0.25">
      <c r="A692" t="s">
        <v>4406</v>
      </c>
      <c r="B692" t="s">
        <v>11</v>
      </c>
      <c r="C692">
        <v>12</v>
      </c>
      <c r="D692">
        <v>0</v>
      </c>
      <c r="E692">
        <v>0</v>
      </c>
      <c r="F692">
        <v>0</v>
      </c>
      <c r="G692">
        <v>10.1</v>
      </c>
      <c r="H692">
        <v>7</v>
      </c>
      <c r="I692">
        <v>2</v>
      </c>
      <c r="J692">
        <v>10</v>
      </c>
      <c r="K692">
        <v>4</v>
      </c>
      <c r="L692">
        <v>1</v>
      </c>
      <c r="M692">
        <v>0</v>
      </c>
      <c r="N692">
        <v>0</v>
      </c>
      <c r="O692">
        <v>0</v>
      </c>
      <c r="P692">
        <v>0</v>
      </c>
      <c r="Q692">
        <v>3</v>
      </c>
      <c r="R692">
        <v>1.74</v>
      </c>
      <c r="S692">
        <v>1.06</v>
      </c>
      <c r="T692">
        <f t="shared" si="48"/>
        <v>0</v>
      </c>
      <c r="U692">
        <f t="shared" si="49"/>
        <v>0.19801980198019803</v>
      </c>
      <c r="V692" s="60">
        <f>U692-AVERAGEIFS(Pitchers[ER/IP],Pitchers[GS],"&gt;"&amp;0,Pitchers[IP],"&gt;"&amp;3)</f>
        <v>-0.37348079281912144</v>
      </c>
      <c r="W692" s="60">
        <f>IF(Pitchers[[#This Row],[IP/GS]]&lt;&gt;0,(Pitchers[[#This Row],[WHIP]]*$AH$5+$AI$5)/9*Pitchers[[#This Row],[IP/GS]],(Pitchers[[#This Row],[WHIP]]*$AH$5+$AI$5)/9*(Pitchers[[#This Row],[IP]]/Pitchers[[#This Row],[G]]))</f>
        <v>0.29434571428696038</v>
      </c>
      <c r="X692" s="60">
        <f>Pitchers[[#This Row],[Runs from WHIP]]-AVERAGEIFS(Pitchers[Runs from WHIP],Pitchers[GS],"&gt;"&amp;0,Pitchers[IP],"&gt;"&amp;3)</f>
        <v>-5.3915701918378991</v>
      </c>
      <c r="Y692" s="60">
        <f>IF(Pitchers[[#This Row],[IP/GS]]&lt;&gt;0,Pitchers[[#This Row],[ER/IP From Average]]*Pitchers[[#This Row],[IP/GS]],Pitchers[[#This Row],[ER/IP From Average]]*(Pitchers[[#This Row],[IP]]/Pitchers[[#This Row],[G]]))</f>
        <v>-0.3143463339560939</v>
      </c>
      <c r="Z692" s="60">
        <f t="shared" si="50"/>
        <v>-1.5634905847392104</v>
      </c>
      <c r="AA692" s="32">
        <f>IF(Pitchers[[#This Row],[W]]=0,0,Pitchers[[#This Row],[W]]/(Pitchers[[#This Row],[W]]+Pitchers[[#This Row],[L]]))</f>
        <v>0</v>
      </c>
      <c r="AB692" s="60"/>
    </row>
    <row r="693" spans="1:28" x14ac:dyDescent="0.25">
      <c r="A693" t="s">
        <v>1362</v>
      </c>
      <c r="B693" t="s">
        <v>14</v>
      </c>
      <c r="C693">
        <v>10</v>
      </c>
      <c r="D693">
        <v>0</v>
      </c>
      <c r="E693">
        <v>0</v>
      </c>
      <c r="F693">
        <v>0</v>
      </c>
      <c r="G693">
        <v>10.1</v>
      </c>
      <c r="H693">
        <v>10</v>
      </c>
      <c r="I693">
        <v>6</v>
      </c>
      <c r="J693">
        <v>10</v>
      </c>
      <c r="K693">
        <v>5</v>
      </c>
      <c r="L693">
        <v>2</v>
      </c>
      <c r="M693">
        <v>1</v>
      </c>
      <c r="N693">
        <v>0</v>
      </c>
      <c r="O693">
        <v>0</v>
      </c>
      <c r="P693">
        <v>0</v>
      </c>
      <c r="Q693">
        <v>1</v>
      </c>
      <c r="R693">
        <v>5.23</v>
      </c>
      <c r="S693">
        <v>1.45</v>
      </c>
      <c r="T693">
        <f t="shared" si="48"/>
        <v>0</v>
      </c>
      <c r="U693">
        <f t="shared" si="49"/>
        <v>0.59405940594059403</v>
      </c>
      <c r="V693" s="60">
        <f>U693-AVERAGEIFS(Pitchers[ER/IP],Pitchers[GS],"&gt;"&amp;0,Pitchers[IP],"&gt;"&amp;3)</f>
        <v>2.255881114127456E-2</v>
      </c>
      <c r="W693" s="60">
        <f>IF(Pitchers[[#This Row],[IP/GS]]&lt;&gt;0,(Pitchers[[#This Row],[WHIP]]*$AH$5+$AI$5)/9*Pitchers[[#This Row],[IP/GS]],(Pitchers[[#This Row],[WHIP]]*$AH$5+$AI$5)/9*(Pitchers[[#This Row],[IP]]/Pitchers[[#This Row],[G]]))</f>
        <v>0.55771784266101321</v>
      </c>
      <c r="X693" s="60">
        <f>Pitchers[[#This Row],[Runs from WHIP]]-AVERAGEIFS(Pitchers[Runs from WHIP],Pitchers[GS],"&gt;"&amp;0,Pitchers[IP],"&gt;"&amp;3)</f>
        <v>-5.128198063463846</v>
      </c>
      <c r="Y693" s="60">
        <f>IF(Pitchers[[#This Row],[IP/GS]]&lt;&gt;0,Pitchers[[#This Row],[ER/IP From Average]]*Pitchers[[#This Row],[IP/GS]],Pitchers[[#This Row],[ER/IP From Average]]*(Pitchers[[#This Row],[IP]]/Pitchers[[#This Row],[G]]))</f>
        <v>2.2784399252687305E-2</v>
      </c>
      <c r="Z693" s="60">
        <f t="shared" si="50"/>
        <v>-1.3584057238892839</v>
      </c>
      <c r="AA693" s="32">
        <f>IF(Pitchers[[#This Row],[W]]=0,0,Pitchers[[#This Row],[W]]/(Pitchers[[#This Row],[W]]+Pitchers[[#This Row],[L]]))</f>
        <v>1</v>
      </c>
      <c r="AB693" s="60"/>
    </row>
    <row r="694" spans="1:28" x14ac:dyDescent="0.25">
      <c r="A694" t="s">
        <v>1147</v>
      </c>
      <c r="B694" t="s">
        <v>8</v>
      </c>
      <c r="C694">
        <v>4</v>
      </c>
      <c r="D694">
        <v>1</v>
      </c>
      <c r="E694">
        <v>0</v>
      </c>
      <c r="F694">
        <v>0</v>
      </c>
      <c r="G694">
        <v>10.1</v>
      </c>
      <c r="H694">
        <v>11</v>
      </c>
      <c r="I694">
        <v>8</v>
      </c>
      <c r="J694">
        <v>11</v>
      </c>
      <c r="K694">
        <v>9</v>
      </c>
      <c r="L694">
        <v>2</v>
      </c>
      <c r="M694">
        <v>0</v>
      </c>
      <c r="N694">
        <v>2</v>
      </c>
      <c r="O694">
        <v>0</v>
      </c>
      <c r="P694">
        <v>0</v>
      </c>
      <c r="Q694">
        <v>0</v>
      </c>
      <c r="R694">
        <v>6.97</v>
      </c>
      <c r="S694">
        <v>1.94</v>
      </c>
      <c r="T694">
        <f t="shared" ref="T694:T697" si="51">IF(D694=0,0,G694/D694)</f>
        <v>10.1</v>
      </c>
      <c r="U694">
        <f t="shared" ref="U694:U697" si="52">IF(G694=0,0,I694/G694)</f>
        <v>0.79207920792079212</v>
      </c>
      <c r="V694" s="60">
        <f>U694-AVERAGEIFS(Pitchers[ER/IP],Pitchers[GS],"&gt;"&amp;0,Pitchers[IP],"&gt;"&amp;3)</f>
        <v>0.22057861312147264</v>
      </c>
      <c r="W694" s="60">
        <f>IF(Pitchers[[#This Row],[IP/GS]]&lt;&gt;0,(Pitchers[[#This Row],[WHIP]]*$AH$5+$AI$5)/9*Pitchers[[#This Row],[IP/GS]],(Pitchers[[#This Row],[WHIP]]*$AH$5+$AI$5)/9*(Pitchers[[#This Row],[IP]]/Pitchers[[#This Row],[G]]))</f>
        <v>8.1465749113066384</v>
      </c>
      <c r="X694" s="60">
        <f>Pitchers[[#This Row],[Runs from WHIP]]-AVERAGEIFS(Pitchers[Runs from WHIP],Pitchers[GS],"&gt;"&amp;0,Pitchers[IP],"&gt;"&amp;3)</f>
        <v>2.4606590051817792</v>
      </c>
      <c r="Y694" s="60">
        <f>IF(Pitchers[[#This Row],[IP/GS]]&lt;&gt;0,Pitchers[[#This Row],[ER/IP From Average]]*Pitchers[[#This Row],[IP/GS]],Pitchers[[#This Row],[ER/IP From Average]]*(Pitchers[[#This Row],[IP]]/Pitchers[[#This Row],[G]]))</f>
        <v>2.2278439925268736</v>
      </c>
      <c r="Z694" s="60">
        <f t="shared" ref="Z694:Z697" si="53">AVERAGE(X694,X694,Y694,Y694,Y694)/1.5</f>
        <v>1.5473133317258903</v>
      </c>
      <c r="AA694" s="32">
        <f>IF(Pitchers[[#This Row],[W]]=0,0,Pitchers[[#This Row],[W]]/(Pitchers[[#This Row],[W]]+Pitchers[[#This Row],[L]]))</f>
        <v>0</v>
      </c>
      <c r="AB694" s="60"/>
    </row>
    <row r="695" spans="1:28" x14ac:dyDescent="0.25">
      <c r="A695" t="s">
        <v>3682</v>
      </c>
      <c r="B695" t="s">
        <v>219</v>
      </c>
      <c r="C695">
        <v>10</v>
      </c>
      <c r="D695">
        <v>0</v>
      </c>
      <c r="E695">
        <v>0</v>
      </c>
      <c r="F695">
        <v>0</v>
      </c>
      <c r="G695">
        <v>10.1</v>
      </c>
      <c r="H695">
        <v>6</v>
      </c>
      <c r="I695">
        <v>5</v>
      </c>
      <c r="J695">
        <v>10</v>
      </c>
      <c r="K695">
        <v>6</v>
      </c>
      <c r="L695">
        <v>2</v>
      </c>
      <c r="M695">
        <v>0</v>
      </c>
      <c r="N695">
        <v>0</v>
      </c>
      <c r="O695">
        <v>0</v>
      </c>
      <c r="P695">
        <v>1</v>
      </c>
      <c r="Q695">
        <v>1</v>
      </c>
      <c r="R695">
        <v>4.3499999999999996</v>
      </c>
      <c r="S695">
        <v>1.1599999999999999</v>
      </c>
      <c r="T695">
        <f t="shared" si="51"/>
        <v>0</v>
      </c>
      <c r="U695">
        <f t="shared" si="52"/>
        <v>0.49504950495049505</v>
      </c>
      <c r="V695" s="60">
        <f>U695-AVERAGEIFS(Pitchers[ER/IP],Pitchers[GS],"&gt;"&amp;0,Pitchers[IP],"&gt;"&amp;3)</f>
        <v>-7.6451089848824427E-2</v>
      </c>
      <c r="W695" s="60">
        <f>IF(Pitchers[[#This Row],[IP/GS]]&lt;&gt;0,(Pitchers[[#This Row],[WHIP]]*$AH$5+$AI$5)/9*Pitchers[[#This Row],[IP/GS]],(Pitchers[[#This Row],[WHIP]]*$AH$5+$AI$5)/9*(Pitchers[[#This Row],[IP]]/Pitchers[[#This Row],[G]]))</f>
        <v>0.40565152009734234</v>
      </c>
      <c r="X695" s="60">
        <f>Pitchers[[#This Row],[Runs from WHIP]]-AVERAGEIFS(Pitchers[Runs from WHIP],Pitchers[GS],"&gt;"&amp;0,Pitchers[IP],"&gt;"&amp;3)</f>
        <v>-5.2802643860275165</v>
      </c>
      <c r="Y695" s="60">
        <f>IF(Pitchers[[#This Row],[IP/GS]]&lt;&gt;0,Pitchers[[#This Row],[ER/IP From Average]]*Pitchers[[#This Row],[IP/GS]],Pitchers[[#This Row],[ER/IP From Average]]*(Pitchers[[#This Row],[IP]]/Pitchers[[#This Row],[G]]))</f>
        <v>-7.7215600747312665E-2</v>
      </c>
      <c r="Z695" s="60">
        <f t="shared" si="53"/>
        <v>-1.438956743239596</v>
      </c>
      <c r="AA695" s="32">
        <f>IF(Pitchers[[#This Row],[W]]=0,0,Pitchers[[#This Row],[W]]/(Pitchers[[#This Row],[W]]+Pitchers[[#This Row],[L]]))</f>
        <v>0</v>
      </c>
      <c r="AB695" s="60"/>
    </row>
    <row r="696" spans="1:28" x14ac:dyDescent="0.25">
      <c r="A696" t="s">
        <v>595</v>
      </c>
      <c r="B696" t="s">
        <v>361</v>
      </c>
      <c r="C696">
        <v>13</v>
      </c>
      <c r="D696">
        <v>0</v>
      </c>
      <c r="E696">
        <v>0</v>
      </c>
      <c r="F696">
        <v>0</v>
      </c>
      <c r="G696">
        <v>10.1</v>
      </c>
      <c r="H696">
        <v>10</v>
      </c>
      <c r="I696">
        <v>4</v>
      </c>
      <c r="J696">
        <v>10</v>
      </c>
      <c r="K696">
        <v>7</v>
      </c>
      <c r="L696">
        <v>2</v>
      </c>
      <c r="M696">
        <v>0</v>
      </c>
      <c r="N696">
        <v>1</v>
      </c>
      <c r="O696">
        <v>1</v>
      </c>
      <c r="P696">
        <v>0</v>
      </c>
      <c r="Q696">
        <v>2</v>
      </c>
      <c r="R696">
        <v>3.48</v>
      </c>
      <c r="S696">
        <v>1.65</v>
      </c>
      <c r="T696">
        <f t="shared" si="51"/>
        <v>0</v>
      </c>
      <c r="U696">
        <f t="shared" si="52"/>
        <v>0.39603960396039606</v>
      </c>
      <c r="V696" s="60">
        <f>U696-AVERAGEIFS(Pitchers[ER/IP],Pitchers[GS],"&gt;"&amp;0,Pitchers[IP],"&gt;"&amp;3)</f>
        <v>-0.17546099083892341</v>
      </c>
      <c r="W696" s="60">
        <f>IF(Pitchers[[#This Row],[IP/GS]]&lt;&gt;0,(Pitchers[[#This Row],[WHIP]]*$AH$5+$AI$5)/9*Pitchers[[#This Row],[IP/GS]],(Pitchers[[#This Row],[WHIP]]*$AH$5+$AI$5)/9*(Pitchers[[#This Row],[IP]]/Pitchers[[#This Row],[G]]))</f>
        <v>0.50968551428230235</v>
      </c>
      <c r="X696" s="60">
        <f>Pitchers[[#This Row],[Runs from WHIP]]-AVERAGEIFS(Pitchers[Runs from WHIP],Pitchers[GS],"&gt;"&amp;0,Pitchers[IP],"&gt;"&amp;3)</f>
        <v>-5.176230391842557</v>
      </c>
      <c r="Y696" s="60">
        <f>IF(Pitchers[[#This Row],[IP/GS]]&lt;&gt;0,Pitchers[[#This Row],[ER/IP From Average]]*Pitchers[[#This Row],[IP/GS]],Pitchers[[#This Row],[ER/IP From Average]]*(Pitchers[[#This Row],[IP]]/Pitchers[[#This Row],[G]]))</f>
        <v>-0.13631969288254819</v>
      </c>
      <c r="Z696" s="60">
        <f t="shared" si="53"/>
        <v>-1.4348559816443676</v>
      </c>
      <c r="AA696" s="32">
        <f>IF(Pitchers[[#This Row],[W]]=0,0,Pitchers[[#This Row],[W]]/(Pitchers[[#This Row],[W]]+Pitchers[[#This Row],[L]]))</f>
        <v>0</v>
      </c>
      <c r="AB696" s="60"/>
    </row>
    <row r="697" spans="1:28" x14ac:dyDescent="0.25">
      <c r="A697" t="s">
        <v>680</v>
      </c>
      <c r="B697" t="s">
        <v>31</v>
      </c>
      <c r="C697">
        <v>14</v>
      </c>
      <c r="D697">
        <v>0</v>
      </c>
      <c r="E697">
        <v>0</v>
      </c>
      <c r="F697">
        <v>0</v>
      </c>
      <c r="G697">
        <v>10</v>
      </c>
      <c r="H697">
        <v>2</v>
      </c>
      <c r="I697">
        <v>4</v>
      </c>
      <c r="J697">
        <v>18</v>
      </c>
      <c r="K697">
        <v>4</v>
      </c>
      <c r="L697">
        <v>1</v>
      </c>
      <c r="M697">
        <v>2</v>
      </c>
      <c r="N697">
        <v>1</v>
      </c>
      <c r="O697">
        <v>0</v>
      </c>
      <c r="P697">
        <v>0</v>
      </c>
      <c r="Q697">
        <v>1</v>
      </c>
      <c r="R697">
        <v>3.6</v>
      </c>
      <c r="S697">
        <v>0.6</v>
      </c>
      <c r="T697">
        <f t="shared" si="51"/>
        <v>0</v>
      </c>
      <c r="U697">
        <f t="shared" si="52"/>
        <v>0.4</v>
      </c>
      <c r="V697" s="60">
        <f>U697-AVERAGEIFS(Pitchers[ER/IP],Pitchers[GS],"&gt;"&amp;0,Pitchers[IP],"&gt;"&amp;3)</f>
        <v>-0.17150059479931945</v>
      </c>
      <c r="W697" s="60">
        <f>IF(Pitchers[[#This Row],[IP/GS]]&lt;&gt;0,(Pitchers[[#This Row],[WHIP]]*$AH$5+$AI$5)/9*Pitchers[[#This Row],[IP/GS]],(Pitchers[[#This Row],[WHIP]]*$AH$5+$AI$5)/9*(Pitchers[[#This Row],[IP]]/Pitchers[[#This Row],[G]]))</f>
        <v>7.9212310863223945E-2</v>
      </c>
      <c r="X697" s="60">
        <f>Pitchers[[#This Row],[Runs from WHIP]]-AVERAGEIFS(Pitchers[Runs from WHIP],Pitchers[GS],"&gt;"&amp;0,Pitchers[IP],"&gt;"&amp;3)</f>
        <v>-5.6067035952616351</v>
      </c>
      <c r="Y697" s="60">
        <f>IF(Pitchers[[#This Row],[IP/GS]]&lt;&gt;0,Pitchers[[#This Row],[ER/IP From Average]]*Pitchers[[#This Row],[IP/GS]],Pitchers[[#This Row],[ER/IP From Average]]*(Pitchers[[#This Row],[IP]]/Pitchers[[#This Row],[G]]))</f>
        <v>-0.12250042485665676</v>
      </c>
      <c r="Z697" s="60">
        <f t="shared" si="53"/>
        <v>-1.5441211286790988</v>
      </c>
      <c r="AA697" s="32">
        <f>IF(Pitchers[[#This Row],[W]]=0,0,Pitchers[[#This Row],[W]]/(Pitchers[[#This Row],[W]]+Pitchers[[#This Row],[L]]))</f>
        <v>0.66666666666666663</v>
      </c>
      <c r="AB697" s="60"/>
    </row>
    <row r="698" spans="1:28" x14ac:dyDescent="0.25">
      <c r="A698" t="s">
        <v>635</v>
      </c>
      <c r="B698" t="s">
        <v>11</v>
      </c>
      <c r="C698">
        <v>10</v>
      </c>
      <c r="D698">
        <v>0</v>
      </c>
      <c r="E698">
        <v>0</v>
      </c>
      <c r="F698">
        <v>0</v>
      </c>
      <c r="G698">
        <v>10</v>
      </c>
      <c r="H698">
        <v>9</v>
      </c>
      <c r="I698">
        <v>4</v>
      </c>
      <c r="J698">
        <v>12</v>
      </c>
      <c r="K698">
        <v>7</v>
      </c>
      <c r="L698">
        <v>0</v>
      </c>
      <c r="M698">
        <v>0</v>
      </c>
      <c r="N698">
        <v>0</v>
      </c>
      <c r="O698">
        <v>0</v>
      </c>
      <c r="P698">
        <v>0</v>
      </c>
      <c r="Q698">
        <v>0</v>
      </c>
      <c r="R698">
        <v>3.6</v>
      </c>
      <c r="S698">
        <v>1.6</v>
      </c>
      <c r="T698">
        <f t="shared" ref="T698:T699" si="54">IF(D698=0,0,G698/D698)</f>
        <v>0</v>
      </c>
      <c r="U698">
        <f t="shared" ref="U698:U699" si="55">IF(G698=0,0,I698/G698)</f>
        <v>0.4</v>
      </c>
      <c r="V698" s="60">
        <f>U698-AVERAGEIFS(Pitchers[ER/IP],Pitchers[GS],"&gt;"&amp;0,Pitchers[IP],"&gt;"&amp;3)</f>
        <v>-0.17150059479931945</v>
      </c>
      <c r="W698" s="60">
        <f>IF(Pitchers[[#This Row],[IP/GS]]&lt;&gt;0,(Pitchers[[#This Row],[WHIP]]*$AH$5+$AI$5)/9*Pitchers[[#This Row],[IP/GS]],(Pitchers[[#This Row],[WHIP]]*$AH$5+$AI$5)/9*(Pitchers[[#This Row],[IP]]/Pitchers[[#This Row],[G]]))</f>
        <v>0.63007211593118628</v>
      </c>
      <c r="X698" s="60">
        <f>Pitchers[[#This Row],[Runs from WHIP]]-AVERAGEIFS(Pitchers[Runs from WHIP],Pitchers[GS],"&gt;"&amp;0,Pitchers[IP],"&gt;"&amp;3)</f>
        <v>-5.0558437901936726</v>
      </c>
      <c r="Y698" s="60">
        <f>IF(Pitchers[[#This Row],[IP/GS]]&lt;&gt;0,Pitchers[[#This Row],[ER/IP From Average]]*Pitchers[[#This Row],[IP/GS]],Pitchers[[#This Row],[ER/IP From Average]]*(Pitchers[[#This Row],[IP]]/Pitchers[[#This Row],[G]]))</f>
        <v>-0.17150059479931945</v>
      </c>
      <c r="Z698" s="60">
        <f t="shared" ref="Z698:Z699" si="56">AVERAGE(X698,X698,Y698,Y698,Y698)/1.5</f>
        <v>-1.4168252486380404</v>
      </c>
      <c r="AA698" s="32">
        <f>IF(Pitchers[[#This Row],[W]]=0,0,Pitchers[[#This Row],[W]]/(Pitchers[[#This Row],[W]]+Pitchers[[#This Row],[L]]))</f>
        <v>0</v>
      </c>
      <c r="AB698" s="60"/>
    </row>
    <row r="699" spans="1:28" x14ac:dyDescent="0.25">
      <c r="A699" t="s">
        <v>696</v>
      </c>
      <c r="B699" t="s">
        <v>28</v>
      </c>
      <c r="C699">
        <v>9</v>
      </c>
      <c r="D699">
        <v>0</v>
      </c>
      <c r="E699">
        <v>0</v>
      </c>
      <c r="F699">
        <v>0</v>
      </c>
      <c r="G699">
        <v>10</v>
      </c>
      <c r="H699">
        <v>11</v>
      </c>
      <c r="I699">
        <v>5</v>
      </c>
      <c r="J699">
        <v>11</v>
      </c>
      <c r="K699">
        <v>7</v>
      </c>
      <c r="L699">
        <v>1</v>
      </c>
      <c r="M699">
        <v>1</v>
      </c>
      <c r="N699">
        <v>0</v>
      </c>
      <c r="O699">
        <v>0</v>
      </c>
      <c r="P699">
        <v>0</v>
      </c>
      <c r="Q699">
        <v>0</v>
      </c>
      <c r="R699">
        <v>4.5</v>
      </c>
      <c r="S699">
        <v>1.8</v>
      </c>
      <c r="T699">
        <f t="shared" si="54"/>
        <v>0</v>
      </c>
      <c r="U699">
        <f t="shared" si="55"/>
        <v>0.5</v>
      </c>
      <c r="V699" s="60">
        <f>U699-AVERAGEIFS(Pitchers[ER/IP],Pitchers[GS],"&gt;"&amp;0,Pitchers[IP],"&gt;"&amp;3)</f>
        <v>-7.1500594799319472E-2</v>
      </c>
      <c r="W699" s="60">
        <f>IF(Pitchers[[#This Row],[IP/GS]]&lt;&gt;0,(Pitchers[[#This Row],[WHIP]]*$AH$5+$AI$5)/9*Pitchers[[#This Row],[IP/GS]],(Pitchers[[#This Row],[WHIP]]*$AH$5+$AI$5)/9*(Pitchers[[#This Row],[IP]]/Pitchers[[#This Row],[G]]))</f>
        <v>0.81545232452857874</v>
      </c>
      <c r="X699" s="60">
        <f>Pitchers[[#This Row],[Runs from WHIP]]-AVERAGEIFS(Pitchers[Runs from WHIP],Pitchers[GS],"&gt;"&amp;0,Pitchers[IP],"&gt;"&amp;3)</f>
        <v>-4.8704635815962805</v>
      </c>
      <c r="Y699" s="60">
        <f>IF(Pitchers[[#This Row],[IP/GS]]&lt;&gt;0,Pitchers[[#This Row],[ER/IP From Average]]*Pitchers[[#This Row],[IP/GS]],Pitchers[[#This Row],[ER/IP From Average]]*(Pitchers[[#This Row],[IP]]/Pitchers[[#This Row],[G]]))</f>
        <v>-7.944510533257719E-2</v>
      </c>
      <c r="Z699" s="60">
        <f t="shared" si="56"/>
        <v>-1.3305683305587059</v>
      </c>
      <c r="AA699" s="32">
        <f>IF(Pitchers[[#This Row],[W]]=0,0,Pitchers[[#This Row],[W]]/(Pitchers[[#This Row],[W]]+Pitchers[[#This Row],[L]]))</f>
        <v>1</v>
      </c>
      <c r="AB699" s="60"/>
    </row>
    <row r="700" spans="1:28" x14ac:dyDescent="0.25">
      <c r="A700" t="s">
        <v>536</v>
      </c>
      <c r="B700" t="s">
        <v>2</v>
      </c>
      <c r="C700">
        <v>2</v>
      </c>
      <c r="D700">
        <v>2</v>
      </c>
      <c r="E700">
        <v>0</v>
      </c>
      <c r="F700">
        <v>0</v>
      </c>
      <c r="G700">
        <v>10</v>
      </c>
      <c r="H700">
        <v>3</v>
      </c>
      <c r="I700">
        <v>0</v>
      </c>
      <c r="J700">
        <v>9</v>
      </c>
      <c r="K700">
        <v>1</v>
      </c>
      <c r="L700">
        <v>0</v>
      </c>
      <c r="M700">
        <v>0</v>
      </c>
      <c r="N700">
        <v>0</v>
      </c>
      <c r="O700">
        <v>0</v>
      </c>
      <c r="P700">
        <v>0</v>
      </c>
      <c r="Q700">
        <v>0</v>
      </c>
      <c r="R700">
        <v>0</v>
      </c>
      <c r="S700">
        <v>0.4</v>
      </c>
      <c r="T700">
        <f t="shared" ref="T700:T707" si="57">IF(D700=0,0,G700/D700)</f>
        <v>5</v>
      </c>
      <c r="U700">
        <f t="shared" ref="U700:U707" si="58">IF(G700=0,0,I700/G700)</f>
        <v>0</v>
      </c>
      <c r="V700" s="60">
        <f>U700-AVERAGEIFS(Pitchers[ER/IP],Pitchers[GS],"&gt;"&amp;0,Pitchers[IP],"&gt;"&amp;3)</f>
        <v>-0.57150059479931947</v>
      </c>
      <c r="W700" s="60">
        <f>IF(Pitchers[[#This Row],[IP/GS]]&lt;&gt;0,(Pitchers[[#This Row],[WHIP]]*$AH$5+$AI$5)/9*Pitchers[[#This Row],[IP/GS]],(Pitchers[[#This Row],[WHIP]]*$AH$5+$AI$5)/9*(Pitchers[[#This Row],[IP]]/Pitchers[[#This Row],[G]]))</f>
        <v>3.5311295319894929E-2</v>
      </c>
      <c r="X700" s="60">
        <f>Pitchers[[#This Row],[Runs from WHIP]]-AVERAGEIFS(Pitchers[Runs from WHIP],Pitchers[GS],"&gt;"&amp;0,Pitchers[IP],"&gt;"&amp;3)</f>
        <v>-5.6506046108049643</v>
      </c>
      <c r="Y700" s="60">
        <f>IF(Pitchers[[#This Row],[IP/GS]]&lt;&gt;0,Pitchers[[#This Row],[ER/IP From Average]]*Pitchers[[#This Row],[IP/GS]],Pitchers[[#This Row],[ER/IP From Average]]*(Pitchers[[#This Row],[IP]]/Pitchers[[#This Row],[G]]))</f>
        <v>-2.8575029739965974</v>
      </c>
      <c r="Z700" s="60">
        <f t="shared" ref="Z700:Z707" si="59">AVERAGE(X700,X700,Y700,Y700,Y700)/1.5</f>
        <v>-2.6498290858132956</v>
      </c>
      <c r="AA700" s="32">
        <f>IF(Pitchers[[#This Row],[W]]=0,0,Pitchers[[#This Row],[W]]/(Pitchers[[#This Row],[W]]+Pitchers[[#This Row],[L]]))</f>
        <v>0</v>
      </c>
      <c r="AB700" s="60"/>
    </row>
    <row r="701" spans="1:28" x14ac:dyDescent="0.25">
      <c r="A701" t="s">
        <v>750</v>
      </c>
      <c r="B701" t="s">
        <v>218</v>
      </c>
      <c r="C701">
        <v>7</v>
      </c>
      <c r="D701">
        <v>0</v>
      </c>
      <c r="E701">
        <v>0</v>
      </c>
      <c r="F701">
        <v>0</v>
      </c>
      <c r="G701">
        <v>10</v>
      </c>
      <c r="H701">
        <v>10</v>
      </c>
      <c r="I701">
        <v>3</v>
      </c>
      <c r="J701">
        <v>11</v>
      </c>
      <c r="K701">
        <v>7</v>
      </c>
      <c r="L701">
        <v>2</v>
      </c>
      <c r="M701">
        <v>0</v>
      </c>
      <c r="N701">
        <v>0</v>
      </c>
      <c r="O701">
        <v>0</v>
      </c>
      <c r="P701">
        <v>0</v>
      </c>
      <c r="Q701">
        <v>0</v>
      </c>
      <c r="R701">
        <v>2.7</v>
      </c>
      <c r="S701">
        <v>1.7</v>
      </c>
      <c r="T701">
        <f t="shared" si="57"/>
        <v>0</v>
      </c>
      <c r="U701">
        <f t="shared" si="58"/>
        <v>0.3</v>
      </c>
      <c r="V701" s="60">
        <f>U701-AVERAGEIFS(Pitchers[ER/IP],Pitchers[GS],"&gt;"&amp;0,Pitchers[IP],"&gt;"&amp;3)</f>
        <v>-0.27150059479931948</v>
      </c>
      <c r="W701" s="60">
        <f>IF(Pitchers[[#This Row],[IP/GS]]&lt;&gt;0,(Pitchers[[#This Row],[WHIP]]*$AH$5+$AI$5)/9*Pitchers[[#This Row],[IP/GS]],(Pitchers[[#This Row],[WHIP]]*$AH$5+$AI$5)/9*(Pitchers[[#This Row],[IP]]/Pitchers[[#This Row],[G]]))</f>
        <v>0.97427086286207654</v>
      </c>
      <c r="X701" s="60">
        <f>Pitchers[[#This Row],[Runs from WHIP]]-AVERAGEIFS(Pitchers[Runs from WHIP],Pitchers[GS],"&gt;"&amp;0,Pitchers[IP],"&gt;"&amp;3)</f>
        <v>-4.7116450432627826</v>
      </c>
      <c r="Y701" s="60">
        <f>IF(Pitchers[[#This Row],[IP/GS]]&lt;&gt;0,Pitchers[[#This Row],[ER/IP From Average]]*Pitchers[[#This Row],[IP/GS]],Pitchers[[#This Row],[ER/IP From Average]]*(Pitchers[[#This Row],[IP]]/Pitchers[[#This Row],[G]]))</f>
        <v>-0.38785799257045639</v>
      </c>
      <c r="Z701" s="60">
        <f t="shared" si="59"/>
        <v>-1.4115818752315912</v>
      </c>
      <c r="AA701" s="32">
        <f>IF(Pitchers[[#This Row],[W]]=0,0,Pitchers[[#This Row],[W]]/(Pitchers[[#This Row],[W]]+Pitchers[[#This Row],[L]]))</f>
        <v>0</v>
      </c>
      <c r="AB701" s="60"/>
    </row>
    <row r="702" spans="1:28" x14ac:dyDescent="0.25">
      <c r="A702" t="s">
        <v>4403</v>
      </c>
      <c r="B702" t="s">
        <v>13</v>
      </c>
      <c r="C702">
        <v>10</v>
      </c>
      <c r="D702">
        <v>0</v>
      </c>
      <c r="E702">
        <v>0</v>
      </c>
      <c r="F702">
        <v>0</v>
      </c>
      <c r="G702">
        <v>9.1999999999999993</v>
      </c>
      <c r="H702">
        <v>10</v>
      </c>
      <c r="I702">
        <v>5</v>
      </c>
      <c r="J702">
        <v>10</v>
      </c>
      <c r="K702">
        <v>2</v>
      </c>
      <c r="L702">
        <v>1</v>
      </c>
      <c r="M702">
        <v>1</v>
      </c>
      <c r="N702">
        <v>1</v>
      </c>
      <c r="O702">
        <v>0</v>
      </c>
      <c r="P702">
        <v>0</v>
      </c>
      <c r="Q702">
        <v>1</v>
      </c>
      <c r="R702">
        <v>4.66</v>
      </c>
      <c r="S702">
        <v>1.24</v>
      </c>
      <c r="T702">
        <f t="shared" si="57"/>
        <v>0</v>
      </c>
      <c r="U702">
        <f t="shared" si="58"/>
        <v>0.5434782608695653</v>
      </c>
      <c r="V702" s="60">
        <f>U702-AVERAGEIFS(Pitchers[ER/IP],Pitchers[GS],"&gt;"&amp;0,Pitchers[IP],"&gt;"&amp;3)</f>
        <v>-2.8022333929754173E-2</v>
      </c>
      <c r="W702" s="60">
        <f>IF(Pitchers[[#This Row],[IP/GS]]&lt;&gt;0,(Pitchers[[#This Row],[WHIP]]*$AH$5+$AI$5)/9*Pitchers[[#This Row],[IP/GS]],(Pitchers[[#This Row],[WHIP]]*$AH$5+$AI$5)/9*(Pitchers[[#This Row],[IP]]/Pitchers[[#This Row],[G]]))</f>
        <v>0.4077156261613421</v>
      </c>
      <c r="X702" s="60">
        <f>Pitchers[[#This Row],[Runs from WHIP]]-AVERAGEIFS(Pitchers[Runs from WHIP],Pitchers[GS],"&gt;"&amp;0,Pitchers[IP],"&gt;"&amp;3)</f>
        <v>-5.2782002799635173</v>
      </c>
      <c r="Y702" s="60">
        <f>IF(Pitchers[[#This Row],[IP/GS]]&lt;&gt;0,Pitchers[[#This Row],[ER/IP From Average]]*Pitchers[[#This Row],[IP/GS]],Pitchers[[#This Row],[ER/IP From Average]]*(Pitchers[[#This Row],[IP]]/Pitchers[[#This Row],[G]]))</f>
        <v>-2.5780547215373838E-2</v>
      </c>
      <c r="Z702" s="60">
        <f t="shared" si="59"/>
        <v>-1.4178322935430876</v>
      </c>
      <c r="AA702" s="32">
        <f>IF(Pitchers[[#This Row],[W]]=0,0,Pitchers[[#This Row],[W]]/(Pitchers[[#This Row],[W]]+Pitchers[[#This Row],[L]]))</f>
        <v>0.5</v>
      </c>
      <c r="AB702" s="60"/>
    </row>
    <row r="703" spans="1:28" x14ac:dyDescent="0.25">
      <c r="A703" t="s">
        <v>1430</v>
      </c>
      <c r="B703" t="s">
        <v>17</v>
      </c>
      <c r="C703">
        <v>6</v>
      </c>
      <c r="D703">
        <v>0</v>
      </c>
      <c r="E703">
        <v>0</v>
      </c>
      <c r="F703">
        <v>0</v>
      </c>
      <c r="G703">
        <v>9.1999999999999993</v>
      </c>
      <c r="H703">
        <v>12</v>
      </c>
      <c r="I703">
        <v>4</v>
      </c>
      <c r="J703">
        <v>6</v>
      </c>
      <c r="K703">
        <v>4</v>
      </c>
      <c r="L703">
        <v>0</v>
      </c>
      <c r="M703">
        <v>0</v>
      </c>
      <c r="N703">
        <v>0</v>
      </c>
      <c r="O703">
        <v>0</v>
      </c>
      <c r="P703">
        <v>0</v>
      </c>
      <c r="Q703">
        <v>0</v>
      </c>
      <c r="R703">
        <v>3.72</v>
      </c>
      <c r="S703">
        <v>1.66</v>
      </c>
      <c r="T703">
        <f t="shared" si="57"/>
        <v>0</v>
      </c>
      <c r="U703">
        <f t="shared" si="58"/>
        <v>0.43478260869565222</v>
      </c>
      <c r="V703" s="60">
        <f>U703-AVERAGEIFS(Pitchers[ER/IP],Pitchers[GS],"&gt;"&amp;0,Pitchers[IP],"&gt;"&amp;3)</f>
        <v>-0.13671798610366726</v>
      </c>
      <c r="W703" s="60">
        <f>IF(Pitchers[[#This Row],[IP/GS]]&lt;&gt;0,(Pitchers[[#This Row],[WHIP]]*$AH$5+$AI$5)/9*Pitchers[[#This Row],[IP/GS]],(Pitchers[[#This Row],[WHIP]]*$AH$5+$AI$5)/9*(Pitchers[[#This Row],[IP]]/Pitchers[[#This Row],[G]]))</f>
        <v>1.0138746667876379</v>
      </c>
      <c r="X703" s="60">
        <f>Pitchers[[#This Row],[Runs from WHIP]]-AVERAGEIFS(Pitchers[Runs from WHIP],Pitchers[GS],"&gt;"&amp;0,Pitchers[IP],"&gt;"&amp;3)</f>
        <v>-4.6720412393372213</v>
      </c>
      <c r="Y703" s="60">
        <f>IF(Pitchers[[#This Row],[IP/GS]]&lt;&gt;0,Pitchers[[#This Row],[ER/IP From Average]]*Pitchers[[#This Row],[IP/GS]],Pitchers[[#This Row],[ER/IP From Average]]*(Pitchers[[#This Row],[IP]]/Pitchers[[#This Row],[G]]))</f>
        <v>-0.20963424535895644</v>
      </c>
      <c r="Z703" s="60">
        <f t="shared" si="59"/>
        <v>-1.3297313619668414</v>
      </c>
      <c r="AA703" s="32">
        <f>IF(Pitchers[[#This Row],[W]]=0,0,Pitchers[[#This Row],[W]]/(Pitchers[[#This Row],[W]]+Pitchers[[#This Row],[L]]))</f>
        <v>0</v>
      </c>
      <c r="AB703" s="60"/>
    </row>
    <row r="704" spans="1:28" x14ac:dyDescent="0.25">
      <c r="A704" t="s">
        <v>4123</v>
      </c>
      <c r="B704" t="s">
        <v>12</v>
      </c>
      <c r="C704">
        <v>11</v>
      </c>
      <c r="D704">
        <v>0</v>
      </c>
      <c r="E704">
        <v>0</v>
      </c>
      <c r="F704">
        <v>0</v>
      </c>
      <c r="G704">
        <v>9.1999999999999993</v>
      </c>
      <c r="H704">
        <v>8</v>
      </c>
      <c r="I704">
        <v>5</v>
      </c>
      <c r="J704">
        <v>9</v>
      </c>
      <c r="K704">
        <v>5</v>
      </c>
      <c r="L704">
        <v>1</v>
      </c>
      <c r="M704">
        <v>1</v>
      </c>
      <c r="N704">
        <v>0</v>
      </c>
      <c r="O704">
        <v>0</v>
      </c>
      <c r="P704">
        <v>0</v>
      </c>
      <c r="Q704">
        <v>1</v>
      </c>
      <c r="R704">
        <v>4.66</v>
      </c>
      <c r="S704">
        <v>1.34</v>
      </c>
      <c r="T704">
        <f t="shared" si="57"/>
        <v>0</v>
      </c>
      <c r="U704">
        <f t="shared" si="58"/>
        <v>0.5434782608695653</v>
      </c>
      <c r="V704" s="60">
        <f>U704-AVERAGEIFS(Pitchers[ER/IP],Pitchers[GS],"&gt;"&amp;0,Pitchers[IP],"&gt;"&amp;3)</f>
        <v>-2.8022333929754173E-2</v>
      </c>
      <c r="W704" s="60">
        <f>IF(Pitchers[[#This Row],[IP/GS]]&lt;&gt;0,(Pitchers[[#This Row],[WHIP]]*$AH$5+$AI$5)/9*Pitchers[[#This Row],[IP/GS]],(Pitchers[[#This Row],[WHIP]]*$AH$5+$AI$5)/9*(Pitchers[[#This Row],[IP]]/Pitchers[[#This Row],[G]]))</f>
        <v>0.41407246835257094</v>
      </c>
      <c r="X704" s="60">
        <f>Pitchers[[#This Row],[Runs from WHIP]]-AVERAGEIFS(Pitchers[Runs from WHIP],Pitchers[GS],"&gt;"&amp;0,Pitchers[IP],"&gt;"&amp;3)</f>
        <v>-5.2718434377722883</v>
      </c>
      <c r="Y704" s="60">
        <f>IF(Pitchers[[#This Row],[IP/GS]]&lt;&gt;0,Pitchers[[#This Row],[ER/IP From Average]]*Pitchers[[#This Row],[IP/GS]],Pitchers[[#This Row],[ER/IP From Average]]*(Pitchers[[#This Row],[IP]]/Pitchers[[#This Row],[G]]))</f>
        <v>-2.3436861104885305E-2</v>
      </c>
      <c r="Z704" s="60">
        <f t="shared" si="59"/>
        <v>-1.415199661181231</v>
      </c>
      <c r="AA704" s="32">
        <f>IF(Pitchers[[#This Row],[W]]=0,0,Pitchers[[#This Row],[W]]/(Pitchers[[#This Row],[W]]+Pitchers[[#This Row],[L]]))</f>
        <v>1</v>
      </c>
      <c r="AB704" s="60"/>
    </row>
    <row r="705" spans="1:28" x14ac:dyDescent="0.25">
      <c r="A705" t="s">
        <v>1432</v>
      </c>
      <c r="B705" t="s">
        <v>1</v>
      </c>
      <c r="C705">
        <v>11</v>
      </c>
      <c r="D705">
        <v>5</v>
      </c>
      <c r="E705">
        <v>0</v>
      </c>
      <c r="F705">
        <v>0</v>
      </c>
      <c r="G705">
        <v>9.1999999999999993</v>
      </c>
      <c r="H705">
        <v>11</v>
      </c>
      <c r="I705">
        <v>5</v>
      </c>
      <c r="J705">
        <v>10</v>
      </c>
      <c r="K705">
        <v>5</v>
      </c>
      <c r="L705">
        <v>2</v>
      </c>
      <c r="M705">
        <v>0</v>
      </c>
      <c r="N705">
        <v>1</v>
      </c>
      <c r="O705">
        <v>0</v>
      </c>
      <c r="P705">
        <v>0</v>
      </c>
      <c r="Q705">
        <v>0</v>
      </c>
      <c r="R705">
        <v>4.66</v>
      </c>
      <c r="S705">
        <v>1.66</v>
      </c>
      <c r="T705">
        <f t="shared" si="57"/>
        <v>1.8399999999999999</v>
      </c>
      <c r="U705">
        <f t="shared" si="58"/>
        <v>0.5434782608695653</v>
      </c>
      <c r="V705" s="60">
        <f>U705-AVERAGEIFS(Pitchers[ER/IP],Pitchers[GS],"&gt;"&amp;0,Pitchers[IP],"&gt;"&amp;3)</f>
        <v>-2.8022333929754173E-2</v>
      </c>
      <c r="W705" s="60">
        <f>IF(Pitchers[[#This Row],[IP/GS]]&lt;&gt;0,(Pitchers[[#This Row],[WHIP]]*$AH$5+$AI$5)/9*Pitchers[[#This Row],[IP/GS]],(Pitchers[[#This Row],[WHIP]]*$AH$5+$AI$5)/9*(Pitchers[[#This Row],[IP]]/Pitchers[[#This Row],[G]]))</f>
        <v>1.2166496001451654</v>
      </c>
      <c r="X705" s="60">
        <f>Pitchers[[#This Row],[Runs from WHIP]]-AVERAGEIFS(Pitchers[Runs from WHIP],Pitchers[GS],"&gt;"&amp;0,Pitchers[IP],"&gt;"&amp;3)</f>
        <v>-4.4692663059796942</v>
      </c>
      <c r="Y705" s="60">
        <f>IF(Pitchers[[#This Row],[IP/GS]]&lt;&gt;0,Pitchers[[#This Row],[ER/IP From Average]]*Pitchers[[#This Row],[IP/GS]],Pitchers[[#This Row],[ER/IP From Average]]*(Pitchers[[#This Row],[IP]]/Pitchers[[#This Row],[G]]))</f>
        <v>-5.1561094430747675E-2</v>
      </c>
      <c r="Z705" s="60">
        <f t="shared" si="59"/>
        <v>-1.2124287860335505</v>
      </c>
      <c r="AA705" s="32">
        <f>IF(Pitchers[[#This Row],[W]]=0,0,Pitchers[[#This Row],[W]]/(Pitchers[[#This Row],[W]]+Pitchers[[#This Row],[L]]))</f>
        <v>0</v>
      </c>
      <c r="AB705" s="60"/>
    </row>
    <row r="706" spans="1:28" x14ac:dyDescent="0.25">
      <c r="A706" t="s">
        <v>1201</v>
      </c>
      <c r="B706" t="s">
        <v>14</v>
      </c>
      <c r="C706">
        <v>10</v>
      </c>
      <c r="D706">
        <v>0</v>
      </c>
      <c r="E706">
        <v>0</v>
      </c>
      <c r="F706">
        <v>0</v>
      </c>
      <c r="G706">
        <v>9.1</v>
      </c>
      <c r="H706">
        <v>15</v>
      </c>
      <c r="I706">
        <v>11</v>
      </c>
      <c r="J706">
        <v>10</v>
      </c>
      <c r="K706">
        <v>7</v>
      </c>
      <c r="L706">
        <v>2</v>
      </c>
      <c r="M706">
        <v>0</v>
      </c>
      <c r="N706">
        <v>0</v>
      </c>
      <c r="O706">
        <v>0</v>
      </c>
      <c r="P706">
        <v>0</v>
      </c>
      <c r="Q706">
        <v>1</v>
      </c>
      <c r="R706">
        <v>10.61</v>
      </c>
      <c r="S706">
        <v>2.36</v>
      </c>
      <c r="T706">
        <f t="shared" si="57"/>
        <v>0</v>
      </c>
      <c r="U706">
        <f t="shared" si="58"/>
        <v>1.2087912087912089</v>
      </c>
      <c r="V706" s="60">
        <f>U706-AVERAGEIFS(Pitchers[ER/IP],Pitchers[GS],"&gt;"&amp;0,Pitchers[IP],"&gt;"&amp;3)</f>
        <v>0.63729061399188947</v>
      </c>
      <c r="W706" s="60">
        <f>IF(Pitchers[[#This Row],[IP/GS]]&lt;&gt;0,(Pitchers[[#This Row],[WHIP]]*$AH$5+$AI$5)/9*Pitchers[[#This Row],[IP/GS]],(Pitchers[[#This Row],[WHIP]]*$AH$5+$AI$5)/9*(Pitchers[[#This Row],[IP]]/Pitchers[[#This Row],[G]]))</f>
        <v>0.93242697300517985</v>
      </c>
      <c r="X706" s="60">
        <f>Pitchers[[#This Row],[Runs from WHIP]]-AVERAGEIFS(Pitchers[Runs from WHIP],Pitchers[GS],"&gt;"&amp;0,Pitchers[IP],"&gt;"&amp;3)</f>
        <v>-4.7534889331196792</v>
      </c>
      <c r="Y706" s="60">
        <f>IF(Pitchers[[#This Row],[IP/GS]]&lt;&gt;0,Pitchers[[#This Row],[ER/IP From Average]]*Pitchers[[#This Row],[IP/GS]],Pitchers[[#This Row],[ER/IP From Average]]*(Pitchers[[#This Row],[IP]]/Pitchers[[#This Row],[G]]))</f>
        <v>0.5799344587326194</v>
      </c>
      <c r="Z706" s="60">
        <f t="shared" si="59"/>
        <v>-1.0356232653388666</v>
      </c>
      <c r="AA706" s="32">
        <f>IF(Pitchers[[#This Row],[W]]=0,0,Pitchers[[#This Row],[W]]/(Pitchers[[#This Row],[W]]+Pitchers[[#This Row],[L]]))</f>
        <v>0</v>
      </c>
      <c r="AB706" s="60"/>
    </row>
    <row r="707" spans="1:28" x14ac:dyDescent="0.25">
      <c r="A707" t="s">
        <v>608</v>
      </c>
      <c r="B707" t="s">
        <v>10</v>
      </c>
      <c r="C707">
        <v>6</v>
      </c>
      <c r="D707">
        <v>0</v>
      </c>
      <c r="E707">
        <v>0</v>
      </c>
      <c r="F707">
        <v>0</v>
      </c>
      <c r="G707">
        <v>9.1</v>
      </c>
      <c r="H707">
        <v>11</v>
      </c>
      <c r="I707">
        <v>10</v>
      </c>
      <c r="J707">
        <v>6</v>
      </c>
      <c r="K707">
        <v>9</v>
      </c>
      <c r="L707">
        <v>3</v>
      </c>
      <c r="M707">
        <v>0</v>
      </c>
      <c r="N707">
        <v>0</v>
      </c>
      <c r="O707">
        <v>0</v>
      </c>
      <c r="P707">
        <v>0</v>
      </c>
      <c r="Q707">
        <v>0</v>
      </c>
      <c r="R707">
        <v>9.64</v>
      </c>
      <c r="S707">
        <v>2.14</v>
      </c>
      <c r="T707">
        <f t="shared" si="57"/>
        <v>0</v>
      </c>
      <c r="U707">
        <f t="shared" si="58"/>
        <v>1.098901098901099</v>
      </c>
      <c r="V707" s="60">
        <f>U707-AVERAGEIFS(Pitchers[ER/IP],Pitchers[GS],"&gt;"&amp;0,Pitchers[IP],"&gt;"&amp;3)</f>
        <v>0.52740050410177952</v>
      </c>
      <c r="W707" s="60">
        <f>IF(Pitchers[[#This Row],[IP/GS]]&lt;&gt;0,(Pitchers[[#This Row],[WHIP]]*$AH$5+$AI$5)/9*Pitchers[[#This Row],[IP/GS]],(Pitchers[[#This Row],[WHIP]]*$AH$5+$AI$5)/9*(Pitchers[[#This Row],[IP]]/Pitchers[[#This Row],[G]]))</f>
        <v>1.3808136031408349</v>
      </c>
      <c r="X707" s="60">
        <f>Pitchers[[#This Row],[Runs from WHIP]]-AVERAGEIFS(Pitchers[Runs from WHIP],Pitchers[GS],"&gt;"&amp;0,Pitchers[IP],"&gt;"&amp;3)</f>
        <v>-4.3051023029840243</v>
      </c>
      <c r="Y707" s="60">
        <f>IF(Pitchers[[#This Row],[IP/GS]]&lt;&gt;0,Pitchers[[#This Row],[ER/IP From Average]]*Pitchers[[#This Row],[IP/GS]],Pitchers[[#This Row],[ER/IP From Average]]*(Pitchers[[#This Row],[IP]]/Pitchers[[#This Row],[G]]))</f>
        <v>0.79989076455436559</v>
      </c>
      <c r="Z707" s="60">
        <f t="shared" si="59"/>
        <v>-0.8280709749739934</v>
      </c>
      <c r="AA707" s="32">
        <f>IF(Pitchers[[#This Row],[W]]=0,0,Pitchers[[#This Row],[W]]/(Pitchers[[#This Row],[W]]+Pitchers[[#This Row],[L]]))</f>
        <v>0</v>
      </c>
      <c r="AB707" s="60"/>
    </row>
    <row r="708" spans="1:28" x14ac:dyDescent="0.25">
      <c r="A708" t="s">
        <v>1327</v>
      </c>
      <c r="B708" t="s">
        <v>31</v>
      </c>
      <c r="C708">
        <v>9</v>
      </c>
      <c r="D708">
        <v>0</v>
      </c>
      <c r="E708">
        <v>0</v>
      </c>
      <c r="F708">
        <v>0</v>
      </c>
      <c r="G708">
        <v>9.1</v>
      </c>
      <c r="H708">
        <v>9</v>
      </c>
      <c r="I708">
        <v>3</v>
      </c>
      <c r="J708">
        <v>11</v>
      </c>
      <c r="K708">
        <v>8</v>
      </c>
      <c r="L708">
        <v>1</v>
      </c>
      <c r="M708">
        <v>0</v>
      </c>
      <c r="N708">
        <v>1</v>
      </c>
      <c r="O708">
        <v>0</v>
      </c>
      <c r="P708">
        <v>0</v>
      </c>
      <c r="Q708">
        <v>0</v>
      </c>
      <c r="R708">
        <v>2.89</v>
      </c>
      <c r="S708">
        <v>1.82</v>
      </c>
      <c r="T708">
        <f t="shared" ref="T708:T719" si="60">IF(D708=0,0,G708/D708)</f>
        <v>0</v>
      </c>
      <c r="U708">
        <f t="shared" ref="U708:U719" si="61">IF(G708=0,0,I708/G708)</f>
        <v>0.32967032967032966</v>
      </c>
      <c r="V708" s="60">
        <f>U708-AVERAGEIFS(Pitchers[ER/IP],Pitchers[GS],"&gt;"&amp;0,Pitchers[IP],"&gt;"&amp;3)</f>
        <v>-0.24183026512898981</v>
      </c>
      <c r="W708" s="60">
        <f>IF(Pitchers[[#This Row],[IP/GS]]&lt;&gt;0,(Pitchers[[#This Row],[WHIP]]*$AH$5+$AI$5)/9*Pitchers[[#This Row],[IP/GS]],(Pitchers[[#This Row],[WHIP]]*$AH$5+$AI$5)/9*(Pitchers[[#This Row],[IP]]/Pitchers[[#This Row],[G]]))</f>
        <v>0.75256048513117613</v>
      </c>
      <c r="X708" s="60">
        <f>Pitchers[[#This Row],[Runs from WHIP]]-AVERAGEIFS(Pitchers[Runs from WHIP],Pitchers[GS],"&gt;"&amp;0,Pitchers[IP],"&gt;"&amp;3)</f>
        <v>-4.9333554209936832</v>
      </c>
      <c r="Y708" s="60">
        <f>IF(Pitchers[[#This Row],[IP/GS]]&lt;&gt;0,Pitchers[[#This Row],[ER/IP From Average]]*Pitchers[[#This Row],[IP/GS]],Pitchers[[#This Row],[ER/IP From Average]]*(Pitchers[[#This Row],[IP]]/Pitchers[[#This Row],[G]]))</f>
        <v>-0.24451726807486746</v>
      </c>
      <c r="Z708" s="60">
        <f t="shared" ref="Z708:Z719" si="62">AVERAGE(X708,X708,Y708,Y708,Y708)/1.5</f>
        <v>-1.4133683528282626</v>
      </c>
      <c r="AA708" s="90">
        <f>IF(Pitchers[[#This Row],[W]]=0,0,Pitchers[[#This Row],[W]]/(Pitchers[[#This Row],[W]]+Pitchers[[#This Row],[L]]))</f>
        <v>0</v>
      </c>
    </row>
    <row r="709" spans="1:28" x14ac:dyDescent="0.25">
      <c r="A709" t="s">
        <v>4122</v>
      </c>
      <c r="B709" t="s">
        <v>7</v>
      </c>
      <c r="C709">
        <v>17</v>
      </c>
      <c r="D709">
        <v>0</v>
      </c>
      <c r="E709">
        <v>0</v>
      </c>
      <c r="F709">
        <v>0</v>
      </c>
      <c r="G709">
        <v>9.1</v>
      </c>
      <c r="H709">
        <v>10</v>
      </c>
      <c r="I709">
        <v>11</v>
      </c>
      <c r="J709">
        <v>11</v>
      </c>
      <c r="K709">
        <v>8</v>
      </c>
      <c r="L709">
        <v>3</v>
      </c>
      <c r="M709">
        <v>1</v>
      </c>
      <c r="N709">
        <v>1</v>
      </c>
      <c r="O709">
        <v>0</v>
      </c>
      <c r="P709">
        <v>0</v>
      </c>
      <c r="Q709">
        <v>0</v>
      </c>
      <c r="R709">
        <v>10.61</v>
      </c>
      <c r="S709">
        <v>1.93</v>
      </c>
      <c r="T709">
        <f t="shared" si="60"/>
        <v>0</v>
      </c>
      <c r="U709">
        <f t="shared" si="61"/>
        <v>1.2087912087912089</v>
      </c>
      <c r="V709" s="60">
        <f>U709-AVERAGEIFS(Pitchers[ER/IP],Pitchers[GS],"&gt;"&amp;0,Pitchers[IP],"&gt;"&amp;3)</f>
        <v>0.63729061399188947</v>
      </c>
      <c r="W709" s="60">
        <f>IF(Pitchers[[#This Row],[IP/GS]]&lt;&gt;0,(Pitchers[[#This Row],[WHIP]]*$AH$5+$AI$5)/9*Pitchers[[#This Row],[IP/GS]],(Pitchers[[#This Row],[WHIP]]*$AH$5+$AI$5)/9*(Pitchers[[#This Row],[IP]]/Pitchers[[#This Row],[G]]))</f>
        <v>0.42898461304611651</v>
      </c>
      <c r="X709" s="60">
        <f>Pitchers[[#This Row],[Runs from WHIP]]-AVERAGEIFS(Pitchers[Runs from WHIP],Pitchers[GS],"&gt;"&amp;0,Pitchers[IP],"&gt;"&amp;3)</f>
        <v>-5.2569312930787424</v>
      </c>
      <c r="Y709" s="60">
        <f>IF(Pitchers[[#This Row],[IP/GS]]&lt;&gt;0,Pitchers[[#This Row],[ER/IP From Average]]*Pitchers[[#This Row],[IP/GS]],Pitchers[[#This Row],[ER/IP From Average]]*(Pitchers[[#This Row],[IP]]/Pitchers[[#This Row],[G]]))</f>
        <v>0.34113791690154083</v>
      </c>
      <c r="Z709" s="60">
        <f t="shared" si="62"/>
        <v>-1.2653931780603815</v>
      </c>
      <c r="AA709" s="90">
        <f>IF(Pitchers[[#This Row],[W]]=0,0,Pitchers[[#This Row],[W]]/(Pitchers[[#This Row],[W]]+Pitchers[[#This Row],[L]]))</f>
        <v>0.5</v>
      </c>
    </row>
    <row r="710" spans="1:28" x14ac:dyDescent="0.25">
      <c r="A710" t="s">
        <v>3591</v>
      </c>
      <c r="B710" t="s">
        <v>10</v>
      </c>
      <c r="C710">
        <v>6</v>
      </c>
      <c r="D710">
        <v>0</v>
      </c>
      <c r="E710">
        <v>0</v>
      </c>
      <c r="F710">
        <v>0</v>
      </c>
      <c r="G710">
        <v>9.1</v>
      </c>
      <c r="H710">
        <v>9</v>
      </c>
      <c r="I710">
        <v>2</v>
      </c>
      <c r="J710">
        <v>6</v>
      </c>
      <c r="K710">
        <v>4</v>
      </c>
      <c r="L710">
        <v>0</v>
      </c>
      <c r="M710">
        <v>0</v>
      </c>
      <c r="N710">
        <v>0</v>
      </c>
      <c r="O710">
        <v>0</v>
      </c>
      <c r="P710">
        <v>0</v>
      </c>
      <c r="Q710">
        <v>0</v>
      </c>
      <c r="R710">
        <v>1.93</v>
      </c>
      <c r="S710">
        <v>1.39</v>
      </c>
      <c r="T710">
        <f t="shared" si="60"/>
        <v>0</v>
      </c>
      <c r="U710">
        <f t="shared" si="61"/>
        <v>0.21978021978021978</v>
      </c>
      <c r="V710" s="60">
        <f>U710-AVERAGEIFS(Pitchers[ER/IP],Pitchers[GS],"&gt;"&amp;0,Pitchers[IP],"&gt;"&amp;3)</f>
        <v>-0.3517203750190997</v>
      </c>
      <c r="W710" s="60">
        <f>IF(Pitchers[[#This Row],[IP/GS]]&lt;&gt;0,(Pitchers[[#This Row],[WHIP]]*$AH$5+$AI$5)/9*Pitchers[[#This Row],[IP/GS]],(Pitchers[[#This Row],[WHIP]]*$AH$5+$AI$5)/9*(Pitchers[[#This Row],[IP]]/Pitchers[[#This Row],[G]]))</f>
        <v>0.79025217631879441</v>
      </c>
      <c r="X710" s="60">
        <f>Pitchers[[#This Row],[Runs from WHIP]]-AVERAGEIFS(Pitchers[Runs from WHIP],Pitchers[GS],"&gt;"&amp;0,Pitchers[IP],"&gt;"&amp;3)</f>
        <v>-4.8956637298060652</v>
      </c>
      <c r="Y710" s="60">
        <f>IF(Pitchers[[#This Row],[IP/GS]]&lt;&gt;0,Pitchers[[#This Row],[ER/IP From Average]]*Pitchers[[#This Row],[IP/GS]],Pitchers[[#This Row],[ER/IP From Average]]*(Pitchers[[#This Row],[IP]]/Pitchers[[#This Row],[G]]))</f>
        <v>-0.5334425687789679</v>
      </c>
      <c r="Z710" s="60">
        <f t="shared" si="62"/>
        <v>-1.5188873554598714</v>
      </c>
      <c r="AA710" s="90">
        <f>IF(Pitchers[[#This Row],[W]]=0,0,Pitchers[[#This Row],[W]]/(Pitchers[[#This Row],[W]]+Pitchers[[#This Row],[L]]))</f>
        <v>0</v>
      </c>
    </row>
    <row r="711" spans="1:28" x14ac:dyDescent="0.25">
      <c r="A711" t="s">
        <v>757</v>
      </c>
      <c r="B711" t="s">
        <v>2</v>
      </c>
      <c r="C711">
        <v>10</v>
      </c>
      <c r="D711">
        <v>0</v>
      </c>
      <c r="E711">
        <v>0</v>
      </c>
      <c r="F711">
        <v>0</v>
      </c>
      <c r="G711">
        <v>9</v>
      </c>
      <c r="H711">
        <v>3</v>
      </c>
      <c r="I711">
        <v>7</v>
      </c>
      <c r="J711">
        <v>12</v>
      </c>
      <c r="K711">
        <v>11</v>
      </c>
      <c r="L711">
        <v>0</v>
      </c>
      <c r="M711">
        <v>0</v>
      </c>
      <c r="N711">
        <v>0</v>
      </c>
      <c r="O711">
        <v>0</v>
      </c>
      <c r="P711">
        <v>0</v>
      </c>
      <c r="Q711">
        <v>1</v>
      </c>
      <c r="R711">
        <v>7</v>
      </c>
      <c r="S711">
        <v>1.56</v>
      </c>
      <c r="T711">
        <f t="shared" si="60"/>
        <v>0</v>
      </c>
      <c r="U711">
        <f t="shared" si="61"/>
        <v>0.77777777777777779</v>
      </c>
      <c r="V711" s="60">
        <f>U711-AVERAGEIFS(Pitchers[ER/IP],Pitchers[GS],"&gt;"&amp;0,Pitchers[IP],"&gt;"&amp;3)</f>
        <v>0.20627718297845832</v>
      </c>
      <c r="W711" s="60">
        <f>IF(Pitchers[[#This Row],[IP/GS]]&lt;&gt;0,(Pitchers[[#This Row],[WHIP]]*$AH$5+$AI$5)/9*Pitchers[[#This Row],[IP/GS]],(Pitchers[[#This Row],[WHIP]]*$AH$5+$AI$5)/9*(Pitchers[[#This Row],[IP]]/Pitchers[[#This Row],[G]]))</f>
        <v>0.54837460863205145</v>
      </c>
      <c r="X711" s="60">
        <f>Pitchers[[#This Row],[Runs from WHIP]]-AVERAGEIFS(Pitchers[Runs from WHIP],Pitchers[GS],"&gt;"&amp;0,Pitchers[IP],"&gt;"&amp;3)</f>
        <v>-5.1375412974928079</v>
      </c>
      <c r="Y711" s="60">
        <f>IF(Pitchers[[#This Row],[IP/GS]]&lt;&gt;0,Pitchers[[#This Row],[ER/IP From Average]]*Pitchers[[#This Row],[IP/GS]],Pitchers[[#This Row],[ER/IP From Average]]*(Pitchers[[#This Row],[IP]]/Pitchers[[#This Row],[G]]))</f>
        <v>0.1856494646806125</v>
      </c>
      <c r="Z711" s="60">
        <f t="shared" si="62"/>
        <v>-1.295751226792504</v>
      </c>
      <c r="AA711" s="90">
        <f>IF(Pitchers[[#This Row],[W]]=0,0,Pitchers[[#This Row],[W]]/(Pitchers[[#This Row],[W]]+Pitchers[[#This Row],[L]]))</f>
        <v>0</v>
      </c>
    </row>
    <row r="712" spans="1:28" x14ac:dyDescent="0.25">
      <c r="A712" t="s">
        <v>1405</v>
      </c>
      <c r="B712" t="s">
        <v>16</v>
      </c>
      <c r="C712">
        <v>5</v>
      </c>
      <c r="D712">
        <v>0</v>
      </c>
      <c r="E712">
        <v>0</v>
      </c>
      <c r="F712">
        <v>0</v>
      </c>
      <c r="G712">
        <v>9</v>
      </c>
      <c r="H712">
        <v>11</v>
      </c>
      <c r="I712">
        <v>10</v>
      </c>
      <c r="J712">
        <v>7</v>
      </c>
      <c r="K712">
        <v>2</v>
      </c>
      <c r="L712">
        <v>3</v>
      </c>
      <c r="M712">
        <v>1</v>
      </c>
      <c r="N712">
        <v>1</v>
      </c>
      <c r="O712">
        <v>0</v>
      </c>
      <c r="P712">
        <v>0</v>
      </c>
      <c r="Q712">
        <v>0</v>
      </c>
      <c r="R712">
        <v>10</v>
      </c>
      <c r="S712">
        <v>1.44</v>
      </c>
      <c r="T712">
        <f t="shared" si="60"/>
        <v>0</v>
      </c>
      <c r="U712">
        <f t="shared" si="61"/>
        <v>1.1111111111111112</v>
      </c>
      <c r="V712" s="60">
        <f>U712-AVERAGEIFS(Pitchers[ER/IP],Pitchers[GS],"&gt;"&amp;0,Pitchers[IP],"&gt;"&amp;3)</f>
        <v>0.53961051631179169</v>
      </c>
      <c r="W712" s="60">
        <f>IF(Pitchers[[#This Row],[IP/GS]]&lt;&gt;0,(Pitchers[[#This Row],[WHIP]]*$AH$5+$AI$5)/9*Pitchers[[#This Row],[IP/GS]],(Pitchers[[#This Row],[WHIP]]*$AH$5+$AI$5)/9*(Pitchers[[#This Row],[IP]]/Pitchers[[#This Row],[G]]))</f>
        <v>0.9846074430280054</v>
      </c>
      <c r="X712" s="60">
        <f>Pitchers[[#This Row],[Runs from WHIP]]-AVERAGEIFS(Pitchers[Runs from WHIP],Pitchers[GS],"&gt;"&amp;0,Pitchers[IP],"&gt;"&amp;3)</f>
        <v>-4.7013084630968542</v>
      </c>
      <c r="Y712" s="60">
        <f>IF(Pitchers[[#This Row],[IP/GS]]&lt;&gt;0,Pitchers[[#This Row],[ER/IP From Average]]*Pitchers[[#This Row],[IP/GS]],Pitchers[[#This Row],[ER/IP From Average]]*(Pitchers[[#This Row],[IP]]/Pitchers[[#This Row],[G]]))</f>
        <v>0.97129892936122508</v>
      </c>
      <c r="Z712" s="60">
        <f t="shared" si="62"/>
        <v>-0.86516268508133765</v>
      </c>
      <c r="AA712" s="90">
        <f>IF(Pitchers[[#This Row],[W]]=0,0,Pitchers[[#This Row],[W]]/(Pitchers[[#This Row],[W]]+Pitchers[[#This Row],[L]]))</f>
        <v>0.5</v>
      </c>
    </row>
    <row r="713" spans="1:28" x14ac:dyDescent="0.25">
      <c r="A713" t="s">
        <v>1439</v>
      </c>
      <c r="B713" t="s">
        <v>29</v>
      </c>
      <c r="C713">
        <v>7</v>
      </c>
      <c r="D713">
        <v>0</v>
      </c>
      <c r="E713">
        <v>0</v>
      </c>
      <c r="F713">
        <v>0</v>
      </c>
      <c r="G713">
        <v>9</v>
      </c>
      <c r="H713">
        <v>10</v>
      </c>
      <c r="I713">
        <v>8</v>
      </c>
      <c r="J713">
        <v>7</v>
      </c>
      <c r="K713">
        <v>4</v>
      </c>
      <c r="L713">
        <v>2</v>
      </c>
      <c r="M713">
        <v>0</v>
      </c>
      <c r="N713">
        <v>1</v>
      </c>
      <c r="O713">
        <v>0</v>
      </c>
      <c r="P713">
        <v>0</v>
      </c>
      <c r="Q713">
        <v>0</v>
      </c>
      <c r="R713">
        <v>8</v>
      </c>
      <c r="S713">
        <v>1.56</v>
      </c>
      <c r="T713">
        <f t="shared" si="60"/>
        <v>0</v>
      </c>
      <c r="U713">
        <f t="shared" si="61"/>
        <v>0.88888888888888884</v>
      </c>
      <c r="V713" s="60">
        <f>U713-AVERAGEIFS(Pitchers[ER/IP],Pitchers[GS],"&gt;"&amp;0,Pitchers[IP],"&gt;"&amp;3)</f>
        <v>0.31738829408956937</v>
      </c>
      <c r="W713" s="60">
        <f>IF(Pitchers[[#This Row],[IP/GS]]&lt;&gt;0,(Pitchers[[#This Row],[WHIP]]*$AH$5+$AI$5)/9*Pitchers[[#This Row],[IP/GS]],(Pitchers[[#This Row],[WHIP]]*$AH$5+$AI$5)/9*(Pitchers[[#This Row],[IP]]/Pitchers[[#This Row],[G]]))</f>
        <v>0.7833922980457878</v>
      </c>
      <c r="X713" s="60">
        <f>Pitchers[[#This Row],[Runs from WHIP]]-AVERAGEIFS(Pitchers[Runs from WHIP],Pitchers[GS],"&gt;"&amp;0,Pitchers[IP],"&gt;"&amp;3)</f>
        <v>-4.9025236080790711</v>
      </c>
      <c r="Y713" s="60">
        <f>IF(Pitchers[[#This Row],[IP/GS]]&lt;&gt;0,Pitchers[[#This Row],[ER/IP From Average]]*Pitchers[[#This Row],[IP/GS]],Pitchers[[#This Row],[ER/IP From Average]]*(Pitchers[[#This Row],[IP]]/Pitchers[[#This Row],[G]]))</f>
        <v>0.40807066382944635</v>
      </c>
      <c r="Z713" s="60">
        <f t="shared" si="62"/>
        <v>-1.144111363289307</v>
      </c>
      <c r="AA713" s="90">
        <f>IF(Pitchers[[#This Row],[W]]=0,0,Pitchers[[#This Row],[W]]/(Pitchers[[#This Row],[W]]+Pitchers[[#This Row],[L]]))</f>
        <v>0</v>
      </c>
    </row>
    <row r="714" spans="1:28" x14ac:dyDescent="0.25">
      <c r="A714" t="s">
        <v>754</v>
      </c>
      <c r="B714" t="s">
        <v>17</v>
      </c>
      <c r="C714">
        <v>7</v>
      </c>
      <c r="D714">
        <v>0</v>
      </c>
      <c r="E714">
        <v>0</v>
      </c>
      <c r="F714">
        <v>0</v>
      </c>
      <c r="G714">
        <v>9</v>
      </c>
      <c r="H714">
        <v>19</v>
      </c>
      <c r="I714">
        <v>12</v>
      </c>
      <c r="J714">
        <v>8</v>
      </c>
      <c r="K714">
        <v>4</v>
      </c>
      <c r="L714">
        <v>4</v>
      </c>
      <c r="M714">
        <v>0</v>
      </c>
      <c r="N714">
        <v>0</v>
      </c>
      <c r="O714">
        <v>0</v>
      </c>
      <c r="P714">
        <v>0</v>
      </c>
      <c r="Q714">
        <v>1</v>
      </c>
      <c r="R714">
        <v>12</v>
      </c>
      <c r="S714">
        <v>2.56</v>
      </c>
      <c r="T714">
        <f t="shared" si="60"/>
        <v>0</v>
      </c>
      <c r="U714">
        <f t="shared" si="61"/>
        <v>1.3333333333333333</v>
      </c>
      <c r="V714" s="60">
        <f>U714-AVERAGEIFS(Pitchers[ER/IP],Pitchers[GS],"&gt;"&amp;0,Pitchers[IP],"&gt;"&amp;3)</f>
        <v>0.76183273853401379</v>
      </c>
      <c r="W714" s="60">
        <f>IF(Pitchers[[#This Row],[IP/GS]]&lt;&gt;0,(Pitchers[[#This Row],[WHIP]]*$AH$5+$AI$5)/9*Pitchers[[#This Row],[IP/GS]],(Pitchers[[#This Row],[WHIP]]*$AH$5+$AI$5)/9*(Pitchers[[#This Row],[IP]]/Pitchers[[#This Row],[G]]))</f>
        <v>1.4509028589749384</v>
      </c>
      <c r="X714" s="60">
        <f>Pitchers[[#This Row],[Runs from WHIP]]-AVERAGEIFS(Pitchers[Runs from WHIP],Pitchers[GS],"&gt;"&amp;0,Pitchers[IP],"&gt;"&amp;3)</f>
        <v>-4.2350130471499208</v>
      </c>
      <c r="Y714" s="60">
        <f>IF(Pitchers[[#This Row],[IP/GS]]&lt;&gt;0,Pitchers[[#This Row],[ER/IP From Average]]*Pitchers[[#This Row],[IP/GS]],Pitchers[[#This Row],[ER/IP From Average]]*(Pitchers[[#This Row],[IP]]/Pitchers[[#This Row],[G]]))</f>
        <v>0.97949923525801785</v>
      </c>
      <c r="Z714" s="60">
        <f t="shared" si="62"/>
        <v>-0.73753711847010495</v>
      </c>
      <c r="AA714" s="90">
        <f>IF(Pitchers[[#This Row],[W]]=0,0,Pitchers[[#This Row],[W]]/(Pitchers[[#This Row],[W]]+Pitchers[[#This Row],[L]]))</f>
        <v>0</v>
      </c>
    </row>
    <row r="715" spans="1:28" x14ac:dyDescent="0.25">
      <c r="A715" t="s">
        <v>1409</v>
      </c>
      <c r="B715" t="s">
        <v>1</v>
      </c>
      <c r="C715">
        <v>8</v>
      </c>
      <c r="D715">
        <v>2</v>
      </c>
      <c r="E715">
        <v>0</v>
      </c>
      <c r="F715">
        <v>0</v>
      </c>
      <c r="G715">
        <v>9</v>
      </c>
      <c r="H715">
        <v>13</v>
      </c>
      <c r="I715">
        <v>11</v>
      </c>
      <c r="J715">
        <v>7</v>
      </c>
      <c r="K715">
        <v>9</v>
      </c>
      <c r="L715">
        <v>2</v>
      </c>
      <c r="M715">
        <v>0</v>
      </c>
      <c r="N715">
        <v>1</v>
      </c>
      <c r="O715">
        <v>0</v>
      </c>
      <c r="P715">
        <v>0</v>
      </c>
      <c r="Q715">
        <v>0</v>
      </c>
      <c r="R715">
        <v>11</v>
      </c>
      <c r="S715">
        <v>2.44</v>
      </c>
      <c r="T715">
        <f t="shared" si="60"/>
        <v>4.5</v>
      </c>
      <c r="U715">
        <f t="shared" si="61"/>
        <v>1.2222222222222223</v>
      </c>
      <c r="V715" s="60">
        <f>U715-AVERAGEIFS(Pitchers[ER/IP],Pitchers[GS],"&gt;"&amp;0,Pitchers[IP],"&gt;"&amp;3)</f>
        <v>0.65072162742290285</v>
      </c>
      <c r="W715" s="60">
        <f>IF(Pitchers[[#This Row],[IP/GS]]&lt;&gt;0,(Pitchers[[#This Row],[WHIP]]*$AH$5+$AI$5)/9*Pitchers[[#This Row],[IP/GS]],(Pitchers[[#This Row],[WHIP]]*$AH$5+$AI$5)/9*(Pitchers[[#This Row],[IP]]/Pitchers[[#This Row],[G]]))</f>
        <v>4.7978055708220406</v>
      </c>
      <c r="X715" s="60">
        <f>Pitchers[[#This Row],[Runs from WHIP]]-AVERAGEIFS(Pitchers[Runs from WHIP],Pitchers[GS],"&gt;"&amp;0,Pitchers[IP],"&gt;"&amp;3)</f>
        <v>-0.88811033530281858</v>
      </c>
      <c r="Y715" s="60">
        <f>IF(Pitchers[[#This Row],[IP/GS]]&lt;&gt;0,Pitchers[[#This Row],[ER/IP From Average]]*Pitchers[[#This Row],[IP/GS]],Pitchers[[#This Row],[ER/IP From Average]]*(Pitchers[[#This Row],[IP]]/Pitchers[[#This Row],[G]]))</f>
        <v>2.9282473234030628</v>
      </c>
      <c r="Z715" s="60">
        <f t="shared" si="62"/>
        <v>0.93446950661380679</v>
      </c>
      <c r="AA715" s="90">
        <f>IF(Pitchers[[#This Row],[W]]=0,0,Pitchers[[#This Row],[W]]/(Pitchers[[#This Row],[W]]+Pitchers[[#This Row],[L]]))</f>
        <v>0</v>
      </c>
    </row>
    <row r="716" spans="1:28" x14ac:dyDescent="0.25">
      <c r="A716" t="s">
        <v>1203</v>
      </c>
      <c r="B716" t="s">
        <v>219</v>
      </c>
      <c r="C716">
        <v>10</v>
      </c>
      <c r="D716">
        <v>0</v>
      </c>
      <c r="E716">
        <v>0</v>
      </c>
      <c r="F716">
        <v>0</v>
      </c>
      <c r="G716">
        <v>8.1999999999999993</v>
      </c>
      <c r="H716">
        <v>10</v>
      </c>
      <c r="I716">
        <v>2</v>
      </c>
      <c r="J716">
        <v>6</v>
      </c>
      <c r="K716">
        <v>4</v>
      </c>
      <c r="L716">
        <v>0</v>
      </c>
      <c r="M716">
        <v>0</v>
      </c>
      <c r="N716">
        <v>0</v>
      </c>
      <c r="O716">
        <v>0</v>
      </c>
      <c r="P716">
        <v>1</v>
      </c>
      <c r="Q716">
        <v>0</v>
      </c>
      <c r="R716">
        <v>2.08</v>
      </c>
      <c r="S716">
        <v>1.62</v>
      </c>
      <c r="T716">
        <f t="shared" si="60"/>
        <v>0</v>
      </c>
      <c r="U716">
        <f t="shared" si="61"/>
        <v>0.24390243902439027</v>
      </c>
      <c r="V716" s="60">
        <f>U716-AVERAGEIFS(Pitchers[ER/IP],Pitchers[GS],"&gt;"&amp;0,Pitchers[IP],"&gt;"&amp;3)</f>
        <v>-0.32759815577492923</v>
      </c>
      <c r="W716" s="60">
        <f>IF(Pitchers[[#This Row],[IP/GS]]&lt;&gt;0,(Pitchers[[#This Row],[WHIP]]*$AH$5+$AI$5)/9*Pitchers[[#This Row],[IP/GS]],(Pitchers[[#This Row],[WHIP]]*$AH$5+$AI$5)/9*(Pitchers[[#This Row],[IP]]/Pitchers[[#This Row],[G]]))</f>
        <v>0.52517360310742467</v>
      </c>
      <c r="X716" s="60">
        <f>Pitchers[[#This Row],[Runs from WHIP]]-AVERAGEIFS(Pitchers[Runs from WHIP],Pitchers[GS],"&gt;"&amp;0,Pitchers[IP],"&gt;"&amp;3)</f>
        <v>-5.1607423030174342</v>
      </c>
      <c r="Y716" s="60">
        <f>IF(Pitchers[[#This Row],[IP/GS]]&lt;&gt;0,Pitchers[[#This Row],[ER/IP From Average]]*Pitchers[[#This Row],[IP/GS]],Pitchers[[#This Row],[ER/IP From Average]]*(Pitchers[[#This Row],[IP]]/Pitchers[[#This Row],[G]]))</f>
        <v>-0.26863048773544196</v>
      </c>
      <c r="Z716" s="60">
        <f t="shared" si="62"/>
        <v>-1.4836501425654924</v>
      </c>
      <c r="AA716" s="90">
        <f>IF(Pitchers[[#This Row],[W]]=0,0,Pitchers[[#This Row],[W]]/(Pitchers[[#This Row],[W]]+Pitchers[[#This Row],[L]]))</f>
        <v>0</v>
      </c>
    </row>
    <row r="717" spans="1:28" x14ac:dyDescent="0.25">
      <c r="A717" t="s">
        <v>530</v>
      </c>
      <c r="B717" t="s">
        <v>370</v>
      </c>
      <c r="C717">
        <v>8</v>
      </c>
      <c r="D717">
        <v>0</v>
      </c>
      <c r="E717">
        <v>0</v>
      </c>
      <c r="F717">
        <v>0</v>
      </c>
      <c r="G717">
        <v>8.1999999999999993</v>
      </c>
      <c r="H717">
        <v>7</v>
      </c>
      <c r="I717">
        <v>5</v>
      </c>
      <c r="J717">
        <v>6</v>
      </c>
      <c r="K717">
        <v>3</v>
      </c>
      <c r="L717">
        <v>3</v>
      </c>
      <c r="M717">
        <v>0</v>
      </c>
      <c r="N717">
        <v>0</v>
      </c>
      <c r="O717">
        <v>0</v>
      </c>
      <c r="P717">
        <v>0</v>
      </c>
      <c r="Q717">
        <v>0</v>
      </c>
      <c r="R717">
        <v>5.19</v>
      </c>
      <c r="S717">
        <v>1.1499999999999999</v>
      </c>
      <c r="T717">
        <f t="shared" si="60"/>
        <v>0</v>
      </c>
      <c r="U717">
        <f t="shared" si="61"/>
        <v>0.60975609756097571</v>
      </c>
      <c r="V717" s="60">
        <f>U717-AVERAGEIFS(Pitchers[ER/IP],Pitchers[GS],"&gt;"&amp;0,Pitchers[IP],"&gt;"&amp;3)</f>
        <v>3.8255502761656235E-2</v>
      </c>
      <c r="W717" s="60">
        <f>IF(Pitchers[[#This Row],[IP/GS]]&lt;&gt;0,(Pitchers[[#This Row],[WHIP]]*$AH$5+$AI$5)/9*Pitchers[[#This Row],[IP/GS]],(Pitchers[[#This Row],[WHIP]]*$AH$5+$AI$5)/9*(Pitchers[[#This Row],[IP]]/Pitchers[[#This Row],[G]]))</f>
        <v>0.40635450509613308</v>
      </c>
      <c r="X717" s="60">
        <f>Pitchers[[#This Row],[Runs from WHIP]]-AVERAGEIFS(Pitchers[Runs from WHIP],Pitchers[GS],"&gt;"&amp;0,Pitchers[IP],"&gt;"&amp;3)</f>
        <v>-5.279561401028726</v>
      </c>
      <c r="Y717" s="60">
        <f>IF(Pitchers[[#This Row],[IP/GS]]&lt;&gt;0,Pitchers[[#This Row],[ER/IP From Average]]*Pitchers[[#This Row],[IP/GS]],Pitchers[[#This Row],[ER/IP From Average]]*(Pitchers[[#This Row],[IP]]/Pitchers[[#This Row],[G]]))</f>
        <v>3.9211890330697635E-2</v>
      </c>
      <c r="Z717" s="60">
        <f t="shared" si="62"/>
        <v>-1.3921982841420479</v>
      </c>
      <c r="AA717" s="90">
        <f>IF(Pitchers[[#This Row],[W]]=0,0,Pitchers[[#This Row],[W]]/(Pitchers[[#This Row],[W]]+Pitchers[[#This Row],[L]]))</f>
        <v>0</v>
      </c>
    </row>
    <row r="718" spans="1:28" x14ac:dyDescent="0.25">
      <c r="A718" t="s">
        <v>587</v>
      </c>
      <c r="B718" t="s">
        <v>14</v>
      </c>
      <c r="C718">
        <v>11</v>
      </c>
      <c r="D718">
        <v>0</v>
      </c>
      <c r="E718">
        <v>0</v>
      </c>
      <c r="F718">
        <v>0</v>
      </c>
      <c r="G718">
        <v>8.1999999999999993</v>
      </c>
      <c r="H718">
        <v>11</v>
      </c>
      <c r="I718">
        <v>9</v>
      </c>
      <c r="J718">
        <v>17</v>
      </c>
      <c r="K718">
        <v>3</v>
      </c>
      <c r="L718">
        <v>1</v>
      </c>
      <c r="M718">
        <v>2</v>
      </c>
      <c r="N718">
        <v>1</v>
      </c>
      <c r="O718">
        <v>0</v>
      </c>
      <c r="P718">
        <v>1</v>
      </c>
      <c r="Q718">
        <v>0</v>
      </c>
      <c r="R718">
        <v>9.35</v>
      </c>
      <c r="S718">
        <v>1.62</v>
      </c>
      <c r="T718">
        <f t="shared" si="60"/>
        <v>0</v>
      </c>
      <c r="U718">
        <f t="shared" si="61"/>
        <v>1.0975609756097562</v>
      </c>
      <c r="V718" s="60">
        <f>U718-AVERAGEIFS(Pitchers[ER/IP],Pitchers[GS],"&gt;"&amp;0,Pitchers[IP],"&gt;"&amp;3)</f>
        <v>0.52606038081043671</v>
      </c>
      <c r="W718" s="60">
        <f>IF(Pitchers[[#This Row],[IP/GS]]&lt;&gt;0,(Pitchers[[#This Row],[WHIP]]*$AH$5+$AI$5)/9*Pitchers[[#This Row],[IP/GS]],(Pitchers[[#This Row],[WHIP]]*$AH$5+$AI$5)/9*(Pitchers[[#This Row],[IP]]/Pitchers[[#This Row],[G]]))</f>
        <v>0.4774305482794769</v>
      </c>
      <c r="X718" s="60">
        <f>Pitchers[[#This Row],[Runs from WHIP]]-AVERAGEIFS(Pitchers[Runs from WHIP],Pitchers[GS],"&gt;"&amp;0,Pitchers[IP],"&gt;"&amp;3)</f>
        <v>-5.2084853578453822</v>
      </c>
      <c r="Y718" s="60">
        <f>IF(Pitchers[[#This Row],[IP/GS]]&lt;&gt;0,Pitchers[[#This Row],[ER/IP From Average]]*Pitchers[[#This Row],[IP/GS]],Pitchers[[#This Row],[ER/IP From Average]]*(Pitchers[[#This Row],[IP]]/Pitchers[[#This Row],[G]]))</f>
        <v>0.39215410205868911</v>
      </c>
      <c r="Z718" s="60">
        <f t="shared" si="62"/>
        <v>-1.2320677879352933</v>
      </c>
      <c r="AA718" s="90">
        <f>IF(Pitchers[[#This Row],[W]]=0,0,Pitchers[[#This Row],[W]]/(Pitchers[[#This Row],[W]]+Pitchers[[#This Row],[L]]))</f>
        <v>0.66666666666666663</v>
      </c>
    </row>
    <row r="719" spans="1:28" x14ac:dyDescent="0.25">
      <c r="A719" t="s">
        <v>4553</v>
      </c>
      <c r="B719" t="s">
        <v>370</v>
      </c>
      <c r="C719">
        <v>3</v>
      </c>
      <c r="D719">
        <v>3</v>
      </c>
      <c r="E719">
        <v>0</v>
      </c>
      <c r="F719">
        <v>0</v>
      </c>
      <c r="G719">
        <v>8.1999999999999993</v>
      </c>
      <c r="H719">
        <v>10</v>
      </c>
      <c r="I719">
        <v>8</v>
      </c>
      <c r="J719">
        <v>11</v>
      </c>
      <c r="K719">
        <v>6</v>
      </c>
      <c r="L719">
        <v>2</v>
      </c>
      <c r="M719">
        <v>0</v>
      </c>
      <c r="N719">
        <v>1</v>
      </c>
      <c r="O719">
        <v>0</v>
      </c>
      <c r="P719">
        <v>0</v>
      </c>
      <c r="Q719">
        <v>0</v>
      </c>
      <c r="R719">
        <v>8.31</v>
      </c>
      <c r="S719">
        <v>1.85</v>
      </c>
      <c r="T719">
        <f t="shared" si="60"/>
        <v>2.7333333333333329</v>
      </c>
      <c r="U719">
        <f t="shared" si="61"/>
        <v>0.97560975609756106</v>
      </c>
      <c r="V719" s="60">
        <f>U719-AVERAGEIFS(Pitchers[ER/IP],Pitchers[GS],"&gt;"&amp;0,Pitchers[IP],"&gt;"&amp;3)</f>
        <v>0.40410916129824159</v>
      </c>
      <c r="W719" s="60">
        <f>IF(Pitchers[[#This Row],[IP/GS]]&lt;&gt;0,(Pitchers[[#This Row],[WHIP]]*$AH$5+$AI$5)/9*Pitchers[[#This Row],[IP/GS]],(Pitchers[[#This Row],[WHIP]]*$AH$5+$AI$5)/9*(Pitchers[[#This Row],[IP]]/Pitchers[[#This Row],[G]]))</f>
        <v>2.0769666187057352</v>
      </c>
      <c r="X719" s="60">
        <f>Pitchers[[#This Row],[Runs from WHIP]]-AVERAGEIFS(Pitchers[Runs from WHIP],Pitchers[GS],"&gt;"&amp;0,Pitchers[IP],"&gt;"&amp;3)</f>
        <v>-3.608949287419124</v>
      </c>
      <c r="Y719" s="60">
        <f>IF(Pitchers[[#This Row],[IP/GS]]&lt;&gt;0,Pitchers[[#This Row],[ER/IP From Average]]*Pitchers[[#This Row],[IP/GS]],Pitchers[[#This Row],[ER/IP From Average]]*(Pitchers[[#This Row],[IP]]/Pitchers[[#This Row],[G]]))</f>
        <v>1.1045650408818601</v>
      </c>
      <c r="Z719" s="60">
        <f t="shared" si="62"/>
        <v>-0.52056046029235559</v>
      </c>
      <c r="AA719" s="90">
        <f>IF(Pitchers[[#This Row],[W]]=0,0,Pitchers[[#This Row],[W]]/(Pitchers[[#This Row],[W]]+Pitchers[[#This Row],[L]]))</f>
        <v>0</v>
      </c>
    </row>
    <row r="720" spans="1:28" x14ac:dyDescent="0.25">
      <c r="A720" t="s">
        <v>1407</v>
      </c>
      <c r="B720" t="s">
        <v>19</v>
      </c>
      <c r="C720">
        <v>8</v>
      </c>
      <c r="D720">
        <v>0</v>
      </c>
      <c r="E720">
        <v>0</v>
      </c>
      <c r="F720">
        <v>0</v>
      </c>
      <c r="G720">
        <v>8.1999999999999993</v>
      </c>
      <c r="H720">
        <v>8</v>
      </c>
      <c r="I720">
        <v>9</v>
      </c>
      <c r="J720">
        <v>15</v>
      </c>
      <c r="K720">
        <v>7</v>
      </c>
      <c r="L720">
        <v>4</v>
      </c>
      <c r="M720">
        <v>0</v>
      </c>
      <c r="N720">
        <v>2</v>
      </c>
      <c r="O720">
        <v>0</v>
      </c>
      <c r="P720">
        <v>0</v>
      </c>
      <c r="Q720">
        <v>0</v>
      </c>
      <c r="R720">
        <v>9.35</v>
      </c>
      <c r="S720">
        <v>1.73</v>
      </c>
      <c r="T720">
        <f>IF(D720=0,0,G720/D720)</f>
        <v>0</v>
      </c>
      <c r="U720">
        <f>IF(G720=0,0,I720/G720)</f>
        <v>1.0975609756097562</v>
      </c>
      <c r="V720" s="60">
        <f>U720-AVERAGEIFS(Pitchers[ER/IP],Pitchers[GS],"&gt;"&amp;0,Pitchers[IP],"&gt;"&amp;3)</f>
        <v>0.52606038081043671</v>
      </c>
      <c r="W720" s="60">
        <f>IF(Pitchers[[#This Row],[IP/GS]]&lt;&gt;0,(Pitchers[[#This Row],[WHIP]]*$AH$5+$AI$5)/9*Pitchers[[#This Row],[IP/GS]],(Pitchers[[#This Row],[WHIP]]*$AH$5+$AI$5)/9*(Pitchers[[#This Row],[IP]]/Pitchers[[#This Row],[G]]))</f>
        <v>0.71500397168576191</v>
      </c>
      <c r="X720" s="60">
        <f>Pitchers[[#This Row],[Runs from WHIP]]-AVERAGEIFS(Pitchers[Runs from WHIP],Pitchers[GS],"&gt;"&amp;0,Pitchers[IP],"&gt;"&amp;3)</f>
        <v>-4.9709119344390977</v>
      </c>
      <c r="Y720" s="60">
        <f>IF(Pitchers[[#This Row],[IP/GS]]&lt;&gt;0,Pitchers[[#This Row],[ER/IP From Average]]*Pitchers[[#This Row],[IP/GS]],Pitchers[[#This Row],[ER/IP From Average]]*(Pitchers[[#This Row],[IP]]/Pitchers[[#This Row],[G]]))</f>
        <v>0.53921189033069761</v>
      </c>
      <c r="Z720" s="60">
        <f>AVERAGE(X720,X720,Y720,Y720,Y720)/1.5</f>
        <v>-1.109891759718147</v>
      </c>
      <c r="AA720" s="90">
        <f>IF(Pitchers[[#This Row],[W]]=0,0,Pitchers[[#This Row],[W]]/(Pitchers[[#This Row],[W]]+Pitchers[[#This Row],[L]]))</f>
        <v>0</v>
      </c>
    </row>
    <row r="721" spans="1:27" x14ac:dyDescent="0.25">
      <c r="A721" t="s">
        <v>3683</v>
      </c>
      <c r="B721" t="s">
        <v>16</v>
      </c>
      <c r="C721">
        <v>7</v>
      </c>
      <c r="D721">
        <v>0</v>
      </c>
      <c r="E721">
        <v>0</v>
      </c>
      <c r="F721">
        <v>0</v>
      </c>
      <c r="G721">
        <v>8.1999999999999993</v>
      </c>
      <c r="H721">
        <v>4</v>
      </c>
      <c r="I721">
        <v>1</v>
      </c>
      <c r="J721">
        <v>13</v>
      </c>
      <c r="K721">
        <v>3</v>
      </c>
      <c r="L721">
        <v>0</v>
      </c>
      <c r="M721">
        <v>0</v>
      </c>
      <c r="N721">
        <v>0</v>
      </c>
      <c r="O721">
        <v>0</v>
      </c>
      <c r="P721">
        <v>0</v>
      </c>
      <c r="Q721">
        <v>0</v>
      </c>
      <c r="R721">
        <v>1.04</v>
      </c>
      <c r="S721">
        <v>0.81</v>
      </c>
      <c r="T721">
        <f t="shared" ref="T721:T722" si="63">IF(D721=0,0,G721/D721)</f>
        <v>0</v>
      </c>
      <c r="U721">
        <f t="shared" ref="U721:U722" si="64">IF(G721=0,0,I721/G721)</f>
        <v>0.12195121951219513</v>
      </c>
      <c r="V721" s="60">
        <f>U721-AVERAGEIFS(Pitchers[ER/IP],Pitchers[GS],"&gt;"&amp;0,Pitchers[IP],"&gt;"&amp;3)</f>
        <v>-0.44954937528712435</v>
      </c>
      <c r="W721" s="60">
        <f>IF(Pitchers[[#This Row],[IP/GS]]&lt;&gt;0,(Pitchers[[#This Row],[WHIP]]*$AH$5+$AI$5)/9*Pitchers[[#This Row],[IP/GS]],(Pitchers[[#This Row],[WHIP]]*$AH$5+$AI$5)/9*(Pitchers[[#This Row],[IP]]/Pitchers[[#This Row],[G]]))</f>
        <v>0.25762521047346476</v>
      </c>
      <c r="X721" s="60">
        <f>Pitchers[[#This Row],[Runs from WHIP]]-AVERAGEIFS(Pitchers[Runs from WHIP],Pitchers[GS],"&gt;"&amp;0,Pitchers[IP],"&gt;"&amp;3)</f>
        <v>-5.4282906956513948</v>
      </c>
      <c r="Y721" s="60">
        <f>IF(Pitchers[[#This Row],[IP/GS]]&lt;&gt;0,Pitchers[[#This Row],[ER/IP From Average]]*Pitchers[[#This Row],[IP/GS]],Pitchers[[#This Row],[ER/IP From Average]]*(Pitchers[[#This Row],[IP]]/Pitchers[[#This Row],[G]]))</f>
        <v>-0.52661498247920269</v>
      </c>
      <c r="Z721" s="60">
        <f t="shared" ref="Z721:Z722" si="65">AVERAGE(X721,X721,Y721,Y721,Y721)/1.5</f>
        <v>-1.6581901784987194</v>
      </c>
      <c r="AA721" s="90">
        <f>IF(Pitchers[[#This Row],[W]]=0,0,Pitchers[[#This Row],[W]]/(Pitchers[[#This Row],[W]]+Pitchers[[#This Row],[L]]))</f>
        <v>0</v>
      </c>
    </row>
    <row r="722" spans="1:27" x14ac:dyDescent="0.25">
      <c r="A722" t="s">
        <v>1196</v>
      </c>
      <c r="B722" t="s">
        <v>28</v>
      </c>
      <c r="C722">
        <v>11</v>
      </c>
      <c r="D722">
        <v>0</v>
      </c>
      <c r="E722">
        <v>0</v>
      </c>
      <c r="F722">
        <v>0</v>
      </c>
      <c r="G722">
        <v>8.1999999999999993</v>
      </c>
      <c r="H722">
        <v>7</v>
      </c>
      <c r="I722">
        <v>4</v>
      </c>
      <c r="J722">
        <v>12</v>
      </c>
      <c r="K722">
        <v>2</v>
      </c>
      <c r="L722">
        <v>3</v>
      </c>
      <c r="M722">
        <v>0</v>
      </c>
      <c r="N722">
        <v>1</v>
      </c>
      <c r="O722">
        <v>0</v>
      </c>
      <c r="P722">
        <v>0</v>
      </c>
      <c r="Q722">
        <v>0</v>
      </c>
      <c r="R722">
        <v>4.1500000000000004</v>
      </c>
      <c r="S722">
        <v>1.04</v>
      </c>
      <c r="T722">
        <f t="shared" si="63"/>
        <v>0</v>
      </c>
      <c r="U722">
        <f t="shared" si="64"/>
        <v>0.48780487804878053</v>
      </c>
      <c r="V722" s="60">
        <f>U722-AVERAGEIFS(Pitchers[ER/IP],Pitchers[GS],"&gt;"&amp;0,Pitchers[IP],"&gt;"&amp;3)</f>
        <v>-8.369571675053894E-2</v>
      </c>
      <c r="W722" s="60">
        <f>IF(Pitchers[[#This Row],[IP/GS]]&lt;&gt;0,(Pitchers[[#This Row],[WHIP]]*$AH$5+$AI$5)/9*Pitchers[[#This Row],[IP/GS]],(Pitchers[[#This Row],[WHIP]]*$AH$5+$AI$5)/9*(Pitchers[[#This Row],[IP]]/Pitchers[[#This Row],[G]]))</f>
        <v>0.25295820894156495</v>
      </c>
      <c r="X722" s="60">
        <f>Pitchers[[#This Row],[Runs from WHIP]]-AVERAGEIFS(Pitchers[Runs from WHIP],Pitchers[GS],"&gt;"&amp;0,Pitchers[IP],"&gt;"&amp;3)</f>
        <v>-5.4329576971832942</v>
      </c>
      <c r="Y722" s="60">
        <f>IF(Pitchers[[#This Row],[IP/GS]]&lt;&gt;0,Pitchers[[#This Row],[ER/IP From Average]]*Pitchers[[#This Row],[IP/GS]],Pitchers[[#This Row],[ER/IP From Average]]*(Pitchers[[#This Row],[IP]]/Pitchers[[#This Row],[G]]))</f>
        <v>-6.2391352486765382E-2</v>
      </c>
      <c r="Z722" s="60">
        <f t="shared" si="65"/>
        <v>-1.4737452602435843</v>
      </c>
      <c r="AA722" s="90">
        <f>IF(Pitchers[[#This Row],[W]]=0,0,Pitchers[[#This Row],[W]]/(Pitchers[[#This Row],[W]]+Pitchers[[#This Row],[L]]))</f>
        <v>0</v>
      </c>
    </row>
    <row r="723" spans="1:27" x14ac:dyDescent="0.25">
      <c r="A723" t="s">
        <v>750</v>
      </c>
      <c r="B723" t="s">
        <v>6</v>
      </c>
      <c r="C723">
        <v>9</v>
      </c>
      <c r="D723">
        <v>0</v>
      </c>
      <c r="E723">
        <v>0</v>
      </c>
      <c r="F723">
        <v>0</v>
      </c>
      <c r="G723">
        <v>8.1999999999999993</v>
      </c>
      <c r="H723">
        <v>18</v>
      </c>
      <c r="I723">
        <v>11</v>
      </c>
      <c r="J723">
        <v>8</v>
      </c>
      <c r="K723">
        <v>5</v>
      </c>
      <c r="L723">
        <v>3</v>
      </c>
      <c r="M723">
        <v>0</v>
      </c>
      <c r="N723">
        <v>1</v>
      </c>
      <c r="O723">
        <v>0</v>
      </c>
      <c r="P723">
        <v>0</v>
      </c>
      <c r="Q723">
        <v>2</v>
      </c>
      <c r="R723">
        <v>11.42</v>
      </c>
      <c r="S723">
        <v>2.65</v>
      </c>
      <c r="T723">
        <f t="shared" ref="T723:T733" si="66">IF(D723=0,0,G723/D723)</f>
        <v>0</v>
      </c>
      <c r="U723">
        <f t="shared" ref="U723:U733" si="67">IF(G723=0,0,I723/G723)</f>
        <v>1.3414634146341464</v>
      </c>
      <c r="V723" s="60">
        <f>U723-AVERAGEIFS(Pitchers[ER/IP],Pitchers[GS],"&gt;"&amp;0,Pitchers[IP],"&gt;"&amp;3)</f>
        <v>0.76996281983482695</v>
      </c>
      <c r="W723" s="60">
        <f>IF(Pitchers[[#This Row],[IP/GS]]&lt;&gt;0,(Pitchers[[#This Row],[WHIP]]*$AH$5+$AI$5)/9*Pitchers[[#This Row],[IP/GS]],(Pitchers[[#This Row],[WHIP]]*$AH$5+$AI$5)/9*(Pitchers[[#This Row],[IP]]/Pitchers[[#This Row],[G]]))</f>
        <v>1.0707430081842153</v>
      </c>
      <c r="X723" s="60">
        <f>Pitchers[[#This Row],[Runs from WHIP]]-AVERAGEIFS(Pitchers[Runs from WHIP],Pitchers[GS],"&gt;"&amp;0,Pitchers[IP],"&gt;"&amp;3)</f>
        <v>-4.6151728979406439</v>
      </c>
      <c r="Y723" s="60">
        <f>IF(Pitchers[[#This Row],[IP/GS]]&lt;&gt;0,Pitchers[[#This Row],[ER/IP From Average]]*Pitchers[[#This Row],[IP/GS]],Pitchers[[#This Row],[ER/IP From Average]]*(Pitchers[[#This Row],[IP]]/Pitchers[[#This Row],[G]]))</f>
        <v>0.70152168029395334</v>
      </c>
      <c r="Z723" s="60">
        <f t="shared" ref="Z723:Z733" si="68">AVERAGE(X723,X723,Y723,Y723,Y723)/1.5</f>
        <v>-0.95010410066659023</v>
      </c>
      <c r="AA723" s="90">
        <f>IF(Pitchers[[#This Row],[W]]=0,0,Pitchers[[#This Row],[W]]/(Pitchers[[#This Row],[W]]+Pitchers[[#This Row],[L]]))</f>
        <v>0</v>
      </c>
    </row>
    <row r="724" spans="1:27" x14ac:dyDescent="0.25">
      <c r="A724" t="s">
        <v>910</v>
      </c>
      <c r="B724" t="s">
        <v>27</v>
      </c>
      <c r="C724">
        <v>17</v>
      </c>
      <c r="D724">
        <v>0</v>
      </c>
      <c r="E724">
        <v>0</v>
      </c>
      <c r="F724">
        <v>0</v>
      </c>
      <c r="G724">
        <v>8.1999999999999993</v>
      </c>
      <c r="H724">
        <v>10</v>
      </c>
      <c r="I724">
        <v>5</v>
      </c>
      <c r="J724">
        <v>8</v>
      </c>
      <c r="K724">
        <v>5</v>
      </c>
      <c r="L724">
        <v>1</v>
      </c>
      <c r="M724">
        <v>0</v>
      </c>
      <c r="N724">
        <v>1</v>
      </c>
      <c r="O724">
        <v>0</v>
      </c>
      <c r="P724">
        <v>0</v>
      </c>
      <c r="Q724">
        <v>0</v>
      </c>
      <c r="R724">
        <v>5.19</v>
      </c>
      <c r="S724">
        <v>1.73</v>
      </c>
      <c r="T724">
        <f t="shared" si="66"/>
        <v>0</v>
      </c>
      <c r="U724">
        <f t="shared" si="67"/>
        <v>0.60975609756097571</v>
      </c>
      <c r="V724" s="60">
        <f>U724-AVERAGEIFS(Pitchers[ER/IP],Pitchers[GS],"&gt;"&amp;0,Pitchers[IP],"&gt;"&amp;3)</f>
        <v>3.8255502761656235E-2</v>
      </c>
      <c r="W724" s="60">
        <f>IF(Pitchers[[#This Row],[IP/GS]]&lt;&gt;0,(Pitchers[[#This Row],[WHIP]]*$AH$5+$AI$5)/9*Pitchers[[#This Row],[IP/GS]],(Pitchers[[#This Row],[WHIP]]*$AH$5+$AI$5)/9*(Pitchers[[#This Row],[IP]]/Pitchers[[#This Row],[G]]))</f>
        <v>0.33647245726388797</v>
      </c>
      <c r="X724" s="60">
        <f>Pitchers[[#This Row],[Runs from WHIP]]-AVERAGEIFS(Pitchers[Runs from WHIP],Pitchers[GS],"&gt;"&amp;0,Pitchers[IP],"&gt;"&amp;3)</f>
        <v>-5.3494434488609715</v>
      </c>
      <c r="Y724" s="60">
        <f>IF(Pitchers[[#This Row],[IP/GS]]&lt;&gt;0,Pitchers[[#This Row],[ER/IP From Average]]*Pitchers[[#This Row],[IP/GS]],Pitchers[[#This Row],[ER/IP From Average]]*(Pitchers[[#This Row],[IP]]/Pitchers[[#This Row],[G]]))</f>
        <v>1.8452654273269475E-2</v>
      </c>
      <c r="Z724" s="60">
        <f t="shared" si="68"/>
        <v>-1.4191371913202844</v>
      </c>
      <c r="AA724" s="90">
        <f>IF(Pitchers[[#This Row],[W]]=0,0,Pitchers[[#This Row],[W]]/(Pitchers[[#This Row],[W]]+Pitchers[[#This Row],[L]]))</f>
        <v>0</v>
      </c>
    </row>
    <row r="725" spans="1:27" x14ac:dyDescent="0.25">
      <c r="A725" t="s">
        <v>1408</v>
      </c>
      <c r="B725" t="s">
        <v>8</v>
      </c>
      <c r="C725">
        <v>8</v>
      </c>
      <c r="D725">
        <v>0</v>
      </c>
      <c r="E725">
        <v>0</v>
      </c>
      <c r="F725">
        <v>0</v>
      </c>
      <c r="G725">
        <v>8.1999999999999993</v>
      </c>
      <c r="H725">
        <v>20</v>
      </c>
      <c r="I725">
        <v>18</v>
      </c>
      <c r="J725">
        <v>7</v>
      </c>
      <c r="K725">
        <v>5</v>
      </c>
      <c r="L725">
        <v>5</v>
      </c>
      <c r="M725">
        <v>0</v>
      </c>
      <c r="N725">
        <v>0</v>
      </c>
      <c r="O725">
        <v>0</v>
      </c>
      <c r="P725">
        <v>0</v>
      </c>
      <c r="Q725">
        <v>0</v>
      </c>
      <c r="R725">
        <v>18.690000000000001</v>
      </c>
      <c r="S725">
        <v>2.88</v>
      </c>
      <c r="T725">
        <f t="shared" si="66"/>
        <v>0</v>
      </c>
      <c r="U725">
        <f t="shared" si="67"/>
        <v>2.1951219512195124</v>
      </c>
      <c r="V725" s="60">
        <f>U725-AVERAGEIFS(Pitchers[ER/IP],Pitchers[GS],"&gt;"&amp;0,Pitchers[IP],"&gt;"&amp;3)</f>
        <v>1.6236213564201929</v>
      </c>
      <c r="W725" s="60">
        <f>IF(Pitchers[[#This Row],[IP/GS]]&lt;&gt;0,(Pitchers[[#This Row],[WHIP]]*$AH$5+$AI$5)/9*Pitchers[[#This Row],[IP/GS]],(Pitchers[[#This Row],[WHIP]]*$AH$5+$AI$5)/9*(Pitchers[[#This Row],[IP]]/Pitchers[[#This Row],[G]]))</f>
        <v>1.3269813623376123</v>
      </c>
      <c r="X725" s="60">
        <f>Pitchers[[#This Row],[Runs from WHIP]]-AVERAGEIFS(Pitchers[Runs from WHIP],Pitchers[GS],"&gt;"&amp;0,Pitchers[IP],"&gt;"&amp;3)</f>
        <v>-4.3589345437872469</v>
      </c>
      <c r="Y725" s="60">
        <f>IF(Pitchers[[#This Row],[IP/GS]]&lt;&gt;0,Pitchers[[#This Row],[ER/IP From Average]]*Pitchers[[#This Row],[IP/GS]],Pitchers[[#This Row],[ER/IP From Average]]*(Pitchers[[#This Row],[IP]]/Pitchers[[#This Row],[G]]))</f>
        <v>1.6642118903306975</v>
      </c>
      <c r="Z725" s="60">
        <f t="shared" si="68"/>
        <v>-0.49669778887765337</v>
      </c>
      <c r="AA725" s="90">
        <f>IF(Pitchers[[#This Row],[W]]=0,0,Pitchers[[#This Row],[W]]/(Pitchers[[#This Row],[W]]+Pitchers[[#This Row],[L]]))</f>
        <v>0</v>
      </c>
    </row>
    <row r="726" spans="1:27" x14ac:dyDescent="0.25">
      <c r="A726" t="s">
        <v>687</v>
      </c>
      <c r="B726" t="s">
        <v>3</v>
      </c>
      <c r="C726">
        <v>5</v>
      </c>
      <c r="D726">
        <v>2</v>
      </c>
      <c r="E726">
        <v>0</v>
      </c>
      <c r="F726">
        <v>0</v>
      </c>
      <c r="G726">
        <v>8.1999999999999993</v>
      </c>
      <c r="H726">
        <v>12</v>
      </c>
      <c r="I726">
        <v>9</v>
      </c>
      <c r="J726">
        <v>9</v>
      </c>
      <c r="K726">
        <v>8</v>
      </c>
      <c r="L726">
        <v>1</v>
      </c>
      <c r="M726">
        <v>0</v>
      </c>
      <c r="N726">
        <v>1</v>
      </c>
      <c r="O726">
        <v>0</v>
      </c>
      <c r="P726">
        <v>1</v>
      </c>
      <c r="Q726">
        <v>0</v>
      </c>
      <c r="R726">
        <v>9.35</v>
      </c>
      <c r="S726">
        <v>2.31</v>
      </c>
      <c r="T726">
        <f t="shared" si="66"/>
        <v>4.0999999999999996</v>
      </c>
      <c r="U726">
        <f t="shared" si="67"/>
        <v>1.0975609756097562</v>
      </c>
      <c r="V726" s="60">
        <f>U726-AVERAGEIFS(Pitchers[ER/IP],Pitchers[GS],"&gt;"&amp;0,Pitchers[IP],"&gt;"&amp;3)</f>
        <v>0.52606038081043671</v>
      </c>
      <c r="W726" s="60">
        <f>IF(Pitchers[[#This Row],[IP/GS]]&lt;&gt;0,(Pitchers[[#This Row],[WHIP]]*$AH$5+$AI$5)/9*Pitchers[[#This Row],[IP/GS]],(Pitchers[[#This Row],[WHIP]]*$AH$5+$AI$5)/9*(Pitchers[[#This Row],[IP]]/Pitchers[[#This Row],[G]]))</f>
        <v>4.0946137531015632</v>
      </c>
      <c r="X726" s="60">
        <f>Pitchers[[#This Row],[Runs from WHIP]]-AVERAGEIFS(Pitchers[Runs from WHIP],Pitchers[GS],"&gt;"&amp;0,Pitchers[IP],"&gt;"&amp;3)</f>
        <v>-1.591302153023296</v>
      </c>
      <c r="Y726" s="60">
        <f>IF(Pitchers[[#This Row],[IP/GS]]&lt;&gt;0,Pitchers[[#This Row],[ER/IP From Average]]*Pitchers[[#This Row],[IP/GS]],Pitchers[[#This Row],[ER/IP From Average]]*(Pitchers[[#This Row],[IP]]/Pitchers[[#This Row],[G]]))</f>
        <v>2.1568475613227904</v>
      </c>
      <c r="Z726" s="60">
        <f t="shared" si="68"/>
        <v>0.43839178372290388</v>
      </c>
      <c r="AA726" s="90">
        <f>IF(Pitchers[[#This Row],[W]]=0,0,Pitchers[[#This Row],[W]]/(Pitchers[[#This Row],[W]]+Pitchers[[#This Row],[L]]))</f>
        <v>0</v>
      </c>
    </row>
    <row r="727" spans="1:27" x14ac:dyDescent="0.25">
      <c r="A727" t="s">
        <v>726</v>
      </c>
      <c r="B727" t="s">
        <v>31</v>
      </c>
      <c r="C727">
        <v>9</v>
      </c>
      <c r="D727">
        <v>0</v>
      </c>
      <c r="E727">
        <v>0</v>
      </c>
      <c r="F727">
        <v>0</v>
      </c>
      <c r="G727">
        <v>8.1999999999999993</v>
      </c>
      <c r="H727">
        <v>9</v>
      </c>
      <c r="I727">
        <v>3</v>
      </c>
      <c r="J727">
        <v>4</v>
      </c>
      <c r="K727">
        <v>3</v>
      </c>
      <c r="L727">
        <v>1</v>
      </c>
      <c r="M727">
        <v>0</v>
      </c>
      <c r="N727">
        <v>0</v>
      </c>
      <c r="O727">
        <v>0</v>
      </c>
      <c r="P727">
        <v>0</v>
      </c>
      <c r="Q727">
        <v>0</v>
      </c>
      <c r="R727">
        <v>3.12</v>
      </c>
      <c r="S727">
        <v>1.38</v>
      </c>
      <c r="T727">
        <f t="shared" si="66"/>
        <v>0</v>
      </c>
      <c r="U727">
        <f t="shared" si="67"/>
        <v>0.36585365853658541</v>
      </c>
      <c r="V727" s="60">
        <f>U727-AVERAGEIFS(Pitchers[ER/IP],Pitchers[GS],"&gt;"&amp;0,Pitchers[IP],"&gt;"&amp;3)</f>
        <v>-0.20564693626273406</v>
      </c>
      <c r="W727" s="60">
        <f>IF(Pitchers[[#This Row],[IP/GS]]&lt;&gt;0,(Pitchers[[#This Row],[WHIP]]*$AH$5+$AI$5)/9*Pitchers[[#This Row],[IP/GS]],(Pitchers[[#This Row],[WHIP]]*$AH$5+$AI$5)/9*(Pitchers[[#This Row],[IP]]/Pitchers[[#This Row],[G]]))</f>
        <v>0.46999998509022495</v>
      </c>
      <c r="X727" s="60">
        <f>Pitchers[[#This Row],[Runs from WHIP]]-AVERAGEIFS(Pitchers[Runs from WHIP],Pitchers[GS],"&gt;"&amp;0,Pitchers[IP],"&gt;"&amp;3)</f>
        <v>-5.2159159210346342</v>
      </c>
      <c r="Y727" s="60">
        <f>IF(Pitchers[[#This Row],[IP/GS]]&lt;&gt;0,Pitchers[[#This Row],[ER/IP From Average]]*Pitchers[[#This Row],[IP/GS]],Pitchers[[#This Row],[ER/IP From Average]]*(Pitchers[[#This Row],[IP]]/Pitchers[[#This Row],[G]]))</f>
        <v>-0.18736720859493544</v>
      </c>
      <c r="Z727" s="60">
        <f t="shared" si="68"/>
        <v>-1.4658577957138765</v>
      </c>
      <c r="AA727" s="90">
        <f>IF(Pitchers[[#This Row],[W]]=0,0,Pitchers[[#This Row],[W]]/(Pitchers[[#This Row],[W]]+Pitchers[[#This Row],[L]]))</f>
        <v>0</v>
      </c>
    </row>
    <row r="728" spans="1:27" x14ac:dyDescent="0.25">
      <c r="A728" t="s">
        <v>1486</v>
      </c>
      <c r="B728" t="s">
        <v>9</v>
      </c>
      <c r="C728">
        <v>10</v>
      </c>
      <c r="D728">
        <v>0</v>
      </c>
      <c r="E728">
        <v>0</v>
      </c>
      <c r="F728">
        <v>0</v>
      </c>
      <c r="G728">
        <v>8.1</v>
      </c>
      <c r="H728">
        <v>9</v>
      </c>
      <c r="I728">
        <v>8</v>
      </c>
      <c r="J728">
        <v>6</v>
      </c>
      <c r="K728">
        <v>5</v>
      </c>
      <c r="L728">
        <v>2</v>
      </c>
      <c r="M728">
        <v>0</v>
      </c>
      <c r="N728">
        <v>3</v>
      </c>
      <c r="O728">
        <v>0</v>
      </c>
      <c r="P728">
        <v>0</v>
      </c>
      <c r="Q728">
        <v>0</v>
      </c>
      <c r="R728">
        <v>8.64</v>
      </c>
      <c r="S728">
        <v>1.68</v>
      </c>
      <c r="T728">
        <f t="shared" si="66"/>
        <v>0</v>
      </c>
      <c r="U728">
        <f t="shared" si="67"/>
        <v>0.98765432098765438</v>
      </c>
      <c r="V728" s="60">
        <f>U728-AVERAGEIFS(Pitchers[ER/IP],Pitchers[GS],"&gt;"&amp;0,Pitchers[IP],"&gt;"&amp;3)</f>
        <v>0.4161537261883349</v>
      </c>
      <c r="W728" s="60">
        <f>IF(Pitchers[[#This Row],[IP/GS]]&lt;&gt;0,(Pitchers[[#This Row],[WHIP]]*$AH$5+$AI$5)/9*Pitchers[[#This Row],[IP/GS]],(Pitchers[[#This Row],[WHIP]]*$AH$5+$AI$5)/9*(Pitchers[[#This Row],[IP]]/Pitchers[[#This Row],[G]]))</f>
        <v>0.54400094617508998</v>
      </c>
      <c r="X728" s="60">
        <f>Pitchers[[#This Row],[Runs from WHIP]]-AVERAGEIFS(Pitchers[Runs from WHIP],Pitchers[GS],"&gt;"&amp;0,Pitchers[IP],"&gt;"&amp;3)</f>
        <v>-5.1419149599497693</v>
      </c>
      <c r="Y728" s="60">
        <f>IF(Pitchers[[#This Row],[IP/GS]]&lt;&gt;0,Pitchers[[#This Row],[ER/IP From Average]]*Pitchers[[#This Row],[IP/GS]],Pitchers[[#This Row],[ER/IP From Average]]*(Pitchers[[#This Row],[IP]]/Pitchers[[#This Row],[G]]))</f>
        <v>0.33708451821255125</v>
      </c>
      <c r="Z728" s="60">
        <f t="shared" si="68"/>
        <v>-1.2363435153682514</v>
      </c>
      <c r="AA728" s="90">
        <f>IF(Pitchers[[#This Row],[W]]=0,0,Pitchers[[#This Row],[W]]/(Pitchers[[#This Row],[W]]+Pitchers[[#This Row],[L]]))</f>
        <v>0</v>
      </c>
    </row>
    <row r="729" spans="1:27" x14ac:dyDescent="0.25">
      <c r="A729" t="s">
        <v>4399</v>
      </c>
      <c r="B729" t="s">
        <v>3</v>
      </c>
      <c r="C729">
        <v>8</v>
      </c>
      <c r="D729">
        <v>0</v>
      </c>
      <c r="E729">
        <v>0</v>
      </c>
      <c r="F729">
        <v>0</v>
      </c>
      <c r="G729">
        <v>8.1</v>
      </c>
      <c r="H729">
        <v>6</v>
      </c>
      <c r="I729">
        <v>2</v>
      </c>
      <c r="J729">
        <v>10</v>
      </c>
      <c r="K729">
        <v>2</v>
      </c>
      <c r="L729">
        <v>2</v>
      </c>
      <c r="M729">
        <v>0</v>
      </c>
      <c r="N729">
        <v>0</v>
      </c>
      <c r="O729">
        <v>0</v>
      </c>
      <c r="P729">
        <v>0</v>
      </c>
      <c r="Q729">
        <v>1</v>
      </c>
      <c r="R729">
        <v>2.16</v>
      </c>
      <c r="S729">
        <v>0.96</v>
      </c>
      <c r="T729">
        <f t="shared" si="66"/>
        <v>0</v>
      </c>
      <c r="U729">
        <f t="shared" si="67"/>
        <v>0.24691358024691359</v>
      </c>
      <c r="V729" s="60">
        <f>U729-AVERAGEIFS(Pitchers[ER/IP],Pitchers[GS],"&gt;"&amp;0,Pitchers[IP],"&gt;"&amp;3)</f>
        <v>-0.32458701455240591</v>
      </c>
      <c r="W729" s="60">
        <f>IF(Pitchers[[#This Row],[IP/GS]]&lt;&gt;0,(Pitchers[[#This Row],[WHIP]]*$AH$5+$AI$5)/9*Pitchers[[#This Row],[IP/GS]],(Pitchers[[#This Row],[WHIP]]*$AH$5+$AI$5)/9*(Pitchers[[#This Row],[IP]]/Pitchers[[#This Row],[G]]))</f>
        <v>0.30152269467203408</v>
      </c>
      <c r="X729" s="60">
        <f>Pitchers[[#This Row],[Runs from WHIP]]-AVERAGEIFS(Pitchers[Runs from WHIP],Pitchers[GS],"&gt;"&amp;0,Pitchers[IP],"&gt;"&amp;3)</f>
        <v>-5.3843932114528252</v>
      </c>
      <c r="Y729" s="60">
        <f>IF(Pitchers[[#This Row],[IP/GS]]&lt;&gt;0,Pitchers[[#This Row],[ER/IP From Average]]*Pitchers[[#This Row],[IP/GS]],Pitchers[[#This Row],[ER/IP From Average]]*(Pitchers[[#This Row],[IP]]/Pitchers[[#This Row],[G]]))</f>
        <v>-0.32864435223431099</v>
      </c>
      <c r="Z729" s="60">
        <f t="shared" si="68"/>
        <v>-1.5672959306144782</v>
      </c>
      <c r="AA729" s="90">
        <f>IF(Pitchers[[#This Row],[W]]=0,0,Pitchers[[#This Row],[W]]/(Pitchers[[#This Row],[W]]+Pitchers[[#This Row],[L]]))</f>
        <v>0</v>
      </c>
    </row>
    <row r="730" spans="1:27" x14ac:dyDescent="0.25">
      <c r="A730" t="s">
        <v>575</v>
      </c>
      <c r="B730" t="s">
        <v>18</v>
      </c>
      <c r="C730">
        <v>6</v>
      </c>
      <c r="D730">
        <v>1</v>
      </c>
      <c r="E730">
        <v>0</v>
      </c>
      <c r="F730">
        <v>0</v>
      </c>
      <c r="G730">
        <v>8.1</v>
      </c>
      <c r="H730">
        <v>8</v>
      </c>
      <c r="I730">
        <v>5</v>
      </c>
      <c r="J730">
        <v>6</v>
      </c>
      <c r="K730">
        <v>6</v>
      </c>
      <c r="L730">
        <v>2</v>
      </c>
      <c r="M730">
        <v>0</v>
      </c>
      <c r="N730">
        <v>0</v>
      </c>
      <c r="O730">
        <v>0</v>
      </c>
      <c r="P730">
        <v>0</v>
      </c>
      <c r="Q730">
        <v>0</v>
      </c>
      <c r="R730">
        <v>5.4</v>
      </c>
      <c r="S730">
        <v>1.68</v>
      </c>
      <c r="T730">
        <f t="shared" si="66"/>
        <v>8.1</v>
      </c>
      <c r="U730">
        <f t="shared" si="67"/>
        <v>0.61728395061728403</v>
      </c>
      <c r="V730" s="60">
        <f>U730-AVERAGEIFS(Pitchers[ER/IP],Pitchers[GS],"&gt;"&amp;0,Pitchers[IP],"&gt;"&amp;3)</f>
        <v>4.5783355817964555E-2</v>
      </c>
      <c r="W730" s="60">
        <f>IF(Pitchers[[#This Row],[IP/GS]]&lt;&gt;0,(Pitchers[[#This Row],[WHIP]]*$AH$5+$AI$5)/9*Pitchers[[#This Row],[IP/GS]],(Pitchers[[#This Row],[WHIP]]*$AH$5+$AI$5)/9*(Pitchers[[#This Row],[IP]]/Pitchers[[#This Row],[G]]))</f>
        <v>5.4400094617508996</v>
      </c>
      <c r="X730" s="60">
        <f>Pitchers[[#This Row],[Runs from WHIP]]-AVERAGEIFS(Pitchers[Runs from WHIP],Pitchers[GS],"&gt;"&amp;0,Pitchers[IP],"&gt;"&amp;3)</f>
        <v>-0.24590644437395959</v>
      </c>
      <c r="Y730" s="60">
        <f>IF(Pitchers[[#This Row],[IP/GS]]&lt;&gt;0,Pitchers[[#This Row],[ER/IP From Average]]*Pitchers[[#This Row],[IP/GS]],Pitchers[[#This Row],[ER/IP From Average]]*(Pitchers[[#This Row],[IP]]/Pitchers[[#This Row],[G]]))</f>
        <v>0.37084518212551287</v>
      </c>
      <c r="Z730" s="60">
        <f t="shared" si="68"/>
        <v>8.276302101714926E-2</v>
      </c>
      <c r="AA730" s="90">
        <f>IF(Pitchers[[#This Row],[W]]=0,0,Pitchers[[#This Row],[W]]/(Pitchers[[#This Row],[W]]+Pitchers[[#This Row],[L]]))</f>
        <v>0</v>
      </c>
    </row>
    <row r="731" spans="1:27" x14ac:dyDescent="0.25">
      <c r="A731" t="s">
        <v>1424</v>
      </c>
      <c r="B731" t="s">
        <v>13</v>
      </c>
      <c r="C731">
        <v>4</v>
      </c>
      <c r="D731">
        <v>0</v>
      </c>
      <c r="E731">
        <v>0</v>
      </c>
      <c r="F731">
        <v>0</v>
      </c>
      <c r="G731">
        <v>8.1</v>
      </c>
      <c r="H731">
        <v>10</v>
      </c>
      <c r="I731">
        <v>7</v>
      </c>
      <c r="J731">
        <v>9</v>
      </c>
      <c r="K731">
        <v>5</v>
      </c>
      <c r="L731">
        <v>1</v>
      </c>
      <c r="M731">
        <v>0</v>
      </c>
      <c r="N731">
        <v>0</v>
      </c>
      <c r="O731">
        <v>0</v>
      </c>
      <c r="P731">
        <v>0</v>
      </c>
      <c r="Q731">
        <v>0</v>
      </c>
      <c r="R731">
        <v>7.56</v>
      </c>
      <c r="S731">
        <v>1.8</v>
      </c>
      <c r="T731">
        <f t="shared" si="66"/>
        <v>0</v>
      </c>
      <c r="U731">
        <f t="shared" si="67"/>
        <v>0.86419753086419759</v>
      </c>
      <c r="V731" s="60">
        <f>U731-AVERAGEIFS(Pitchers[ER/IP],Pitchers[GS],"&gt;"&amp;0,Pitchers[IP],"&gt;"&amp;3)</f>
        <v>0.29269693606487812</v>
      </c>
      <c r="W731" s="60">
        <f>IF(Pitchers[[#This Row],[IP/GS]]&lt;&gt;0,(Pitchers[[#This Row],[WHIP]]*$AH$5+$AI$5)/9*Pitchers[[#This Row],[IP/GS]],(Pitchers[[#This Row],[WHIP]]*$AH$5+$AI$5)/9*(Pitchers[[#This Row],[IP]]/Pitchers[[#This Row],[G]]))</f>
        <v>1.4861618614533345</v>
      </c>
      <c r="X731" s="60">
        <f>Pitchers[[#This Row],[Runs from WHIP]]-AVERAGEIFS(Pitchers[Runs from WHIP],Pitchers[GS],"&gt;"&amp;0,Pitchers[IP],"&gt;"&amp;3)</f>
        <v>-4.1997540446715247</v>
      </c>
      <c r="Y731" s="60">
        <f>IF(Pitchers[[#This Row],[IP/GS]]&lt;&gt;0,Pitchers[[#This Row],[ER/IP From Average]]*Pitchers[[#This Row],[IP/GS]],Pitchers[[#This Row],[ER/IP From Average]]*(Pitchers[[#This Row],[IP]]/Pitchers[[#This Row],[G]]))</f>
        <v>0.59271129553137814</v>
      </c>
      <c r="Z731" s="60">
        <f t="shared" si="68"/>
        <v>-0.88284989369985523</v>
      </c>
      <c r="AA731" s="90">
        <f>IF(Pitchers[[#This Row],[W]]=0,0,Pitchers[[#This Row],[W]]/(Pitchers[[#This Row],[W]]+Pitchers[[#This Row],[L]]))</f>
        <v>0</v>
      </c>
    </row>
    <row r="732" spans="1:27" x14ac:dyDescent="0.25">
      <c r="A732" t="s">
        <v>1321</v>
      </c>
      <c r="B732" t="s">
        <v>3</v>
      </c>
      <c r="C732">
        <v>8</v>
      </c>
      <c r="D732">
        <v>0</v>
      </c>
      <c r="E732">
        <v>0</v>
      </c>
      <c r="F732">
        <v>0</v>
      </c>
      <c r="G732">
        <v>8.1</v>
      </c>
      <c r="H732">
        <v>8</v>
      </c>
      <c r="I732">
        <v>5</v>
      </c>
      <c r="J732">
        <v>12</v>
      </c>
      <c r="K732">
        <v>8</v>
      </c>
      <c r="L732">
        <v>0</v>
      </c>
      <c r="M732">
        <v>0</v>
      </c>
      <c r="N732">
        <v>0</v>
      </c>
      <c r="O732">
        <v>0</v>
      </c>
      <c r="P732">
        <v>0</v>
      </c>
      <c r="Q732">
        <v>0</v>
      </c>
      <c r="R732">
        <v>5.4</v>
      </c>
      <c r="S732">
        <v>1.92</v>
      </c>
      <c r="T732">
        <f t="shared" si="66"/>
        <v>0</v>
      </c>
      <c r="U732">
        <f t="shared" si="67"/>
        <v>0.61728395061728403</v>
      </c>
      <c r="V732" s="60">
        <f>U732-AVERAGEIFS(Pitchers[ER/IP],Pitchers[GS],"&gt;"&amp;0,Pitchers[IP],"&gt;"&amp;3)</f>
        <v>4.5783355817964555E-2</v>
      </c>
      <c r="W732" s="60">
        <f>IF(Pitchers[[#This Row],[IP/GS]]&lt;&gt;0,(Pitchers[[#This Row],[WHIP]]*$AH$5+$AI$5)/9*Pitchers[[#This Row],[IP/GS]],(Pitchers[[#This Row],[WHIP]]*$AH$5+$AI$5)/9*(Pitchers[[#This Row],[IP]]/Pitchers[[#This Row],[G]]))</f>
        <v>0.80616067873447184</v>
      </c>
      <c r="X732" s="60">
        <f>Pitchers[[#This Row],[Runs from WHIP]]-AVERAGEIFS(Pitchers[Runs from WHIP],Pitchers[GS],"&gt;"&amp;0,Pitchers[IP],"&gt;"&amp;3)</f>
        <v>-4.8797552273903877</v>
      </c>
      <c r="Y732" s="60">
        <f>IF(Pitchers[[#This Row],[IP/GS]]&lt;&gt;0,Pitchers[[#This Row],[ER/IP From Average]]*Pitchers[[#This Row],[IP/GS]],Pitchers[[#This Row],[ER/IP From Average]]*(Pitchers[[#This Row],[IP]]/Pitchers[[#This Row],[G]]))</f>
        <v>4.6355647765689109E-2</v>
      </c>
      <c r="Z732" s="60">
        <f t="shared" si="68"/>
        <v>-1.2827258015311613</v>
      </c>
      <c r="AA732" s="90">
        <f>IF(Pitchers[[#This Row],[W]]=0,0,Pitchers[[#This Row],[W]]/(Pitchers[[#This Row],[W]]+Pitchers[[#This Row],[L]]))</f>
        <v>0</v>
      </c>
    </row>
    <row r="733" spans="1:27" x14ac:dyDescent="0.25">
      <c r="A733" t="s">
        <v>696</v>
      </c>
      <c r="B733" t="s">
        <v>11</v>
      </c>
      <c r="C733">
        <v>9</v>
      </c>
      <c r="D733">
        <v>0</v>
      </c>
      <c r="E733">
        <v>0</v>
      </c>
      <c r="F733">
        <v>0</v>
      </c>
      <c r="G733">
        <v>8</v>
      </c>
      <c r="H733">
        <v>7</v>
      </c>
      <c r="I733">
        <v>5</v>
      </c>
      <c r="J733">
        <v>6</v>
      </c>
      <c r="K733">
        <v>6</v>
      </c>
      <c r="L733">
        <v>2</v>
      </c>
      <c r="M733">
        <v>0</v>
      </c>
      <c r="N733">
        <v>0</v>
      </c>
      <c r="O733">
        <v>0</v>
      </c>
      <c r="P733">
        <v>0</v>
      </c>
      <c r="Q733">
        <v>0</v>
      </c>
      <c r="R733">
        <v>5.63</v>
      </c>
      <c r="S733">
        <v>1.63</v>
      </c>
      <c r="T733">
        <f t="shared" si="66"/>
        <v>0</v>
      </c>
      <c r="U733">
        <f t="shared" si="67"/>
        <v>0.625</v>
      </c>
      <c r="V733" s="60">
        <f>U733-AVERAGEIFS(Pitchers[ER/IP],Pitchers[GS],"&gt;"&amp;0,Pitchers[IP],"&gt;"&amp;3)</f>
        <v>5.3499405200680528E-2</v>
      </c>
      <c r="W733" s="60">
        <f>IF(Pitchers[[#This Row],[IP/GS]]&lt;&gt;0,(Pitchers[[#This Row],[WHIP]]*$AH$5+$AI$5)/9*Pitchers[[#This Row],[IP/GS]],(Pitchers[[#This Row],[WHIP]]*$AH$5+$AI$5)/9*(Pitchers[[#This Row],[IP]]/Pitchers[[#This Row],[G]]))</f>
        <v>0.5739087665358813</v>
      </c>
      <c r="X733" s="60">
        <f>Pitchers[[#This Row],[Runs from WHIP]]-AVERAGEIFS(Pitchers[Runs from WHIP],Pitchers[GS],"&gt;"&amp;0,Pitchers[IP],"&gt;"&amp;3)</f>
        <v>-5.1120071395889779</v>
      </c>
      <c r="Y733" s="60">
        <f>IF(Pitchers[[#This Row],[IP/GS]]&lt;&gt;0,Pitchers[[#This Row],[ER/IP From Average]]*Pitchers[[#This Row],[IP/GS]],Pitchers[[#This Row],[ER/IP From Average]]*(Pitchers[[#This Row],[IP]]/Pitchers[[#This Row],[G]]))</f>
        <v>4.7555026845049357E-2</v>
      </c>
      <c r="Z733" s="60">
        <f t="shared" si="68"/>
        <v>-1.3441798931523741</v>
      </c>
      <c r="AA733" s="90">
        <f>IF(Pitchers[[#This Row],[W]]=0,0,Pitchers[[#This Row],[W]]/(Pitchers[[#This Row],[W]]+Pitchers[[#This Row],[L]]))</f>
        <v>0</v>
      </c>
    </row>
    <row r="734" spans="1:27" x14ac:dyDescent="0.25">
      <c r="A734" t="s">
        <v>3680</v>
      </c>
      <c r="B734" t="s">
        <v>7</v>
      </c>
      <c r="C734">
        <v>5</v>
      </c>
      <c r="D734">
        <v>0</v>
      </c>
      <c r="E734">
        <v>0</v>
      </c>
      <c r="F734">
        <v>0</v>
      </c>
      <c r="G734">
        <v>8</v>
      </c>
      <c r="H734">
        <v>8</v>
      </c>
      <c r="I734">
        <v>4</v>
      </c>
      <c r="J734">
        <v>4</v>
      </c>
      <c r="K734">
        <v>1</v>
      </c>
      <c r="L734">
        <v>1</v>
      </c>
      <c r="M734">
        <v>0</v>
      </c>
      <c r="N734">
        <v>0</v>
      </c>
      <c r="O734">
        <v>0</v>
      </c>
      <c r="P734">
        <v>0</v>
      </c>
      <c r="Q734">
        <v>0</v>
      </c>
      <c r="R734">
        <v>4.5</v>
      </c>
      <c r="S734">
        <v>1.1299999999999999</v>
      </c>
      <c r="T734">
        <f t="shared" ref="T734:T750" si="69">IF(D734=0,0,G734/D734)</f>
        <v>0</v>
      </c>
      <c r="U734">
        <f t="shared" ref="U734:U750" si="70">IF(G734=0,0,I734/G734)</f>
        <v>0.5</v>
      </c>
      <c r="V734" s="60">
        <f>U734-AVERAGEIFS(Pitchers[ER/IP],Pitchers[GS],"&gt;"&amp;0,Pitchers[IP],"&gt;"&amp;3)</f>
        <v>-7.1500594799319472E-2</v>
      </c>
      <c r="W734" s="60">
        <f>IF(Pitchers[[#This Row],[IP/GS]]&lt;&gt;0,(Pitchers[[#This Row],[WHIP]]*$AH$5+$AI$5)/9*Pitchers[[#This Row],[IP/GS]],(Pitchers[[#This Row],[WHIP]]*$AH$5+$AI$5)/9*(Pitchers[[#This Row],[IP]]/Pitchers[[#This Row],[G]]))</f>
        <v>0.61769587518644808</v>
      </c>
      <c r="X734" s="60">
        <f>Pitchers[[#This Row],[Runs from WHIP]]-AVERAGEIFS(Pitchers[Runs from WHIP],Pitchers[GS],"&gt;"&amp;0,Pitchers[IP],"&gt;"&amp;3)</f>
        <v>-5.0682200309384111</v>
      </c>
      <c r="Y734" s="60">
        <f>IF(Pitchers[[#This Row],[IP/GS]]&lt;&gt;0,Pitchers[[#This Row],[ER/IP From Average]]*Pitchers[[#This Row],[IP/GS]],Pitchers[[#This Row],[ER/IP From Average]]*(Pitchers[[#This Row],[IP]]/Pitchers[[#This Row],[G]]))</f>
        <v>-0.11440095167891116</v>
      </c>
      <c r="Z734" s="60">
        <f t="shared" ref="Z734:Z750" si="71">AVERAGE(X734,X734,Y734,Y734,Y734)/1.5</f>
        <v>-1.3972857222551409</v>
      </c>
      <c r="AA734" s="90">
        <f>IF(Pitchers[[#This Row],[W]]=0,0,Pitchers[[#This Row],[W]]/(Pitchers[[#This Row],[W]]+Pitchers[[#This Row],[L]]))</f>
        <v>0</v>
      </c>
    </row>
    <row r="735" spans="1:27" x14ac:dyDescent="0.25">
      <c r="A735" t="s">
        <v>683</v>
      </c>
      <c r="B735" t="s">
        <v>3</v>
      </c>
      <c r="C735">
        <v>9</v>
      </c>
      <c r="D735">
        <v>0</v>
      </c>
      <c r="E735">
        <v>0</v>
      </c>
      <c r="F735">
        <v>0</v>
      </c>
      <c r="G735">
        <v>8</v>
      </c>
      <c r="H735">
        <v>5</v>
      </c>
      <c r="I735">
        <v>2</v>
      </c>
      <c r="J735">
        <v>5</v>
      </c>
      <c r="K735">
        <v>6</v>
      </c>
      <c r="L735">
        <v>2</v>
      </c>
      <c r="M735">
        <v>2</v>
      </c>
      <c r="N735">
        <v>0</v>
      </c>
      <c r="O735">
        <v>0</v>
      </c>
      <c r="P735">
        <v>0</v>
      </c>
      <c r="Q735">
        <v>0</v>
      </c>
      <c r="R735">
        <v>2.25</v>
      </c>
      <c r="S735">
        <v>1.38</v>
      </c>
      <c r="T735">
        <f t="shared" si="69"/>
        <v>0</v>
      </c>
      <c r="U735">
        <f t="shared" si="70"/>
        <v>0.25</v>
      </c>
      <c r="V735" s="60">
        <f>U735-AVERAGEIFS(Pitchers[ER/IP],Pitchers[GS],"&gt;"&amp;0,Pitchers[IP],"&gt;"&amp;3)</f>
        <v>-0.32150059479931947</v>
      </c>
      <c r="W735" s="60">
        <f>IF(Pitchers[[#This Row],[IP/GS]]&lt;&gt;0,(Pitchers[[#This Row],[WHIP]]*$AH$5+$AI$5)/9*Pitchers[[#This Row],[IP/GS]],(Pitchers[[#This Row],[WHIP]]*$AH$5+$AI$5)/9*(Pitchers[[#This Row],[IP]]/Pitchers[[#This Row],[G]]))</f>
        <v>0.4585365708197317</v>
      </c>
      <c r="X735" s="60">
        <f>Pitchers[[#This Row],[Runs from WHIP]]-AVERAGEIFS(Pitchers[Runs from WHIP],Pitchers[GS],"&gt;"&amp;0,Pitchers[IP],"&gt;"&amp;3)</f>
        <v>-5.2273793353051277</v>
      </c>
      <c r="Y735" s="60">
        <f>IF(Pitchers[[#This Row],[IP/GS]]&lt;&gt;0,Pitchers[[#This Row],[ER/IP From Average]]*Pitchers[[#This Row],[IP/GS]],Pitchers[[#This Row],[ER/IP From Average]]*(Pitchers[[#This Row],[IP]]/Pitchers[[#This Row],[G]]))</f>
        <v>-0.28577830648828395</v>
      </c>
      <c r="Z735" s="60">
        <f t="shared" si="71"/>
        <v>-1.5082791453433477</v>
      </c>
      <c r="AA735" s="90">
        <f>IF(Pitchers[[#This Row],[W]]=0,0,Pitchers[[#This Row],[W]]/(Pitchers[[#This Row],[W]]+Pitchers[[#This Row],[L]]))</f>
        <v>1</v>
      </c>
    </row>
    <row r="736" spans="1:27" x14ac:dyDescent="0.25">
      <c r="A736" t="s">
        <v>1318</v>
      </c>
      <c r="B736" t="s">
        <v>27</v>
      </c>
      <c r="C736">
        <v>8</v>
      </c>
      <c r="D736">
        <v>0</v>
      </c>
      <c r="E736">
        <v>0</v>
      </c>
      <c r="F736">
        <v>0</v>
      </c>
      <c r="G736">
        <v>8</v>
      </c>
      <c r="H736">
        <v>10</v>
      </c>
      <c r="I736">
        <v>6</v>
      </c>
      <c r="J736">
        <v>6</v>
      </c>
      <c r="K736">
        <v>5</v>
      </c>
      <c r="L736">
        <v>1</v>
      </c>
      <c r="M736">
        <v>1</v>
      </c>
      <c r="N736">
        <v>0</v>
      </c>
      <c r="O736">
        <v>0</v>
      </c>
      <c r="P736">
        <v>0</v>
      </c>
      <c r="Q736">
        <v>0</v>
      </c>
      <c r="R736">
        <v>6.75</v>
      </c>
      <c r="S736">
        <v>1.88</v>
      </c>
      <c r="T736">
        <f t="shared" si="69"/>
        <v>0</v>
      </c>
      <c r="U736">
        <f t="shared" si="70"/>
        <v>0.75</v>
      </c>
      <c r="V736" s="60">
        <f>U736-AVERAGEIFS(Pitchers[ER/IP],Pitchers[GS],"&gt;"&amp;0,Pitchers[IP],"&gt;"&amp;3)</f>
        <v>0.17849940520068053</v>
      </c>
      <c r="W736" s="60">
        <f>IF(Pitchers[[#This Row],[IP/GS]]&lt;&gt;0,(Pitchers[[#This Row],[WHIP]]*$AH$5+$AI$5)/9*Pitchers[[#This Row],[IP/GS]],(Pitchers[[#This Row],[WHIP]]*$AH$5+$AI$5)/9*(Pitchers[[#This Row],[IP]]/Pitchers[[#This Row],[G]]))</f>
        <v>0.7754410825335345</v>
      </c>
      <c r="X736" s="60">
        <f>Pitchers[[#This Row],[Runs from WHIP]]-AVERAGEIFS(Pitchers[Runs from WHIP],Pitchers[GS],"&gt;"&amp;0,Pitchers[IP],"&gt;"&amp;3)</f>
        <v>-4.9104748235913247</v>
      </c>
      <c r="Y736" s="60">
        <f>IF(Pitchers[[#This Row],[IP/GS]]&lt;&gt;0,Pitchers[[#This Row],[ER/IP From Average]]*Pitchers[[#This Row],[IP/GS]],Pitchers[[#This Row],[ER/IP From Average]]*(Pitchers[[#This Row],[IP]]/Pitchers[[#This Row],[G]]))</f>
        <v>0.17849940520068053</v>
      </c>
      <c r="Z736" s="60">
        <f t="shared" si="71"/>
        <v>-1.2380601908774145</v>
      </c>
      <c r="AA736" s="90">
        <f>IF(Pitchers[[#This Row],[W]]=0,0,Pitchers[[#This Row],[W]]/(Pitchers[[#This Row],[W]]+Pitchers[[#This Row],[L]]))</f>
        <v>1</v>
      </c>
    </row>
    <row r="737" spans="1:27" x14ac:dyDescent="0.25">
      <c r="A737" t="s">
        <v>713</v>
      </c>
      <c r="B737" t="s">
        <v>6</v>
      </c>
      <c r="C737">
        <v>6</v>
      </c>
      <c r="D737">
        <v>0</v>
      </c>
      <c r="E737">
        <v>0</v>
      </c>
      <c r="F737">
        <v>0</v>
      </c>
      <c r="G737">
        <v>8</v>
      </c>
      <c r="H737">
        <v>6</v>
      </c>
      <c r="I737">
        <v>3</v>
      </c>
      <c r="J737">
        <v>3</v>
      </c>
      <c r="K737">
        <v>6</v>
      </c>
      <c r="L737">
        <v>0</v>
      </c>
      <c r="M737">
        <v>0</v>
      </c>
      <c r="N737">
        <v>0</v>
      </c>
      <c r="O737">
        <v>0</v>
      </c>
      <c r="P737">
        <v>0</v>
      </c>
      <c r="Q737">
        <v>0</v>
      </c>
      <c r="R737">
        <v>3.38</v>
      </c>
      <c r="S737">
        <v>1.5</v>
      </c>
      <c r="T737">
        <f t="shared" si="69"/>
        <v>0</v>
      </c>
      <c r="U737">
        <f t="shared" si="70"/>
        <v>0.375</v>
      </c>
      <c r="V737" s="60">
        <f>U737-AVERAGEIFS(Pitchers[ER/IP],Pitchers[GS],"&gt;"&amp;0,Pitchers[IP],"&gt;"&amp;3)</f>
        <v>-0.19650059479931947</v>
      </c>
      <c r="W737" s="60">
        <f>IF(Pitchers[[#This Row],[IP/GS]]&lt;&gt;0,(Pitchers[[#This Row],[WHIP]]*$AH$5+$AI$5)/9*Pitchers[[#This Row],[IP/GS]],(Pitchers[[#This Row],[WHIP]]*$AH$5+$AI$5)/9*(Pitchers[[#This Row],[IP]]/Pitchers[[#This Row],[G]]))</f>
        <v>0.77087283714522536</v>
      </c>
      <c r="X737" s="60">
        <f>Pitchers[[#This Row],[Runs from WHIP]]-AVERAGEIFS(Pitchers[Runs from WHIP],Pitchers[GS],"&gt;"&amp;0,Pitchers[IP],"&gt;"&amp;3)</f>
        <v>-4.9150430689796334</v>
      </c>
      <c r="Y737" s="60">
        <f>IF(Pitchers[[#This Row],[IP/GS]]&lt;&gt;0,Pitchers[[#This Row],[ER/IP From Average]]*Pitchers[[#This Row],[IP/GS]],Pitchers[[#This Row],[ER/IP From Average]]*(Pitchers[[#This Row],[IP]]/Pitchers[[#This Row],[G]]))</f>
        <v>-0.2620007930657593</v>
      </c>
      <c r="Z737" s="60">
        <f t="shared" si="71"/>
        <v>-1.4154784689542061</v>
      </c>
      <c r="AA737" s="90">
        <f>IF(Pitchers[[#This Row],[W]]=0,0,Pitchers[[#This Row],[W]]/(Pitchers[[#This Row],[W]]+Pitchers[[#This Row],[L]]))</f>
        <v>0</v>
      </c>
    </row>
    <row r="738" spans="1:27" x14ac:dyDescent="0.25">
      <c r="A738" t="s">
        <v>3451</v>
      </c>
      <c r="B738" t="s">
        <v>370</v>
      </c>
      <c r="C738">
        <v>5</v>
      </c>
      <c r="D738">
        <v>2</v>
      </c>
      <c r="E738">
        <v>0</v>
      </c>
      <c r="F738">
        <v>0</v>
      </c>
      <c r="G738">
        <v>8</v>
      </c>
      <c r="H738">
        <v>15</v>
      </c>
      <c r="I738">
        <v>9</v>
      </c>
      <c r="J738">
        <v>9</v>
      </c>
      <c r="K738">
        <v>3</v>
      </c>
      <c r="L738">
        <v>1</v>
      </c>
      <c r="M738">
        <v>0</v>
      </c>
      <c r="N738">
        <v>0</v>
      </c>
      <c r="O738">
        <v>0</v>
      </c>
      <c r="P738">
        <v>0</v>
      </c>
      <c r="Q738">
        <v>0</v>
      </c>
      <c r="R738">
        <v>10.130000000000001</v>
      </c>
      <c r="S738">
        <v>2.25</v>
      </c>
      <c r="T738">
        <f t="shared" si="69"/>
        <v>4</v>
      </c>
      <c r="U738">
        <f t="shared" si="70"/>
        <v>1.125</v>
      </c>
      <c r="V738" s="60">
        <f>U738-AVERAGEIFS(Pitchers[ER/IP],Pitchers[GS],"&gt;"&amp;0,Pitchers[IP],"&gt;"&amp;3)</f>
        <v>0.55349940520068053</v>
      </c>
      <c r="W738" s="60">
        <f>IF(Pitchers[[#This Row],[IP/GS]]&lt;&gt;0,(Pitchers[[#This Row],[WHIP]]*$AH$5+$AI$5)/9*Pitchers[[#This Row],[IP/GS]],(Pitchers[[#This Row],[WHIP]]*$AH$5+$AI$5)/9*(Pitchers[[#This Row],[IP]]/Pitchers[[#This Row],[G]]))</f>
        <v>3.8701431536036943</v>
      </c>
      <c r="X738" s="60">
        <f>Pitchers[[#This Row],[Runs from WHIP]]-AVERAGEIFS(Pitchers[Runs from WHIP],Pitchers[GS],"&gt;"&amp;0,Pitchers[IP],"&gt;"&amp;3)</f>
        <v>-1.8157727525211649</v>
      </c>
      <c r="Y738" s="60">
        <f>IF(Pitchers[[#This Row],[IP/GS]]&lt;&gt;0,Pitchers[[#This Row],[ER/IP From Average]]*Pitchers[[#This Row],[IP/GS]],Pitchers[[#This Row],[ER/IP From Average]]*(Pitchers[[#This Row],[IP]]/Pitchers[[#This Row],[G]]))</f>
        <v>2.2139976208027221</v>
      </c>
      <c r="Z738" s="60">
        <f t="shared" si="71"/>
        <v>0.40139298098211151</v>
      </c>
      <c r="AA738" s="90">
        <f>IF(Pitchers[[#This Row],[W]]=0,0,Pitchers[[#This Row],[W]]/(Pitchers[[#This Row],[W]]+Pitchers[[#This Row],[L]]))</f>
        <v>0</v>
      </c>
    </row>
    <row r="739" spans="1:27" x14ac:dyDescent="0.25">
      <c r="A739" t="s">
        <v>607</v>
      </c>
      <c r="B739" t="s">
        <v>219</v>
      </c>
      <c r="C739">
        <v>10</v>
      </c>
      <c r="D739">
        <v>0</v>
      </c>
      <c r="E739">
        <v>0</v>
      </c>
      <c r="F739">
        <v>0</v>
      </c>
      <c r="G739">
        <v>8</v>
      </c>
      <c r="H739">
        <v>5</v>
      </c>
      <c r="I739">
        <v>2</v>
      </c>
      <c r="J739">
        <v>10</v>
      </c>
      <c r="K739">
        <v>9</v>
      </c>
      <c r="L739">
        <v>1</v>
      </c>
      <c r="M739">
        <v>0</v>
      </c>
      <c r="N739">
        <v>0</v>
      </c>
      <c r="O739">
        <v>0</v>
      </c>
      <c r="P739">
        <v>1</v>
      </c>
      <c r="Q739">
        <v>0</v>
      </c>
      <c r="R739">
        <v>2.25</v>
      </c>
      <c r="S739">
        <v>1.75</v>
      </c>
      <c r="T739">
        <f t="shared" si="69"/>
        <v>0</v>
      </c>
      <c r="U739">
        <f t="shared" si="70"/>
        <v>0.25</v>
      </c>
      <c r="V739" s="60">
        <f>U739-AVERAGEIFS(Pitchers[ER/IP],Pitchers[GS],"&gt;"&amp;0,Pitchers[IP],"&gt;"&amp;3)</f>
        <v>-0.32150059479931947</v>
      </c>
      <c r="W739" s="60">
        <f>IF(Pitchers[[#This Row],[IP/GS]]&lt;&gt;0,(Pitchers[[#This Row],[WHIP]]*$AH$5+$AI$5)/9*Pitchers[[#This Row],[IP/GS]],(Pitchers[[#This Row],[WHIP]]*$AH$5+$AI$5)/9*(Pitchers[[#This Row],[IP]]/Pitchers[[#This Row],[G]]))</f>
        <v>0.56635867843166965</v>
      </c>
      <c r="X739" s="60">
        <f>Pitchers[[#This Row],[Runs from WHIP]]-AVERAGEIFS(Pitchers[Runs from WHIP],Pitchers[GS],"&gt;"&amp;0,Pitchers[IP],"&gt;"&amp;3)</f>
        <v>-5.1195572276931891</v>
      </c>
      <c r="Y739" s="60">
        <f>IF(Pitchers[[#This Row],[IP/GS]]&lt;&gt;0,Pitchers[[#This Row],[ER/IP From Average]]*Pitchers[[#This Row],[IP/GS]],Pitchers[[#This Row],[ER/IP From Average]]*(Pitchers[[#This Row],[IP]]/Pitchers[[#This Row],[G]]))</f>
        <v>-0.2572004758394556</v>
      </c>
      <c r="Z739" s="60">
        <f t="shared" si="71"/>
        <v>-1.4680954510539663</v>
      </c>
      <c r="AA739" s="90">
        <f>IF(Pitchers[[#This Row],[W]]=0,0,Pitchers[[#This Row],[W]]/(Pitchers[[#This Row],[W]]+Pitchers[[#This Row],[L]]))</f>
        <v>0</v>
      </c>
    </row>
    <row r="740" spans="1:27" x14ac:dyDescent="0.25">
      <c r="A740" t="s">
        <v>4395</v>
      </c>
      <c r="B740" t="s">
        <v>7</v>
      </c>
      <c r="C740">
        <v>11</v>
      </c>
      <c r="D740">
        <v>0</v>
      </c>
      <c r="E740">
        <v>0</v>
      </c>
      <c r="F740">
        <v>0</v>
      </c>
      <c r="G740">
        <v>7.2</v>
      </c>
      <c r="H740">
        <v>4</v>
      </c>
      <c r="I740">
        <v>1</v>
      </c>
      <c r="J740">
        <v>6</v>
      </c>
      <c r="K740">
        <v>7</v>
      </c>
      <c r="L740">
        <v>0</v>
      </c>
      <c r="M740">
        <v>0</v>
      </c>
      <c r="N740">
        <v>0</v>
      </c>
      <c r="O740">
        <v>0</v>
      </c>
      <c r="P740">
        <v>0</v>
      </c>
      <c r="Q740">
        <v>0</v>
      </c>
      <c r="R740">
        <v>1.17</v>
      </c>
      <c r="S740">
        <v>1.43</v>
      </c>
      <c r="T740">
        <f t="shared" si="69"/>
        <v>0</v>
      </c>
      <c r="U740">
        <f t="shared" si="70"/>
        <v>0.1388888888888889</v>
      </c>
      <c r="V740" s="60">
        <f>U740-AVERAGEIFS(Pitchers[ER/IP],Pitchers[GS],"&gt;"&amp;0,Pitchers[IP],"&gt;"&amp;3)</f>
        <v>-0.43261170591043058</v>
      </c>
      <c r="W740" s="60">
        <f>IF(Pitchers[[#This Row],[IP/GS]]&lt;&gt;0,(Pitchers[[#This Row],[WHIP]]*$AH$5+$AI$5)/9*Pitchers[[#This Row],[IP/GS]],(Pitchers[[#This Row],[WHIP]]*$AH$5+$AI$5)/9*(Pitchers[[#This Row],[IP]]/Pitchers[[#This Row],[G]]))</f>
        <v>0.35464083460908991</v>
      </c>
      <c r="X740" s="60">
        <f>Pitchers[[#This Row],[Runs from WHIP]]-AVERAGEIFS(Pitchers[Runs from WHIP],Pitchers[GS],"&gt;"&amp;0,Pitchers[IP],"&gt;"&amp;3)</f>
        <v>-5.3312750715157691</v>
      </c>
      <c r="Y740" s="60">
        <f>IF(Pitchers[[#This Row],[IP/GS]]&lt;&gt;0,Pitchers[[#This Row],[ER/IP From Average]]*Pitchers[[#This Row],[IP/GS]],Pitchers[[#This Row],[ER/IP From Average]]*(Pitchers[[#This Row],[IP]]/Pitchers[[#This Row],[G]]))</f>
        <v>-0.2831640256868273</v>
      </c>
      <c r="Z740" s="60">
        <f t="shared" si="71"/>
        <v>-1.5349389626789363</v>
      </c>
      <c r="AA740" s="90">
        <f>IF(Pitchers[[#This Row],[W]]=0,0,Pitchers[[#This Row],[W]]/(Pitchers[[#This Row],[W]]+Pitchers[[#This Row],[L]]))</f>
        <v>0</v>
      </c>
    </row>
    <row r="741" spans="1:27" x14ac:dyDescent="0.25">
      <c r="A741" t="s">
        <v>1408</v>
      </c>
      <c r="B741" t="s">
        <v>1</v>
      </c>
      <c r="C741">
        <v>5</v>
      </c>
      <c r="D741">
        <v>2</v>
      </c>
      <c r="E741">
        <v>0</v>
      </c>
      <c r="F741">
        <v>0</v>
      </c>
      <c r="G741">
        <v>7.2</v>
      </c>
      <c r="H741">
        <v>11</v>
      </c>
      <c r="I741">
        <v>8</v>
      </c>
      <c r="J741">
        <v>7</v>
      </c>
      <c r="K741">
        <v>6</v>
      </c>
      <c r="L741">
        <v>1</v>
      </c>
      <c r="M741">
        <v>0</v>
      </c>
      <c r="N741">
        <v>0</v>
      </c>
      <c r="O741">
        <v>0</v>
      </c>
      <c r="P741">
        <v>0</v>
      </c>
      <c r="Q741">
        <v>0</v>
      </c>
      <c r="R741">
        <v>9.39</v>
      </c>
      <c r="S741">
        <v>2.2200000000000002</v>
      </c>
      <c r="T741">
        <f t="shared" si="69"/>
        <v>3.6</v>
      </c>
      <c r="U741">
        <f t="shared" si="70"/>
        <v>1.1111111111111112</v>
      </c>
      <c r="V741" s="60">
        <f>U741-AVERAGEIFS(Pitchers[ER/IP],Pitchers[GS],"&gt;"&amp;0,Pitchers[IP],"&gt;"&amp;3)</f>
        <v>0.53961051631179169</v>
      </c>
      <c r="W741" s="60">
        <f>IF(Pitchers[[#This Row],[IP/GS]]&lt;&gt;0,(Pitchers[[#This Row],[WHIP]]*$AH$5+$AI$5)/9*Pitchers[[#This Row],[IP/GS]],(Pitchers[[#This Row],[WHIP]]*$AH$5+$AI$5)/9*(Pitchers[[#This Row],[IP]]/Pitchers[[#This Row],[G]]))</f>
        <v>3.4270579511252763</v>
      </c>
      <c r="X741" s="60">
        <f>Pitchers[[#This Row],[Runs from WHIP]]-AVERAGEIFS(Pitchers[Runs from WHIP],Pitchers[GS],"&gt;"&amp;0,Pitchers[IP],"&gt;"&amp;3)</f>
        <v>-2.2588579549995829</v>
      </c>
      <c r="Y741" s="60">
        <f>IF(Pitchers[[#This Row],[IP/GS]]&lt;&gt;0,Pitchers[[#This Row],[ER/IP From Average]]*Pitchers[[#This Row],[IP/GS]],Pitchers[[#This Row],[ER/IP From Average]]*(Pitchers[[#This Row],[IP]]/Pitchers[[#This Row],[G]]))</f>
        <v>1.9425978587224502</v>
      </c>
      <c r="Z741" s="60">
        <f t="shared" si="71"/>
        <v>0.17467702215575798</v>
      </c>
      <c r="AA741" s="90">
        <f>IF(Pitchers[[#This Row],[W]]=0,0,Pitchers[[#This Row],[W]]/(Pitchers[[#This Row],[W]]+Pitchers[[#This Row],[L]]))</f>
        <v>0</v>
      </c>
    </row>
    <row r="742" spans="1:27" x14ac:dyDescent="0.25">
      <c r="A742" t="s">
        <v>1426</v>
      </c>
      <c r="B742" t="s">
        <v>8</v>
      </c>
      <c r="C742">
        <v>6</v>
      </c>
      <c r="D742">
        <v>0</v>
      </c>
      <c r="E742">
        <v>0</v>
      </c>
      <c r="F742">
        <v>0</v>
      </c>
      <c r="G742">
        <v>7.2</v>
      </c>
      <c r="H742">
        <v>7</v>
      </c>
      <c r="I742">
        <v>3</v>
      </c>
      <c r="J742">
        <v>5</v>
      </c>
      <c r="K742">
        <v>4</v>
      </c>
      <c r="L742">
        <v>2</v>
      </c>
      <c r="M742">
        <v>0</v>
      </c>
      <c r="N742">
        <v>1</v>
      </c>
      <c r="O742">
        <v>0</v>
      </c>
      <c r="P742">
        <v>1</v>
      </c>
      <c r="Q742">
        <v>1</v>
      </c>
      <c r="R742">
        <v>3.52</v>
      </c>
      <c r="S742">
        <v>1.43</v>
      </c>
      <c r="T742">
        <f t="shared" si="69"/>
        <v>0</v>
      </c>
      <c r="U742">
        <f t="shared" si="70"/>
        <v>0.41666666666666663</v>
      </c>
      <c r="V742" s="60">
        <f>U742-AVERAGEIFS(Pitchers[ER/IP],Pitchers[GS],"&gt;"&amp;0,Pitchers[IP],"&gt;"&amp;3)</f>
        <v>-0.15483392813265284</v>
      </c>
      <c r="W742" s="60">
        <f>IF(Pitchers[[#This Row],[IP/GS]]&lt;&gt;0,(Pitchers[[#This Row],[WHIP]]*$AH$5+$AI$5)/9*Pitchers[[#This Row],[IP/GS]],(Pitchers[[#This Row],[WHIP]]*$AH$5+$AI$5)/9*(Pitchers[[#This Row],[IP]]/Pitchers[[#This Row],[G]]))</f>
        <v>0.6501748634499982</v>
      </c>
      <c r="X742" s="60">
        <f>Pitchers[[#This Row],[Runs from WHIP]]-AVERAGEIFS(Pitchers[Runs from WHIP],Pitchers[GS],"&gt;"&amp;0,Pitchers[IP],"&gt;"&amp;3)</f>
        <v>-5.0357410426748608</v>
      </c>
      <c r="Y742" s="60">
        <f>IF(Pitchers[[#This Row],[IP/GS]]&lt;&gt;0,Pitchers[[#This Row],[ER/IP From Average]]*Pitchers[[#This Row],[IP/GS]],Pitchers[[#This Row],[ER/IP From Average]]*(Pitchers[[#This Row],[IP]]/Pitchers[[#This Row],[G]]))</f>
        <v>-0.18580071375918342</v>
      </c>
      <c r="Z742" s="60">
        <f t="shared" si="71"/>
        <v>-1.4171845635503031</v>
      </c>
      <c r="AA742" s="90">
        <f>IF(Pitchers[[#This Row],[W]]=0,0,Pitchers[[#This Row],[W]]/(Pitchers[[#This Row],[W]]+Pitchers[[#This Row],[L]]))</f>
        <v>0</v>
      </c>
    </row>
    <row r="743" spans="1:27" x14ac:dyDescent="0.25">
      <c r="A743" t="s">
        <v>3778</v>
      </c>
      <c r="B743" t="s">
        <v>4</v>
      </c>
      <c r="C743">
        <v>11</v>
      </c>
      <c r="D743">
        <v>0</v>
      </c>
      <c r="E743">
        <v>0</v>
      </c>
      <c r="F743">
        <v>0</v>
      </c>
      <c r="G743">
        <v>7.1</v>
      </c>
      <c r="H743">
        <v>8</v>
      </c>
      <c r="I743">
        <v>4</v>
      </c>
      <c r="J743">
        <v>9</v>
      </c>
      <c r="K743">
        <v>7</v>
      </c>
      <c r="L743">
        <v>1</v>
      </c>
      <c r="M743">
        <v>1</v>
      </c>
      <c r="N743">
        <v>0</v>
      </c>
      <c r="O743">
        <v>0</v>
      </c>
      <c r="P743">
        <v>0</v>
      </c>
      <c r="Q743">
        <v>0</v>
      </c>
      <c r="R743">
        <v>4.91</v>
      </c>
      <c r="S743">
        <v>2.0499999999999998</v>
      </c>
      <c r="T743">
        <f t="shared" si="69"/>
        <v>0</v>
      </c>
      <c r="U743">
        <f t="shared" si="70"/>
        <v>0.56338028169014087</v>
      </c>
      <c r="V743" s="60">
        <f>U743-AVERAGEIFS(Pitchers[ER/IP],Pitchers[GS],"&gt;"&amp;0,Pitchers[IP],"&gt;"&amp;3)</f>
        <v>-8.1203131091786007E-3</v>
      </c>
      <c r="W743" s="60">
        <f>IF(Pitchers[[#This Row],[IP/GS]]&lt;&gt;0,(Pitchers[[#This Row],[WHIP]]*$AH$5+$AI$5)/9*Pitchers[[#This Row],[IP/GS]],(Pitchers[[#This Row],[WHIP]]*$AH$5+$AI$5)/9*(Pitchers[[#This Row],[IP]]/Pitchers[[#This Row],[G]]))</f>
        <v>0.55747961518366906</v>
      </c>
      <c r="X743" s="60">
        <f>Pitchers[[#This Row],[Runs from WHIP]]-AVERAGEIFS(Pitchers[Runs from WHIP],Pitchers[GS],"&gt;"&amp;0,Pitchers[IP],"&gt;"&amp;3)</f>
        <v>-5.12843629094119</v>
      </c>
      <c r="Y743" s="60">
        <f>IF(Pitchers[[#This Row],[IP/GS]]&lt;&gt;0,Pitchers[[#This Row],[ER/IP From Average]]*Pitchers[[#This Row],[IP/GS]],Pitchers[[#This Row],[ER/IP From Average]]*(Pitchers[[#This Row],[IP]]/Pitchers[[#This Row],[G]]))</f>
        <v>-5.2412930068334602E-3</v>
      </c>
      <c r="Z743" s="60">
        <f t="shared" si="71"/>
        <v>-1.3696795281203837</v>
      </c>
      <c r="AA743" s="90">
        <f>IF(Pitchers[[#This Row],[W]]=0,0,Pitchers[[#This Row],[W]]/(Pitchers[[#This Row],[W]]+Pitchers[[#This Row],[L]]))</f>
        <v>1</v>
      </c>
    </row>
    <row r="744" spans="1:27" x14ac:dyDescent="0.25">
      <c r="A744" t="s">
        <v>1434</v>
      </c>
      <c r="B744" t="s">
        <v>11</v>
      </c>
      <c r="C744">
        <v>10</v>
      </c>
      <c r="D744">
        <v>0</v>
      </c>
      <c r="E744">
        <v>0</v>
      </c>
      <c r="F744">
        <v>0</v>
      </c>
      <c r="G744">
        <v>7.1</v>
      </c>
      <c r="H744">
        <v>10</v>
      </c>
      <c r="I744">
        <v>6</v>
      </c>
      <c r="J744">
        <v>8</v>
      </c>
      <c r="K744">
        <v>2</v>
      </c>
      <c r="L744">
        <v>1</v>
      </c>
      <c r="M744">
        <v>0</v>
      </c>
      <c r="N744">
        <v>0</v>
      </c>
      <c r="O744">
        <v>0</v>
      </c>
      <c r="P744">
        <v>0</v>
      </c>
      <c r="Q744">
        <v>0</v>
      </c>
      <c r="R744">
        <v>7.36</v>
      </c>
      <c r="S744">
        <v>1.64</v>
      </c>
      <c r="T744">
        <f t="shared" si="69"/>
        <v>0</v>
      </c>
      <c r="U744">
        <f t="shared" si="70"/>
        <v>0.84507042253521136</v>
      </c>
      <c r="V744" s="60">
        <f>U744-AVERAGEIFS(Pitchers[ER/IP],Pitchers[GS],"&gt;"&amp;0,Pitchers[IP],"&gt;"&amp;3)</f>
        <v>0.27356982773589189</v>
      </c>
      <c r="W744" s="60">
        <f>IF(Pitchers[[#This Row],[IP/GS]]&lt;&gt;0,(Pitchers[[#This Row],[WHIP]]*$AH$5+$AI$5)/9*Pitchers[[#This Row],[IP/GS]],(Pitchers[[#This Row],[WHIP]]*$AH$5+$AI$5)/9*(Pitchers[[#This Row],[IP]]/Pitchers[[#This Row],[G]]))</f>
        <v>0.46209576892366605</v>
      </c>
      <c r="X744" s="60">
        <f>Pitchers[[#This Row],[Runs from WHIP]]-AVERAGEIFS(Pitchers[Runs from WHIP],Pitchers[GS],"&gt;"&amp;0,Pitchers[IP],"&gt;"&amp;3)</f>
        <v>-5.2238201372011934</v>
      </c>
      <c r="Y744" s="60">
        <f>IF(Pitchers[[#This Row],[IP/GS]]&lt;&gt;0,Pitchers[[#This Row],[ER/IP From Average]]*Pitchers[[#This Row],[IP/GS]],Pitchers[[#This Row],[ER/IP From Average]]*(Pitchers[[#This Row],[IP]]/Pitchers[[#This Row],[G]]))</f>
        <v>0.19423457769248323</v>
      </c>
      <c r="Z744" s="60">
        <f t="shared" si="71"/>
        <v>-1.3153248721766582</v>
      </c>
      <c r="AA744" s="90">
        <f>IF(Pitchers[[#This Row],[W]]=0,0,Pitchers[[#This Row],[W]]/(Pitchers[[#This Row],[W]]+Pitchers[[#This Row],[L]]))</f>
        <v>0</v>
      </c>
    </row>
    <row r="745" spans="1:27" x14ac:dyDescent="0.25">
      <c r="A745" t="s">
        <v>4402</v>
      </c>
      <c r="B745" t="s">
        <v>332</v>
      </c>
      <c r="C745">
        <v>9</v>
      </c>
      <c r="D745">
        <v>0</v>
      </c>
      <c r="E745">
        <v>0</v>
      </c>
      <c r="F745">
        <v>0</v>
      </c>
      <c r="G745">
        <v>7.1</v>
      </c>
      <c r="H745">
        <v>5</v>
      </c>
      <c r="I745">
        <v>6</v>
      </c>
      <c r="J745">
        <v>10</v>
      </c>
      <c r="K745">
        <v>6</v>
      </c>
      <c r="L745">
        <v>2</v>
      </c>
      <c r="M745">
        <v>0</v>
      </c>
      <c r="N745">
        <v>0</v>
      </c>
      <c r="O745">
        <v>0</v>
      </c>
      <c r="P745">
        <v>0</v>
      </c>
      <c r="Q745">
        <v>1</v>
      </c>
      <c r="R745">
        <v>7.36</v>
      </c>
      <c r="S745">
        <v>1.5</v>
      </c>
      <c r="T745">
        <f t="shared" si="69"/>
        <v>0</v>
      </c>
      <c r="U745">
        <f t="shared" si="70"/>
        <v>0.84507042253521136</v>
      </c>
      <c r="V745" s="60">
        <f>U745-AVERAGEIFS(Pitchers[ER/IP],Pitchers[GS],"&gt;"&amp;0,Pitchers[IP],"&gt;"&amp;3)</f>
        <v>0.27356982773589189</v>
      </c>
      <c r="W745" s="60">
        <f>IF(Pitchers[[#This Row],[IP/GS]]&lt;&gt;0,(Pitchers[[#This Row],[WHIP]]*$AH$5+$AI$5)/9*Pitchers[[#This Row],[IP/GS]],(Pitchers[[#This Row],[WHIP]]*$AH$5+$AI$5)/9*(Pitchers[[#This Row],[IP]]/Pitchers[[#This Row],[G]]))</f>
        <v>0.45609976197759167</v>
      </c>
      <c r="X745" s="60">
        <f>Pitchers[[#This Row],[Runs from WHIP]]-AVERAGEIFS(Pitchers[Runs from WHIP],Pitchers[GS],"&gt;"&amp;0,Pitchers[IP],"&gt;"&amp;3)</f>
        <v>-5.2298161441472679</v>
      </c>
      <c r="Y745" s="60">
        <f>IF(Pitchers[[#This Row],[IP/GS]]&lt;&gt;0,Pitchers[[#This Row],[ER/IP From Average]]*Pitchers[[#This Row],[IP/GS]],Pitchers[[#This Row],[ER/IP From Average]]*(Pitchers[[#This Row],[IP]]/Pitchers[[#This Row],[G]]))</f>
        <v>0.21581619743609248</v>
      </c>
      <c r="Z745" s="60">
        <f t="shared" si="71"/>
        <v>-1.3082911594648345</v>
      </c>
      <c r="AA745" s="90">
        <f>IF(Pitchers[[#This Row],[W]]=0,0,Pitchers[[#This Row],[W]]/(Pitchers[[#This Row],[W]]+Pitchers[[#This Row],[L]]))</f>
        <v>0</v>
      </c>
    </row>
    <row r="746" spans="1:27" x14ac:dyDescent="0.25">
      <c r="A746" t="s">
        <v>712</v>
      </c>
      <c r="B746" t="s">
        <v>27</v>
      </c>
      <c r="C746">
        <v>6</v>
      </c>
      <c r="D746">
        <v>0</v>
      </c>
      <c r="E746">
        <v>0</v>
      </c>
      <c r="F746">
        <v>0</v>
      </c>
      <c r="G746">
        <v>7.1</v>
      </c>
      <c r="H746">
        <v>7</v>
      </c>
      <c r="I746">
        <v>4</v>
      </c>
      <c r="J746">
        <v>3</v>
      </c>
      <c r="K746">
        <v>7</v>
      </c>
      <c r="L746">
        <v>1</v>
      </c>
      <c r="M746">
        <v>0</v>
      </c>
      <c r="N746">
        <v>0</v>
      </c>
      <c r="O746">
        <v>0</v>
      </c>
      <c r="P746">
        <v>0</v>
      </c>
      <c r="Q746">
        <v>0</v>
      </c>
      <c r="R746">
        <v>4.91</v>
      </c>
      <c r="S746">
        <v>1.91</v>
      </c>
      <c r="T746">
        <f t="shared" si="69"/>
        <v>0</v>
      </c>
      <c r="U746">
        <f t="shared" si="70"/>
        <v>0.56338028169014087</v>
      </c>
      <c r="V746" s="60">
        <f>U746-AVERAGEIFS(Pitchers[ER/IP],Pitchers[GS],"&gt;"&amp;0,Pitchers[IP],"&gt;"&amp;3)</f>
        <v>-8.1203131091786007E-3</v>
      </c>
      <c r="W746" s="60">
        <f>IF(Pitchers[[#This Row],[IP/GS]]&lt;&gt;0,(Pitchers[[#This Row],[WHIP]]*$AH$5+$AI$5)/9*Pitchers[[#This Row],[IP/GS]],(Pitchers[[#This Row],[WHIP]]*$AH$5+$AI$5)/9*(Pitchers[[#This Row],[IP]]/Pitchers[[#This Row],[G]]))</f>
        <v>0.93603598926367071</v>
      </c>
      <c r="X746" s="60">
        <f>Pitchers[[#This Row],[Runs from WHIP]]-AVERAGEIFS(Pitchers[Runs from WHIP],Pitchers[GS],"&gt;"&amp;0,Pitchers[IP],"&gt;"&amp;3)</f>
        <v>-4.7498799168611887</v>
      </c>
      <c r="Y746" s="60">
        <f>IF(Pitchers[[#This Row],[IP/GS]]&lt;&gt;0,Pitchers[[#This Row],[ER/IP From Average]]*Pitchers[[#This Row],[IP/GS]],Pitchers[[#This Row],[ER/IP From Average]]*(Pitchers[[#This Row],[IP]]/Pitchers[[#This Row],[G]]))</f>
        <v>-9.6090371791946773E-3</v>
      </c>
      <c r="Z746" s="60">
        <f t="shared" si="71"/>
        <v>-1.2704782593679946</v>
      </c>
      <c r="AA746" s="90">
        <f>IF(Pitchers[[#This Row],[W]]=0,0,Pitchers[[#This Row],[W]]/(Pitchers[[#This Row],[W]]+Pitchers[[#This Row],[L]]))</f>
        <v>0</v>
      </c>
    </row>
    <row r="747" spans="1:27" x14ac:dyDescent="0.25">
      <c r="A747" t="s">
        <v>1418</v>
      </c>
      <c r="B747" t="s">
        <v>27</v>
      </c>
      <c r="C747">
        <v>7</v>
      </c>
      <c r="D747">
        <v>0</v>
      </c>
      <c r="E747">
        <v>0</v>
      </c>
      <c r="F747">
        <v>0</v>
      </c>
      <c r="G747">
        <v>7.1</v>
      </c>
      <c r="H747">
        <v>9</v>
      </c>
      <c r="I747">
        <v>5</v>
      </c>
      <c r="J747">
        <v>5</v>
      </c>
      <c r="K747">
        <v>2</v>
      </c>
      <c r="L747">
        <v>1</v>
      </c>
      <c r="M747">
        <v>1</v>
      </c>
      <c r="N747">
        <v>0</v>
      </c>
      <c r="O747">
        <v>0</v>
      </c>
      <c r="P747">
        <v>0</v>
      </c>
      <c r="Q747">
        <v>0</v>
      </c>
      <c r="R747">
        <v>6.14</v>
      </c>
      <c r="S747">
        <v>1.5</v>
      </c>
      <c r="T747">
        <f t="shared" si="69"/>
        <v>0</v>
      </c>
      <c r="U747">
        <f t="shared" si="70"/>
        <v>0.70422535211267612</v>
      </c>
      <c r="V747" s="60">
        <f>U747-AVERAGEIFS(Pitchers[ER/IP],Pitchers[GS],"&gt;"&amp;0,Pitchers[IP],"&gt;"&amp;3)</f>
        <v>0.13272475731335664</v>
      </c>
      <c r="W747" s="60">
        <f>IF(Pitchers[[#This Row],[IP/GS]]&lt;&gt;0,(Pitchers[[#This Row],[WHIP]]*$AH$5+$AI$5)/9*Pitchers[[#This Row],[IP/GS]],(Pitchers[[#This Row],[WHIP]]*$AH$5+$AI$5)/9*(Pitchers[[#This Row],[IP]]/Pitchers[[#This Row],[G]]))</f>
        <v>0.58641397968547493</v>
      </c>
      <c r="X747" s="60">
        <f>Pitchers[[#This Row],[Runs from WHIP]]-AVERAGEIFS(Pitchers[Runs from WHIP],Pitchers[GS],"&gt;"&amp;0,Pitchers[IP],"&gt;"&amp;3)</f>
        <v>-5.0995019264393839</v>
      </c>
      <c r="Y747" s="60">
        <f>IF(Pitchers[[#This Row],[IP/GS]]&lt;&gt;0,Pitchers[[#This Row],[ER/IP From Average]]*Pitchers[[#This Row],[IP/GS]],Pitchers[[#This Row],[ER/IP From Average]]*(Pitchers[[#This Row],[IP]]/Pitchers[[#This Row],[G]]))</f>
        <v>0.13462082527497601</v>
      </c>
      <c r="Z747" s="60">
        <f t="shared" si="71"/>
        <v>-1.3060188502738457</v>
      </c>
      <c r="AA747" s="90">
        <f>IF(Pitchers[[#This Row],[W]]=0,0,Pitchers[[#This Row],[W]]/(Pitchers[[#This Row],[W]]+Pitchers[[#This Row],[L]]))</f>
        <v>1</v>
      </c>
    </row>
    <row r="748" spans="1:27" x14ac:dyDescent="0.25">
      <c r="A748" t="s">
        <v>4556</v>
      </c>
      <c r="B748" t="s">
        <v>28</v>
      </c>
      <c r="C748">
        <v>6</v>
      </c>
      <c r="D748">
        <v>0</v>
      </c>
      <c r="E748">
        <v>0</v>
      </c>
      <c r="F748">
        <v>0</v>
      </c>
      <c r="G748">
        <v>7.1</v>
      </c>
      <c r="H748">
        <v>6</v>
      </c>
      <c r="I748">
        <v>1</v>
      </c>
      <c r="J748">
        <v>9</v>
      </c>
      <c r="K748">
        <v>3</v>
      </c>
      <c r="L748">
        <v>1</v>
      </c>
      <c r="M748">
        <v>0</v>
      </c>
      <c r="N748">
        <v>0</v>
      </c>
      <c r="O748">
        <v>0</v>
      </c>
      <c r="P748">
        <v>0</v>
      </c>
      <c r="Q748">
        <v>0</v>
      </c>
      <c r="R748">
        <v>1.23</v>
      </c>
      <c r="S748">
        <v>1.23</v>
      </c>
      <c r="T748">
        <f t="shared" si="69"/>
        <v>0</v>
      </c>
      <c r="U748">
        <f t="shared" si="70"/>
        <v>0.14084507042253522</v>
      </c>
      <c r="V748" s="60">
        <f>U748-AVERAGEIFS(Pitchers[ER/IP],Pitchers[GS],"&gt;"&amp;0,Pitchers[IP],"&gt;"&amp;3)</f>
        <v>-0.43065552437678423</v>
      </c>
      <c r="W748" s="60">
        <f>IF(Pitchers[[#This Row],[IP/GS]]&lt;&gt;0,(Pitchers[[#This Row],[WHIP]]*$AH$5+$AI$5)/9*Pitchers[[#This Row],[IP/GS]],(Pitchers[[#This Row],[WHIP]]*$AH$5+$AI$5)/9*(Pitchers[[#This Row],[IP]]/Pitchers[[#This Row],[G]]))</f>
        <v>0.5182732685754935</v>
      </c>
      <c r="X748" s="60">
        <f>Pitchers[[#This Row],[Runs from WHIP]]-AVERAGEIFS(Pitchers[Runs from WHIP],Pitchers[GS],"&gt;"&amp;0,Pitchers[IP],"&gt;"&amp;3)</f>
        <v>-5.167642637549366</v>
      </c>
      <c r="Y748" s="60">
        <f>IF(Pitchers[[#This Row],[IP/GS]]&lt;&gt;0,Pitchers[[#This Row],[ER/IP From Average]]*Pitchers[[#This Row],[IP/GS]],Pitchers[[#This Row],[ER/IP From Average]]*(Pitchers[[#This Row],[IP]]/Pitchers[[#This Row],[G]]))</f>
        <v>-0.5096090371791947</v>
      </c>
      <c r="Z748" s="60">
        <f t="shared" si="71"/>
        <v>-1.5818816515515086</v>
      </c>
      <c r="AA748" s="90">
        <f>IF(Pitchers[[#This Row],[W]]=0,0,Pitchers[[#This Row],[W]]/(Pitchers[[#This Row],[W]]+Pitchers[[#This Row],[L]]))</f>
        <v>0</v>
      </c>
    </row>
    <row r="749" spans="1:27" x14ac:dyDescent="0.25">
      <c r="A749" t="s">
        <v>4404</v>
      </c>
      <c r="B749" t="s">
        <v>218</v>
      </c>
      <c r="C749">
        <v>7</v>
      </c>
      <c r="D749">
        <v>0</v>
      </c>
      <c r="E749">
        <v>0</v>
      </c>
      <c r="F749">
        <v>0</v>
      </c>
      <c r="G749">
        <v>7.1</v>
      </c>
      <c r="H749">
        <v>5</v>
      </c>
      <c r="I749">
        <v>0</v>
      </c>
      <c r="J749">
        <v>9</v>
      </c>
      <c r="K749">
        <v>3</v>
      </c>
      <c r="L749">
        <v>0</v>
      </c>
      <c r="M749">
        <v>0</v>
      </c>
      <c r="N749">
        <v>0</v>
      </c>
      <c r="O749">
        <v>0</v>
      </c>
      <c r="P749">
        <v>0</v>
      </c>
      <c r="Q749">
        <v>0</v>
      </c>
      <c r="R749">
        <v>0</v>
      </c>
      <c r="S749">
        <v>1.0900000000000001</v>
      </c>
      <c r="T749">
        <f t="shared" si="69"/>
        <v>0</v>
      </c>
      <c r="U749">
        <f t="shared" si="70"/>
        <v>0</v>
      </c>
      <c r="V749" s="60">
        <f>U749-AVERAGEIFS(Pitchers[ER/IP],Pitchers[GS],"&gt;"&amp;0,Pitchers[IP],"&gt;"&amp;3)</f>
        <v>-0.57150059479931947</v>
      </c>
      <c r="W749" s="60">
        <f>IF(Pitchers[[#This Row],[IP/GS]]&lt;&gt;0,(Pitchers[[#This Row],[WHIP]]*$AH$5+$AI$5)/9*Pitchers[[#This Row],[IP/GS]],(Pitchers[[#This Row],[WHIP]]*$AH$5+$AI$5)/9*(Pitchers[[#This Row],[IP]]/Pitchers[[#This Row],[G]]))</f>
        <v>0.3705113971449463</v>
      </c>
      <c r="X749" s="60">
        <f>Pitchers[[#This Row],[Runs from WHIP]]-AVERAGEIFS(Pitchers[Runs from WHIP],Pitchers[GS],"&gt;"&amp;0,Pitchers[IP],"&gt;"&amp;3)</f>
        <v>-5.3154045089799133</v>
      </c>
      <c r="Y749" s="60">
        <f>IF(Pitchers[[#This Row],[IP/GS]]&lt;&gt;0,Pitchers[[#This Row],[ER/IP From Average]]*Pitchers[[#This Row],[IP/GS]],Pitchers[[#This Row],[ER/IP From Average]]*(Pitchers[[#This Row],[IP]]/Pitchers[[#This Row],[G]]))</f>
        <v>-0.57966488901073832</v>
      </c>
      <c r="Z749" s="60">
        <f t="shared" si="71"/>
        <v>-1.6493071579989387</v>
      </c>
      <c r="AA749" s="90">
        <f>IF(Pitchers[[#This Row],[W]]=0,0,Pitchers[[#This Row],[W]]/(Pitchers[[#This Row],[W]]+Pitchers[[#This Row],[L]]))</f>
        <v>0</v>
      </c>
    </row>
    <row r="750" spans="1:27" x14ac:dyDescent="0.25">
      <c r="A750" t="s">
        <v>1279</v>
      </c>
      <c r="B750" t="s">
        <v>1</v>
      </c>
      <c r="C750">
        <v>7</v>
      </c>
      <c r="D750">
        <v>0</v>
      </c>
      <c r="E750">
        <v>0</v>
      </c>
      <c r="F750">
        <v>0</v>
      </c>
      <c r="G750">
        <v>7</v>
      </c>
      <c r="H750">
        <v>5</v>
      </c>
      <c r="I750">
        <v>4</v>
      </c>
      <c r="J750">
        <v>5</v>
      </c>
      <c r="K750">
        <v>8</v>
      </c>
      <c r="L750">
        <v>1</v>
      </c>
      <c r="M750">
        <v>0</v>
      </c>
      <c r="N750">
        <v>0</v>
      </c>
      <c r="O750">
        <v>0</v>
      </c>
      <c r="P750">
        <v>0</v>
      </c>
      <c r="Q750">
        <v>0</v>
      </c>
      <c r="R750">
        <v>5.14</v>
      </c>
      <c r="S750">
        <v>1.86</v>
      </c>
      <c r="T750">
        <f t="shared" si="69"/>
        <v>0</v>
      </c>
      <c r="U750">
        <f t="shared" si="70"/>
        <v>0.5714285714285714</v>
      </c>
      <c r="V750" s="60">
        <f>U750-AVERAGEIFS(Pitchers[ER/IP],Pitchers[GS],"&gt;"&amp;0,Pitchers[IP],"&gt;"&amp;3)</f>
        <v>-7.2023370748075521E-5</v>
      </c>
      <c r="W750" s="60">
        <f>IF(Pitchers[[#This Row],[IP/GS]]&lt;&gt;0,(Pitchers[[#This Row],[WHIP]]*$AH$5+$AI$5)/9*Pitchers[[#This Row],[IP/GS]],(Pitchers[[#This Row],[WHIP]]*$AH$5+$AI$5)/9*(Pitchers[[#This Row],[IP]]/Pitchers[[#This Row],[G]]))</f>
        <v>0.76505758491908127</v>
      </c>
      <c r="X750" s="60">
        <f>Pitchers[[#This Row],[Runs from WHIP]]-AVERAGEIFS(Pitchers[Runs from WHIP],Pitchers[GS],"&gt;"&amp;0,Pitchers[IP],"&gt;"&amp;3)</f>
        <v>-4.9208583212057775</v>
      </c>
      <c r="Y750" s="60">
        <f>IF(Pitchers[[#This Row],[IP/GS]]&lt;&gt;0,Pitchers[[#This Row],[ER/IP From Average]]*Pitchers[[#This Row],[IP/GS]],Pitchers[[#This Row],[ER/IP From Average]]*(Pitchers[[#This Row],[IP]]/Pitchers[[#This Row],[G]]))</f>
        <v>-7.2023370748075521E-5</v>
      </c>
      <c r="Z750" s="60">
        <f t="shared" si="71"/>
        <v>-1.3122576950031732</v>
      </c>
      <c r="AA750" s="90">
        <f>IF(Pitchers[[#This Row],[W]]=0,0,Pitchers[[#This Row],[W]]/(Pitchers[[#This Row],[W]]+Pitchers[[#This Row],[L]]))</f>
        <v>0</v>
      </c>
    </row>
    <row r="751" spans="1:27" x14ac:dyDescent="0.25">
      <c r="A751" t="s">
        <v>1169</v>
      </c>
      <c r="B751" t="s">
        <v>361</v>
      </c>
      <c r="C751">
        <v>6</v>
      </c>
      <c r="D751">
        <v>0</v>
      </c>
      <c r="E751">
        <v>0</v>
      </c>
      <c r="F751">
        <v>0</v>
      </c>
      <c r="G751">
        <v>7</v>
      </c>
      <c r="H751">
        <v>11</v>
      </c>
      <c r="I751">
        <v>7</v>
      </c>
      <c r="J751">
        <v>8</v>
      </c>
      <c r="K751">
        <v>5</v>
      </c>
      <c r="L751">
        <v>0</v>
      </c>
      <c r="M751">
        <v>1</v>
      </c>
      <c r="N751">
        <v>0</v>
      </c>
      <c r="O751">
        <v>0</v>
      </c>
      <c r="P751">
        <v>0</v>
      </c>
      <c r="Q751">
        <v>0</v>
      </c>
      <c r="R751">
        <v>9</v>
      </c>
      <c r="S751">
        <v>2.29</v>
      </c>
      <c r="T751">
        <f t="shared" ref="T751:T758" si="72">IF(D751=0,0,G751/D751)</f>
        <v>0</v>
      </c>
      <c r="U751">
        <f t="shared" ref="U751:U758" si="73">IF(G751=0,0,I751/G751)</f>
        <v>1</v>
      </c>
      <c r="V751" s="60">
        <f>U751-AVERAGEIFS(Pitchers[ER/IP],Pitchers[GS],"&gt;"&amp;0,Pitchers[IP],"&gt;"&amp;3)</f>
        <v>0.42849940520068053</v>
      </c>
      <c r="W751" s="60">
        <f>IF(Pitchers[[#This Row],[IP/GS]]&lt;&gt;0,(Pitchers[[#This Row],[WHIP]]*$AH$5+$AI$5)/9*Pitchers[[#This Row],[IP/GS]],(Pitchers[[#This Row],[WHIP]]*$AH$5+$AI$5)/9*(Pitchers[[#This Row],[IP]]/Pitchers[[#This Row],[G]]))</f>
        <v>1.1530199142348021</v>
      </c>
      <c r="X751" s="60">
        <f>Pitchers[[#This Row],[Runs from WHIP]]-AVERAGEIFS(Pitchers[Runs from WHIP],Pitchers[GS],"&gt;"&amp;0,Pitchers[IP],"&gt;"&amp;3)</f>
        <v>-4.5328959918900571</v>
      </c>
      <c r="Y751" s="60">
        <f>IF(Pitchers[[#This Row],[IP/GS]]&lt;&gt;0,Pitchers[[#This Row],[ER/IP From Average]]*Pitchers[[#This Row],[IP/GS]],Pitchers[[#This Row],[ER/IP From Average]]*(Pitchers[[#This Row],[IP]]/Pitchers[[#This Row],[G]]))</f>
        <v>0.4999159727341273</v>
      </c>
      <c r="Z751" s="60">
        <f t="shared" ref="Z751:Z758" si="74">AVERAGE(X751,X751,Y751,Y751,Y751)/1.5</f>
        <v>-1.0088058754103642</v>
      </c>
      <c r="AA751" s="90">
        <f>IF(Pitchers[[#This Row],[W]]=0,0,Pitchers[[#This Row],[W]]/(Pitchers[[#This Row],[W]]+Pitchers[[#This Row],[L]]))</f>
        <v>1</v>
      </c>
    </row>
    <row r="752" spans="1:27" x14ac:dyDescent="0.25">
      <c r="A752" t="s">
        <v>4400</v>
      </c>
      <c r="B752" t="s">
        <v>2</v>
      </c>
      <c r="C752">
        <v>7</v>
      </c>
      <c r="D752">
        <v>0</v>
      </c>
      <c r="E752">
        <v>0</v>
      </c>
      <c r="F752">
        <v>0</v>
      </c>
      <c r="G752">
        <v>6.2</v>
      </c>
      <c r="H752">
        <v>9</v>
      </c>
      <c r="I752">
        <v>9</v>
      </c>
      <c r="J752">
        <v>7</v>
      </c>
      <c r="K752">
        <v>5</v>
      </c>
      <c r="L752">
        <v>1</v>
      </c>
      <c r="M752">
        <v>0</v>
      </c>
      <c r="N752">
        <v>0</v>
      </c>
      <c r="O752">
        <v>0</v>
      </c>
      <c r="P752">
        <v>1</v>
      </c>
      <c r="Q752">
        <v>1</v>
      </c>
      <c r="R752">
        <v>12.15</v>
      </c>
      <c r="S752">
        <v>2.1</v>
      </c>
      <c r="T752">
        <f t="shared" si="72"/>
        <v>0</v>
      </c>
      <c r="U752">
        <f t="shared" si="73"/>
        <v>1.4516129032258065</v>
      </c>
      <c r="V752" s="60">
        <f>U752-AVERAGEIFS(Pitchers[ER/IP],Pitchers[GS],"&gt;"&amp;0,Pitchers[IP],"&gt;"&amp;3)</f>
        <v>0.88011230842648702</v>
      </c>
      <c r="W752" s="60">
        <f>IF(Pitchers[[#This Row],[IP/GS]]&lt;&gt;0,(Pitchers[[#This Row],[WHIP]]*$AH$5+$AI$5)/9*Pitchers[[#This Row],[IP/GS]],(Pitchers[[#This Row],[WHIP]]*$AH$5+$AI$5)/9*(Pitchers[[#This Row],[IP]]/Pitchers[[#This Row],[G]]))</f>
        <v>0.78798417843052015</v>
      </c>
      <c r="X752" s="60">
        <f>Pitchers[[#This Row],[Runs from WHIP]]-AVERAGEIFS(Pitchers[Runs from WHIP],Pitchers[GS],"&gt;"&amp;0,Pitchers[IP],"&gt;"&amp;3)</f>
        <v>-4.8979317276943393</v>
      </c>
      <c r="Y752" s="60">
        <f>IF(Pitchers[[#This Row],[IP/GS]]&lt;&gt;0,Pitchers[[#This Row],[ER/IP From Average]]*Pitchers[[#This Row],[IP/GS]],Pitchers[[#This Row],[ER/IP From Average]]*(Pitchers[[#This Row],[IP]]/Pitchers[[#This Row],[G]]))</f>
        <v>0.77952804460631719</v>
      </c>
      <c r="Z752" s="60">
        <f t="shared" si="74"/>
        <v>-0.99430390954263015</v>
      </c>
      <c r="AA752" s="90">
        <f>IF(Pitchers[[#This Row],[W]]=0,0,Pitchers[[#This Row],[W]]/(Pitchers[[#This Row],[W]]+Pitchers[[#This Row],[L]]))</f>
        <v>0</v>
      </c>
    </row>
    <row r="753" spans="1:27" x14ac:dyDescent="0.25">
      <c r="A753" t="s">
        <v>719</v>
      </c>
      <c r="B753" t="s">
        <v>27</v>
      </c>
      <c r="C753">
        <v>2</v>
      </c>
      <c r="D753">
        <v>0</v>
      </c>
      <c r="E753">
        <v>0</v>
      </c>
      <c r="F753">
        <v>0</v>
      </c>
      <c r="G753">
        <v>6.2</v>
      </c>
      <c r="H753">
        <v>9</v>
      </c>
      <c r="I753">
        <v>9</v>
      </c>
      <c r="J753">
        <v>5</v>
      </c>
      <c r="K753">
        <v>6</v>
      </c>
      <c r="L753">
        <v>1</v>
      </c>
      <c r="M753">
        <v>0</v>
      </c>
      <c r="N753">
        <v>1</v>
      </c>
      <c r="O753">
        <v>0</v>
      </c>
      <c r="P753">
        <v>0</v>
      </c>
      <c r="Q753">
        <v>0</v>
      </c>
      <c r="R753">
        <v>12.15</v>
      </c>
      <c r="S753">
        <v>2.25</v>
      </c>
      <c r="T753">
        <f t="shared" si="72"/>
        <v>0</v>
      </c>
      <c r="U753">
        <f t="shared" si="73"/>
        <v>1.4516129032258065</v>
      </c>
      <c r="V753" s="60">
        <f>U753-AVERAGEIFS(Pitchers[ER/IP],Pitchers[GS],"&gt;"&amp;0,Pitchers[IP],"&gt;"&amp;3)</f>
        <v>0.88011230842648702</v>
      </c>
      <c r="W753" s="60">
        <f>IF(Pitchers[[#This Row],[IP/GS]]&lt;&gt;0,(Pitchers[[#This Row],[WHIP]]*$AH$5+$AI$5)/9*Pitchers[[#This Row],[IP/GS]],(Pitchers[[#This Row],[WHIP]]*$AH$5+$AI$5)/9*(Pitchers[[#This Row],[IP]]/Pitchers[[#This Row],[G]]))</f>
        <v>2.9993609440428632</v>
      </c>
      <c r="X753" s="60">
        <f>Pitchers[[#This Row],[Runs from WHIP]]-AVERAGEIFS(Pitchers[Runs from WHIP],Pitchers[GS],"&gt;"&amp;0,Pitchers[IP],"&gt;"&amp;3)</f>
        <v>-2.686554962081996</v>
      </c>
      <c r="Y753" s="60">
        <f>IF(Pitchers[[#This Row],[IP/GS]]&lt;&gt;0,Pitchers[[#This Row],[ER/IP From Average]]*Pitchers[[#This Row],[IP/GS]],Pitchers[[#This Row],[ER/IP From Average]]*(Pitchers[[#This Row],[IP]]/Pitchers[[#This Row],[G]]))</f>
        <v>2.7283481561221099</v>
      </c>
      <c r="Z753" s="60">
        <f t="shared" si="74"/>
        <v>0.37492460589364507</v>
      </c>
      <c r="AA753" s="90">
        <f>IF(Pitchers[[#This Row],[W]]=0,0,Pitchers[[#This Row],[W]]/(Pitchers[[#This Row],[W]]+Pitchers[[#This Row],[L]]))</f>
        <v>0</v>
      </c>
    </row>
    <row r="754" spans="1:27" x14ac:dyDescent="0.25">
      <c r="A754" t="s">
        <v>744</v>
      </c>
      <c r="B754" t="s">
        <v>6</v>
      </c>
      <c r="C754">
        <v>4</v>
      </c>
      <c r="D754">
        <v>0</v>
      </c>
      <c r="E754">
        <v>0</v>
      </c>
      <c r="F754">
        <v>0</v>
      </c>
      <c r="G754">
        <v>6.2</v>
      </c>
      <c r="H754">
        <v>4</v>
      </c>
      <c r="I754">
        <v>0</v>
      </c>
      <c r="J754">
        <v>3</v>
      </c>
      <c r="K754">
        <v>4</v>
      </c>
      <c r="L754">
        <v>0</v>
      </c>
      <c r="M754">
        <v>0</v>
      </c>
      <c r="N754">
        <v>0</v>
      </c>
      <c r="O754">
        <v>0</v>
      </c>
      <c r="P754">
        <v>0</v>
      </c>
      <c r="Q754">
        <v>0</v>
      </c>
      <c r="R754">
        <v>0</v>
      </c>
      <c r="S754">
        <v>1.2</v>
      </c>
      <c r="T754">
        <f t="shared" si="72"/>
        <v>0</v>
      </c>
      <c r="U754">
        <f t="shared" si="73"/>
        <v>0</v>
      </c>
      <c r="V754" s="60">
        <f>U754-AVERAGEIFS(Pitchers[ER/IP],Pitchers[GS],"&gt;"&amp;0,Pitchers[IP],"&gt;"&amp;3)</f>
        <v>-0.57150059479931947</v>
      </c>
      <c r="W754" s="60">
        <f>IF(Pitchers[[#This Row],[IP/GS]]&lt;&gt;0,(Pitchers[[#This Row],[WHIP]]*$AH$5+$AI$5)/9*Pitchers[[#This Row],[IP/GS]],(Pitchers[[#This Row],[WHIP]]*$AH$5+$AI$5)/9*(Pitchers[[#This Row],[IP]]/Pitchers[[#This Row],[G]]))</f>
        <v>0.65472335364528167</v>
      </c>
      <c r="X754" s="60">
        <f>Pitchers[[#This Row],[Runs from WHIP]]-AVERAGEIFS(Pitchers[Runs from WHIP],Pitchers[GS],"&gt;"&amp;0,Pitchers[IP],"&gt;"&amp;3)</f>
        <v>-5.0311925524795775</v>
      </c>
      <c r="Y754" s="60">
        <f>IF(Pitchers[[#This Row],[IP/GS]]&lt;&gt;0,Pitchers[[#This Row],[ER/IP From Average]]*Pitchers[[#This Row],[IP/GS]],Pitchers[[#This Row],[ER/IP From Average]]*(Pitchers[[#This Row],[IP]]/Pitchers[[#This Row],[G]]))</f>
        <v>-0.88582592193894516</v>
      </c>
      <c r="Z754" s="60">
        <f t="shared" si="74"/>
        <v>-1.6959817161034654</v>
      </c>
      <c r="AA754" s="90">
        <f>IF(Pitchers[[#This Row],[W]]=0,0,Pitchers[[#This Row],[W]]/(Pitchers[[#This Row],[W]]+Pitchers[[#This Row],[L]]))</f>
        <v>0</v>
      </c>
    </row>
    <row r="755" spans="1:27" x14ac:dyDescent="0.25">
      <c r="A755" t="s">
        <v>1425</v>
      </c>
      <c r="B755" t="s">
        <v>27</v>
      </c>
      <c r="C755">
        <v>7</v>
      </c>
      <c r="D755">
        <v>0</v>
      </c>
      <c r="E755">
        <v>0</v>
      </c>
      <c r="F755">
        <v>0</v>
      </c>
      <c r="G755">
        <v>6.2</v>
      </c>
      <c r="H755">
        <v>12</v>
      </c>
      <c r="I755">
        <v>8</v>
      </c>
      <c r="J755">
        <v>6</v>
      </c>
      <c r="K755">
        <v>2</v>
      </c>
      <c r="L755">
        <v>2</v>
      </c>
      <c r="M755">
        <v>0</v>
      </c>
      <c r="N755">
        <v>1</v>
      </c>
      <c r="O755">
        <v>0</v>
      </c>
      <c r="P755">
        <v>0</v>
      </c>
      <c r="Q755">
        <v>0</v>
      </c>
      <c r="R755">
        <v>10.8</v>
      </c>
      <c r="S755">
        <v>2.1</v>
      </c>
      <c r="T755">
        <f t="shared" si="72"/>
        <v>0</v>
      </c>
      <c r="U755">
        <f t="shared" si="73"/>
        <v>1.2903225806451613</v>
      </c>
      <c r="V755" s="60">
        <f>U755-AVERAGEIFS(Pitchers[ER/IP],Pitchers[GS],"&gt;"&amp;0,Pitchers[IP],"&gt;"&amp;3)</f>
        <v>0.71882198584584178</v>
      </c>
      <c r="W755" s="60">
        <f>IF(Pitchers[[#This Row],[IP/GS]]&lt;&gt;0,(Pitchers[[#This Row],[WHIP]]*$AH$5+$AI$5)/9*Pitchers[[#This Row],[IP/GS]],(Pitchers[[#This Row],[WHIP]]*$AH$5+$AI$5)/9*(Pitchers[[#This Row],[IP]]/Pitchers[[#This Row],[G]]))</f>
        <v>0.78798417843052015</v>
      </c>
      <c r="X755" s="60">
        <f>Pitchers[[#This Row],[Runs from WHIP]]-AVERAGEIFS(Pitchers[Runs from WHIP],Pitchers[GS],"&gt;"&amp;0,Pitchers[IP],"&gt;"&amp;3)</f>
        <v>-4.8979317276943393</v>
      </c>
      <c r="Y755" s="60">
        <f>IF(Pitchers[[#This Row],[IP/GS]]&lt;&gt;0,Pitchers[[#This Row],[ER/IP From Average]]*Pitchers[[#This Row],[IP/GS]],Pitchers[[#This Row],[ER/IP From Average]]*(Pitchers[[#This Row],[IP]]/Pitchers[[#This Row],[G]]))</f>
        <v>0.63667090174917418</v>
      </c>
      <c r="Z755" s="60">
        <f t="shared" si="74"/>
        <v>-1.0514467666854876</v>
      </c>
      <c r="AA755" s="90">
        <f>IF(Pitchers[[#This Row],[W]]=0,0,Pitchers[[#This Row],[W]]/(Pitchers[[#This Row],[W]]+Pitchers[[#This Row],[L]]))</f>
        <v>0</v>
      </c>
    </row>
    <row r="756" spans="1:27" x14ac:dyDescent="0.25">
      <c r="A756" t="s">
        <v>1440</v>
      </c>
      <c r="B756" t="s">
        <v>19</v>
      </c>
      <c r="C756">
        <v>7</v>
      </c>
      <c r="D756">
        <v>0</v>
      </c>
      <c r="E756">
        <v>0</v>
      </c>
      <c r="F756">
        <v>0</v>
      </c>
      <c r="G756">
        <v>6.2</v>
      </c>
      <c r="H756">
        <v>7</v>
      </c>
      <c r="I756">
        <v>4</v>
      </c>
      <c r="J756">
        <v>5</v>
      </c>
      <c r="K756">
        <v>4</v>
      </c>
      <c r="L756">
        <v>0</v>
      </c>
      <c r="M756">
        <v>0</v>
      </c>
      <c r="N756">
        <v>0</v>
      </c>
      <c r="O756">
        <v>0</v>
      </c>
      <c r="P756">
        <v>0</v>
      </c>
      <c r="Q756">
        <v>2</v>
      </c>
      <c r="R756">
        <v>5.4</v>
      </c>
      <c r="S756">
        <v>1.65</v>
      </c>
      <c r="T756">
        <f t="shared" si="72"/>
        <v>0</v>
      </c>
      <c r="U756">
        <f t="shared" si="73"/>
        <v>0.64516129032258063</v>
      </c>
      <c r="V756" s="60">
        <f>U756-AVERAGEIFS(Pitchers[ER/IP],Pitchers[GS],"&gt;"&amp;0,Pitchers[IP],"&gt;"&amp;3)</f>
        <v>7.3660695523261155E-2</v>
      </c>
      <c r="W756" s="60">
        <f>IF(Pitchers[[#This Row],[IP/GS]]&lt;&gt;0,(Pitchers[[#This Row],[WHIP]]*$AH$5+$AI$5)/9*Pitchers[[#This Row],[IP/GS]],(Pitchers[[#This Row],[WHIP]]*$AH$5+$AI$5)/9*(Pitchers[[#This Row],[IP]]/Pitchers[[#This Row],[G]]))</f>
        <v>0.58105590454248335</v>
      </c>
      <c r="X756" s="60">
        <f>Pitchers[[#This Row],[Runs from WHIP]]-AVERAGEIFS(Pitchers[Runs from WHIP],Pitchers[GS],"&gt;"&amp;0,Pitchers[IP],"&gt;"&amp;3)</f>
        <v>-5.1048600015823755</v>
      </c>
      <c r="Y756" s="60">
        <f>IF(Pitchers[[#This Row],[IP/GS]]&lt;&gt;0,Pitchers[[#This Row],[ER/IP From Average]]*Pitchers[[#This Row],[IP/GS]],Pitchers[[#This Row],[ER/IP From Average]]*(Pitchers[[#This Row],[IP]]/Pitchers[[#This Row],[G]]))</f>
        <v>6.524233032060274E-2</v>
      </c>
      <c r="Z756" s="60">
        <f t="shared" si="74"/>
        <v>-1.3351990682937258</v>
      </c>
      <c r="AA756" s="90">
        <f>IF(Pitchers[[#This Row],[W]]=0,0,Pitchers[[#This Row],[W]]/(Pitchers[[#This Row],[W]]+Pitchers[[#This Row],[L]]))</f>
        <v>0</v>
      </c>
    </row>
    <row r="757" spans="1:27" x14ac:dyDescent="0.25">
      <c r="A757" t="s">
        <v>3582</v>
      </c>
      <c r="B757" t="s">
        <v>18</v>
      </c>
      <c r="C757">
        <v>2</v>
      </c>
      <c r="D757">
        <v>2</v>
      </c>
      <c r="E757">
        <v>0</v>
      </c>
      <c r="F757">
        <v>0</v>
      </c>
      <c r="G757">
        <v>6.2</v>
      </c>
      <c r="H757">
        <v>15</v>
      </c>
      <c r="I757">
        <v>8</v>
      </c>
      <c r="J757">
        <v>6</v>
      </c>
      <c r="K757">
        <v>6</v>
      </c>
      <c r="L757">
        <v>2</v>
      </c>
      <c r="M757">
        <v>0</v>
      </c>
      <c r="N757">
        <v>1</v>
      </c>
      <c r="O757">
        <v>0</v>
      </c>
      <c r="P757">
        <v>0</v>
      </c>
      <c r="Q757">
        <v>0</v>
      </c>
      <c r="R757">
        <v>10.8</v>
      </c>
      <c r="S757">
        <v>3.15</v>
      </c>
      <c r="T757">
        <f t="shared" si="72"/>
        <v>3.1</v>
      </c>
      <c r="U757">
        <f t="shared" si="73"/>
        <v>1.2903225806451613</v>
      </c>
      <c r="V757" s="60">
        <f>U757-AVERAGEIFS(Pitchers[ER/IP],Pitchers[GS],"&gt;"&amp;0,Pitchers[IP],"&gt;"&amp;3)</f>
        <v>0.71882198584584178</v>
      </c>
      <c r="W757" s="60">
        <f>IF(Pitchers[[#This Row],[IP/GS]]&lt;&gt;0,(Pitchers[[#This Row],[WHIP]]*$AH$5+$AI$5)/9*Pitchers[[#This Row],[IP/GS]],(Pitchers[[#This Row],[WHIP]]*$AH$5+$AI$5)/9*(Pitchers[[#This Row],[IP]]/Pitchers[[#This Row],[G]]))</f>
        <v>4.4478588612591192</v>
      </c>
      <c r="X757" s="60">
        <f>Pitchers[[#This Row],[Runs from WHIP]]-AVERAGEIFS(Pitchers[Runs from WHIP],Pitchers[GS],"&gt;"&amp;0,Pitchers[IP],"&gt;"&amp;3)</f>
        <v>-1.23805704486574</v>
      </c>
      <c r="Y757" s="60">
        <f>IF(Pitchers[[#This Row],[IP/GS]]&lt;&gt;0,Pitchers[[#This Row],[ER/IP From Average]]*Pitchers[[#This Row],[IP/GS]],Pitchers[[#This Row],[ER/IP From Average]]*(Pitchers[[#This Row],[IP]]/Pitchers[[#This Row],[G]]))</f>
        <v>2.2283481561221095</v>
      </c>
      <c r="Z757" s="60">
        <f t="shared" si="74"/>
        <v>0.56119071715131319</v>
      </c>
      <c r="AA757" s="90">
        <f>IF(Pitchers[[#This Row],[W]]=0,0,Pitchers[[#This Row],[W]]/(Pitchers[[#This Row],[W]]+Pitchers[[#This Row],[L]]))</f>
        <v>0</v>
      </c>
    </row>
    <row r="758" spans="1:27" x14ac:dyDescent="0.25">
      <c r="A758" t="s">
        <v>4560</v>
      </c>
      <c r="B758" t="s">
        <v>1</v>
      </c>
      <c r="C758">
        <v>4</v>
      </c>
      <c r="D758">
        <v>4</v>
      </c>
      <c r="E758">
        <v>0</v>
      </c>
      <c r="F758">
        <v>0</v>
      </c>
      <c r="G758">
        <v>6.2</v>
      </c>
      <c r="H758">
        <v>2</v>
      </c>
      <c r="I758">
        <v>2</v>
      </c>
      <c r="J758">
        <v>5</v>
      </c>
      <c r="K758">
        <v>9</v>
      </c>
      <c r="L758">
        <v>0</v>
      </c>
      <c r="M758">
        <v>0</v>
      </c>
      <c r="N758">
        <v>0</v>
      </c>
      <c r="O758">
        <v>0</v>
      </c>
      <c r="P758">
        <v>0</v>
      </c>
      <c r="Q758">
        <v>0</v>
      </c>
      <c r="R758">
        <v>2.7</v>
      </c>
      <c r="S758">
        <v>1.65</v>
      </c>
      <c r="T758">
        <f t="shared" si="72"/>
        <v>1.55</v>
      </c>
      <c r="U758">
        <f t="shared" si="73"/>
        <v>0.32258064516129031</v>
      </c>
      <c r="V758" s="60">
        <f>U758-AVERAGEIFS(Pitchers[ER/IP],Pitchers[GS],"&gt;"&amp;0,Pitchers[IP],"&gt;"&amp;3)</f>
        <v>-0.24891994963802916</v>
      </c>
      <c r="W758" s="60">
        <f>IF(Pitchers[[#This Row],[IP/GS]]&lt;&gt;0,(Pitchers[[#This Row],[WHIP]]*$AH$5+$AI$5)/9*Pitchers[[#This Row],[IP/GS]],(Pitchers[[#This Row],[WHIP]]*$AH$5+$AI$5)/9*(Pitchers[[#This Row],[IP]]/Pitchers[[#This Row],[G]]))</f>
        <v>1.0168478329493458</v>
      </c>
      <c r="X758" s="60">
        <f>Pitchers[[#This Row],[Runs from WHIP]]-AVERAGEIFS(Pitchers[Runs from WHIP],Pitchers[GS],"&gt;"&amp;0,Pitchers[IP],"&gt;"&amp;3)</f>
        <v>-4.669068073175513</v>
      </c>
      <c r="Y758" s="60">
        <f>IF(Pitchers[[#This Row],[IP/GS]]&lt;&gt;0,Pitchers[[#This Row],[ER/IP From Average]]*Pitchers[[#This Row],[IP/GS]],Pitchers[[#This Row],[ER/IP From Average]]*(Pitchers[[#This Row],[IP]]/Pitchers[[#This Row],[G]]))</f>
        <v>-0.38582592193894522</v>
      </c>
      <c r="Z758" s="60">
        <f t="shared" si="74"/>
        <v>-1.3994151882890484</v>
      </c>
      <c r="AA758" s="90">
        <f>IF(Pitchers[[#This Row],[W]]=0,0,Pitchers[[#This Row],[W]]/(Pitchers[[#This Row],[W]]+Pitchers[[#This Row],[L]]))</f>
        <v>0</v>
      </c>
    </row>
    <row r="759" spans="1:27" x14ac:dyDescent="0.25">
      <c r="A759" t="s">
        <v>1205</v>
      </c>
      <c r="B759" t="s">
        <v>219</v>
      </c>
      <c r="C759">
        <v>6</v>
      </c>
      <c r="D759">
        <v>0</v>
      </c>
      <c r="E759">
        <v>0</v>
      </c>
      <c r="F759">
        <v>0</v>
      </c>
      <c r="G759">
        <v>6.2</v>
      </c>
      <c r="H759">
        <v>7</v>
      </c>
      <c r="I759">
        <v>2</v>
      </c>
      <c r="J759">
        <v>4</v>
      </c>
      <c r="K759">
        <v>6</v>
      </c>
      <c r="L759">
        <v>1</v>
      </c>
      <c r="M759">
        <v>1</v>
      </c>
      <c r="N759">
        <v>0</v>
      </c>
      <c r="O759">
        <v>0</v>
      </c>
      <c r="P759">
        <v>0</v>
      </c>
      <c r="Q759">
        <v>1</v>
      </c>
      <c r="R759">
        <v>2.7</v>
      </c>
      <c r="S759">
        <v>1.95</v>
      </c>
      <c r="T759">
        <f t="shared" ref="T759:T763" si="75">IF(D759=0,0,G759/D759)</f>
        <v>0</v>
      </c>
      <c r="U759">
        <f t="shared" ref="U759:U763" si="76">IF(G759=0,0,I759/G759)</f>
        <v>0.32258064516129031</v>
      </c>
      <c r="V759" s="60">
        <f>U759-AVERAGEIFS(Pitchers[ER/IP],Pitchers[GS],"&gt;"&amp;0,Pitchers[IP],"&gt;"&amp;3)</f>
        <v>-0.24891994963802916</v>
      </c>
      <c r="W759" s="60">
        <f>IF(Pitchers[[#This Row],[IP/GS]]&lt;&gt;0,(Pitchers[[#This Row],[WHIP]]*$AH$5+$AI$5)/9*Pitchers[[#This Row],[IP/GS]],(Pitchers[[#This Row],[WHIP]]*$AH$5+$AI$5)/9*(Pitchers[[#This Row],[IP]]/Pitchers[[#This Row],[G]]))</f>
        <v>0.8388427683235925</v>
      </c>
      <c r="X759" s="60">
        <f>Pitchers[[#This Row],[Runs from WHIP]]-AVERAGEIFS(Pitchers[Runs from WHIP],Pitchers[GS],"&gt;"&amp;0,Pitchers[IP],"&gt;"&amp;3)</f>
        <v>-4.8470731378012664</v>
      </c>
      <c r="Y759" s="60">
        <f>IF(Pitchers[[#This Row],[IP/GS]]&lt;&gt;0,Pitchers[[#This Row],[ER/IP From Average]]*Pitchers[[#This Row],[IP/GS]],Pitchers[[#This Row],[ER/IP From Average]]*(Pitchers[[#This Row],[IP]]/Pitchers[[#This Row],[G]]))</f>
        <v>-0.25721728129263016</v>
      </c>
      <c r="Z759" s="60">
        <f t="shared" ref="Z759:Z763" si="77">AVERAGE(X759,X759,Y759,Y759,Y759)/1.5</f>
        <v>-1.3954397492640567</v>
      </c>
      <c r="AA759" s="90">
        <f>IF(Pitchers[[#This Row],[W]]=0,0,Pitchers[[#This Row],[W]]/(Pitchers[[#This Row],[W]]+Pitchers[[#This Row],[L]]))</f>
        <v>1</v>
      </c>
    </row>
    <row r="760" spans="1:27" x14ac:dyDescent="0.25">
      <c r="A760" t="s">
        <v>657</v>
      </c>
      <c r="B760" t="s">
        <v>15</v>
      </c>
      <c r="C760">
        <v>7</v>
      </c>
      <c r="D760">
        <v>0</v>
      </c>
      <c r="E760">
        <v>0</v>
      </c>
      <c r="F760">
        <v>0</v>
      </c>
      <c r="G760">
        <v>6.2</v>
      </c>
      <c r="H760">
        <v>8</v>
      </c>
      <c r="I760">
        <v>4</v>
      </c>
      <c r="J760">
        <v>6</v>
      </c>
      <c r="K760">
        <v>6</v>
      </c>
      <c r="L760">
        <v>1</v>
      </c>
      <c r="M760">
        <v>0</v>
      </c>
      <c r="N760">
        <v>1</v>
      </c>
      <c r="O760">
        <v>0</v>
      </c>
      <c r="P760">
        <v>0</v>
      </c>
      <c r="Q760">
        <v>2</v>
      </c>
      <c r="R760">
        <v>5.4</v>
      </c>
      <c r="S760">
        <v>2.1</v>
      </c>
      <c r="T760">
        <f t="shared" si="75"/>
        <v>0</v>
      </c>
      <c r="U760">
        <f t="shared" si="76"/>
        <v>0.64516129032258063</v>
      </c>
      <c r="V760" s="60">
        <f>U760-AVERAGEIFS(Pitchers[ER/IP],Pitchers[GS],"&gt;"&amp;0,Pitchers[IP],"&gt;"&amp;3)</f>
        <v>7.3660695523261155E-2</v>
      </c>
      <c r="W760" s="60">
        <f>IF(Pitchers[[#This Row],[IP/GS]]&lt;&gt;0,(Pitchers[[#This Row],[WHIP]]*$AH$5+$AI$5)/9*Pitchers[[#This Row],[IP/GS]],(Pitchers[[#This Row],[WHIP]]*$AH$5+$AI$5)/9*(Pitchers[[#This Row],[IP]]/Pitchers[[#This Row],[G]]))</f>
        <v>0.78798417843052015</v>
      </c>
      <c r="X760" s="60">
        <f>Pitchers[[#This Row],[Runs from WHIP]]-AVERAGEIFS(Pitchers[Runs from WHIP],Pitchers[GS],"&gt;"&amp;0,Pitchers[IP],"&gt;"&amp;3)</f>
        <v>-4.8979317276943393</v>
      </c>
      <c r="Y760" s="60">
        <f>IF(Pitchers[[#This Row],[IP/GS]]&lt;&gt;0,Pitchers[[#This Row],[ER/IP From Average]]*Pitchers[[#This Row],[IP/GS]],Pitchers[[#This Row],[ER/IP From Average]]*(Pitchers[[#This Row],[IP]]/Pitchers[[#This Row],[G]]))</f>
        <v>6.524233032060274E-2</v>
      </c>
      <c r="Z760" s="60">
        <f t="shared" si="77"/>
        <v>-1.2800181952569163</v>
      </c>
      <c r="AA760" s="90">
        <f>IF(Pitchers[[#This Row],[W]]=0,0,Pitchers[[#This Row],[W]]/(Pitchers[[#This Row],[W]]+Pitchers[[#This Row],[L]]))</f>
        <v>0</v>
      </c>
    </row>
    <row r="761" spans="1:27" x14ac:dyDescent="0.25">
      <c r="A761" t="s">
        <v>1410</v>
      </c>
      <c r="B761" t="s">
        <v>370</v>
      </c>
      <c r="C761">
        <v>5</v>
      </c>
      <c r="D761">
        <v>0</v>
      </c>
      <c r="E761">
        <v>0</v>
      </c>
      <c r="F761">
        <v>0</v>
      </c>
      <c r="G761">
        <v>6.1</v>
      </c>
      <c r="H761">
        <v>9</v>
      </c>
      <c r="I761">
        <v>5</v>
      </c>
      <c r="J761">
        <v>4</v>
      </c>
      <c r="K761">
        <v>1</v>
      </c>
      <c r="L761">
        <v>1</v>
      </c>
      <c r="M761">
        <v>0</v>
      </c>
      <c r="N761">
        <v>0</v>
      </c>
      <c r="O761">
        <v>0</v>
      </c>
      <c r="P761">
        <v>0</v>
      </c>
      <c r="Q761">
        <v>1</v>
      </c>
      <c r="R761">
        <v>7.11</v>
      </c>
      <c r="S761">
        <v>1.58</v>
      </c>
      <c r="T761">
        <f t="shared" si="75"/>
        <v>0</v>
      </c>
      <c r="U761">
        <f t="shared" si="76"/>
        <v>0.81967213114754101</v>
      </c>
      <c r="V761" s="60">
        <f>U761-AVERAGEIFS(Pitchers[ER/IP],Pitchers[GS],"&gt;"&amp;0,Pitchers[IP],"&gt;"&amp;3)</f>
        <v>0.24817153634822153</v>
      </c>
      <c r="W761" s="60">
        <f>IF(Pitchers[[#This Row],[IP/GS]]&lt;&gt;0,(Pitchers[[#This Row],[WHIP]]*$AH$5+$AI$5)/9*Pitchers[[#This Row],[IP/GS]],(Pitchers[[#This Row],[WHIP]]*$AH$5+$AI$5)/9*(Pitchers[[#This Row],[IP]]/Pitchers[[#This Row],[G]]))</f>
        <v>0.75602011434641403</v>
      </c>
      <c r="X761" s="60">
        <f>Pitchers[[#This Row],[Runs from WHIP]]-AVERAGEIFS(Pitchers[Runs from WHIP],Pitchers[GS],"&gt;"&amp;0,Pitchers[IP],"&gt;"&amp;3)</f>
        <v>-4.9298957917784456</v>
      </c>
      <c r="Y761" s="60">
        <f>IF(Pitchers[[#This Row],[IP/GS]]&lt;&gt;0,Pitchers[[#This Row],[ER/IP From Average]]*Pitchers[[#This Row],[IP/GS]],Pitchers[[#This Row],[ER/IP From Average]]*(Pitchers[[#This Row],[IP]]/Pitchers[[#This Row],[G]]))</f>
        <v>0.30276927434483025</v>
      </c>
      <c r="Z761" s="60">
        <f t="shared" si="77"/>
        <v>-1.1935311680696532</v>
      </c>
      <c r="AA761" s="90">
        <f>IF(Pitchers[[#This Row],[W]]=0,0,Pitchers[[#This Row],[W]]/(Pitchers[[#This Row],[W]]+Pitchers[[#This Row],[L]]))</f>
        <v>0</v>
      </c>
    </row>
    <row r="762" spans="1:27" x14ac:dyDescent="0.25">
      <c r="A762" t="s">
        <v>763</v>
      </c>
      <c r="B762" t="s">
        <v>27</v>
      </c>
      <c r="C762">
        <v>5</v>
      </c>
      <c r="D762">
        <v>0</v>
      </c>
      <c r="E762">
        <v>0</v>
      </c>
      <c r="F762">
        <v>0</v>
      </c>
      <c r="G762">
        <v>6.1</v>
      </c>
      <c r="H762">
        <v>3</v>
      </c>
      <c r="I762">
        <v>3</v>
      </c>
      <c r="J762">
        <v>5</v>
      </c>
      <c r="K762">
        <v>9</v>
      </c>
      <c r="L762">
        <v>1</v>
      </c>
      <c r="M762">
        <v>0</v>
      </c>
      <c r="N762">
        <v>1</v>
      </c>
      <c r="O762">
        <v>0</v>
      </c>
      <c r="P762">
        <v>0</v>
      </c>
      <c r="Q762">
        <v>0</v>
      </c>
      <c r="R762">
        <v>4.26</v>
      </c>
      <c r="S762">
        <v>1.89</v>
      </c>
      <c r="T762">
        <f t="shared" si="75"/>
        <v>0</v>
      </c>
      <c r="U762">
        <f t="shared" si="76"/>
        <v>0.49180327868852464</v>
      </c>
      <c r="V762" s="60">
        <f>U762-AVERAGEIFS(Pitchers[ER/IP],Pitchers[GS],"&gt;"&amp;0,Pitchers[IP],"&gt;"&amp;3)</f>
        <v>-7.9697316110794836E-2</v>
      </c>
      <c r="W762" s="60">
        <f>IF(Pitchers[[#This Row],[IP/GS]]&lt;&gt;0,(Pitchers[[#This Row],[WHIP]]*$AH$5+$AI$5)/9*Pitchers[[#This Row],[IP/GS]],(Pitchers[[#This Row],[WHIP]]*$AH$5+$AI$5)/9*(Pitchers[[#This Row],[IP]]/Pitchers[[#This Row],[G]]))</f>
        <v>0.95237205423572868</v>
      </c>
      <c r="X762" s="60">
        <f>Pitchers[[#This Row],[Runs from WHIP]]-AVERAGEIFS(Pitchers[Runs from WHIP],Pitchers[GS],"&gt;"&amp;0,Pitchers[IP],"&gt;"&amp;3)</f>
        <v>-4.7335438518891308</v>
      </c>
      <c r="Y762" s="60">
        <f>IF(Pitchers[[#This Row],[IP/GS]]&lt;&gt;0,Pitchers[[#This Row],[ER/IP From Average]]*Pitchers[[#This Row],[IP/GS]],Pitchers[[#This Row],[ER/IP From Average]]*(Pitchers[[#This Row],[IP]]/Pitchers[[#This Row],[G]]))</f>
        <v>-9.72307256551697E-2</v>
      </c>
      <c r="Z762" s="60">
        <f t="shared" si="77"/>
        <v>-1.301170650765836</v>
      </c>
      <c r="AA762" s="90">
        <f>IF(Pitchers[[#This Row],[W]]=0,0,Pitchers[[#This Row],[W]]/(Pitchers[[#This Row],[W]]+Pitchers[[#This Row],[L]]))</f>
        <v>0</v>
      </c>
    </row>
    <row r="763" spans="1:27" x14ac:dyDescent="0.25">
      <c r="A763" t="s">
        <v>757</v>
      </c>
      <c r="B763" t="s">
        <v>340</v>
      </c>
      <c r="C763">
        <v>12</v>
      </c>
      <c r="D763">
        <v>0</v>
      </c>
      <c r="E763">
        <v>0</v>
      </c>
      <c r="F763">
        <v>0</v>
      </c>
      <c r="G763">
        <v>6.1</v>
      </c>
      <c r="H763">
        <v>8</v>
      </c>
      <c r="I763">
        <v>16</v>
      </c>
      <c r="J763">
        <v>5</v>
      </c>
      <c r="K763">
        <v>15</v>
      </c>
      <c r="L763">
        <v>0</v>
      </c>
      <c r="M763">
        <v>0</v>
      </c>
      <c r="N763">
        <v>1</v>
      </c>
      <c r="O763">
        <v>0</v>
      </c>
      <c r="P763">
        <v>0</v>
      </c>
      <c r="Q763">
        <v>1</v>
      </c>
      <c r="R763">
        <v>22.74</v>
      </c>
      <c r="S763">
        <v>3.63</v>
      </c>
      <c r="T763">
        <f t="shared" si="75"/>
        <v>0</v>
      </c>
      <c r="U763">
        <f t="shared" si="76"/>
        <v>2.6229508196721314</v>
      </c>
      <c r="V763" s="60">
        <f>U763-AVERAGEIFS(Pitchers[ER/IP],Pitchers[GS],"&gt;"&amp;0,Pitchers[IP],"&gt;"&amp;3)</f>
        <v>2.0514502248728119</v>
      </c>
      <c r="W763" s="60">
        <f>IF(Pitchers[[#This Row],[IP/GS]]&lt;&gt;0,(Pitchers[[#This Row],[WHIP]]*$AH$5+$AI$5)/9*Pitchers[[#This Row],[IP/GS]],(Pitchers[[#This Row],[WHIP]]*$AH$5+$AI$5)/9*(Pitchers[[#This Row],[IP]]/Pitchers[[#This Row],[G]]))</f>
        <v>0.85603187126409086</v>
      </c>
      <c r="X763" s="60">
        <f>Pitchers[[#This Row],[Runs from WHIP]]-AVERAGEIFS(Pitchers[Runs from WHIP],Pitchers[GS],"&gt;"&amp;0,Pitchers[IP],"&gt;"&amp;3)</f>
        <v>-4.8298840348607683</v>
      </c>
      <c r="Y763" s="60">
        <f>IF(Pitchers[[#This Row],[IP/GS]]&lt;&gt;0,Pitchers[[#This Row],[ER/IP From Average]]*Pitchers[[#This Row],[IP/GS]],Pitchers[[#This Row],[ER/IP From Average]]*(Pitchers[[#This Row],[IP]]/Pitchers[[#This Row],[G]]))</f>
        <v>1.0428205309770127</v>
      </c>
      <c r="Z763" s="60">
        <f t="shared" si="77"/>
        <v>-0.87084086357206658</v>
      </c>
      <c r="AA763" s="90">
        <f>IF(Pitchers[[#This Row],[W]]=0,0,Pitchers[[#This Row],[W]]/(Pitchers[[#This Row],[W]]+Pitchers[[#This Row],[L]]))</f>
        <v>0</v>
      </c>
    </row>
    <row r="764" spans="1:27" x14ac:dyDescent="0.25">
      <c r="A764" t="s">
        <v>4405</v>
      </c>
      <c r="B764" t="s">
        <v>5</v>
      </c>
      <c r="C764">
        <v>10</v>
      </c>
      <c r="D764">
        <v>0</v>
      </c>
      <c r="E764">
        <v>0</v>
      </c>
      <c r="F764">
        <v>0</v>
      </c>
      <c r="G764">
        <v>6.1</v>
      </c>
      <c r="H764">
        <v>6</v>
      </c>
      <c r="I764">
        <v>3</v>
      </c>
      <c r="J764">
        <v>10</v>
      </c>
      <c r="K764">
        <v>2</v>
      </c>
      <c r="L764">
        <v>1</v>
      </c>
      <c r="M764">
        <v>1</v>
      </c>
      <c r="N764">
        <v>0</v>
      </c>
      <c r="O764">
        <v>0</v>
      </c>
      <c r="P764">
        <v>1</v>
      </c>
      <c r="Q764">
        <v>2</v>
      </c>
      <c r="R764">
        <v>4.26</v>
      </c>
      <c r="S764">
        <v>1.26</v>
      </c>
      <c r="T764">
        <f t="shared" ref="T764:T771" si="78">IF(D764=0,0,G764/D764)</f>
        <v>0</v>
      </c>
      <c r="U764">
        <f t="shared" ref="U764:U771" si="79">IF(G764=0,0,I764/G764)</f>
        <v>0.49180327868852464</v>
      </c>
      <c r="V764" s="60">
        <f>U764-AVERAGEIFS(Pitchers[ER/IP],Pitchers[GS],"&gt;"&amp;0,Pitchers[IP],"&gt;"&amp;3)</f>
        <v>-7.9697316110794836E-2</v>
      </c>
      <c r="W764" s="60">
        <f>IF(Pitchers[[#This Row],[IP/GS]]&lt;&gt;0,(Pitchers[[#This Row],[WHIP]]*$AH$5+$AI$5)/9*Pitchers[[#This Row],[IP/GS]],(Pitchers[[#This Row],[WHIP]]*$AH$5+$AI$5)/9*(Pitchers[[#This Row],[IP]]/Pitchers[[#This Row],[G]]))</f>
        <v>0.27666712045614128</v>
      </c>
      <c r="X764" s="60">
        <f>Pitchers[[#This Row],[Runs from WHIP]]-AVERAGEIFS(Pitchers[Runs from WHIP],Pitchers[GS],"&gt;"&amp;0,Pitchers[IP],"&gt;"&amp;3)</f>
        <v>-5.4092487856687175</v>
      </c>
      <c r="Y764" s="60">
        <f>IF(Pitchers[[#This Row],[IP/GS]]&lt;&gt;0,Pitchers[[#This Row],[ER/IP From Average]]*Pitchers[[#This Row],[IP/GS]],Pitchers[[#This Row],[ER/IP From Average]]*(Pitchers[[#This Row],[IP]]/Pitchers[[#This Row],[G]]))</f>
        <v>-4.861536282758485E-2</v>
      </c>
      <c r="Z764" s="60">
        <f t="shared" ref="Z764:Z771" si="80">AVERAGE(X764,X764,Y764,Y764,Y764)/1.5</f>
        <v>-1.461912487976025</v>
      </c>
      <c r="AA764" s="90">
        <f>IF(Pitchers[[#This Row],[W]]=0,0,Pitchers[[#This Row],[W]]/(Pitchers[[#This Row],[W]]+Pitchers[[#This Row],[L]]))</f>
        <v>1</v>
      </c>
    </row>
    <row r="765" spans="1:27" x14ac:dyDescent="0.25">
      <c r="A765" t="s">
        <v>1488</v>
      </c>
      <c r="B765" t="s">
        <v>12</v>
      </c>
      <c r="C765">
        <v>5</v>
      </c>
      <c r="D765">
        <v>0</v>
      </c>
      <c r="E765">
        <v>0</v>
      </c>
      <c r="F765">
        <v>0</v>
      </c>
      <c r="G765">
        <v>6.1</v>
      </c>
      <c r="H765">
        <v>8</v>
      </c>
      <c r="I765">
        <v>3</v>
      </c>
      <c r="J765">
        <v>0</v>
      </c>
      <c r="K765">
        <v>3</v>
      </c>
      <c r="L765">
        <v>2</v>
      </c>
      <c r="M765">
        <v>0</v>
      </c>
      <c r="N765">
        <v>0</v>
      </c>
      <c r="O765">
        <v>0</v>
      </c>
      <c r="P765">
        <v>0</v>
      </c>
      <c r="Q765">
        <v>0</v>
      </c>
      <c r="R765">
        <v>4.26</v>
      </c>
      <c r="S765">
        <v>1.74</v>
      </c>
      <c r="T765">
        <f t="shared" si="78"/>
        <v>0</v>
      </c>
      <c r="U765">
        <f t="shared" si="79"/>
        <v>0.49180327868852464</v>
      </c>
      <c r="V765" s="60">
        <f>U765-AVERAGEIFS(Pitchers[ER/IP],Pitchers[GS],"&gt;"&amp;0,Pitchers[IP],"&gt;"&amp;3)</f>
        <v>-7.9697316110794836E-2</v>
      </c>
      <c r="W765" s="60">
        <f>IF(Pitchers[[#This Row],[IP/GS]]&lt;&gt;0,(Pitchers[[#This Row],[WHIP]]*$AH$5+$AI$5)/9*Pitchers[[#This Row],[IP/GS]],(Pitchers[[#This Row],[WHIP]]*$AH$5+$AI$5)/9*(Pitchers[[#This Row],[IP]]/Pitchers[[#This Row],[G]]))</f>
        <v>0.85736305106347954</v>
      </c>
      <c r="X765" s="60">
        <f>Pitchers[[#This Row],[Runs from WHIP]]-AVERAGEIFS(Pitchers[Runs from WHIP],Pitchers[GS],"&gt;"&amp;0,Pitchers[IP],"&gt;"&amp;3)</f>
        <v>-4.8285528550613801</v>
      </c>
      <c r="Y765" s="60">
        <f>IF(Pitchers[[#This Row],[IP/GS]]&lt;&gt;0,Pitchers[[#This Row],[ER/IP From Average]]*Pitchers[[#This Row],[IP/GS]],Pitchers[[#This Row],[ER/IP From Average]]*(Pitchers[[#This Row],[IP]]/Pitchers[[#This Row],[G]]))</f>
        <v>-9.72307256551697E-2</v>
      </c>
      <c r="Z765" s="60">
        <f t="shared" si="80"/>
        <v>-1.3265063849451024</v>
      </c>
      <c r="AA765" s="90">
        <f>IF(Pitchers[[#This Row],[W]]=0,0,Pitchers[[#This Row],[W]]/(Pitchers[[#This Row],[W]]+Pitchers[[#This Row],[L]]))</f>
        <v>0</v>
      </c>
    </row>
    <row r="766" spans="1:27" x14ac:dyDescent="0.25">
      <c r="A766" t="s">
        <v>1193</v>
      </c>
      <c r="B766" t="s">
        <v>12</v>
      </c>
      <c r="C766">
        <v>3</v>
      </c>
      <c r="D766">
        <v>0</v>
      </c>
      <c r="E766">
        <v>0</v>
      </c>
      <c r="F766">
        <v>0</v>
      </c>
      <c r="G766">
        <v>6.1</v>
      </c>
      <c r="H766">
        <v>6</v>
      </c>
      <c r="I766">
        <v>1</v>
      </c>
      <c r="J766">
        <v>7</v>
      </c>
      <c r="K766">
        <v>1</v>
      </c>
      <c r="L766">
        <v>0</v>
      </c>
      <c r="M766">
        <v>0</v>
      </c>
      <c r="N766">
        <v>0</v>
      </c>
      <c r="O766">
        <v>0</v>
      </c>
      <c r="P766">
        <v>0</v>
      </c>
      <c r="Q766">
        <v>0</v>
      </c>
      <c r="R766">
        <v>1.42</v>
      </c>
      <c r="S766">
        <v>1.1100000000000001</v>
      </c>
      <c r="T766">
        <f t="shared" si="78"/>
        <v>0</v>
      </c>
      <c r="U766">
        <f t="shared" si="79"/>
        <v>0.16393442622950821</v>
      </c>
      <c r="V766" s="60">
        <f>U766-AVERAGEIFS(Pitchers[ER/IP],Pitchers[GS],"&gt;"&amp;0,Pitchers[IP],"&gt;"&amp;3)</f>
        <v>-0.40756616856981126</v>
      </c>
      <c r="W766" s="60">
        <f>IF(Pitchers[[#This Row],[IP/GS]]&lt;&gt;0,(Pitchers[[#This Row],[WHIP]]*$AH$5+$AI$5)/9*Pitchers[[#This Row],[IP/GS]],(Pitchers[[#This Row],[WHIP]]*$AH$5+$AI$5)/9*(Pitchers[[#This Row],[IP]]/Pitchers[[#This Row],[G]]))</f>
        <v>0.76387539623338918</v>
      </c>
      <c r="X766" s="60">
        <f>Pitchers[[#This Row],[Runs from WHIP]]-AVERAGEIFS(Pitchers[Runs from WHIP],Pitchers[GS],"&gt;"&amp;0,Pitchers[IP],"&gt;"&amp;3)</f>
        <v>-4.9220405098914704</v>
      </c>
      <c r="Y766" s="60">
        <f>IF(Pitchers[[#This Row],[IP/GS]]&lt;&gt;0,Pitchers[[#This Row],[ER/IP From Average]]*Pitchers[[#This Row],[IP/GS]],Pitchers[[#This Row],[ER/IP From Average]]*(Pitchers[[#This Row],[IP]]/Pitchers[[#This Row],[G]]))</f>
        <v>-0.82871787609194947</v>
      </c>
      <c r="Z766" s="60">
        <f t="shared" si="80"/>
        <v>-1.6440312864078388</v>
      </c>
      <c r="AA766" s="90">
        <f>IF(Pitchers[[#This Row],[W]]=0,0,Pitchers[[#This Row],[W]]/(Pitchers[[#This Row],[W]]+Pitchers[[#This Row],[L]]))</f>
        <v>0</v>
      </c>
    </row>
    <row r="767" spans="1:27" x14ac:dyDescent="0.25">
      <c r="A767" t="s">
        <v>1437</v>
      </c>
      <c r="B767" t="s">
        <v>9</v>
      </c>
      <c r="C767">
        <v>6</v>
      </c>
      <c r="D767">
        <v>0</v>
      </c>
      <c r="E767">
        <v>0</v>
      </c>
      <c r="F767">
        <v>0</v>
      </c>
      <c r="G767">
        <v>6.1</v>
      </c>
      <c r="H767">
        <v>11</v>
      </c>
      <c r="I767">
        <v>6</v>
      </c>
      <c r="J767">
        <v>5</v>
      </c>
      <c r="K767">
        <v>4</v>
      </c>
      <c r="L767">
        <v>3</v>
      </c>
      <c r="M767">
        <v>0</v>
      </c>
      <c r="N767">
        <v>1</v>
      </c>
      <c r="O767">
        <v>0</v>
      </c>
      <c r="P767">
        <v>0</v>
      </c>
      <c r="Q767">
        <v>0</v>
      </c>
      <c r="R767">
        <v>8.5299999999999994</v>
      </c>
      <c r="S767">
        <v>2.37</v>
      </c>
      <c r="T767">
        <f t="shared" si="78"/>
        <v>0</v>
      </c>
      <c r="U767">
        <f t="shared" si="79"/>
        <v>0.98360655737704927</v>
      </c>
      <c r="V767" s="60">
        <f>U767-AVERAGEIFS(Pitchers[ER/IP],Pitchers[GS],"&gt;"&amp;0,Pitchers[IP],"&gt;"&amp;3)</f>
        <v>0.4121059625777298</v>
      </c>
      <c r="W767" s="60">
        <f>IF(Pitchers[[#This Row],[IP/GS]]&lt;&gt;0,(Pitchers[[#This Row],[WHIP]]*$AH$5+$AI$5)/9*Pitchers[[#This Row],[IP/GS]],(Pitchers[[#This Row],[WHIP]]*$AH$5+$AI$5)/9*(Pitchers[[#This Row],[IP]]/Pitchers[[#This Row],[G]]))</f>
        <v>1.0470007203224383</v>
      </c>
      <c r="X767" s="60">
        <f>Pitchers[[#This Row],[Runs from WHIP]]-AVERAGEIFS(Pitchers[Runs from WHIP],Pitchers[GS],"&gt;"&amp;0,Pitchers[IP],"&gt;"&amp;3)</f>
        <v>-4.6389151858024213</v>
      </c>
      <c r="Y767" s="60">
        <f>IF(Pitchers[[#This Row],[IP/GS]]&lt;&gt;0,Pitchers[[#This Row],[ER/IP From Average]]*Pitchers[[#This Row],[IP/GS]],Pitchers[[#This Row],[ER/IP From Average]]*(Pitchers[[#This Row],[IP]]/Pitchers[[#This Row],[G]]))</f>
        <v>0.41897439528735858</v>
      </c>
      <c r="Z767" s="60">
        <f t="shared" si="80"/>
        <v>-1.0694542914323688</v>
      </c>
      <c r="AA767" s="90">
        <f>IF(Pitchers[[#This Row],[W]]=0,0,Pitchers[[#This Row],[W]]/(Pitchers[[#This Row],[W]]+Pitchers[[#This Row],[L]]))</f>
        <v>0</v>
      </c>
    </row>
    <row r="768" spans="1:27" x14ac:dyDescent="0.25">
      <c r="A768" t="s">
        <v>1161</v>
      </c>
      <c r="B768" t="s">
        <v>219</v>
      </c>
      <c r="C768">
        <v>2</v>
      </c>
      <c r="D768">
        <v>0</v>
      </c>
      <c r="E768">
        <v>0</v>
      </c>
      <c r="F768">
        <v>0</v>
      </c>
      <c r="G768">
        <v>6.1</v>
      </c>
      <c r="H768">
        <v>14</v>
      </c>
      <c r="I768">
        <v>10</v>
      </c>
      <c r="J768">
        <v>3</v>
      </c>
      <c r="K768">
        <v>4</v>
      </c>
      <c r="L768">
        <v>2</v>
      </c>
      <c r="M768">
        <v>0</v>
      </c>
      <c r="N768">
        <v>0</v>
      </c>
      <c r="O768">
        <v>0</v>
      </c>
      <c r="P768">
        <v>0</v>
      </c>
      <c r="Q768">
        <v>0</v>
      </c>
      <c r="R768">
        <v>14.21</v>
      </c>
      <c r="S768">
        <v>2.84</v>
      </c>
      <c r="T768">
        <f t="shared" si="78"/>
        <v>0</v>
      </c>
      <c r="U768">
        <f t="shared" si="79"/>
        <v>1.639344262295082</v>
      </c>
      <c r="V768" s="60">
        <f>U768-AVERAGEIFS(Pitchers[ER/IP],Pitchers[GS],"&gt;"&amp;0,Pitchers[IP],"&gt;"&amp;3)</f>
        <v>1.0678436674957625</v>
      </c>
      <c r="W768" s="60">
        <f>IF(Pitchers[[#This Row],[IP/GS]]&lt;&gt;0,(Pitchers[[#This Row],[WHIP]]*$AH$5+$AI$5)/9*Pitchers[[#This Row],[IP/GS]],(Pitchers[[#This Row],[WHIP]]*$AH$5+$AI$5)/9*(Pitchers[[#This Row],[IP]]/Pitchers[[#This Row],[G]]))</f>
        <v>3.885239352483266</v>
      </c>
      <c r="X768" s="60">
        <f>Pitchers[[#This Row],[Runs from WHIP]]-AVERAGEIFS(Pitchers[Runs from WHIP],Pitchers[GS],"&gt;"&amp;0,Pitchers[IP],"&gt;"&amp;3)</f>
        <v>-1.8006765536415932</v>
      </c>
      <c r="Y768" s="60">
        <f>IF(Pitchers[[#This Row],[IP/GS]]&lt;&gt;0,Pitchers[[#This Row],[ER/IP From Average]]*Pitchers[[#This Row],[IP/GS]],Pitchers[[#This Row],[ER/IP From Average]]*(Pitchers[[#This Row],[IP]]/Pitchers[[#This Row],[G]]))</f>
        <v>3.2569231858620755</v>
      </c>
      <c r="Z768" s="60">
        <f t="shared" si="80"/>
        <v>0.82258886004040532</v>
      </c>
      <c r="AA768" s="90">
        <f>IF(Pitchers[[#This Row],[W]]=0,0,Pitchers[[#This Row],[W]]/(Pitchers[[#This Row],[W]]+Pitchers[[#This Row],[L]]))</f>
        <v>0</v>
      </c>
    </row>
    <row r="769" spans="1:27" x14ac:dyDescent="0.25">
      <c r="A769" t="s">
        <v>4127</v>
      </c>
      <c r="B769" t="s">
        <v>8</v>
      </c>
      <c r="C769">
        <v>7</v>
      </c>
      <c r="D769">
        <v>0</v>
      </c>
      <c r="E769">
        <v>0</v>
      </c>
      <c r="F769">
        <v>0</v>
      </c>
      <c r="G769">
        <v>6.1</v>
      </c>
      <c r="H769">
        <v>3</v>
      </c>
      <c r="I769">
        <v>1</v>
      </c>
      <c r="J769">
        <v>11</v>
      </c>
      <c r="K769">
        <v>4</v>
      </c>
      <c r="L769">
        <v>1</v>
      </c>
      <c r="M769">
        <v>1</v>
      </c>
      <c r="N769">
        <v>0</v>
      </c>
      <c r="O769">
        <v>0</v>
      </c>
      <c r="P769">
        <v>1</v>
      </c>
      <c r="Q769">
        <v>1</v>
      </c>
      <c r="R769">
        <v>1.42</v>
      </c>
      <c r="S769">
        <v>1.1100000000000001</v>
      </c>
      <c r="T769">
        <f t="shared" si="78"/>
        <v>0</v>
      </c>
      <c r="U769">
        <f t="shared" si="79"/>
        <v>0.16393442622950821</v>
      </c>
      <c r="V769" s="60">
        <f>U769-AVERAGEIFS(Pitchers[ER/IP],Pitchers[GS],"&gt;"&amp;0,Pitchers[IP],"&gt;"&amp;3)</f>
        <v>-0.40756616856981126</v>
      </c>
      <c r="W769" s="60">
        <f>IF(Pitchers[[#This Row],[IP/GS]]&lt;&gt;0,(Pitchers[[#This Row],[WHIP]]*$AH$5+$AI$5)/9*Pitchers[[#This Row],[IP/GS]],(Pitchers[[#This Row],[WHIP]]*$AH$5+$AI$5)/9*(Pitchers[[#This Row],[IP]]/Pitchers[[#This Row],[G]]))</f>
        <v>0.32737516981430964</v>
      </c>
      <c r="X769" s="60">
        <f>Pitchers[[#This Row],[Runs from WHIP]]-AVERAGEIFS(Pitchers[Runs from WHIP],Pitchers[GS],"&gt;"&amp;0,Pitchers[IP],"&gt;"&amp;3)</f>
        <v>-5.3585407363105499</v>
      </c>
      <c r="Y769" s="60">
        <f>IF(Pitchers[[#This Row],[IP/GS]]&lt;&gt;0,Pitchers[[#This Row],[ER/IP From Average]]*Pitchers[[#This Row],[IP/GS]],Pitchers[[#This Row],[ER/IP From Average]]*(Pitchers[[#This Row],[IP]]/Pitchers[[#This Row],[G]]))</f>
        <v>-0.35516480403940692</v>
      </c>
      <c r="Z769" s="60">
        <f t="shared" si="80"/>
        <v>-1.5710101179652431</v>
      </c>
      <c r="AA769" s="90">
        <f>IF(Pitchers[[#This Row],[W]]=0,0,Pitchers[[#This Row],[W]]/(Pitchers[[#This Row],[W]]+Pitchers[[#This Row],[L]]))</f>
        <v>1</v>
      </c>
    </row>
    <row r="770" spans="1:27" x14ac:dyDescent="0.25">
      <c r="A770" t="s">
        <v>753</v>
      </c>
      <c r="B770" t="s">
        <v>15</v>
      </c>
      <c r="C770">
        <v>2</v>
      </c>
      <c r="D770">
        <v>0</v>
      </c>
      <c r="E770">
        <v>0</v>
      </c>
      <c r="F770">
        <v>0</v>
      </c>
      <c r="G770">
        <v>6</v>
      </c>
      <c r="H770">
        <v>6</v>
      </c>
      <c r="I770">
        <v>5</v>
      </c>
      <c r="J770">
        <v>6</v>
      </c>
      <c r="K770">
        <v>6</v>
      </c>
      <c r="L770">
        <v>1</v>
      </c>
      <c r="M770">
        <v>0</v>
      </c>
      <c r="N770">
        <v>0</v>
      </c>
      <c r="O770">
        <v>0</v>
      </c>
      <c r="P770">
        <v>0</v>
      </c>
      <c r="Q770">
        <v>0</v>
      </c>
      <c r="R770">
        <v>7.5</v>
      </c>
      <c r="S770">
        <v>2</v>
      </c>
      <c r="T770">
        <f t="shared" si="78"/>
        <v>0</v>
      </c>
      <c r="U770">
        <f t="shared" si="79"/>
        <v>0.83333333333333337</v>
      </c>
      <c r="V770" s="60">
        <f>U770-AVERAGEIFS(Pitchers[ER/IP],Pitchers[GS],"&gt;"&amp;0,Pitchers[IP],"&gt;"&amp;3)</f>
        <v>0.2618327385340139</v>
      </c>
      <c r="W770" s="60">
        <f>IF(Pitchers[[#This Row],[IP/GS]]&lt;&gt;0,(Pitchers[[#This Row],[WHIP]]*$AH$5+$AI$5)/9*Pitchers[[#This Row],[IP/GS]],(Pitchers[[#This Row],[WHIP]]*$AH$5+$AI$5)/9*(Pitchers[[#This Row],[IP]]/Pitchers[[#This Row],[G]]))</f>
        <v>2.5132262046607661</v>
      </c>
      <c r="X770" s="60">
        <f>Pitchers[[#This Row],[Runs from WHIP]]-AVERAGEIFS(Pitchers[Runs from WHIP],Pitchers[GS],"&gt;"&amp;0,Pitchers[IP],"&gt;"&amp;3)</f>
        <v>-3.1726897014640931</v>
      </c>
      <c r="Y770" s="60">
        <f>IF(Pitchers[[#This Row],[IP/GS]]&lt;&gt;0,Pitchers[[#This Row],[ER/IP From Average]]*Pitchers[[#This Row],[IP/GS]],Pitchers[[#This Row],[ER/IP From Average]]*(Pitchers[[#This Row],[IP]]/Pitchers[[#This Row],[G]]))</f>
        <v>0.78549821560204169</v>
      </c>
      <c r="Z770" s="60">
        <f t="shared" si="80"/>
        <v>-0.53185130081627485</v>
      </c>
      <c r="AA770" s="90">
        <f>IF(Pitchers[[#This Row],[W]]=0,0,Pitchers[[#This Row],[W]]/(Pitchers[[#This Row],[W]]+Pitchers[[#This Row],[L]]))</f>
        <v>0</v>
      </c>
    </row>
    <row r="771" spans="1:27" x14ac:dyDescent="0.25">
      <c r="A771" t="s">
        <v>1414</v>
      </c>
      <c r="B771" t="s">
        <v>2</v>
      </c>
      <c r="C771">
        <v>4</v>
      </c>
      <c r="D771">
        <v>0</v>
      </c>
      <c r="E771">
        <v>0</v>
      </c>
      <c r="F771">
        <v>0</v>
      </c>
      <c r="G771">
        <v>6</v>
      </c>
      <c r="H771">
        <v>9</v>
      </c>
      <c r="I771">
        <v>5</v>
      </c>
      <c r="J771">
        <v>8</v>
      </c>
      <c r="K771">
        <v>1</v>
      </c>
      <c r="L771">
        <v>2</v>
      </c>
      <c r="M771">
        <v>0</v>
      </c>
      <c r="N771">
        <v>0</v>
      </c>
      <c r="O771">
        <v>0</v>
      </c>
      <c r="P771">
        <v>0</v>
      </c>
      <c r="Q771">
        <v>0</v>
      </c>
      <c r="R771">
        <v>7.5</v>
      </c>
      <c r="S771">
        <v>1.67</v>
      </c>
      <c r="T771">
        <f t="shared" si="78"/>
        <v>0</v>
      </c>
      <c r="U771">
        <f t="shared" si="79"/>
        <v>0.83333333333333337</v>
      </c>
      <c r="V771" s="60">
        <f>U771-AVERAGEIFS(Pitchers[ER/IP],Pitchers[GS],"&gt;"&amp;0,Pitchers[IP],"&gt;"&amp;3)</f>
        <v>0.2618327385340139</v>
      </c>
      <c r="W771" s="60">
        <f>IF(Pitchers[[#This Row],[IP/GS]]&lt;&gt;0,(Pitchers[[#This Row],[WHIP]]*$AH$5+$AI$5)/9*Pitchers[[#This Row],[IP/GS]],(Pitchers[[#This Row],[WHIP]]*$AH$5+$AI$5)/9*(Pitchers[[#This Row],[IP]]/Pitchers[[#This Row],[G]]))</f>
        <v>0.99962153637265994</v>
      </c>
      <c r="X771" s="60">
        <f>Pitchers[[#This Row],[Runs from WHIP]]-AVERAGEIFS(Pitchers[Runs from WHIP],Pitchers[GS],"&gt;"&amp;0,Pitchers[IP],"&gt;"&amp;3)</f>
        <v>-4.6862943697521988</v>
      </c>
      <c r="Y771" s="60">
        <f>IF(Pitchers[[#This Row],[IP/GS]]&lt;&gt;0,Pitchers[[#This Row],[ER/IP From Average]]*Pitchers[[#This Row],[IP/GS]],Pitchers[[#This Row],[ER/IP From Average]]*(Pitchers[[#This Row],[IP]]/Pitchers[[#This Row],[G]]))</f>
        <v>0.39274910780102085</v>
      </c>
      <c r="Z771" s="60">
        <f t="shared" si="80"/>
        <v>-1.0925788554801776</v>
      </c>
      <c r="AA771" s="90">
        <f>IF(Pitchers[[#This Row],[W]]=0,0,Pitchers[[#This Row],[W]]/(Pitchers[[#This Row],[W]]+Pitchers[[#This Row],[L]]))</f>
        <v>0</v>
      </c>
    </row>
    <row r="772" spans="1:27" x14ac:dyDescent="0.25">
      <c r="A772" t="s">
        <v>4177</v>
      </c>
      <c r="B772" t="s">
        <v>11</v>
      </c>
      <c r="C772">
        <v>2</v>
      </c>
      <c r="D772">
        <v>1</v>
      </c>
      <c r="E772">
        <v>0</v>
      </c>
      <c r="F772">
        <v>0</v>
      </c>
      <c r="G772">
        <v>6</v>
      </c>
      <c r="H772">
        <v>9</v>
      </c>
      <c r="I772">
        <v>7</v>
      </c>
      <c r="J772">
        <v>2</v>
      </c>
      <c r="K772">
        <v>5</v>
      </c>
      <c r="L772">
        <v>3</v>
      </c>
      <c r="M772">
        <v>0</v>
      </c>
      <c r="N772">
        <v>1</v>
      </c>
      <c r="O772">
        <v>0</v>
      </c>
      <c r="P772">
        <v>0</v>
      </c>
      <c r="Q772">
        <v>0</v>
      </c>
      <c r="R772">
        <v>10.5</v>
      </c>
      <c r="S772">
        <v>2.33</v>
      </c>
      <c r="T772">
        <f t="shared" ref="T772:T819" si="81">IF(D772=0,0,G772/D772)</f>
        <v>6</v>
      </c>
      <c r="U772">
        <f t="shared" ref="U772:U819" si="82">IF(G772=0,0,I772/G772)</f>
        <v>1.1666666666666667</v>
      </c>
      <c r="V772" s="60">
        <f>U772-AVERAGEIFS(Pitchers[ER/IP],Pitchers[GS],"&gt;"&amp;0,Pitchers[IP],"&gt;"&amp;3)</f>
        <v>0.59516607186734727</v>
      </c>
      <c r="W772" s="60">
        <f>IF(Pitchers[[#This Row],[IP/GS]]&lt;&gt;0,(Pitchers[[#This Row],[WHIP]]*$AH$5+$AI$5)/9*Pitchers[[#This Row],[IP/GS]],(Pitchers[[#This Row],[WHIP]]*$AH$5+$AI$5)/9*(Pitchers[[#This Row],[IP]]/Pitchers[[#This Row],[G]]))</f>
        <v>6.0544186731524237</v>
      </c>
      <c r="X772" s="60">
        <f>Pitchers[[#This Row],[Runs from WHIP]]-AVERAGEIFS(Pitchers[Runs from WHIP],Pitchers[GS],"&gt;"&amp;0,Pitchers[IP],"&gt;"&amp;3)</f>
        <v>0.36850276702756446</v>
      </c>
      <c r="Y772" s="60">
        <f>IF(Pitchers[[#This Row],[IP/GS]]&lt;&gt;0,Pitchers[[#This Row],[ER/IP From Average]]*Pitchers[[#This Row],[IP/GS]],Pitchers[[#This Row],[ER/IP From Average]]*(Pitchers[[#This Row],[IP]]/Pitchers[[#This Row],[G]]))</f>
        <v>3.5709964312040836</v>
      </c>
      <c r="Z772" s="60">
        <f t="shared" ref="Z772:Z819" si="83">AVERAGE(X772,X772,Y772,Y772,Y772)/1.5</f>
        <v>1.526665977022317</v>
      </c>
      <c r="AA772" s="90">
        <f>IF(Pitchers[[#This Row],[W]]=0,0,Pitchers[[#This Row],[W]]/(Pitchers[[#This Row],[W]]+Pitchers[[#This Row],[L]]))</f>
        <v>0</v>
      </c>
    </row>
    <row r="773" spans="1:27" x14ac:dyDescent="0.25">
      <c r="A773" t="s">
        <v>1200</v>
      </c>
      <c r="B773" t="s">
        <v>24</v>
      </c>
      <c r="C773">
        <v>6</v>
      </c>
      <c r="D773">
        <v>0</v>
      </c>
      <c r="E773">
        <v>0</v>
      </c>
      <c r="F773">
        <v>0</v>
      </c>
      <c r="G773">
        <v>5.2</v>
      </c>
      <c r="H773">
        <v>11</v>
      </c>
      <c r="I773">
        <v>5</v>
      </c>
      <c r="J773">
        <v>2</v>
      </c>
      <c r="K773">
        <v>1</v>
      </c>
      <c r="L773">
        <v>0</v>
      </c>
      <c r="M773">
        <v>0</v>
      </c>
      <c r="N773">
        <v>0</v>
      </c>
      <c r="O773">
        <v>0</v>
      </c>
      <c r="P773">
        <v>0</v>
      </c>
      <c r="Q773">
        <v>0</v>
      </c>
      <c r="R773">
        <v>7.94</v>
      </c>
      <c r="S773">
        <v>2.12</v>
      </c>
      <c r="T773">
        <f t="shared" si="81"/>
        <v>0</v>
      </c>
      <c r="U773">
        <f t="shared" si="82"/>
        <v>0.96153846153846145</v>
      </c>
      <c r="V773" s="60">
        <f>U773-AVERAGEIFS(Pitchers[ER/IP],Pitchers[GS],"&gt;"&amp;0,Pitchers[IP],"&gt;"&amp;3)</f>
        <v>0.39003786673914198</v>
      </c>
      <c r="W773" s="60">
        <f>IF(Pitchers[[#This Row],[IP/GS]]&lt;&gt;0,(Pitchers[[#This Row],[WHIP]]*$AH$5+$AI$5)/9*Pitchers[[#This Row],[IP/GS]],(Pitchers[[#This Row],[WHIP]]*$AH$5+$AI$5)/9*(Pitchers[[#This Row],[IP]]/Pitchers[[#This Row],[G]]))</f>
        <v>0.78003731338604609</v>
      </c>
      <c r="X773" s="60">
        <f>Pitchers[[#This Row],[Runs from WHIP]]-AVERAGEIFS(Pitchers[Runs from WHIP],Pitchers[GS],"&gt;"&amp;0,Pitchers[IP],"&gt;"&amp;3)</f>
        <v>-4.9058785927388131</v>
      </c>
      <c r="Y773" s="60">
        <f>IF(Pitchers[[#This Row],[IP/GS]]&lt;&gt;0,Pitchers[[#This Row],[ER/IP From Average]]*Pitchers[[#This Row],[IP/GS]],Pitchers[[#This Row],[ER/IP From Average]]*(Pitchers[[#This Row],[IP]]/Pitchers[[#This Row],[G]]))</f>
        <v>0.33803281784058975</v>
      </c>
      <c r="Z773" s="60">
        <f t="shared" si="83"/>
        <v>-1.1730211642607808</v>
      </c>
      <c r="AA773" s="90">
        <f>IF(Pitchers[[#This Row],[W]]=0,0,Pitchers[[#This Row],[W]]/(Pitchers[[#This Row],[W]]+Pitchers[[#This Row],[L]]))</f>
        <v>0</v>
      </c>
    </row>
    <row r="774" spans="1:27" x14ac:dyDescent="0.25">
      <c r="A774" t="s">
        <v>620</v>
      </c>
      <c r="B774" t="s">
        <v>219</v>
      </c>
      <c r="C774">
        <v>8</v>
      </c>
      <c r="D774">
        <v>0</v>
      </c>
      <c r="E774">
        <v>0</v>
      </c>
      <c r="F774">
        <v>0</v>
      </c>
      <c r="G774">
        <v>5.2</v>
      </c>
      <c r="H774">
        <v>4</v>
      </c>
      <c r="I774">
        <v>2</v>
      </c>
      <c r="J774">
        <v>5</v>
      </c>
      <c r="K774">
        <v>1</v>
      </c>
      <c r="L774">
        <v>1</v>
      </c>
      <c r="M774">
        <v>0</v>
      </c>
      <c r="N774">
        <v>0</v>
      </c>
      <c r="O774">
        <v>0</v>
      </c>
      <c r="P774">
        <v>0</v>
      </c>
      <c r="Q774">
        <v>1</v>
      </c>
      <c r="R774">
        <v>3.18</v>
      </c>
      <c r="S774">
        <v>0.88</v>
      </c>
      <c r="T774">
        <f t="shared" si="81"/>
        <v>0</v>
      </c>
      <c r="U774">
        <f t="shared" si="82"/>
        <v>0.38461538461538458</v>
      </c>
      <c r="V774" s="60">
        <f>U774-AVERAGEIFS(Pitchers[ER/IP],Pitchers[GS],"&gt;"&amp;0,Pitchers[IP],"&gt;"&amp;3)</f>
        <v>-0.18688521018393489</v>
      </c>
      <c r="W774" s="60">
        <f>IF(Pitchers[[#This Row],[IP/GS]]&lt;&gt;0,(Pitchers[[#This Row],[WHIP]]*$AH$5+$AI$5)/9*Pitchers[[#This Row],[IP/GS]],(Pitchers[[#This Row],[WHIP]]*$AH$5+$AI$5)/9*(Pitchers[[#This Row],[IP]]/Pitchers[[#This Row],[G]]))</f>
        <v>0.16657303117706021</v>
      </c>
      <c r="X774" s="60">
        <f>Pitchers[[#This Row],[Runs from WHIP]]-AVERAGEIFS(Pitchers[Runs from WHIP],Pitchers[GS],"&gt;"&amp;0,Pitchers[IP],"&gt;"&amp;3)</f>
        <v>-5.5193428749477986</v>
      </c>
      <c r="Y774" s="60">
        <f>IF(Pitchers[[#This Row],[IP/GS]]&lt;&gt;0,Pitchers[[#This Row],[ER/IP From Average]]*Pitchers[[#This Row],[IP/GS]],Pitchers[[#This Row],[ER/IP From Average]]*(Pitchers[[#This Row],[IP]]/Pitchers[[#This Row],[G]]))</f>
        <v>-0.12147538661955769</v>
      </c>
      <c r="Z774" s="60">
        <f t="shared" si="83"/>
        <v>-1.5204149213005695</v>
      </c>
      <c r="AA774" s="90">
        <f>IF(Pitchers[[#This Row],[W]]=0,0,Pitchers[[#This Row],[W]]/(Pitchers[[#This Row],[W]]+Pitchers[[#This Row],[L]]))</f>
        <v>0</v>
      </c>
    </row>
    <row r="775" spans="1:27" x14ac:dyDescent="0.25">
      <c r="A775" t="s">
        <v>1480</v>
      </c>
      <c r="B775" t="s">
        <v>14</v>
      </c>
      <c r="C775">
        <v>4</v>
      </c>
      <c r="D775">
        <v>0</v>
      </c>
      <c r="E775">
        <v>0</v>
      </c>
      <c r="F775">
        <v>0</v>
      </c>
      <c r="G775">
        <v>5.2</v>
      </c>
      <c r="H775">
        <v>10</v>
      </c>
      <c r="I775">
        <v>5</v>
      </c>
      <c r="J775">
        <v>2</v>
      </c>
      <c r="K775">
        <v>4</v>
      </c>
      <c r="L775">
        <v>1</v>
      </c>
      <c r="M775">
        <v>0</v>
      </c>
      <c r="N775">
        <v>0</v>
      </c>
      <c r="O775">
        <v>0</v>
      </c>
      <c r="P775">
        <v>0</v>
      </c>
      <c r="Q775">
        <v>0</v>
      </c>
      <c r="R775">
        <v>7.94</v>
      </c>
      <c r="S775">
        <v>2.4700000000000002</v>
      </c>
      <c r="T775">
        <f t="shared" si="81"/>
        <v>0</v>
      </c>
      <c r="U775">
        <f t="shared" si="82"/>
        <v>0.96153846153846145</v>
      </c>
      <c r="V775" s="60">
        <f>U775-AVERAGEIFS(Pitchers[ER/IP],Pitchers[GS],"&gt;"&amp;0,Pitchers[IP],"&gt;"&amp;3)</f>
        <v>0.39003786673914198</v>
      </c>
      <c r="W775" s="60">
        <f>IF(Pitchers[[#This Row],[IP/GS]]&lt;&gt;0,(Pitchers[[#This Row],[WHIP]]*$AH$5+$AI$5)/9*Pitchers[[#This Row],[IP/GS]],(Pitchers[[#This Row],[WHIP]]*$AH$5+$AI$5)/9*(Pitchers[[#This Row],[IP]]/Pitchers[[#This Row],[G]]))</f>
        <v>1.4062805408078851</v>
      </c>
      <c r="X775" s="60">
        <f>Pitchers[[#This Row],[Runs from WHIP]]-AVERAGEIFS(Pitchers[Runs from WHIP],Pitchers[GS],"&gt;"&amp;0,Pitchers[IP],"&gt;"&amp;3)</f>
        <v>-4.2796353653169739</v>
      </c>
      <c r="Y775" s="60">
        <f>IF(Pitchers[[#This Row],[IP/GS]]&lt;&gt;0,Pitchers[[#This Row],[ER/IP From Average]]*Pitchers[[#This Row],[IP/GS]],Pitchers[[#This Row],[ER/IP From Average]]*(Pitchers[[#This Row],[IP]]/Pitchers[[#This Row],[G]]))</f>
        <v>0.5070492267608846</v>
      </c>
      <c r="Z775" s="60">
        <f t="shared" si="83"/>
        <v>-0.93841640671350601</v>
      </c>
      <c r="AA775" s="90">
        <f>IF(Pitchers[[#This Row],[W]]=0,0,Pitchers[[#This Row],[W]]/(Pitchers[[#This Row],[W]]+Pitchers[[#This Row],[L]]))</f>
        <v>0</v>
      </c>
    </row>
    <row r="776" spans="1:27" x14ac:dyDescent="0.25">
      <c r="A776" t="s">
        <v>851</v>
      </c>
      <c r="B776" t="s">
        <v>19</v>
      </c>
      <c r="C776">
        <v>4</v>
      </c>
      <c r="D776">
        <v>0</v>
      </c>
      <c r="E776">
        <v>0</v>
      </c>
      <c r="F776">
        <v>0</v>
      </c>
      <c r="G776">
        <v>5.2</v>
      </c>
      <c r="H776">
        <v>8</v>
      </c>
      <c r="I776">
        <v>2</v>
      </c>
      <c r="J776">
        <v>2</v>
      </c>
      <c r="K776">
        <v>5</v>
      </c>
      <c r="L776">
        <v>0</v>
      </c>
      <c r="M776">
        <v>0</v>
      </c>
      <c r="N776">
        <v>0</v>
      </c>
      <c r="O776">
        <v>0</v>
      </c>
      <c r="P776">
        <v>0</v>
      </c>
      <c r="Q776">
        <v>0</v>
      </c>
      <c r="R776">
        <v>3.18</v>
      </c>
      <c r="S776">
        <v>2.29</v>
      </c>
      <c r="T776">
        <f t="shared" si="81"/>
        <v>0</v>
      </c>
      <c r="U776">
        <f t="shared" si="82"/>
        <v>0.38461538461538458</v>
      </c>
      <c r="V776" s="60">
        <f>U776-AVERAGEIFS(Pitchers[ER/IP],Pitchers[GS],"&gt;"&amp;0,Pitchers[IP],"&gt;"&amp;3)</f>
        <v>-0.18688521018393489</v>
      </c>
      <c r="W776" s="60">
        <f>IF(Pitchers[[#This Row],[IP/GS]]&lt;&gt;0,(Pitchers[[#This Row],[WHIP]]*$AH$5+$AI$5)/9*Pitchers[[#This Row],[IP/GS]],(Pitchers[[#This Row],[WHIP]]*$AH$5+$AI$5)/9*(Pitchers[[#This Row],[IP]]/Pitchers[[#This Row],[G]]))</f>
        <v>1.2847936187187796</v>
      </c>
      <c r="X776" s="60">
        <f>Pitchers[[#This Row],[Runs from WHIP]]-AVERAGEIFS(Pitchers[Runs from WHIP],Pitchers[GS],"&gt;"&amp;0,Pitchers[IP],"&gt;"&amp;3)</f>
        <v>-4.4011222874060794</v>
      </c>
      <c r="Y776" s="60">
        <f>IF(Pitchers[[#This Row],[IP/GS]]&lt;&gt;0,Pitchers[[#This Row],[ER/IP From Average]]*Pitchers[[#This Row],[IP/GS]],Pitchers[[#This Row],[ER/IP From Average]]*(Pitchers[[#This Row],[IP]]/Pitchers[[#This Row],[G]]))</f>
        <v>-0.24295077323911538</v>
      </c>
      <c r="Z776" s="60">
        <f t="shared" si="83"/>
        <v>-1.2708129192706008</v>
      </c>
      <c r="AA776" s="90">
        <f>IF(Pitchers[[#This Row],[W]]=0,0,Pitchers[[#This Row],[W]]/(Pitchers[[#This Row],[W]]+Pitchers[[#This Row],[L]]))</f>
        <v>0</v>
      </c>
    </row>
    <row r="777" spans="1:27" x14ac:dyDescent="0.25">
      <c r="A777" t="s">
        <v>1273</v>
      </c>
      <c r="B777" t="s">
        <v>18</v>
      </c>
      <c r="C777">
        <v>2</v>
      </c>
      <c r="D777">
        <v>1</v>
      </c>
      <c r="E777">
        <v>1</v>
      </c>
      <c r="F777">
        <v>0</v>
      </c>
      <c r="G777">
        <v>5.2</v>
      </c>
      <c r="H777">
        <v>11</v>
      </c>
      <c r="I777">
        <v>7</v>
      </c>
      <c r="J777">
        <v>4</v>
      </c>
      <c r="K777">
        <v>1</v>
      </c>
      <c r="L777">
        <v>2</v>
      </c>
      <c r="M777">
        <v>0</v>
      </c>
      <c r="N777">
        <v>1</v>
      </c>
      <c r="O777">
        <v>0</v>
      </c>
      <c r="P777">
        <v>0</v>
      </c>
      <c r="Q777">
        <v>0</v>
      </c>
      <c r="R777">
        <v>11.12</v>
      </c>
      <c r="S777">
        <v>2.12</v>
      </c>
      <c r="T777">
        <f t="shared" si="81"/>
        <v>5.2</v>
      </c>
      <c r="U777">
        <f t="shared" si="82"/>
        <v>1.346153846153846</v>
      </c>
      <c r="V777" s="60">
        <f>U777-AVERAGEIFS(Pitchers[ER/IP],Pitchers[GS],"&gt;"&amp;0,Pitchers[IP],"&gt;"&amp;3)</f>
        <v>0.77465325135452656</v>
      </c>
      <c r="W777" s="60">
        <f>IF(Pitchers[[#This Row],[IP/GS]]&lt;&gt;0,(Pitchers[[#This Row],[WHIP]]*$AH$5+$AI$5)/9*Pitchers[[#This Row],[IP/GS]],(Pitchers[[#This Row],[WHIP]]*$AH$5+$AI$5)/9*(Pitchers[[#This Row],[IP]]/Pitchers[[#This Row],[G]]))</f>
        <v>4.6802238803162766</v>
      </c>
      <c r="X777" s="60">
        <f>Pitchers[[#This Row],[Runs from WHIP]]-AVERAGEIFS(Pitchers[Runs from WHIP],Pitchers[GS],"&gt;"&amp;0,Pitchers[IP],"&gt;"&amp;3)</f>
        <v>-1.0056920258085826</v>
      </c>
      <c r="Y777" s="60">
        <f>IF(Pitchers[[#This Row],[IP/GS]]&lt;&gt;0,Pitchers[[#This Row],[ER/IP From Average]]*Pitchers[[#This Row],[IP/GS]],Pitchers[[#This Row],[ER/IP From Average]]*(Pitchers[[#This Row],[IP]]/Pitchers[[#This Row],[G]]))</f>
        <v>4.0281969070435384</v>
      </c>
      <c r="Z777" s="60">
        <f t="shared" si="83"/>
        <v>1.3430942226017935</v>
      </c>
      <c r="AA777" s="90">
        <f>IF(Pitchers[[#This Row],[W]]=0,0,Pitchers[[#This Row],[W]]/(Pitchers[[#This Row],[W]]+Pitchers[[#This Row],[L]]))</f>
        <v>0</v>
      </c>
    </row>
    <row r="778" spans="1:27" x14ac:dyDescent="0.25">
      <c r="A778" t="s">
        <v>504</v>
      </c>
      <c r="B778" t="s">
        <v>19</v>
      </c>
      <c r="C778">
        <v>4</v>
      </c>
      <c r="D778">
        <v>0</v>
      </c>
      <c r="E778">
        <v>0</v>
      </c>
      <c r="F778">
        <v>0</v>
      </c>
      <c r="G778">
        <v>5.0999999999999996</v>
      </c>
      <c r="H778">
        <v>4</v>
      </c>
      <c r="I778">
        <v>7</v>
      </c>
      <c r="J778">
        <v>7</v>
      </c>
      <c r="K778">
        <v>5</v>
      </c>
      <c r="L778">
        <v>2</v>
      </c>
      <c r="M778">
        <v>0</v>
      </c>
      <c r="N778">
        <v>0</v>
      </c>
      <c r="O778">
        <v>0</v>
      </c>
      <c r="P778">
        <v>0</v>
      </c>
      <c r="Q778">
        <v>0</v>
      </c>
      <c r="R778">
        <v>11.81</v>
      </c>
      <c r="S778">
        <v>1.69</v>
      </c>
      <c r="T778">
        <f t="shared" si="81"/>
        <v>0</v>
      </c>
      <c r="U778">
        <f t="shared" si="82"/>
        <v>1.3725490196078431</v>
      </c>
      <c r="V778" s="60">
        <f>U778-AVERAGEIFS(Pitchers[ER/IP],Pitchers[GS],"&gt;"&amp;0,Pitchers[IP],"&gt;"&amp;3)</f>
        <v>0.80104842480852367</v>
      </c>
      <c r="W778" s="60">
        <f>IF(Pitchers[[#This Row],[IP/GS]]&lt;&gt;0,(Pitchers[[#This Row],[WHIP]]*$AH$5+$AI$5)/9*Pitchers[[#This Row],[IP/GS]],(Pitchers[[#This Row],[WHIP]]*$AH$5+$AI$5)/9*(Pitchers[[#This Row],[IP]]/Pitchers[[#This Row],[G]]))</f>
        <v>0.86291726537518909</v>
      </c>
      <c r="X778" s="60">
        <f>Pitchers[[#This Row],[Runs from WHIP]]-AVERAGEIFS(Pitchers[Runs from WHIP],Pitchers[GS],"&gt;"&amp;0,Pitchers[IP],"&gt;"&amp;3)</f>
        <v>-4.8229986407496703</v>
      </c>
      <c r="Y778" s="60">
        <f>IF(Pitchers[[#This Row],[IP/GS]]&lt;&gt;0,Pitchers[[#This Row],[ER/IP From Average]]*Pitchers[[#This Row],[IP/GS]],Pitchers[[#This Row],[ER/IP From Average]]*(Pitchers[[#This Row],[IP]]/Pitchers[[#This Row],[G]]))</f>
        <v>1.0213367416308676</v>
      </c>
      <c r="Z778" s="60">
        <f t="shared" si="83"/>
        <v>-0.87759827421423164</v>
      </c>
      <c r="AA778" s="90">
        <f>IF(Pitchers[[#This Row],[W]]=0,0,Pitchers[[#This Row],[W]]/(Pitchers[[#This Row],[W]]+Pitchers[[#This Row],[L]]))</f>
        <v>0</v>
      </c>
    </row>
    <row r="779" spans="1:27" x14ac:dyDescent="0.25">
      <c r="A779" t="s">
        <v>1460</v>
      </c>
      <c r="B779" t="s">
        <v>15</v>
      </c>
      <c r="C779">
        <v>5</v>
      </c>
      <c r="D779">
        <v>0</v>
      </c>
      <c r="E779">
        <v>0</v>
      </c>
      <c r="F779">
        <v>0</v>
      </c>
      <c r="G779">
        <v>5.0999999999999996</v>
      </c>
      <c r="H779">
        <v>2</v>
      </c>
      <c r="I779">
        <v>0</v>
      </c>
      <c r="J779">
        <v>5</v>
      </c>
      <c r="K779">
        <v>0</v>
      </c>
      <c r="L779">
        <v>0</v>
      </c>
      <c r="M779">
        <v>0</v>
      </c>
      <c r="N779">
        <v>0</v>
      </c>
      <c r="O779">
        <v>0</v>
      </c>
      <c r="P779">
        <v>0</v>
      </c>
      <c r="Q779">
        <v>1</v>
      </c>
      <c r="R779">
        <v>0</v>
      </c>
      <c r="S779">
        <v>0.38</v>
      </c>
      <c r="T779">
        <f t="shared" si="81"/>
        <v>0</v>
      </c>
      <c r="U779">
        <f t="shared" si="82"/>
        <v>0</v>
      </c>
      <c r="V779" s="60">
        <f>U779-AVERAGEIFS(Pitchers[ER/IP],Pitchers[GS],"&gt;"&amp;0,Pitchers[IP],"&gt;"&amp;3)</f>
        <v>-0.57150059479931947</v>
      </c>
      <c r="W779" s="60">
        <f>IF(Pitchers[[#This Row],[IP/GS]]&lt;&gt;0,(Pitchers[[#This Row],[WHIP]]*$AH$5+$AI$5)/9*Pitchers[[#This Row],[IP/GS]],(Pitchers[[#This Row],[WHIP]]*$AH$5+$AI$5)/9*(Pitchers[[#This Row],[IP]]/Pitchers[[#This Row],[G]]))</f>
        <v>-3.3876633214839813E-3</v>
      </c>
      <c r="X779" s="60">
        <f>Pitchers[[#This Row],[Runs from WHIP]]-AVERAGEIFS(Pitchers[Runs from WHIP],Pitchers[GS],"&gt;"&amp;0,Pitchers[IP],"&gt;"&amp;3)</f>
        <v>-5.6893035694463432</v>
      </c>
      <c r="Y779" s="60">
        <f>IF(Pitchers[[#This Row],[IP/GS]]&lt;&gt;0,Pitchers[[#This Row],[ER/IP From Average]]*Pitchers[[#This Row],[IP/GS]],Pitchers[[#This Row],[ER/IP From Average]]*(Pitchers[[#This Row],[IP]]/Pitchers[[#This Row],[G]]))</f>
        <v>-0.58293060669530583</v>
      </c>
      <c r="Z779" s="60">
        <f t="shared" si="83"/>
        <v>-1.7503198611971476</v>
      </c>
      <c r="AA779" s="90">
        <f>IF(Pitchers[[#This Row],[W]]=0,0,Pitchers[[#This Row],[W]]/(Pitchers[[#This Row],[W]]+Pitchers[[#This Row],[L]]))</f>
        <v>0</v>
      </c>
    </row>
    <row r="780" spans="1:27" x14ac:dyDescent="0.25">
      <c r="A780" t="s">
        <v>4913</v>
      </c>
      <c r="B780" t="s">
        <v>219</v>
      </c>
      <c r="C780">
        <v>5</v>
      </c>
      <c r="D780">
        <v>0</v>
      </c>
      <c r="E780">
        <v>0</v>
      </c>
      <c r="F780">
        <v>0</v>
      </c>
      <c r="G780">
        <v>5.0999999999999996</v>
      </c>
      <c r="H780">
        <v>4</v>
      </c>
      <c r="I780">
        <v>2</v>
      </c>
      <c r="J780">
        <v>4</v>
      </c>
      <c r="K780">
        <v>1</v>
      </c>
      <c r="L780">
        <v>1</v>
      </c>
      <c r="M780">
        <v>0</v>
      </c>
      <c r="N780">
        <v>0</v>
      </c>
      <c r="O780">
        <v>0</v>
      </c>
      <c r="P780">
        <v>0</v>
      </c>
      <c r="Q780">
        <v>1</v>
      </c>
      <c r="R780">
        <v>3.38</v>
      </c>
      <c r="S780">
        <v>0.94</v>
      </c>
      <c r="T780">
        <f t="shared" si="81"/>
        <v>0</v>
      </c>
      <c r="U780">
        <f t="shared" si="82"/>
        <v>0.39215686274509809</v>
      </c>
      <c r="V780" s="60">
        <f>U780-AVERAGEIFS(Pitchers[ER/IP],Pitchers[GS],"&gt;"&amp;0,Pitchers[IP],"&gt;"&amp;3)</f>
        <v>-0.17934373205422138</v>
      </c>
      <c r="W780" s="60">
        <f>IF(Pitchers[[#This Row],[IP/GS]]&lt;&gt;0,(Pitchers[[#This Row],[WHIP]]*$AH$5+$AI$5)/9*Pitchers[[#This Row],[IP/GS]],(Pitchers[[#This Row],[WHIP]]*$AH$5+$AI$5)/9*(Pitchers[[#This Row],[IP]]/Pitchers[[#This Row],[G]]))</f>
        <v>0.29316502854730664</v>
      </c>
      <c r="X780" s="60">
        <f>Pitchers[[#This Row],[Runs from WHIP]]-AVERAGEIFS(Pitchers[Runs from WHIP],Pitchers[GS],"&gt;"&amp;0,Pitchers[IP],"&gt;"&amp;3)</f>
        <v>-5.3927508775775523</v>
      </c>
      <c r="Y780" s="60">
        <f>IF(Pitchers[[#This Row],[IP/GS]]&lt;&gt;0,Pitchers[[#This Row],[ER/IP From Average]]*Pitchers[[#This Row],[IP/GS]],Pitchers[[#This Row],[ER/IP From Average]]*(Pitchers[[#This Row],[IP]]/Pitchers[[#This Row],[G]]))</f>
        <v>-0.18293060669530581</v>
      </c>
      <c r="Z780" s="60">
        <f t="shared" si="83"/>
        <v>-1.5112391433654697</v>
      </c>
      <c r="AA780" s="90">
        <f>IF(Pitchers[[#This Row],[W]]=0,0,Pitchers[[#This Row],[W]]/(Pitchers[[#This Row],[W]]+Pitchers[[#This Row],[L]]))</f>
        <v>0</v>
      </c>
    </row>
    <row r="781" spans="1:27" x14ac:dyDescent="0.25">
      <c r="A781" t="s">
        <v>4562</v>
      </c>
      <c r="B781" t="s">
        <v>1</v>
      </c>
      <c r="C781">
        <v>6</v>
      </c>
      <c r="D781">
        <v>0</v>
      </c>
      <c r="E781">
        <v>0</v>
      </c>
      <c r="F781">
        <v>0</v>
      </c>
      <c r="G781">
        <v>5.0999999999999996</v>
      </c>
      <c r="H781">
        <v>2</v>
      </c>
      <c r="I781">
        <v>0</v>
      </c>
      <c r="J781">
        <v>5</v>
      </c>
      <c r="K781">
        <v>2</v>
      </c>
      <c r="L781">
        <v>0</v>
      </c>
      <c r="M781">
        <v>1</v>
      </c>
      <c r="N781">
        <v>0</v>
      </c>
      <c r="O781">
        <v>0</v>
      </c>
      <c r="P781">
        <v>0</v>
      </c>
      <c r="Q781">
        <v>1</v>
      </c>
      <c r="R781">
        <v>0</v>
      </c>
      <c r="S781">
        <v>0.75</v>
      </c>
      <c r="T781">
        <f t="shared" si="81"/>
        <v>0</v>
      </c>
      <c r="U781">
        <f t="shared" si="82"/>
        <v>0</v>
      </c>
      <c r="V781" s="60">
        <f>U781-AVERAGEIFS(Pitchers[ER/IP],Pitchers[GS],"&gt;"&amp;0,Pitchers[IP],"&gt;"&amp;3)</f>
        <v>-0.57150059479931947</v>
      </c>
      <c r="W781" s="60">
        <f>IF(Pitchers[[#This Row],[IP/GS]]&lt;&gt;0,(Pitchers[[#This Row],[WHIP]]*$AH$5+$AI$5)/9*Pitchers[[#This Row],[IP/GS]],(Pitchers[[#This Row],[WHIP]]*$AH$5+$AI$5)/9*(Pitchers[[#This Row],[IP]]/Pitchers[[#This Row],[G]]))</f>
        <v>0.1604574472193773</v>
      </c>
      <c r="X781" s="60">
        <f>Pitchers[[#This Row],[Runs from WHIP]]-AVERAGEIFS(Pitchers[Runs from WHIP],Pitchers[GS],"&gt;"&amp;0,Pitchers[IP],"&gt;"&amp;3)</f>
        <v>-5.525458458905482</v>
      </c>
      <c r="Y781" s="60">
        <f>IF(Pitchers[[#This Row],[IP/GS]]&lt;&gt;0,Pitchers[[#This Row],[ER/IP From Average]]*Pitchers[[#This Row],[IP/GS]],Pitchers[[#This Row],[ER/IP From Average]]*(Pitchers[[#This Row],[IP]]/Pitchers[[#This Row],[G]]))</f>
        <v>-0.48577550557942156</v>
      </c>
      <c r="Z781" s="60">
        <f t="shared" si="83"/>
        <v>-1.6677657912732309</v>
      </c>
      <c r="AA781" s="90">
        <f>IF(Pitchers[[#This Row],[W]]=0,0,Pitchers[[#This Row],[W]]/(Pitchers[[#This Row],[W]]+Pitchers[[#This Row],[L]]))</f>
        <v>1</v>
      </c>
    </row>
    <row r="782" spans="1:27" x14ac:dyDescent="0.25">
      <c r="A782" t="s">
        <v>678</v>
      </c>
      <c r="B782" t="s">
        <v>370</v>
      </c>
      <c r="C782">
        <v>1</v>
      </c>
      <c r="D782">
        <v>1</v>
      </c>
      <c r="E782">
        <v>0</v>
      </c>
      <c r="F782">
        <v>0</v>
      </c>
      <c r="G782">
        <v>5.0999999999999996</v>
      </c>
      <c r="H782">
        <v>4</v>
      </c>
      <c r="I782">
        <v>1</v>
      </c>
      <c r="J782">
        <v>5</v>
      </c>
      <c r="K782">
        <v>2</v>
      </c>
      <c r="L782">
        <v>0</v>
      </c>
      <c r="M782">
        <v>0</v>
      </c>
      <c r="N782">
        <v>0</v>
      </c>
      <c r="O782">
        <v>0</v>
      </c>
      <c r="P782">
        <v>0</v>
      </c>
      <c r="Q782">
        <v>0</v>
      </c>
      <c r="R782">
        <v>1.69</v>
      </c>
      <c r="S782">
        <v>1.1299999999999999</v>
      </c>
      <c r="T782">
        <f t="shared" si="81"/>
        <v>5.0999999999999996</v>
      </c>
      <c r="U782">
        <f t="shared" si="82"/>
        <v>0.19607843137254904</v>
      </c>
      <c r="V782" s="60">
        <f>U782-AVERAGEIFS(Pitchers[ER/IP],Pitchers[GS],"&gt;"&amp;0,Pitchers[IP],"&gt;"&amp;3)</f>
        <v>-0.37542216342677043</v>
      </c>
      <c r="W782" s="60">
        <f>IF(Pitchers[[#This Row],[IP/GS]]&lt;&gt;0,(Pitchers[[#This Row],[WHIP]]*$AH$5+$AI$5)/9*Pitchers[[#This Row],[IP/GS]],(Pitchers[[#This Row],[WHIP]]*$AH$5+$AI$5)/9*(Pitchers[[#This Row],[IP]]/Pitchers[[#This Row],[G]]))</f>
        <v>1.9689056021568028</v>
      </c>
      <c r="X782" s="60">
        <f>Pitchers[[#This Row],[Runs from WHIP]]-AVERAGEIFS(Pitchers[Runs from WHIP],Pitchers[GS],"&gt;"&amp;0,Pitchers[IP],"&gt;"&amp;3)</f>
        <v>-3.7170103039680562</v>
      </c>
      <c r="Y782" s="60">
        <f>IF(Pitchers[[#This Row],[IP/GS]]&lt;&gt;0,Pitchers[[#This Row],[ER/IP From Average]]*Pitchers[[#This Row],[IP/GS]],Pitchers[[#This Row],[ER/IP From Average]]*(Pitchers[[#This Row],[IP]]/Pitchers[[#This Row],[G]]))</f>
        <v>-1.914653033476529</v>
      </c>
      <c r="Z782" s="60">
        <f t="shared" si="83"/>
        <v>-1.7570639611154268</v>
      </c>
      <c r="AA782" s="90">
        <f>IF(Pitchers[[#This Row],[W]]=0,0,Pitchers[[#This Row],[W]]/(Pitchers[[#This Row],[W]]+Pitchers[[#This Row],[L]]))</f>
        <v>0</v>
      </c>
    </row>
    <row r="783" spans="1:27" x14ac:dyDescent="0.25">
      <c r="A783" t="s">
        <v>682</v>
      </c>
      <c r="B783" t="s">
        <v>8</v>
      </c>
      <c r="C783">
        <v>4</v>
      </c>
      <c r="D783">
        <v>2</v>
      </c>
      <c r="E783">
        <v>0</v>
      </c>
      <c r="F783">
        <v>0</v>
      </c>
      <c r="G783">
        <v>5.0999999999999996</v>
      </c>
      <c r="H783">
        <v>7</v>
      </c>
      <c r="I783">
        <v>0</v>
      </c>
      <c r="J783">
        <v>5</v>
      </c>
      <c r="K783">
        <v>3</v>
      </c>
      <c r="L783">
        <v>0</v>
      </c>
      <c r="M783">
        <v>0</v>
      </c>
      <c r="N783">
        <v>1</v>
      </c>
      <c r="O783">
        <v>0</v>
      </c>
      <c r="P783">
        <v>0</v>
      </c>
      <c r="Q783">
        <v>0</v>
      </c>
      <c r="R783">
        <v>0</v>
      </c>
      <c r="S783">
        <v>1.88</v>
      </c>
      <c r="T783">
        <f t="shared" si="81"/>
        <v>2.5499999999999998</v>
      </c>
      <c r="U783">
        <f t="shared" si="82"/>
        <v>0</v>
      </c>
      <c r="V783" s="60">
        <f>U783-AVERAGEIFS(Pitchers[ER/IP],Pitchers[GS],"&gt;"&amp;0,Pitchers[IP],"&gt;"&amp;3)</f>
        <v>-0.57150059479931947</v>
      </c>
      <c r="W783" s="60">
        <f>IF(Pitchers[[#This Row],[IP/GS]]&lt;&gt;0,(Pitchers[[#This Row],[WHIP]]*$AH$5+$AI$5)/9*Pitchers[[#This Row],[IP/GS]],(Pitchers[[#This Row],[WHIP]]*$AH$5+$AI$5)/9*(Pitchers[[#This Row],[IP]]/Pitchers[[#This Row],[G]]))</f>
        <v>1.9773747604605127</v>
      </c>
      <c r="X783" s="60">
        <f>Pitchers[[#This Row],[Runs from WHIP]]-AVERAGEIFS(Pitchers[Runs from WHIP],Pitchers[GS],"&gt;"&amp;0,Pitchers[IP],"&gt;"&amp;3)</f>
        <v>-3.7085411456643467</v>
      </c>
      <c r="Y783" s="60">
        <f>IF(Pitchers[[#This Row],[IP/GS]]&lt;&gt;0,Pitchers[[#This Row],[ER/IP From Average]]*Pitchers[[#This Row],[IP/GS]],Pitchers[[#This Row],[ER/IP From Average]]*(Pitchers[[#This Row],[IP]]/Pitchers[[#This Row],[G]]))</f>
        <v>-1.4573265167382645</v>
      </c>
      <c r="Z783" s="60">
        <f t="shared" si="83"/>
        <v>-1.5718749122057982</v>
      </c>
      <c r="AA783" s="90">
        <f>IF(Pitchers[[#This Row],[W]]=0,0,Pitchers[[#This Row],[W]]/(Pitchers[[#This Row],[W]]+Pitchers[[#This Row],[L]]))</f>
        <v>0</v>
      </c>
    </row>
    <row r="784" spans="1:27" x14ac:dyDescent="0.25">
      <c r="A784" t="s">
        <v>734</v>
      </c>
      <c r="B784" t="s">
        <v>16</v>
      </c>
      <c r="C784">
        <v>7</v>
      </c>
      <c r="D784">
        <v>0</v>
      </c>
      <c r="E784">
        <v>0</v>
      </c>
      <c r="F784">
        <v>0</v>
      </c>
      <c r="G784">
        <v>5.0999999999999996</v>
      </c>
      <c r="H784">
        <v>8</v>
      </c>
      <c r="I784">
        <v>7</v>
      </c>
      <c r="J784">
        <v>6</v>
      </c>
      <c r="K784">
        <v>4</v>
      </c>
      <c r="L784">
        <v>3</v>
      </c>
      <c r="M784">
        <v>1</v>
      </c>
      <c r="N784">
        <v>0</v>
      </c>
      <c r="O784">
        <v>0</v>
      </c>
      <c r="P784">
        <v>1</v>
      </c>
      <c r="Q784">
        <v>0</v>
      </c>
      <c r="R784">
        <v>11.81</v>
      </c>
      <c r="S784">
        <v>2.25</v>
      </c>
      <c r="T784">
        <f t="shared" si="81"/>
        <v>0</v>
      </c>
      <c r="U784">
        <f t="shared" si="82"/>
        <v>1.3725490196078431</v>
      </c>
      <c r="V784" s="60">
        <f>U784-AVERAGEIFS(Pitchers[ER/IP],Pitchers[GS],"&gt;"&amp;0,Pitchers[IP],"&gt;"&amp;3)</f>
        <v>0.80104842480852367</v>
      </c>
      <c r="W784" s="60">
        <f>IF(Pitchers[[#This Row],[IP/GS]]&lt;&gt;0,(Pitchers[[#This Row],[WHIP]]*$AH$5+$AI$5)/9*Pitchers[[#This Row],[IP/GS]],(Pitchers[[#This Row],[WHIP]]*$AH$5+$AI$5)/9*(Pitchers[[#This Row],[IP]]/Pitchers[[#This Row],[G]]))</f>
        <v>0.70491893154924434</v>
      </c>
      <c r="X784" s="60">
        <f>Pitchers[[#This Row],[Runs from WHIP]]-AVERAGEIFS(Pitchers[Runs from WHIP],Pitchers[GS],"&gt;"&amp;0,Pitchers[IP],"&gt;"&amp;3)</f>
        <v>-4.9809969745756151</v>
      </c>
      <c r="Y784" s="60">
        <f>IF(Pitchers[[#This Row],[IP/GS]]&lt;&gt;0,Pitchers[[#This Row],[ER/IP From Average]]*Pitchers[[#This Row],[IP/GS]],Pitchers[[#This Row],[ER/IP From Average]]*(Pitchers[[#This Row],[IP]]/Pitchers[[#This Row],[G]]))</f>
        <v>0.58362099521763866</v>
      </c>
      <c r="Z784" s="60">
        <f t="shared" si="83"/>
        <v>-1.0948174617997755</v>
      </c>
      <c r="AA784" s="90">
        <f>IF(Pitchers[[#This Row],[W]]=0,0,Pitchers[[#This Row],[W]]/(Pitchers[[#This Row],[W]]+Pitchers[[#This Row],[L]]))</f>
        <v>1</v>
      </c>
    </row>
    <row r="785" spans="1:27" x14ac:dyDescent="0.25">
      <c r="A785" t="s">
        <v>4559</v>
      </c>
      <c r="B785" t="s">
        <v>10</v>
      </c>
      <c r="C785">
        <v>8</v>
      </c>
      <c r="D785">
        <v>0</v>
      </c>
      <c r="E785">
        <v>0</v>
      </c>
      <c r="F785">
        <v>0</v>
      </c>
      <c r="G785">
        <v>5.0999999999999996</v>
      </c>
      <c r="H785">
        <v>3</v>
      </c>
      <c r="I785">
        <v>1</v>
      </c>
      <c r="J785">
        <v>6</v>
      </c>
      <c r="K785">
        <v>1</v>
      </c>
      <c r="L785">
        <v>0</v>
      </c>
      <c r="M785">
        <v>0</v>
      </c>
      <c r="N785">
        <v>0</v>
      </c>
      <c r="O785">
        <v>0</v>
      </c>
      <c r="P785">
        <v>0</v>
      </c>
      <c r="Q785">
        <v>0</v>
      </c>
      <c r="R785">
        <v>1.69</v>
      </c>
      <c r="S785">
        <v>0.75</v>
      </c>
      <c r="T785">
        <f t="shared" si="81"/>
        <v>0</v>
      </c>
      <c r="U785">
        <f t="shared" si="82"/>
        <v>0.19607843137254904</v>
      </c>
      <c r="V785" s="60">
        <f>U785-AVERAGEIFS(Pitchers[ER/IP],Pitchers[GS],"&gt;"&amp;0,Pitchers[IP],"&gt;"&amp;3)</f>
        <v>-0.37542216342677043</v>
      </c>
      <c r="W785" s="60">
        <f>IF(Pitchers[[#This Row],[IP/GS]]&lt;&gt;0,(Pitchers[[#This Row],[WHIP]]*$AH$5+$AI$5)/9*Pitchers[[#This Row],[IP/GS]],(Pitchers[[#This Row],[WHIP]]*$AH$5+$AI$5)/9*(Pitchers[[#This Row],[IP]]/Pitchers[[#This Row],[G]]))</f>
        <v>0.12034308541453297</v>
      </c>
      <c r="X785" s="60">
        <f>Pitchers[[#This Row],[Runs from WHIP]]-AVERAGEIFS(Pitchers[Runs from WHIP],Pitchers[GS],"&gt;"&amp;0,Pitchers[IP],"&gt;"&amp;3)</f>
        <v>-5.5655728207103259</v>
      </c>
      <c r="Y785" s="60">
        <f>IF(Pitchers[[#This Row],[IP/GS]]&lt;&gt;0,Pitchers[[#This Row],[ER/IP From Average]]*Pitchers[[#This Row],[IP/GS]],Pitchers[[#This Row],[ER/IP From Average]]*(Pitchers[[#This Row],[IP]]/Pitchers[[#This Row],[G]]))</f>
        <v>-0.23933162918456613</v>
      </c>
      <c r="Z785" s="60">
        <f t="shared" si="83"/>
        <v>-1.5798854038632466</v>
      </c>
      <c r="AA785" s="90">
        <f>IF(Pitchers[[#This Row],[W]]=0,0,Pitchers[[#This Row],[W]]/(Pitchers[[#This Row],[W]]+Pitchers[[#This Row],[L]]))</f>
        <v>0</v>
      </c>
    </row>
    <row r="786" spans="1:27" x14ac:dyDescent="0.25">
      <c r="A786" t="s">
        <v>4558</v>
      </c>
      <c r="B786" t="s">
        <v>3</v>
      </c>
      <c r="C786">
        <v>5</v>
      </c>
      <c r="D786">
        <v>0</v>
      </c>
      <c r="E786">
        <v>0</v>
      </c>
      <c r="F786">
        <v>0</v>
      </c>
      <c r="G786">
        <v>5.0999999999999996</v>
      </c>
      <c r="H786">
        <v>3</v>
      </c>
      <c r="I786">
        <v>1</v>
      </c>
      <c r="J786">
        <v>8</v>
      </c>
      <c r="K786">
        <v>1</v>
      </c>
      <c r="L786">
        <v>0</v>
      </c>
      <c r="M786">
        <v>0</v>
      </c>
      <c r="N786">
        <v>0</v>
      </c>
      <c r="O786">
        <v>0</v>
      </c>
      <c r="P786">
        <v>0</v>
      </c>
      <c r="Q786">
        <v>0</v>
      </c>
      <c r="R786">
        <v>1.69</v>
      </c>
      <c r="S786">
        <v>0.75</v>
      </c>
      <c r="T786">
        <f t="shared" si="81"/>
        <v>0</v>
      </c>
      <c r="U786">
        <f t="shared" si="82"/>
        <v>0.19607843137254904</v>
      </c>
      <c r="V786" s="60">
        <f>U786-AVERAGEIFS(Pitchers[ER/IP],Pitchers[GS],"&gt;"&amp;0,Pitchers[IP],"&gt;"&amp;3)</f>
        <v>-0.37542216342677043</v>
      </c>
      <c r="W786" s="60">
        <f>IF(Pitchers[[#This Row],[IP/GS]]&lt;&gt;0,(Pitchers[[#This Row],[WHIP]]*$AH$5+$AI$5)/9*Pitchers[[#This Row],[IP/GS]],(Pitchers[[#This Row],[WHIP]]*$AH$5+$AI$5)/9*(Pitchers[[#This Row],[IP]]/Pitchers[[#This Row],[G]]))</f>
        <v>0.19254893666325276</v>
      </c>
      <c r="X786" s="60">
        <f>Pitchers[[#This Row],[Runs from WHIP]]-AVERAGEIFS(Pitchers[Runs from WHIP],Pitchers[GS],"&gt;"&amp;0,Pitchers[IP],"&gt;"&amp;3)</f>
        <v>-5.4933669694616061</v>
      </c>
      <c r="Y786" s="60">
        <f>IF(Pitchers[[#This Row],[IP/GS]]&lt;&gt;0,Pitchers[[#This Row],[ER/IP From Average]]*Pitchers[[#This Row],[IP/GS]],Pitchers[[#This Row],[ER/IP From Average]]*(Pitchers[[#This Row],[IP]]/Pitchers[[#This Row],[G]]))</f>
        <v>-0.38293060669530582</v>
      </c>
      <c r="Z786" s="60">
        <f t="shared" si="83"/>
        <v>-1.6180701012012173</v>
      </c>
      <c r="AA786" s="90">
        <f>IF(Pitchers[[#This Row],[W]]=0,0,Pitchers[[#This Row],[W]]/(Pitchers[[#This Row],[W]]+Pitchers[[#This Row],[L]]))</f>
        <v>0</v>
      </c>
    </row>
    <row r="787" spans="1:27" x14ac:dyDescent="0.25">
      <c r="A787" t="s">
        <v>1298</v>
      </c>
      <c r="B787" t="s">
        <v>16</v>
      </c>
      <c r="C787">
        <v>3</v>
      </c>
      <c r="D787">
        <v>0</v>
      </c>
      <c r="E787">
        <v>0</v>
      </c>
      <c r="F787">
        <v>0</v>
      </c>
      <c r="G787">
        <v>5</v>
      </c>
      <c r="H787">
        <v>7</v>
      </c>
      <c r="I787">
        <v>9</v>
      </c>
      <c r="J787">
        <v>4</v>
      </c>
      <c r="K787">
        <v>3</v>
      </c>
      <c r="L787">
        <v>4</v>
      </c>
      <c r="M787">
        <v>0</v>
      </c>
      <c r="N787">
        <v>0</v>
      </c>
      <c r="O787">
        <v>0</v>
      </c>
      <c r="P787">
        <v>0</v>
      </c>
      <c r="Q787">
        <v>0</v>
      </c>
      <c r="R787">
        <v>16.2</v>
      </c>
      <c r="S787">
        <v>2</v>
      </c>
      <c r="T787">
        <f t="shared" si="81"/>
        <v>0</v>
      </c>
      <c r="U787">
        <f t="shared" si="82"/>
        <v>1.8</v>
      </c>
      <c r="V787" s="60">
        <f>U787-AVERAGEIFS(Pitchers[ER/IP],Pitchers[GS],"&gt;"&amp;0,Pitchers[IP],"&gt;"&amp;3)</f>
        <v>1.2284994052006806</v>
      </c>
      <c r="W787" s="60">
        <f>IF(Pitchers[[#This Row],[IP/GS]]&lt;&gt;0,(Pitchers[[#This Row],[WHIP]]*$AH$5+$AI$5)/9*Pitchers[[#This Row],[IP/GS]],(Pitchers[[#This Row],[WHIP]]*$AH$5+$AI$5)/9*(Pitchers[[#This Row],[IP]]/Pitchers[[#This Row],[G]]))</f>
        <v>1.3962367803670923</v>
      </c>
      <c r="X787" s="60">
        <f>Pitchers[[#This Row],[Runs from WHIP]]-AVERAGEIFS(Pitchers[Runs from WHIP],Pitchers[GS],"&gt;"&amp;0,Pitchers[IP],"&gt;"&amp;3)</f>
        <v>-4.2896791257577664</v>
      </c>
      <c r="Y787" s="60">
        <f>IF(Pitchers[[#This Row],[IP/GS]]&lt;&gt;0,Pitchers[[#This Row],[ER/IP From Average]]*Pitchers[[#This Row],[IP/GS]],Pitchers[[#This Row],[ER/IP From Average]]*(Pitchers[[#This Row],[IP]]/Pitchers[[#This Row],[G]]))</f>
        <v>2.0474990086678009</v>
      </c>
      <c r="Z787" s="60">
        <f t="shared" si="83"/>
        <v>-0.32491483006828403</v>
      </c>
      <c r="AA787" s="90">
        <f>IF(Pitchers[[#This Row],[W]]=0,0,Pitchers[[#This Row],[W]]/(Pitchers[[#This Row],[W]]+Pitchers[[#This Row],[L]]))</f>
        <v>0</v>
      </c>
    </row>
    <row r="788" spans="1:27" x14ac:dyDescent="0.25">
      <c r="A788" t="s">
        <v>692</v>
      </c>
      <c r="B788" t="s">
        <v>29</v>
      </c>
      <c r="C788">
        <v>3</v>
      </c>
      <c r="D788">
        <v>0</v>
      </c>
      <c r="E788">
        <v>0</v>
      </c>
      <c r="F788">
        <v>0</v>
      </c>
      <c r="G788">
        <v>5</v>
      </c>
      <c r="H788">
        <v>6</v>
      </c>
      <c r="I788">
        <v>4</v>
      </c>
      <c r="J788">
        <v>6</v>
      </c>
      <c r="K788">
        <v>4</v>
      </c>
      <c r="L788">
        <v>1</v>
      </c>
      <c r="M788">
        <v>0</v>
      </c>
      <c r="N788">
        <v>0</v>
      </c>
      <c r="O788">
        <v>0</v>
      </c>
      <c r="P788">
        <v>0</v>
      </c>
      <c r="Q788">
        <v>0</v>
      </c>
      <c r="R788">
        <v>7.2</v>
      </c>
      <c r="S788">
        <v>2</v>
      </c>
      <c r="T788">
        <f t="shared" si="81"/>
        <v>0</v>
      </c>
      <c r="U788">
        <f t="shared" si="82"/>
        <v>0.8</v>
      </c>
      <c r="V788" s="60">
        <f>U788-AVERAGEIFS(Pitchers[ER/IP],Pitchers[GS],"&gt;"&amp;0,Pitchers[IP],"&gt;"&amp;3)</f>
        <v>0.22849940520068057</v>
      </c>
      <c r="W788" s="60">
        <f>IF(Pitchers[[#This Row],[IP/GS]]&lt;&gt;0,(Pitchers[[#This Row],[WHIP]]*$AH$5+$AI$5)/9*Pitchers[[#This Row],[IP/GS]],(Pitchers[[#This Row],[WHIP]]*$AH$5+$AI$5)/9*(Pitchers[[#This Row],[IP]]/Pitchers[[#This Row],[G]]))</f>
        <v>1.3962367803670923</v>
      </c>
      <c r="X788" s="60">
        <f>Pitchers[[#This Row],[Runs from WHIP]]-AVERAGEIFS(Pitchers[Runs from WHIP],Pitchers[GS],"&gt;"&amp;0,Pitchers[IP],"&gt;"&amp;3)</f>
        <v>-4.2896791257577664</v>
      </c>
      <c r="Y788" s="60">
        <f>IF(Pitchers[[#This Row],[IP/GS]]&lt;&gt;0,Pitchers[[#This Row],[ER/IP From Average]]*Pitchers[[#This Row],[IP/GS]],Pitchers[[#This Row],[ER/IP From Average]]*(Pitchers[[#This Row],[IP]]/Pitchers[[#This Row],[G]]))</f>
        <v>0.38083234200113431</v>
      </c>
      <c r="Z788" s="60">
        <f t="shared" si="83"/>
        <v>-0.99158149673495066</v>
      </c>
      <c r="AA788" s="90">
        <f>IF(Pitchers[[#This Row],[W]]=0,0,Pitchers[[#This Row],[W]]/(Pitchers[[#This Row],[W]]+Pitchers[[#This Row],[L]]))</f>
        <v>0</v>
      </c>
    </row>
    <row r="789" spans="1:27" x14ac:dyDescent="0.25">
      <c r="A789" t="s">
        <v>732</v>
      </c>
      <c r="B789" t="s">
        <v>29</v>
      </c>
      <c r="C789">
        <v>4</v>
      </c>
      <c r="D789">
        <v>0</v>
      </c>
      <c r="E789">
        <v>0</v>
      </c>
      <c r="F789">
        <v>0</v>
      </c>
      <c r="G789">
        <v>5</v>
      </c>
      <c r="H789">
        <v>6</v>
      </c>
      <c r="I789">
        <v>4</v>
      </c>
      <c r="J789">
        <v>3</v>
      </c>
      <c r="K789">
        <v>3</v>
      </c>
      <c r="L789">
        <v>1</v>
      </c>
      <c r="M789">
        <v>0</v>
      </c>
      <c r="N789">
        <v>0</v>
      </c>
      <c r="O789">
        <v>0</v>
      </c>
      <c r="P789">
        <v>0</v>
      </c>
      <c r="Q789">
        <v>0</v>
      </c>
      <c r="R789">
        <v>7.2</v>
      </c>
      <c r="S789">
        <v>1.8</v>
      </c>
      <c r="T789">
        <f t="shared" si="81"/>
        <v>0</v>
      </c>
      <c r="U789">
        <f t="shared" si="82"/>
        <v>0.8</v>
      </c>
      <c r="V789" s="60">
        <f>U789-AVERAGEIFS(Pitchers[ER/IP],Pitchers[GS],"&gt;"&amp;0,Pitchers[IP],"&gt;"&amp;3)</f>
        <v>0.22849940520068057</v>
      </c>
      <c r="W789" s="60">
        <f>IF(Pitchers[[#This Row],[IP/GS]]&lt;&gt;0,(Pitchers[[#This Row],[WHIP]]*$AH$5+$AI$5)/9*Pitchers[[#This Row],[IP/GS]],(Pitchers[[#This Row],[WHIP]]*$AH$5+$AI$5)/9*(Pitchers[[#This Row],[IP]]/Pitchers[[#This Row],[G]]))</f>
        <v>0.91738386509465097</v>
      </c>
      <c r="X789" s="60">
        <f>Pitchers[[#This Row],[Runs from WHIP]]-AVERAGEIFS(Pitchers[Runs from WHIP],Pitchers[GS],"&gt;"&amp;0,Pitchers[IP],"&gt;"&amp;3)</f>
        <v>-4.7685320410302081</v>
      </c>
      <c r="Y789" s="60">
        <f>IF(Pitchers[[#This Row],[IP/GS]]&lt;&gt;0,Pitchers[[#This Row],[ER/IP From Average]]*Pitchers[[#This Row],[IP/GS]],Pitchers[[#This Row],[ER/IP From Average]]*(Pitchers[[#This Row],[IP]]/Pitchers[[#This Row],[G]]))</f>
        <v>0.28562425650085072</v>
      </c>
      <c r="Z789" s="60">
        <f t="shared" si="83"/>
        <v>-1.1573588416743819</v>
      </c>
      <c r="AA789" s="90">
        <f>IF(Pitchers[[#This Row],[W]]=0,0,Pitchers[[#This Row],[W]]/(Pitchers[[#This Row],[W]]+Pitchers[[#This Row],[L]]))</f>
        <v>0</v>
      </c>
    </row>
    <row r="790" spans="1:27" x14ac:dyDescent="0.25">
      <c r="A790" t="s">
        <v>3584</v>
      </c>
      <c r="B790" t="s">
        <v>340</v>
      </c>
      <c r="C790">
        <v>4</v>
      </c>
      <c r="D790">
        <v>0</v>
      </c>
      <c r="E790">
        <v>0</v>
      </c>
      <c r="F790">
        <v>0</v>
      </c>
      <c r="G790">
        <v>5</v>
      </c>
      <c r="H790">
        <v>6</v>
      </c>
      <c r="I790">
        <v>4</v>
      </c>
      <c r="J790">
        <v>0</v>
      </c>
      <c r="K790">
        <v>5</v>
      </c>
      <c r="L790">
        <v>1</v>
      </c>
      <c r="M790">
        <v>0</v>
      </c>
      <c r="N790">
        <v>0</v>
      </c>
      <c r="O790">
        <v>0</v>
      </c>
      <c r="P790">
        <v>0</v>
      </c>
      <c r="Q790">
        <v>0</v>
      </c>
      <c r="R790">
        <v>7.2</v>
      </c>
      <c r="S790">
        <v>2.2000000000000002</v>
      </c>
      <c r="T790">
        <f t="shared" si="81"/>
        <v>0</v>
      </c>
      <c r="U790">
        <f t="shared" si="82"/>
        <v>0.8</v>
      </c>
      <c r="V790" s="60">
        <f>U790-AVERAGEIFS(Pitchers[ER/IP],Pitchers[GS],"&gt;"&amp;0,Pitchers[IP],"&gt;"&amp;3)</f>
        <v>0.22849940520068057</v>
      </c>
      <c r="W790" s="60">
        <f>IF(Pitchers[[#This Row],[IP/GS]]&lt;&gt;0,(Pitchers[[#This Row],[WHIP]]*$AH$5+$AI$5)/9*Pitchers[[#This Row],[IP/GS]],(Pitchers[[#This Row],[WHIP]]*$AH$5+$AI$5)/9*(Pitchers[[#This Row],[IP]]/Pitchers[[#This Row],[G]]))</f>
        <v>1.1769713054559874</v>
      </c>
      <c r="X790" s="60">
        <f>Pitchers[[#This Row],[Runs from WHIP]]-AVERAGEIFS(Pitchers[Runs from WHIP],Pitchers[GS],"&gt;"&amp;0,Pitchers[IP],"&gt;"&amp;3)</f>
        <v>-4.5089446006688716</v>
      </c>
      <c r="Y790" s="60">
        <f>IF(Pitchers[[#This Row],[IP/GS]]&lt;&gt;0,Pitchers[[#This Row],[ER/IP From Average]]*Pitchers[[#This Row],[IP/GS]],Pitchers[[#This Row],[ER/IP From Average]]*(Pitchers[[#This Row],[IP]]/Pitchers[[#This Row],[G]]))</f>
        <v>0.28562425650085072</v>
      </c>
      <c r="Z790" s="60">
        <f t="shared" si="83"/>
        <v>-1.088135524244692</v>
      </c>
      <c r="AA790" s="90">
        <f>IF(Pitchers[[#This Row],[W]]=0,0,Pitchers[[#This Row],[W]]/(Pitchers[[#This Row],[W]]+Pitchers[[#This Row],[L]]))</f>
        <v>0</v>
      </c>
    </row>
    <row r="791" spans="1:27" x14ac:dyDescent="0.25">
      <c r="A791" t="s">
        <v>739</v>
      </c>
      <c r="B791" t="s">
        <v>10</v>
      </c>
      <c r="C791">
        <v>9</v>
      </c>
      <c r="D791">
        <v>0</v>
      </c>
      <c r="E791">
        <v>0</v>
      </c>
      <c r="F791">
        <v>0</v>
      </c>
      <c r="G791">
        <v>4.2</v>
      </c>
      <c r="H791">
        <v>9</v>
      </c>
      <c r="I791">
        <v>9</v>
      </c>
      <c r="J791">
        <v>7</v>
      </c>
      <c r="K791">
        <v>8</v>
      </c>
      <c r="L791">
        <v>3</v>
      </c>
      <c r="M791">
        <v>0</v>
      </c>
      <c r="N791">
        <v>0</v>
      </c>
      <c r="O791">
        <v>1</v>
      </c>
      <c r="P791">
        <v>1</v>
      </c>
      <c r="Q791">
        <v>1</v>
      </c>
      <c r="R791">
        <v>17.36</v>
      </c>
      <c r="S791">
        <v>3.64</v>
      </c>
      <c r="T791">
        <f t="shared" si="81"/>
        <v>0</v>
      </c>
      <c r="U791">
        <f t="shared" si="82"/>
        <v>2.1428571428571428</v>
      </c>
      <c r="V791" s="60">
        <f>U791-AVERAGEIFS(Pitchers[ER/IP],Pitchers[GS],"&gt;"&amp;0,Pitchers[IP],"&gt;"&amp;3)</f>
        <v>1.5713565480578233</v>
      </c>
      <c r="W791" s="60">
        <f>IF(Pitchers[[#This Row],[IP/GS]]&lt;&gt;0,(Pitchers[[#This Row],[WHIP]]*$AH$5+$AI$5)/9*Pitchers[[#This Row],[IP/GS]],(Pitchers[[#This Row],[WHIP]]*$AH$5+$AI$5)/9*(Pitchers[[#This Row],[IP]]/Pitchers[[#This Row],[G]]))</f>
        <v>0.78828814054920471</v>
      </c>
      <c r="X791" s="60">
        <f>Pitchers[[#This Row],[Runs from WHIP]]-AVERAGEIFS(Pitchers[Runs from WHIP],Pitchers[GS],"&gt;"&amp;0,Pitchers[IP],"&gt;"&amp;3)</f>
        <v>-4.8976277655756544</v>
      </c>
      <c r="Y791" s="60">
        <f>IF(Pitchers[[#This Row],[IP/GS]]&lt;&gt;0,Pitchers[[#This Row],[ER/IP From Average]]*Pitchers[[#This Row],[IP/GS]],Pitchers[[#This Row],[ER/IP From Average]]*(Pitchers[[#This Row],[IP]]/Pitchers[[#This Row],[G]]))</f>
        <v>0.73329972242698427</v>
      </c>
      <c r="Z791" s="60">
        <f t="shared" si="83"/>
        <v>-1.0127141818493806</v>
      </c>
      <c r="AA791" s="90">
        <f>IF(Pitchers[[#This Row],[W]]=0,0,Pitchers[[#This Row],[W]]/(Pitchers[[#This Row],[W]]+Pitchers[[#This Row],[L]]))</f>
        <v>0</v>
      </c>
    </row>
    <row r="792" spans="1:27" x14ac:dyDescent="0.25">
      <c r="A792" t="s">
        <v>4398</v>
      </c>
      <c r="B792" t="s">
        <v>19</v>
      </c>
      <c r="C792">
        <v>3</v>
      </c>
      <c r="D792">
        <v>0</v>
      </c>
      <c r="E792">
        <v>0</v>
      </c>
      <c r="F792">
        <v>0</v>
      </c>
      <c r="G792">
        <v>4.2</v>
      </c>
      <c r="H792">
        <v>4</v>
      </c>
      <c r="I792">
        <v>3</v>
      </c>
      <c r="J792">
        <v>8</v>
      </c>
      <c r="K792">
        <v>5</v>
      </c>
      <c r="L792">
        <v>2</v>
      </c>
      <c r="M792">
        <v>1</v>
      </c>
      <c r="N792">
        <v>0</v>
      </c>
      <c r="O792">
        <v>0</v>
      </c>
      <c r="P792">
        <v>0</v>
      </c>
      <c r="Q792">
        <v>0</v>
      </c>
      <c r="R792">
        <v>5.79</v>
      </c>
      <c r="S792">
        <v>1.93</v>
      </c>
      <c r="T792">
        <f t="shared" si="81"/>
        <v>0</v>
      </c>
      <c r="U792">
        <f t="shared" si="82"/>
        <v>0.7142857142857143</v>
      </c>
      <c r="V792" s="60">
        <f>U792-AVERAGEIFS(Pitchers[ER/IP],Pitchers[GS],"&gt;"&amp;0,Pitchers[IP],"&gt;"&amp;3)</f>
        <v>0.14278511948639483</v>
      </c>
      <c r="W792" s="60">
        <f>IF(Pitchers[[#This Row],[IP/GS]]&lt;&gt;0,(Pitchers[[#This Row],[WHIP]]*$AH$5+$AI$5)/9*Pitchers[[#This Row],[IP/GS]],(Pitchers[[#This Row],[WHIP]]*$AH$5+$AI$5)/9*(Pitchers[[#This Row],[IP]]/Pitchers[[#This Row],[G]]))</f>
        <v>1.1219597571975357</v>
      </c>
      <c r="X792" s="60">
        <f>Pitchers[[#This Row],[Runs from WHIP]]-AVERAGEIFS(Pitchers[Runs from WHIP],Pitchers[GS],"&gt;"&amp;0,Pitchers[IP],"&gt;"&amp;3)</f>
        <v>-4.563956148927323</v>
      </c>
      <c r="Y792" s="60">
        <f>IF(Pitchers[[#This Row],[IP/GS]]&lt;&gt;0,Pitchers[[#This Row],[ER/IP From Average]]*Pitchers[[#This Row],[IP/GS]],Pitchers[[#This Row],[ER/IP From Average]]*(Pitchers[[#This Row],[IP]]/Pitchers[[#This Row],[G]]))</f>
        <v>0.19989916728095278</v>
      </c>
      <c r="Z792" s="60">
        <f t="shared" si="83"/>
        <v>-1.1370953061349054</v>
      </c>
      <c r="AA792" s="90">
        <f>IF(Pitchers[[#This Row],[W]]=0,0,Pitchers[[#This Row],[W]]/(Pitchers[[#This Row],[W]]+Pitchers[[#This Row],[L]]))</f>
        <v>1</v>
      </c>
    </row>
    <row r="793" spans="1:27" x14ac:dyDescent="0.25">
      <c r="A793" t="s">
        <v>1422</v>
      </c>
      <c r="B793" t="s">
        <v>1</v>
      </c>
      <c r="C793">
        <v>1</v>
      </c>
      <c r="D793">
        <v>1</v>
      </c>
      <c r="E793">
        <v>0</v>
      </c>
      <c r="F793">
        <v>0</v>
      </c>
      <c r="G793">
        <v>4.2</v>
      </c>
      <c r="H793">
        <v>6</v>
      </c>
      <c r="I793">
        <v>4</v>
      </c>
      <c r="J793">
        <v>2</v>
      </c>
      <c r="K793">
        <v>1</v>
      </c>
      <c r="L793">
        <v>2</v>
      </c>
      <c r="M793">
        <v>0</v>
      </c>
      <c r="N793">
        <v>0</v>
      </c>
      <c r="O793">
        <v>0</v>
      </c>
      <c r="P793">
        <v>0</v>
      </c>
      <c r="Q793">
        <v>0</v>
      </c>
      <c r="R793">
        <v>7.71</v>
      </c>
      <c r="S793">
        <v>1.5</v>
      </c>
      <c r="T793">
        <f t="shared" si="81"/>
        <v>4.2</v>
      </c>
      <c r="U793">
        <f t="shared" si="82"/>
        <v>0.95238095238095233</v>
      </c>
      <c r="V793" s="60">
        <f>U793-AVERAGEIFS(Pitchers[ER/IP],Pitchers[GS],"&gt;"&amp;0,Pitchers[IP],"&gt;"&amp;3)</f>
        <v>0.38088035758163286</v>
      </c>
      <c r="W793" s="60">
        <f>IF(Pitchers[[#This Row],[IP/GS]]&lt;&gt;0,(Pitchers[[#This Row],[WHIP]]*$AH$5+$AI$5)/9*Pitchers[[#This Row],[IP/GS]],(Pitchers[[#This Row],[WHIP]]*$AH$5+$AI$5)/9*(Pitchers[[#This Row],[IP]]/Pitchers[[#This Row],[G]]))</f>
        <v>2.4282494370074601</v>
      </c>
      <c r="X793" s="60">
        <f>Pitchers[[#This Row],[Runs from WHIP]]-AVERAGEIFS(Pitchers[Runs from WHIP],Pitchers[GS],"&gt;"&amp;0,Pitchers[IP],"&gt;"&amp;3)</f>
        <v>-3.2576664691173991</v>
      </c>
      <c r="Y793" s="60">
        <f>IF(Pitchers[[#This Row],[IP/GS]]&lt;&gt;0,Pitchers[[#This Row],[ER/IP From Average]]*Pitchers[[#This Row],[IP/GS]],Pitchers[[#This Row],[ER/IP From Average]]*(Pitchers[[#This Row],[IP]]/Pitchers[[#This Row],[G]]))</f>
        <v>1.5996975018428581</v>
      </c>
      <c r="Z793" s="60">
        <f t="shared" si="83"/>
        <v>-0.22883205769416326</v>
      </c>
      <c r="AA793" s="90">
        <f>IF(Pitchers[[#This Row],[W]]=0,0,Pitchers[[#This Row],[W]]/(Pitchers[[#This Row],[W]]+Pitchers[[#This Row],[L]]))</f>
        <v>0</v>
      </c>
    </row>
    <row r="794" spans="1:27" x14ac:dyDescent="0.25">
      <c r="A794" t="s">
        <v>697</v>
      </c>
      <c r="B794" t="s">
        <v>15</v>
      </c>
      <c r="C794">
        <v>3</v>
      </c>
      <c r="D794">
        <v>0</v>
      </c>
      <c r="E794">
        <v>0</v>
      </c>
      <c r="F794">
        <v>0</v>
      </c>
      <c r="G794">
        <v>4.2</v>
      </c>
      <c r="H794">
        <v>2</v>
      </c>
      <c r="I794">
        <v>2</v>
      </c>
      <c r="J794">
        <v>7</v>
      </c>
      <c r="K794">
        <v>2</v>
      </c>
      <c r="L794">
        <v>1</v>
      </c>
      <c r="M794">
        <v>1</v>
      </c>
      <c r="N794">
        <v>0</v>
      </c>
      <c r="O794">
        <v>0</v>
      </c>
      <c r="P794">
        <v>0</v>
      </c>
      <c r="Q794">
        <v>0</v>
      </c>
      <c r="R794">
        <v>3.86</v>
      </c>
      <c r="S794">
        <v>0.86</v>
      </c>
      <c r="T794">
        <f t="shared" si="81"/>
        <v>0</v>
      </c>
      <c r="U794">
        <f t="shared" si="82"/>
        <v>0.47619047619047616</v>
      </c>
      <c r="V794" s="60">
        <f>U794-AVERAGEIFS(Pitchers[ER/IP],Pitchers[GS],"&gt;"&amp;0,Pitchers[IP],"&gt;"&amp;3)</f>
        <v>-9.5310118608843308E-2</v>
      </c>
      <c r="W794" s="60">
        <f>IF(Pitchers[[#This Row],[IP/GS]]&lt;&gt;0,(Pitchers[[#This Row],[WHIP]]*$AH$5+$AI$5)/9*Pitchers[[#This Row],[IP/GS]],(Pitchers[[#This Row],[WHIP]]*$AH$5+$AI$5)/9*(Pitchers[[#This Row],[IP]]/Pitchers[[#This Row],[G]]))</f>
        <v>0.34423578587497172</v>
      </c>
      <c r="X794" s="60">
        <f>Pitchers[[#This Row],[Runs from WHIP]]-AVERAGEIFS(Pitchers[Runs from WHIP],Pitchers[GS],"&gt;"&amp;0,Pitchers[IP],"&gt;"&amp;3)</f>
        <v>-5.3416801202498876</v>
      </c>
      <c r="Y794" s="60">
        <f>IF(Pitchers[[#This Row],[IP/GS]]&lt;&gt;0,Pitchers[[#This Row],[ER/IP From Average]]*Pitchers[[#This Row],[IP/GS]],Pitchers[[#This Row],[ER/IP From Average]]*(Pitchers[[#This Row],[IP]]/Pitchers[[#This Row],[G]]))</f>
        <v>-0.13343416605238065</v>
      </c>
      <c r="Z794" s="60">
        <f t="shared" si="83"/>
        <v>-1.4778216984875889</v>
      </c>
      <c r="AA794" s="90">
        <f>IF(Pitchers[[#This Row],[W]]=0,0,Pitchers[[#This Row],[W]]/(Pitchers[[#This Row],[W]]+Pitchers[[#This Row],[L]]))</f>
        <v>1</v>
      </c>
    </row>
    <row r="795" spans="1:27" x14ac:dyDescent="0.25">
      <c r="A795" t="s">
        <v>1238</v>
      </c>
      <c r="B795" t="s">
        <v>1</v>
      </c>
      <c r="C795">
        <v>5</v>
      </c>
      <c r="D795">
        <v>0</v>
      </c>
      <c r="E795">
        <v>0</v>
      </c>
      <c r="F795">
        <v>0</v>
      </c>
      <c r="G795">
        <v>4.2</v>
      </c>
      <c r="H795">
        <v>10</v>
      </c>
      <c r="I795">
        <v>8</v>
      </c>
      <c r="J795">
        <v>3</v>
      </c>
      <c r="K795">
        <v>4</v>
      </c>
      <c r="L795">
        <v>3</v>
      </c>
      <c r="M795">
        <v>0</v>
      </c>
      <c r="N795">
        <v>0</v>
      </c>
      <c r="O795">
        <v>0</v>
      </c>
      <c r="P795">
        <v>0</v>
      </c>
      <c r="Q795">
        <v>0</v>
      </c>
      <c r="R795">
        <v>15.43</v>
      </c>
      <c r="S795">
        <v>3</v>
      </c>
      <c r="T795">
        <f t="shared" si="81"/>
        <v>0</v>
      </c>
      <c r="U795">
        <f t="shared" si="82"/>
        <v>1.9047619047619047</v>
      </c>
      <c r="V795" s="60">
        <f>U795-AVERAGEIFS(Pitchers[ER/IP],Pitchers[GS],"&gt;"&amp;0,Pitchers[IP],"&gt;"&amp;3)</f>
        <v>1.3332613099625852</v>
      </c>
      <c r="W795" s="60">
        <f>IF(Pitchers[[#This Row],[IP/GS]]&lt;&gt;0,(Pitchers[[#This Row],[WHIP]]*$AH$5+$AI$5)/9*Pitchers[[#This Row],[IP/GS]],(Pitchers[[#This Row],[WHIP]]*$AH$5+$AI$5)/9*(Pitchers[[#This Row],[IP]]/Pitchers[[#This Row],[G]]))</f>
        <v>1.1398102371120598</v>
      </c>
      <c r="X795" s="60">
        <f>Pitchers[[#This Row],[Runs from WHIP]]-AVERAGEIFS(Pitchers[Runs from WHIP],Pitchers[GS],"&gt;"&amp;0,Pitchers[IP],"&gt;"&amp;3)</f>
        <v>-4.5461056690127997</v>
      </c>
      <c r="Y795" s="60">
        <f>IF(Pitchers[[#This Row],[IP/GS]]&lt;&gt;0,Pitchers[[#This Row],[ER/IP From Average]]*Pitchers[[#This Row],[IP/GS]],Pitchers[[#This Row],[ER/IP From Average]]*(Pitchers[[#This Row],[IP]]/Pitchers[[#This Row],[G]]))</f>
        <v>1.1199395003685717</v>
      </c>
      <c r="Z795" s="60">
        <f t="shared" si="83"/>
        <v>-0.76431904492265124</v>
      </c>
      <c r="AA795" s="90">
        <f>IF(Pitchers[[#This Row],[W]]=0,0,Pitchers[[#This Row],[W]]/(Pitchers[[#This Row],[W]]+Pitchers[[#This Row],[L]]))</f>
        <v>0</v>
      </c>
    </row>
    <row r="796" spans="1:27" x14ac:dyDescent="0.25">
      <c r="A796" t="s">
        <v>4401</v>
      </c>
      <c r="B796" t="s">
        <v>332</v>
      </c>
      <c r="C796">
        <v>6</v>
      </c>
      <c r="D796">
        <v>0</v>
      </c>
      <c r="E796">
        <v>0</v>
      </c>
      <c r="F796">
        <v>0</v>
      </c>
      <c r="G796">
        <v>4.2</v>
      </c>
      <c r="H796">
        <v>7</v>
      </c>
      <c r="I796">
        <v>7</v>
      </c>
      <c r="J796">
        <v>7</v>
      </c>
      <c r="K796">
        <v>6</v>
      </c>
      <c r="L796">
        <v>1</v>
      </c>
      <c r="M796">
        <v>0</v>
      </c>
      <c r="N796">
        <v>1</v>
      </c>
      <c r="O796">
        <v>0</v>
      </c>
      <c r="P796">
        <v>0</v>
      </c>
      <c r="Q796">
        <v>0</v>
      </c>
      <c r="R796">
        <v>13.5</v>
      </c>
      <c r="S796">
        <v>2.79</v>
      </c>
      <c r="T796">
        <f t="shared" si="81"/>
        <v>0</v>
      </c>
      <c r="U796">
        <f t="shared" si="82"/>
        <v>1.6666666666666665</v>
      </c>
      <c r="V796" s="60">
        <f>U796-AVERAGEIFS(Pitchers[ER/IP],Pitchers[GS],"&gt;"&amp;0,Pitchers[IP],"&gt;"&amp;3)</f>
        <v>1.095166071867347</v>
      </c>
      <c r="W796" s="60">
        <f>IF(Pitchers[[#This Row],[IP/GS]]&lt;&gt;0,(Pitchers[[#This Row],[WHIP]]*$AH$5+$AI$5)/9*Pitchers[[#This Row],[IP/GS]],(Pitchers[[#This Row],[WHIP]]*$AH$5+$AI$5)/9*(Pitchers[[#This Row],[IP]]/Pitchers[[#This Row],[G]]))</f>
        <v>0.87352315679381687</v>
      </c>
      <c r="X796" s="60">
        <f>Pitchers[[#This Row],[Runs from WHIP]]-AVERAGEIFS(Pitchers[Runs from WHIP],Pitchers[GS],"&gt;"&amp;0,Pitchers[IP],"&gt;"&amp;3)</f>
        <v>-4.8123927493310426</v>
      </c>
      <c r="Y796" s="60">
        <f>IF(Pitchers[[#This Row],[IP/GS]]&lt;&gt;0,Pitchers[[#This Row],[ER/IP From Average]]*Pitchers[[#This Row],[IP/GS]],Pitchers[[#This Row],[ER/IP From Average]]*(Pitchers[[#This Row],[IP]]/Pitchers[[#This Row],[G]]))</f>
        <v>0.76661625030714298</v>
      </c>
      <c r="Z796" s="60">
        <f t="shared" si="83"/>
        <v>-0.97665823303208743</v>
      </c>
      <c r="AA796" s="90">
        <f>IF(Pitchers[[#This Row],[W]]=0,0,Pitchers[[#This Row],[W]]/(Pitchers[[#This Row],[W]]+Pitchers[[#This Row],[L]]))</f>
        <v>0</v>
      </c>
    </row>
    <row r="797" spans="1:27" x14ac:dyDescent="0.25">
      <c r="A797" t="s">
        <v>1162</v>
      </c>
      <c r="B797" t="s">
        <v>8</v>
      </c>
      <c r="C797">
        <v>2</v>
      </c>
      <c r="D797">
        <v>0</v>
      </c>
      <c r="E797">
        <v>0</v>
      </c>
      <c r="F797">
        <v>0</v>
      </c>
      <c r="G797">
        <v>4.2</v>
      </c>
      <c r="H797">
        <v>10</v>
      </c>
      <c r="I797">
        <v>8</v>
      </c>
      <c r="J797">
        <v>2</v>
      </c>
      <c r="K797">
        <v>2</v>
      </c>
      <c r="L797">
        <v>2</v>
      </c>
      <c r="M797">
        <v>0</v>
      </c>
      <c r="N797">
        <v>0</v>
      </c>
      <c r="O797">
        <v>0</v>
      </c>
      <c r="P797">
        <v>0</v>
      </c>
      <c r="Q797">
        <v>0</v>
      </c>
      <c r="R797">
        <v>15.43</v>
      </c>
      <c r="S797">
        <v>2.57</v>
      </c>
      <c r="T797">
        <f t="shared" si="81"/>
        <v>0</v>
      </c>
      <c r="U797">
        <f t="shared" si="82"/>
        <v>1.9047619047619047</v>
      </c>
      <c r="V797" s="60">
        <f>U797-AVERAGEIFS(Pitchers[ER/IP],Pitchers[GS],"&gt;"&amp;0,Pitchers[IP],"&gt;"&amp;3)</f>
        <v>1.3332613099625852</v>
      </c>
      <c r="W797" s="60">
        <f>IF(Pitchers[[#This Row],[IP/GS]]&lt;&gt;0,(Pitchers[[#This Row],[WHIP]]*$AH$5+$AI$5)/9*Pitchers[[#This Row],[IP/GS]],(Pitchers[[#This Row],[WHIP]]*$AH$5+$AI$5)/9*(Pitchers[[#This Row],[IP]]/Pitchers[[#This Row],[G]]))</f>
        <v>2.3807106754875753</v>
      </c>
      <c r="X797" s="60">
        <f>Pitchers[[#This Row],[Runs from WHIP]]-AVERAGEIFS(Pitchers[Runs from WHIP],Pitchers[GS],"&gt;"&amp;0,Pitchers[IP],"&gt;"&amp;3)</f>
        <v>-3.3052052306372839</v>
      </c>
      <c r="Y797" s="60">
        <f>IF(Pitchers[[#This Row],[IP/GS]]&lt;&gt;0,Pitchers[[#This Row],[ER/IP From Average]]*Pitchers[[#This Row],[IP/GS]],Pitchers[[#This Row],[ER/IP From Average]]*(Pitchers[[#This Row],[IP]]/Pitchers[[#This Row],[G]]))</f>
        <v>2.7998487509214289</v>
      </c>
      <c r="Z797" s="60">
        <f t="shared" si="83"/>
        <v>0.23855143886529587</v>
      </c>
      <c r="AA797" s="90">
        <f>IF(Pitchers[[#This Row],[W]]=0,0,Pitchers[[#This Row],[W]]/(Pitchers[[#This Row],[W]]+Pitchers[[#This Row],[L]]))</f>
        <v>0</v>
      </c>
    </row>
    <row r="798" spans="1:27" x14ac:dyDescent="0.25">
      <c r="A798" t="s">
        <v>1165</v>
      </c>
      <c r="B798" t="s">
        <v>340</v>
      </c>
      <c r="C798">
        <v>8</v>
      </c>
      <c r="D798">
        <v>0</v>
      </c>
      <c r="E798">
        <v>0</v>
      </c>
      <c r="F798">
        <v>0</v>
      </c>
      <c r="G798">
        <v>4.2</v>
      </c>
      <c r="H798">
        <v>8</v>
      </c>
      <c r="I798">
        <v>7</v>
      </c>
      <c r="J798">
        <v>9</v>
      </c>
      <c r="K798">
        <v>7</v>
      </c>
      <c r="L798">
        <v>1</v>
      </c>
      <c r="M798">
        <v>1</v>
      </c>
      <c r="N798">
        <v>2</v>
      </c>
      <c r="O798">
        <v>0</v>
      </c>
      <c r="P798">
        <v>2</v>
      </c>
      <c r="Q798">
        <v>0</v>
      </c>
      <c r="R798">
        <v>13.5</v>
      </c>
      <c r="S798">
        <v>3.21</v>
      </c>
      <c r="T798">
        <f t="shared" si="81"/>
        <v>0</v>
      </c>
      <c r="U798">
        <f t="shared" si="82"/>
        <v>1.6666666666666665</v>
      </c>
      <c r="V798" s="60">
        <f>U798-AVERAGEIFS(Pitchers[ER/IP],Pitchers[GS],"&gt;"&amp;0,Pitchers[IP],"&gt;"&amp;3)</f>
        <v>1.095166071867347</v>
      </c>
      <c r="W798" s="60">
        <f>IF(Pitchers[[#This Row],[IP/GS]]&lt;&gt;0,(Pitchers[[#This Row],[WHIP]]*$AH$5+$AI$5)/9*Pitchers[[#This Row],[IP/GS]],(Pitchers[[#This Row],[WHIP]]*$AH$5+$AI$5)/9*(Pitchers[[#This Row],[IP]]/Pitchers[[#This Row],[G]]))</f>
        <v>0.76962042879471193</v>
      </c>
      <c r="X798" s="60">
        <f>Pitchers[[#This Row],[Runs from WHIP]]-AVERAGEIFS(Pitchers[Runs from WHIP],Pitchers[GS],"&gt;"&amp;0,Pitchers[IP],"&gt;"&amp;3)</f>
        <v>-4.9162954773301468</v>
      </c>
      <c r="Y798" s="60">
        <f>IF(Pitchers[[#This Row],[IP/GS]]&lt;&gt;0,Pitchers[[#This Row],[ER/IP From Average]]*Pitchers[[#This Row],[IP/GS]],Pitchers[[#This Row],[ER/IP From Average]]*(Pitchers[[#This Row],[IP]]/Pitchers[[#This Row],[G]]))</f>
        <v>0.57496218773035723</v>
      </c>
      <c r="Z798" s="60">
        <f t="shared" si="83"/>
        <v>-1.0810272521958966</v>
      </c>
      <c r="AA798" s="90">
        <f>IF(Pitchers[[#This Row],[W]]=0,0,Pitchers[[#This Row],[W]]/(Pitchers[[#This Row],[W]]+Pitchers[[#This Row],[L]]))</f>
        <v>0.33333333333333331</v>
      </c>
    </row>
    <row r="799" spans="1:27" x14ac:dyDescent="0.25">
      <c r="A799" t="s">
        <v>1321</v>
      </c>
      <c r="B799" t="s">
        <v>5</v>
      </c>
      <c r="C799">
        <v>6</v>
      </c>
      <c r="D799">
        <v>0</v>
      </c>
      <c r="E799">
        <v>0</v>
      </c>
      <c r="F799">
        <v>0</v>
      </c>
      <c r="G799">
        <v>4.0999999999999996</v>
      </c>
      <c r="H799">
        <v>3</v>
      </c>
      <c r="I799">
        <v>4</v>
      </c>
      <c r="J799">
        <v>2</v>
      </c>
      <c r="K799">
        <v>3</v>
      </c>
      <c r="L799">
        <v>0</v>
      </c>
      <c r="M799">
        <v>0</v>
      </c>
      <c r="N799">
        <v>0</v>
      </c>
      <c r="O799">
        <v>0</v>
      </c>
      <c r="P799">
        <v>0</v>
      </c>
      <c r="Q799">
        <v>0</v>
      </c>
      <c r="R799">
        <v>8.31</v>
      </c>
      <c r="S799">
        <v>1.38</v>
      </c>
      <c r="T799">
        <f t="shared" si="81"/>
        <v>0</v>
      </c>
      <c r="U799">
        <f t="shared" si="82"/>
        <v>0.97560975609756106</v>
      </c>
      <c r="V799" s="60">
        <f>U799-AVERAGEIFS(Pitchers[ER/IP],Pitchers[GS],"&gt;"&amp;0,Pitchers[IP],"&gt;"&amp;3)</f>
        <v>0.40410916129824159</v>
      </c>
      <c r="W799" s="60">
        <f>IF(Pitchers[[#This Row],[IP/GS]]&lt;&gt;0,(Pitchers[[#This Row],[WHIP]]*$AH$5+$AI$5)/9*Pitchers[[#This Row],[IP/GS]],(Pitchers[[#This Row],[WHIP]]*$AH$5+$AI$5)/9*(Pitchers[[#This Row],[IP]]/Pitchers[[#This Row],[G]]))</f>
        <v>0.3524999888176687</v>
      </c>
      <c r="X799" s="60">
        <f>Pitchers[[#This Row],[Runs from WHIP]]-AVERAGEIFS(Pitchers[Runs from WHIP],Pitchers[GS],"&gt;"&amp;0,Pitchers[IP],"&gt;"&amp;3)</f>
        <v>-5.3334159173071907</v>
      </c>
      <c r="Y799" s="60">
        <f>IF(Pitchers[[#This Row],[IP/GS]]&lt;&gt;0,Pitchers[[#This Row],[ER/IP From Average]]*Pitchers[[#This Row],[IP/GS]],Pitchers[[#This Row],[ER/IP From Average]]*(Pitchers[[#This Row],[IP]]/Pitchers[[#This Row],[G]]))</f>
        <v>0.27614126022046503</v>
      </c>
      <c r="Z799" s="60">
        <f t="shared" si="83"/>
        <v>-1.311787740527065</v>
      </c>
      <c r="AA799" s="90">
        <f>IF(Pitchers[[#This Row],[W]]=0,0,Pitchers[[#This Row],[W]]/(Pitchers[[#This Row],[W]]+Pitchers[[#This Row],[L]]))</f>
        <v>0</v>
      </c>
    </row>
    <row r="800" spans="1:27" x14ac:dyDescent="0.25">
      <c r="A800" t="s">
        <v>1196</v>
      </c>
      <c r="B800" t="s">
        <v>14</v>
      </c>
      <c r="C800">
        <v>3</v>
      </c>
      <c r="D800">
        <v>0</v>
      </c>
      <c r="E800">
        <v>0</v>
      </c>
      <c r="F800">
        <v>0</v>
      </c>
      <c r="G800">
        <v>4</v>
      </c>
      <c r="H800">
        <v>6</v>
      </c>
      <c r="I800">
        <v>5</v>
      </c>
      <c r="J800">
        <v>5</v>
      </c>
      <c r="K800">
        <v>3</v>
      </c>
      <c r="L800">
        <v>1</v>
      </c>
      <c r="M800">
        <v>1</v>
      </c>
      <c r="N800">
        <v>1</v>
      </c>
      <c r="O800">
        <v>0</v>
      </c>
      <c r="P800">
        <v>0</v>
      </c>
      <c r="Q800">
        <v>1</v>
      </c>
      <c r="R800">
        <v>11.25</v>
      </c>
      <c r="S800">
        <v>2.25</v>
      </c>
      <c r="T800">
        <f t="shared" si="81"/>
        <v>0</v>
      </c>
      <c r="U800">
        <f t="shared" si="82"/>
        <v>1.25</v>
      </c>
      <c r="V800" s="60">
        <f>U800-AVERAGEIFS(Pitchers[ER/IP],Pitchers[GS],"&gt;"&amp;0,Pitchers[IP],"&gt;"&amp;3)</f>
        <v>0.67849940520068053</v>
      </c>
      <c r="W800" s="60">
        <f>IF(Pitchers[[#This Row],[IP/GS]]&lt;&gt;0,(Pitchers[[#This Row],[WHIP]]*$AH$5+$AI$5)/9*Pitchers[[#This Row],[IP/GS]],(Pitchers[[#This Row],[WHIP]]*$AH$5+$AI$5)/9*(Pitchers[[#This Row],[IP]]/Pitchers[[#This Row],[G]]))</f>
        <v>1.290047717867898</v>
      </c>
      <c r="X800" s="60">
        <f>Pitchers[[#This Row],[Runs from WHIP]]-AVERAGEIFS(Pitchers[Runs from WHIP],Pitchers[GS],"&gt;"&amp;0,Pitchers[IP],"&gt;"&amp;3)</f>
        <v>-4.3958681882569612</v>
      </c>
      <c r="Y800" s="60">
        <f>IF(Pitchers[[#This Row],[IP/GS]]&lt;&gt;0,Pitchers[[#This Row],[ER/IP From Average]]*Pitchers[[#This Row],[IP/GS]],Pitchers[[#This Row],[ER/IP From Average]]*(Pitchers[[#This Row],[IP]]/Pitchers[[#This Row],[G]]))</f>
        <v>0.90466587360090733</v>
      </c>
      <c r="Z800" s="60">
        <f t="shared" si="83"/>
        <v>-0.81036516742815989</v>
      </c>
      <c r="AA800" s="90">
        <f>IF(Pitchers[[#This Row],[W]]=0,0,Pitchers[[#This Row],[W]]/(Pitchers[[#This Row],[W]]+Pitchers[[#This Row],[L]]))</f>
        <v>0.5</v>
      </c>
    </row>
    <row r="801" spans="1:27" x14ac:dyDescent="0.25">
      <c r="A801" t="s">
        <v>4557</v>
      </c>
      <c r="B801" t="s">
        <v>28</v>
      </c>
      <c r="C801">
        <v>2</v>
      </c>
      <c r="D801">
        <v>1</v>
      </c>
      <c r="E801">
        <v>0</v>
      </c>
      <c r="F801">
        <v>0</v>
      </c>
      <c r="G801">
        <v>4</v>
      </c>
      <c r="H801">
        <v>7</v>
      </c>
      <c r="I801">
        <v>3</v>
      </c>
      <c r="J801">
        <v>5</v>
      </c>
      <c r="K801">
        <v>0</v>
      </c>
      <c r="L801">
        <v>1</v>
      </c>
      <c r="M801">
        <v>0</v>
      </c>
      <c r="N801">
        <v>0</v>
      </c>
      <c r="O801">
        <v>0</v>
      </c>
      <c r="P801">
        <v>0</v>
      </c>
      <c r="Q801">
        <v>0</v>
      </c>
      <c r="R801">
        <v>6.75</v>
      </c>
      <c r="S801">
        <v>1.75</v>
      </c>
      <c r="T801">
        <f t="shared" si="81"/>
        <v>4</v>
      </c>
      <c r="U801">
        <f t="shared" si="82"/>
        <v>0.75</v>
      </c>
      <c r="V801" s="60">
        <f>U801-AVERAGEIFS(Pitchers[ER/IP],Pitchers[GS],"&gt;"&amp;0,Pitchers[IP],"&gt;"&amp;3)</f>
        <v>0.17849940520068053</v>
      </c>
      <c r="W801" s="60">
        <f>IF(Pitchers[[#This Row],[IP/GS]]&lt;&gt;0,(Pitchers[[#This Row],[WHIP]]*$AH$5+$AI$5)/9*Pitchers[[#This Row],[IP/GS]],(Pitchers[[#This Row],[WHIP]]*$AH$5+$AI$5)/9*(Pitchers[[#This Row],[IP]]/Pitchers[[#This Row],[G]]))</f>
        <v>2.8317933921583482</v>
      </c>
      <c r="X801" s="60">
        <f>Pitchers[[#This Row],[Runs from WHIP]]-AVERAGEIFS(Pitchers[Runs from WHIP],Pitchers[GS],"&gt;"&amp;0,Pitchers[IP],"&gt;"&amp;3)</f>
        <v>-2.854122513966511</v>
      </c>
      <c r="Y801" s="60">
        <f>IF(Pitchers[[#This Row],[IP/GS]]&lt;&gt;0,Pitchers[[#This Row],[ER/IP From Average]]*Pitchers[[#This Row],[IP/GS]],Pitchers[[#This Row],[ER/IP From Average]]*(Pitchers[[#This Row],[IP]]/Pitchers[[#This Row],[G]]))</f>
        <v>0.71399762080272211</v>
      </c>
      <c r="Z801" s="60">
        <f t="shared" si="83"/>
        <v>-0.47550028873664746</v>
      </c>
      <c r="AA801" s="90">
        <f>IF(Pitchers[[#This Row],[W]]=0,0,Pitchers[[#This Row],[W]]/(Pitchers[[#This Row],[W]]+Pitchers[[#This Row],[L]]))</f>
        <v>0</v>
      </c>
    </row>
    <row r="802" spans="1:27" x14ac:dyDescent="0.25">
      <c r="A802" t="s">
        <v>4119</v>
      </c>
      <c r="B802" t="s">
        <v>4</v>
      </c>
      <c r="C802">
        <v>2</v>
      </c>
      <c r="D802">
        <v>0</v>
      </c>
      <c r="E802">
        <v>0</v>
      </c>
      <c r="F802">
        <v>0</v>
      </c>
      <c r="G802">
        <v>4</v>
      </c>
      <c r="H802">
        <v>4</v>
      </c>
      <c r="I802">
        <v>2</v>
      </c>
      <c r="J802">
        <v>3</v>
      </c>
      <c r="K802">
        <v>3</v>
      </c>
      <c r="L802">
        <v>0</v>
      </c>
      <c r="M802">
        <v>0</v>
      </c>
      <c r="N802">
        <v>0</v>
      </c>
      <c r="O802">
        <v>0</v>
      </c>
      <c r="P802">
        <v>0</v>
      </c>
      <c r="Q802">
        <v>0</v>
      </c>
      <c r="R802">
        <v>4.5</v>
      </c>
      <c r="S802">
        <v>1.75</v>
      </c>
      <c r="T802">
        <f t="shared" si="81"/>
        <v>0</v>
      </c>
      <c r="U802">
        <f t="shared" si="82"/>
        <v>0.5</v>
      </c>
      <c r="V802" s="60">
        <f>U802-AVERAGEIFS(Pitchers[ER/IP],Pitchers[GS],"&gt;"&amp;0,Pitchers[IP],"&gt;"&amp;3)</f>
        <v>-7.1500594799319472E-2</v>
      </c>
      <c r="W802" s="60">
        <f>IF(Pitchers[[#This Row],[IP/GS]]&lt;&gt;0,(Pitchers[[#This Row],[WHIP]]*$AH$5+$AI$5)/9*Pitchers[[#This Row],[IP/GS]],(Pitchers[[#This Row],[WHIP]]*$AH$5+$AI$5)/9*(Pitchers[[#This Row],[IP]]/Pitchers[[#This Row],[G]]))</f>
        <v>1.4158966960791741</v>
      </c>
      <c r="X802" s="60">
        <f>Pitchers[[#This Row],[Runs from WHIP]]-AVERAGEIFS(Pitchers[Runs from WHIP],Pitchers[GS],"&gt;"&amp;0,Pitchers[IP],"&gt;"&amp;3)</f>
        <v>-4.2700192100456853</v>
      </c>
      <c r="Y802" s="60">
        <f>IF(Pitchers[[#This Row],[IP/GS]]&lt;&gt;0,Pitchers[[#This Row],[ER/IP From Average]]*Pitchers[[#This Row],[IP/GS]],Pitchers[[#This Row],[ER/IP From Average]]*(Pitchers[[#This Row],[IP]]/Pitchers[[#This Row],[G]]))</f>
        <v>-0.14300118959863894</v>
      </c>
      <c r="Z802" s="60">
        <f t="shared" si="83"/>
        <v>-1.1958722651849716</v>
      </c>
      <c r="AA802" s="90">
        <f>IF(Pitchers[[#This Row],[W]]=0,0,Pitchers[[#This Row],[W]]/(Pitchers[[#This Row],[W]]+Pitchers[[#This Row],[L]]))</f>
        <v>0</v>
      </c>
    </row>
    <row r="803" spans="1:27" x14ac:dyDescent="0.25">
      <c r="A803" t="s">
        <v>3653</v>
      </c>
      <c r="B803" t="s">
        <v>3</v>
      </c>
      <c r="C803">
        <v>1</v>
      </c>
      <c r="D803">
        <v>1</v>
      </c>
      <c r="E803">
        <v>0</v>
      </c>
      <c r="F803">
        <v>0</v>
      </c>
      <c r="G803">
        <v>4</v>
      </c>
      <c r="H803">
        <v>4</v>
      </c>
      <c r="I803">
        <v>2</v>
      </c>
      <c r="J803">
        <v>2</v>
      </c>
      <c r="K803">
        <v>3</v>
      </c>
      <c r="L803">
        <v>2</v>
      </c>
      <c r="M803">
        <v>0</v>
      </c>
      <c r="N803">
        <v>1</v>
      </c>
      <c r="O803">
        <v>0</v>
      </c>
      <c r="P803">
        <v>0</v>
      </c>
      <c r="Q803">
        <v>0</v>
      </c>
      <c r="R803">
        <v>4.5</v>
      </c>
      <c r="S803">
        <v>1.75</v>
      </c>
      <c r="T803">
        <f t="shared" si="81"/>
        <v>4</v>
      </c>
      <c r="U803">
        <f t="shared" si="82"/>
        <v>0.5</v>
      </c>
      <c r="V803" s="60">
        <f>U803-AVERAGEIFS(Pitchers[ER/IP],Pitchers[GS],"&gt;"&amp;0,Pitchers[IP],"&gt;"&amp;3)</f>
        <v>-7.1500594799319472E-2</v>
      </c>
      <c r="W803" s="60">
        <f>IF(Pitchers[[#This Row],[IP/GS]]&lt;&gt;0,(Pitchers[[#This Row],[WHIP]]*$AH$5+$AI$5)/9*Pitchers[[#This Row],[IP/GS]],(Pitchers[[#This Row],[WHIP]]*$AH$5+$AI$5)/9*(Pitchers[[#This Row],[IP]]/Pitchers[[#This Row],[G]]))</f>
        <v>2.8317933921583482</v>
      </c>
      <c r="X803" s="60">
        <f>Pitchers[[#This Row],[Runs from WHIP]]-AVERAGEIFS(Pitchers[Runs from WHIP],Pitchers[GS],"&gt;"&amp;0,Pitchers[IP],"&gt;"&amp;3)</f>
        <v>-2.854122513966511</v>
      </c>
      <c r="Y803" s="60">
        <f>IF(Pitchers[[#This Row],[IP/GS]]&lt;&gt;0,Pitchers[[#This Row],[ER/IP From Average]]*Pitchers[[#This Row],[IP/GS]],Pitchers[[#This Row],[ER/IP From Average]]*(Pitchers[[#This Row],[IP]]/Pitchers[[#This Row],[G]]))</f>
        <v>-0.28600237919727789</v>
      </c>
      <c r="Z803" s="60">
        <f t="shared" si="83"/>
        <v>-0.87550028873664731</v>
      </c>
      <c r="AA803" s="90">
        <f>IF(Pitchers[[#This Row],[W]]=0,0,Pitchers[[#This Row],[W]]/(Pitchers[[#This Row],[W]]+Pitchers[[#This Row],[L]]))</f>
        <v>0</v>
      </c>
    </row>
    <row r="804" spans="1:27" x14ac:dyDescent="0.25">
      <c r="A804" t="s">
        <v>718</v>
      </c>
      <c r="B804" t="s">
        <v>1</v>
      </c>
      <c r="C804">
        <v>4</v>
      </c>
      <c r="D804">
        <v>0</v>
      </c>
      <c r="E804">
        <v>0</v>
      </c>
      <c r="F804">
        <v>0</v>
      </c>
      <c r="G804">
        <v>4</v>
      </c>
      <c r="H804">
        <v>11</v>
      </c>
      <c r="I804">
        <v>9</v>
      </c>
      <c r="J804">
        <v>6</v>
      </c>
      <c r="K804">
        <v>3</v>
      </c>
      <c r="L804">
        <v>3</v>
      </c>
      <c r="M804">
        <v>0</v>
      </c>
      <c r="N804">
        <v>0</v>
      </c>
      <c r="O804">
        <v>0</v>
      </c>
      <c r="P804">
        <v>0</v>
      </c>
      <c r="Q804">
        <v>0</v>
      </c>
      <c r="R804">
        <v>20.25</v>
      </c>
      <c r="S804">
        <v>3.5</v>
      </c>
      <c r="T804">
        <f t="shared" si="81"/>
        <v>0</v>
      </c>
      <c r="U804">
        <f t="shared" si="82"/>
        <v>2.25</v>
      </c>
      <c r="V804" s="60">
        <f>U804-AVERAGEIFS(Pitchers[ER/IP],Pitchers[GS],"&gt;"&amp;0,Pitchers[IP],"&gt;"&amp;3)</f>
        <v>1.6784994052006805</v>
      </c>
      <c r="W804" s="60">
        <f>IF(Pitchers[[#This Row],[IP/GS]]&lt;&gt;0,(Pitchers[[#This Row],[WHIP]]*$AH$5+$AI$5)/9*Pitchers[[#This Row],[IP/GS]],(Pitchers[[#This Row],[WHIP]]*$AH$5+$AI$5)/9*(Pitchers[[#This Row],[IP]]/Pitchers[[#This Row],[G]]))</f>
        <v>1.6165043893042643</v>
      </c>
      <c r="X804" s="60">
        <f>Pitchers[[#This Row],[Runs from WHIP]]-AVERAGEIFS(Pitchers[Runs from WHIP],Pitchers[GS],"&gt;"&amp;0,Pitchers[IP],"&gt;"&amp;3)</f>
        <v>-4.0694115168205949</v>
      </c>
      <c r="Y804" s="60">
        <f>IF(Pitchers[[#This Row],[IP/GS]]&lt;&gt;0,Pitchers[[#This Row],[ER/IP From Average]]*Pitchers[[#This Row],[IP/GS]],Pitchers[[#This Row],[ER/IP From Average]]*(Pitchers[[#This Row],[IP]]/Pitchers[[#This Row],[G]]))</f>
        <v>1.6784994052006805</v>
      </c>
      <c r="Z804" s="60">
        <f t="shared" si="83"/>
        <v>-0.41377664240521977</v>
      </c>
      <c r="AA804" s="90">
        <f>IF(Pitchers[[#This Row],[W]]=0,0,Pitchers[[#This Row],[W]]/(Pitchers[[#This Row],[W]]+Pitchers[[#This Row],[L]]))</f>
        <v>0</v>
      </c>
    </row>
    <row r="805" spans="1:27" x14ac:dyDescent="0.25">
      <c r="A805" t="s">
        <v>1356</v>
      </c>
      <c r="B805" t="s">
        <v>14</v>
      </c>
      <c r="C805">
        <v>5</v>
      </c>
      <c r="D805">
        <v>0</v>
      </c>
      <c r="E805">
        <v>0</v>
      </c>
      <c r="F805">
        <v>0</v>
      </c>
      <c r="G805">
        <v>4</v>
      </c>
      <c r="H805">
        <v>5</v>
      </c>
      <c r="I805">
        <v>3</v>
      </c>
      <c r="J805">
        <v>2</v>
      </c>
      <c r="K805">
        <v>3</v>
      </c>
      <c r="L805">
        <v>0</v>
      </c>
      <c r="M805">
        <v>2</v>
      </c>
      <c r="N805">
        <v>0</v>
      </c>
      <c r="O805">
        <v>0</v>
      </c>
      <c r="P805">
        <v>0</v>
      </c>
      <c r="Q805">
        <v>0</v>
      </c>
      <c r="R805">
        <v>6.75</v>
      </c>
      <c r="S805">
        <v>2</v>
      </c>
      <c r="T805">
        <f t="shared" si="81"/>
        <v>0</v>
      </c>
      <c r="U805">
        <f t="shared" si="82"/>
        <v>0.75</v>
      </c>
      <c r="V805" s="60">
        <f>U805-AVERAGEIFS(Pitchers[ER/IP],Pitchers[GS],"&gt;"&amp;0,Pitchers[IP],"&gt;"&amp;3)</f>
        <v>0.17849940520068053</v>
      </c>
      <c r="W805" s="60">
        <f>IF(Pitchers[[#This Row],[IP/GS]]&lt;&gt;0,(Pitchers[[#This Row],[WHIP]]*$AH$5+$AI$5)/9*Pitchers[[#This Row],[IP/GS]],(Pitchers[[#This Row],[WHIP]]*$AH$5+$AI$5)/9*(Pitchers[[#This Row],[IP]]/Pitchers[[#This Row],[G]]))</f>
        <v>0.67019365457620428</v>
      </c>
      <c r="X805" s="60">
        <f>Pitchers[[#This Row],[Runs from WHIP]]-AVERAGEIFS(Pitchers[Runs from WHIP],Pitchers[GS],"&gt;"&amp;0,Pitchers[IP],"&gt;"&amp;3)</f>
        <v>-5.015722251548655</v>
      </c>
      <c r="Y805" s="60">
        <f>IF(Pitchers[[#This Row],[IP/GS]]&lt;&gt;0,Pitchers[[#This Row],[ER/IP From Average]]*Pitchers[[#This Row],[IP/GS]],Pitchers[[#This Row],[ER/IP From Average]]*(Pitchers[[#This Row],[IP]]/Pitchers[[#This Row],[G]]))</f>
        <v>0.14279952416054442</v>
      </c>
      <c r="Z805" s="60">
        <f t="shared" si="83"/>
        <v>-1.2804061240820903</v>
      </c>
      <c r="AA805" s="90">
        <f>IF(Pitchers[[#This Row],[W]]=0,0,Pitchers[[#This Row],[W]]/(Pitchers[[#This Row],[W]]+Pitchers[[#This Row],[L]]))</f>
        <v>1</v>
      </c>
    </row>
    <row r="806" spans="1:27" x14ac:dyDescent="0.25">
      <c r="A806" t="s">
        <v>714</v>
      </c>
      <c r="B806" t="s">
        <v>10</v>
      </c>
      <c r="C806">
        <v>4</v>
      </c>
      <c r="D806">
        <v>0</v>
      </c>
      <c r="E806">
        <v>0</v>
      </c>
      <c r="F806">
        <v>0</v>
      </c>
      <c r="G806">
        <v>4</v>
      </c>
      <c r="H806">
        <v>3</v>
      </c>
      <c r="I806">
        <v>1</v>
      </c>
      <c r="J806">
        <v>6</v>
      </c>
      <c r="K806">
        <v>3</v>
      </c>
      <c r="L806">
        <v>1</v>
      </c>
      <c r="M806">
        <v>1</v>
      </c>
      <c r="N806">
        <v>0</v>
      </c>
      <c r="O806">
        <v>1</v>
      </c>
      <c r="P806">
        <v>1</v>
      </c>
      <c r="Q806">
        <v>0</v>
      </c>
      <c r="R806">
        <v>2.25</v>
      </c>
      <c r="S806">
        <v>1.5</v>
      </c>
      <c r="T806">
        <f t="shared" si="81"/>
        <v>0</v>
      </c>
      <c r="U806">
        <f t="shared" si="82"/>
        <v>0.25</v>
      </c>
      <c r="V806" s="60">
        <f>U806-AVERAGEIFS(Pitchers[ER/IP],Pitchers[GS],"&gt;"&amp;0,Pitchers[IP],"&gt;"&amp;3)</f>
        <v>-0.32150059479931947</v>
      </c>
      <c r="W806" s="60">
        <f>IF(Pitchers[[#This Row],[IP/GS]]&lt;&gt;0,(Pitchers[[#This Row],[WHIP]]*$AH$5+$AI$5)/9*Pitchers[[#This Row],[IP/GS]],(Pitchers[[#This Row],[WHIP]]*$AH$5+$AI$5)/9*(Pitchers[[#This Row],[IP]]/Pitchers[[#This Row],[G]]))</f>
        <v>0.57815462785891902</v>
      </c>
      <c r="X806" s="60">
        <f>Pitchers[[#This Row],[Runs from WHIP]]-AVERAGEIFS(Pitchers[Runs from WHIP],Pitchers[GS],"&gt;"&amp;0,Pitchers[IP],"&gt;"&amp;3)</f>
        <v>-5.1077612782659401</v>
      </c>
      <c r="Y806" s="60">
        <f>IF(Pitchers[[#This Row],[IP/GS]]&lt;&gt;0,Pitchers[[#This Row],[ER/IP From Average]]*Pitchers[[#This Row],[IP/GS]],Pitchers[[#This Row],[ER/IP From Average]]*(Pitchers[[#This Row],[IP]]/Pitchers[[#This Row],[G]]))</f>
        <v>-0.32150059479931947</v>
      </c>
      <c r="Z806" s="60">
        <f t="shared" si="83"/>
        <v>-1.4906699121239786</v>
      </c>
      <c r="AA806" s="90">
        <f>IF(Pitchers[[#This Row],[W]]=0,0,Pitchers[[#This Row],[W]]/(Pitchers[[#This Row],[W]]+Pitchers[[#This Row],[L]]))</f>
        <v>1</v>
      </c>
    </row>
    <row r="807" spans="1:27" x14ac:dyDescent="0.25">
      <c r="A807" t="s">
        <v>715</v>
      </c>
      <c r="B807" t="s">
        <v>29</v>
      </c>
      <c r="C807">
        <v>3</v>
      </c>
      <c r="D807">
        <v>0</v>
      </c>
      <c r="E807">
        <v>0</v>
      </c>
      <c r="F807">
        <v>0</v>
      </c>
      <c r="G807">
        <v>4</v>
      </c>
      <c r="H807">
        <v>9</v>
      </c>
      <c r="I807">
        <v>8</v>
      </c>
      <c r="J807">
        <v>3</v>
      </c>
      <c r="K807">
        <v>2</v>
      </c>
      <c r="L807">
        <v>2</v>
      </c>
      <c r="M807">
        <v>0</v>
      </c>
      <c r="N807">
        <v>0</v>
      </c>
      <c r="O807">
        <v>0</v>
      </c>
      <c r="P807">
        <v>0</v>
      </c>
      <c r="Q807">
        <v>0</v>
      </c>
      <c r="R807">
        <v>18</v>
      </c>
      <c r="S807">
        <v>2.75</v>
      </c>
      <c r="T807">
        <f t="shared" si="81"/>
        <v>0</v>
      </c>
      <c r="U807">
        <f t="shared" si="82"/>
        <v>2</v>
      </c>
      <c r="V807" s="60">
        <f>U807-AVERAGEIFS(Pitchers[ER/IP],Pitchers[GS],"&gt;"&amp;0,Pitchers[IP],"&gt;"&amp;3)</f>
        <v>1.4284994052006805</v>
      </c>
      <c r="W807" s="60">
        <f>IF(Pitchers[[#This Row],[IP/GS]]&lt;&gt;0,(Pitchers[[#This Row],[WHIP]]*$AH$5+$AI$5)/9*Pitchers[[#This Row],[IP/GS]],(Pitchers[[#This Row],[WHIP]]*$AH$5+$AI$5)/9*(Pitchers[[#This Row],[IP]]/Pitchers[[#This Row],[G]]))</f>
        <v>1.6361643050163466</v>
      </c>
      <c r="X807" s="60">
        <f>Pitchers[[#This Row],[Runs from WHIP]]-AVERAGEIFS(Pitchers[Runs from WHIP],Pitchers[GS],"&gt;"&amp;0,Pitchers[IP],"&gt;"&amp;3)</f>
        <v>-4.0497516011085128</v>
      </c>
      <c r="Y807" s="60">
        <f>IF(Pitchers[[#This Row],[IP/GS]]&lt;&gt;0,Pitchers[[#This Row],[ER/IP From Average]]*Pitchers[[#This Row],[IP/GS]],Pitchers[[#This Row],[ER/IP From Average]]*(Pitchers[[#This Row],[IP]]/Pitchers[[#This Row],[G]]))</f>
        <v>1.9046658736009072</v>
      </c>
      <c r="Z807" s="60">
        <f t="shared" si="83"/>
        <v>-0.31806741085524065</v>
      </c>
      <c r="AA807" s="90">
        <f>IF(Pitchers[[#This Row],[W]]=0,0,Pitchers[[#This Row],[W]]/(Pitchers[[#This Row],[W]]+Pitchers[[#This Row],[L]]))</f>
        <v>0</v>
      </c>
    </row>
    <row r="808" spans="1:27" x14ac:dyDescent="0.25">
      <c r="A808" t="s">
        <v>4133</v>
      </c>
      <c r="B808" t="s">
        <v>218</v>
      </c>
      <c r="C808">
        <v>3</v>
      </c>
      <c r="D808">
        <v>0</v>
      </c>
      <c r="E808">
        <v>0</v>
      </c>
      <c r="F808">
        <v>0</v>
      </c>
      <c r="G808">
        <v>4</v>
      </c>
      <c r="H808">
        <v>3</v>
      </c>
      <c r="I808">
        <v>1</v>
      </c>
      <c r="J808">
        <v>7</v>
      </c>
      <c r="K808">
        <v>3</v>
      </c>
      <c r="L808">
        <v>0</v>
      </c>
      <c r="M808">
        <v>1</v>
      </c>
      <c r="N808">
        <v>0</v>
      </c>
      <c r="O808">
        <v>0</v>
      </c>
      <c r="P808">
        <v>0</v>
      </c>
      <c r="Q808">
        <v>0</v>
      </c>
      <c r="R808">
        <v>2.25</v>
      </c>
      <c r="S808">
        <v>1.5</v>
      </c>
      <c r="T808">
        <f t="shared" si="81"/>
        <v>0</v>
      </c>
      <c r="U808">
        <f t="shared" si="82"/>
        <v>0.25</v>
      </c>
      <c r="V808" s="60">
        <f>U808-AVERAGEIFS(Pitchers[ER/IP],Pitchers[GS],"&gt;"&amp;0,Pitchers[IP],"&gt;"&amp;3)</f>
        <v>-0.32150059479931947</v>
      </c>
      <c r="W808" s="60">
        <f>IF(Pitchers[[#This Row],[IP/GS]]&lt;&gt;0,(Pitchers[[#This Row],[WHIP]]*$AH$5+$AI$5)/9*Pitchers[[#This Row],[IP/GS]],(Pitchers[[#This Row],[WHIP]]*$AH$5+$AI$5)/9*(Pitchers[[#This Row],[IP]]/Pitchers[[#This Row],[G]]))</f>
        <v>0.77087283714522536</v>
      </c>
      <c r="X808" s="60">
        <f>Pitchers[[#This Row],[Runs from WHIP]]-AVERAGEIFS(Pitchers[Runs from WHIP],Pitchers[GS],"&gt;"&amp;0,Pitchers[IP],"&gt;"&amp;3)</f>
        <v>-4.9150430689796334</v>
      </c>
      <c r="Y808" s="60">
        <f>IF(Pitchers[[#This Row],[IP/GS]]&lt;&gt;0,Pitchers[[#This Row],[ER/IP From Average]]*Pitchers[[#This Row],[IP/GS]],Pitchers[[#This Row],[ER/IP From Average]]*(Pitchers[[#This Row],[IP]]/Pitchers[[#This Row],[G]]))</f>
        <v>-0.42866745973242593</v>
      </c>
      <c r="Z808" s="60">
        <f t="shared" si="83"/>
        <v>-1.4821451356208726</v>
      </c>
      <c r="AA808" s="90">
        <f>IF(Pitchers[[#This Row],[W]]=0,0,Pitchers[[#This Row],[W]]/(Pitchers[[#This Row],[W]]+Pitchers[[#This Row],[L]]))</f>
        <v>1</v>
      </c>
    </row>
    <row r="809" spans="1:27" x14ac:dyDescent="0.25">
      <c r="A809" t="s">
        <v>4409</v>
      </c>
      <c r="B809" t="s">
        <v>218</v>
      </c>
      <c r="C809">
        <v>3</v>
      </c>
      <c r="D809">
        <v>0</v>
      </c>
      <c r="E809">
        <v>0</v>
      </c>
      <c r="F809">
        <v>0</v>
      </c>
      <c r="G809">
        <v>4</v>
      </c>
      <c r="H809">
        <v>6</v>
      </c>
      <c r="I809">
        <v>3</v>
      </c>
      <c r="J809">
        <v>2</v>
      </c>
      <c r="K809">
        <v>0</v>
      </c>
      <c r="L809">
        <v>0</v>
      </c>
      <c r="M809">
        <v>0</v>
      </c>
      <c r="N809">
        <v>0</v>
      </c>
      <c r="O809">
        <v>0</v>
      </c>
      <c r="P809">
        <v>0</v>
      </c>
      <c r="Q809">
        <v>0</v>
      </c>
      <c r="R809">
        <v>6.75</v>
      </c>
      <c r="S809">
        <v>1.5</v>
      </c>
      <c r="T809">
        <f t="shared" si="81"/>
        <v>0</v>
      </c>
      <c r="U809">
        <f t="shared" si="82"/>
        <v>0.75</v>
      </c>
      <c r="V809" s="60">
        <f>U809-AVERAGEIFS(Pitchers[ER/IP],Pitchers[GS],"&gt;"&amp;0,Pitchers[IP],"&gt;"&amp;3)</f>
        <v>0.17849940520068053</v>
      </c>
      <c r="W809" s="60">
        <f>IF(Pitchers[[#This Row],[IP/GS]]&lt;&gt;0,(Pitchers[[#This Row],[WHIP]]*$AH$5+$AI$5)/9*Pitchers[[#This Row],[IP/GS]],(Pitchers[[#This Row],[WHIP]]*$AH$5+$AI$5)/9*(Pitchers[[#This Row],[IP]]/Pitchers[[#This Row],[G]]))</f>
        <v>0.77087283714522536</v>
      </c>
      <c r="X809" s="60">
        <f>Pitchers[[#This Row],[Runs from WHIP]]-AVERAGEIFS(Pitchers[Runs from WHIP],Pitchers[GS],"&gt;"&amp;0,Pitchers[IP],"&gt;"&amp;3)</f>
        <v>-4.9150430689796334</v>
      </c>
      <c r="Y809" s="60">
        <f>IF(Pitchers[[#This Row],[IP/GS]]&lt;&gt;0,Pitchers[[#This Row],[ER/IP From Average]]*Pitchers[[#This Row],[IP/GS]],Pitchers[[#This Row],[ER/IP From Average]]*(Pitchers[[#This Row],[IP]]/Pitchers[[#This Row],[G]]))</f>
        <v>0.2379992069342407</v>
      </c>
      <c r="Z809" s="60">
        <f t="shared" si="83"/>
        <v>-1.215478468954206</v>
      </c>
      <c r="AA809" s="90">
        <f>IF(Pitchers[[#This Row],[W]]=0,0,Pitchers[[#This Row],[W]]/(Pitchers[[#This Row],[W]]+Pitchers[[#This Row],[L]]))</f>
        <v>0</v>
      </c>
    </row>
    <row r="810" spans="1:27" x14ac:dyDescent="0.25">
      <c r="A810" t="s">
        <v>4134</v>
      </c>
      <c r="B810" t="s">
        <v>218</v>
      </c>
      <c r="C810">
        <v>4</v>
      </c>
      <c r="D810">
        <v>0</v>
      </c>
      <c r="E810">
        <v>0</v>
      </c>
      <c r="F810">
        <v>0</v>
      </c>
      <c r="G810">
        <v>3.2</v>
      </c>
      <c r="H810">
        <v>4</v>
      </c>
      <c r="I810">
        <v>3</v>
      </c>
      <c r="J810">
        <v>3</v>
      </c>
      <c r="K810">
        <v>1</v>
      </c>
      <c r="L810">
        <v>0</v>
      </c>
      <c r="M810">
        <v>0</v>
      </c>
      <c r="N810">
        <v>0</v>
      </c>
      <c r="O810">
        <v>0</v>
      </c>
      <c r="P810">
        <v>0</v>
      </c>
      <c r="Q810">
        <v>1</v>
      </c>
      <c r="R810">
        <v>7.36</v>
      </c>
      <c r="S810">
        <v>1.36</v>
      </c>
      <c r="T810">
        <f t="shared" si="81"/>
        <v>0</v>
      </c>
      <c r="U810">
        <f t="shared" si="82"/>
        <v>0.9375</v>
      </c>
      <c r="V810" s="60">
        <f>U810-AVERAGEIFS(Pitchers[ER/IP],Pitchers[GS],"&gt;"&amp;0,Pitchers[IP],"&gt;"&amp;3)</f>
        <v>0.36599940520068053</v>
      </c>
      <c r="W810" s="60">
        <f>IF(Pitchers[[#This Row],[IP/GS]]&lt;&gt;0,(Pitchers[[#This Row],[WHIP]]*$AH$5+$AI$5)/9*Pitchers[[#This Row],[IP/GS]],(Pitchers[[#This Row],[WHIP]]*$AH$5+$AI$5)/9*(Pitchers[[#This Row],[IP]]/Pitchers[[#This Row],[G]]))</f>
        <v>0.40437611564619591</v>
      </c>
      <c r="X810" s="60">
        <f>Pitchers[[#This Row],[Runs from WHIP]]-AVERAGEIFS(Pitchers[Runs from WHIP],Pitchers[GS],"&gt;"&amp;0,Pitchers[IP],"&gt;"&amp;3)</f>
        <v>-5.2815397904786634</v>
      </c>
      <c r="Y810" s="60">
        <f>IF(Pitchers[[#This Row],[IP/GS]]&lt;&gt;0,Pitchers[[#This Row],[ER/IP From Average]]*Pitchers[[#This Row],[IP/GS]],Pitchers[[#This Row],[ER/IP From Average]]*(Pitchers[[#This Row],[IP]]/Pitchers[[#This Row],[G]]))</f>
        <v>0.29279952416054444</v>
      </c>
      <c r="Z810" s="60">
        <f t="shared" si="83"/>
        <v>-1.2912908011300923</v>
      </c>
      <c r="AA810" s="90">
        <f>IF(Pitchers[[#This Row],[W]]=0,0,Pitchers[[#This Row],[W]]/(Pitchers[[#This Row],[W]]+Pitchers[[#This Row],[L]]))</f>
        <v>0</v>
      </c>
    </row>
    <row r="811" spans="1:27" x14ac:dyDescent="0.25">
      <c r="A811" t="s">
        <v>1205</v>
      </c>
      <c r="B811" t="s">
        <v>14</v>
      </c>
      <c r="C811">
        <v>6</v>
      </c>
      <c r="D811">
        <v>0</v>
      </c>
      <c r="E811">
        <v>0</v>
      </c>
      <c r="F811">
        <v>0</v>
      </c>
      <c r="G811">
        <v>3.2</v>
      </c>
      <c r="H811">
        <v>5</v>
      </c>
      <c r="I811">
        <v>3</v>
      </c>
      <c r="J811">
        <v>5</v>
      </c>
      <c r="K811">
        <v>3</v>
      </c>
      <c r="L811">
        <v>1</v>
      </c>
      <c r="M811">
        <v>0</v>
      </c>
      <c r="N811">
        <v>0</v>
      </c>
      <c r="O811">
        <v>0</v>
      </c>
      <c r="P811">
        <v>0</v>
      </c>
      <c r="Q811">
        <v>0</v>
      </c>
      <c r="R811">
        <v>7.36</v>
      </c>
      <c r="S811">
        <v>2.1800000000000002</v>
      </c>
      <c r="T811">
        <f t="shared" si="81"/>
        <v>0</v>
      </c>
      <c r="U811">
        <f t="shared" si="82"/>
        <v>0.9375</v>
      </c>
      <c r="V811" s="60">
        <f>U811-AVERAGEIFS(Pitchers[ER/IP],Pitchers[GS],"&gt;"&amp;0,Pitchers[IP],"&gt;"&amp;3)</f>
        <v>0.36599940520068053</v>
      </c>
      <c r="W811" s="60">
        <f>IF(Pitchers[[#This Row],[IP/GS]]&lt;&gt;0,(Pitchers[[#This Row],[WHIP]]*$AH$5+$AI$5)/9*Pitchers[[#This Row],[IP/GS]],(Pitchers[[#This Row],[WHIP]]*$AH$5+$AI$5)/9*(Pitchers[[#This Row],[IP]]/Pitchers[[#This Row],[G]]))</f>
        <v>0.49663655826684611</v>
      </c>
      <c r="X811" s="60">
        <f>Pitchers[[#This Row],[Runs from WHIP]]-AVERAGEIFS(Pitchers[Runs from WHIP],Pitchers[GS],"&gt;"&amp;0,Pitchers[IP],"&gt;"&amp;3)</f>
        <v>-5.1892793478580135</v>
      </c>
      <c r="Y811" s="60">
        <f>IF(Pitchers[[#This Row],[IP/GS]]&lt;&gt;0,Pitchers[[#This Row],[ER/IP From Average]]*Pitchers[[#This Row],[IP/GS]],Pitchers[[#This Row],[ER/IP From Average]]*(Pitchers[[#This Row],[IP]]/Pitchers[[#This Row],[G]]))</f>
        <v>0.19519968277369629</v>
      </c>
      <c r="Z811" s="60">
        <f t="shared" si="83"/>
        <v>-1.3057279529859918</v>
      </c>
      <c r="AA811" s="90">
        <f>IF(Pitchers[[#This Row],[W]]=0,0,Pitchers[[#This Row],[W]]/(Pitchers[[#This Row],[W]]+Pitchers[[#This Row],[L]]))</f>
        <v>0</v>
      </c>
    </row>
    <row r="812" spans="1:27" x14ac:dyDescent="0.25">
      <c r="A812" t="s">
        <v>4914</v>
      </c>
      <c r="B812" t="s">
        <v>12</v>
      </c>
      <c r="C812">
        <v>2</v>
      </c>
      <c r="D812">
        <v>0</v>
      </c>
      <c r="E812">
        <v>0</v>
      </c>
      <c r="F812">
        <v>0</v>
      </c>
      <c r="G812">
        <v>3.2</v>
      </c>
      <c r="H812">
        <v>5</v>
      </c>
      <c r="I812">
        <v>3</v>
      </c>
      <c r="J812">
        <v>4</v>
      </c>
      <c r="K812">
        <v>2</v>
      </c>
      <c r="L812">
        <v>0</v>
      </c>
      <c r="M812">
        <v>0</v>
      </c>
      <c r="N812">
        <v>0</v>
      </c>
      <c r="O812">
        <v>0</v>
      </c>
      <c r="P812">
        <v>0</v>
      </c>
      <c r="Q812">
        <v>0</v>
      </c>
      <c r="R812">
        <v>7.36</v>
      </c>
      <c r="S812">
        <v>1.91</v>
      </c>
      <c r="T812">
        <f t="shared" si="81"/>
        <v>0</v>
      </c>
      <c r="U812">
        <f t="shared" si="82"/>
        <v>0.9375</v>
      </c>
      <c r="V812" s="60">
        <f>U812-AVERAGEIFS(Pitchers[ER/IP],Pitchers[GS],"&gt;"&amp;0,Pitchers[IP],"&gt;"&amp;3)</f>
        <v>0.36599940520068053</v>
      </c>
      <c r="W812" s="60">
        <f>IF(Pitchers[[#This Row],[IP/GS]]&lt;&gt;0,(Pitchers[[#This Row],[WHIP]]*$AH$5+$AI$5)/9*Pitchers[[#This Row],[IP/GS]],(Pitchers[[#This Row],[WHIP]]*$AH$5+$AI$5)/9*(Pitchers[[#This Row],[IP]]/Pitchers[[#This Row],[G]]))</f>
        <v>1.2656261263283435</v>
      </c>
      <c r="X812" s="60">
        <f>Pitchers[[#This Row],[Runs from WHIP]]-AVERAGEIFS(Pitchers[Runs from WHIP],Pitchers[GS],"&gt;"&amp;0,Pitchers[IP],"&gt;"&amp;3)</f>
        <v>-4.4202897797965157</v>
      </c>
      <c r="Y812" s="60">
        <f>IF(Pitchers[[#This Row],[IP/GS]]&lt;&gt;0,Pitchers[[#This Row],[ER/IP From Average]]*Pitchers[[#This Row],[IP/GS]],Pitchers[[#This Row],[ER/IP From Average]]*(Pitchers[[#This Row],[IP]]/Pitchers[[#This Row],[G]]))</f>
        <v>0.58559904832108889</v>
      </c>
      <c r="Z812" s="60">
        <f t="shared" si="83"/>
        <v>-0.94450432195063527</v>
      </c>
      <c r="AA812" s="90">
        <f>IF(Pitchers[[#This Row],[W]]=0,0,Pitchers[[#This Row],[W]]/(Pitchers[[#This Row],[W]]+Pitchers[[#This Row],[L]]))</f>
        <v>0</v>
      </c>
    </row>
    <row r="813" spans="1:27" x14ac:dyDescent="0.25">
      <c r="A813" t="s">
        <v>1426</v>
      </c>
      <c r="B813" t="s">
        <v>13</v>
      </c>
      <c r="C813">
        <v>2</v>
      </c>
      <c r="D813">
        <v>0</v>
      </c>
      <c r="E813">
        <v>0</v>
      </c>
      <c r="F813">
        <v>0</v>
      </c>
      <c r="G813">
        <v>3.2</v>
      </c>
      <c r="H813">
        <v>4</v>
      </c>
      <c r="I813">
        <v>0</v>
      </c>
      <c r="J813">
        <v>5</v>
      </c>
      <c r="K813">
        <v>2</v>
      </c>
      <c r="L813">
        <v>0</v>
      </c>
      <c r="M813">
        <v>0</v>
      </c>
      <c r="N813">
        <v>0</v>
      </c>
      <c r="O813">
        <v>0</v>
      </c>
      <c r="P813">
        <v>0</v>
      </c>
      <c r="Q813">
        <v>0</v>
      </c>
      <c r="R813">
        <v>0</v>
      </c>
      <c r="S813">
        <v>1.64</v>
      </c>
      <c r="T813">
        <f t="shared" si="81"/>
        <v>0</v>
      </c>
      <c r="U813">
        <f t="shared" si="82"/>
        <v>0</v>
      </c>
      <c r="V813" s="60">
        <f>U813-AVERAGEIFS(Pitchers[ER/IP],Pitchers[GS],"&gt;"&amp;0,Pitchers[IP],"&gt;"&amp;3)</f>
        <v>-0.57150059479931947</v>
      </c>
      <c r="W813" s="60">
        <f>IF(Pitchers[[#This Row],[IP/GS]]&lt;&gt;0,(Pitchers[[#This Row],[WHIP]]*$AH$5+$AI$5)/9*Pitchers[[#This Row],[IP/GS]],(Pitchers[[#This Row],[WHIP]]*$AH$5+$AI$5)/9*(Pitchers[[#This Row],[IP]]/Pitchers[[#This Row],[G]]))</f>
        <v>1.0413425778561489</v>
      </c>
      <c r="X813" s="60">
        <f>Pitchers[[#This Row],[Runs from WHIP]]-AVERAGEIFS(Pitchers[Runs from WHIP],Pitchers[GS],"&gt;"&amp;0,Pitchers[IP],"&gt;"&amp;3)</f>
        <v>-4.6445733282687103</v>
      </c>
      <c r="Y813" s="60">
        <f>IF(Pitchers[[#This Row],[IP/GS]]&lt;&gt;0,Pitchers[[#This Row],[ER/IP From Average]]*Pitchers[[#This Row],[IP/GS]],Pitchers[[#This Row],[ER/IP From Average]]*(Pitchers[[#This Row],[IP]]/Pitchers[[#This Row],[G]]))</f>
        <v>-0.91440095167891122</v>
      </c>
      <c r="Z813" s="60">
        <f t="shared" si="83"/>
        <v>-1.6043132682098868</v>
      </c>
      <c r="AA813" s="90">
        <f>IF(Pitchers[[#This Row],[W]]=0,0,Pitchers[[#This Row],[W]]/(Pitchers[[#This Row],[W]]+Pitchers[[#This Row],[L]]))</f>
        <v>0</v>
      </c>
    </row>
    <row r="814" spans="1:27" x14ac:dyDescent="0.25">
      <c r="A814" t="s">
        <v>721</v>
      </c>
      <c r="B814" t="s">
        <v>1</v>
      </c>
      <c r="C814">
        <v>4</v>
      </c>
      <c r="D814">
        <v>0</v>
      </c>
      <c r="E814">
        <v>0</v>
      </c>
      <c r="F814">
        <v>0</v>
      </c>
      <c r="G814">
        <v>3.2</v>
      </c>
      <c r="H814">
        <v>8</v>
      </c>
      <c r="I814">
        <v>6</v>
      </c>
      <c r="J814">
        <v>3</v>
      </c>
      <c r="K814">
        <v>3</v>
      </c>
      <c r="L814">
        <v>1</v>
      </c>
      <c r="M814">
        <v>0</v>
      </c>
      <c r="N814">
        <v>1</v>
      </c>
      <c r="O814">
        <v>0</v>
      </c>
      <c r="P814">
        <v>0</v>
      </c>
      <c r="Q814">
        <v>0</v>
      </c>
      <c r="R814">
        <v>14.73</v>
      </c>
      <c r="S814">
        <v>3</v>
      </c>
      <c r="T814">
        <f t="shared" si="81"/>
        <v>0</v>
      </c>
      <c r="U814">
        <f t="shared" si="82"/>
        <v>1.875</v>
      </c>
      <c r="V814" s="60">
        <f>U814-AVERAGEIFS(Pitchers[ER/IP],Pitchers[GS],"&gt;"&amp;0,Pitchers[IP],"&gt;"&amp;3)</f>
        <v>1.3034994052006805</v>
      </c>
      <c r="W814" s="60">
        <f>IF(Pitchers[[#This Row],[IP/GS]]&lt;&gt;0,(Pitchers[[#This Row],[WHIP]]*$AH$5+$AI$5)/9*Pitchers[[#This Row],[IP/GS]],(Pitchers[[#This Row],[WHIP]]*$AH$5+$AI$5)/9*(Pitchers[[#This Row],[IP]]/Pitchers[[#This Row],[G]]))</f>
        <v>1.0855335591543427</v>
      </c>
      <c r="X814" s="60">
        <f>Pitchers[[#This Row],[Runs from WHIP]]-AVERAGEIFS(Pitchers[Runs from WHIP],Pitchers[GS],"&gt;"&amp;0,Pitchers[IP],"&gt;"&amp;3)</f>
        <v>-4.6003823469705161</v>
      </c>
      <c r="Y814" s="60">
        <f>IF(Pitchers[[#This Row],[IP/GS]]&lt;&gt;0,Pitchers[[#This Row],[ER/IP From Average]]*Pitchers[[#This Row],[IP/GS]],Pitchers[[#This Row],[ER/IP From Average]]*(Pitchers[[#This Row],[IP]]/Pitchers[[#This Row],[G]]))</f>
        <v>1.0427995241605446</v>
      </c>
      <c r="Z814" s="60">
        <f t="shared" si="83"/>
        <v>-0.8096488161945864</v>
      </c>
      <c r="AA814" s="90">
        <f>IF(Pitchers[[#This Row],[W]]=0,0,Pitchers[[#This Row],[W]]/(Pitchers[[#This Row],[W]]+Pitchers[[#This Row],[L]]))</f>
        <v>0</v>
      </c>
    </row>
    <row r="815" spans="1:27" x14ac:dyDescent="0.25">
      <c r="A815" t="s">
        <v>1197</v>
      </c>
      <c r="B815" t="s">
        <v>28</v>
      </c>
      <c r="C815">
        <v>2</v>
      </c>
      <c r="D815">
        <v>0</v>
      </c>
      <c r="E815">
        <v>0</v>
      </c>
      <c r="F815">
        <v>0</v>
      </c>
      <c r="G815">
        <v>3.2</v>
      </c>
      <c r="H815">
        <v>6</v>
      </c>
      <c r="I815">
        <v>6</v>
      </c>
      <c r="J815">
        <v>4</v>
      </c>
      <c r="K815">
        <v>2</v>
      </c>
      <c r="L815">
        <v>2</v>
      </c>
      <c r="M815">
        <v>0</v>
      </c>
      <c r="N815">
        <v>0</v>
      </c>
      <c r="O815">
        <v>0</v>
      </c>
      <c r="P815">
        <v>0</v>
      </c>
      <c r="Q815">
        <v>0</v>
      </c>
      <c r="R815">
        <v>14.73</v>
      </c>
      <c r="S815">
        <v>2.1800000000000002</v>
      </c>
      <c r="T815">
        <f t="shared" si="81"/>
        <v>0</v>
      </c>
      <c r="U815">
        <f t="shared" si="82"/>
        <v>1.875</v>
      </c>
      <c r="V815" s="60">
        <f>U815-AVERAGEIFS(Pitchers[ER/IP],Pitchers[GS],"&gt;"&amp;0,Pitchers[IP],"&gt;"&amp;3)</f>
        <v>1.3034994052006805</v>
      </c>
      <c r="W815" s="60">
        <f>IF(Pitchers[[#This Row],[IP/GS]]&lt;&gt;0,(Pitchers[[#This Row],[WHIP]]*$AH$5+$AI$5)/9*Pitchers[[#This Row],[IP/GS]],(Pitchers[[#This Row],[WHIP]]*$AH$5+$AI$5)/9*(Pitchers[[#This Row],[IP]]/Pitchers[[#This Row],[G]]))</f>
        <v>1.4899096748005385</v>
      </c>
      <c r="X815" s="60">
        <f>Pitchers[[#This Row],[Runs from WHIP]]-AVERAGEIFS(Pitchers[Runs from WHIP],Pitchers[GS],"&gt;"&amp;0,Pitchers[IP],"&gt;"&amp;3)</f>
        <v>-4.1960062313243203</v>
      </c>
      <c r="Y815" s="60">
        <f>IF(Pitchers[[#This Row],[IP/GS]]&lt;&gt;0,Pitchers[[#This Row],[ER/IP From Average]]*Pitchers[[#This Row],[IP/GS]],Pitchers[[#This Row],[ER/IP From Average]]*(Pitchers[[#This Row],[IP]]/Pitchers[[#This Row],[G]]))</f>
        <v>2.0855990483210891</v>
      </c>
      <c r="Z815" s="60">
        <f t="shared" si="83"/>
        <v>-0.28469537569138298</v>
      </c>
      <c r="AA815" s="90">
        <f>IF(Pitchers[[#This Row],[W]]=0,0,Pitchers[[#This Row],[W]]/(Pitchers[[#This Row],[W]]+Pitchers[[#This Row],[L]]))</f>
        <v>0</v>
      </c>
    </row>
    <row r="816" spans="1:27" x14ac:dyDescent="0.25">
      <c r="A816" t="s">
        <v>643</v>
      </c>
      <c r="B816" t="s">
        <v>332</v>
      </c>
      <c r="C816">
        <v>6</v>
      </c>
      <c r="D816">
        <v>0</v>
      </c>
      <c r="E816">
        <v>0</v>
      </c>
      <c r="F816">
        <v>0</v>
      </c>
      <c r="G816">
        <v>3.2</v>
      </c>
      <c r="H816">
        <v>3</v>
      </c>
      <c r="I816">
        <v>0</v>
      </c>
      <c r="J816">
        <v>3</v>
      </c>
      <c r="K816">
        <v>0</v>
      </c>
      <c r="L816">
        <v>0</v>
      </c>
      <c r="M816">
        <v>1</v>
      </c>
      <c r="N816">
        <v>0</v>
      </c>
      <c r="O816">
        <v>0</v>
      </c>
      <c r="P816">
        <v>0</v>
      </c>
      <c r="Q816">
        <v>0</v>
      </c>
      <c r="R816">
        <v>0</v>
      </c>
      <c r="S816">
        <v>0.82</v>
      </c>
      <c r="T816">
        <f t="shared" si="81"/>
        <v>0</v>
      </c>
      <c r="U816">
        <f t="shared" si="82"/>
        <v>0</v>
      </c>
      <c r="V816" s="60">
        <f>U816-AVERAGEIFS(Pitchers[ER/IP],Pitchers[GS],"&gt;"&amp;0,Pitchers[IP],"&gt;"&amp;3)</f>
        <v>-0.57150059479931947</v>
      </c>
      <c r="W816" s="60">
        <f>IF(Pitchers[[#This Row],[IP/GS]]&lt;&gt;0,(Pitchers[[#This Row],[WHIP]]*$AH$5+$AI$5)/9*Pitchers[[#This Row],[IP/GS]],(Pitchers[[#This Row],[WHIP]]*$AH$5+$AI$5)/9*(Pitchers[[#This Row],[IP]]/Pitchers[[#This Row],[G]]))</f>
        <v>0.12006171144933411</v>
      </c>
      <c r="X816" s="60">
        <f>Pitchers[[#This Row],[Runs from WHIP]]-AVERAGEIFS(Pitchers[Runs from WHIP],Pitchers[GS],"&gt;"&amp;0,Pitchers[IP],"&gt;"&amp;3)</f>
        <v>-5.5658541946755253</v>
      </c>
      <c r="Y816" s="60">
        <f>IF(Pitchers[[#This Row],[IP/GS]]&lt;&gt;0,Pitchers[[#This Row],[ER/IP From Average]]*Pitchers[[#This Row],[IP/GS]],Pitchers[[#This Row],[ER/IP From Average]]*(Pitchers[[#This Row],[IP]]/Pitchers[[#This Row],[G]]))</f>
        <v>-0.30480031722630374</v>
      </c>
      <c r="Z816" s="60">
        <f t="shared" si="83"/>
        <v>-1.6061479121373283</v>
      </c>
      <c r="AA816" s="90">
        <f>IF(Pitchers[[#This Row],[W]]=0,0,Pitchers[[#This Row],[W]]/(Pitchers[[#This Row],[W]]+Pitchers[[#This Row],[L]]))</f>
        <v>1</v>
      </c>
    </row>
    <row r="817" spans="1:27" x14ac:dyDescent="0.25">
      <c r="A817" t="s">
        <v>909</v>
      </c>
      <c r="B817" t="s">
        <v>2</v>
      </c>
      <c r="C817">
        <v>4</v>
      </c>
      <c r="D817">
        <v>0</v>
      </c>
      <c r="E817">
        <v>0</v>
      </c>
      <c r="F817">
        <v>0</v>
      </c>
      <c r="G817">
        <v>3.2</v>
      </c>
      <c r="H817">
        <v>6</v>
      </c>
      <c r="I817">
        <v>7</v>
      </c>
      <c r="J817">
        <v>2</v>
      </c>
      <c r="K817">
        <v>5</v>
      </c>
      <c r="L817">
        <v>1</v>
      </c>
      <c r="M817">
        <v>0</v>
      </c>
      <c r="N817">
        <v>0</v>
      </c>
      <c r="O817">
        <v>0</v>
      </c>
      <c r="P817">
        <v>0</v>
      </c>
      <c r="Q817">
        <v>0</v>
      </c>
      <c r="R817">
        <v>17.18</v>
      </c>
      <c r="S817">
        <v>3</v>
      </c>
      <c r="T817">
        <f t="shared" si="81"/>
        <v>0</v>
      </c>
      <c r="U817">
        <f t="shared" si="82"/>
        <v>2.1875</v>
      </c>
      <c r="V817" s="60">
        <f>U817-AVERAGEIFS(Pitchers[ER/IP],Pitchers[GS],"&gt;"&amp;0,Pitchers[IP],"&gt;"&amp;3)</f>
        <v>1.6159994052006805</v>
      </c>
      <c r="W817" s="60">
        <f>IF(Pitchers[[#This Row],[IP/GS]]&lt;&gt;0,(Pitchers[[#This Row],[WHIP]]*$AH$5+$AI$5)/9*Pitchers[[#This Row],[IP/GS]],(Pitchers[[#This Row],[WHIP]]*$AH$5+$AI$5)/9*(Pitchers[[#This Row],[IP]]/Pitchers[[#This Row],[G]]))</f>
        <v>1.0855335591543427</v>
      </c>
      <c r="X817" s="60">
        <f>Pitchers[[#This Row],[Runs from WHIP]]-AVERAGEIFS(Pitchers[Runs from WHIP],Pitchers[GS],"&gt;"&amp;0,Pitchers[IP],"&gt;"&amp;3)</f>
        <v>-4.6003823469705161</v>
      </c>
      <c r="Y817" s="60">
        <f>IF(Pitchers[[#This Row],[IP/GS]]&lt;&gt;0,Pitchers[[#This Row],[ER/IP From Average]]*Pitchers[[#This Row],[IP/GS]],Pitchers[[#This Row],[ER/IP From Average]]*(Pitchers[[#This Row],[IP]]/Pitchers[[#This Row],[G]]))</f>
        <v>1.2927995241605446</v>
      </c>
      <c r="Z817" s="60">
        <f t="shared" si="83"/>
        <v>-0.70964881619458631</v>
      </c>
      <c r="AA817" s="90">
        <f>IF(Pitchers[[#This Row],[W]]=0,0,Pitchers[[#This Row],[W]]/(Pitchers[[#This Row],[W]]+Pitchers[[#This Row],[L]]))</f>
        <v>0</v>
      </c>
    </row>
    <row r="818" spans="1:27" x14ac:dyDescent="0.25">
      <c r="A818" t="s">
        <v>1427</v>
      </c>
      <c r="B818" t="s">
        <v>8</v>
      </c>
      <c r="C818">
        <v>1</v>
      </c>
      <c r="D818">
        <v>1</v>
      </c>
      <c r="E818">
        <v>0</v>
      </c>
      <c r="F818">
        <v>0</v>
      </c>
      <c r="G818">
        <v>3.1</v>
      </c>
      <c r="H818">
        <v>4</v>
      </c>
      <c r="I818">
        <v>4</v>
      </c>
      <c r="J818">
        <v>3</v>
      </c>
      <c r="K818">
        <v>5</v>
      </c>
      <c r="L818">
        <v>2</v>
      </c>
      <c r="M818">
        <v>0</v>
      </c>
      <c r="N818">
        <v>1</v>
      </c>
      <c r="O818">
        <v>0</v>
      </c>
      <c r="P818">
        <v>0</v>
      </c>
      <c r="Q818">
        <v>0</v>
      </c>
      <c r="R818">
        <v>10.8</v>
      </c>
      <c r="S818">
        <v>2.7</v>
      </c>
      <c r="T818">
        <f t="shared" si="81"/>
        <v>3.1</v>
      </c>
      <c r="U818">
        <f t="shared" si="82"/>
        <v>1.2903225806451613</v>
      </c>
      <c r="V818" s="60">
        <f>U818-AVERAGEIFS(Pitchers[ER/IP],Pitchers[GS],"&gt;"&amp;0,Pitchers[IP],"&gt;"&amp;3)</f>
        <v>0.71882198584584178</v>
      </c>
      <c r="W818" s="60">
        <f>IF(Pitchers[[#This Row],[IP/GS]]&lt;&gt;0,(Pitchers[[#This Row],[WHIP]]*$AH$5+$AI$5)/9*Pitchers[[#This Row],[IP/GS]],(Pitchers[[#This Row],[WHIP]]*$AH$5+$AI$5)/9*(Pitchers[[#This Row],[IP]]/Pitchers[[#This Row],[G]]))</f>
        <v>3.7236099026509923</v>
      </c>
      <c r="X818" s="60">
        <f>Pitchers[[#This Row],[Runs from WHIP]]-AVERAGEIFS(Pitchers[Runs from WHIP],Pitchers[GS],"&gt;"&amp;0,Pitchers[IP],"&gt;"&amp;3)</f>
        <v>-1.9623060034738669</v>
      </c>
      <c r="Y818" s="60">
        <f>IF(Pitchers[[#This Row],[IP/GS]]&lt;&gt;0,Pitchers[[#This Row],[ER/IP From Average]]*Pitchers[[#This Row],[IP/GS]],Pitchers[[#This Row],[ER/IP From Average]]*(Pitchers[[#This Row],[IP]]/Pitchers[[#This Row],[G]]))</f>
        <v>2.2283481561221095</v>
      </c>
      <c r="Z818" s="60">
        <f t="shared" si="83"/>
        <v>0.36805766152247932</v>
      </c>
      <c r="AA818" s="90">
        <f>IF(Pitchers[[#This Row],[W]]=0,0,Pitchers[[#This Row],[W]]/(Pitchers[[#This Row],[W]]+Pitchers[[#This Row],[L]]))</f>
        <v>0</v>
      </c>
    </row>
    <row r="819" spans="1:27" x14ac:dyDescent="0.25">
      <c r="A819" t="s">
        <v>4407</v>
      </c>
      <c r="B819" t="s">
        <v>31</v>
      </c>
      <c r="C819">
        <v>6</v>
      </c>
      <c r="D819">
        <v>0</v>
      </c>
      <c r="E819">
        <v>0</v>
      </c>
      <c r="F819">
        <v>0</v>
      </c>
      <c r="G819">
        <v>3.1</v>
      </c>
      <c r="H819">
        <v>4</v>
      </c>
      <c r="I819">
        <v>0</v>
      </c>
      <c r="J819">
        <v>5</v>
      </c>
      <c r="K819">
        <v>2</v>
      </c>
      <c r="L819">
        <v>0</v>
      </c>
      <c r="M819">
        <v>0</v>
      </c>
      <c r="N819">
        <v>0</v>
      </c>
      <c r="O819">
        <v>0</v>
      </c>
      <c r="P819">
        <v>0</v>
      </c>
      <c r="Q819">
        <v>0</v>
      </c>
      <c r="R819">
        <v>0</v>
      </c>
      <c r="S819">
        <v>1.8</v>
      </c>
      <c r="T819">
        <f t="shared" si="81"/>
        <v>0</v>
      </c>
      <c r="U819">
        <f t="shared" si="82"/>
        <v>0</v>
      </c>
      <c r="V819" s="60">
        <f>U819-AVERAGEIFS(Pitchers[ER/IP],Pitchers[GS],"&gt;"&amp;0,Pitchers[IP],"&gt;"&amp;3)</f>
        <v>-0.57150059479931947</v>
      </c>
      <c r="W819" s="60">
        <f>IF(Pitchers[[#This Row],[IP/GS]]&lt;&gt;0,(Pitchers[[#This Row],[WHIP]]*$AH$5+$AI$5)/9*Pitchers[[#This Row],[IP/GS]],(Pitchers[[#This Row],[WHIP]]*$AH$5+$AI$5)/9*(Pitchers[[#This Row],[IP]]/Pitchers[[#This Row],[G]]))</f>
        <v>0.3791853309057891</v>
      </c>
      <c r="X819" s="60">
        <f>Pitchers[[#This Row],[Runs from WHIP]]-AVERAGEIFS(Pitchers[Runs from WHIP],Pitchers[GS],"&gt;"&amp;0,Pitchers[IP],"&gt;"&amp;3)</f>
        <v>-5.3067305752190705</v>
      </c>
      <c r="Y819" s="60">
        <f>IF(Pitchers[[#This Row],[IP/GS]]&lt;&gt;0,Pitchers[[#This Row],[ER/IP From Average]]*Pitchers[[#This Row],[IP/GS]],Pitchers[[#This Row],[ER/IP From Average]]*(Pitchers[[#This Row],[IP]]/Pitchers[[#This Row],[G]]))</f>
        <v>-0.29527530731298174</v>
      </c>
      <c r="Z819" s="60">
        <f t="shared" si="83"/>
        <v>-1.5332382763169452</v>
      </c>
      <c r="AA819" s="90">
        <f>IF(Pitchers[[#This Row],[W]]=0,0,Pitchers[[#This Row],[W]]/(Pitchers[[#This Row],[W]]+Pitchers[[#This Row],[L]]))</f>
        <v>0</v>
      </c>
    </row>
    <row r="820" spans="1:27" x14ac:dyDescent="0.25">
      <c r="A820" t="s">
        <v>725</v>
      </c>
      <c r="B820" t="s">
        <v>370</v>
      </c>
      <c r="C820">
        <v>4</v>
      </c>
      <c r="D820">
        <v>0</v>
      </c>
      <c r="E820">
        <v>0</v>
      </c>
      <c r="F820">
        <v>0</v>
      </c>
      <c r="G820">
        <v>3.1</v>
      </c>
      <c r="H820">
        <v>2</v>
      </c>
      <c r="I820">
        <v>0</v>
      </c>
      <c r="J820">
        <v>5</v>
      </c>
      <c r="K820">
        <v>1</v>
      </c>
      <c r="L820">
        <v>0</v>
      </c>
      <c r="M820">
        <v>0</v>
      </c>
      <c r="N820">
        <v>0</v>
      </c>
      <c r="O820">
        <v>0</v>
      </c>
      <c r="P820">
        <v>0</v>
      </c>
      <c r="Q820">
        <v>1</v>
      </c>
      <c r="R820">
        <v>0</v>
      </c>
      <c r="S820">
        <v>0.9</v>
      </c>
      <c r="T820">
        <f>IF(D820=0,0,G820/D820)</f>
        <v>0</v>
      </c>
      <c r="U820">
        <f>IF(G820=0,0,I820/G820)</f>
        <v>0</v>
      </c>
      <c r="V820" s="60">
        <f>U820-AVERAGEIFS(Pitchers[ER/IP],Pitchers[GS],"&gt;"&amp;0,Pitchers[IP],"&gt;"&amp;3)</f>
        <v>-0.57150059479931947</v>
      </c>
      <c r="W820" s="60">
        <f>IF(Pitchers[[#This Row],[IP/GS]]&lt;&gt;0,(Pitchers[[#This Row],[WHIP]]*$AH$5+$AI$5)/9*Pitchers[[#This Row],[IP/GS]],(Pitchers[[#This Row],[WHIP]]*$AH$5+$AI$5)/9*(Pitchers[[#This Row],[IP]]/Pitchers[[#This Row],[G]]))</f>
        <v>0.2066535170546194</v>
      </c>
      <c r="X820" s="60">
        <f>Pitchers[[#This Row],[Runs from WHIP]]-AVERAGEIFS(Pitchers[Runs from WHIP],Pitchers[GS],"&gt;"&amp;0,Pitchers[IP],"&gt;"&amp;3)</f>
        <v>-5.4792623890702394</v>
      </c>
      <c r="Y820" s="60">
        <f>IF(Pitchers[[#This Row],[IP/GS]]&lt;&gt;0,Pitchers[[#This Row],[ER/IP From Average]]*Pitchers[[#This Row],[IP/GS]],Pitchers[[#This Row],[ER/IP From Average]]*(Pitchers[[#This Row],[IP]]/Pitchers[[#This Row],[G]]))</f>
        <v>-0.44291296096947258</v>
      </c>
      <c r="Z820" s="60">
        <f>AVERAGE(X820,X820,Y820,Y820,Y820)/1.5</f>
        <v>-1.6383018214731864</v>
      </c>
      <c r="AA820" s="90">
        <f>IF(Pitchers[[#This Row],[W]]=0,0,Pitchers[[#This Row],[W]]/(Pitchers[[#This Row],[W]]+Pitchers[[#This Row],[L]]))</f>
        <v>0</v>
      </c>
    </row>
    <row r="821" spans="1:27" x14ac:dyDescent="0.25">
      <c r="A821" t="s">
        <v>1190</v>
      </c>
      <c r="B821" t="s">
        <v>219</v>
      </c>
      <c r="C821">
        <v>2</v>
      </c>
      <c r="D821">
        <v>0</v>
      </c>
      <c r="E821">
        <v>0</v>
      </c>
      <c r="F821">
        <v>0</v>
      </c>
      <c r="G821">
        <v>3.1</v>
      </c>
      <c r="H821">
        <v>4</v>
      </c>
      <c r="I821">
        <v>6</v>
      </c>
      <c r="J821">
        <v>2</v>
      </c>
      <c r="K821">
        <v>2</v>
      </c>
      <c r="L821">
        <v>1</v>
      </c>
      <c r="M821">
        <v>0</v>
      </c>
      <c r="N821">
        <v>0</v>
      </c>
      <c r="O821">
        <v>0</v>
      </c>
      <c r="P821">
        <v>0</v>
      </c>
      <c r="Q821">
        <v>0</v>
      </c>
      <c r="R821">
        <v>16.2</v>
      </c>
      <c r="S821">
        <v>1.8</v>
      </c>
      <c r="T821">
        <f t="shared" ref="T821:T856" si="84">IF(D821=0,0,G821/D821)</f>
        <v>0</v>
      </c>
      <c r="U821">
        <f t="shared" ref="U821:U856" si="85">IF(G821=0,0,I821/G821)</f>
        <v>1.9354838709677418</v>
      </c>
      <c r="V821" s="60">
        <f>U821-AVERAGEIFS(Pitchers[ER/IP],Pitchers[GS],"&gt;"&amp;0,Pitchers[IP],"&gt;"&amp;3)</f>
        <v>1.3639832761684223</v>
      </c>
      <c r="W821" s="60">
        <f>IF(Pitchers[[#This Row],[IP/GS]]&lt;&gt;0,(Pitchers[[#This Row],[WHIP]]*$AH$5+$AI$5)/9*Pitchers[[#This Row],[IP/GS]],(Pitchers[[#This Row],[WHIP]]*$AH$5+$AI$5)/9*(Pitchers[[#This Row],[IP]]/Pitchers[[#This Row],[G]]))</f>
        <v>1.1375559927173673</v>
      </c>
      <c r="X821" s="60">
        <f>Pitchers[[#This Row],[Runs from WHIP]]-AVERAGEIFS(Pitchers[Runs from WHIP],Pitchers[GS],"&gt;"&amp;0,Pitchers[IP],"&gt;"&amp;3)</f>
        <v>-4.5483599134074915</v>
      </c>
      <c r="Y821" s="60">
        <f>IF(Pitchers[[#This Row],[IP/GS]]&lt;&gt;0,Pitchers[[#This Row],[ER/IP From Average]]*Pitchers[[#This Row],[IP/GS]],Pitchers[[#This Row],[ER/IP From Average]]*(Pitchers[[#This Row],[IP]]/Pitchers[[#This Row],[G]]))</f>
        <v>2.1141740780610547</v>
      </c>
      <c r="Z821" s="60">
        <f t="shared" ref="Z821:Z856" si="86">AVERAGE(X821,X821,Y821,Y821,Y821)/1.5</f>
        <v>-0.36722634568424245</v>
      </c>
      <c r="AA821" s="90">
        <f>IF(Pitchers[[#This Row],[W]]=0,0,Pitchers[[#This Row],[W]]/(Pitchers[[#This Row],[W]]+Pitchers[[#This Row],[L]]))</f>
        <v>0</v>
      </c>
    </row>
    <row r="822" spans="1:27" x14ac:dyDescent="0.25">
      <c r="A822" t="s">
        <v>1441</v>
      </c>
      <c r="B822" t="s">
        <v>19</v>
      </c>
      <c r="C822">
        <v>4</v>
      </c>
      <c r="D822">
        <v>0</v>
      </c>
      <c r="E822">
        <v>0</v>
      </c>
      <c r="F822">
        <v>0</v>
      </c>
      <c r="G822">
        <v>3.1</v>
      </c>
      <c r="H822">
        <v>4</v>
      </c>
      <c r="I822">
        <v>2</v>
      </c>
      <c r="J822">
        <v>2</v>
      </c>
      <c r="K822">
        <v>4</v>
      </c>
      <c r="L822">
        <v>0</v>
      </c>
      <c r="M822">
        <v>0</v>
      </c>
      <c r="N822">
        <v>0</v>
      </c>
      <c r="O822">
        <v>0</v>
      </c>
      <c r="P822">
        <v>0</v>
      </c>
      <c r="Q822">
        <v>0</v>
      </c>
      <c r="R822">
        <v>5.4</v>
      </c>
      <c r="S822">
        <v>2.4</v>
      </c>
      <c r="T822">
        <f t="shared" si="84"/>
        <v>0</v>
      </c>
      <c r="U822">
        <f t="shared" si="85"/>
        <v>0.64516129032258063</v>
      </c>
      <c r="V822" s="60">
        <f>U822-AVERAGEIFS(Pitchers[ER/IP],Pitchers[GS],"&gt;"&amp;0,Pitchers[IP],"&gt;"&amp;3)</f>
        <v>7.3660695523261155E-2</v>
      </c>
      <c r="W822" s="60">
        <f>IF(Pitchers[[#This Row],[IP/GS]]&lt;&gt;0,(Pitchers[[#This Row],[WHIP]]*$AH$5+$AI$5)/9*Pitchers[[#This Row],[IP/GS]],(Pitchers[[#This Row],[WHIP]]*$AH$5+$AI$5)/9*(Pitchers[[#This Row],[IP]]/Pitchers[[#This Row],[G]]))</f>
        <v>0.81019431589472646</v>
      </c>
      <c r="X822" s="60">
        <f>Pitchers[[#This Row],[Runs from WHIP]]-AVERAGEIFS(Pitchers[Runs from WHIP],Pitchers[GS],"&gt;"&amp;0,Pitchers[IP],"&gt;"&amp;3)</f>
        <v>-4.8757215902301327</v>
      </c>
      <c r="Y822" s="60">
        <f>IF(Pitchers[[#This Row],[IP/GS]]&lt;&gt;0,Pitchers[[#This Row],[ER/IP From Average]]*Pitchers[[#This Row],[IP/GS]],Pitchers[[#This Row],[ER/IP From Average]]*(Pitchers[[#This Row],[IP]]/Pitchers[[#This Row],[G]]))</f>
        <v>5.7087039030527399E-2</v>
      </c>
      <c r="Z822" s="60">
        <f t="shared" si="86"/>
        <v>-1.2773576084491578</v>
      </c>
      <c r="AA822" s="90">
        <f>IF(Pitchers[[#This Row],[W]]=0,0,Pitchers[[#This Row],[W]]/(Pitchers[[#This Row],[W]]+Pitchers[[#This Row],[L]]))</f>
        <v>0</v>
      </c>
    </row>
    <row r="823" spans="1:27" x14ac:dyDescent="0.25">
      <c r="A823" t="s">
        <v>739</v>
      </c>
      <c r="B823" t="s">
        <v>340</v>
      </c>
      <c r="C823">
        <v>3</v>
      </c>
      <c r="D823">
        <v>0</v>
      </c>
      <c r="E823">
        <v>0</v>
      </c>
      <c r="F823">
        <v>0</v>
      </c>
      <c r="G823">
        <v>3.1</v>
      </c>
      <c r="H823">
        <v>3</v>
      </c>
      <c r="I823">
        <v>2</v>
      </c>
      <c r="J823">
        <v>5</v>
      </c>
      <c r="K823">
        <v>2</v>
      </c>
      <c r="L823">
        <v>0</v>
      </c>
      <c r="M823">
        <v>0</v>
      </c>
      <c r="N823">
        <v>1</v>
      </c>
      <c r="O823">
        <v>0</v>
      </c>
      <c r="P823">
        <v>0</v>
      </c>
      <c r="Q823">
        <v>1</v>
      </c>
      <c r="R823">
        <v>5.4</v>
      </c>
      <c r="S823">
        <v>1.5</v>
      </c>
      <c r="T823">
        <f t="shared" si="84"/>
        <v>0</v>
      </c>
      <c r="U823">
        <f t="shared" si="85"/>
        <v>0.64516129032258063</v>
      </c>
      <c r="V823" s="60">
        <f>U823-AVERAGEIFS(Pitchers[ER/IP],Pitchers[GS],"&gt;"&amp;0,Pitchers[IP],"&gt;"&amp;3)</f>
        <v>7.3660695523261155E-2</v>
      </c>
      <c r="W823" s="60">
        <f>IF(Pitchers[[#This Row],[IP/GS]]&lt;&gt;0,(Pitchers[[#This Row],[WHIP]]*$AH$5+$AI$5)/9*Pitchers[[#This Row],[IP/GS]],(Pitchers[[#This Row],[WHIP]]*$AH$5+$AI$5)/9*(Pitchers[[#This Row],[IP]]/Pitchers[[#This Row],[G]]))</f>
        <v>0.59742644878754969</v>
      </c>
      <c r="X823" s="60">
        <f>Pitchers[[#This Row],[Runs from WHIP]]-AVERAGEIFS(Pitchers[Runs from WHIP],Pitchers[GS],"&gt;"&amp;0,Pitchers[IP],"&gt;"&amp;3)</f>
        <v>-5.0884894573373094</v>
      </c>
      <c r="Y823" s="60">
        <f>IF(Pitchers[[#This Row],[IP/GS]]&lt;&gt;0,Pitchers[[#This Row],[ER/IP From Average]]*Pitchers[[#This Row],[IP/GS]],Pitchers[[#This Row],[ER/IP From Average]]*(Pitchers[[#This Row],[IP]]/Pitchers[[#This Row],[G]]))</f>
        <v>7.6116052040703194E-2</v>
      </c>
      <c r="Z823" s="60">
        <f t="shared" si="86"/>
        <v>-1.3264841011403345</v>
      </c>
      <c r="AA823" s="90">
        <f>IF(Pitchers[[#This Row],[W]]=0,0,Pitchers[[#This Row],[W]]/(Pitchers[[#This Row],[W]]+Pitchers[[#This Row],[L]]))</f>
        <v>0</v>
      </c>
    </row>
    <row r="824" spans="1:27" x14ac:dyDescent="0.25">
      <c r="A824" t="s">
        <v>742</v>
      </c>
      <c r="B824" t="s">
        <v>1</v>
      </c>
      <c r="C824">
        <v>4</v>
      </c>
      <c r="D824">
        <v>0</v>
      </c>
      <c r="E824">
        <v>0</v>
      </c>
      <c r="F824">
        <v>0</v>
      </c>
      <c r="G824">
        <v>3.1</v>
      </c>
      <c r="H824">
        <v>2</v>
      </c>
      <c r="I824">
        <v>3</v>
      </c>
      <c r="J824">
        <v>3</v>
      </c>
      <c r="K824">
        <v>0</v>
      </c>
      <c r="L824">
        <v>1</v>
      </c>
      <c r="M824">
        <v>0</v>
      </c>
      <c r="N824">
        <v>1</v>
      </c>
      <c r="O824">
        <v>2</v>
      </c>
      <c r="P824">
        <v>1</v>
      </c>
      <c r="Q824">
        <v>0</v>
      </c>
      <c r="R824">
        <v>8.1</v>
      </c>
      <c r="S824">
        <v>0.6</v>
      </c>
      <c r="T824">
        <f t="shared" si="84"/>
        <v>0</v>
      </c>
      <c r="U824">
        <f t="shared" si="85"/>
        <v>0.96774193548387089</v>
      </c>
      <c r="V824" s="60">
        <f>U824-AVERAGEIFS(Pitchers[ER/IP],Pitchers[GS],"&gt;"&amp;0,Pitchers[IP],"&gt;"&amp;3)</f>
        <v>0.39624134068455141</v>
      </c>
      <c r="W824" s="60">
        <f>IF(Pitchers[[#This Row],[IP/GS]]&lt;&gt;0,(Pitchers[[#This Row],[WHIP]]*$AH$5+$AI$5)/9*Pitchers[[#This Row],[IP/GS]],(Pitchers[[#This Row],[WHIP]]*$AH$5+$AI$5)/9*(Pitchers[[#This Row],[IP]]/Pitchers[[#This Row],[G]]))</f>
        <v>8.5945357286597981E-2</v>
      </c>
      <c r="X824" s="60">
        <f>Pitchers[[#This Row],[Runs from WHIP]]-AVERAGEIFS(Pitchers[Runs from WHIP],Pitchers[GS],"&gt;"&amp;0,Pitchers[IP],"&gt;"&amp;3)</f>
        <v>-5.599970548838261</v>
      </c>
      <c r="Y824" s="60">
        <f>IF(Pitchers[[#This Row],[IP/GS]]&lt;&gt;0,Pitchers[[#This Row],[ER/IP From Average]]*Pitchers[[#This Row],[IP/GS]],Pitchers[[#This Row],[ER/IP From Average]]*(Pitchers[[#This Row],[IP]]/Pitchers[[#This Row],[G]]))</f>
        <v>0.30708703903052736</v>
      </c>
      <c r="Z824" s="60">
        <f t="shared" si="86"/>
        <v>-1.3704906640779919</v>
      </c>
      <c r="AA824" s="90">
        <f>IF(Pitchers[[#This Row],[W]]=0,0,Pitchers[[#This Row],[W]]/(Pitchers[[#This Row],[W]]+Pitchers[[#This Row],[L]]))</f>
        <v>0</v>
      </c>
    </row>
    <row r="825" spans="1:27" x14ac:dyDescent="0.25">
      <c r="A825" t="s">
        <v>4125</v>
      </c>
      <c r="B825" t="s">
        <v>218</v>
      </c>
      <c r="C825">
        <v>1</v>
      </c>
      <c r="D825">
        <v>0</v>
      </c>
      <c r="E825">
        <v>0</v>
      </c>
      <c r="F825">
        <v>0</v>
      </c>
      <c r="G825">
        <v>3</v>
      </c>
      <c r="H825">
        <v>3</v>
      </c>
      <c r="I825">
        <v>1</v>
      </c>
      <c r="J825">
        <v>0</v>
      </c>
      <c r="K825">
        <v>0</v>
      </c>
      <c r="L825">
        <v>1</v>
      </c>
      <c r="M825">
        <v>0</v>
      </c>
      <c r="N825">
        <v>0</v>
      </c>
      <c r="O825">
        <v>1</v>
      </c>
      <c r="P825">
        <v>0</v>
      </c>
      <c r="Q825">
        <v>0</v>
      </c>
      <c r="R825">
        <v>3</v>
      </c>
      <c r="S825">
        <v>1</v>
      </c>
      <c r="T825">
        <f t="shared" si="84"/>
        <v>0</v>
      </c>
      <c r="U825">
        <f t="shared" si="85"/>
        <v>0.33333333333333331</v>
      </c>
      <c r="V825" s="60">
        <f>U825-AVERAGEIFS(Pitchers[ER/IP],Pitchers[GS],"&gt;"&amp;0,Pitchers[IP],"&gt;"&amp;3)</f>
        <v>-0.23816726146598616</v>
      </c>
      <c r="W825" s="60">
        <f>IF(Pitchers[[#This Row],[IP/GS]]&lt;&gt;0,(Pitchers[[#This Row],[WHIP]]*$AH$5+$AI$5)/9*Pitchers[[#This Row],[IP/GS]],(Pitchers[[#This Row],[WHIP]]*$AH$5+$AI$5)/9*(Pitchers[[#This Row],[IP]]/Pitchers[[#This Row],[G]]))</f>
        <v>0.95570156249274785</v>
      </c>
      <c r="X825" s="60">
        <f>Pitchers[[#This Row],[Runs from WHIP]]-AVERAGEIFS(Pitchers[Runs from WHIP],Pitchers[GS],"&gt;"&amp;0,Pitchers[IP],"&gt;"&amp;3)</f>
        <v>-4.7302143436321114</v>
      </c>
      <c r="Y825" s="60">
        <f>IF(Pitchers[[#This Row],[IP/GS]]&lt;&gt;0,Pitchers[[#This Row],[ER/IP From Average]]*Pitchers[[#This Row],[IP/GS]],Pitchers[[#This Row],[ER/IP From Average]]*(Pitchers[[#This Row],[IP]]/Pitchers[[#This Row],[G]]))</f>
        <v>-0.71450178439795842</v>
      </c>
      <c r="Z825" s="60">
        <f t="shared" si="86"/>
        <v>-1.547191205394413</v>
      </c>
      <c r="AA825" s="90">
        <f>IF(Pitchers[[#This Row],[W]]=0,0,Pitchers[[#This Row],[W]]/(Pitchers[[#This Row],[W]]+Pitchers[[#This Row],[L]]))</f>
        <v>0</v>
      </c>
    </row>
    <row r="826" spans="1:27" x14ac:dyDescent="0.25">
      <c r="A826" t="s">
        <v>729</v>
      </c>
      <c r="B826" t="s">
        <v>24</v>
      </c>
      <c r="C826">
        <v>4</v>
      </c>
      <c r="D826">
        <v>0</v>
      </c>
      <c r="E826">
        <v>0</v>
      </c>
      <c r="F826">
        <v>0</v>
      </c>
      <c r="G826">
        <v>3</v>
      </c>
      <c r="H826">
        <v>2</v>
      </c>
      <c r="I826">
        <v>5</v>
      </c>
      <c r="J826">
        <v>1</v>
      </c>
      <c r="K826">
        <v>6</v>
      </c>
      <c r="L826">
        <v>1</v>
      </c>
      <c r="M826">
        <v>0</v>
      </c>
      <c r="N826">
        <v>1</v>
      </c>
      <c r="O826">
        <v>0</v>
      </c>
      <c r="P826">
        <v>0</v>
      </c>
      <c r="Q826">
        <v>2</v>
      </c>
      <c r="R826">
        <v>15</v>
      </c>
      <c r="S826">
        <v>2.67</v>
      </c>
      <c r="T826">
        <f t="shared" si="84"/>
        <v>0</v>
      </c>
      <c r="U826">
        <f t="shared" si="85"/>
        <v>1.6666666666666667</v>
      </c>
      <c r="V826" s="60">
        <f>U826-AVERAGEIFS(Pitchers[ER/IP],Pitchers[GS],"&gt;"&amp;0,Pitchers[IP],"&gt;"&amp;3)</f>
        <v>1.0951660718673473</v>
      </c>
      <c r="W826" s="60">
        <f>IF(Pitchers[[#This Row],[IP/GS]]&lt;&gt;0,(Pitchers[[#This Row],[WHIP]]*$AH$5+$AI$5)/9*Pitchers[[#This Row],[IP/GS]],(Pitchers[[#This Row],[WHIP]]*$AH$5+$AI$5)/9*(Pitchers[[#This Row],[IP]]/Pitchers[[#This Row],[G]]))</f>
        <v>0.88919192872833452</v>
      </c>
      <c r="X826" s="60">
        <f>Pitchers[[#This Row],[Runs from WHIP]]-AVERAGEIFS(Pitchers[Runs from WHIP],Pitchers[GS],"&gt;"&amp;0,Pitchers[IP],"&gt;"&amp;3)</f>
        <v>-4.7967239773965247</v>
      </c>
      <c r="Y826" s="60">
        <f>IF(Pitchers[[#This Row],[IP/GS]]&lt;&gt;0,Pitchers[[#This Row],[ER/IP From Average]]*Pitchers[[#This Row],[IP/GS]],Pitchers[[#This Row],[ER/IP From Average]]*(Pitchers[[#This Row],[IP]]/Pitchers[[#This Row],[G]]))</f>
        <v>0.8213745539005104</v>
      </c>
      <c r="Z826" s="60">
        <f t="shared" si="86"/>
        <v>-0.9505765724122025</v>
      </c>
      <c r="AA826" s="90">
        <f>IF(Pitchers[[#This Row],[W]]=0,0,Pitchers[[#This Row],[W]]/(Pitchers[[#This Row],[W]]+Pitchers[[#This Row],[L]]))</f>
        <v>0</v>
      </c>
    </row>
    <row r="827" spans="1:27" x14ac:dyDescent="0.25">
      <c r="A827" t="s">
        <v>644</v>
      </c>
      <c r="B827" t="s">
        <v>29</v>
      </c>
      <c r="C827">
        <v>7</v>
      </c>
      <c r="D827">
        <v>0</v>
      </c>
      <c r="E827">
        <v>0</v>
      </c>
      <c r="F827">
        <v>0</v>
      </c>
      <c r="G827">
        <v>3</v>
      </c>
      <c r="H827">
        <v>6</v>
      </c>
      <c r="I827">
        <v>2</v>
      </c>
      <c r="J827">
        <v>4</v>
      </c>
      <c r="K827">
        <v>3</v>
      </c>
      <c r="L827">
        <v>1</v>
      </c>
      <c r="M827">
        <v>0</v>
      </c>
      <c r="N827">
        <v>0</v>
      </c>
      <c r="O827">
        <v>0</v>
      </c>
      <c r="P827">
        <v>0</v>
      </c>
      <c r="Q827">
        <v>0</v>
      </c>
      <c r="R827">
        <v>6</v>
      </c>
      <c r="S827">
        <v>3</v>
      </c>
      <c r="T827">
        <f t="shared" si="84"/>
        <v>0</v>
      </c>
      <c r="U827">
        <f t="shared" si="85"/>
        <v>0.66666666666666663</v>
      </c>
      <c r="V827" s="60">
        <f>U827-AVERAGEIFS(Pitchers[ER/IP],Pitchers[GS],"&gt;"&amp;0,Pitchers[IP],"&gt;"&amp;3)</f>
        <v>9.5166071867347157E-2</v>
      </c>
      <c r="W827" s="60">
        <f>IF(Pitchers[[#This Row],[IP/GS]]&lt;&gt;0,(Pitchers[[#This Row],[WHIP]]*$AH$5+$AI$5)/9*Pitchers[[#This Row],[IP/GS]],(Pitchers[[#This Row],[WHIP]]*$AH$5+$AI$5)/9*(Pitchers[[#This Row],[IP]]/Pitchers[[#This Row],[G]]))</f>
        <v>0.58153583526125496</v>
      </c>
      <c r="X827" s="60">
        <f>Pitchers[[#This Row],[Runs from WHIP]]-AVERAGEIFS(Pitchers[Runs from WHIP],Pitchers[GS],"&gt;"&amp;0,Pitchers[IP],"&gt;"&amp;3)</f>
        <v>-5.1043800708636038</v>
      </c>
      <c r="Y827" s="60">
        <f>IF(Pitchers[[#This Row],[IP/GS]]&lt;&gt;0,Pitchers[[#This Row],[ER/IP From Average]]*Pitchers[[#This Row],[IP/GS]],Pitchers[[#This Row],[ER/IP From Average]]*(Pitchers[[#This Row],[IP]]/Pitchers[[#This Row],[G]]))</f>
        <v>4.0785459371720206E-2</v>
      </c>
      <c r="Z827" s="60">
        <f t="shared" si="86"/>
        <v>-1.3448538351482728</v>
      </c>
      <c r="AA827" s="90">
        <f>IF(Pitchers[[#This Row],[W]]=0,0,Pitchers[[#This Row],[W]]/(Pitchers[[#This Row],[W]]+Pitchers[[#This Row],[L]]))</f>
        <v>0</v>
      </c>
    </row>
    <row r="828" spans="1:27" x14ac:dyDescent="0.25">
      <c r="A828" t="s">
        <v>1274</v>
      </c>
      <c r="B828" t="s">
        <v>1</v>
      </c>
      <c r="C828">
        <v>2</v>
      </c>
      <c r="D828">
        <v>0</v>
      </c>
      <c r="E828">
        <v>0</v>
      </c>
      <c r="F828">
        <v>0</v>
      </c>
      <c r="G828">
        <v>3</v>
      </c>
      <c r="H828">
        <v>4</v>
      </c>
      <c r="I828">
        <v>4</v>
      </c>
      <c r="J828">
        <v>1</v>
      </c>
      <c r="K828">
        <v>1</v>
      </c>
      <c r="L828">
        <v>2</v>
      </c>
      <c r="M828">
        <v>0</v>
      </c>
      <c r="N828">
        <v>0</v>
      </c>
      <c r="O828">
        <v>0</v>
      </c>
      <c r="P828">
        <v>0</v>
      </c>
      <c r="Q828">
        <v>0</v>
      </c>
      <c r="R828">
        <v>12</v>
      </c>
      <c r="S828">
        <v>1.67</v>
      </c>
      <c r="T828">
        <f t="shared" si="84"/>
        <v>0</v>
      </c>
      <c r="U828">
        <f t="shared" si="85"/>
        <v>1.3333333333333333</v>
      </c>
      <c r="V828" s="60">
        <f>U828-AVERAGEIFS(Pitchers[ER/IP],Pitchers[GS],"&gt;"&amp;0,Pitchers[IP],"&gt;"&amp;3)</f>
        <v>0.76183273853401379</v>
      </c>
      <c r="W828" s="60">
        <f>IF(Pitchers[[#This Row],[IP/GS]]&lt;&gt;0,(Pitchers[[#This Row],[WHIP]]*$AH$5+$AI$5)/9*Pitchers[[#This Row],[IP/GS]],(Pitchers[[#This Row],[WHIP]]*$AH$5+$AI$5)/9*(Pitchers[[#This Row],[IP]]/Pitchers[[#This Row],[G]]))</f>
        <v>0.99962153637265994</v>
      </c>
      <c r="X828" s="60">
        <f>Pitchers[[#This Row],[Runs from WHIP]]-AVERAGEIFS(Pitchers[Runs from WHIP],Pitchers[GS],"&gt;"&amp;0,Pitchers[IP],"&gt;"&amp;3)</f>
        <v>-4.6862943697521988</v>
      </c>
      <c r="Y828" s="60">
        <f>IF(Pitchers[[#This Row],[IP/GS]]&lt;&gt;0,Pitchers[[#This Row],[ER/IP From Average]]*Pitchers[[#This Row],[IP/GS]],Pitchers[[#This Row],[ER/IP From Average]]*(Pitchers[[#This Row],[IP]]/Pitchers[[#This Row],[G]]))</f>
        <v>1.1427491078010208</v>
      </c>
      <c r="Z828" s="60">
        <f t="shared" si="86"/>
        <v>-0.79257885548017815</v>
      </c>
      <c r="AA828" s="90">
        <f>IF(Pitchers[[#This Row],[W]]=0,0,Pitchers[[#This Row],[W]]/(Pitchers[[#This Row],[W]]+Pitchers[[#This Row],[L]]))</f>
        <v>0</v>
      </c>
    </row>
    <row r="829" spans="1:27" x14ac:dyDescent="0.25">
      <c r="A829" t="s">
        <v>459</v>
      </c>
      <c r="B829" t="s">
        <v>340</v>
      </c>
      <c r="C829">
        <v>4</v>
      </c>
      <c r="D829">
        <v>0</v>
      </c>
      <c r="E829">
        <v>0</v>
      </c>
      <c r="F829">
        <v>0</v>
      </c>
      <c r="G829">
        <v>3</v>
      </c>
      <c r="H829">
        <v>5</v>
      </c>
      <c r="I829">
        <v>3</v>
      </c>
      <c r="J829">
        <v>2</v>
      </c>
      <c r="K829">
        <v>1</v>
      </c>
      <c r="L829">
        <v>2</v>
      </c>
      <c r="M829">
        <v>0</v>
      </c>
      <c r="N829">
        <v>0</v>
      </c>
      <c r="O829">
        <v>0</v>
      </c>
      <c r="P829">
        <v>1</v>
      </c>
      <c r="Q829">
        <v>1</v>
      </c>
      <c r="R829">
        <v>9</v>
      </c>
      <c r="S829">
        <v>2</v>
      </c>
      <c r="T829">
        <f t="shared" si="84"/>
        <v>0</v>
      </c>
      <c r="U829">
        <f t="shared" si="85"/>
        <v>1</v>
      </c>
      <c r="V829" s="60">
        <f>U829-AVERAGEIFS(Pitchers[ER/IP],Pitchers[GS],"&gt;"&amp;0,Pitchers[IP],"&gt;"&amp;3)</f>
        <v>0.42849940520068053</v>
      </c>
      <c r="W829" s="60">
        <f>IF(Pitchers[[#This Row],[IP/GS]]&lt;&gt;0,(Pitchers[[#This Row],[WHIP]]*$AH$5+$AI$5)/9*Pitchers[[#This Row],[IP/GS]],(Pitchers[[#This Row],[WHIP]]*$AH$5+$AI$5)/9*(Pitchers[[#This Row],[IP]]/Pitchers[[#This Row],[G]]))</f>
        <v>0.62830655116519152</v>
      </c>
      <c r="X829" s="60">
        <f>Pitchers[[#This Row],[Runs from WHIP]]-AVERAGEIFS(Pitchers[Runs from WHIP],Pitchers[GS],"&gt;"&amp;0,Pitchers[IP],"&gt;"&amp;3)</f>
        <v>-5.0576093549596681</v>
      </c>
      <c r="Y829" s="60">
        <f>IF(Pitchers[[#This Row],[IP/GS]]&lt;&gt;0,Pitchers[[#This Row],[ER/IP From Average]]*Pitchers[[#This Row],[IP/GS]],Pitchers[[#This Row],[ER/IP From Average]]*(Pitchers[[#This Row],[IP]]/Pitchers[[#This Row],[G]]))</f>
        <v>0.3213745539005104</v>
      </c>
      <c r="Z829" s="60">
        <f t="shared" si="86"/>
        <v>-1.2201460064290408</v>
      </c>
      <c r="AA829" s="90">
        <f>IF(Pitchers[[#This Row],[W]]=0,0,Pitchers[[#This Row],[W]]/(Pitchers[[#This Row],[W]]+Pitchers[[#This Row],[L]]))</f>
        <v>0</v>
      </c>
    </row>
    <row r="830" spans="1:27" x14ac:dyDescent="0.25">
      <c r="A830" t="s">
        <v>727</v>
      </c>
      <c r="B830" t="s">
        <v>9</v>
      </c>
      <c r="C830">
        <v>1</v>
      </c>
      <c r="D830">
        <v>0</v>
      </c>
      <c r="E830">
        <v>0</v>
      </c>
      <c r="F830">
        <v>0</v>
      </c>
      <c r="G830">
        <v>3</v>
      </c>
      <c r="H830">
        <v>4</v>
      </c>
      <c r="I830">
        <v>4</v>
      </c>
      <c r="J830">
        <v>1</v>
      </c>
      <c r="K830">
        <v>1</v>
      </c>
      <c r="L830">
        <v>2</v>
      </c>
      <c r="M830">
        <v>0</v>
      </c>
      <c r="N830">
        <v>0</v>
      </c>
      <c r="O830">
        <v>0</v>
      </c>
      <c r="P830">
        <v>0</v>
      </c>
      <c r="Q830">
        <v>0</v>
      </c>
      <c r="R830">
        <v>12</v>
      </c>
      <c r="S830">
        <v>1.67</v>
      </c>
      <c r="T830">
        <f t="shared" si="84"/>
        <v>0</v>
      </c>
      <c r="U830">
        <f t="shared" si="85"/>
        <v>1.3333333333333333</v>
      </c>
      <c r="V830" s="60">
        <f>U830-AVERAGEIFS(Pitchers[ER/IP],Pitchers[GS],"&gt;"&amp;0,Pitchers[IP],"&gt;"&amp;3)</f>
        <v>0.76183273853401379</v>
      </c>
      <c r="W830" s="60">
        <f>IF(Pitchers[[#This Row],[IP/GS]]&lt;&gt;0,(Pitchers[[#This Row],[WHIP]]*$AH$5+$AI$5)/9*Pitchers[[#This Row],[IP/GS]],(Pitchers[[#This Row],[WHIP]]*$AH$5+$AI$5)/9*(Pitchers[[#This Row],[IP]]/Pitchers[[#This Row],[G]]))</f>
        <v>1.9992430727453199</v>
      </c>
      <c r="X830" s="60">
        <f>Pitchers[[#This Row],[Runs from WHIP]]-AVERAGEIFS(Pitchers[Runs from WHIP],Pitchers[GS],"&gt;"&amp;0,Pitchers[IP],"&gt;"&amp;3)</f>
        <v>-3.6866728333795393</v>
      </c>
      <c r="Y830" s="60">
        <f>IF(Pitchers[[#This Row],[IP/GS]]&lt;&gt;0,Pitchers[[#This Row],[ER/IP From Average]]*Pitchers[[#This Row],[IP/GS]],Pitchers[[#This Row],[ER/IP From Average]]*(Pitchers[[#This Row],[IP]]/Pitchers[[#This Row],[G]]))</f>
        <v>2.2854982156020416</v>
      </c>
      <c r="Z830" s="60">
        <f t="shared" si="86"/>
        <v>-6.8913469327060523E-2</v>
      </c>
      <c r="AA830" s="90">
        <f>IF(Pitchers[[#This Row],[W]]=0,0,Pitchers[[#This Row],[W]]/(Pitchers[[#This Row],[W]]+Pitchers[[#This Row],[L]]))</f>
        <v>0</v>
      </c>
    </row>
    <row r="831" spans="1:27" x14ac:dyDescent="0.25">
      <c r="A831" t="s">
        <v>1433</v>
      </c>
      <c r="B831" t="s">
        <v>10</v>
      </c>
      <c r="C831">
        <v>2</v>
      </c>
      <c r="D831">
        <v>0</v>
      </c>
      <c r="E831">
        <v>0</v>
      </c>
      <c r="F831">
        <v>0</v>
      </c>
      <c r="G831">
        <v>3</v>
      </c>
      <c r="H831">
        <v>6</v>
      </c>
      <c r="I831">
        <v>6</v>
      </c>
      <c r="J831">
        <v>3</v>
      </c>
      <c r="K831">
        <v>1</v>
      </c>
      <c r="L831">
        <v>1</v>
      </c>
      <c r="M831">
        <v>0</v>
      </c>
      <c r="N831">
        <v>0</v>
      </c>
      <c r="O831">
        <v>0</v>
      </c>
      <c r="P831">
        <v>0</v>
      </c>
      <c r="Q831">
        <v>0</v>
      </c>
      <c r="R831">
        <v>18</v>
      </c>
      <c r="S831">
        <v>2.33</v>
      </c>
      <c r="T831">
        <f t="shared" si="84"/>
        <v>0</v>
      </c>
      <c r="U831">
        <f t="shared" si="85"/>
        <v>2</v>
      </c>
      <c r="V831" s="60">
        <f>U831-AVERAGEIFS(Pitchers[ER/IP],Pitchers[GS],"&gt;"&amp;0,Pitchers[IP],"&gt;"&amp;3)</f>
        <v>1.4284994052006805</v>
      </c>
      <c r="W831" s="60">
        <f>IF(Pitchers[[#This Row],[IP/GS]]&lt;&gt;0,(Pitchers[[#This Row],[WHIP]]*$AH$5+$AI$5)/9*Pitchers[[#This Row],[IP/GS]],(Pitchers[[#This Row],[WHIP]]*$AH$5+$AI$5)/9*(Pitchers[[#This Row],[IP]]/Pitchers[[#This Row],[G]]))</f>
        <v>1.5136046682881059</v>
      </c>
      <c r="X831" s="60">
        <f>Pitchers[[#This Row],[Runs from WHIP]]-AVERAGEIFS(Pitchers[Runs from WHIP],Pitchers[GS],"&gt;"&amp;0,Pitchers[IP],"&gt;"&amp;3)</f>
        <v>-4.1723112378367535</v>
      </c>
      <c r="Y831" s="60">
        <f>IF(Pitchers[[#This Row],[IP/GS]]&lt;&gt;0,Pitchers[[#This Row],[ER/IP From Average]]*Pitchers[[#This Row],[IP/GS]],Pitchers[[#This Row],[ER/IP From Average]]*(Pitchers[[#This Row],[IP]]/Pitchers[[#This Row],[G]]))</f>
        <v>2.1427491078010208</v>
      </c>
      <c r="Z831" s="60">
        <f t="shared" si="86"/>
        <v>-0.25551668696939261</v>
      </c>
      <c r="AA831" s="90">
        <f>IF(Pitchers[[#This Row],[W]]=0,0,Pitchers[[#This Row],[W]]/(Pitchers[[#This Row],[W]]+Pitchers[[#This Row],[L]]))</f>
        <v>0</v>
      </c>
    </row>
    <row r="832" spans="1:27" x14ac:dyDescent="0.25">
      <c r="A832" t="s">
        <v>540</v>
      </c>
      <c r="B832" t="s">
        <v>24</v>
      </c>
      <c r="C832">
        <v>2</v>
      </c>
      <c r="D832">
        <v>0</v>
      </c>
      <c r="E832">
        <v>0</v>
      </c>
      <c r="F832">
        <v>0</v>
      </c>
      <c r="G832">
        <v>3</v>
      </c>
      <c r="H832">
        <v>8</v>
      </c>
      <c r="I832">
        <v>3</v>
      </c>
      <c r="J832">
        <v>2</v>
      </c>
      <c r="K832">
        <v>1</v>
      </c>
      <c r="L832">
        <v>0</v>
      </c>
      <c r="M832">
        <v>0</v>
      </c>
      <c r="N832">
        <v>0</v>
      </c>
      <c r="O832">
        <v>0</v>
      </c>
      <c r="P832">
        <v>0</v>
      </c>
      <c r="Q832">
        <v>0</v>
      </c>
      <c r="R832">
        <v>9</v>
      </c>
      <c r="S832">
        <v>3</v>
      </c>
      <c r="T832">
        <f t="shared" si="84"/>
        <v>0</v>
      </c>
      <c r="U832">
        <f t="shared" si="85"/>
        <v>1</v>
      </c>
      <c r="V832" s="60">
        <f>U832-AVERAGEIFS(Pitchers[ER/IP],Pitchers[GS],"&gt;"&amp;0,Pitchers[IP],"&gt;"&amp;3)</f>
        <v>0.42849940520068053</v>
      </c>
      <c r="W832" s="60">
        <f>IF(Pitchers[[#This Row],[IP/GS]]&lt;&gt;0,(Pitchers[[#This Row],[WHIP]]*$AH$5+$AI$5)/9*Pitchers[[#This Row],[IP/GS]],(Pitchers[[#This Row],[WHIP]]*$AH$5+$AI$5)/9*(Pitchers[[#This Row],[IP]]/Pitchers[[#This Row],[G]]))</f>
        <v>2.0353754234143926</v>
      </c>
      <c r="X832" s="60">
        <f>Pitchers[[#This Row],[Runs from WHIP]]-AVERAGEIFS(Pitchers[Runs from WHIP],Pitchers[GS],"&gt;"&amp;0,Pitchers[IP],"&gt;"&amp;3)</f>
        <v>-3.6505404827104666</v>
      </c>
      <c r="Y832" s="60">
        <f>IF(Pitchers[[#This Row],[IP/GS]]&lt;&gt;0,Pitchers[[#This Row],[ER/IP From Average]]*Pitchers[[#This Row],[IP/GS]],Pitchers[[#This Row],[ER/IP From Average]]*(Pitchers[[#This Row],[IP]]/Pitchers[[#This Row],[G]]))</f>
        <v>0.64274910780102079</v>
      </c>
      <c r="Z832" s="60">
        <f t="shared" si="86"/>
        <v>-0.71637781893571617</v>
      </c>
      <c r="AA832" s="90">
        <f>IF(Pitchers[[#This Row],[W]]=0,0,Pitchers[[#This Row],[W]]/(Pitchers[[#This Row],[W]]+Pitchers[[#This Row],[L]]))</f>
        <v>0</v>
      </c>
    </row>
    <row r="833" spans="1:27" x14ac:dyDescent="0.25">
      <c r="A833" t="s">
        <v>4128</v>
      </c>
      <c r="B833" t="s">
        <v>28</v>
      </c>
      <c r="C833">
        <v>1</v>
      </c>
      <c r="D833">
        <v>0</v>
      </c>
      <c r="E833">
        <v>0</v>
      </c>
      <c r="F833">
        <v>0</v>
      </c>
      <c r="G833">
        <v>3</v>
      </c>
      <c r="H833">
        <v>3</v>
      </c>
      <c r="I833">
        <v>3</v>
      </c>
      <c r="J833">
        <v>2</v>
      </c>
      <c r="K833">
        <v>2</v>
      </c>
      <c r="L833">
        <v>1</v>
      </c>
      <c r="M833">
        <v>1</v>
      </c>
      <c r="N833">
        <v>0</v>
      </c>
      <c r="O833">
        <v>0</v>
      </c>
      <c r="P833">
        <v>0</v>
      </c>
      <c r="Q833">
        <v>0</v>
      </c>
      <c r="R833">
        <v>9</v>
      </c>
      <c r="S833">
        <v>1.67</v>
      </c>
      <c r="T833">
        <f t="shared" si="84"/>
        <v>0</v>
      </c>
      <c r="U833">
        <f t="shared" si="85"/>
        <v>1</v>
      </c>
      <c r="V833" s="60">
        <f>U833-AVERAGEIFS(Pitchers[ER/IP],Pitchers[GS],"&gt;"&amp;0,Pitchers[IP],"&gt;"&amp;3)</f>
        <v>0.42849940520068053</v>
      </c>
      <c r="W833" s="60">
        <f>IF(Pitchers[[#This Row],[IP/GS]]&lt;&gt;0,(Pitchers[[#This Row],[WHIP]]*$AH$5+$AI$5)/9*Pitchers[[#This Row],[IP/GS]],(Pitchers[[#This Row],[WHIP]]*$AH$5+$AI$5)/9*(Pitchers[[#This Row],[IP]]/Pitchers[[#This Row],[G]]))</f>
        <v>1.9992430727453199</v>
      </c>
      <c r="X833" s="60">
        <f>Pitchers[[#This Row],[Runs from WHIP]]-AVERAGEIFS(Pitchers[Runs from WHIP],Pitchers[GS],"&gt;"&amp;0,Pitchers[IP],"&gt;"&amp;3)</f>
        <v>-3.6866728333795393</v>
      </c>
      <c r="Y833" s="60">
        <f>IF(Pitchers[[#This Row],[IP/GS]]&lt;&gt;0,Pitchers[[#This Row],[ER/IP From Average]]*Pitchers[[#This Row],[IP/GS]],Pitchers[[#This Row],[ER/IP From Average]]*(Pitchers[[#This Row],[IP]]/Pitchers[[#This Row],[G]]))</f>
        <v>1.2854982156020416</v>
      </c>
      <c r="Z833" s="60">
        <f t="shared" si="86"/>
        <v>-0.46891346932706052</v>
      </c>
      <c r="AA833" s="90">
        <f>IF(Pitchers[[#This Row],[W]]=0,0,Pitchers[[#This Row],[W]]/(Pitchers[[#This Row],[W]]+Pitchers[[#This Row],[L]]))</f>
        <v>1</v>
      </c>
    </row>
    <row r="834" spans="1:27" x14ac:dyDescent="0.25">
      <c r="A834" t="s">
        <v>4129</v>
      </c>
      <c r="B834" t="s">
        <v>28</v>
      </c>
      <c r="C834">
        <v>1</v>
      </c>
      <c r="D834">
        <v>0</v>
      </c>
      <c r="E834">
        <v>0</v>
      </c>
      <c r="F834">
        <v>0</v>
      </c>
      <c r="G834">
        <v>2.2000000000000002</v>
      </c>
      <c r="H834">
        <v>2</v>
      </c>
      <c r="I834">
        <v>3</v>
      </c>
      <c r="J834">
        <v>2</v>
      </c>
      <c r="K834">
        <v>1</v>
      </c>
      <c r="L834">
        <v>1</v>
      </c>
      <c r="M834">
        <v>0</v>
      </c>
      <c r="N834">
        <v>0</v>
      </c>
      <c r="O834">
        <v>0</v>
      </c>
      <c r="P834">
        <v>0</v>
      </c>
      <c r="Q834">
        <v>0</v>
      </c>
      <c r="R834">
        <v>10.130000000000001</v>
      </c>
      <c r="S834">
        <v>1.1299999999999999</v>
      </c>
      <c r="T834">
        <f t="shared" si="84"/>
        <v>0</v>
      </c>
      <c r="U834">
        <f t="shared" si="85"/>
        <v>1.3636363636363635</v>
      </c>
      <c r="V834" s="60">
        <f>U834-AVERAGEIFS(Pitchers[ER/IP],Pitchers[GS],"&gt;"&amp;0,Pitchers[IP],"&gt;"&amp;3)</f>
        <v>0.79213576883704406</v>
      </c>
      <c r="W834" s="60">
        <f>IF(Pitchers[[#This Row],[IP/GS]]&lt;&gt;0,(Pitchers[[#This Row],[WHIP]]*$AH$5+$AI$5)/9*Pitchers[[#This Row],[IP/GS]],(Pitchers[[#This Row],[WHIP]]*$AH$5+$AI$5)/9*(Pitchers[[#This Row],[IP]]/Pitchers[[#This Row],[G]]))</f>
        <v>0.84933182838136612</v>
      </c>
      <c r="X834" s="60">
        <f>Pitchers[[#This Row],[Runs from WHIP]]-AVERAGEIFS(Pitchers[Runs from WHIP],Pitchers[GS],"&gt;"&amp;0,Pitchers[IP],"&gt;"&amp;3)</f>
        <v>-4.8365840777434927</v>
      </c>
      <c r="Y834" s="60">
        <f>IF(Pitchers[[#This Row],[IP/GS]]&lt;&gt;0,Pitchers[[#This Row],[ER/IP From Average]]*Pitchers[[#This Row],[IP/GS]],Pitchers[[#This Row],[ER/IP From Average]]*(Pitchers[[#This Row],[IP]]/Pitchers[[#This Row],[G]]))</f>
        <v>1.742698691441497</v>
      </c>
      <c r="Z834" s="60">
        <f t="shared" si="86"/>
        <v>-0.59267627748833263</v>
      </c>
      <c r="AA834" s="90">
        <f>IF(Pitchers[[#This Row],[W]]=0,0,Pitchers[[#This Row],[W]]/(Pitchers[[#This Row],[W]]+Pitchers[[#This Row],[L]]))</f>
        <v>0</v>
      </c>
    </row>
    <row r="835" spans="1:27" x14ac:dyDescent="0.25">
      <c r="A835" t="s">
        <v>767</v>
      </c>
      <c r="B835" t="s">
        <v>13</v>
      </c>
      <c r="C835">
        <v>2</v>
      </c>
      <c r="D835">
        <v>0</v>
      </c>
      <c r="E835">
        <v>0</v>
      </c>
      <c r="F835">
        <v>0</v>
      </c>
      <c r="G835">
        <v>2.2000000000000002</v>
      </c>
      <c r="H835">
        <v>4</v>
      </c>
      <c r="I835">
        <v>5</v>
      </c>
      <c r="J835">
        <v>5</v>
      </c>
      <c r="K835">
        <v>3</v>
      </c>
      <c r="L835">
        <v>2</v>
      </c>
      <c r="M835">
        <v>0</v>
      </c>
      <c r="N835">
        <v>0</v>
      </c>
      <c r="O835">
        <v>0</v>
      </c>
      <c r="P835">
        <v>0</v>
      </c>
      <c r="Q835">
        <v>0</v>
      </c>
      <c r="R835">
        <v>16.88</v>
      </c>
      <c r="S835">
        <v>2.63</v>
      </c>
      <c r="T835">
        <f t="shared" si="84"/>
        <v>0</v>
      </c>
      <c r="U835">
        <f t="shared" si="85"/>
        <v>2.2727272727272725</v>
      </c>
      <c r="V835" s="60">
        <f>U835-AVERAGEIFS(Pitchers[ER/IP],Pitchers[GS],"&gt;"&amp;0,Pitchers[IP],"&gt;"&amp;3)</f>
        <v>1.701226677927953</v>
      </c>
      <c r="W835" s="60">
        <f>IF(Pitchers[[#This Row],[IP/GS]]&lt;&gt;0,(Pitchers[[#This Row],[WHIP]]*$AH$5+$AI$5)/9*Pitchers[[#This Row],[IP/GS]],(Pitchers[[#This Row],[WHIP]]*$AH$5+$AI$5)/9*(Pitchers[[#This Row],[IP]]/Pitchers[[#This Row],[G]]))</f>
        <v>1.2813044673830931</v>
      </c>
      <c r="X835" s="60">
        <f>Pitchers[[#This Row],[Runs from WHIP]]-AVERAGEIFS(Pitchers[Runs from WHIP],Pitchers[GS],"&gt;"&amp;0,Pitchers[IP],"&gt;"&amp;3)</f>
        <v>-4.4046114387417656</v>
      </c>
      <c r="Y835" s="60">
        <f>IF(Pitchers[[#This Row],[IP/GS]]&lt;&gt;0,Pitchers[[#This Row],[ER/IP From Average]]*Pitchers[[#This Row],[IP/GS]],Pitchers[[#This Row],[ER/IP From Average]]*(Pitchers[[#This Row],[IP]]/Pitchers[[#This Row],[G]]))</f>
        <v>1.8713493457207484</v>
      </c>
      <c r="Z835" s="60">
        <f t="shared" si="86"/>
        <v>-0.42602331204283811</v>
      </c>
      <c r="AA835" s="90">
        <f>IF(Pitchers[[#This Row],[W]]=0,0,Pitchers[[#This Row],[W]]/(Pitchers[[#This Row],[W]]+Pitchers[[#This Row],[L]]))</f>
        <v>0</v>
      </c>
    </row>
    <row r="836" spans="1:27" x14ac:dyDescent="0.25">
      <c r="A836" t="s">
        <v>733</v>
      </c>
      <c r="B836" t="s">
        <v>361</v>
      </c>
      <c r="C836">
        <v>5</v>
      </c>
      <c r="D836">
        <v>0</v>
      </c>
      <c r="E836">
        <v>0</v>
      </c>
      <c r="F836">
        <v>0</v>
      </c>
      <c r="G836">
        <v>2.2000000000000002</v>
      </c>
      <c r="H836">
        <v>2</v>
      </c>
      <c r="I836">
        <v>3</v>
      </c>
      <c r="J836">
        <v>3</v>
      </c>
      <c r="K836">
        <v>4</v>
      </c>
      <c r="L836">
        <v>1</v>
      </c>
      <c r="M836">
        <v>0</v>
      </c>
      <c r="N836">
        <v>0</v>
      </c>
      <c r="O836">
        <v>0</v>
      </c>
      <c r="P836">
        <v>0</v>
      </c>
      <c r="Q836">
        <v>0</v>
      </c>
      <c r="R836">
        <v>10.130000000000001</v>
      </c>
      <c r="S836">
        <v>2.25</v>
      </c>
      <c r="T836">
        <f t="shared" si="84"/>
        <v>0</v>
      </c>
      <c r="U836">
        <f t="shared" si="85"/>
        <v>1.3636363636363635</v>
      </c>
      <c r="V836" s="60">
        <f>U836-AVERAGEIFS(Pitchers[ER/IP],Pitchers[GS],"&gt;"&amp;0,Pitchers[IP],"&gt;"&amp;3)</f>
        <v>0.79213576883704406</v>
      </c>
      <c r="W836" s="60">
        <f>IF(Pitchers[[#This Row],[IP/GS]]&lt;&gt;0,(Pitchers[[#This Row],[WHIP]]*$AH$5+$AI$5)/9*Pitchers[[#This Row],[IP/GS]],(Pitchers[[#This Row],[WHIP]]*$AH$5+$AI$5)/9*(Pitchers[[#This Row],[IP]]/Pitchers[[#This Row],[G]]))</f>
        <v>0.42571574689640646</v>
      </c>
      <c r="X836" s="60">
        <f>Pitchers[[#This Row],[Runs from WHIP]]-AVERAGEIFS(Pitchers[Runs from WHIP],Pitchers[GS],"&gt;"&amp;0,Pitchers[IP],"&gt;"&amp;3)</f>
        <v>-5.2602001592284529</v>
      </c>
      <c r="Y836" s="60">
        <f>IF(Pitchers[[#This Row],[IP/GS]]&lt;&gt;0,Pitchers[[#This Row],[ER/IP From Average]]*Pitchers[[#This Row],[IP/GS]],Pitchers[[#This Row],[ER/IP From Average]]*(Pitchers[[#This Row],[IP]]/Pitchers[[#This Row],[G]]))</f>
        <v>0.34853973828829943</v>
      </c>
      <c r="Z836" s="60">
        <f t="shared" si="86"/>
        <v>-1.2633041471456012</v>
      </c>
      <c r="AA836" s="90">
        <f>IF(Pitchers[[#This Row],[W]]=0,0,Pitchers[[#This Row],[W]]/(Pitchers[[#This Row],[W]]+Pitchers[[#This Row],[L]]))</f>
        <v>0</v>
      </c>
    </row>
    <row r="837" spans="1:27" x14ac:dyDescent="0.25">
      <c r="A837" t="s">
        <v>1362</v>
      </c>
      <c r="B837" t="s">
        <v>15</v>
      </c>
      <c r="C837">
        <v>4</v>
      </c>
      <c r="D837">
        <v>0</v>
      </c>
      <c r="E837">
        <v>0</v>
      </c>
      <c r="F837">
        <v>0</v>
      </c>
      <c r="G837">
        <v>2.2000000000000002</v>
      </c>
      <c r="H837">
        <v>6</v>
      </c>
      <c r="I837">
        <v>4</v>
      </c>
      <c r="J837">
        <v>2</v>
      </c>
      <c r="K837">
        <v>3</v>
      </c>
      <c r="L837">
        <v>2</v>
      </c>
      <c r="M837">
        <v>0</v>
      </c>
      <c r="N837">
        <v>0</v>
      </c>
      <c r="O837">
        <v>0</v>
      </c>
      <c r="P837">
        <v>0</v>
      </c>
      <c r="Q837">
        <v>0</v>
      </c>
      <c r="R837">
        <v>13.5</v>
      </c>
      <c r="S837">
        <v>3.38</v>
      </c>
      <c r="T837">
        <f t="shared" si="84"/>
        <v>0</v>
      </c>
      <c r="U837">
        <f t="shared" si="85"/>
        <v>1.8181818181818181</v>
      </c>
      <c r="V837" s="60">
        <f>U837-AVERAGEIFS(Pitchers[ER/IP],Pitchers[GS],"&gt;"&amp;0,Pitchers[IP],"&gt;"&amp;3)</f>
        <v>1.2466812233824986</v>
      </c>
      <c r="W837" s="60">
        <f>IF(Pitchers[[#This Row],[IP/GS]]&lt;&gt;0,(Pitchers[[#This Row],[WHIP]]*$AH$5+$AI$5)/9*Pitchers[[#This Row],[IP/GS]],(Pitchers[[#This Row],[WHIP]]*$AH$5+$AI$5)/9*(Pitchers[[#This Row],[IP]]/Pitchers[[#This Row],[G]]))</f>
        <v>0.85481187198964903</v>
      </c>
      <c r="X837" s="60">
        <f>Pitchers[[#This Row],[Runs from WHIP]]-AVERAGEIFS(Pitchers[Runs from WHIP],Pitchers[GS],"&gt;"&amp;0,Pitchers[IP],"&gt;"&amp;3)</f>
        <v>-4.8311040341352101</v>
      </c>
      <c r="Y837" s="60">
        <f>IF(Pitchers[[#This Row],[IP/GS]]&lt;&gt;0,Pitchers[[#This Row],[ER/IP From Average]]*Pitchers[[#This Row],[IP/GS]],Pitchers[[#This Row],[ER/IP From Average]]*(Pitchers[[#This Row],[IP]]/Pitchers[[#This Row],[G]]))</f>
        <v>0.68567467286037431</v>
      </c>
      <c r="Z837" s="60">
        <f t="shared" si="86"/>
        <v>-1.014024539958573</v>
      </c>
      <c r="AA837" s="90">
        <f>IF(Pitchers[[#This Row],[W]]=0,0,Pitchers[[#This Row],[W]]/(Pitchers[[#This Row],[W]]+Pitchers[[#This Row],[L]]))</f>
        <v>0</v>
      </c>
    </row>
    <row r="838" spans="1:27" x14ac:dyDescent="0.25">
      <c r="A838" t="s">
        <v>1436</v>
      </c>
      <c r="B838" t="s">
        <v>15</v>
      </c>
      <c r="C838">
        <v>3</v>
      </c>
      <c r="D838">
        <v>0</v>
      </c>
      <c r="E838">
        <v>0</v>
      </c>
      <c r="F838">
        <v>0</v>
      </c>
      <c r="G838">
        <v>2.2000000000000002</v>
      </c>
      <c r="H838">
        <v>8</v>
      </c>
      <c r="I838">
        <v>2</v>
      </c>
      <c r="J838">
        <v>3</v>
      </c>
      <c r="K838">
        <v>0</v>
      </c>
      <c r="L838">
        <v>1</v>
      </c>
      <c r="M838">
        <v>0</v>
      </c>
      <c r="N838">
        <v>0</v>
      </c>
      <c r="O838">
        <v>0</v>
      </c>
      <c r="P838">
        <v>0</v>
      </c>
      <c r="Q838">
        <v>0</v>
      </c>
      <c r="R838">
        <v>6.75</v>
      </c>
      <c r="S838">
        <v>3</v>
      </c>
      <c r="T838">
        <f t="shared" si="84"/>
        <v>0</v>
      </c>
      <c r="U838">
        <f t="shared" si="85"/>
        <v>0.90909090909090906</v>
      </c>
      <c r="V838" s="60">
        <f>U838-AVERAGEIFS(Pitchers[ER/IP],Pitchers[GS],"&gt;"&amp;0,Pitchers[IP],"&gt;"&amp;3)</f>
        <v>0.33759031429158959</v>
      </c>
      <c r="W838" s="60">
        <f>IF(Pitchers[[#This Row],[IP/GS]]&lt;&gt;0,(Pitchers[[#This Row],[WHIP]]*$AH$5+$AI$5)/9*Pitchers[[#This Row],[IP/GS]],(Pitchers[[#This Row],[WHIP]]*$AH$5+$AI$5)/9*(Pitchers[[#This Row],[IP]]/Pitchers[[#This Row],[G]]))</f>
        <v>0.99507242922481409</v>
      </c>
      <c r="X838" s="60">
        <f>Pitchers[[#This Row],[Runs from WHIP]]-AVERAGEIFS(Pitchers[Runs from WHIP],Pitchers[GS],"&gt;"&amp;0,Pitchers[IP],"&gt;"&amp;3)</f>
        <v>-4.6908434769000449</v>
      </c>
      <c r="Y838" s="60">
        <f>IF(Pitchers[[#This Row],[IP/GS]]&lt;&gt;0,Pitchers[[#This Row],[ER/IP From Average]]*Pitchers[[#This Row],[IP/GS]],Pitchers[[#This Row],[ER/IP From Average]]*(Pitchers[[#This Row],[IP]]/Pitchers[[#This Row],[G]]))</f>
        <v>0.24756623048049906</v>
      </c>
      <c r="Z838" s="60">
        <f t="shared" si="86"/>
        <v>-1.1518651016478121</v>
      </c>
      <c r="AA838" s="90">
        <f>IF(Pitchers[[#This Row],[W]]=0,0,Pitchers[[#This Row],[W]]/(Pitchers[[#This Row],[W]]+Pitchers[[#This Row],[L]]))</f>
        <v>0</v>
      </c>
    </row>
    <row r="839" spans="1:27" x14ac:dyDescent="0.25">
      <c r="A839" t="s">
        <v>4397</v>
      </c>
      <c r="B839" t="s">
        <v>218</v>
      </c>
      <c r="C839">
        <v>2</v>
      </c>
      <c r="D839">
        <v>0</v>
      </c>
      <c r="E839">
        <v>0</v>
      </c>
      <c r="F839">
        <v>0</v>
      </c>
      <c r="G839">
        <v>2.1</v>
      </c>
      <c r="H839">
        <v>4</v>
      </c>
      <c r="I839">
        <v>4</v>
      </c>
      <c r="J839">
        <v>0</v>
      </c>
      <c r="K839">
        <v>2</v>
      </c>
      <c r="L839">
        <v>1</v>
      </c>
      <c r="M839">
        <v>0</v>
      </c>
      <c r="N839">
        <v>0</v>
      </c>
      <c r="O839">
        <v>0</v>
      </c>
      <c r="P839">
        <v>0</v>
      </c>
      <c r="Q839">
        <v>0</v>
      </c>
      <c r="R839">
        <v>15.43</v>
      </c>
      <c r="S839">
        <v>2.57</v>
      </c>
      <c r="T839">
        <f t="shared" si="84"/>
        <v>0</v>
      </c>
      <c r="U839">
        <f t="shared" si="85"/>
        <v>1.9047619047619047</v>
      </c>
      <c r="V839" s="60">
        <f>U839-AVERAGEIFS(Pitchers[ER/IP],Pitchers[GS],"&gt;"&amp;0,Pitchers[IP],"&gt;"&amp;3)</f>
        <v>1.3332613099625852</v>
      </c>
      <c r="W839" s="60">
        <f>IF(Pitchers[[#This Row],[IP/GS]]&lt;&gt;0,(Pitchers[[#This Row],[WHIP]]*$AH$5+$AI$5)/9*Pitchers[[#This Row],[IP/GS]],(Pitchers[[#This Row],[WHIP]]*$AH$5+$AI$5)/9*(Pitchers[[#This Row],[IP]]/Pitchers[[#This Row],[G]]))</f>
        <v>1.1903553377437877</v>
      </c>
      <c r="X839" s="60">
        <f>Pitchers[[#This Row],[Runs from WHIP]]-AVERAGEIFS(Pitchers[Runs from WHIP],Pitchers[GS],"&gt;"&amp;0,Pitchers[IP],"&gt;"&amp;3)</f>
        <v>-4.4955605683810713</v>
      </c>
      <c r="Y839" s="60">
        <f>IF(Pitchers[[#This Row],[IP/GS]]&lt;&gt;0,Pitchers[[#This Row],[ER/IP From Average]]*Pitchers[[#This Row],[IP/GS]],Pitchers[[#This Row],[ER/IP From Average]]*(Pitchers[[#This Row],[IP]]/Pitchers[[#This Row],[G]]))</f>
        <v>1.3999243754607145</v>
      </c>
      <c r="Z839" s="60">
        <f t="shared" si="86"/>
        <v>-0.63884640138399995</v>
      </c>
      <c r="AA839" s="90">
        <f>IF(Pitchers[[#This Row],[W]]=0,0,Pitchers[[#This Row],[W]]/(Pitchers[[#This Row],[W]]+Pitchers[[#This Row],[L]]))</f>
        <v>0</v>
      </c>
    </row>
    <row r="840" spans="1:27" x14ac:dyDescent="0.25">
      <c r="A840" t="s">
        <v>754</v>
      </c>
      <c r="B840" t="s">
        <v>28</v>
      </c>
      <c r="C840">
        <v>3</v>
      </c>
      <c r="D840">
        <v>0</v>
      </c>
      <c r="E840">
        <v>0</v>
      </c>
      <c r="F840">
        <v>0</v>
      </c>
      <c r="G840">
        <v>2.1</v>
      </c>
      <c r="H840">
        <v>5</v>
      </c>
      <c r="I840">
        <v>5</v>
      </c>
      <c r="J840">
        <v>4</v>
      </c>
      <c r="K840">
        <v>3</v>
      </c>
      <c r="L840">
        <v>0</v>
      </c>
      <c r="M840">
        <v>0</v>
      </c>
      <c r="N840">
        <v>0</v>
      </c>
      <c r="O840">
        <v>0</v>
      </c>
      <c r="P840">
        <v>0</v>
      </c>
      <c r="Q840">
        <v>0</v>
      </c>
      <c r="R840">
        <v>19.29</v>
      </c>
      <c r="S840">
        <v>3.43</v>
      </c>
      <c r="T840">
        <f t="shared" si="84"/>
        <v>0</v>
      </c>
      <c r="U840">
        <f t="shared" si="85"/>
        <v>2.3809523809523809</v>
      </c>
      <c r="V840" s="60">
        <f>U840-AVERAGEIFS(Pitchers[ER/IP],Pitchers[GS],"&gt;"&amp;0,Pitchers[IP],"&gt;"&amp;3)</f>
        <v>1.8094517861530615</v>
      </c>
      <c r="W840" s="60">
        <f>IF(Pitchers[[#This Row],[IP/GS]]&lt;&gt;0,(Pitchers[[#This Row],[WHIP]]*$AH$5+$AI$5)/9*Pitchers[[#This Row],[IP/GS]],(Pitchers[[#This Row],[WHIP]]*$AH$5+$AI$5)/9*(Pitchers[[#This Row],[IP]]/Pitchers[[#This Row],[G]]))</f>
        <v>1.1061135033575742</v>
      </c>
      <c r="X840" s="60">
        <f>Pitchers[[#This Row],[Runs from WHIP]]-AVERAGEIFS(Pitchers[Runs from WHIP],Pitchers[GS],"&gt;"&amp;0,Pitchers[IP],"&gt;"&amp;3)</f>
        <v>-4.5798024027672852</v>
      </c>
      <c r="Y840" s="60">
        <f>IF(Pitchers[[#This Row],[IP/GS]]&lt;&gt;0,Pitchers[[#This Row],[ER/IP From Average]]*Pitchers[[#This Row],[IP/GS]],Pitchers[[#This Row],[ER/IP From Average]]*(Pitchers[[#This Row],[IP]]/Pitchers[[#This Row],[G]]))</f>
        <v>1.2666162503071432</v>
      </c>
      <c r="Z840" s="60">
        <f t="shared" si="86"/>
        <v>-0.71463414061508557</v>
      </c>
      <c r="AA840" s="90">
        <f>IF(Pitchers[[#This Row],[W]]=0,0,Pitchers[[#This Row],[W]]/(Pitchers[[#This Row],[W]]+Pitchers[[#This Row],[L]]))</f>
        <v>0</v>
      </c>
    </row>
    <row r="841" spans="1:27" x14ac:dyDescent="0.25">
      <c r="A841" t="s">
        <v>4408</v>
      </c>
      <c r="B841" t="s">
        <v>340</v>
      </c>
      <c r="C841">
        <v>3</v>
      </c>
      <c r="D841">
        <v>0</v>
      </c>
      <c r="E841">
        <v>0</v>
      </c>
      <c r="F841">
        <v>0</v>
      </c>
      <c r="G841">
        <v>2.1</v>
      </c>
      <c r="H841">
        <v>5</v>
      </c>
      <c r="I841">
        <v>4</v>
      </c>
      <c r="J841">
        <v>1</v>
      </c>
      <c r="K841">
        <v>4</v>
      </c>
      <c r="L841">
        <v>1</v>
      </c>
      <c r="M841">
        <v>0</v>
      </c>
      <c r="N841">
        <v>0</v>
      </c>
      <c r="O841">
        <v>0</v>
      </c>
      <c r="P841">
        <v>0</v>
      </c>
      <c r="Q841">
        <v>0</v>
      </c>
      <c r="R841">
        <v>15.43</v>
      </c>
      <c r="S841">
        <v>3.86</v>
      </c>
      <c r="T841">
        <f t="shared" si="84"/>
        <v>0</v>
      </c>
      <c r="U841">
        <f t="shared" si="85"/>
        <v>1.9047619047619047</v>
      </c>
      <c r="V841" s="60">
        <f>U841-AVERAGEIFS(Pitchers[ER/IP],Pitchers[GS],"&gt;"&amp;0,Pitchers[IP],"&gt;"&amp;3)</f>
        <v>1.3332613099625852</v>
      </c>
      <c r="W841" s="60">
        <f>IF(Pitchers[[#This Row],[IP/GS]]&lt;&gt;0,(Pitchers[[#This Row],[WHIP]]*$AH$5+$AI$5)/9*Pitchers[[#This Row],[IP/GS]],(Pitchers[[#This Row],[WHIP]]*$AH$5+$AI$5)/9*(Pitchers[[#This Row],[IP]]/Pitchers[[#This Row],[G]]))</f>
        <v>1.2623851424550987</v>
      </c>
      <c r="X841" s="60">
        <f>Pitchers[[#This Row],[Runs from WHIP]]-AVERAGEIFS(Pitchers[Runs from WHIP],Pitchers[GS],"&gt;"&amp;0,Pitchers[IP],"&gt;"&amp;3)</f>
        <v>-4.4235307636697607</v>
      </c>
      <c r="Y841" s="60">
        <f>IF(Pitchers[[#This Row],[IP/GS]]&lt;&gt;0,Pitchers[[#This Row],[ER/IP From Average]]*Pitchers[[#This Row],[IP/GS]],Pitchers[[#This Row],[ER/IP From Average]]*(Pitchers[[#This Row],[IP]]/Pitchers[[#This Row],[G]]))</f>
        <v>0.93328291697380972</v>
      </c>
      <c r="Z841" s="60">
        <f t="shared" si="86"/>
        <v>-0.80629503685574555</v>
      </c>
      <c r="AA841" s="90">
        <f>IF(Pitchers[[#This Row],[W]]=0,0,Pitchers[[#This Row],[W]]/(Pitchers[[#This Row],[W]]+Pitchers[[#This Row],[L]]))</f>
        <v>0</v>
      </c>
    </row>
    <row r="842" spans="1:27" x14ac:dyDescent="0.25">
      <c r="A842" t="s">
        <v>1397</v>
      </c>
      <c r="B842" t="s">
        <v>3</v>
      </c>
      <c r="C842">
        <v>1</v>
      </c>
      <c r="D842">
        <v>0</v>
      </c>
      <c r="E842">
        <v>0</v>
      </c>
      <c r="F842">
        <v>0</v>
      </c>
      <c r="G842">
        <v>2.1</v>
      </c>
      <c r="H842">
        <v>3</v>
      </c>
      <c r="I842">
        <v>0</v>
      </c>
      <c r="J842">
        <v>3</v>
      </c>
      <c r="K842">
        <v>0</v>
      </c>
      <c r="L842">
        <v>0</v>
      </c>
      <c r="M842">
        <v>0</v>
      </c>
      <c r="N842">
        <v>0</v>
      </c>
      <c r="O842">
        <v>0</v>
      </c>
      <c r="P842">
        <v>0</v>
      </c>
      <c r="Q842">
        <v>0</v>
      </c>
      <c r="R842">
        <v>0</v>
      </c>
      <c r="S842">
        <v>1.29</v>
      </c>
      <c r="T842">
        <f t="shared" si="84"/>
        <v>0</v>
      </c>
      <c r="U842">
        <f t="shared" si="85"/>
        <v>0</v>
      </c>
      <c r="V842" s="60">
        <f>U842-AVERAGEIFS(Pitchers[ER/IP],Pitchers[GS],"&gt;"&amp;0,Pitchers[IP],"&gt;"&amp;3)</f>
        <v>-0.57150059479931947</v>
      </c>
      <c r="W842" s="60">
        <f>IF(Pitchers[[#This Row],[IP/GS]]&lt;&gt;0,(Pitchers[[#This Row],[WHIP]]*$AH$5+$AI$5)/9*Pitchers[[#This Row],[IP/GS]],(Pitchers[[#This Row],[WHIP]]*$AH$5+$AI$5)/9*(Pitchers[[#This Row],[IP]]/Pitchers[[#This Row],[G]]))</f>
        <v>0.98516859610503127</v>
      </c>
      <c r="X842" s="60">
        <f>Pitchers[[#This Row],[Runs from WHIP]]-AVERAGEIFS(Pitchers[Runs from WHIP],Pitchers[GS],"&gt;"&amp;0,Pitchers[IP],"&gt;"&amp;3)</f>
        <v>-4.7007473100198283</v>
      </c>
      <c r="Y842" s="60">
        <f>IF(Pitchers[[#This Row],[IP/GS]]&lt;&gt;0,Pitchers[[#This Row],[ER/IP From Average]]*Pitchers[[#This Row],[IP/GS]],Pitchers[[#This Row],[ER/IP From Average]]*(Pitchers[[#This Row],[IP]]/Pitchers[[#This Row],[G]]))</f>
        <v>-1.2001512490785708</v>
      </c>
      <c r="Z842" s="60">
        <f t="shared" si="86"/>
        <v>-1.7335931156367159</v>
      </c>
      <c r="AA842" s="90">
        <f>IF(Pitchers[[#This Row],[W]]=0,0,Pitchers[[#This Row],[W]]/(Pitchers[[#This Row],[W]]+Pitchers[[#This Row],[L]]))</f>
        <v>0</v>
      </c>
    </row>
    <row r="843" spans="1:27" x14ac:dyDescent="0.25">
      <c r="A843" t="s">
        <v>745</v>
      </c>
      <c r="B843" t="s">
        <v>7</v>
      </c>
      <c r="C843">
        <v>1</v>
      </c>
      <c r="D843">
        <v>0</v>
      </c>
      <c r="E843">
        <v>0</v>
      </c>
      <c r="F843">
        <v>0</v>
      </c>
      <c r="G843">
        <v>2.1</v>
      </c>
      <c r="H843">
        <v>2</v>
      </c>
      <c r="I843">
        <v>1</v>
      </c>
      <c r="J843">
        <v>1</v>
      </c>
      <c r="K843">
        <v>3</v>
      </c>
      <c r="L843">
        <v>0</v>
      </c>
      <c r="M843">
        <v>0</v>
      </c>
      <c r="N843">
        <v>0</v>
      </c>
      <c r="O843">
        <v>0</v>
      </c>
      <c r="P843">
        <v>0</v>
      </c>
      <c r="Q843">
        <v>0</v>
      </c>
      <c r="R843">
        <v>3.86</v>
      </c>
      <c r="S843">
        <v>2.14</v>
      </c>
      <c r="T843">
        <f t="shared" si="84"/>
        <v>0</v>
      </c>
      <c r="U843">
        <f t="shared" si="85"/>
        <v>0.47619047619047616</v>
      </c>
      <c r="V843" s="60">
        <f>U843-AVERAGEIFS(Pitchers[ER/IP],Pitchers[GS],"&gt;"&amp;0,Pitchers[IP],"&gt;"&amp;3)</f>
        <v>-9.5310118608843308E-2</v>
      </c>
      <c r="W843" s="60">
        <f>IF(Pitchers[[#This Row],[IP/GS]]&lt;&gt;0,(Pitchers[[#This Row],[WHIP]]*$AH$5+$AI$5)/9*Pitchers[[#This Row],[IP/GS]],(Pitchers[[#This Row],[WHIP]]*$AH$5+$AI$5)/9*(Pitchers[[#This Row],[IP]]/Pitchers[[#This Row],[G]]))</f>
        <v>1.9118957581950025</v>
      </c>
      <c r="X843" s="60">
        <f>Pitchers[[#This Row],[Runs from WHIP]]-AVERAGEIFS(Pitchers[Runs from WHIP],Pitchers[GS],"&gt;"&amp;0,Pitchers[IP],"&gt;"&amp;3)</f>
        <v>-3.774020147929857</v>
      </c>
      <c r="Y843" s="60">
        <f>IF(Pitchers[[#This Row],[IP/GS]]&lt;&gt;0,Pitchers[[#This Row],[ER/IP From Average]]*Pitchers[[#This Row],[IP/GS]],Pitchers[[#This Row],[ER/IP From Average]]*(Pitchers[[#This Row],[IP]]/Pitchers[[#This Row],[G]]))</f>
        <v>-0.20015124907857096</v>
      </c>
      <c r="Z843" s="60">
        <f t="shared" si="86"/>
        <v>-1.0864658724127236</v>
      </c>
      <c r="AA843" s="90">
        <f>IF(Pitchers[[#This Row],[W]]=0,0,Pitchers[[#This Row],[W]]/(Pitchers[[#This Row],[W]]+Pitchers[[#This Row],[L]]))</f>
        <v>0</v>
      </c>
    </row>
    <row r="844" spans="1:27" x14ac:dyDescent="0.25">
      <c r="A844" t="s">
        <v>1429</v>
      </c>
      <c r="B844" t="s">
        <v>8</v>
      </c>
      <c r="C844">
        <v>1</v>
      </c>
      <c r="D844">
        <v>1</v>
      </c>
      <c r="E844">
        <v>0</v>
      </c>
      <c r="F844">
        <v>0</v>
      </c>
      <c r="G844">
        <v>2.1</v>
      </c>
      <c r="H844">
        <v>7</v>
      </c>
      <c r="I844">
        <v>5</v>
      </c>
      <c r="J844">
        <v>1</v>
      </c>
      <c r="K844">
        <v>2</v>
      </c>
      <c r="L844">
        <v>2</v>
      </c>
      <c r="M844">
        <v>0</v>
      </c>
      <c r="N844">
        <v>1</v>
      </c>
      <c r="O844">
        <v>0</v>
      </c>
      <c r="P844">
        <v>0</v>
      </c>
      <c r="Q844">
        <v>0</v>
      </c>
      <c r="R844">
        <v>19.29</v>
      </c>
      <c r="S844">
        <v>3.86</v>
      </c>
      <c r="T844">
        <f t="shared" si="84"/>
        <v>2.1</v>
      </c>
      <c r="U844">
        <f t="shared" si="85"/>
        <v>2.3809523809523809</v>
      </c>
      <c r="V844" s="60">
        <f>U844-AVERAGEIFS(Pitchers[ER/IP],Pitchers[GS],"&gt;"&amp;0,Pitchers[IP],"&gt;"&amp;3)</f>
        <v>1.8094517861530615</v>
      </c>
      <c r="W844" s="60">
        <f>IF(Pitchers[[#This Row],[IP/GS]]&lt;&gt;0,(Pitchers[[#This Row],[WHIP]]*$AH$5+$AI$5)/9*Pitchers[[#This Row],[IP/GS]],(Pitchers[[#This Row],[WHIP]]*$AH$5+$AI$5)/9*(Pitchers[[#This Row],[IP]]/Pitchers[[#This Row],[G]]))</f>
        <v>3.7871554273652959</v>
      </c>
      <c r="X844" s="60">
        <f>Pitchers[[#This Row],[Runs from WHIP]]-AVERAGEIFS(Pitchers[Runs from WHIP],Pitchers[GS],"&gt;"&amp;0,Pitchers[IP],"&gt;"&amp;3)</f>
        <v>-1.8987604787595633</v>
      </c>
      <c r="Y844" s="60">
        <f>IF(Pitchers[[#This Row],[IP/GS]]&lt;&gt;0,Pitchers[[#This Row],[ER/IP From Average]]*Pitchers[[#This Row],[IP/GS]],Pitchers[[#This Row],[ER/IP From Average]]*(Pitchers[[#This Row],[IP]]/Pitchers[[#This Row],[G]]))</f>
        <v>3.7998487509214294</v>
      </c>
      <c r="Z844" s="60">
        <f t="shared" si="86"/>
        <v>1.0136033726993547</v>
      </c>
      <c r="AA844" s="90">
        <f>IF(Pitchers[[#This Row],[W]]=0,0,Pitchers[[#This Row],[W]]/(Pitchers[[#This Row],[W]]+Pitchers[[#This Row],[L]]))</f>
        <v>0</v>
      </c>
    </row>
    <row r="845" spans="1:27" x14ac:dyDescent="0.25">
      <c r="A845" t="s">
        <v>1262</v>
      </c>
      <c r="B845" t="s">
        <v>31</v>
      </c>
      <c r="C845">
        <v>5</v>
      </c>
      <c r="D845">
        <v>0</v>
      </c>
      <c r="E845">
        <v>0</v>
      </c>
      <c r="F845">
        <v>0</v>
      </c>
      <c r="G845">
        <v>2</v>
      </c>
      <c r="H845">
        <v>4</v>
      </c>
      <c r="I845">
        <v>0</v>
      </c>
      <c r="J845">
        <v>1</v>
      </c>
      <c r="K845">
        <v>3</v>
      </c>
      <c r="L845">
        <v>0</v>
      </c>
      <c r="M845">
        <v>0</v>
      </c>
      <c r="N845">
        <v>0</v>
      </c>
      <c r="O845">
        <v>0</v>
      </c>
      <c r="P845">
        <v>0</v>
      </c>
      <c r="Q845">
        <v>0</v>
      </c>
      <c r="R845">
        <v>0</v>
      </c>
      <c r="S845">
        <v>3.5</v>
      </c>
      <c r="T845">
        <f t="shared" si="84"/>
        <v>0</v>
      </c>
      <c r="U845">
        <f t="shared" si="85"/>
        <v>0</v>
      </c>
      <c r="V845" s="60">
        <f>U845-AVERAGEIFS(Pitchers[ER/IP],Pitchers[GS],"&gt;"&amp;0,Pitchers[IP],"&gt;"&amp;3)</f>
        <v>-0.57150059479931947</v>
      </c>
      <c r="W845" s="60">
        <f>IF(Pitchers[[#This Row],[IP/GS]]&lt;&gt;0,(Pitchers[[#This Row],[WHIP]]*$AH$5+$AI$5)/9*Pitchers[[#This Row],[IP/GS]],(Pitchers[[#This Row],[WHIP]]*$AH$5+$AI$5)/9*(Pitchers[[#This Row],[IP]]/Pitchers[[#This Row],[G]]))</f>
        <v>0.64660175572170575</v>
      </c>
      <c r="X845" s="60">
        <f>Pitchers[[#This Row],[Runs from WHIP]]-AVERAGEIFS(Pitchers[Runs from WHIP],Pitchers[GS],"&gt;"&amp;0,Pitchers[IP],"&gt;"&amp;3)</f>
        <v>-5.0393141504031531</v>
      </c>
      <c r="Y845" s="60">
        <f>IF(Pitchers[[#This Row],[IP/GS]]&lt;&gt;0,Pitchers[[#This Row],[ER/IP From Average]]*Pitchers[[#This Row],[IP/GS]],Pitchers[[#This Row],[ER/IP From Average]]*(Pitchers[[#This Row],[IP]]/Pitchers[[#This Row],[G]]))</f>
        <v>-0.22860023791972781</v>
      </c>
      <c r="Z845" s="60">
        <f t="shared" si="86"/>
        <v>-1.4352572019420655</v>
      </c>
      <c r="AA845" s="90">
        <f>IF(Pitchers[[#This Row],[W]]=0,0,Pitchers[[#This Row],[W]]/(Pitchers[[#This Row],[W]]+Pitchers[[#This Row],[L]]))</f>
        <v>0</v>
      </c>
    </row>
    <row r="846" spans="1:27" x14ac:dyDescent="0.25">
      <c r="A846" t="s">
        <v>1483</v>
      </c>
      <c r="B846" t="s">
        <v>219</v>
      </c>
      <c r="C846">
        <v>2</v>
      </c>
      <c r="D846">
        <v>0</v>
      </c>
      <c r="E846">
        <v>0</v>
      </c>
      <c r="F846">
        <v>0</v>
      </c>
      <c r="G846">
        <v>2</v>
      </c>
      <c r="H846">
        <v>4</v>
      </c>
      <c r="I846">
        <v>1</v>
      </c>
      <c r="J846">
        <v>5</v>
      </c>
      <c r="K846">
        <v>1</v>
      </c>
      <c r="L846">
        <v>1</v>
      </c>
      <c r="M846">
        <v>0</v>
      </c>
      <c r="N846">
        <v>0</v>
      </c>
      <c r="O846">
        <v>0</v>
      </c>
      <c r="P846">
        <v>0</v>
      </c>
      <c r="Q846">
        <v>0</v>
      </c>
      <c r="R846">
        <v>4.5</v>
      </c>
      <c r="S846">
        <v>2.5</v>
      </c>
      <c r="T846">
        <f t="shared" si="84"/>
        <v>0</v>
      </c>
      <c r="U846">
        <f t="shared" si="85"/>
        <v>0.5</v>
      </c>
      <c r="V846" s="60">
        <f>U846-AVERAGEIFS(Pitchers[ER/IP],Pitchers[GS],"&gt;"&amp;0,Pitchers[IP],"&gt;"&amp;3)</f>
        <v>-7.1500594799319472E-2</v>
      </c>
      <c r="W846" s="60">
        <f>IF(Pitchers[[#This Row],[IP/GS]]&lt;&gt;0,(Pitchers[[#This Row],[WHIP]]*$AH$5+$AI$5)/9*Pitchers[[#This Row],[IP/GS]],(Pitchers[[#This Row],[WHIP]]*$AH$5+$AI$5)/9*(Pitchers[[#This Row],[IP]]/Pitchers[[#This Row],[G]]))</f>
        <v>1.0973295085815917</v>
      </c>
      <c r="X846" s="60">
        <f>Pitchers[[#This Row],[Runs from WHIP]]-AVERAGEIFS(Pitchers[Runs from WHIP],Pitchers[GS],"&gt;"&amp;0,Pitchers[IP],"&gt;"&amp;3)</f>
        <v>-4.588586397543267</v>
      </c>
      <c r="Y846" s="60">
        <f>IF(Pitchers[[#This Row],[IP/GS]]&lt;&gt;0,Pitchers[[#This Row],[ER/IP From Average]]*Pitchers[[#This Row],[IP/GS]],Pitchers[[#This Row],[ER/IP From Average]]*(Pitchers[[#This Row],[IP]]/Pitchers[[#This Row],[G]]))</f>
        <v>-7.1500594799319472E-2</v>
      </c>
      <c r="Z846" s="60">
        <f t="shared" si="86"/>
        <v>-1.2522232772645989</v>
      </c>
      <c r="AA846" s="90">
        <f>IF(Pitchers[[#This Row],[W]]=0,0,Pitchers[[#This Row],[W]]/(Pitchers[[#This Row],[W]]+Pitchers[[#This Row],[L]]))</f>
        <v>0</v>
      </c>
    </row>
    <row r="847" spans="1:27" x14ac:dyDescent="0.25">
      <c r="A847" t="s">
        <v>4915</v>
      </c>
      <c r="B847" t="s">
        <v>28</v>
      </c>
      <c r="C847">
        <v>1</v>
      </c>
      <c r="D847">
        <v>0</v>
      </c>
      <c r="E847">
        <v>0</v>
      </c>
      <c r="F847">
        <v>0</v>
      </c>
      <c r="G847">
        <v>2</v>
      </c>
      <c r="H847">
        <v>2</v>
      </c>
      <c r="I847">
        <v>0</v>
      </c>
      <c r="J847">
        <v>1</v>
      </c>
      <c r="K847">
        <v>0</v>
      </c>
      <c r="L847">
        <v>0</v>
      </c>
      <c r="M847">
        <v>0</v>
      </c>
      <c r="N847">
        <v>0</v>
      </c>
      <c r="O847">
        <v>0</v>
      </c>
      <c r="P847">
        <v>0</v>
      </c>
      <c r="Q847">
        <v>0</v>
      </c>
      <c r="R847">
        <v>0</v>
      </c>
      <c r="S847">
        <v>1</v>
      </c>
      <c r="T847">
        <f t="shared" si="84"/>
        <v>0</v>
      </c>
      <c r="U847">
        <f t="shared" si="85"/>
        <v>0</v>
      </c>
      <c r="V847" s="60">
        <f>U847-AVERAGEIFS(Pitchers[ER/IP],Pitchers[GS],"&gt;"&amp;0,Pitchers[IP],"&gt;"&amp;3)</f>
        <v>-0.57150059479931947</v>
      </c>
      <c r="W847" s="60">
        <f>IF(Pitchers[[#This Row],[IP/GS]]&lt;&gt;0,(Pitchers[[#This Row],[WHIP]]*$AH$5+$AI$5)/9*Pitchers[[#This Row],[IP/GS]],(Pitchers[[#This Row],[WHIP]]*$AH$5+$AI$5)/9*(Pitchers[[#This Row],[IP]]/Pitchers[[#This Row],[G]]))</f>
        <v>0.63713437499516523</v>
      </c>
      <c r="X847" s="60">
        <f>Pitchers[[#This Row],[Runs from WHIP]]-AVERAGEIFS(Pitchers[Runs from WHIP],Pitchers[GS],"&gt;"&amp;0,Pitchers[IP],"&gt;"&amp;3)</f>
        <v>-5.048781531129694</v>
      </c>
      <c r="Y847" s="60">
        <f>IF(Pitchers[[#This Row],[IP/GS]]&lt;&gt;0,Pitchers[[#This Row],[ER/IP From Average]]*Pitchers[[#This Row],[IP/GS]],Pitchers[[#This Row],[ER/IP From Average]]*(Pitchers[[#This Row],[IP]]/Pitchers[[#This Row],[G]]))</f>
        <v>-1.1430011895986389</v>
      </c>
      <c r="Z847" s="60">
        <f t="shared" si="86"/>
        <v>-1.8035422174740408</v>
      </c>
      <c r="AA847" s="90">
        <f>IF(Pitchers[[#This Row],[W]]=0,0,Pitchers[[#This Row],[W]]/(Pitchers[[#This Row],[W]]+Pitchers[[#This Row],[L]]))</f>
        <v>0</v>
      </c>
    </row>
    <row r="848" spans="1:27" x14ac:dyDescent="0.25">
      <c r="A848" t="s">
        <v>4131</v>
      </c>
      <c r="B848" t="s">
        <v>28</v>
      </c>
      <c r="C848">
        <v>1</v>
      </c>
      <c r="D848">
        <v>0</v>
      </c>
      <c r="E848">
        <v>0</v>
      </c>
      <c r="F848">
        <v>0</v>
      </c>
      <c r="G848">
        <v>2</v>
      </c>
      <c r="H848">
        <v>1</v>
      </c>
      <c r="I848">
        <v>1</v>
      </c>
      <c r="J848">
        <v>2</v>
      </c>
      <c r="K848">
        <v>0</v>
      </c>
      <c r="L848">
        <v>1</v>
      </c>
      <c r="M848">
        <v>0</v>
      </c>
      <c r="N848">
        <v>0</v>
      </c>
      <c r="O848">
        <v>0</v>
      </c>
      <c r="P848">
        <v>0</v>
      </c>
      <c r="Q848">
        <v>0</v>
      </c>
      <c r="R848">
        <v>4.5</v>
      </c>
      <c r="S848">
        <v>0.5</v>
      </c>
      <c r="T848">
        <f t="shared" si="84"/>
        <v>0</v>
      </c>
      <c r="U848">
        <f t="shared" si="85"/>
        <v>0.5</v>
      </c>
      <c r="V848" s="60">
        <f>U848-AVERAGEIFS(Pitchers[ER/IP],Pitchers[GS],"&gt;"&amp;0,Pitchers[IP],"&gt;"&amp;3)</f>
        <v>-7.1500594799319472E-2</v>
      </c>
      <c r="W848" s="60">
        <f>IF(Pitchers[[#This Row],[IP/GS]]&lt;&gt;0,(Pitchers[[#This Row],[WHIP]]*$AH$5+$AI$5)/9*Pitchers[[#This Row],[IP/GS]],(Pitchers[[#This Row],[WHIP]]*$AH$5+$AI$5)/9*(Pitchers[[#This Row],[IP]]/Pitchers[[#This Row],[G]]))</f>
        <v>0.11795949427249248</v>
      </c>
      <c r="X848" s="60">
        <f>Pitchers[[#This Row],[Runs from WHIP]]-AVERAGEIFS(Pitchers[Runs from WHIP],Pitchers[GS],"&gt;"&amp;0,Pitchers[IP],"&gt;"&amp;3)</f>
        <v>-5.567956411852367</v>
      </c>
      <c r="Y848" s="60">
        <f>IF(Pitchers[[#This Row],[IP/GS]]&lt;&gt;0,Pitchers[[#This Row],[ER/IP From Average]]*Pitchers[[#This Row],[IP/GS]],Pitchers[[#This Row],[ER/IP From Average]]*(Pitchers[[#This Row],[IP]]/Pitchers[[#This Row],[G]]))</f>
        <v>-0.14300118959863894</v>
      </c>
      <c r="Z848" s="60">
        <f t="shared" si="86"/>
        <v>-1.54198885233342</v>
      </c>
      <c r="AA848" s="90">
        <f>IF(Pitchers[[#This Row],[W]]=0,0,Pitchers[[#This Row],[W]]/(Pitchers[[#This Row],[W]]+Pitchers[[#This Row],[L]]))</f>
        <v>0</v>
      </c>
    </row>
    <row r="849" spans="1:27" x14ac:dyDescent="0.25">
      <c r="A849" t="s">
        <v>853</v>
      </c>
      <c r="B849" t="s">
        <v>7</v>
      </c>
      <c r="C849">
        <v>1</v>
      </c>
      <c r="D849">
        <v>0</v>
      </c>
      <c r="E849">
        <v>0</v>
      </c>
      <c r="F849">
        <v>0</v>
      </c>
      <c r="G849">
        <v>2</v>
      </c>
      <c r="H849">
        <v>3</v>
      </c>
      <c r="I849">
        <v>1</v>
      </c>
      <c r="J849">
        <v>0</v>
      </c>
      <c r="K849">
        <v>2</v>
      </c>
      <c r="L849">
        <v>1</v>
      </c>
      <c r="M849">
        <v>0</v>
      </c>
      <c r="N849">
        <v>0</v>
      </c>
      <c r="O849">
        <v>0</v>
      </c>
      <c r="P849">
        <v>0</v>
      </c>
      <c r="Q849">
        <v>0</v>
      </c>
      <c r="R849">
        <v>4.5</v>
      </c>
      <c r="S849">
        <v>2.5</v>
      </c>
      <c r="T849">
        <f t="shared" si="84"/>
        <v>0</v>
      </c>
      <c r="U849">
        <f t="shared" si="85"/>
        <v>0.5</v>
      </c>
      <c r="V849" s="60">
        <f>U849-AVERAGEIFS(Pitchers[ER/IP],Pitchers[GS],"&gt;"&amp;0,Pitchers[IP],"&gt;"&amp;3)</f>
        <v>-7.1500594799319472E-2</v>
      </c>
      <c r="W849" s="60">
        <f>IF(Pitchers[[#This Row],[IP/GS]]&lt;&gt;0,(Pitchers[[#This Row],[WHIP]]*$AH$5+$AI$5)/9*Pitchers[[#This Row],[IP/GS]],(Pitchers[[#This Row],[WHIP]]*$AH$5+$AI$5)/9*(Pitchers[[#This Row],[IP]]/Pitchers[[#This Row],[G]]))</f>
        <v>2.1946590171631835</v>
      </c>
      <c r="X849" s="60">
        <f>Pitchers[[#This Row],[Runs from WHIP]]-AVERAGEIFS(Pitchers[Runs from WHIP],Pitchers[GS],"&gt;"&amp;0,Pitchers[IP],"&gt;"&amp;3)</f>
        <v>-3.4912568889616757</v>
      </c>
      <c r="Y849" s="60">
        <f>IF(Pitchers[[#This Row],[IP/GS]]&lt;&gt;0,Pitchers[[#This Row],[ER/IP From Average]]*Pitchers[[#This Row],[IP/GS]],Pitchers[[#This Row],[ER/IP From Average]]*(Pitchers[[#This Row],[IP]]/Pitchers[[#This Row],[G]]))</f>
        <v>-0.14300118959863894</v>
      </c>
      <c r="Z849" s="60">
        <f t="shared" si="86"/>
        <v>-0.98820231289590243</v>
      </c>
      <c r="AA849" s="90">
        <f>IF(Pitchers[[#This Row],[W]]=0,0,Pitchers[[#This Row],[W]]/(Pitchers[[#This Row],[W]]+Pitchers[[#This Row],[L]]))</f>
        <v>0</v>
      </c>
    </row>
    <row r="850" spans="1:27" x14ac:dyDescent="0.25">
      <c r="A850" t="s">
        <v>1482</v>
      </c>
      <c r="B850" t="s">
        <v>218</v>
      </c>
      <c r="C850">
        <v>1</v>
      </c>
      <c r="D850">
        <v>0</v>
      </c>
      <c r="E850">
        <v>0</v>
      </c>
      <c r="F850">
        <v>0</v>
      </c>
      <c r="G850">
        <v>2</v>
      </c>
      <c r="H850">
        <v>1</v>
      </c>
      <c r="I850">
        <v>2</v>
      </c>
      <c r="J850">
        <v>2</v>
      </c>
      <c r="K850">
        <v>2</v>
      </c>
      <c r="L850">
        <v>0</v>
      </c>
      <c r="M850">
        <v>0</v>
      </c>
      <c r="N850">
        <v>0</v>
      </c>
      <c r="O850">
        <v>0</v>
      </c>
      <c r="P850">
        <v>0</v>
      </c>
      <c r="Q850">
        <v>0</v>
      </c>
      <c r="R850">
        <v>9</v>
      </c>
      <c r="S850">
        <v>1.5</v>
      </c>
      <c r="T850">
        <f t="shared" si="84"/>
        <v>0</v>
      </c>
      <c r="U850">
        <f t="shared" si="85"/>
        <v>1</v>
      </c>
      <c r="V850" s="60">
        <f>U850-AVERAGEIFS(Pitchers[ER/IP],Pitchers[GS],"&gt;"&amp;0,Pitchers[IP],"&gt;"&amp;3)</f>
        <v>0.42849940520068053</v>
      </c>
      <c r="W850" s="60">
        <f>IF(Pitchers[[#This Row],[IP/GS]]&lt;&gt;0,(Pitchers[[#This Row],[WHIP]]*$AH$5+$AI$5)/9*Pitchers[[#This Row],[IP/GS]],(Pitchers[[#This Row],[WHIP]]*$AH$5+$AI$5)/9*(Pitchers[[#This Row],[IP]]/Pitchers[[#This Row],[G]]))</f>
        <v>1.156309255717838</v>
      </c>
      <c r="X850" s="60">
        <f>Pitchers[[#This Row],[Runs from WHIP]]-AVERAGEIFS(Pitchers[Runs from WHIP],Pitchers[GS],"&gt;"&amp;0,Pitchers[IP],"&gt;"&amp;3)</f>
        <v>-4.5296066504070209</v>
      </c>
      <c r="Y850" s="60">
        <f>IF(Pitchers[[#This Row],[IP/GS]]&lt;&gt;0,Pitchers[[#This Row],[ER/IP From Average]]*Pitchers[[#This Row],[IP/GS]],Pitchers[[#This Row],[ER/IP From Average]]*(Pitchers[[#This Row],[IP]]/Pitchers[[#This Row],[G]]))</f>
        <v>0.85699881040136106</v>
      </c>
      <c r="Z850" s="60">
        <f t="shared" si="86"/>
        <v>-0.86509558261466113</v>
      </c>
      <c r="AA850" s="90">
        <f>IF(Pitchers[[#This Row],[W]]=0,0,Pitchers[[#This Row],[W]]/(Pitchers[[#This Row],[W]]+Pitchers[[#This Row],[L]]))</f>
        <v>0</v>
      </c>
    </row>
    <row r="851" spans="1:27" x14ac:dyDescent="0.25">
      <c r="A851" t="s">
        <v>1556</v>
      </c>
      <c r="B851" t="s">
        <v>24</v>
      </c>
      <c r="C851">
        <v>3</v>
      </c>
      <c r="D851">
        <v>0</v>
      </c>
      <c r="E851">
        <v>0</v>
      </c>
      <c r="F851">
        <v>0</v>
      </c>
      <c r="G851">
        <v>2</v>
      </c>
      <c r="H851">
        <v>2</v>
      </c>
      <c r="I851">
        <v>2</v>
      </c>
      <c r="J851">
        <v>2</v>
      </c>
      <c r="K851">
        <v>1</v>
      </c>
      <c r="L851">
        <v>0</v>
      </c>
      <c r="M851">
        <v>1</v>
      </c>
      <c r="N851">
        <v>0</v>
      </c>
      <c r="O851">
        <v>0</v>
      </c>
      <c r="P851">
        <v>0</v>
      </c>
      <c r="Q851">
        <v>1</v>
      </c>
      <c r="R851">
        <v>9</v>
      </c>
      <c r="S851">
        <v>1.5</v>
      </c>
      <c r="T851">
        <f t="shared" si="84"/>
        <v>0</v>
      </c>
      <c r="U851">
        <f t="shared" si="85"/>
        <v>1</v>
      </c>
      <c r="V851" s="60">
        <f>U851-AVERAGEIFS(Pitchers[ER/IP],Pitchers[GS],"&gt;"&amp;0,Pitchers[IP],"&gt;"&amp;3)</f>
        <v>0.42849940520068053</v>
      </c>
      <c r="W851" s="60">
        <f>IF(Pitchers[[#This Row],[IP/GS]]&lt;&gt;0,(Pitchers[[#This Row],[WHIP]]*$AH$5+$AI$5)/9*Pitchers[[#This Row],[IP/GS]],(Pitchers[[#This Row],[WHIP]]*$AH$5+$AI$5)/9*(Pitchers[[#This Row],[IP]]/Pitchers[[#This Row],[G]]))</f>
        <v>0.38543641857261268</v>
      </c>
      <c r="X851" s="60">
        <f>Pitchers[[#This Row],[Runs from WHIP]]-AVERAGEIFS(Pitchers[Runs from WHIP],Pitchers[GS],"&gt;"&amp;0,Pitchers[IP],"&gt;"&amp;3)</f>
        <v>-5.3004794875522467</v>
      </c>
      <c r="Y851" s="60">
        <f>IF(Pitchers[[#This Row],[IP/GS]]&lt;&gt;0,Pitchers[[#This Row],[ER/IP From Average]]*Pitchers[[#This Row],[IP/GS]],Pitchers[[#This Row],[ER/IP From Average]]*(Pitchers[[#This Row],[IP]]/Pitchers[[#This Row],[G]]))</f>
        <v>0.28566627013378698</v>
      </c>
      <c r="Z851" s="60">
        <f t="shared" si="86"/>
        <v>-1.2991946886270844</v>
      </c>
      <c r="AA851" s="90">
        <f>IF(Pitchers[[#This Row],[W]]=0,0,Pitchers[[#This Row],[W]]/(Pitchers[[#This Row],[W]]+Pitchers[[#This Row],[L]]))</f>
        <v>1</v>
      </c>
    </row>
    <row r="852" spans="1:27" x14ac:dyDescent="0.25">
      <c r="A852" t="s">
        <v>761</v>
      </c>
      <c r="B852" t="s">
        <v>370</v>
      </c>
      <c r="C852">
        <v>2</v>
      </c>
      <c r="D852">
        <v>0</v>
      </c>
      <c r="E852">
        <v>0</v>
      </c>
      <c r="F852">
        <v>0</v>
      </c>
      <c r="G852">
        <v>1.2</v>
      </c>
      <c r="H852">
        <v>4</v>
      </c>
      <c r="I852">
        <v>6</v>
      </c>
      <c r="J852">
        <v>2</v>
      </c>
      <c r="K852">
        <v>4</v>
      </c>
      <c r="L852">
        <v>0</v>
      </c>
      <c r="M852">
        <v>0</v>
      </c>
      <c r="N852">
        <v>0</v>
      </c>
      <c r="O852">
        <v>0</v>
      </c>
      <c r="P852">
        <v>0</v>
      </c>
      <c r="Q852">
        <v>0</v>
      </c>
      <c r="R852">
        <v>32.4</v>
      </c>
      <c r="S852">
        <v>4.8</v>
      </c>
      <c r="T852">
        <f t="shared" si="84"/>
        <v>0</v>
      </c>
      <c r="U852">
        <f t="shared" si="85"/>
        <v>5</v>
      </c>
      <c r="V852" s="60">
        <f>U852-AVERAGEIFS(Pitchers[ER/IP],Pitchers[GS],"&gt;"&amp;0,Pitchers[IP],"&gt;"&amp;3)</f>
        <v>4.4284994052006805</v>
      </c>
      <c r="W852" s="60">
        <f>IF(Pitchers[[#This Row],[IP/GS]]&lt;&gt;0,(Pitchers[[#This Row],[WHIP]]*$AH$5+$AI$5)/9*Pitchers[[#This Row],[IP/GS]],(Pitchers[[#This Row],[WHIP]]*$AH$5+$AI$5)/9*(Pitchers[[#This Row],[IP]]/Pitchers[[#This Row],[G]]))</f>
        <v>1.3748590405462433</v>
      </c>
      <c r="X852" s="60">
        <f>Pitchers[[#This Row],[Runs from WHIP]]-AVERAGEIFS(Pitchers[Runs from WHIP],Pitchers[GS],"&gt;"&amp;0,Pitchers[IP],"&gt;"&amp;3)</f>
        <v>-4.3110568655786157</v>
      </c>
      <c r="Y852" s="60">
        <f>IF(Pitchers[[#This Row],[IP/GS]]&lt;&gt;0,Pitchers[[#This Row],[ER/IP From Average]]*Pitchers[[#This Row],[IP/GS]],Pitchers[[#This Row],[ER/IP From Average]]*(Pitchers[[#This Row],[IP]]/Pitchers[[#This Row],[G]]))</f>
        <v>2.6570996431204081</v>
      </c>
      <c r="Z852" s="60">
        <f t="shared" si="86"/>
        <v>-8.6775306906134261E-2</v>
      </c>
      <c r="AA852" s="90">
        <f>IF(Pitchers[[#This Row],[W]]=0,0,Pitchers[[#This Row],[W]]/(Pitchers[[#This Row],[W]]+Pitchers[[#This Row],[L]]))</f>
        <v>0</v>
      </c>
    </row>
    <row r="853" spans="1:27" x14ac:dyDescent="0.25">
      <c r="A853" t="s">
        <v>4916</v>
      </c>
      <c r="B853" t="s">
        <v>13</v>
      </c>
      <c r="C853">
        <v>2</v>
      </c>
      <c r="D853">
        <v>0</v>
      </c>
      <c r="E853">
        <v>0</v>
      </c>
      <c r="F853">
        <v>0</v>
      </c>
      <c r="G853">
        <v>1.2</v>
      </c>
      <c r="H853">
        <v>1</v>
      </c>
      <c r="I853">
        <v>0</v>
      </c>
      <c r="J853">
        <v>1</v>
      </c>
      <c r="K853">
        <v>1</v>
      </c>
      <c r="L853">
        <v>0</v>
      </c>
      <c r="M853">
        <v>0</v>
      </c>
      <c r="N853">
        <v>0</v>
      </c>
      <c r="O853">
        <v>0</v>
      </c>
      <c r="P853">
        <v>0</v>
      </c>
      <c r="Q853">
        <v>0</v>
      </c>
      <c r="R853">
        <v>0</v>
      </c>
      <c r="S853">
        <v>1.2</v>
      </c>
      <c r="T853">
        <f t="shared" si="84"/>
        <v>0</v>
      </c>
      <c r="U853">
        <f t="shared" si="85"/>
        <v>0</v>
      </c>
      <c r="V853" s="60">
        <f>U853-AVERAGEIFS(Pitchers[ER/IP],Pitchers[GS],"&gt;"&amp;0,Pitchers[IP],"&gt;"&amp;3)</f>
        <v>-0.57150059479931947</v>
      </c>
      <c r="W853" s="60">
        <f>IF(Pitchers[[#This Row],[IP/GS]]&lt;&gt;0,(Pitchers[[#This Row],[WHIP]]*$AH$5+$AI$5)/9*Pitchers[[#This Row],[IP/GS]],(Pitchers[[#This Row],[WHIP]]*$AH$5+$AI$5)/9*(Pitchers[[#This Row],[IP]]/Pitchers[[#This Row],[G]]))</f>
        <v>0.25344129818527028</v>
      </c>
      <c r="X853" s="60">
        <f>Pitchers[[#This Row],[Runs from WHIP]]-AVERAGEIFS(Pitchers[Runs from WHIP],Pitchers[GS],"&gt;"&amp;0,Pitchers[IP],"&gt;"&amp;3)</f>
        <v>-5.4324746079395894</v>
      </c>
      <c r="Y853" s="60">
        <f>IF(Pitchers[[#This Row],[IP/GS]]&lt;&gt;0,Pitchers[[#This Row],[ER/IP From Average]]*Pitchers[[#This Row],[IP/GS]],Pitchers[[#This Row],[ER/IP From Average]]*(Pitchers[[#This Row],[IP]]/Pitchers[[#This Row],[G]]))</f>
        <v>-0.34290035687959169</v>
      </c>
      <c r="Z853" s="60">
        <f t="shared" si="86"/>
        <v>-1.5858200382023935</v>
      </c>
      <c r="AA853" s="90">
        <f>IF(Pitchers[[#This Row],[W]]=0,0,Pitchers[[#This Row],[W]]/(Pitchers[[#This Row],[W]]+Pitchers[[#This Row],[L]]))</f>
        <v>0</v>
      </c>
    </row>
    <row r="854" spans="1:27" x14ac:dyDescent="0.25">
      <c r="A854" t="s">
        <v>1171</v>
      </c>
      <c r="B854" t="s">
        <v>27</v>
      </c>
      <c r="C854">
        <v>2</v>
      </c>
      <c r="D854">
        <v>0</v>
      </c>
      <c r="E854">
        <v>0</v>
      </c>
      <c r="F854">
        <v>0</v>
      </c>
      <c r="G854">
        <v>1.1000000000000001</v>
      </c>
      <c r="H854">
        <v>0</v>
      </c>
      <c r="I854">
        <v>0</v>
      </c>
      <c r="J854">
        <v>1</v>
      </c>
      <c r="K854">
        <v>3</v>
      </c>
      <c r="L854">
        <v>0</v>
      </c>
      <c r="M854">
        <v>0</v>
      </c>
      <c r="N854">
        <v>0</v>
      </c>
      <c r="O854">
        <v>0</v>
      </c>
      <c r="P854">
        <v>0</v>
      </c>
      <c r="Q854">
        <v>0</v>
      </c>
      <c r="R854">
        <v>0</v>
      </c>
      <c r="S854">
        <v>2.25</v>
      </c>
      <c r="T854">
        <f t="shared" si="84"/>
        <v>0</v>
      </c>
      <c r="U854">
        <f t="shared" si="85"/>
        <v>0</v>
      </c>
      <c r="V854" s="60">
        <f>U854-AVERAGEIFS(Pitchers[ER/IP],Pitchers[GS],"&gt;"&amp;0,Pitchers[IP],"&gt;"&amp;3)</f>
        <v>-0.57150059479931947</v>
      </c>
      <c r="W854" s="60">
        <f>IF(Pitchers[[#This Row],[IP/GS]]&lt;&gt;0,(Pitchers[[#This Row],[WHIP]]*$AH$5+$AI$5)/9*Pitchers[[#This Row],[IP/GS]],(Pitchers[[#This Row],[WHIP]]*$AH$5+$AI$5)/9*(Pitchers[[#This Row],[IP]]/Pitchers[[#This Row],[G]]))</f>
        <v>0.53214468362050804</v>
      </c>
      <c r="X854" s="60">
        <f>Pitchers[[#This Row],[Runs from WHIP]]-AVERAGEIFS(Pitchers[Runs from WHIP],Pitchers[GS],"&gt;"&amp;0,Pitchers[IP],"&gt;"&amp;3)</f>
        <v>-5.1537712225043508</v>
      </c>
      <c r="Y854" s="60">
        <f>IF(Pitchers[[#This Row],[IP/GS]]&lt;&gt;0,Pitchers[[#This Row],[ER/IP From Average]]*Pitchers[[#This Row],[IP/GS]],Pitchers[[#This Row],[ER/IP From Average]]*(Pitchers[[#This Row],[IP]]/Pitchers[[#This Row],[G]]))</f>
        <v>-0.31432532713962574</v>
      </c>
      <c r="Z854" s="60">
        <f t="shared" si="86"/>
        <v>-1.5000691235236772</v>
      </c>
      <c r="AA854" s="90">
        <f>IF(Pitchers[[#This Row],[W]]=0,0,Pitchers[[#This Row],[W]]/(Pitchers[[#This Row],[W]]+Pitchers[[#This Row],[L]]))</f>
        <v>0</v>
      </c>
    </row>
    <row r="855" spans="1:27" x14ac:dyDescent="0.25">
      <c r="A855" t="s">
        <v>764</v>
      </c>
      <c r="B855" t="s">
        <v>1</v>
      </c>
      <c r="C855">
        <v>3</v>
      </c>
      <c r="D855">
        <v>0</v>
      </c>
      <c r="E855">
        <v>0</v>
      </c>
      <c r="F855">
        <v>0</v>
      </c>
      <c r="G855">
        <v>1.1000000000000001</v>
      </c>
      <c r="H855">
        <v>3</v>
      </c>
      <c r="I855">
        <v>4</v>
      </c>
      <c r="J855">
        <v>2</v>
      </c>
      <c r="K855">
        <v>1</v>
      </c>
      <c r="L855">
        <v>2</v>
      </c>
      <c r="M855">
        <v>0</v>
      </c>
      <c r="N855">
        <v>0</v>
      </c>
      <c r="O855">
        <v>1</v>
      </c>
      <c r="P855">
        <v>0</v>
      </c>
      <c r="Q855">
        <v>0</v>
      </c>
      <c r="R855">
        <v>27</v>
      </c>
      <c r="S855">
        <v>3</v>
      </c>
      <c r="T855">
        <f t="shared" si="84"/>
        <v>0</v>
      </c>
      <c r="U855">
        <f t="shared" si="85"/>
        <v>3.6363636363636362</v>
      </c>
      <c r="V855" s="60">
        <f>U855-AVERAGEIFS(Pitchers[ER/IP],Pitchers[GS],"&gt;"&amp;0,Pitchers[IP],"&gt;"&amp;3)</f>
        <v>3.0648630415643168</v>
      </c>
      <c r="W855" s="60">
        <f>IF(Pitchers[[#This Row],[IP/GS]]&lt;&gt;0,(Pitchers[[#This Row],[WHIP]]*$AH$5+$AI$5)/9*Pitchers[[#This Row],[IP/GS]],(Pitchers[[#This Row],[WHIP]]*$AH$5+$AI$5)/9*(Pitchers[[#This Row],[IP]]/Pitchers[[#This Row],[G]]))</f>
        <v>0.49753621461240705</v>
      </c>
      <c r="X855" s="60">
        <f>Pitchers[[#This Row],[Runs from WHIP]]-AVERAGEIFS(Pitchers[Runs from WHIP],Pitchers[GS],"&gt;"&amp;0,Pitchers[IP],"&gt;"&amp;3)</f>
        <v>-5.188379691512452</v>
      </c>
      <c r="Y855" s="60">
        <f>IF(Pitchers[[#This Row],[IP/GS]]&lt;&gt;0,Pitchers[[#This Row],[ER/IP From Average]]*Pitchers[[#This Row],[IP/GS]],Pitchers[[#This Row],[ER/IP From Average]]*(Pitchers[[#This Row],[IP]]/Pitchers[[#This Row],[G]]))</f>
        <v>1.1237831152402495</v>
      </c>
      <c r="Z855" s="60">
        <f t="shared" si="86"/>
        <v>-0.93405467164055411</v>
      </c>
      <c r="AA855" s="90">
        <f>IF(Pitchers[[#This Row],[W]]=0,0,Pitchers[[#This Row],[W]]/(Pitchers[[#This Row],[W]]+Pitchers[[#This Row],[L]]))</f>
        <v>0</v>
      </c>
    </row>
    <row r="856" spans="1:27" x14ac:dyDescent="0.25">
      <c r="A856" t="s">
        <v>1435</v>
      </c>
      <c r="B856" t="s">
        <v>31</v>
      </c>
      <c r="C856">
        <v>2</v>
      </c>
      <c r="D856">
        <v>0</v>
      </c>
      <c r="E856">
        <v>0</v>
      </c>
      <c r="F856">
        <v>0</v>
      </c>
      <c r="G856">
        <v>1.1000000000000001</v>
      </c>
      <c r="H856">
        <v>2</v>
      </c>
      <c r="I856">
        <v>1</v>
      </c>
      <c r="J856">
        <v>0</v>
      </c>
      <c r="K856">
        <v>0</v>
      </c>
      <c r="L856">
        <v>1</v>
      </c>
      <c r="M856">
        <v>0</v>
      </c>
      <c r="N856">
        <v>0</v>
      </c>
      <c r="O856">
        <v>0</v>
      </c>
      <c r="P856">
        <v>0</v>
      </c>
      <c r="Q856">
        <v>0</v>
      </c>
      <c r="R856">
        <v>6.75</v>
      </c>
      <c r="S856">
        <v>1.5</v>
      </c>
      <c r="T856">
        <f t="shared" si="84"/>
        <v>0</v>
      </c>
      <c r="U856">
        <f t="shared" si="85"/>
        <v>0.90909090909090906</v>
      </c>
      <c r="V856" s="60">
        <f>U856-AVERAGEIFS(Pitchers[ER/IP],Pitchers[GS],"&gt;"&amp;0,Pitchers[IP],"&gt;"&amp;3)</f>
        <v>0.33759031429158959</v>
      </c>
      <c r="W856" s="60">
        <f>IF(Pitchers[[#This Row],[IP/GS]]&lt;&gt;0,(Pitchers[[#This Row],[WHIP]]*$AH$5+$AI$5)/9*Pitchers[[#This Row],[IP/GS]],(Pitchers[[#This Row],[WHIP]]*$AH$5+$AI$5)/9*(Pitchers[[#This Row],[IP]]/Pitchers[[#This Row],[G]]))</f>
        <v>0.31798504532240551</v>
      </c>
      <c r="X856" s="60">
        <f>Pitchers[[#This Row],[Runs from WHIP]]-AVERAGEIFS(Pitchers[Runs from WHIP],Pitchers[GS],"&gt;"&amp;0,Pitchers[IP],"&gt;"&amp;3)</f>
        <v>-5.3679308608024536</v>
      </c>
      <c r="Y856" s="60">
        <f>IF(Pitchers[[#This Row],[IP/GS]]&lt;&gt;0,Pitchers[[#This Row],[ER/IP From Average]]*Pitchers[[#This Row],[IP/GS]],Pitchers[[#This Row],[ER/IP From Average]]*(Pitchers[[#This Row],[IP]]/Pitchers[[#This Row],[G]]))</f>
        <v>0.18567467286037428</v>
      </c>
      <c r="Z856" s="60">
        <f t="shared" si="86"/>
        <v>-1.3571783604031713</v>
      </c>
      <c r="AA856" s="90">
        <f>IF(Pitchers[[#This Row],[W]]=0,0,Pitchers[[#This Row],[W]]/(Pitchers[[#This Row],[W]]+Pitchers[[#This Row],[L]]))</f>
        <v>0</v>
      </c>
    </row>
    <row r="857" spans="1:27" x14ac:dyDescent="0.25">
      <c r="A857" t="s">
        <v>1299</v>
      </c>
      <c r="B857" t="s">
        <v>18</v>
      </c>
      <c r="C857">
        <v>1</v>
      </c>
      <c r="D857">
        <v>0</v>
      </c>
      <c r="E857">
        <v>0</v>
      </c>
      <c r="F857">
        <v>0</v>
      </c>
      <c r="G857">
        <v>1.1000000000000001</v>
      </c>
      <c r="H857">
        <v>2</v>
      </c>
      <c r="I857">
        <v>1</v>
      </c>
      <c r="J857">
        <v>0</v>
      </c>
      <c r="K857">
        <v>0</v>
      </c>
      <c r="L857">
        <v>1</v>
      </c>
      <c r="M857">
        <v>0</v>
      </c>
      <c r="N857">
        <v>1</v>
      </c>
      <c r="O857">
        <v>0</v>
      </c>
      <c r="P857">
        <v>0</v>
      </c>
      <c r="Q857">
        <v>0</v>
      </c>
      <c r="R857">
        <v>6.75</v>
      </c>
      <c r="S857">
        <v>1.5</v>
      </c>
      <c r="T857">
        <f t="shared" ref="T857:T867" si="87">IF(D857=0,0,G857/D857)</f>
        <v>0</v>
      </c>
      <c r="U857">
        <f t="shared" ref="U857:U867" si="88">IF(G857=0,0,I857/G857)</f>
        <v>0.90909090909090906</v>
      </c>
      <c r="V857" s="60">
        <f>U857-AVERAGEIFS(Pitchers[ER/IP],Pitchers[GS],"&gt;"&amp;0,Pitchers[IP],"&gt;"&amp;3)</f>
        <v>0.33759031429158959</v>
      </c>
      <c r="W857" s="60">
        <f>IF(Pitchers[[#This Row],[IP/GS]]&lt;&gt;0,(Pitchers[[#This Row],[WHIP]]*$AH$5+$AI$5)/9*Pitchers[[#This Row],[IP/GS]],(Pitchers[[#This Row],[WHIP]]*$AH$5+$AI$5)/9*(Pitchers[[#This Row],[IP]]/Pitchers[[#This Row],[G]]))</f>
        <v>0.63597009064481103</v>
      </c>
      <c r="X857" s="60">
        <f>Pitchers[[#This Row],[Runs from WHIP]]-AVERAGEIFS(Pitchers[Runs from WHIP],Pitchers[GS],"&gt;"&amp;0,Pitchers[IP],"&gt;"&amp;3)</f>
        <v>-5.0499458154800481</v>
      </c>
      <c r="Y857" s="60">
        <f>IF(Pitchers[[#This Row],[IP/GS]]&lt;&gt;0,Pitchers[[#This Row],[ER/IP From Average]]*Pitchers[[#This Row],[IP/GS]],Pitchers[[#This Row],[ER/IP From Average]]*(Pitchers[[#This Row],[IP]]/Pitchers[[#This Row],[G]]))</f>
        <v>0.37134934572074857</v>
      </c>
      <c r="Z857" s="60">
        <f t="shared" ref="Z857:Z867" si="89">AVERAGE(X857,X857,Y857,Y857,Y857)/1.5</f>
        <v>-1.1981124791730469</v>
      </c>
      <c r="AA857" s="90">
        <f>IF(Pitchers[[#This Row],[W]]=0,0,Pitchers[[#This Row],[W]]/(Pitchers[[#This Row],[W]]+Pitchers[[#This Row],[L]]))</f>
        <v>0</v>
      </c>
    </row>
    <row r="858" spans="1:27" x14ac:dyDescent="0.25">
      <c r="A858" t="s">
        <v>754</v>
      </c>
      <c r="B858" t="s">
        <v>18</v>
      </c>
      <c r="C858">
        <v>1</v>
      </c>
      <c r="D858">
        <v>0</v>
      </c>
      <c r="E858">
        <v>0</v>
      </c>
      <c r="F858">
        <v>0</v>
      </c>
      <c r="G858">
        <v>1.1000000000000001</v>
      </c>
      <c r="H858">
        <v>1</v>
      </c>
      <c r="I858">
        <v>1</v>
      </c>
      <c r="J858">
        <v>3</v>
      </c>
      <c r="K858">
        <v>0</v>
      </c>
      <c r="L858">
        <v>1</v>
      </c>
      <c r="M858">
        <v>0</v>
      </c>
      <c r="N858">
        <v>0</v>
      </c>
      <c r="O858">
        <v>0</v>
      </c>
      <c r="P858">
        <v>0</v>
      </c>
      <c r="Q858">
        <v>0</v>
      </c>
      <c r="R858">
        <v>6.75</v>
      </c>
      <c r="S858">
        <v>0.75</v>
      </c>
      <c r="T858">
        <f t="shared" si="87"/>
        <v>0</v>
      </c>
      <c r="U858">
        <f t="shared" si="88"/>
        <v>0.90909090909090906</v>
      </c>
      <c r="V858" s="60">
        <f>U858-AVERAGEIFS(Pitchers[ER/IP],Pitchers[GS],"&gt;"&amp;0,Pitchers[IP],"&gt;"&amp;3)</f>
        <v>0.33759031429158959</v>
      </c>
      <c r="W858" s="60">
        <f>IF(Pitchers[[#This Row],[IP/GS]]&lt;&gt;0,(Pitchers[[#This Row],[WHIP]]*$AH$5+$AI$5)/9*Pitchers[[#This Row],[IP/GS]],(Pitchers[[#This Row],[WHIP]]*$AH$5+$AI$5)/9*(Pitchers[[#This Row],[IP]]/Pitchers[[#This Row],[G]]))</f>
        <v>0.20765081404860594</v>
      </c>
      <c r="X858" s="60">
        <f>Pitchers[[#This Row],[Runs from WHIP]]-AVERAGEIFS(Pitchers[Runs from WHIP],Pitchers[GS],"&gt;"&amp;0,Pitchers[IP],"&gt;"&amp;3)</f>
        <v>-5.4782650920762537</v>
      </c>
      <c r="Y858" s="60">
        <f>IF(Pitchers[[#This Row],[IP/GS]]&lt;&gt;0,Pitchers[[#This Row],[ER/IP From Average]]*Pitchers[[#This Row],[IP/GS]],Pitchers[[#This Row],[ER/IP From Average]]*(Pitchers[[#This Row],[IP]]/Pitchers[[#This Row],[G]]))</f>
        <v>0.37134934572074857</v>
      </c>
      <c r="Z858" s="60">
        <f t="shared" si="89"/>
        <v>-1.3123309529320351</v>
      </c>
      <c r="AA858" s="90">
        <f>IF(Pitchers[[#This Row],[W]]=0,0,Pitchers[[#This Row],[W]]/(Pitchers[[#This Row],[W]]+Pitchers[[#This Row],[L]]))</f>
        <v>0</v>
      </c>
    </row>
    <row r="859" spans="1:27" x14ac:dyDescent="0.25">
      <c r="A859" t="s">
        <v>768</v>
      </c>
      <c r="B859" t="s">
        <v>332</v>
      </c>
      <c r="C859">
        <v>1</v>
      </c>
      <c r="D859">
        <v>0</v>
      </c>
      <c r="E859">
        <v>0</v>
      </c>
      <c r="F859">
        <v>0</v>
      </c>
      <c r="G859">
        <v>1</v>
      </c>
      <c r="H859">
        <v>1</v>
      </c>
      <c r="I859">
        <v>0</v>
      </c>
      <c r="J859">
        <v>0</v>
      </c>
      <c r="K859">
        <v>1</v>
      </c>
      <c r="L859">
        <v>0</v>
      </c>
      <c r="M859">
        <v>0</v>
      </c>
      <c r="N859">
        <v>0</v>
      </c>
      <c r="O859">
        <v>0</v>
      </c>
      <c r="P859">
        <v>0</v>
      </c>
      <c r="Q859">
        <v>0</v>
      </c>
      <c r="R859">
        <v>0</v>
      </c>
      <c r="S859">
        <v>2</v>
      </c>
      <c r="T859">
        <f t="shared" si="87"/>
        <v>0</v>
      </c>
      <c r="U859">
        <f t="shared" si="88"/>
        <v>0</v>
      </c>
      <c r="V859" s="60">
        <f>U859-AVERAGEIFS(Pitchers[ER/IP],Pitchers[GS],"&gt;"&amp;0,Pitchers[IP],"&gt;"&amp;3)</f>
        <v>-0.57150059479931947</v>
      </c>
      <c r="W859" s="60">
        <f>IF(Pitchers[[#This Row],[IP/GS]]&lt;&gt;0,(Pitchers[[#This Row],[WHIP]]*$AH$5+$AI$5)/9*Pitchers[[#This Row],[IP/GS]],(Pitchers[[#This Row],[WHIP]]*$AH$5+$AI$5)/9*(Pitchers[[#This Row],[IP]]/Pitchers[[#This Row],[G]]))</f>
        <v>0.83774206822025532</v>
      </c>
      <c r="X859" s="60">
        <f>Pitchers[[#This Row],[Runs from WHIP]]-AVERAGEIFS(Pitchers[Runs from WHIP],Pitchers[GS],"&gt;"&amp;0,Pitchers[IP],"&gt;"&amp;3)</f>
        <v>-4.8481738379046035</v>
      </c>
      <c r="Y859" s="60">
        <f>IF(Pitchers[[#This Row],[IP/GS]]&lt;&gt;0,Pitchers[[#This Row],[ER/IP From Average]]*Pitchers[[#This Row],[IP/GS]],Pitchers[[#This Row],[ER/IP From Average]]*(Pitchers[[#This Row],[IP]]/Pitchers[[#This Row],[G]]))</f>
        <v>-0.57150059479931947</v>
      </c>
      <c r="Z859" s="60">
        <f t="shared" si="89"/>
        <v>-1.5214465946942888</v>
      </c>
      <c r="AA859" s="90">
        <f>IF(Pitchers[[#This Row],[W]]=0,0,Pitchers[[#This Row],[W]]/(Pitchers[[#This Row],[W]]+Pitchers[[#This Row],[L]]))</f>
        <v>0</v>
      </c>
    </row>
    <row r="860" spans="1:27" x14ac:dyDescent="0.25">
      <c r="A860" t="s">
        <v>644</v>
      </c>
      <c r="B860" t="s">
        <v>18</v>
      </c>
      <c r="C860">
        <v>2</v>
      </c>
      <c r="D860">
        <v>0</v>
      </c>
      <c r="E860">
        <v>0</v>
      </c>
      <c r="F860">
        <v>0</v>
      </c>
      <c r="G860">
        <v>1</v>
      </c>
      <c r="H860">
        <v>3</v>
      </c>
      <c r="I860">
        <v>3</v>
      </c>
      <c r="J860">
        <v>2</v>
      </c>
      <c r="K860">
        <v>2</v>
      </c>
      <c r="L860">
        <v>0</v>
      </c>
      <c r="M860">
        <v>0</v>
      </c>
      <c r="N860">
        <v>0</v>
      </c>
      <c r="O860">
        <v>0</v>
      </c>
      <c r="P860">
        <v>0</v>
      </c>
      <c r="Q860">
        <v>0</v>
      </c>
      <c r="R860">
        <v>27</v>
      </c>
      <c r="S860">
        <v>5</v>
      </c>
      <c r="T860">
        <f t="shared" si="87"/>
        <v>0</v>
      </c>
      <c r="U860">
        <f t="shared" si="88"/>
        <v>3</v>
      </c>
      <c r="V860" s="60">
        <f>U860-AVERAGEIFS(Pitchers[ER/IP],Pitchers[GS],"&gt;"&amp;0,Pitchers[IP],"&gt;"&amp;3)</f>
        <v>2.4284994052006805</v>
      </c>
      <c r="W860" s="60">
        <f>IF(Pitchers[[#This Row],[IP/GS]]&lt;&gt;0,(Pitchers[[#This Row],[WHIP]]*$AH$5+$AI$5)/9*Pitchers[[#This Row],[IP/GS]],(Pitchers[[#This Row],[WHIP]]*$AH$5+$AI$5)/9*(Pitchers[[#This Row],[IP]]/Pitchers[[#This Row],[G]]))</f>
        <v>1.1976333551941367</v>
      </c>
      <c r="X860" s="60">
        <f>Pitchers[[#This Row],[Runs from WHIP]]-AVERAGEIFS(Pitchers[Runs from WHIP],Pitchers[GS],"&gt;"&amp;0,Pitchers[IP],"&gt;"&amp;3)</f>
        <v>-4.4882825509307223</v>
      </c>
      <c r="Y860" s="60">
        <f>IF(Pitchers[[#This Row],[IP/GS]]&lt;&gt;0,Pitchers[[#This Row],[ER/IP From Average]]*Pitchers[[#This Row],[IP/GS]],Pitchers[[#This Row],[ER/IP From Average]]*(Pitchers[[#This Row],[IP]]/Pitchers[[#This Row],[G]]))</f>
        <v>1.2142497026003403</v>
      </c>
      <c r="Z860" s="60">
        <f t="shared" si="89"/>
        <v>-0.71117546587472313</v>
      </c>
      <c r="AA860" s="90">
        <f>IF(Pitchers[[#This Row],[W]]=0,0,Pitchers[[#This Row],[W]]/(Pitchers[[#This Row],[W]]+Pitchers[[#This Row],[L]]))</f>
        <v>0</v>
      </c>
    </row>
    <row r="861" spans="1:27" x14ac:dyDescent="0.25">
      <c r="A861" t="s">
        <v>767</v>
      </c>
      <c r="B861" t="s">
        <v>340</v>
      </c>
      <c r="C861">
        <v>1</v>
      </c>
      <c r="D861">
        <v>0</v>
      </c>
      <c r="E861">
        <v>0</v>
      </c>
      <c r="F861">
        <v>0</v>
      </c>
      <c r="G861">
        <v>1</v>
      </c>
      <c r="H861">
        <v>0</v>
      </c>
      <c r="I861">
        <v>1</v>
      </c>
      <c r="J861">
        <v>2</v>
      </c>
      <c r="K861">
        <v>2</v>
      </c>
      <c r="L861">
        <v>0</v>
      </c>
      <c r="M861">
        <v>0</v>
      </c>
      <c r="N861">
        <v>0</v>
      </c>
      <c r="O861">
        <v>0</v>
      </c>
      <c r="P861">
        <v>0</v>
      </c>
      <c r="Q861">
        <v>0</v>
      </c>
      <c r="R861">
        <v>9</v>
      </c>
      <c r="S861">
        <v>2</v>
      </c>
      <c r="T861">
        <f t="shared" si="87"/>
        <v>0</v>
      </c>
      <c r="U861">
        <f t="shared" si="88"/>
        <v>1</v>
      </c>
      <c r="V861" s="60">
        <f>U861-AVERAGEIFS(Pitchers[ER/IP],Pitchers[GS],"&gt;"&amp;0,Pitchers[IP],"&gt;"&amp;3)</f>
        <v>0.42849940520068053</v>
      </c>
      <c r="W861" s="60">
        <f>IF(Pitchers[[#This Row],[IP/GS]]&lt;&gt;0,(Pitchers[[#This Row],[WHIP]]*$AH$5+$AI$5)/9*Pitchers[[#This Row],[IP/GS]],(Pitchers[[#This Row],[WHIP]]*$AH$5+$AI$5)/9*(Pitchers[[#This Row],[IP]]/Pitchers[[#This Row],[G]]))</f>
        <v>0.83774206822025532</v>
      </c>
      <c r="X861" s="60">
        <f>Pitchers[[#This Row],[Runs from WHIP]]-AVERAGEIFS(Pitchers[Runs from WHIP],Pitchers[GS],"&gt;"&amp;0,Pitchers[IP],"&gt;"&amp;3)</f>
        <v>-4.8481738379046035</v>
      </c>
      <c r="Y861" s="60">
        <f>IF(Pitchers[[#This Row],[IP/GS]]&lt;&gt;0,Pitchers[[#This Row],[ER/IP From Average]]*Pitchers[[#This Row],[IP/GS]],Pitchers[[#This Row],[ER/IP From Average]]*(Pitchers[[#This Row],[IP]]/Pitchers[[#This Row],[G]]))</f>
        <v>0.42849940520068053</v>
      </c>
      <c r="Z861" s="60">
        <f t="shared" si="89"/>
        <v>-1.1214465946942889</v>
      </c>
      <c r="AA861" s="90">
        <f>IF(Pitchers[[#This Row],[W]]=0,0,Pitchers[[#This Row],[W]]/(Pitchers[[#This Row],[W]]+Pitchers[[#This Row],[L]]))</f>
        <v>0</v>
      </c>
    </row>
    <row r="862" spans="1:27" x14ac:dyDescent="0.25">
      <c r="A862" t="s">
        <v>1373</v>
      </c>
      <c r="B862" t="s">
        <v>11</v>
      </c>
      <c r="C862">
        <v>2</v>
      </c>
      <c r="D862">
        <v>0</v>
      </c>
      <c r="E862">
        <v>0</v>
      </c>
      <c r="F862">
        <v>0</v>
      </c>
      <c r="G862">
        <v>1</v>
      </c>
      <c r="H862">
        <v>5</v>
      </c>
      <c r="I862">
        <v>4</v>
      </c>
      <c r="J862">
        <v>0</v>
      </c>
      <c r="K862">
        <v>1</v>
      </c>
      <c r="L862">
        <v>1</v>
      </c>
      <c r="M862">
        <v>0</v>
      </c>
      <c r="N862">
        <v>0</v>
      </c>
      <c r="O862">
        <v>0</v>
      </c>
      <c r="P862">
        <v>0</v>
      </c>
      <c r="Q862">
        <v>0</v>
      </c>
      <c r="R862">
        <v>36</v>
      </c>
      <c r="S862">
        <v>6</v>
      </c>
      <c r="T862">
        <f t="shared" si="87"/>
        <v>0</v>
      </c>
      <c r="U862">
        <f t="shared" si="88"/>
        <v>4</v>
      </c>
      <c r="V862" s="60">
        <f>U862-AVERAGEIFS(Pitchers[ER/IP],Pitchers[GS],"&gt;"&amp;0,Pitchers[IP],"&gt;"&amp;3)</f>
        <v>3.4284994052006805</v>
      </c>
      <c r="W862" s="60">
        <f>IF(Pitchers[[#This Row],[IP/GS]]&lt;&gt;0,(Pitchers[[#This Row],[WHIP]]*$AH$5+$AI$5)/9*Pitchers[[#This Row],[IP/GS]],(Pitchers[[#This Row],[WHIP]]*$AH$5+$AI$5)/9*(Pitchers[[#This Row],[IP]]/Pitchers[[#This Row],[G]]))</f>
        <v>1.4572207955554732</v>
      </c>
      <c r="X862" s="60">
        <f>Pitchers[[#This Row],[Runs from WHIP]]-AVERAGEIFS(Pitchers[Runs from WHIP],Pitchers[GS],"&gt;"&amp;0,Pitchers[IP],"&gt;"&amp;3)</f>
        <v>-4.2286951105693857</v>
      </c>
      <c r="Y862" s="60">
        <f>IF(Pitchers[[#This Row],[IP/GS]]&lt;&gt;0,Pitchers[[#This Row],[ER/IP From Average]]*Pitchers[[#This Row],[IP/GS]],Pitchers[[#This Row],[ER/IP From Average]]*(Pitchers[[#This Row],[IP]]/Pitchers[[#This Row],[G]]))</f>
        <v>1.7142497026003403</v>
      </c>
      <c r="Z862" s="60">
        <f t="shared" si="89"/>
        <v>-0.44195214844503344</v>
      </c>
      <c r="AA862" s="90">
        <f>IF(Pitchers[[#This Row],[W]]=0,0,Pitchers[[#This Row],[W]]/(Pitchers[[#This Row],[W]]+Pitchers[[#This Row],[L]]))</f>
        <v>0</v>
      </c>
    </row>
    <row r="863" spans="1:27" x14ac:dyDescent="0.25">
      <c r="A863" t="s">
        <v>4917</v>
      </c>
      <c r="B863" t="s">
        <v>4</v>
      </c>
      <c r="C863">
        <v>1</v>
      </c>
      <c r="D863">
        <v>1</v>
      </c>
      <c r="E863">
        <v>0</v>
      </c>
      <c r="F863">
        <v>0</v>
      </c>
      <c r="G863">
        <v>1</v>
      </c>
      <c r="H863">
        <v>1</v>
      </c>
      <c r="I863">
        <v>0</v>
      </c>
      <c r="J863">
        <v>1</v>
      </c>
      <c r="K863">
        <v>0</v>
      </c>
      <c r="L863">
        <v>0</v>
      </c>
      <c r="M863">
        <v>0</v>
      </c>
      <c r="N863">
        <v>0</v>
      </c>
      <c r="O863">
        <v>0</v>
      </c>
      <c r="P863">
        <v>0</v>
      </c>
      <c r="Q863">
        <v>0</v>
      </c>
      <c r="R863">
        <v>0</v>
      </c>
      <c r="S863">
        <v>1</v>
      </c>
      <c r="T863">
        <f t="shared" si="87"/>
        <v>1</v>
      </c>
      <c r="U863">
        <f t="shared" si="88"/>
        <v>0</v>
      </c>
      <c r="V863" s="60">
        <f>U863-AVERAGEIFS(Pitchers[ER/IP],Pitchers[GS],"&gt;"&amp;0,Pitchers[IP],"&gt;"&amp;3)</f>
        <v>-0.57150059479931947</v>
      </c>
      <c r="W863" s="60">
        <f>IF(Pitchers[[#This Row],[IP/GS]]&lt;&gt;0,(Pitchers[[#This Row],[WHIP]]*$AH$5+$AI$5)/9*Pitchers[[#This Row],[IP/GS]],(Pitchers[[#This Row],[WHIP]]*$AH$5+$AI$5)/9*(Pitchers[[#This Row],[IP]]/Pitchers[[#This Row],[G]]))</f>
        <v>0.31856718749758262</v>
      </c>
      <c r="X863" s="60">
        <f>Pitchers[[#This Row],[Runs from WHIP]]-AVERAGEIFS(Pitchers[Runs from WHIP],Pitchers[GS],"&gt;"&amp;0,Pitchers[IP],"&gt;"&amp;3)</f>
        <v>-5.3673487186272766</v>
      </c>
      <c r="Y863" s="60">
        <f>IF(Pitchers[[#This Row],[IP/GS]]&lt;&gt;0,Pitchers[[#This Row],[ER/IP From Average]]*Pitchers[[#This Row],[IP/GS]],Pitchers[[#This Row],[ER/IP From Average]]*(Pitchers[[#This Row],[IP]]/Pitchers[[#This Row],[G]]))</f>
        <v>-0.57150059479931947</v>
      </c>
      <c r="Z863" s="60">
        <f t="shared" si="89"/>
        <v>-1.6598932295536681</v>
      </c>
      <c r="AA863" s="90">
        <f>IF(Pitchers[[#This Row],[W]]=0,0,Pitchers[[#This Row],[W]]/(Pitchers[[#This Row],[W]]+Pitchers[[#This Row],[L]]))</f>
        <v>0</v>
      </c>
    </row>
    <row r="864" spans="1:27" x14ac:dyDescent="0.25">
      <c r="A864" t="s">
        <v>769</v>
      </c>
      <c r="B864" t="s">
        <v>13</v>
      </c>
      <c r="C864">
        <v>1</v>
      </c>
      <c r="D864">
        <v>0</v>
      </c>
      <c r="E864">
        <v>0</v>
      </c>
      <c r="F864">
        <v>0</v>
      </c>
      <c r="G864">
        <v>1</v>
      </c>
      <c r="H864">
        <v>3</v>
      </c>
      <c r="I864">
        <v>4</v>
      </c>
      <c r="J864">
        <v>0</v>
      </c>
      <c r="K864">
        <v>3</v>
      </c>
      <c r="L864">
        <v>1</v>
      </c>
      <c r="M864">
        <v>0</v>
      </c>
      <c r="N864">
        <v>0</v>
      </c>
      <c r="O864">
        <v>0</v>
      </c>
      <c r="P864">
        <v>0</v>
      </c>
      <c r="Q864">
        <v>0</v>
      </c>
      <c r="R864">
        <v>36</v>
      </c>
      <c r="S864">
        <v>6</v>
      </c>
      <c r="T864">
        <f t="shared" si="87"/>
        <v>0</v>
      </c>
      <c r="U864">
        <f t="shared" si="88"/>
        <v>4</v>
      </c>
      <c r="V864" s="60">
        <f>U864-AVERAGEIFS(Pitchers[ER/IP],Pitchers[GS],"&gt;"&amp;0,Pitchers[IP],"&gt;"&amp;3)</f>
        <v>3.4284994052006805</v>
      </c>
      <c r="W864" s="60">
        <f>IF(Pitchers[[#This Row],[IP/GS]]&lt;&gt;0,(Pitchers[[#This Row],[WHIP]]*$AH$5+$AI$5)/9*Pitchers[[#This Row],[IP/GS]],(Pitchers[[#This Row],[WHIP]]*$AH$5+$AI$5)/9*(Pitchers[[#This Row],[IP]]/Pitchers[[#This Row],[G]]))</f>
        <v>2.9144415911109465</v>
      </c>
      <c r="X864" s="60">
        <f>Pitchers[[#This Row],[Runs from WHIP]]-AVERAGEIFS(Pitchers[Runs from WHIP],Pitchers[GS],"&gt;"&amp;0,Pitchers[IP],"&gt;"&amp;3)</f>
        <v>-2.7714743150139127</v>
      </c>
      <c r="Y864" s="60">
        <f>IF(Pitchers[[#This Row],[IP/GS]]&lt;&gt;0,Pitchers[[#This Row],[ER/IP From Average]]*Pitchers[[#This Row],[IP/GS]],Pitchers[[#This Row],[ER/IP From Average]]*(Pitchers[[#This Row],[IP]]/Pitchers[[#This Row],[G]]))</f>
        <v>3.4284994052006805</v>
      </c>
      <c r="Z864" s="60">
        <f t="shared" si="89"/>
        <v>0.63233994474322885</v>
      </c>
      <c r="AA864" s="90">
        <f>IF(Pitchers[[#This Row],[W]]=0,0,Pitchers[[#This Row],[W]]/(Pitchers[[#This Row],[W]]+Pitchers[[#This Row],[L]]))</f>
        <v>0</v>
      </c>
    </row>
    <row r="865" spans="1:27" x14ac:dyDescent="0.25">
      <c r="A865" t="s">
        <v>921</v>
      </c>
      <c r="B865" t="s">
        <v>332</v>
      </c>
      <c r="C865">
        <v>1</v>
      </c>
      <c r="D865">
        <v>0</v>
      </c>
      <c r="E865">
        <v>0</v>
      </c>
      <c r="F865">
        <v>0</v>
      </c>
      <c r="G865">
        <v>1</v>
      </c>
      <c r="H865">
        <v>3</v>
      </c>
      <c r="I865">
        <v>3</v>
      </c>
      <c r="J865">
        <v>1</v>
      </c>
      <c r="K865">
        <v>0</v>
      </c>
      <c r="L865">
        <v>1</v>
      </c>
      <c r="M865">
        <v>0</v>
      </c>
      <c r="N865">
        <v>0</v>
      </c>
      <c r="O865">
        <v>0</v>
      </c>
      <c r="P865">
        <v>0</v>
      </c>
      <c r="Q865">
        <v>0</v>
      </c>
      <c r="R865">
        <v>27</v>
      </c>
      <c r="S865">
        <v>3</v>
      </c>
      <c r="T865">
        <f t="shared" si="87"/>
        <v>0</v>
      </c>
      <c r="U865">
        <f t="shared" si="88"/>
        <v>3</v>
      </c>
      <c r="V865" s="60">
        <f>U865-AVERAGEIFS(Pitchers[ER/IP],Pitchers[GS],"&gt;"&amp;0,Pitchers[IP],"&gt;"&amp;3)</f>
        <v>2.4284994052006805</v>
      </c>
      <c r="W865" s="60">
        <f>IF(Pitchers[[#This Row],[IP/GS]]&lt;&gt;0,(Pitchers[[#This Row],[WHIP]]*$AH$5+$AI$5)/9*Pitchers[[#This Row],[IP/GS]],(Pitchers[[#This Row],[WHIP]]*$AH$5+$AI$5)/9*(Pitchers[[#This Row],[IP]]/Pitchers[[#This Row],[G]]))</f>
        <v>1.3569169489429282</v>
      </c>
      <c r="X865" s="60">
        <f>Pitchers[[#This Row],[Runs from WHIP]]-AVERAGEIFS(Pitchers[Runs from WHIP],Pitchers[GS],"&gt;"&amp;0,Pitchers[IP],"&gt;"&amp;3)</f>
        <v>-4.3289989571819305</v>
      </c>
      <c r="Y865" s="60">
        <f>IF(Pitchers[[#This Row],[IP/GS]]&lt;&gt;0,Pitchers[[#This Row],[ER/IP From Average]]*Pitchers[[#This Row],[IP/GS]],Pitchers[[#This Row],[ER/IP From Average]]*(Pitchers[[#This Row],[IP]]/Pitchers[[#This Row],[G]]))</f>
        <v>2.4284994052006805</v>
      </c>
      <c r="Z865" s="60">
        <f t="shared" si="89"/>
        <v>-0.18299995983490924</v>
      </c>
      <c r="AA865" s="90">
        <f>IF(Pitchers[[#This Row],[W]]=0,0,Pitchers[[#This Row],[W]]/(Pitchers[[#This Row],[W]]+Pitchers[[#This Row],[L]]))</f>
        <v>0</v>
      </c>
    </row>
    <row r="866" spans="1:27" x14ac:dyDescent="0.25">
      <c r="A866" t="s">
        <v>907</v>
      </c>
      <c r="B866" t="s">
        <v>7</v>
      </c>
      <c r="C866">
        <v>1</v>
      </c>
      <c r="D866">
        <v>0</v>
      </c>
      <c r="E866">
        <v>0</v>
      </c>
      <c r="F866">
        <v>0</v>
      </c>
      <c r="G866">
        <v>1</v>
      </c>
      <c r="H866">
        <v>0</v>
      </c>
      <c r="I866">
        <v>0</v>
      </c>
      <c r="J866">
        <v>1</v>
      </c>
      <c r="K866">
        <v>0</v>
      </c>
      <c r="L866">
        <v>0</v>
      </c>
      <c r="M866">
        <v>0</v>
      </c>
      <c r="N866">
        <v>0</v>
      </c>
      <c r="O866">
        <v>0</v>
      </c>
      <c r="P866">
        <v>0</v>
      </c>
      <c r="Q866">
        <v>0</v>
      </c>
      <c r="R866">
        <v>0</v>
      </c>
      <c r="S866">
        <v>0</v>
      </c>
      <c r="T866">
        <f t="shared" si="87"/>
        <v>0</v>
      </c>
      <c r="U866">
        <f t="shared" si="88"/>
        <v>0</v>
      </c>
      <c r="V866" s="60">
        <f>U866-AVERAGEIFS(Pitchers[ER/IP],Pitchers[GS],"&gt;"&amp;0,Pitchers[IP],"&gt;"&amp;3)</f>
        <v>-0.57150059479931947</v>
      </c>
      <c r="W866" s="60">
        <f>IF(Pitchers[[#This Row],[IP/GS]]&lt;&gt;0,(Pitchers[[#This Row],[WHIP]]*$AH$5+$AI$5)/9*Pitchers[[#This Row],[IP/GS]],(Pitchers[[#This Row],[WHIP]]*$AH$5+$AI$5)/9*(Pitchers[[#This Row],[IP]]/Pitchers[[#This Row],[G]]))</f>
        <v>-0.20060769322509012</v>
      </c>
      <c r="X866" s="60">
        <f>Pitchers[[#This Row],[Runs from WHIP]]-AVERAGEIFS(Pitchers[Runs from WHIP],Pitchers[GS],"&gt;"&amp;0,Pitchers[IP],"&gt;"&amp;3)</f>
        <v>-5.8865235993499496</v>
      </c>
      <c r="Y866" s="60">
        <f>IF(Pitchers[[#This Row],[IP/GS]]&lt;&gt;0,Pitchers[[#This Row],[ER/IP From Average]]*Pitchers[[#This Row],[IP/GS]],Pitchers[[#This Row],[ER/IP From Average]]*(Pitchers[[#This Row],[IP]]/Pitchers[[#This Row],[G]]))</f>
        <v>-0.57150059479931947</v>
      </c>
      <c r="Z866" s="60">
        <f t="shared" si="89"/>
        <v>-1.7983398644130475</v>
      </c>
      <c r="AA866" s="90">
        <f>IF(Pitchers[[#This Row],[W]]=0,0,Pitchers[[#This Row],[W]]/(Pitchers[[#This Row],[W]]+Pitchers[[#This Row],[L]]))</f>
        <v>0</v>
      </c>
    </row>
    <row r="867" spans="1:27" x14ac:dyDescent="0.25">
      <c r="A867" t="s">
        <v>744</v>
      </c>
      <c r="B867" t="s">
        <v>27</v>
      </c>
      <c r="C867">
        <v>1</v>
      </c>
      <c r="D867">
        <v>0</v>
      </c>
      <c r="E867">
        <v>0</v>
      </c>
      <c r="F867">
        <v>0</v>
      </c>
      <c r="G867">
        <v>1</v>
      </c>
      <c r="H867">
        <v>0</v>
      </c>
      <c r="I867">
        <v>0</v>
      </c>
      <c r="J867">
        <v>0</v>
      </c>
      <c r="K867">
        <v>0</v>
      </c>
      <c r="L867">
        <v>0</v>
      </c>
      <c r="M867">
        <v>0</v>
      </c>
      <c r="N867">
        <v>0</v>
      </c>
      <c r="O867">
        <v>0</v>
      </c>
      <c r="P867">
        <v>0</v>
      </c>
      <c r="Q867">
        <v>0</v>
      </c>
      <c r="R867">
        <v>0</v>
      </c>
      <c r="S867">
        <v>0</v>
      </c>
      <c r="T867">
        <f t="shared" si="87"/>
        <v>0</v>
      </c>
      <c r="U867">
        <f t="shared" si="88"/>
        <v>0</v>
      </c>
      <c r="V867" s="60">
        <f>U867-AVERAGEIFS(Pitchers[ER/IP],Pitchers[GS],"&gt;"&amp;0,Pitchers[IP],"&gt;"&amp;3)</f>
        <v>-0.57150059479931947</v>
      </c>
      <c r="W867" s="60">
        <f>IF(Pitchers[[#This Row],[IP/GS]]&lt;&gt;0,(Pitchers[[#This Row],[WHIP]]*$AH$5+$AI$5)/9*Pitchers[[#This Row],[IP/GS]],(Pitchers[[#This Row],[WHIP]]*$AH$5+$AI$5)/9*(Pitchers[[#This Row],[IP]]/Pitchers[[#This Row],[G]]))</f>
        <v>-0.20060769322509012</v>
      </c>
      <c r="X867" s="60">
        <f>Pitchers[[#This Row],[Runs from WHIP]]-AVERAGEIFS(Pitchers[Runs from WHIP],Pitchers[GS],"&gt;"&amp;0,Pitchers[IP],"&gt;"&amp;3)</f>
        <v>-5.8865235993499496</v>
      </c>
      <c r="Y867" s="60">
        <f>IF(Pitchers[[#This Row],[IP/GS]]&lt;&gt;0,Pitchers[[#This Row],[ER/IP From Average]]*Pitchers[[#This Row],[IP/GS]],Pitchers[[#This Row],[ER/IP From Average]]*(Pitchers[[#This Row],[IP]]/Pitchers[[#This Row],[G]]))</f>
        <v>-0.57150059479931947</v>
      </c>
      <c r="Z867" s="60">
        <f t="shared" si="89"/>
        <v>-1.7983398644130475</v>
      </c>
      <c r="AA867" s="90">
        <f>IF(Pitchers[[#This Row],[W]]=0,0,Pitchers[[#This Row],[W]]/(Pitchers[[#This Row],[W]]+Pitchers[[#This Row],[L]]))</f>
        <v>0</v>
      </c>
    </row>
    <row r="868" spans="1:27" x14ac:dyDescent="0.25">
      <c r="A868" t="s">
        <v>1281</v>
      </c>
      <c r="B868" t="s">
        <v>2</v>
      </c>
      <c r="C868">
        <v>1</v>
      </c>
      <c r="D868">
        <v>0</v>
      </c>
      <c r="E868">
        <v>0</v>
      </c>
      <c r="F868">
        <v>0</v>
      </c>
      <c r="G868">
        <v>1</v>
      </c>
      <c r="H868">
        <v>2</v>
      </c>
      <c r="I868">
        <v>1</v>
      </c>
      <c r="J868">
        <v>0</v>
      </c>
      <c r="K868">
        <v>0</v>
      </c>
      <c r="L868">
        <v>0</v>
      </c>
      <c r="M868">
        <v>0</v>
      </c>
      <c r="N868">
        <v>0</v>
      </c>
      <c r="O868">
        <v>0</v>
      </c>
      <c r="P868">
        <v>0</v>
      </c>
      <c r="Q868">
        <v>0</v>
      </c>
      <c r="R868">
        <v>9</v>
      </c>
      <c r="S868">
        <v>2</v>
      </c>
      <c r="T868">
        <f t="shared" ref="T868:T876" si="90">IF(D868=0,0,G868/D868)</f>
        <v>0</v>
      </c>
      <c r="U868">
        <f t="shared" ref="U868:U876" si="91">IF(G868=0,0,I868/G868)</f>
        <v>1</v>
      </c>
      <c r="V868" s="60">
        <f>U868-AVERAGEIFS(Pitchers[ER/IP],Pitchers[GS],"&gt;"&amp;0,Pitchers[IP],"&gt;"&amp;3)</f>
        <v>0.42849940520068053</v>
      </c>
      <c r="W868" s="60">
        <f>IF(Pitchers[[#This Row],[IP/GS]]&lt;&gt;0,(Pitchers[[#This Row],[WHIP]]*$AH$5+$AI$5)/9*Pitchers[[#This Row],[IP/GS]],(Pitchers[[#This Row],[WHIP]]*$AH$5+$AI$5)/9*(Pitchers[[#This Row],[IP]]/Pitchers[[#This Row],[G]]))</f>
        <v>0.83774206822025532</v>
      </c>
      <c r="X868" s="60">
        <f>Pitchers[[#This Row],[Runs from WHIP]]-AVERAGEIFS(Pitchers[Runs from WHIP],Pitchers[GS],"&gt;"&amp;0,Pitchers[IP],"&gt;"&amp;3)</f>
        <v>-4.8481738379046035</v>
      </c>
      <c r="Y868" s="60">
        <f>IF(Pitchers[[#This Row],[IP/GS]]&lt;&gt;0,Pitchers[[#This Row],[ER/IP From Average]]*Pitchers[[#This Row],[IP/GS]],Pitchers[[#This Row],[ER/IP From Average]]*(Pitchers[[#This Row],[IP]]/Pitchers[[#This Row],[G]]))</f>
        <v>0.42849940520068053</v>
      </c>
      <c r="Z868" s="60">
        <f t="shared" ref="Z868:Z876" si="92">AVERAGE(X868,X868,Y868,Y868,Y868)/1.5</f>
        <v>-1.1214465946942889</v>
      </c>
      <c r="AA868" s="90">
        <f>IF(Pitchers[[#This Row],[W]]=0,0,Pitchers[[#This Row],[W]]/(Pitchers[[#This Row],[W]]+Pitchers[[#This Row],[L]]))</f>
        <v>0</v>
      </c>
    </row>
    <row r="869" spans="1:27" x14ac:dyDescent="0.25">
      <c r="A869" t="s">
        <v>1487</v>
      </c>
      <c r="B869" t="s">
        <v>6</v>
      </c>
      <c r="C869">
        <v>1</v>
      </c>
      <c r="D869">
        <v>0</v>
      </c>
      <c r="E869">
        <v>0</v>
      </c>
      <c r="F869">
        <v>0</v>
      </c>
      <c r="G869">
        <v>0.2</v>
      </c>
      <c r="H869">
        <v>4</v>
      </c>
      <c r="I869">
        <v>4</v>
      </c>
      <c r="J869">
        <v>0</v>
      </c>
      <c r="K869">
        <v>0</v>
      </c>
      <c r="L869">
        <v>1</v>
      </c>
      <c r="M869">
        <v>0</v>
      </c>
      <c r="N869">
        <v>0</v>
      </c>
      <c r="O869">
        <v>0</v>
      </c>
      <c r="P869">
        <v>0</v>
      </c>
      <c r="Q869">
        <v>0</v>
      </c>
      <c r="R869">
        <v>54</v>
      </c>
      <c r="S869">
        <v>6</v>
      </c>
      <c r="T869">
        <f t="shared" si="90"/>
        <v>0</v>
      </c>
      <c r="U869">
        <f t="shared" si="91"/>
        <v>20</v>
      </c>
      <c r="V869" s="60">
        <f>U869-AVERAGEIFS(Pitchers[ER/IP],Pitchers[GS],"&gt;"&amp;0,Pitchers[IP],"&gt;"&amp;3)</f>
        <v>19.428499405200682</v>
      </c>
      <c r="W869" s="60">
        <f>IF(Pitchers[[#This Row],[IP/GS]]&lt;&gt;0,(Pitchers[[#This Row],[WHIP]]*$AH$5+$AI$5)/9*Pitchers[[#This Row],[IP/GS]],(Pitchers[[#This Row],[WHIP]]*$AH$5+$AI$5)/9*(Pitchers[[#This Row],[IP]]/Pitchers[[#This Row],[G]]))</f>
        <v>0.58288831822218934</v>
      </c>
      <c r="X869" s="60">
        <f>Pitchers[[#This Row],[Runs from WHIP]]-AVERAGEIFS(Pitchers[Runs from WHIP],Pitchers[GS],"&gt;"&amp;0,Pitchers[IP],"&gt;"&amp;3)</f>
        <v>-5.1030275879026696</v>
      </c>
      <c r="Y869" s="60">
        <f>IF(Pitchers[[#This Row],[IP/GS]]&lt;&gt;0,Pitchers[[#This Row],[ER/IP From Average]]*Pitchers[[#This Row],[IP/GS]],Pitchers[[#This Row],[ER/IP From Average]]*(Pitchers[[#This Row],[IP]]/Pitchers[[#This Row],[G]]))</f>
        <v>3.8856998810401366</v>
      </c>
      <c r="Z869" s="60">
        <f t="shared" si="92"/>
        <v>0.19347259564200944</v>
      </c>
      <c r="AA869" s="90">
        <f>IF(Pitchers[[#This Row],[W]]=0,0,Pitchers[[#This Row],[W]]/(Pitchers[[#This Row],[W]]+Pitchers[[#This Row],[L]]))</f>
        <v>0</v>
      </c>
    </row>
    <row r="870" spans="1:27" x14ac:dyDescent="0.25">
      <c r="A870" t="s">
        <v>4561</v>
      </c>
      <c r="B870" t="s">
        <v>28</v>
      </c>
      <c r="C870">
        <v>1</v>
      </c>
      <c r="D870">
        <v>0</v>
      </c>
      <c r="E870">
        <v>0</v>
      </c>
      <c r="F870">
        <v>0</v>
      </c>
      <c r="G870">
        <v>0.2</v>
      </c>
      <c r="H870">
        <v>0</v>
      </c>
      <c r="I870">
        <v>0</v>
      </c>
      <c r="J870">
        <v>2</v>
      </c>
      <c r="K870">
        <v>0</v>
      </c>
      <c r="L870">
        <v>0</v>
      </c>
      <c r="M870">
        <v>0</v>
      </c>
      <c r="N870">
        <v>0</v>
      </c>
      <c r="O870">
        <v>0</v>
      </c>
      <c r="P870">
        <v>0</v>
      </c>
      <c r="Q870">
        <v>0</v>
      </c>
      <c r="R870">
        <v>0</v>
      </c>
      <c r="S870">
        <v>0</v>
      </c>
      <c r="T870">
        <f t="shared" si="90"/>
        <v>0</v>
      </c>
      <c r="U870">
        <f t="shared" si="91"/>
        <v>0</v>
      </c>
      <c r="V870" s="60">
        <f>U870-AVERAGEIFS(Pitchers[ER/IP],Pitchers[GS],"&gt;"&amp;0,Pitchers[IP],"&gt;"&amp;3)</f>
        <v>-0.57150059479931947</v>
      </c>
      <c r="W870" s="60">
        <f>IF(Pitchers[[#This Row],[IP/GS]]&lt;&gt;0,(Pitchers[[#This Row],[WHIP]]*$AH$5+$AI$5)/9*Pitchers[[#This Row],[IP/GS]],(Pitchers[[#This Row],[WHIP]]*$AH$5+$AI$5)/9*(Pitchers[[#This Row],[IP]]/Pitchers[[#This Row],[G]]))</f>
        <v>-4.0121538645018023E-2</v>
      </c>
      <c r="X870" s="60">
        <f>Pitchers[[#This Row],[Runs from WHIP]]-AVERAGEIFS(Pitchers[Runs from WHIP],Pitchers[GS],"&gt;"&amp;0,Pitchers[IP],"&gt;"&amp;3)</f>
        <v>-5.7260374447698776</v>
      </c>
      <c r="Y870" s="60">
        <f>IF(Pitchers[[#This Row],[IP/GS]]&lt;&gt;0,Pitchers[[#This Row],[ER/IP From Average]]*Pitchers[[#This Row],[IP/GS]],Pitchers[[#This Row],[ER/IP From Average]]*(Pitchers[[#This Row],[IP]]/Pitchers[[#This Row],[G]]))</f>
        <v>-0.1143001189598639</v>
      </c>
      <c r="Z870" s="60">
        <f t="shared" si="92"/>
        <v>-1.5726633661892464</v>
      </c>
      <c r="AA870" s="90">
        <f>IF(Pitchers[[#This Row],[W]]=0,0,Pitchers[[#This Row],[W]]/(Pitchers[[#This Row],[W]]+Pitchers[[#This Row],[L]]))</f>
        <v>0</v>
      </c>
    </row>
    <row r="871" spans="1:27" x14ac:dyDescent="0.25">
      <c r="A871" t="s">
        <v>771</v>
      </c>
      <c r="B871" t="s">
        <v>8</v>
      </c>
      <c r="C871">
        <v>1</v>
      </c>
      <c r="D871">
        <v>0</v>
      </c>
      <c r="E871">
        <v>0</v>
      </c>
      <c r="F871">
        <v>0</v>
      </c>
      <c r="G871">
        <v>0.2</v>
      </c>
      <c r="H871">
        <v>2</v>
      </c>
      <c r="I871">
        <v>2</v>
      </c>
      <c r="J871">
        <v>0</v>
      </c>
      <c r="K871">
        <v>1</v>
      </c>
      <c r="L871">
        <v>1</v>
      </c>
      <c r="M871">
        <v>0</v>
      </c>
      <c r="N871">
        <v>0</v>
      </c>
      <c r="O871">
        <v>0</v>
      </c>
      <c r="P871">
        <v>0</v>
      </c>
      <c r="Q871">
        <v>0</v>
      </c>
      <c r="R871">
        <v>27</v>
      </c>
      <c r="S871">
        <v>4.5</v>
      </c>
      <c r="T871">
        <f t="shared" si="90"/>
        <v>0</v>
      </c>
      <c r="U871">
        <f t="shared" si="91"/>
        <v>10</v>
      </c>
      <c r="V871" s="60">
        <f>U871-AVERAGEIFS(Pitchers[ER/IP],Pitchers[GS],"&gt;"&amp;0,Pitchers[IP],"&gt;"&amp;3)</f>
        <v>9.4284994052006805</v>
      </c>
      <c r="W871" s="60">
        <f>IF(Pitchers[[#This Row],[IP/GS]]&lt;&gt;0,(Pitchers[[#This Row],[WHIP]]*$AH$5+$AI$5)/9*Pitchers[[#This Row],[IP/GS]],(Pitchers[[#This Row],[WHIP]]*$AH$5+$AI$5)/9*(Pitchers[[#This Row],[IP]]/Pitchers[[#This Row],[G]]))</f>
        <v>0.42713585400538751</v>
      </c>
      <c r="X871" s="60">
        <f>Pitchers[[#This Row],[Runs from WHIP]]-AVERAGEIFS(Pitchers[Runs from WHIP],Pitchers[GS],"&gt;"&amp;0,Pitchers[IP],"&gt;"&amp;3)</f>
        <v>-5.2587800521194721</v>
      </c>
      <c r="Y871" s="60">
        <f>IF(Pitchers[[#This Row],[IP/GS]]&lt;&gt;0,Pitchers[[#This Row],[ER/IP From Average]]*Pitchers[[#This Row],[IP/GS]],Pitchers[[#This Row],[ER/IP From Average]]*(Pitchers[[#This Row],[IP]]/Pitchers[[#This Row],[G]]))</f>
        <v>1.8856998810401362</v>
      </c>
      <c r="Z871" s="60">
        <f t="shared" si="92"/>
        <v>-0.64806139481580494</v>
      </c>
      <c r="AA871" s="90">
        <f>IF(Pitchers[[#This Row],[W]]=0,0,Pitchers[[#This Row],[W]]/(Pitchers[[#This Row],[W]]+Pitchers[[#This Row],[L]]))</f>
        <v>0</v>
      </c>
    </row>
    <row r="872" spans="1:27" x14ac:dyDescent="0.25">
      <c r="A872" t="s">
        <v>4136</v>
      </c>
      <c r="B872" t="s">
        <v>370</v>
      </c>
      <c r="C872">
        <v>1</v>
      </c>
      <c r="D872">
        <v>0</v>
      </c>
      <c r="E872">
        <v>0</v>
      </c>
      <c r="F872">
        <v>0</v>
      </c>
      <c r="G872">
        <v>0.2</v>
      </c>
      <c r="H872">
        <v>0</v>
      </c>
      <c r="I872">
        <v>0</v>
      </c>
      <c r="J872">
        <v>2</v>
      </c>
      <c r="K872">
        <v>1</v>
      </c>
      <c r="L872">
        <v>0</v>
      </c>
      <c r="M872">
        <v>0</v>
      </c>
      <c r="N872">
        <v>0</v>
      </c>
      <c r="O872">
        <v>0</v>
      </c>
      <c r="P872">
        <v>0</v>
      </c>
      <c r="Q872">
        <v>0</v>
      </c>
      <c r="R872">
        <v>0</v>
      </c>
      <c r="S872">
        <v>1.5</v>
      </c>
      <c r="T872">
        <f t="shared" si="90"/>
        <v>0</v>
      </c>
      <c r="U872">
        <f t="shared" si="91"/>
        <v>0</v>
      </c>
      <c r="V872" s="60">
        <f>U872-AVERAGEIFS(Pitchers[ER/IP],Pitchers[GS],"&gt;"&amp;0,Pitchers[IP],"&gt;"&amp;3)</f>
        <v>-0.57150059479931947</v>
      </c>
      <c r="W872" s="60">
        <f>IF(Pitchers[[#This Row],[IP/GS]]&lt;&gt;0,(Pitchers[[#This Row],[WHIP]]*$AH$5+$AI$5)/9*Pitchers[[#This Row],[IP/GS]],(Pitchers[[#This Row],[WHIP]]*$AH$5+$AI$5)/9*(Pitchers[[#This Row],[IP]]/Pitchers[[#This Row],[G]]))</f>
        <v>0.11563092557178381</v>
      </c>
      <c r="X872" s="60">
        <f>Pitchers[[#This Row],[Runs from WHIP]]-AVERAGEIFS(Pitchers[Runs from WHIP],Pitchers[GS],"&gt;"&amp;0,Pitchers[IP],"&gt;"&amp;3)</f>
        <v>-5.5702849805530752</v>
      </c>
      <c r="Y872" s="60">
        <f>IF(Pitchers[[#This Row],[IP/GS]]&lt;&gt;0,Pitchers[[#This Row],[ER/IP From Average]]*Pitchers[[#This Row],[IP/GS]],Pitchers[[#This Row],[ER/IP From Average]]*(Pitchers[[#This Row],[IP]]/Pitchers[[#This Row],[G]]))</f>
        <v>-0.1143001189598639</v>
      </c>
      <c r="Z872" s="60">
        <f t="shared" si="92"/>
        <v>-1.5311293757314324</v>
      </c>
      <c r="AA872" s="90">
        <f>IF(Pitchers[[#This Row],[W]]=0,0,Pitchers[[#This Row],[W]]/(Pitchers[[#This Row],[W]]+Pitchers[[#This Row],[L]]))</f>
        <v>0</v>
      </c>
    </row>
    <row r="873" spans="1:27" x14ac:dyDescent="0.25">
      <c r="A873" t="s">
        <v>3752</v>
      </c>
      <c r="B873" t="s">
        <v>18</v>
      </c>
      <c r="C873">
        <v>1</v>
      </c>
      <c r="D873">
        <v>0</v>
      </c>
      <c r="E873">
        <v>0</v>
      </c>
      <c r="F873">
        <v>0</v>
      </c>
      <c r="G873">
        <v>0.2</v>
      </c>
      <c r="H873">
        <v>1</v>
      </c>
      <c r="I873">
        <v>2</v>
      </c>
      <c r="J873">
        <v>0</v>
      </c>
      <c r="K873">
        <v>4</v>
      </c>
      <c r="L873">
        <v>0</v>
      </c>
      <c r="M873">
        <v>0</v>
      </c>
      <c r="N873">
        <v>0</v>
      </c>
      <c r="O873">
        <v>0</v>
      </c>
      <c r="P873">
        <v>0</v>
      </c>
      <c r="Q873">
        <v>0</v>
      </c>
      <c r="R873">
        <v>27</v>
      </c>
      <c r="S873">
        <v>7.5</v>
      </c>
      <c r="T873">
        <f t="shared" si="90"/>
        <v>0</v>
      </c>
      <c r="U873">
        <f t="shared" si="91"/>
        <v>10</v>
      </c>
      <c r="V873" s="60">
        <f>U873-AVERAGEIFS(Pitchers[ER/IP],Pitchers[GS],"&gt;"&amp;0,Pitchers[IP],"&gt;"&amp;3)</f>
        <v>9.4284994052006805</v>
      </c>
      <c r="W873" s="60">
        <f>IF(Pitchers[[#This Row],[IP/GS]]&lt;&gt;0,(Pitchers[[#This Row],[WHIP]]*$AH$5+$AI$5)/9*Pitchers[[#This Row],[IP/GS]],(Pitchers[[#This Row],[WHIP]]*$AH$5+$AI$5)/9*(Pitchers[[#This Row],[IP]]/Pitchers[[#This Row],[G]]))</f>
        <v>0.73864078243899112</v>
      </c>
      <c r="X873" s="60">
        <f>Pitchers[[#This Row],[Runs from WHIP]]-AVERAGEIFS(Pitchers[Runs from WHIP],Pitchers[GS],"&gt;"&amp;0,Pitchers[IP],"&gt;"&amp;3)</f>
        <v>-4.9472751236858681</v>
      </c>
      <c r="Y873" s="60">
        <f>IF(Pitchers[[#This Row],[IP/GS]]&lt;&gt;0,Pitchers[[#This Row],[ER/IP From Average]]*Pitchers[[#This Row],[IP/GS]],Pitchers[[#This Row],[ER/IP From Average]]*(Pitchers[[#This Row],[IP]]/Pitchers[[#This Row],[G]]))</f>
        <v>1.8856998810401362</v>
      </c>
      <c r="Z873" s="60">
        <f t="shared" si="92"/>
        <v>-0.56499341390017721</v>
      </c>
      <c r="AA873" s="90">
        <f>IF(Pitchers[[#This Row],[W]]=0,0,Pitchers[[#This Row],[W]]/(Pitchers[[#This Row],[W]]+Pitchers[[#This Row],[L]]))</f>
        <v>0</v>
      </c>
    </row>
    <row r="874" spans="1:27" x14ac:dyDescent="0.25">
      <c r="A874" t="s">
        <v>1329</v>
      </c>
      <c r="B874" t="s">
        <v>340</v>
      </c>
      <c r="C874">
        <v>1</v>
      </c>
      <c r="D874">
        <v>0</v>
      </c>
      <c r="E874">
        <v>0</v>
      </c>
      <c r="F874">
        <v>0</v>
      </c>
      <c r="G874">
        <v>0.2</v>
      </c>
      <c r="H874">
        <v>3</v>
      </c>
      <c r="I874">
        <v>4</v>
      </c>
      <c r="J874">
        <v>0</v>
      </c>
      <c r="K874">
        <v>2</v>
      </c>
      <c r="L874">
        <v>0</v>
      </c>
      <c r="M874">
        <v>0</v>
      </c>
      <c r="N874">
        <v>0</v>
      </c>
      <c r="O874">
        <v>0</v>
      </c>
      <c r="P874">
        <v>0</v>
      </c>
      <c r="Q874">
        <v>0</v>
      </c>
      <c r="R874">
        <v>54</v>
      </c>
      <c r="S874">
        <v>7.5</v>
      </c>
      <c r="T874">
        <f t="shared" si="90"/>
        <v>0</v>
      </c>
      <c r="U874">
        <f t="shared" si="91"/>
        <v>20</v>
      </c>
      <c r="V874" s="60">
        <f>U874-AVERAGEIFS(Pitchers[ER/IP],Pitchers[GS],"&gt;"&amp;0,Pitchers[IP],"&gt;"&amp;3)</f>
        <v>19.428499405200682</v>
      </c>
      <c r="W874" s="60">
        <f>IF(Pitchers[[#This Row],[IP/GS]]&lt;&gt;0,(Pitchers[[#This Row],[WHIP]]*$AH$5+$AI$5)/9*Pitchers[[#This Row],[IP/GS]],(Pitchers[[#This Row],[WHIP]]*$AH$5+$AI$5)/9*(Pitchers[[#This Row],[IP]]/Pitchers[[#This Row],[G]]))</f>
        <v>0.73864078243899112</v>
      </c>
      <c r="X874" s="60">
        <f>Pitchers[[#This Row],[Runs from WHIP]]-AVERAGEIFS(Pitchers[Runs from WHIP],Pitchers[GS],"&gt;"&amp;0,Pitchers[IP],"&gt;"&amp;3)</f>
        <v>-4.9472751236858681</v>
      </c>
      <c r="Y874" s="60">
        <f>IF(Pitchers[[#This Row],[IP/GS]]&lt;&gt;0,Pitchers[[#This Row],[ER/IP From Average]]*Pitchers[[#This Row],[IP/GS]],Pitchers[[#This Row],[ER/IP From Average]]*(Pitchers[[#This Row],[IP]]/Pitchers[[#This Row],[G]]))</f>
        <v>3.8856998810401366</v>
      </c>
      <c r="Z874" s="60">
        <f t="shared" si="92"/>
        <v>0.23500658609982317</v>
      </c>
      <c r="AA874" s="90">
        <f>IF(Pitchers[[#This Row],[W]]=0,0,Pitchers[[#This Row],[W]]/(Pitchers[[#This Row],[W]]+Pitchers[[#This Row],[L]]))</f>
        <v>0</v>
      </c>
    </row>
    <row r="875" spans="1:27" x14ac:dyDescent="0.25">
      <c r="A875" t="s">
        <v>772</v>
      </c>
      <c r="B875" t="s">
        <v>340</v>
      </c>
      <c r="C875">
        <v>2</v>
      </c>
      <c r="D875">
        <v>0</v>
      </c>
      <c r="E875">
        <v>0</v>
      </c>
      <c r="F875">
        <v>0</v>
      </c>
      <c r="G875">
        <v>0.1</v>
      </c>
      <c r="H875">
        <v>5</v>
      </c>
      <c r="I875">
        <v>6</v>
      </c>
      <c r="J875">
        <v>1</v>
      </c>
      <c r="K875">
        <v>1</v>
      </c>
      <c r="L875">
        <v>2</v>
      </c>
      <c r="M875">
        <v>0</v>
      </c>
      <c r="N875">
        <v>0</v>
      </c>
      <c r="O875">
        <v>0</v>
      </c>
      <c r="P875">
        <v>0</v>
      </c>
      <c r="Q875">
        <v>0</v>
      </c>
      <c r="R875">
        <v>162</v>
      </c>
      <c r="S875">
        <v>18</v>
      </c>
      <c r="T875">
        <f t="shared" si="90"/>
        <v>0</v>
      </c>
      <c r="U875">
        <f t="shared" si="91"/>
        <v>60</v>
      </c>
      <c r="V875" s="60">
        <f>U875-AVERAGEIFS(Pitchers[ER/IP],Pitchers[GS],"&gt;"&amp;0,Pitchers[IP],"&gt;"&amp;3)</f>
        <v>59.428499405200682</v>
      </c>
      <c r="W875" s="60">
        <f>IF(Pitchers[[#This Row],[IP/GS]]&lt;&gt;0,(Pitchers[[#This Row],[WHIP]]*$AH$5+$AI$5)/9*Pitchers[[#This Row],[IP/GS]],(Pitchers[[#This Row],[WHIP]]*$AH$5+$AI$5)/9*(Pitchers[[#This Row],[IP]]/Pitchers[[#This Row],[G]]))</f>
        <v>0.457227007989151</v>
      </c>
      <c r="X875" s="60">
        <f>Pitchers[[#This Row],[Runs from WHIP]]-AVERAGEIFS(Pitchers[Runs from WHIP],Pitchers[GS],"&gt;"&amp;0,Pitchers[IP],"&gt;"&amp;3)</f>
        <v>-5.228688898135708</v>
      </c>
      <c r="Y875" s="60">
        <f>IF(Pitchers[[#This Row],[IP/GS]]&lt;&gt;0,Pitchers[[#This Row],[ER/IP From Average]]*Pitchers[[#This Row],[IP/GS]],Pitchers[[#This Row],[ER/IP From Average]]*(Pitchers[[#This Row],[IP]]/Pitchers[[#This Row],[G]]))</f>
        <v>2.9714249702600344</v>
      </c>
      <c r="Z875" s="60">
        <f t="shared" si="92"/>
        <v>-0.20574705139884161</v>
      </c>
      <c r="AA875" s="90">
        <f>IF(Pitchers[[#This Row],[W]]=0,0,Pitchers[[#This Row],[W]]/(Pitchers[[#This Row],[W]]+Pitchers[[#This Row],[L]]))</f>
        <v>0</v>
      </c>
    </row>
    <row r="876" spans="1:27" x14ac:dyDescent="0.25">
      <c r="A876" t="s">
        <v>885</v>
      </c>
      <c r="B876" t="s">
        <v>19</v>
      </c>
      <c r="C876">
        <v>1</v>
      </c>
      <c r="D876">
        <v>1</v>
      </c>
      <c r="E876">
        <v>0</v>
      </c>
      <c r="F876">
        <v>0</v>
      </c>
      <c r="G876">
        <v>0.1</v>
      </c>
      <c r="H876">
        <v>3</v>
      </c>
      <c r="I876">
        <v>4</v>
      </c>
      <c r="J876">
        <v>0</v>
      </c>
      <c r="K876">
        <v>4</v>
      </c>
      <c r="L876">
        <v>0</v>
      </c>
      <c r="M876">
        <v>0</v>
      </c>
      <c r="N876">
        <v>1</v>
      </c>
      <c r="O876">
        <v>0</v>
      </c>
      <c r="P876">
        <v>0</v>
      </c>
      <c r="Q876">
        <v>0</v>
      </c>
      <c r="R876">
        <v>108</v>
      </c>
      <c r="S876">
        <v>21</v>
      </c>
      <c r="T876">
        <f t="shared" si="90"/>
        <v>0.1</v>
      </c>
      <c r="U876">
        <f t="shared" si="91"/>
        <v>40</v>
      </c>
      <c r="V876" s="60">
        <f>U876-AVERAGEIFS(Pitchers[ER/IP],Pitchers[GS],"&gt;"&amp;0,Pitchers[IP],"&gt;"&amp;3)</f>
        <v>39.428499405200682</v>
      </c>
      <c r="W876" s="60">
        <f>IF(Pitchers[[#This Row],[IP/GS]]&lt;&gt;0,(Pitchers[[#This Row],[WHIP]]*$AH$5+$AI$5)/9*Pitchers[[#This Row],[IP/GS]],(Pitchers[[#This Row],[WHIP]]*$AH$5+$AI$5)/9*(Pitchers[[#This Row],[IP]]/Pitchers[[#This Row],[G]]))</f>
        <v>1.0702064801951037</v>
      </c>
      <c r="X876" s="60">
        <f>Pitchers[[#This Row],[Runs from WHIP]]-AVERAGEIFS(Pitchers[Runs from WHIP],Pitchers[GS],"&gt;"&amp;0,Pitchers[IP],"&gt;"&amp;3)</f>
        <v>-4.6157094259297553</v>
      </c>
      <c r="Y876" s="60">
        <f>IF(Pitchers[[#This Row],[IP/GS]]&lt;&gt;0,Pitchers[[#This Row],[ER/IP From Average]]*Pitchers[[#This Row],[IP/GS]],Pitchers[[#This Row],[ER/IP From Average]]*(Pitchers[[#This Row],[IP]]/Pitchers[[#This Row],[G]]))</f>
        <v>3.9428499405200683</v>
      </c>
      <c r="Z876" s="60">
        <f t="shared" si="92"/>
        <v>0.34628412929342584</v>
      </c>
      <c r="AA876" s="90">
        <f>IF(Pitchers[[#This Row],[W]]=0,0,Pitchers[[#This Row],[W]]/(Pitchers[[#This Row],[W]]+Pitchers[[#This Row],[L]]))</f>
        <v>0</v>
      </c>
    </row>
  </sheetData>
  <hyperlinks>
    <hyperlink ref="B1" r:id="rId1"/>
  </hyperlinks>
  <pageMargins left="0.7" right="0.7" top="0.75" bottom="0.75" header="0.3" footer="0.3"/>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AH460"/>
  <sheetViews>
    <sheetView topLeftCell="A221" workbookViewId="0">
      <selection activeCell="AT3" sqref="AT3:BM32"/>
    </sheetView>
  </sheetViews>
  <sheetFormatPr defaultRowHeight="15" x14ac:dyDescent="0.25"/>
  <cols>
    <col min="1" max="1" width="25.140625" bestFit="1" customWidth="1"/>
    <col min="2" max="2" width="5" customWidth="1"/>
    <col min="3" max="3" width="6.140625" customWidth="1"/>
    <col min="4" max="6" width="7.140625" customWidth="1"/>
    <col min="7" max="7" width="5.85546875" customWidth="1"/>
    <col min="8" max="8" width="6.140625" customWidth="1"/>
    <col min="9" max="10" width="6.7109375" customWidth="1"/>
    <col min="11" max="11" width="7.140625" customWidth="1"/>
    <col min="12" max="12" width="6.42578125" customWidth="1"/>
    <col min="13" max="13" width="7.28515625" customWidth="1"/>
    <col min="14" max="14" width="4.5703125" customWidth="1"/>
    <col min="15" max="15" width="4.7109375" customWidth="1"/>
    <col min="16" max="16" width="7.140625" customWidth="1"/>
    <col min="17" max="17" width="5.5703125" customWidth="1"/>
  </cols>
  <sheetData>
    <row r="1" spans="1:1" x14ac:dyDescent="0.25">
      <c r="A1" t="s">
        <v>36</v>
      </c>
    </row>
    <row r="2" spans="1:1" x14ac:dyDescent="0.25">
      <c r="A2" t="s">
        <v>37</v>
      </c>
    </row>
    <row r="3" spans="1:1" x14ac:dyDescent="0.25">
      <c r="A3" t="s">
        <v>38</v>
      </c>
    </row>
    <row r="4" spans="1:1" x14ac:dyDescent="0.25">
      <c r="A4" t="s">
        <v>39</v>
      </c>
    </row>
    <row r="5" spans="1:1" x14ac:dyDescent="0.25">
      <c r="A5" t="s">
        <v>40</v>
      </c>
    </row>
    <row r="6" spans="1:1" x14ac:dyDescent="0.25">
      <c r="A6" t="s">
        <v>41</v>
      </c>
    </row>
    <row r="7" spans="1:1" x14ac:dyDescent="0.25">
      <c r="A7" t="s">
        <v>42</v>
      </c>
    </row>
    <row r="8" spans="1:1" x14ac:dyDescent="0.25">
      <c r="A8" t="s">
        <v>43</v>
      </c>
    </row>
    <row r="9" spans="1:1" x14ac:dyDescent="0.25">
      <c r="A9" t="s">
        <v>44</v>
      </c>
    </row>
    <row r="10" spans="1:1" x14ac:dyDescent="0.25">
      <c r="A10" t="s">
        <v>45</v>
      </c>
    </row>
    <row r="11" spans="1:1" x14ac:dyDescent="0.25">
      <c r="A11" t="s">
        <v>46</v>
      </c>
    </row>
    <row r="12" spans="1:1" x14ac:dyDescent="0.25">
      <c r="A12" t="s">
        <v>47</v>
      </c>
    </row>
    <row r="13" spans="1:1" x14ac:dyDescent="0.25">
      <c r="A13" t="s">
        <v>48</v>
      </c>
    </row>
    <row r="14" spans="1:1" x14ac:dyDescent="0.25">
      <c r="A14" t="s">
        <v>49</v>
      </c>
    </row>
    <row r="15" spans="1:1" x14ac:dyDescent="0.25">
      <c r="A15" t="s">
        <v>50</v>
      </c>
    </row>
    <row r="16" spans="1:1" x14ac:dyDescent="0.25">
      <c r="A16" t="s">
        <v>51</v>
      </c>
    </row>
    <row r="17" spans="1:1" x14ac:dyDescent="0.25">
      <c r="A17" t="s">
        <v>52</v>
      </c>
    </row>
    <row r="18" spans="1:1" x14ac:dyDescent="0.25">
      <c r="A18" t="s">
        <v>53</v>
      </c>
    </row>
    <row r="19" spans="1:1" x14ac:dyDescent="0.25">
      <c r="A19" t="s">
        <v>54</v>
      </c>
    </row>
    <row r="20" spans="1:1" x14ac:dyDescent="0.25">
      <c r="A20" t="s">
        <v>55</v>
      </c>
    </row>
    <row r="21" spans="1:1" x14ac:dyDescent="0.25">
      <c r="A21" t="s">
        <v>56</v>
      </c>
    </row>
    <row r="22" spans="1:1" x14ac:dyDescent="0.25">
      <c r="A22" t="s">
        <v>57</v>
      </c>
    </row>
    <row r="23" spans="1:1" x14ac:dyDescent="0.25">
      <c r="A23" t="s">
        <v>58</v>
      </c>
    </row>
    <row r="24" spans="1:1" x14ac:dyDescent="0.25">
      <c r="A24" t="s">
        <v>59</v>
      </c>
    </row>
    <row r="25" spans="1:1" x14ac:dyDescent="0.25">
      <c r="A25" t="s">
        <v>60</v>
      </c>
    </row>
    <row r="26" spans="1:1" x14ac:dyDescent="0.25">
      <c r="A26" t="s">
        <v>61</v>
      </c>
    </row>
    <row r="27" spans="1:1" x14ac:dyDescent="0.25">
      <c r="A27" t="s">
        <v>4908</v>
      </c>
    </row>
    <row r="28" spans="1:1" x14ac:dyDescent="0.25">
      <c r="A28" t="s">
        <v>46</v>
      </c>
    </row>
    <row r="29" spans="1:1" x14ac:dyDescent="0.25">
      <c r="A29" t="s">
        <v>47</v>
      </c>
    </row>
    <row r="30" spans="1:1" x14ac:dyDescent="0.25">
      <c r="A30" t="s">
        <v>48</v>
      </c>
    </row>
    <row r="31" spans="1:1" x14ac:dyDescent="0.25">
      <c r="A31" t="s">
        <v>49</v>
      </c>
    </row>
    <row r="32" spans="1:1" x14ac:dyDescent="0.25">
      <c r="A32" t="s">
        <v>50</v>
      </c>
    </row>
    <row r="33" spans="1:1" x14ac:dyDescent="0.25">
      <c r="A33" t="s">
        <v>62</v>
      </c>
    </row>
    <row r="34" spans="1:1" x14ac:dyDescent="0.25">
      <c r="A34" t="s">
        <v>63</v>
      </c>
    </row>
    <row r="35" spans="1:1" x14ac:dyDescent="0.25">
      <c r="A35" t="s">
        <v>64</v>
      </c>
    </row>
    <row r="36" spans="1:1" x14ac:dyDescent="0.25">
      <c r="A36" t="s">
        <v>1511</v>
      </c>
    </row>
    <row r="37" spans="1:1" x14ac:dyDescent="0.25">
      <c r="A37" t="s">
        <v>65</v>
      </c>
    </row>
    <row r="38" spans="1:1" x14ac:dyDescent="0.25">
      <c r="A38" t="s">
        <v>66</v>
      </c>
    </row>
    <row r="39" spans="1:1" x14ac:dyDescent="0.25">
      <c r="A39" t="s">
        <v>67</v>
      </c>
    </row>
    <row r="40" spans="1:1" x14ac:dyDescent="0.25">
      <c r="A40" t="s">
        <v>68</v>
      </c>
    </row>
    <row r="41" spans="1:1" x14ac:dyDescent="0.25">
      <c r="A41" t="s">
        <v>69</v>
      </c>
    </row>
    <row r="42" spans="1:1" x14ac:dyDescent="0.25">
      <c r="A42" t="s">
        <v>70</v>
      </c>
    </row>
    <row r="44" spans="1:1" x14ac:dyDescent="0.25">
      <c r="A44" t="s">
        <v>71</v>
      </c>
    </row>
    <row r="46" spans="1:1" x14ac:dyDescent="0.25">
      <c r="A46" t="s">
        <v>72</v>
      </c>
    </row>
    <row r="48" spans="1:1" x14ac:dyDescent="0.25">
      <c r="A48" t="s">
        <v>73</v>
      </c>
    </row>
    <row r="50" spans="1:1" x14ac:dyDescent="0.25">
      <c r="A50" t="s">
        <v>74</v>
      </c>
    </row>
    <row r="52" spans="1:1" x14ac:dyDescent="0.25">
      <c r="A52" t="s">
        <v>75</v>
      </c>
    </row>
    <row r="54" spans="1:1" x14ac:dyDescent="0.25">
      <c r="A54" t="s">
        <v>35</v>
      </c>
    </row>
    <row r="56" spans="1:1" x14ac:dyDescent="0.25">
      <c r="A56" t="s">
        <v>76</v>
      </c>
    </row>
    <row r="58" spans="1:1" x14ac:dyDescent="0.25">
      <c r="A58" t="s">
        <v>74</v>
      </c>
    </row>
    <row r="61" spans="1:1" x14ac:dyDescent="0.25">
      <c r="A61" t="s">
        <v>77</v>
      </c>
    </row>
    <row r="62" spans="1:1" x14ac:dyDescent="0.25">
      <c r="A62" t="s">
        <v>78</v>
      </c>
    </row>
    <row r="63" spans="1:1" x14ac:dyDescent="0.25">
      <c r="A63" t="s">
        <v>34</v>
      </c>
    </row>
    <row r="64" spans="1:1" x14ac:dyDescent="0.25">
      <c r="A64" t="s">
        <v>79</v>
      </c>
    </row>
    <row r="65" spans="1:1" x14ac:dyDescent="0.25">
      <c r="A65" t="s">
        <v>80</v>
      </c>
    </row>
    <row r="66" spans="1:1" x14ac:dyDescent="0.25">
      <c r="A66" t="s">
        <v>81</v>
      </c>
    </row>
    <row r="67" spans="1:1" x14ac:dyDescent="0.25">
      <c r="A67" t="s">
        <v>82</v>
      </c>
    </row>
    <row r="68" spans="1:1" x14ac:dyDescent="0.25">
      <c r="A68" t="s">
        <v>83</v>
      </c>
    </row>
    <row r="69" spans="1:1" x14ac:dyDescent="0.25">
      <c r="A69" t="s">
        <v>84</v>
      </c>
    </row>
    <row r="70" spans="1:1" x14ac:dyDescent="0.25">
      <c r="A70" t="s">
        <v>85</v>
      </c>
    </row>
    <row r="71" spans="1:1" x14ac:dyDescent="0.25">
      <c r="A71" t="s">
        <v>86</v>
      </c>
    </row>
    <row r="72" spans="1:1" x14ac:dyDescent="0.25">
      <c r="A72" t="s">
        <v>87</v>
      </c>
    </row>
    <row r="74" spans="1:1" x14ac:dyDescent="0.25">
      <c r="A74" t="s">
        <v>75</v>
      </c>
    </row>
    <row r="77" spans="1:1" x14ac:dyDescent="0.25">
      <c r="A77" t="s">
        <v>88</v>
      </c>
    </row>
    <row r="78" spans="1:1" x14ac:dyDescent="0.25">
      <c r="A78" t="s">
        <v>89</v>
      </c>
    </row>
    <row r="79" spans="1:1" x14ac:dyDescent="0.25">
      <c r="A79" t="s">
        <v>90</v>
      </c>
    </row>
    <row r="80" spans="1:1" x14ac:dyDescent="0.25">
      <c r="A80" t="s">
        <v>91</v>
      </c>
    </row>
    <row r="81" spans="1:1" x14ac:dyDescent="0.25">
      <c r="A81" t="s">
        <v>92</v>
      </c>
    </row>
    <row r="82" spans="1:1" x14ac:dyDescent="0.25">
      <c r="A82" t="s">
        <v>93</v>
      </c>
    </row>
    <row r="83" spans="1:1" x14ac:dyDescent="0.25">
      <c r="A83" t="s">
        <v>94</v>
      </c>
    </row>
    <row r="84" spans="1:1" x14ac:dyDescent="0.25">
      <c r="A84" t="s">
        <v>95</v>
      </c>
    </row>
    <row r="85" spans="1:1" x14ac:dyDescent="0.25">
      <c r="A85" t="s">
        <v>96</v>
      </c>
    </row>
    <row r="86" spans="1:1" x14ac:dyDescent="0.25">
      <c r="A86" t="s">
        <v>97</v>
      </c>
    </row>
    <row r="87" spans="1:1" x14ac:dyDescent="0.25">
      <c r="A87" t="s">
        <v>98</v>
      </c>
    </row>
    <row r="88" spans="1:1" x14ac:dyDescent="0.25">
      <c r="A88" t="s">
        <v>99</v>
      </c>
    </row>
    <row r="89" spans="1:1" x14ac:dyDescent="0.25">
      <c r="A89" t="s">
        <v>100</v>
      </c>
    </row>
    <row r="90" spans="1:1" x14ac:dyDescent="0.25">
      <c r="A90" t="s">
        <v>101</v>
      </c>
    </row>
    <row r="91" spans="1:1" x14ac:dyDescent="0.25">
      <c r="A91" t="s">
        <v>102</v>
      </c>
    </row>
    <row r="93" spans="1:1" x14ac:dyDescent="0.25">
      <c r="A93" t="s">
        <v>35</v>
      </c>
    </row>
    <row r="96" spans="1:1" x14ac:dyDescent="0.25">
      <c r="A96" t="s">
        <v>103</v>
      </c>
    </row>
    <row r="97" spans="1:1" x14ac:dyDescent="0.25">
      <c r="A97" t="s">
        <v>89</v>
      </c>
    </row>
    <row r="98" spans="1:1" x14ac:dyDescent="0.25">
      <c r="A98" t="s">
        <v>92</v>
      </c>
    </row>
    <row r="99" spans="1:1" x14ac:dyDescent="0.25">
      <c r="A99" t="s">
        <v>104</v>
      </c>
    </row>
    <row r="100" spans="1:1" x14ac:dyDescent="0.25">
      <c r="A100" t="s">
        <v>91</v>
      </c>
    </row>
    <row r="101" spans="1:1" x14ac:dyDescent="0.25">
      <c r="A101" t="s">
        <v>105</v>
      </c>
    </row>
    <row r="102" spans="1:1" x14ac:dyDescent="0.25">
      <c r="A102" t="s">
        <v>106</v>
      </c>
    </row>
    <row r="103" spans="1:1" x14ac:dyDescent="0.25">
      <c r="A103" t="s">
        <v>107</v>
      </c>
    </row>
    <row r="104" spans="1:1" x14ac:dyDescent="0.25">
      <c r="A104" t="s">
        <v>108</v>
      </c>
    </row>
    <row r="105" spans="1:1" x14ac:dyDescent="0.25">
      <c r="A105" t="s">
        <v>109</v>
      </c>
    </row>
    <row r="106" spans="1:1" x14ac:dyDescent="0.25">
      <c r="A106" t="s">
        <v>110</v>
      </c>
    </row>
    <row r="107" spans="1:1" x14ac:dyDescent="0.25">
      <c r="A107" t="s">
        <v>111</v>
      </c>
    </row>
    <row r="108" spans="1:1" x14ac:dyDescent="0.25">
      <c r="A108" t="s">
        <v>100</v>
      </c>
    </row>
    <row r="109" spans="1:1" x14ac:dyDescent="0.25">
      <c r="A109" t="s">
        <v>112</v>
      </c>
    </row>
    <row r="110" spans="1:1" x14ac:dyDescent="0.25">
      <c r="A110" t="s">
        <v>102</v>
      </c>
    </row>
    <row r="112" spans="1:1" x14ac:dyDescent="0.25">
      <c r="A112" t="s">
        <v>113</v>
      </c>
    </row>
    <row r="115" spans="1:1" x14ac:dyDescent="0.25">
      <c r="A115" t="s">
        <v>75</v>
      </c>
    </row>
    <row r="116" spans="1:1" x14ac:dyDescent="0.25">
      <c r="A116" t="s">
        <v>35</v>
      </c>
    </row>
    <row r="117" spans="1:1" x14ac:dyDescent="0.25">
      <c r="A117" t="s">
        <v>74</v>
      </c>
    </row>
    <row r="118" spans="1:1" x14ac:dyDescent="0.25">
      <c r="A118" t="s">
        <v>114</v>
      </c>
    </row>
    <row r="120" spans="1:1" x14ac:dyDescent="0.25">
      <c r="A120" t="s">
        <v>115</v>
      </c>
    </row>
    <row r="123" spans="1:1" x14ac:dyDescent="0.25">
      <c r="A123" t="s">
        <v>116</v>
      </c>
    </row>
    <row r="124" spans="1:1" x14ac:dyDescent="0.25">
      <c r="A124" t="s">
        <v>117</v>
      </c>
    </row>
    <row r="125" spans="1:1" x14ac:dyDescent="0.25">
      <c r="A125" t="s">
        <v>118</v>
      </c>
    </row>
    <row r="126" spans="1:1" x14ac:dyDescent="0.25">
      <c r="A126" t="s">
        <v>119</v>
      </c>
    </row>
    <row r="127" spans="1:1" x14ac:dyDescent="0.25">
      <c r="A127" t="s">
        <v>120</v>
      </c>
    </row>
    <row r="128" spans="1:1" x14ac:dyDescent="0.25">
      <c r="A128" t="s">
        <v>121</v>
      </c>
    </row>
    <row r="129" spans="1:1" x14ac:dyDescent="0.25">
      <c r="A129" t="s">
        <v>122</v>
      </c>
    </row>
    <row r="130" spans="1:1" x14ac:dyDescent="0.25">
      <c r="A130" t="s">
        <v>123</v>
      </c>
    </row>
    <row r="131" spans="1:1" x14ac:dyDescent="0.25">
      <c r="A131" t="s">
        <v>124</v>
      </c>
    </row>
    <row r="132" spans="1:1" x14ac:dyDescent="0.25">
      <c r="A132" t="s">
        <v>125</v>
      </c>
    </row>
    <row r="133" spans="1:1" x14ac:dyDescent="0.25">
      <c r="A133" t="s">
        <v>126</v>
      </c>
    </row>
    <row r="134" spans="1:1" x14ac:dyDescent="0.25">
      <c r="A134" t="s">
        <v>127</v>
      </c>
    </row>
    <row r="135" spans="1:1" x14ac:dyDescent="0.25">
      <c r="A135" t="s">
        <v>128</v>
      </c>
    </row>
    <row r="136" spans="1:1" x14ac:dyDescent="0.25">
      <c r="A136" t="s">
        <v>129</v>
      </c>
    </row>
    <row r="137" spans="1:1" x14ac:dyDescent="0.25">
      <c r="A137" t="s">
        <v>130</v>
      </c>
    </row>
    <row r="138" spans="1:1" x14ac:dyDescent="0.25">
      <c r="A138" t="s">
        <v>1251</v>
      </c>
    </row>
    <row r="139" spans="1:1" x14ac:dyDescent="0.25">
      <c r="A139" t="s">
        <v>71</v>
      </c>
    </row>
    <row r="140" spans="1:1" x14ac:dyDescent="0.25">
      <c r="A140" t="s">
        <v>72</v>
      </c>
    </row>
    <row r="141" spans="1:1" x14ac:dyDescent="0.25">
      <c r="A141" t="s">
        <v>73</v>
      </c>
    </row>
    <row r="142" spans="1:1" x14ac:dyDescent="0.25">
      <c r="A142" t="s">
        <v>74</v>
      </c>
    </row>
    <row r="144" spans="1:1" x14ac:dyDescent="0.25">
      <c r="A144" t="s">
        <v>77</v>
      </c>
    </row>
    <row r="145" spans="1:1" x14ac:dyDescent="0.25">
      <c r="A145" t="s">
        <v>78</v>
      </c>
    </row>
    <row r="146" spans="1:1" x14ac:dyDescent="0.25">
      <c r="A146" t="s">
        <v>34</v>
      </c>
    </row>
    <row r="147" spans="1:1" x14ac:dyDescent="0.25">
      <c r="A147" t="s">
        <v>79</v>
      </c>
    </row>
    <row r="148" spans="1:1" x14ac:dyDescent="0.25">
      <c r="A148" t="s">
        <v>80</v>
      </c>
    </row>
    <row r="149" spans="1:1" x14ac:dyDescent="0.25">
      <c r="A149" t="s">
        <v>81</v>
      </c>
    </row>
    <row r="150" spans="1:1" x14ac:dyDescent="0.25">
      <c r="A150" t="s">
        <v>82</v>
      </c>
    </row>
    <row r="151" spans="1:1" x14ac:dyDescent="0.25">
      <c r="A151" t="s">
        <v>83</v>
      </c>
    </row>
    <row r="152" spans="1:1" x14ac:dyDescent="0.25">
      <c r="A152" t="s">
        <v>84</v>
      </c>
    </row>
    <row r="153" spans="1:1" x14ac:dyDescent="0.25">
      <c r="A153" t="s">
        <v>85</v>
      </c>
    </row>
    <row r="154" spans="1:1" x14ac:dyDescent="0.25">
      <c r="A154" t="s">
        <v>86</v>
      </c>
    </row>
    <row r="155" spans="1:1" x14ac:dyDescent="0.25">
      <c r="A155" t="s">
        <v>87</v>
      </c>
    </row>
    <row r="156" spans="1:1" x14ac:dyDescent="0.25">
      <c r="A156" t="s">
        <v>75</v>
      </c>
    </row>
    <row r="158" spans="1:1" x14ac:dyDescent="0.25">
      <c r="A158" t="s">
        <v>88</v>
      </c>
    </row>
    <row r="159" spans="1:1" x14ac:dyDescent="0.25">
      <c r="A159" t="s">
        <v>89</v>
      </c>
    </row>
    <row r="160" spans="1:1" x14ac:dyDescent="0.25">
      <c r="A160" t="s">
        <v>90</v>
      </c>
    </row>
    <row r="161" spans="1:1" x14ac:dyDescent="0.25">
      <c r="A161" t="s">
        <v>91</v>
      </c>
    </row>
    <row r="162" spans="1:1" x14ac:dyDescent="0.25">
      <c r="A162" t="s">
        <v>92</v>
      </c>
    </row>
    <row r="163" spans="1:1" x14ac:dyDescent="0.25">
      <c r="A163" t="s">
        <v>93</v>
      </c>
    </row>
    <row r="164" spans="1:1" x14ac:dyDescent="0.25">
      <c r="A164" t="s">
        <v>94</v>
      </c>
    </row>
    <row r="165" spans="1:1" x14ac:dyDescent="0.25">
      <c r="A165" t="s">
        <v>95</v>
      </c>
    </row>
    <row r="166" spans="1:1" x14ac:dyDescent="0.25">
      <c r="A166" t="s">
        <v>96</v>
      </c>
    </row>
    <row r="167" spans="1:1" x14ac:dyDescent="0.25">
      <c r="A167" t="s">
        <v>97</v>
      </c>
    </row>
    <row r="168" spans="1:1" x14ac:dyDescent="0.25">
      <c r="A168" t="s">
        <v>98</v>
      </c>
    </row>
    <row r="169" spans="1:1" x14ac:dyDescent="0.25">
      <c r="A169" t="s">
        <v>99</v>
      </c>
    </row>
    <row r="170" spans="1:1" x14ac:dyDescent="0.25">
      <c r="A170" t="s">
        <v>100</v>
      </c>
    </row>
    <row r="171" spans="1:1" x14ac:dyDescent="0.25">
      <c r="A171" t="s">
        <v>101</v>
      </c>
    </row>
    <row r="172" spans="1:1" x14ac:dyDescent="0.25">
      <c r="A172" t="s">
        <v>102</v>
      </c>
    </row>
    <row r="173" spans="1:1" x14ac:dyDescent="0.25">
      <c r="A173" t="s">
        <v>35</v>
      </c>
    </row>
    <row r="175" spans="1:1" x14ac:dyDescent="0.25">
      <c r="A175" t="s">
        <v>103</v>
      </c>
    </row>
    <row r="176" spans="1:1" x14ac:dyDescent="0.25">
      <c r="A176" t="s">
        <v>89</v>
      </c>
    </row>
    <row r="177" spans="1:1" x14ac:dyDescent="0.25">
      <c r="A177" t="s">
        <v>92</v>
      </c>
    </row>
    <row r="178" spans="1:1" x14ac:dyDescent="0.25">
      <c r="A178" t="s">
        <v>104</v>
      </c>
    </row>
    <row r="179" spans="1:1" x14ac:dyDescent="0.25">
      <c r="A179" t="s">
        <v>91</v>
      </c>
    </row>
    <row r="180" spans="1:1" x14ac:dyDescent="0.25">
      <c r="A180" t="s">
        <v>105</v>
      </c>
    </row>
    <row r="181" spans="1:1" x14ac:dyDescent="0.25">
      <c r="A181" t="s">
        <v>106</v>
      </c>
    </row>
    <row r="182" spans="1:1" x14ac:dyDescent="0.25">
      <c r="A182" t="s">
        <v>107</v>
      </c>
    </row>
    <row r="183" spans="1:1" x14ac:dyDescent="0.25">
      <c r="A183" t="s">
        <v>108</v>
      </c>
    </row>
    <row r="184" spans="1:1" x14ac:dyDescent="0.25">
      <c r="A184" t="s">
        <v>109</v>
      </c>
    </row>
    <row r="185" spans="1:1" x14ac:dyDescent="0.25">
      <c r="A185" t="s">
        <v>110</v>
      </c>
    </row>
    <row r="186" spans="1:1" x14ac:dyDescent="0.25">
      <c r="A186" t="s">
        <v>111</v>
      </c>
    </row>
    <row r="187" spans="1:1" x14ac:dyDescent="0.25">
      <c r="A187" t="s">
        <v>100</v>
      </c>
    </row>
    <row r="188" spans="1:1" x14ac:dyDescent="0.25">
      <c r="A188" t="s">
        <v>112</v>
      </c>
    </row>
    <row r="189" spans="1:1" x14ac:dyDescent="0.25">
      <c r="A189" t="s">
        <v>102</v>
      </c>
    </row>
    <row r="190" spans="1:1" x14ac:dyDescent="0.25">
      <c r="A190" t="s">
        <v>76</v>
      </c>
    </row>
    <row r="191" spans="1:1" x14ac:dyDescent="0.25">
      <c r="A191" t="s">
        <v>113</v>
      </c>
    </row>
    <row r="193" spans="1:1" x14ac:dyDescent="0.25">
      <c r="A193" t="s">
        <v>75</v>
      </c>
    </row>
    <row r="194" spans="1:1" x14ac:dyDescent="0.25">
      <c r="A194" t="s">
        <v>35</v>
      </c>
    </row>
    <row r="195" spans="1:1" x14ac:dyDescent="0.25">
      <c r="A195" t="s">
        <v>74</v>
      </c>
    </row>
    <row r="196" spans="1:1" x14ac:dyDescent="0.25">
      <c r="A196" t="s">
        <v>114</v>
      </c>
    </row>
    <row r="197" spans="1:1" x14ac:dyDescent="0.25">
      <c r="A197" t="s">
        <v>115</v>
      </c>
    </row>
    <row r="199" spans="1:1" x14ac:dyDescent="0.25">
      <c r="A199" t="s">
        <v>116</v>
      </c>
    </row>
    <row r="200" spans="1:1" x14ac:dyDescent="0.25">
      <c r="A200" t="s">
        <v>117</v>
      </c>
    </row>
    <row r="201" spans="1:1" x14ac:dyDescent="0.25">
      <c r="A201" t="s">
        <v>118</v>
      </c>
    </row>
    <row r="202" spans="1:1" x14ac:dyDescent="0.25">
      <c r="A202" t="s">
        <v>119</v>
      </c>
    </row>
    <row r="203" spans="1:1" x14ac:dyDescent="0.25">
      <c r="A203" t="s">
        <v>120</v>
      </c>
    </row>
    <row r="204" spans="1:1" x14ac:dyDescent="0.25">
      <c r="A204" t="s">
        <v>121</v>
      </c>
    </row>
    <row r="205" spans="1:1" x14ac:dyDescent="0.25">
      <c r="A205" t="s">
        <v>122</v>
      </c>
    </row>
    <row r="206" spans="1:1" x14ac:dyDescent="0.25">
      <c r="A206" t="s">
        <v>123</v>
      </c>
    </row>
    <row r="207" spans="1:1" x14ac:dyDescent="0.25">
      <c r="A207" t="s">
        <v>124</v>
      </c>
    </row>
    <row r="208" spans="1:1" x14ac:dyDescent="0.25">
      <c r="A208" t="s">
        <v>125</v>
      </c>
    </row>
    <row r="209" spans="1:34" x14ac:dyDescent="0.25">
      <c r="A209" t="s">
        <v>126</v>
      </c>
    </row>
    <row r="210" spans="1:34" x14ac:dyDescent="0.25">
      <c r="A210" t="s">
        <v>127</v>
      </c>
    </row>
    <row r="211" spans="1:34" x14ac:dyDescent="0.25">
      <c r="A211" t="s">
        <v>128</v>
      </c>
    </row>
    <row r="212" spans="1:34" x14ac:dyDescent="0.25">
      <c r="A212" t="s">
        <v>129</v>
      </c>
    </row>
    <row r="213" spans="1:34" x14ac:dyDescent="0.25">
      <c r="A213" t="s">
        <v>130</v>
      </c>
    </row>
    <row r="214" spans="1:34" x14ac:dyDescent="0.25">
      <c r="A214" t="s">
        <v>1251</v>
      </c>
    </row>
    <row r="216" spans="1:34" x14ac:dyDescent="0.25">
      <c r="A216" t="s">
        <v>1307</v>
      </c>
    </row>
    <row r="218" spans="1:34" x14ac:dyDescent="0.25">
      <c r="A218" t="s">
        <v>4779</v>
      </c>
    </row>
    <row r="220" spans="1:34" x14ac:dyDescent="0.25">
      <c r="A220" t="s">
        <v>4780</v>
      </c>
      <c r="C220" s="76"/>
      <c r="D220" s="76"/>
      <c r="E220" s="76"/>
      <c r="F220" s="76"/>
      <c r="G220" s="62"/>
      <c r="N220" s="62"/>
      <c r="O220" s="62"/>
      <c r="P220" s="76"/>
      <c r="Q220" s="62"/>
    </row>
    <row r="221" spans="1:34" x14ac:dyDescent="0.25">
      <c r="C221" s="76"/>
      <c r="D221" s="76"/>
      <c r="E221" s="76"/>
      <c r="F221" s="76"/>
      <c r="G221" s="62"/>
      <c r="N221" s="62"/>
      <c r="O221" s="62"/>
      <c r="P221" s="76"/>
      <c r="Q221" s="62"/>
    </row>
    <row r="222" spans="1:34" x14ac:dyDescent="0.25">
      <c r="A222" t="s">
        <v>1512</v>
      </c>
      <c r="C222" s="76"/>
      <c r="D222" s="76"/>
      <c r="E222" s="76"/>
      <c r="F222" s="76"/>
      <c r="G222" s="62"/>
      <c r="N222" s="62"/>
      <c r="O222" s="62"/>
      <c r="P222" s="76"/>
      <c r="Q222" s="62"/>
    </row>
    <row r="223" spans="1:34" x14ac:dyDescent="0.25">
      <c r="C223" s="76"/>
      <c r="D223" s="76"/>
      <c r="E223" s="76"/>
      <c r="F223" s="76"/>
      <c r="G223" s="62"/>
      <c r="N223" s="62"/>
      <c r="O223" s="62"/>
      <c r="P223" s="76"/>
      <c r="Q223" s="62"/>
    </row>
    <row r="224" spans="1:34" x14ac:dyDescent="0.25">
      <c r="A224" t="s">
        <v>1513</v>
      </c>
      <c r="C224" s="76"/>
      <c r="D224" s="76"/>
      <c r="E224" s="76"/>
      <c r="F224" s="76"/>
      <c r="G224" s="62"/>
      <c r="N224" s="62"/>
      <c r="O224" s="62"/>
      <c r="P224" s="76"/>
      <c r="Q224" s="62"/>
      <c r="S224" t="s">
        <v>1527</v>
      </c>
      <c r="T224" t="s">
        <v>1526</v>
      </c>
      <c r="U224" t="s">
        <v>1525</v>
      </c>
      <c r="V224" t="s">
        <v>1524</v>
      </c>
      <c r="W224" t="s">
        <v>1523</v>
      </c>
      <c r="X224" t="s">
        <v>1522</v>
      </c>
      <c r="Y224" t="s">
        <v>1521</v>
      </c>
      <c r="Z224" t="s">
        <v>1520</v>
      </c>
      <c r="AA224" t="s">
        <v>1519</v>
      </c>
      <c r="AB224" t="s">
        <v>321</v>
      </c>
      <c r="AC224" t="s">
        <v>1518</v>
      </c>
      <c r="AD224" t="s">
        <v>1517</v>
      </c>
      <c r="AE224" t="s">
        <v>1516</v>
      </c>
      <c r="AF224" t="s">
        <v>1515</v>
      </c>
      <c r="AG224" t="s">
        <v>1514</v>
      </c>
      <c r="AH224" t="s">
        <v>1531</v>
      </c>
    </row>
    <row r="225" spans="1:34" x14ac:dyDescent="0.25">
      <c r="A225" t="s">
        <v>131</v>
      </c>
      <c r="B225" t="s">
        <v>194</v>
      </c>
      <c r="C225" s="76" t="s">
        <v>1514</v>
      </c>
      <c r="D225" s="76" t="s">
        <v>1515</v>
      </c>
      <c r="E225" s="76" t="s">
        <v>1516</v>
      </c>
      <c r="F225" s="76" t="s">
        <v>1517</v>
      </c>
      <c r="G225" s="62" t="s">
        <v>1518</v>
      </c>
      <c r="H225" t="s">
        <v>321</v>
      </c>
      <c r="I225" t="s">
        <v>1519</v>
      </c>
      <c r="J225" t="s">
        <v>1520</v>
      </c>
      <c r="K225" t="s">
        <v>1521</v>
      </c>
      <c r="L225" t="s">
        <v>1522</v>
      </c>
      <c r="M225" t="s">
        <v>1523</v>
      </c>
      <c r="N225" s="62" t="s">
        <v>1524</v>
      </c>
      <c r="O225" s="62" t="s">
        <v>1525</v>
      </c>
      <c r="P225" s="76" t="s">
        <v>1526</v>
      </c>
      <c r="Q225" s="62" t="s">
        <v>1527</v>
      </c>
      <c r="S225">
        <f t="array" ref="S225:AH229">LINEST($B$226:$B$257,$C$226:$Q$257,1,1)</f>
        <v>2.3347941058293673E-2</v>
      </c>
      <c r="T225">
        <v>3.7720661825836275</v>
      </c>
      <c r="U225">
        <v>-0.76973808770093599</v>
      </c>
      <c r="V225">
        <v>7.3889790919733231</v>
      </c>
      <c r="W225">
        <v>-0.83396945521764954</v>
      </c>
      <c r="X225">
        <v>0.84763309656086749</v>
      </c>
      <c r="Y225">
        <v>-0.56108832213434345</v>
      </c>
      <c r="Z225">
        <v>3.4402268214507384E-2</v>
      </c>
      <c r="AA225">
        <v>-0.26428877839542236</v>
      </c>
      <c r="AB225">
        <v>-1.4256576695115839E-3</v>
      </c>
      <c r="AC225">
        <v>-5.4199537696438229</v>
      </c>
      <c r="AD225">
        <v>29.387579935359149</v>
      </c>
      <c r="AE225">
        <v>7.7577523271112385</v>
      </c>
      <c r="AF225">
        <v>1.5347575614141911</v>
      </c>
      <c r="AG225">
        <v>17.801473872581766</v>
      </c>
      <c r="AH225">
        <v>2.4089807140656214</v>
      </c>
    </row>
    <row r="226" spans="1:34" x14ac:dyDescent="0.25">
      <c r="A226" t="s">
        <v>4</v>
      </c>
      <c r="B226">
        <v>5.0199999999999996</v>
      </c>
      <c r="C226" s="76">
        <v>3.5000000000000003E-2</v>
      </c>
      <c r="D226" s="76">
        <v>0.215</v>
      </c>
      <c r="E226" s="76">
        <v>8.5999999999999993E-2</v>
      </c>
      <c r="F226" s="76">
        <v>8.6999999999999994E-2</v>
      </c>
      <c r="G226" s="62">
        <v>0.39</v>
      </c>
      <c r="H226">
        <v>2.52</v>
      </c>
      <c r="I226">
        <v>4.0999999999999996</v>
      </c>
      <c r="J226">
        <v>25.6</v>
      </c>
      <c r="K226">
        <v>7.2</v>
      </c>
      <c r="L226">
        <v>0.78</v>
      </c>
      <c r="M226">
        <v>1.08</v>
      </c>
      <c r="N226" s="62">
        <v>0.65</v>
      </c>
      <c r="O226" s="62">
        <v>0.24</v>
      </c>
      <c r="P226" s="76">
        <v>0.10299999999999999</v>
      </c>
      <c r="Q226" s="62">
        <v>0.11</v>
      </c>
      <c r="S226">
        <v>2.6709058144046072</v>
      </c>
      <c r="T226">
        <v>14.247350661617498</v>
      </c>
      <c r="U226">
        <v>2.3668614248545548</v>
      </c>
      <c r="V226">
        <v>5.658356155516338</v>
      </c>
      <c r="W226">
        <v>0.71233434059383827</v>
      </c>
      <c r="X226">
        <v>1.1569087862657332</v>
      </c>
      <c r="Y226">
        <v>9.2503316866041935E-2</v>
      </c>
      <c r="Z226">
        <v>2.0092603130388544E-2</v>
      </c>
      <c r="AA226">
        <v>0.37897156381430164</v>
      </c>
      <c r="AB226">
        <v>0.27554879904387725</v>
      </c>
      <c r="AC226">
        <v>2.8650617583038129</v>
      </c>
      <c r="AD226">
        <v>12.099299257026898</v>
      </c>
      <c r="AE226">
        <v>9.5821331250504329</v>
      </c>
      <c r="AF226">
        <v>8.0139281909883486</v>
      </c>
      <c r="AG226">
        <v>35.937488301154765</v>
      </c>
      <c r="AH226">
        <v>5.040592491095925</v>
      </c>
    </row>
    <row r="227" spans="1:34" x14ac:dyDescent="0.25">
      <c r="A227" t="s">
        <v>10</v>
      </c>
      <c r="B227">
        <v>5.28</v>
      </c>
      <c r="C227" s="76">
        <v>0.04</v>
      </c>
      <c r="D227" s="76">
        <v>0.23300000000000001</v>
      </c>
      <c r="E227" s="76">
        <v>9.8000000000000004E-2</v>
      </c>
      <c r="F227" s="76">
        <v>8.7999999999999995E-2</v>
      </c>
      <c r="G227" s="62">
        <v>0.39</v>
      </c>
      <c r="H227">
        <v>2.37</v>
      </c>
      <c r="I227">
        <v>3.8</v>
      </c>
      <c r="J227">
        <v>22.3</v>
      </c>
      <c r="K227">
        <v>6.7</v>
      </c>
      <c r="L227">
        <v>0.69</v>
      </c>
      <c r="M227">
        <v>0.96</v>
      </c>
      <c r="N227" s="62">
        <v>0.62</v>
      </c>
      <c r="O227" s="62">
        <v>0.27</v>
      </c>
      <c r="P227" s="76">
        <v>0.114</v>
      </c>
      <c r="Q227" s="62">
        <v>0.1</v>
      </c>
      <c r="S227">
        <v>0.98898353095341474</v>
      </c>
      <c r="T227">
        <v>7.8142540656120363E-2</v>
      </c>
      <c r="U227" t="e">
        <v>#N/A</v>
      </c>
      <c r="V227" t="e">
        <v>#N/A</v>
      </c>
      <c r="W227" t="e">
        <v>#N/A</v>
      </c>
      <c r="X227" t="e">
        <v>#N/A</v>
      </c>
      <c r="Y227" t="e">
        <v>#N/A</v>
      </c>
      <c r="Z227" t="e">
        <v>#N/A</v>
      </c>
      <c r="AA227" t="e">
        <v>#N/A</v>
      </c>
      <c r="AB227" t="e">
        <v>#N/A</v>
      </c>
      <c r="AC227" t="e">
        <v>#N/A</v>
      </c>
      <c r="AD227" t="e">
        <v>#N/A</v>
      </c>
      <c r="AE227" t="e">
        <v>#N/A</v>
      </c>
      <c r="AF227" t="e">
        <v>#N/A</v>
      </c>
      <c r="AG227" t="e">
        <v>#N/A</v>
      </c>
      <c r="AH227" t="e">
        <v>#N/A</v>
      </c>
    </row>
    <row r="228" spans="1:34" x14ac:dyDescent="0.25">
      <c r="A228" t="s">
        <v>8</v>
      </c>
      <c r="B228">
        <v>4.5</v>
      </c>
      <c r="C228" s="76">
        <v>3.4000000000000002E-2</v>
      </c>
      <c r="D228" s="76">
        <v>0.23200000000000001</v>
      </c>
      <c r="E228" s="76">
        <v>7.4999999999999997E-2</v>
      </c>
      <c r="F228" s="76">
        <v>7.9000000000000001E-2</v>
      </c>
      <c r="G228" s="62">
        <v>0.36</v>
      </c>
      <c r="H228">
        <v>3.11</v>
      </c>
      <c r="I228">
        <v>3.9</v>
      </c>
      <c r="J228">
        <v>26.3</v>
      </c>
      <c r="K228">
        <v>8</v>
      </c>
      <c r="L228">
        <v>0.8</v>
      </c>
      <c r="M228">
        <v>1.07</v>
      </c>
      <c r="N228" s="62">
        <v>0.64</v>
      </c>
      <c r="O228" s="62">
        <v>0.24</v>
      </c>
      <c r="P228" s="76">
        <v>0.105</v>
      </c>
      <c r="Q228" s="62">
        <v>0.12</v>
      </c>
      <c r="S228">
        <v>95.758065664178162</v>
      </c>
      <c r="T228">
        <v>16</v>
      </c>
      <c r="U228" t="e">
        <v>#N/A</v>
      </c>
      <c r="V228" t="e">
        <v>#N/A</v>
      </c>
      <c r="W228" t="e">
        <v>#N/A</v>
      </c>
      <c r="X228" t="e">
        <v>#N/A</v>
      </c>
      <c r="Y228" t="e">
        <v>#N/A</v>
      </c>
      <c r="Z228" t="e">
        <v>#N/A</v>
      </c>
      <c r="AA228" t="e">
        <v>#N/A</v>
      </c>
      <c r="AB228" t="e">
        <v>#N/A</v>
      </c>
      <c r="AC228" t="e">
        <v>#N/A</v>
      </c>
      <c r="AD228" t="e">
        <v>#N/A</v>
      </c>
      <c r="AE228" t="e">
        <v>#N/A</v>
      </c>
      <c r="AF228" t="e">
        <v>#N/A</v>
      </c>
      <c r="AG228" t="e">
        <v>#N/A</v>
      </c>
      <c r="AH228" t="e">
        <v>#N/A</v>
      </c>
    </row>
    <row r="229" spans="1:34" x14ac:dyDescent="0.25">
      <c r="A229" t="s">
        <v>9</v>
      </c>
      <c r="B229">
        <v>5.56</v>
      </c>
      <c r="C229" s="76">
        <v>3.7999999999999999E-2</v>
      </c>
      <c r="D229" s="76">
        <v>0.21299999999999999</v>
      </c>
      <c r="E229" s="76">
        <v>9.0999999999999998E-2</v>
      </c>
      <c r="F229" s="76">
        <v>9.5000000000000001E-2</v>
      </c>
      <c r="G229" s="62">
        <v>0.4</v>
      </c>
      <c r="H229">
        <v>2.34</v>
      </c>
      <c r="I229">
        <v>4.2</v>
      </c>
      <c r="J229">
        <v>23.6</v>
      </c>
      <c r="K229">
        <v>6.7</v>
      </c>
      <c r="L229">
        <v>0.76</v>
      </c>
      <c r="M229">
        <v>1.05</v>
      </c>
      <c r="N229" s="62">
        <v>0.65</v>
      </c>
      <c r="O229" s="62">
        <v>0.25</v>
      </c>
      <c r="P229" s="76">
        <v>0.109</v>
      </c>
      <c r="Q229" s="62">
        <v>0.1</v>
      </c>
      <c r="S229">
        <v>8.770849893436905</v>
      </c>
      <c r="T229">
        <v>9.7700106563094774E-2</v>
      </c>
      <c r="U229" t="e">
        <v>#N/A</v>
      </c>
      <c r="V229" t="e">
        <v>#N/A</v>
      </c>
      <c r="W229" t="e">
        <v>#N/A</v>
      </c>
      <c r="X229" t="e">
        <v>#N/A</v>
      </c>
      <c r="Y229" t="e">
        <v>#N/A</v>
      </c>
      <c r="Z229" t="e">
        <v>#N/A</v>
      </c>
      <c r="AA229" t="e">
        <v>#N/A</v>
      </c>
      <c r="AB229" t="e">
        <v>#N/A</v>
      </c>
      <c r="AC229" t="e">
        <v>#N/A</v>
      </c>
      <c r="AD229" t="e">
        <v>#N/A</v>
      </c>
      <c r="AE229" t="e">
        <v>#N/A</v>
      </c>
      <c r="AF229" t="e">
        <v>#N/A</v>
      </c>
      <c r="AG229" t="e">
        <v>#N/A</v>
      </c>
      <c r="AH229" t="e">
        <v>#N/A</v>
      </c>
    </row>
    <row r="230" spans="1:34" x14ac:dyDescent="0.25">
      <c r="A230" t="s">
        <v>31</v>
      </c>
      <c r="B230">
        <v>5.0199999999999996</v>
      </c>
      <c r="C230" s="76">
        <v>4.1000000000000002E-2</v>
      </c>
      <c r="D230" s="76">
        <v>0.23599999999999999</v>
      </c>
      <c r="E230" s="76">
        <v>9.4E-2</v>
      </c>
      <c r="F230" s="76">
        <v>8.8999999999999996E-2</v>
      </c>
      <c r="G230" s="62">
        <v>0.4</v>
      </c>
      <c r="H230">
        <v>2.5099999999999998</v>
      </c>
      <c r="I230">
        <v>3.7</v>
      </c>
      <c r="J230">
        <v>21.3</v>
      </c>
      <c r="K230">
        <v>7</v>
      </c>
      <c r="L230">
        <v>0.85</v>
      </c>
      <c r="M230">
        <v>1.25</v>
      </c>
      <c r="N230" s="62">
        <v>0.61</v>
      </c>
      <c r="O230" s="62">
        <v>0.25</v>
      </c>
      <c r="P230" s="76">
        <v>0.13200000000000001</v>
      </c>
      <c r="Q230" s="62">
        <v>0.1</v>
      </c>
    </row>
    <row r="231" spans="1:34" x14ac:dyDescent="0.25">
      <c r="A231" t="s">
        <v>32</v>
      </c>
      <c r="B231">
        <v>4.4000000000000004</v>
      </c>
      <c r="C231" s="76">
        <v>0.03</v>
      </c>
      <c r="D231" s="76">
        <v>0.25600000000000001</v>
      </c>
      <c r="E231" s="76">
        <v>6.3E-2</v>
      </c>
      <c r="F231" s="76">
        <v>7.6999999999999999E-2</v>
      </c>
      <c r="G231" s="62">
        <v>0.32</v>
      </c>
      <c r="H231">
        <v>4.0999999999999996</v>
      </c>
      <c r="I231">
        <v>3.6</v>
      </c>
      <c r="J231">
        <v>30.4</v>
      </c>
      <c r="K231">
        <v>8.1999999999999993</v>
      </c>
      <c r="L231">
        <v>0.87</v>
      </c>
      <c r="M231">
        <v>1.1299999999999999</v>
      </c>
      <c r="N231" s="62">
        <v>0.63</v>
      </c>
      <c r="O231" s="62">
        <v>0.26</v>
      </c>
      <c r="P231" s="76">
        <v>9.5000000000000001E-2</v>
      </c>
      <c r="Q231" s="62">
        <v>0.11</v>
      </c>
    </row>
    <row r="232" spans="1:34" x14ac:dyDescent="0.25">
      <c r="A232" t="s">
        <v>12</v>
      </c>
      <c r="B232">
        <v>4.33</v>
      </c>
      <c r="C232" s="76">
        <v>3.6999999999999998E-2</v>
      </c>
      <c r="D232" s="76">
        <v>0.23499999999999999</v>
      </c>
      <c r="E232" s="76">
        <v>8.1000000000000003E-2</v>
      </c>
      <c r="F232" s="76">
        <v>0.08</v>
      </c>
      <c r="G232" s="62">
        <v>0.37</v>
      </c>
      <c r="H232">
        <v>2.92</v>
      </c>
      <c r="I232">
        <v>3.8</v>
      </c>
      <c r="J232">
        <v>24</v>
      </c>
      <c r="K232">
        <v>8</v>
      </c>
      <c r="L232">
        <v>0.72</v>
      </c>
      <c r="M232">
        <v>1.02</v>
      </c>
      <c r="N232" s="62">
        <v>0.63</v>
      </c>
      <c r="O232" s="62">
        <v>0.25</v>
      </c>
      <c r="P232" s="76">
        <v>0.111</v>
      </c>
      <c r="Q232" s="62">
        <v>0.12</v>
      </c>
    </row>
    <row r="233" spans="1:34" x14ac:dyDescent="0.25">
      <c r="A233" t="s">
        <v>3</v>
      </c>
      <c r="B233">
        <v>4.75</v>
      </c>
      <c r="C233" s="76">
        <v>3.5999999999999997E-2</v>
      </c>
      <c r="D233" s="76">
        <v>0.218</v>
      </c>
      <c r="E233" s="76">
        <v>9.1999999999999998E-2</v>
      </c>
      <c r="F233" s="76">
        <v>8.5999999999999993E-2</v>
      </c>
      <c r="G233" s="62">
        <v>0.39</v>
      </c>
      <c r="H233">
        <v>2.37</v>
      </c>
      <c r="I233">
        <v>4.0999999999999996</v>
      </c>
      <c r="J233">
        <v>24.3</v>
      </c>
      <c r="K233">
        <v>7.4</v>
      </c>
      <c r="L233">
        <v>0.76</v>
      </c>
      <c r="M233">
        <v>1</v>
      </c>
      <c r="N233" s="62">
        <v>0.64</v>
      </c>
      <c r="O233" s="62">
        <v>0.24</v>
      </c>
      <c r="P233" s="76">
        <v>0.109</v>
      </c>
      <c r="Q233" s="62">
        <v>0.12</v>
      </c>
    </row>
    <row r="234" spans="1:34" x14ac:dyDescent="0.25">
      <c r="A234" t="s">
        <v>11</v>
      </c>
      <c r="B234">
        <v>5.15</v>
      </c>
      <c r="C234" s="76">
        <v>3.5999999999999997E-2</v>
      </c>
      <c r="D234" s="76">
        <v>0.23899999999999999</v>
      </c>
      <c r="E234" s="76">
        <v>7.8E-2</v>
      </c>
      <c r="F234" s="76">
        <v>9.4E-2</v>
      </c>
      <c r="G234" s="62">
        <v>0.39</v>
      </c>
      <c r="H234">
        <v>3.07</v>
      </c>
      <c r="I234">
        <v>3.8</v>
      </c>
      <c r="J234">
        <v>25.3</v>
      </c>
      <c r="K234">
        <v>7</v>
      </c>
      <c r="L234">
        <v>0.75</v>
      </c>
      <c r="M234">
        <v>1.1000000000000001</v>
      </c>
      <c r="N234" s="62">
        <v>0.63</v>
      </c>
      <c r="O234" s="62">
        <v>0.26</v>
      </c>
      <c r="P234" s="76">
        <v>0.105</v>
      </c>
      <c r="Q234" s="62">
        <v>0.1</v>
      </c>
    </row>
    <row r="235" spans="1:34" x14ac:dyDescent="0.25">
      <c r="A235" t="s">
        <v>2</v>
      </c>
      <c r="B235">
        <v>3.61</v>
      </c>
      <c r="C235" s="76">
        <v>2.5000000000000001E-2</v>
      </c>
      <c r="D235" s="76">
        <v>0.26400000000000001</v>
      </c>
      <c r="E235" s="76">
        <v>6.5000000000000002E-2</v>
      </c>
      <c r="F235" s="76">
        <v>0.08</v>
      </c>
      <c r="G235" s="62">
        <v>0.36</v>
      </c>
      <c r="H235">
        <v>4.08</v>
      </c>
      <c r="I235">
        <v>3.5</v>
      </c>
      <c r="J235">
        <v>37.200000000000003</v>
      </c>
      <c r="K235">
        <v>10</v>
      </c>
      <c r="L235">
        <v>0.73</v>
      </c>
      <c r="M235">
        <v>0.95</v>
      </c>
      <c r="N235" s="62">
        <v>0.64</v>
      </c>
      <c r="O235" s="62">
        <v>0.26</v>
      </c>
      <c r="P235" s="76">
        <v>7.3999999999999996E-2</v>
      </c>
      <c r="Q235" s="62">
        <v>0.12</v>
      </c>
    </row>
    <row r="236" spans="1:34" x14ac:dyDescent="0.25">
      <c r="A236" t="s">
        <v>16</v>
      </c>
      <c r="B236">
        <v>5.68</v>
      </c>
      <c r="C236" s="76">
        <v>4.4999999999999998E-2</v>
      </c>
      <c r="D236" s="76">
        <v>0.182</v>
      </c>
      <c r="E236" s="76">
        <v>0.10100000000000001</v>
      </c>
      <c r="F236" s="76">
        <v>0.1</v>
      </c>
      <c r="G236" s="62">
        <v>0.42</v>
      </c>
      <c r="H236">
        <v>1.81</v>
      </c>
      <c r="I236">
        <v>4.8</v>
      </c>
      <c r="J236">
        <v>19.5</v>
      </c>
      <c r="K236">
        <v>6.3</v>
      </c>
      <c r="L236">
        <v>0.71</v>
      </c>
      <c r="M236">
        <v>0.99</v>
      </c>
      <c r="N236" s="62">
        <v>0.66</v>
      </c>
      <c r="O236" s="62">
        <v>0.26</v>
      </c>
      <c r="P236" s="76">
        <v>0.126</v>
      </c>
      <c r="Q236" s="62">
        <v>0.13</v>
      </c>
    </row>
    <row r="237" spans="1:34" x14ac:dyDescent="0.25">
      <c r="A237" t="s">
        <v>30</v>
      </c>
      <c r="B237">
        <v>4.2699999999999996</v>
      </c>
      <c r="C237" s="76">
        <v>2.7E-2</v>
      </c>
      <c r="D237" s="76">
        <v>0.23100000000000001</v>
      </c>
      <c r="E237" s="76">
        <v>7.4999999999999997E-2</v>
      </c>
      <c r="F237" s="76">
        <v>7.9000000000000001E-2</v>
      </c>
      <c r="G237" s="62">
        <v>0.36</v>
      </c>
      <c r="H237">
        <v>3.08</v>
      </c>
      <c r="I237">
        <v>3.9</v>
      </c>
      <c r="J237">
        <v>33.9</v>
      </c>
      <c r="K237">
        <v>8.4</v>
      </c>
      <c r="L237">
        <v>0.81</v>
      </c>
      <c r="M237">
        <v>1.08</v>
      </c>
      <c r="N237" s="62">
        <v>0.65</v>
      </c>
      <c r="O237" s="62">
        <v>0.25</v>
      </c>
      <c r="P237" s="76">
        <v>0.08</v>
      </c>
      <c r="Q237" s="62">
        <v>0.11</v>
      </c>
    </row>
    <row r="238" spans="1:34" x14ac:dyDescent="0.25">
      <c r="A238" t="s">
        <v>7</v>
      </c>
      <c r="B238">
        <v>4.75</v>
      </c>
      <c r="C238" s="76">
        <v>3.5000000000000003E-2</v>
      </c>
      <c r="D238" s="76">
        <v>0.20399999999999999</v>
      </c>
      <c r="E238" s="76">
        <v>9.4E-2</v>
      </c>
      <c r="F238" s="76">
        <v>8.1000000000000003E-2</v>
      </c>
      <c r="G238" s="62">
        <v>0.37</v>
      </c>
      <c r="H238">
        <v>2.1800000000000002</v>
      </c>
      <c r="I238">
        <v>4.3</v>
      </c>
      <c r="J238">
        <v>25.2</v>
      </c>
      <c r="K238">
        <v>7.6</v>
      </c>
      <c r="L238">
        <v>0.76</v>
      </c>
      <c r="M238">
        <v>1.04</v>
      </c>
      <c r="N238" s="62">
        <v>0.65</v>
      </c>
      <c r="O238" s="62">
        <v>0.25</v>
      </c>
      <c r="P238" s="76">
        <v>0.10299999999999999</v>
      </c>
      <c r="Q238" s="62">
        <v>0.13</v>
      </c>
    </row>
    <row r="239" spans="1:34" x14ac:dyDescent="0.25">
      <c r="A239" t="s">
        <v>29</v>
      </c>
      <c r="B239">
        <v>5.47</v>
      </c>
      <c r="C239" s="76">
        <v>4.3999999999999997E-2</v>
      </c>
      <c r="D239" s="76">
        <v>0.216</v>
      </c>
      <c r="E239" s="76">
        <v>9.7000000000000003E-2</v>
      </c>
      <c r="F239" s="76">
        <v>9.6000000000000002E-2</v>
      </c>
      <c r="G239" s="62">
        <v>0.43</v>
      </c>
      <c r="H239">
        <v>2.23</v>
      </c>
      <c r="I239">
        <v>4.0999999999999996</v>
      </c>
      <c r="J239">
        <v>19.7</v>
      </c>
      <c r="K239">
        <v>6.4</v>
      </c>
      <c r="L239">
        <v>0.69</v>
      </c>
      <c r="M239">
        <v>0.94</v>
      </c>
      <c r="N239" s="62">
        <v>0.62</v>
      </c>
      <c r="O239" s="62">
        <v>0.25</v>
      </c>
      <c r="P239" s="76">
        <v>0.127</v>
      </c>
      <c r="Q239" s="62">
        <v>0.11</v>
      </c>
    </row>
    <row r="240" spans="1:34" x14ac:dyDescent="0.25">
      <c r="A240" t="s">
        <v>5</v>
      </c>
      <c r="B240">
        <v>3.8</v>
      </c>
      <c r="C240" s="76">
        <v>2.4E-2</v>
      </c>
      <c r="D240" s="76">
        <v>0.24299999999999999</v>
      </c>
      <c r="E240" s="76">
        <v>6.5000000000000002E-2</v>
      </c>
      <c r="F240" s="76">
        <v>7.0999999999999994E-2</v>
      </c>
      <c r="G240" s="62">
        <v>0.32</v>
      </c>
      <c r="H240">
        <v>3.72</v>
      </c>
      <c r="I240">
        <v>3.8</v>
      </c>
      <c r="J240">
        <v>37.799999999999997</v>
      </c>
      <c r="K240">
        <v>9.3000000000000007</v>
      </c>
      <c r="L240">
        <v>0.95</v>
      </c>
      <c r="M240">
        <v>1.28</v>
      </c>
      <c r="N240" s="62">
        <v>0.65</v>
      </c>
      <c r="O240" s="62">
        <v>0.24</v>
      </c>
      <c r="P240" s="76">
        <v>7.8E-2</v>
      </c>
      <c r="Q240" s="62">
        <v>0.1</v>
      </c>
    </row>
    <row r="241" spans="1:17" x14ac:dyDescent="0.25">
      <c r="A241" t="s">
        <v>6</v>
      </c>
      <c r="B241">
        <v>4.75</v>
      </c>
      <c r="C241" s="76">
        <v>0.04</v>
      </c>
      <c r="D241" s="76">
        <v>0.248</v>
      </c>
      <c r="E241" s="76">
        <v>0.1</v>
      </c>
      <c r="F241" s="76">
        <v>8.6999999999999994E-2</v>
      </c>
      <c r="G241" s="62">
        <v>0.4</v>
      </c>
      <c r="H241">
        <v>2.48</v>
      </c>
      <c r="I241">
        <v>3.5</v>
      </c>
      <c r="J241">
        <v>22.2</v>
      </c>
      <c r="K241">
        <v>7.4</v>
      </c>
      <c r="L241">
        <v>0.78</v>
      </c>
      <c r="M241">
        <v>1.07</v>
      </c>
      <c r="N241" s="62">
        <v>0.6</v>
      </c>
      <c r="O241" s="62">
        <v>0.24</v>
      </c>
      <c r="P241" s="76">
        <v>0.125</v>
      </c>
      <c r="Q241" s="62">
        <v>0.11</v>
      </c>
    </row>
    <row r="242" spans="1:17" x14ac:dyDescent="0.25">
      <c r="A242" t="s">
        <v>13</v>
      </c>
      <c r="B242">
        <v>5.8</v>
      </c>
      <c r="C242" s="76">
        <v>4.8000000000000001E-2</v>
      </c>
      <c r="D242" s="76">
        <v>0.20899999999999999</v>
      </c>
      <c r="E242" s="76">
        <v>8.2000000000000003E-2</v>
      </c>
      <c r="F242" s="76">
        <v>0.10100000000000001</v>
      </c>
      <c r="G242" s="62">
        <v>0.42</v>
      </c>
      <c r="H242">
        <v>2.54</v>
      </c>
      <c r="I242">
        <v>4.3</v>
      </c>
      <c r="J242">
        <v>18.7</v>
      </c>
      <c r="K242">
        <v>6.3</v>
      </c>
      <c r="L242">
        <v>0.63</v>
      </c>
      <c r="M242">
        <v>0.86</v>
      </c>
      <c r="N242" s="62">
        <v>0.65</v>
      </c>
      <c r="O242" s="62">
        <v>0.27</v>
      </c>
      <c r="P242" s="76">
        <v>0.129</v>
      </c>
      <c r="Q242" s="62">
        <v>0.12</v>
      </c>
    </row>
    <row r="243" spans="1:17" x14ac:dyDescent="0.25">
      <c r="A243" t="s">
        <v>27</v>
      </c>
      <c r="B243">
        <v>4.88</v>
      </c>
      <c r="C243" s="76">
        <v>3.9E-2</v>
      </c>
      <c r="D243" s="76">
        <v>0.22</v>
      </c>
      <c r="E243" s="76">
        <v>8.2000000000000003E-2</v>
      </c>
      <c r="F243" s="76">
        <v>8.5999999999999993E-2</v>
      </c>
      <c r="G243" s="62">
        <v>0.37</v>
      </c>
      <c r="H243">
        <v>2.68</v>
      </c>
      <c r="I243">
        <v>4.0999999999999996</v>
      </c>
      <c r="J243">
        <v>23.2</v>
      </c>
      <c r="K243">
        <v>7.3</v>
      </c>
      <c r="L243">
        <v>0.83</v>
      </c>
      <c r="M243">
        <v>1.1599999999999999</v>
      </c>
      <c r="N243" s="62">
        <v>0.64</v>
      </c>
      <c r="O243" s="62">
        <v>0.25</v>
      </c>
      <c r="P243" s="76">
        <v>0.11600000000000001</v>
      </c>
      <c r="Q243" s="62">
        <v>0.1</v>
      </c>
    </row>
    <row r="244" spans="1:17" x14ac:dyDescent="0.25">
      <c r="A244" t="s">
        <v>28</v>
      </c>
      <c r="B244">
        <v>5.82</v>
      </c>
      <c r="C244" s="76">
        <v>4.9000000000000002E-2</v>
      </c>
      <c r="D244" s="76">
        <v>0.23</v>
      </c>
      <c r="E244" s="76">
        <v>9.0999999999999998E-2</v>
      </c>
      <c r="F244" s="76">
        <v>9.8000000000000004E-2</v>
      </c>
      <c r="G244" s="62">
        <v>0.41</v>
      </c>
      <c r="H244">
        <v>2.5299999999999998</v>
      </c>
      <c r="I244">
        <v>3.9</v>
      </c>
      <c r="J244">
        <v>18.2</v>
      </c>
      <c r="K244">
        <v>6.2</v>
      </c>
      <c r="L244">
        <v>0.72</v>
      </c>
      <c r="M244">
        <v>1.01</v>
      </c>
      <c r="N244" s="62">
        <v>0.62</v>
      </c>
      <c r="O244" s="62">
        <v>0.25</v>
      </c>
      <c r="P244" s="76">
        <v>0.14399999999999999</v>
      </c>
      <c r="Q244" s="62">
        <v>0.12</v>
      </c>
    </row>
    <row r="245" spans="1:17" x14ac:dyDescent="0.25">
      <c r="A245" t="s">
        <v>17</v>
      </c>
      <c r="B245">
        <v>5.22</v>
      </c>
      <c r="C245" s="76">
        <v>4.1000000000000002E-2</v>
      </c>
      <c r="D245" s="76">
        <v>0.21299999999999999</v>
      </c>
      <c r="E245" s="76">
        <v>9.1999999999999998E-2</v>
      </c>
      <c r="F245" s="76">
        <v>9.0999999999999998E-2</v>
      </c>
      <c r="G245" s="62">
        <v>0.41</v>
      </c>
      <c r="H245">
        <v>2.31</v>
      </c>
      <c r="I245">
        <v>4.2</v>
      </c>
      <c r="J245">
        <v>21.6</v>
      </c>
      <c r="K245">
        <v>7</v>
      </c>
      <c r="L245">
        <v>0.71</v>
      </c>
      <c r="M245">
        <v>0.95</v>
      </c>
      <c r="N245" s="62">
        <v>0.64</v>
      </c>
      <c r="O245" s="62">
        <v>0.25</v>
      </c>
      <c r="P245" s="76">
        <v>0.11799999999999999</v>
      </c>
      <c r="Q245" s="62">
        <v>0.12</v>
      </c>
    </row>
    <row r="246" spans="1:17" x14ac:dyDescent="0.25">
      <c r="A246" t="s">
        <v>15</v>
      </c>
      <c r="B246">
        <v>4.78</v>
      </c>
      <c r="C246" s="76">
        <v>3.4000000000000002E-2</v>
      </c>
      <c r="D246" s="76">
        <v>0.23200000000000001</v>
      </c>
      <c r="E246" s="76">
        <v>0.09</v>
      </c>
      <c r="F246" s="76">
        <v>8.7999999999999995E-2</v>
      </c>
      <c r="G246" s="62">
        <v>0.4</v>
      </c>
      <c r="H246">
        <v>2.59</v>
      </c>
      <c r="I246">
        <v>3.8</v>
      </c>
      <c r="J246">
        <v>25.9</v>
      </c>
      <c r="K246">
        <v>7.5</v>
      </c>
      <c r="L246">
        <v>0.75</v>
      </c>
      <c r="M246">
        <v>0.99</v>
      </c>
      <c r="N246" s="62">
        <v>0.63</v>
      </c>
      <c r="O246" s="62">
        <v>0.25</v>
      </c>
      <c r="P246" s="76">
        <v>0.106</v>
      </c>
      <c r="Q246" s="62">
        <v>0.14000000000000001</v>
      </c>
    </row>
    <row r="247" spans="1:17" x14ac:dyDescent="0.25">
      <c r="A247" t="s">
        <v>14</v>
      </c>
      <c r="B247">
        <v>4.68</v>
      </c>
      <c r="C247" s="76">
        <v>2.5999999999999999E-2</v>
      </c>
      <c r="D247" s="76">
        <v>0.19500000000000001</v>
      </c>
      <c r="E247" s="76">
        <v>6.8000000000000005E-2</v>
      </c>
      <c r="F247" s="76">
        <v>8.3000000000000004E-2</v>
      </c>
      <c r="G247" s="62">
        <v>0.35</v>
      </c>
      <c r="H247">
        <v>2.85</v>
      </c>
      <c r="I247">
        <v>4.7</v>
      </c>
      <c r="J247">
        <v>34.700000000000003</v>
      </c>
      <c r="K247">
        <v>7.8</v>
      </c>
      <c r="L247">
        <v>0.88</v>
      </c>
      <c r="M247">
        <v>1.24</v>
      </c>
      <c r="N247" s="62">
        <v>0.69</v>
      </c>
      <c r="O247" s="62">
        <v>0.26</v>
      </c>
      <c r="P247" s="76">
        <v>7.6999999999999999E-2</v>
      </c>
      <c r="Q247" s="62">
        <v>0.1</v>
      </c>
    </row>
    <row r="248" spans="1:17" x14ac:dyDescent="0.25">
      <c r="A248" t="s">
        <v>26</v>
      </c>
      <c r="B248">
        <v>4.21</v>
      </c>
      <c r="C248" s="76">
        <v>3.5999999999999997E-2</v>
      </c>
      <c r="D248" s="76">
        <v>0.26300000000000001</v>
      </c>
      <c r="E248" s="76">
        <v>8.4000000000000005E-2</v>
      </c>
      <c r="F248" s="76">
        <v>7.8E-2</v>
      </c>
      <c r="G248" s="62">
        <v>0.37</v>
      </c>
      <c r="H248">
        <v>3.14</v>
      </c>
      <c r="I248">
        <v>3.4</v>
      </c>
      <c r="J248">
        <v>24.6</v>
      </c>
      <c r="K248">
        <v>8.3000000000000007</v>
      </c>
      <c r="L248">
        <v>0.86</v>
      </c>
      <c r="M248">
        <v>1.19</v>
      </c>
      <c r="N248" s="62">
        <v>0.6</v>
      </c>
      <c r="O248" s="62">
        <v>0.22</v>
      </c>
      <c r="P248" s="76">
        <v>0.123</v>
      </c>
      <c r="Q248" s="62">
        <v>0.13</v>
      </c>
    </row>
    <row r="249" spans="1:17" x14ac:dyDescent="0.25">
      <c r="A249" t="s">
        <v>1</v>
      </c>
      <c r="B249">
        <v>4.68</v>
      </c>
      <c r="C249" s="76">
        <v>3.9E-2</v>
      </c>
      <c r="D249" s="76">
        <v>0.255</v>
      </c>
      <c r="E249" s="76">
        <v>9.5000000000000001E-2</v>
      </c>
      <c r="F249" s="76">
        <v>8.4000000000000005E-2</v>
      </c>
      <c r="G249" s="62">
        <v>0.4</v>
      </c>
      <c r="H249">
        <v>2.69</v>
      </c>
      <c r="I249">
        <v>3.5</v>
      </c>
      <c r="J249">
        <v>23</v>
      </c>
      <c r="K249">
        <v>7.5</v>
      </c>
      <c r="L249">
        <v>0.69</v>
      </c>
      <c r="M249">
        <v>0.93</v>
      </c>
      <c r="N249" s="62">
        <v>0.6</v>
      </c>
      <c r="O249" s="62">
        <v>0.25</v>
      </c>
      <c r="P249" s="76">
        <v>0.11799999999999999</v>
      </c>
      <c r="Q249" s="62">
        <v>0.13</v>
      </c>
    </row>
    <row r="250" spans="1:17" x14ac:dyDescent="0.25">
      <c r="A250" t="s">
        <v>25</v>
      </c>
      <c r="B250">
        <v>4.1900000000000004</v>
      </c>
      <c r="C250" s="76">
        <v>2.7E-2</v>
      </c>
      <c r="D250" s="76">
        <v>0.23300000000000001</v>
      </c>
      <c r="E250" s="76">
        <v>7.6999999999999999E-2</v>
      </c>
      <c r="F250" s="76">
        <v>0.08</v>
      </c>
      <c r="G250" s="62">
        <v>0.37</v>
      </c>
      <c r="H250">
        <v>3.02</v>
      </c>
      <c r="I250">
        <v>3.9</v>
      </c>
      <c r="J250">
        <v>33.4</v>
      </c>
      <c r="K250">
        <v>8.5</v>
      </c>
      <c r="L250">
        <v>0.76</v>
      </c>
      <c r="M250">
        <v>1.03</v>
      </c>
      <c r="N250" s="62">
        <v>0.65</v>
      </c>
      <c r="O250" s="62">
        <v>0.26</v>
      </c>
      <c r="P250" s="76">
        <v>7.9000000000000001E-2</v>
      </c>
      <c r="Q250" s="62">
        <v>0.1</v>
      </c>
    </row>
    <row r="251" spans="1:17" x14ac:dyDescent="0.25">
      <c r="A251" t="s">
        <v>24</v>
      </c>
      <c r="B251">
        <v>4.72</v>
      </c>
      <c r="C251" s="76">
        <v>3.4000000000000002E-2</v>
      </c>
      <c r="D251" s="76">
        <v>0.23</v>
      </c>
      <c r="E251" s="76">
        <v>9.0999999999999998E-2</v>
      </c>
      <c r="F251" s="76">
        <v>7.8E-2</v>
      </c>
      <c r="G251" s="62">
        <v>0.36</v>
      </c>
      <c r="H251">
        <v>2.5299999999999998</v>
      </c>
      <c r="I251">
        <v>3.8</v>
      </c>
      <c r="J251">
        <v>25.9</v>
      </c>
      <c r="K251">
        <v>7.6</v>
      </c>
      <c r="L251">
        <v>0.71</v>
      </c>
      <c r="M251">
        <v>0.96</v>
      </c>
      <c r="N251" s="62">
        <v>0.63</v>
      </c>
      <c r="O251" s="62">
        <v>0.25</v>
      </c>
      <c r="P251" s="76">
        <v>0.10100000000000001</v>
      </c>
      <c r="Q251" s="62">
        <v>0.12</v>
      </c>
    </row>
    <row r="252" spans="1:17" x14ac:dyDescent="0.25">
      <c r="A252" t="s">
        <v>23</v>
      </c>
      <c r="B252">
        <v>4.75</v>
      </c>
      <c r="C252" s="76">
        <v>3.5000000000000003E-2</v>
      </c>
      <c r="D252" s="76">
        <v>0.23799999999999999</v>
      </c>
      <c r="E252" s="76">
        <v>8.5999999999999993E-2</v>
      </c>
      <c r="F252" s="76">
        <v>8.5000000000000006E-2</v>
      </c>
      <c r="G252" s="62">
        <v>0.38</v>
      </c>
      <c r="H252">
        <v>2.75</v>
      </c>
      <c r="I252">
        <v>3.8</v>
      </c>
      <c r="J252">
        <v>25.9</v>
      </c>
      <c r="K252">
        <v>7.7</v>
      </c>
      <c r="L252">
        <v>0.81</v>
      </c>
      <c r="M252">
        <v>1.1100000000000001</v>
      </c>
      <c r="N252" s="62">
        <v>0.63</v>
      </c>
      <c r="O252" s="62">
        <v>0.26</v>
      </c>
      <c r="P252" s="76">
        <v>0.106</v>
      </c>
      <c r="Q252" s="62">
        <v>0.11</v>
      </c>
    </row>
    <row r="253" spans="1:17" x14ac:dyDescent="0.25">
      <c r="A253" t="s">
        <v>19</v>
      </c>
      <c r="B253">
        <v>5</v>
      </c>
      <c r="C253" s="76">
        <v>3.5999999999999997E-2</v>
      </c>
      <c r="D253" s="76">
        <v>0.254</v>
      </c>
      <c r="E253" s="76">
        <v>8.5999999999999993E-2</v>
      </c>
      <c r="F253" s="76">
        <v>8.7999999999999995E-2</v>
      </c>
      <c r="G253" s="62">
        <v>0.4</v>
      </c>
      <c r="H253">
        <v>2.96</v>
      </c>
      <c r="I253">
        <v>3.5</v>
      </c>
      <c r="J253">
        <v>24.8</v>
      </c>
      <c r="K253">
        <v>7.2</v>
      </c>
      <c r="L253">
        <v>0.77</v>
      </c>
      <c r="M253">
        <v>1.01</v>
      </c>
      <c r="N253" s="62">
        <v>0.61</v>
      </c>
      <c r="O253" s="62">
        <v>0.26</v>
      </c>
      <c r="P253" s="76">
        <v>0.112</v>
      </c>
      <c r="Q253" s="62">
        <v>0.11</v>
      </c>
    </row>
    <row r="254" spans="1:17" x14ac:dyDescent="0.25">
      <c r="A254" t="s">
        <v>18</v>
      </c>
      <c r="B254">
        <v>4.4800000000000004</v>
      </c>
      <c r="C254" s="76">
        <v>4.1000000000000002E-2</v>
      </c>
      <c r="D254" s="76">
        <v>0.249</v>
      </c>
      <c r="E254" s="76">
        <v>8.4000000000000005E-2</v>
      </c>
      <c r="F254" s="76">
        <v>8.7999999999999995E-2</v>
      </c>
      <c r="G254" s="62">
        <v>0.41</v>
      </c>
      <c r="H254">
        <v>2.97</v>
      </c>
      <c r="I254">
        <v>3.6</v>
      </c>
      <c r="J254">
        <v>22.2</v>
      </c>
      <c r="K254">
        <v>7.9</v>
      </c>
      <c r="L254">
        <v>0.67</v>
      </c>
      <c r="M254">
        <v>0.91</v>
      </c>
      <c r="N254" s="62">
        <v>0.62</v>
      </c>
      <c r="O254" s="62">
        <v>0.24</v>
      </c>
      <c r="P254" s="76">
        <v>0.12</v>
      </c>
      <c r="Q254" s="62">
        <v>0.13</v>
      </c>
    </row>
    <row r="255" spans="1:17" x14ac:dyDescent="0.25">
      <c r="A255" t="s">
        <v>22</v>
      </c>
      <c r="B255">
        <v>5.39</v>
      </c>
      <c r="C255" s="76">
        <v>3.6999999999999998E-2</v>
      </c>
      <c r="D255" s="76">
        <v>0.20899999999999999</v>
      </c>
      <c r="E255" s="76">
        <v>9.2999999999999999E-2</v>
      </c>
      <c r="F255" s="76">
        <v>8.8999999999999996E-2</v>
      </c>
      <c r="G255" s="62">
        <v>0.38</v>
      </c>
      <c r="H255">
        <v>2.2400000000000002</v>
      </c>
      <c r="I255">
        <v>4.2</v>
      </c>
      <c r="J255">
        <v>23.9</v>
      </c>
      <c r="K255">
        <v>6.7</v>
      </c>
      <c r="L255">
        <v>0.71</v>
      </c>
      <c r="M255">
        <v>0.98</v>
      </c>
      <c r="N255" s="62">
        <v>0.64</v>
      </c>
      <c r="O255" s="62">
        <v>0.25</v>
      </c>
      <c r="P255" s="76">
        <v>0.108</v>
      </c>
      <c r="Q255" s="62">
        <v>0.13</v>
      </c>
    </row>
    <row r="256" spans="1:17" x14ac:dyDescent="0.25">
      <c r="A256" t="s">
        <v>216</v>
      </c>
      <c r="B256">
        <v>4.83</v>
      </c>
      <c r="C256" s="76">
        <v>3.5999999999999997E-2</v>
      </c>
      <c r="D256" s="76">
        <v>0.23</v>
      </c>
      <c r="E256" s="76">
        <v>8.5000000000000006E-2</v>
      </c>
      <c r="F256" s="76">
        <v>8.5999999999999993E-2</v>
      </c>
      <c r="G256" s="62">
        <v>0.38</v>
      </c>
      <c r="H256">
        <v>2.69</v>
      </c>
      <c r="I256">
        <v>3.9</v>
      </c>
      <c r="J256">
        <v>24.6</v>
      </c>
      <c r="K256">
        <v>7.4</v>
      </c>
      <c r="L256">
        <v>0.76</v>
      </c>
      <c r="M256">
        <v>1.04</v>
      </c>
      <c r="N256" s="62">
        <v>0.63</v>
      </c>
      <c r="O256" s="62">
        <v>0.25</v>
      </c>
      <c r="P256" s="76">
        <v>0.109</v>
      </c>
      <c r="Q256" s="62">
        <v>0.12</v>
      </c>
    </row>
    <row r="257" spans="1:17" x14ac:dyDescent="0.25">
      <c r="B257">
        <v>4.83</v>
      </c>
      <c r="C257" s="76">
        <v>3.5999999999999997E-2</v>
      </c>
      <c r="D257" s="76">
        <v>0.23</v>
      </c>
      <c r="E257" s="76">
        <v>8.5000000000000006E-2</v>
      </c>
      <c r="F257" s="76">
        <v>8.5999999999999993E-2</v>
      </c>
      <c r="G257" s="62">
        <v>0.38</v>
      </c>
      <c r="H257">
        <v>2.69</v>
      </c>
      <c r="I257">
        <v>3.9</v>
      </c>
      <c r="J257">
        <v>24.6</v>
      </c>
      <c r="K257">
        <v>7.4</v>
      </c>
      <c r="L257">
        <v>0.76</v>
      </c>
      <c r="M257">
        <v>1.04</v>
      </c>
      <c r="N257" s="62">
        <v>0.63</v>
      </c>
      <c r="O257" s="62">
        <v>0.25</v>
      </c>
      <c r="P257" s="76">
        <v>0.109</v>
      </c>
      <c r="Q257" s="62">
        <v>0.12</v>
      </c>
    </row>
    <row r="258" spans="1:17" x14ac:dyDescent="0.25">
      <c r="A258" t="s">
        <v>131</v>
      </c>
      <c r="B258" t="s">
        <v>194</v>
      </c>
      <c r="C258" t="s">
        <v>1514</v>
      </c>
      <c r="D258" t="s">
        <v>1515</v>
      </c>
      <c r="E258" t="s">
        <v>1516</v>
      </c>
      <c r="F258" t="s">
        <v>1517</v>
      </c>
      <c r="G258" t="s">
        <v>1518</v>
      </c>
      <c r="H258" t="s">
        <v>321</v>
      </c>
      <c r="I258" t="s">
        <v>1519</v>
      </c>
      <c r="J258" t="s">
        <v>1520</v>
      </c>
      <c r="K258" t="s">
        <v>1521</v>
      </c>
      <c r="L258" t="s">
        <v>1522</v>
      </c>
      <c r="M258" t="s">
        <v>1523</v>
      </c>
      <c r="N258" t="s">
        <v>1524</v>
      </c>
      <c r="O258" t="s">
        <v>1525</v>
      </c>
      <c r="P258" t="s">
        <v>1526</v>
      </c>
      <c r="Q258" t="s">
        <v>1527</v>
      </c>
    </row>
    <row r="260" spans="1:17" x14ac:dyDescent="0.25">
      <c r="A260" t="s">
        <v>1528</v>
      </c>
    </row>
    <row r="262" spans="1:17" x14ac:dyDescent="0.25">
      <c r="A262" t="s">
        <v>1529</v>
      </c>
    </row>
    <row r="264" spans="1:17" x14ac:dyDescent="0.25">
      <c r="A264" t="s">
        <v>1530</v>
      </c>
    </row>
    <row r="266" spans="1:17" x14ac:dyDescent="0.25">
      <c r="A266" t="s">
        <v>70</v>
      </c>
    </row>
    <row r="268" spans="1:17" x14ac:dyDescent="0.25">
      <c r="A268" t="s">
        <v>69</v>
      </c>
    </row>
    <row r="270" spans="1:17" x14ac:dyDescent="0.25">
      <c r="A270" t="s">
        <v>71</v>
      </c>
    </row>
    <row r="272" spans="1:17" x14ac:dyDescent="0.25">
      <c r="A272" t="s">
        <v>72</v>
      </c>
    </row>
    <row r="274" spans="1:1" x14ac:dyDescent="0.25">
      <c r="A274" t="s">
        <v>73</v>
      </c>
    </row>
    <row r="276" spans="1:1" x14ac:dyDescent="0.25">
      <c r="A276" t="s">
        <v>74</v>
      </c>
    </row>
    <row r="278" spans="1:1" x14ac:dyDescent="0.25">
      <c r="A278" t="s">
        <v>75</v>
      </c>
    </row>
    <row r="280" spans="1:1" x14ac:dyDescent="0.25">
      <c r="A280" t="s">
        <v>35</v>
      </c>
    </row>
    <row r="282" spans="1:1" x14ac:dyDescent="0.25">
      <c r="A282" t="s">
        <v>76</v>
      </c>
    </row>
    <row r="284" spans="1:1" x14ac:dyDescent="0.25">
      <c r="A284" t="s">
        <v>74</v>
      </c>
    </row>
    <row r="285" spans="1:1" x14ac:dyDescent="0.25">
      <c r="A285" t="s">
        <v>77</v>
      </c>
    </row>
    <row r="286" spans="1:1" x14ac:dyDescent="0.25">
      <c r="A286" t="s">
        <v>78</v>
      </c>
    </row>
    <row r="287" spans="1:1" x14ac:dyDescent="0.25">
      <c r="A287" t="s">
        <v>34</v>
      </c>
    </row>
    <row r="288" spans="1:1" x14ac:dyDescent="0.25">
      <c r="A288" t="s">
        <v>79</v>
      </c>
    </row>
    <row r="289" spans="1:1" x14ac:dyDescent="0.25">
      <c r="A289" t="s">
        <v>80</v>
      </c>
    </row>
    <row r="290" spans="1:1" x14ac:dyDescent="0.25">
      <c r="A290" t="s">
        <v>81</v>
      </c>
    </row>
    <row r="291" spans="1:1" x14ac:dyDescent="0.25">
      <c r="A291" t="s">
        <v>82</v>
      </c>
    </row>
    <row r="292" spans="1:1" x14ac:dyDescent="0.25">
      <c r="A292" t="s">
        <v>83</v>
      </c>
    </row>
    <row r="293" spans="1:1" x14ac:dyDescent="0.25">
      <c r="A293" t="s">
        <v>84</v>
      </c>
    </row>
    <row r="294" spans="1:1" x14ac:dyDescent="0.25">
      <c r="A294" t="s">
        <v>85</v>
      </c>
    </row>
    <row r="295" spans="1:1" x14ac:dyDescent="0.25">
      <c r="A295" t="s">
        <v>86</v>
      </c>
    </row>
    <row r="296" spans="1:1" x14ac:dyDescent="0.25">
      <c r="A296" t="s">
        <v>87</v>
      </c>
    </row>
    <row r="297" spans="1:1" x14ac:dyDescent="0.25">
      <c r="A297" t="s">
        <v>75</v>
      </c>
    </row>
    <row r="298" spans="1:1" x14ac:dyDescent="0.25">
      <c r="A298" t="s">
        <v>88</v>
      </c>
    </row>
    <row r="299" spans="1:1" x14ac:dyDescent="0.25">
      <c r="A299" t="s">
        <v>89</v>
      </c>
    </row>
    <row r="300" spans="1:1" x14ac:dyDescent="0.25">
      <c r="A300" t="s">
        <v>90</v>
      </c>
    </row>
    <row r="301" spans="1:1" x14ac:dyDescent="0.25">
      <c r="A301" t="s">
        <v>91</v>
      </c>
    </row>
    <row r="302" spans="1:1" x14ac:dyDescent="0.25">
      <c r="A302" t="s">
        <v>92</v>
      </c>
    </row>
    <row r="303" spans="1:1" x14ac:dyDescent="0.25">
      <c r="A303" t="s">
        <v>93</v>
      </c>
    </row>
    <row r="304" spans="1:1" x14ac:dyDescent="0.25">
      <c r="A304" t="s">
        <v>94</v>
      </c>
    </row>
    <row r="305" spans="1:1" x14ac:dyDescent="0.25">
      <c r="A305" t="s">
        <v>95</v>
      </c>
    </row>
    <row r="306" spans="1:1" x14ac:dyDescent="0.25">
      <c r="A306" t="s">
        <v>96</v>
      </c>
    </row>
    <row r="307" spans="1:1" x14ac:dyDescent="0.25">
      <c r="A307" t="s">
        <v>97</v>
      </c>
    </row>
    <row r="308" spans="1:1" x14ac:dyDescent="0.25">
      <c r="A308" t="s">
        <v>98</v>
      </c>
    </row>
    <row r="309" spans="1:1" x14ac:dyDescent="0.25">
      <c r="A309" t="s">
        <v>99</v>
      </c>
    </row>
    <row r="310" spans="1:1" x14ac:dyDescent="0.25">
      <c r="A310" t="s">
        <v>100</v>
      </c>
    </row>
    <row r="311" spans="1:1" x14ac:dyDescent="0.25">
      <c r="A311" t="s">
        <v>101</v>
      </c>
    </row>
    <row r="312" spans="1:1" x14ac:dyDescent="0.25">
      <c r="A312" t="s">
        <v>102</v>
      </c>
    </row>
    <row r="313" spans="1:1" x14ac:dyDescent="0.25">
      <c r="A313" t="s">
        <v>35</v>
      </c>
    </row>
    <row r="314" spans="1:1" x14ac:dyDescent="0.25">
      <c r="A314" t="s">
        <v>103</v>
      </c>
    </row>
    <row r="315" spans="1:1" x14ac:dyDescent="0.25">
      <c r="A315" t="s">
        <v>89</v>
      </c>
    </row>
    <row r="316" spans="1:1" x14ac:dyDescent="0.25">
      <c r="A316" t="s">
        <v>92</v>
      </c>
    </row>
    <row r="317" spans="1:1" x14ac:dyDescent="0.25">
      <c r="A317" t="s">
        <v>104</v>
      </c>
    </row>
    <row r="318" spans="1:1" x14ac:dyDescent="0.25">
      <c r="A318" t="s">
        <v>91</v>
      </c>
    </row>
    <row r="319" spans="1:1" x14ac:dyDescent="0.25">
      <c r="A319" t="s">
        <v>105</v>
      </c>
    </row>
    <row r="320" spans="1:1" x14ac:dyDescent="0.25">
      <c r="A320" t="s">
        <v>106</v>
      </c>
    </row>
    <row r="321" spans="1:1" x14ac:dyDescent="0.25">
      <c r="A321" t="s">
        <v>107</v>
      </c>
    </row>
    <row r="322" spans="1:1" x14ac:dyDescent="0.25">
      <c r="A322" t="s">
        <v>108</v>
      </c>
    </row>
    <row r="323" spans="1:1" x14ac:dyDescent="0.25">
      <c r="A323" t="s">
        <v>109</v>
      </c>
    </row>
    <row r="324" spans="1:1" x14ac:dyDescent="0.25">
      <c r="A324" t="s">
        <v>110</v>
      </c>
    </row>
    <row r="325" spans="1:1" x14ac:dyDescent="0.25">
      <c r="A325" t="s">
        <v>111</v>
      </c>
    </row>
    <row r="326" spans="1:1" x14ac:dyDescent="0.25">
      <c r="A326" t="s">
        <v>100</v>
      </c>
    </row>
    <row r="327" spans="1:1" x14ac:dyDescent="0.25">
      <c r="A327" t="s">
        <v>112</v>
      </c>
    </row>
    <row r="328" spans="1:1" x14ac:dyDescent="0.25">
      <c r="A328" t="s">
        <v>102</v>
      </c>
    </row>
    <row r="329" spans="1:1" x14ac:dyDescent="0.25">
      <c r="A329" t="s">
        <v>113</v>
      </c>
    </row>
    <row r="330" spans="1:1" x14ac:dyDescent="0.25">
      <c r="A330" t="s">
        <v>75</v>
      </c>
    </row>
    <row r="331" spans="1:1" x14ac:dyDescent="0.25">
      <c r="A331" t="s">
        <v>35</v>
      </c>
    </row>
    <row r="332" spans="1:1" x14ac:dyDescent="0.25">
      <c r="A332" t="s">
        <v>74</v>
      </c>
    </row>
    <row r="333" spans="1:1" x14ac:dyDescent="0.25">
      <c r="A333" t="s">
        <v>114</v>
      </c>
    </row>
    <row r="334" spans="1:1" x14ac:dyDescent="0.25">
      <c r="A334" t="s">
        <v>115</v>
      </c>
    </row>
    <row r="335" spans="1:1" x14ac:dyDescent="0.25">
      <c r="A335" t="s">
        <v>116</v>
      </c>
    </row>
    <row r="336" spans="1:1" x14ac:dyDescent="0.25">
      <c r="A336" t="s">
        <v>117</v>
      </c>
    </row>
    <row r="337" spans="1:1" x14ac:dyDescent="0.25">
      <c r="A337" t="s">
        <v>118</v>
      </c>
    </row>
    <row r="338" spans="1:1" x14ac:dyDescent="0.25">
      <c r="A338" t="s">
        <v>119</v>
      </c>
    </row>
    <row r="339" spans="1:1" x14ac:dyDescent="0.25">
      <c r="A339" t="s">
        <v>120</v>
      </c>
    </row>
    <row r="340" spans="1:1" x14ac:dyDescent="0.25">
      <c r="A340" t="s">
        <v>121</v>
      </c>
    </row>
    <row r="341" spans="1:1" x14ac:dyDescent="0.25">
      <c r="A341" t="s">
        <v>122</v>
      </c>
    </row>
    <row r="342" spans="1:1" x14ac:dyDescent="0.25">
      <c r="A342" t="s">
        <v>123</v>
      </c>
    </row>
    <row r="343" spans="1:1" x14ac:dyDescent="0.25">
      <c r="A343" t="s">
        <v>124</v>
      </c>
    </row>
    <row r="344" spans="1:1" x14ac:dyDescent="0.25">
      <c r="A344" t="s">
        <v>125</v>
      </c>
    </row>
    <row r="345" spans="1:1" x14ac:dyDescent="0.25">
      <c r="A345" t="s">
        <v>126</v>
      </c>
    </row>
    <row r="346" spans="1:1" x14ac:dyDescent="0.25">
      <c r="A346" t="s">
        <v>127</v>
      </c>
    </row>
    <row r="347" spans="1:1" x14ac:dyDescent="0.25">
      <c r="A347" t="s">
        <v>128</v>
      </c>
    </row>
    <row r="348" spans="1:1" x14ac:dyDescent="0.25">
      <c r="A348" t="s">
        <v>129</v>
      </c>
    </row>
    <row r="349" spans="1:1" x14ac:dyDescent="0.25">
      <c r="A349" t="s">
        <v>130</v>
      </c>
    </row>
    <row r="350" spans="1:1" x14ac:dyDescent="0.25">
      <c r="A350" t="s">
        <v>1251</v>
      </c>
    </row>
    <row r="351" spans="1:1" x14ac:dyDescent="0.25">
      <c r="A351" t="s">
        <v>68</v>
      </c>
    </row>
    <row r="352" spans="1:1" x14ac:dyDescent="0.25">
      <c r="A352" t="s">
        <v>46</v>
      </c>
    </row>
    <row r="353" spans="1:1" x14ac:dyDescent="0.25">
      <c r="A353" t="s">
        <v>47</v>
      </c>
    </row>
    <row r="354" spans="1:1" x14ac:dyDescent="0.25">
      <c r="A354" t="s">
        <v>48</v>
      </c>
    </row>
    <row r="355" spans="1:1" x14ac:dyDescent="0.25">
      <c r="A355" t="s">
        <v>49</v>
      </c>
    </row>
    <row r="356" spans="1:1" x14ac:dyDescent="0.25">
      <c r="A356" t="s">
        <v>50</v>
      </c>
    </row>
    <row r="357" spans="1:1" x14ac:dyDescent="0.25">
      <c r="A357" t="s">
        <v>4909</v>
      </c>
    </row>
    <row r="359" spans="1:1" x14ac:dyDescent="0.25">
      <c r="A359" t="s">
        <v>133</v>
      </c>
    </row>
    <row r="360" spans="1:1" x14ac:dyDescent="0.25">
      <c r="A360" t="s">
        <v>134</v>
      </c>
    </row>
    <row r="361" spans="1:1" x14ac:dyDescent="0.25">
      <c r="A361" t="s">
        <v>135</v>
      </c>
    </row>
    <row r="362" spans="1:1" x14ac:dyDescent="0.25">
      <c r="A362" t="s">
        <v>136</v>
      </c>
    </row>
    <row r="363" spans="1:1" x14ac:dyDescent="0.25">
      <c r="A363" t="s">
        <v>137</v>
      </c>
    </row>
    <row r="364" spans="1:1" x14ac:dyDescent="0.25">
      <c r="A364" t="s">
        <v>138</v>
      </c>
    </row>
    <row r="365" spans="1:1" x14ac:dyDescent="0.25">
      <c r="A365" t="s">
        <v>139</v>
      </c>
    </row>
    <row r="366" spans="1:1" x14ac:dyDescent="0.25">
      <c r="A366" t="s">
        <v>140</v>
      </c>
    </row>
    <row r="367" spans="1:1" x14ac:dyDescent="0.25">
      <c r="A367" t="s">
        <v>141</v>
      </c>
    </row>
    <row r="368" spans="1:1" x14ac:dyDescent="0.25">
      <c r="A368" t="s">
        <v>142</v>
      </c>
    </row>
    <row r="369" spans="1:1" x14ac:dyDescent="0.25">
      <c r="A369" t="s">
        <v>143</v>
      </c>
    </row>
    <row r="370" spans="1:1" x14ac:dyDescent="0.25">
      <c r="A370" t="s">
        <v>144</v>
      </c>
    </row>
    <row r="371" spans="1:1" x14ac:dyDescent="0.25">
      <c r="A371" t="s">
        <v>55</v>
      </c>
    </row>
    <row r="372" spans="1:1" x14ac:dyDescent="0.25">
      <c r="A372" t="s">
        <v>145</v>
      </c>
    </row>
    <row r="373" spans="1:1" x14ac:dyDescent="0.25">
      <c r="A373" t="s">
        <v>146</v>
      </c>
    </row>
    <row r="374" spans="1:1" x14ac:dyDescent="0.25">
      <c r="A374" t="s">
        <v>147</v>
      </c>
    </row>
    <row r="375" spans="1:1" x14ac:dyDescent="0.25">
      <c r="A375" t="s">
        <v>57</v>
      </c>
    </row>
    <row r="376" spans="1:1" x14ac:dyDescent="0.25">
      <c r="A376" t="s">
        <v>148</v>
      </c>
    </row>
    <row r="377" spans="1:1" x14ac:dyDescent="0.25">
      <c r="A377" t="s">
        <v>73</v>
      </c>
    </row>
    <row r="378" spans="1:1" x14ac:dyDescent="0.25">
      <c r="A378" t="s">
        <v>72</v>
      </c>
    </row>
    <row r="379" spans="1:1" x14ac:dyDescent="0.25">
      <c r="A379" t="s">
        <v>149</v>
      </c>
    </row>
    <row r="380" spans="1:1" x14ac:dyDescent="0.25">
      <c r="A380" t="s">
        <v>58</v>
      </c>
    </row>
    <row r="381" spans="1:1" x14ac:dyDescent="0.25">
      <c r="A381" t="s">
        <v>150</v>
      </c>
    </row>
    <row r="382" spans="1:1" x14ac:dyDescent="0.25">
      <c r="A382" t="s">
        <v>59</v>
      </c>
    </row>
    <row r="383" spans="1:1" x14ac:dyDescent="0.25">
      <c r="A383" t="s">
        <v>151</v>
      </c>
    </row>
    <row r="384" spans="1:1" x14ac:dyDescent="0.25">
      <c r="A384" t="s">
        <v>152</v>
      </c>
    </row>
    <row r="385" spans="1:1" x14ac:dyDescent="0.25">
      <c r="A385" t="s">
        <v>153</v>
      </c>
    </row>
    <row r="386" spans="1:1" x14ac:dyDescent="0.25">
      <c r="A386" t="s">
        <v>76</v>
      </c>
    </row>
    <row r="387" spans="1:1" x14ac:dyDescent="0.25">
      <c r="A387" t="s">
        <v>154</v>
      </c>
    </row>
    <row r="388" spans="1:1" x14ac:dyDescent="0.25">
      <c r="A388" t="s">
        <v>155</v>
      </c>
    </row>
    <row r="389" spans="1:1" x14ac:dyDescent="0.25">
      <c r="A389" t="s">
        <v>156</v>
      </c>
    </row>
    <row r="390" spans="1:1" x14ac:dyDescent="0.25">
      <c r="A390" t="s">
        <v>157</v>
      </c>
    </row>
    <row r="391" spans="1:1" x14ac:dyDescent="0.25">
      <c r="A391" t="s">
        <v>158</v>
      </c>
    </row>
    <row r="392" spans="1:1" x14ac:dyDescent="0.25">
      <c r="A392" t="s">
        <v>1464</v>
      </c>
    </row>
    <row r="393" spans="1:1" x14ac:dyDescent="0.25">
      <c r="A393" t="s">
        <v>159</v>
      </c>
    </row>
    <row r="394" spans="1:1" x14ac:dyDescent="0.25">
      <c r="A394" t="s">
        <v>160</v>
      </c>
    </row>
    <row r="395" spans="1:1" x14ac:dyDescent="0.25">
      <c r="A395" t="s">
        <v>161</v>
      </c>
    </row>
    <row r="396" spans="1:1" x14ac:dyDescent="0.25">
      <c r="A396" t="s">
        <v>1374</v>
      </c>
    </row>
    <row r="397" spans="1:1" x14ac:dyDescent="0.25">
      <c r="A397" t="s">
        <v>1375</v>
      </c>
    </row>
    <row r="398" spans="1:1" x14ac:dyDescent="0.25">
      <c r="A398" t="s">
        <v>162</v>
      </c>
    </row>
    <row r="399" spans="1:1" x14ac:dyDescent="0.25">
      <c r="A399" t="s">
        <v>163</v>
      </c>
    </row>
    <row r="400" spans="1:1" x14ac:dyDescent="0.25">
      <c r="A400" t="s">
        <v>164</v>
      </c>
    </row>
    <row r="401" spans="1:1" x14ac:dyDescent="0.25">
      <c r="A401" t="s">
        <v>165</v>
      </c>
    </row>
    <row r="402" spans="1:1" x14ac:dyDescent="0.25">
      <c r="A402" t="s">
        <v>166</v>
      </c>
    </row>
    <row r="404" spans="1:1" x14ac:dyDescent="0.25">
      <c r="A404" t="s">
        <v>167</v>
      </c>
    </row>
    <row r="406" spans="1:1" x14ac:dyDescent="0.25">
      <c r="A406" t="s">
        <v>168</v>
      </c>
    </row>
    <row r="408" spans="1:1" x14ac:dyDescent="0.25">
      <c r="A408" t="s">
        <v>4777</v>
      </c>
    </row>
    <row r="410" spans="1:1" x14ac:dyDescent="0.25">
      <c r="A410" t="s">
        <v>169</v>
      </c>
    </row>
    <row r="412" spans="1:1" x14ac:dyDescent="0.25">
      <c r="A412" t="s">
        <v>170</v>
      </c>
    </row>
    <row r="414" spans="1:1" x14ac:dyDescent="0.25">
      <c r="A414" t="s">
        <v>1307</v>
      </c>
    </row>
    <row r="415" spans="1:1" x14ac:dyDescent="0.25">
      <c r="A415" t="s">
        <v>1308</v>
      </c>
    </row>
    <row r="417" spans="1:1" x14ac:dyDescent="0.25">
      <c r="A417" t="s">
        <v>1309</v>
      </c>
    </row>
    <row r="419" spans="1:1" x14ac:dyDescent="0.25">
      <c r="A419" t="s">
        <v>171</v>
      </c>
    </row>
    <row r="420" spans="1:1" x14ac:dyDescent="0.25">
      <c r="A420" t="s">
        <v>172</v>
      </c>
    </row>
    <row r="421" spans="1:1" x14ac:dyDescent="0.25">
      <c r="A421" t="s">
        <v>173</v>
      </c>
    </row>
    <row r="422" spans="1:1" x14ac:dyDescent="0.25">
      <c r="A422" t="s">
        <v>174</v>
      </c>
    </row>
    <row r="423" spans="1:1" x14ac:dyDescent="0.25">
      <c r="A423" t="s">
        <v>175</v>
      </c>
    </row>
    <row r="424" spans="1:1" x14ac:dyDescent="0.25">
      <c r="A424" t="s">
        <v>176</v>
      </c>
    </row>
    <row r="425" spans="1:1" x14ac:dyDescent="0.25">
      <c r="A425" t="s">
        <v>177</v>
      </c>
    </row>
    <row r="427" spans="1:1" x14ac:dyDescent="0.25">
      <c r="A427" t="s">
        <v>178</v>
      </c>
    </row>
    <row r="429" spans="1:1" x14ac:dyDescent="0.25">
      <c r="A429" t="s">
        <v>179</v>
      </c>
    </row>
    <row r="431" spans="1:1" x14ac:dyDescent="0.25">
      <c r="A431" t="s">
        <v>180</v>
      </c>
    </row>
    <row r="433" spans="1:1" x14ac:dyDescent="0.25">
      <c r="A433" t="s">
        <v>181</v>
      </c>
    </row>
    <row r="435" spans="1:1" x14ac:dyDescent="0.25">
      <c r="A435" t="s">
        <v>182</v>
      </c>
    </row>
    <row r="437" spans="1:1" x14ac:dyDescent="0.25">
      <c r="A437" t="s">
        <v>183</v>
      </c>
    </row>
    <row r="439" spans="1:1" x14ac:dyDescent="0.25">
      <c r="A439" t="s">
        <v>184</v>
      </c>
    </row>
    <row r="441" spans="1:1" x14ac:dyDescent="0.25">
      <c r="A441" t="s">
        <v>185</v>
      </c>
    </row>
    <row r="443" spans="1:1" x14ac:dyDescent="0.25">
      <c r="A443" t="s">
        <v>186</v>
      </c>
    </row>
    <row r="445" spans="1:1" x14ac:dyDescent="0.25">
      <c r="A445" t="s">
        <v>187</v>
      </c>
    </row>
    <row r="447" spans="1:1" x14ac:dyDescent="0.25">
      <c r="A447" t="s">
        <v>188</v>
      </c>
    </row>
    <row r="449" spans="1:1" x14ac:dyDescent="0.25">
      <c r="A449" t="s">
        <v>189</v>
      </c>
    </row>
    <row r="451" spans="1:1" x14ac:dyDescent="0.25">
      <c r="A451" t="s">
        <v>36</v>
      </c>
    </row>
    <row r="452" spans="1:1" x14ac:dyDescent="0.25">
      <c r="A452" t="s">
        <v>37</v>
      </c>
    </row>
    <row r="453" spans="1:1" x14ac:dyDescent="0.25">
      <c r="A453" t="s">
        <v>38</v>
      </c>
    </row>
    <row r="454" spans="1:1" x14ac:dyDescent="0.25">
      <c r="A454" t="s">
        <v>39</v>
      </c>
    </row>
    <row r="455" spans="1:1" x14ac:dyDescent="0.25">
      <c r="A455" t="s">
        <v>40</v>
      </c>
    </row>
    <row r="456" spans="1:1" x14ac:dyDescent="0.25">
      <c r="A456" t="s">
        <v>41</v>
      </c>
    </row>
    <row r="457" spans="1:1" x14ac:dyDescent="0.25">
      <c r="A457" t="s">
        <v>42</v>
      </c>
    </row>
    <row r="458" spans="1:1" x14ac:dyDescent="0.25">
      <c r="A458" t="s">
        <v>43</v>
      </c>
    </row>
    <row r="459" spans="1:1" x14ac:dyDescent="0.25">
      <c r="A459" t="s">
        <v>44</v>
      </c>
    </row>
    <row r="460" spans="1:1" x14ac:dyDescent="0.25">
      <c r="A460" t="s">
        <v>190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10"/>
  <sheetViews>
    <sheetView workbookViewId="0">
      <selection activeCell="O32" sqref="O32"/>
    </sheetView>
  </sheetViews>
  <sheetFormatPr defaultRowHeight="15" x14ac:dyDescent="0.25"/>
  <sheetData>
    <row r="1" spans="2:5" x14ac:dyDescent="0.25">
      <c r="B1" t="s">
        <v>1506</v>
      </c>
    </row>
    <row r="2" spans="2:5" x14ac:dyDescent="0.25">
      <c r="B2">
        <v>15000</v>
      </c>
      <c r="D2" s="75">
        <v>43662</v>
      </c>
      <c r="E2" s="63">
        <v>43922</v>
      </c>
    </row>
    <row r="3" spans="2:5" x14ac:dyDescent="0.25">
      <c r="B3">
        <f>B2/D3</f>
        <v>57.692307692307693</v>
      </c>
      <c r="D3">
        <f>E2-D2</f>
        <v>260</v>
      </c>
    </row>
    <row r="4" spans="2:5" x14ac:dyDescent="0.25">
      <c r="B4">
        <f>B2/D4</f>
        <v>80.769230769230759</v>
      </c>
      <c r="D4">
        <f>D3*(5/7)</f>
        <v>185.71428571428572</v>
      </c>
    </row>
    <row r="7" spans="2:5" x14ac:dyDescent="0.25">
      <c r="B7">
        <f>77000/52/5</f>
        <v>296.15384615384613</v>
      </c>
    </row>
    <row r="8" spans="2:5" x14ac:dyDescent="0.25">
      <c r="B8">
        <f>B7/8</f>
        <v>37.019230769230766</v>
      </c>
    </row>
    <row r="9" spans="2:5" x14ac:dyDescent="0.25">
      <c r="B9">
        <f>B8*0.72</f>
        <v>26.65384615384615</v>
      </c>
    </row>
    <row r="10" spans="2:5" x14ac:dyDescent="0.25">
      <c r="B10">
        <f>B4/B9</f>
        <v>3.0303030303030303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AK460"/>
  <sheetViews>
    <sheetView topLeftCell="A224" workbookViewId="0">
      <selection activeCell="D223" sqref="D220:T223"/>
    </sheetView>
  </sheetViews>
  <sheetFormatPr defaultRowHeight="15" x14ac:dyDescent="0.25"/>
  <cols>
    <col min="1" max="1" width="26.140625" bestFit="1" customWidth="1"/>
    <col min="2" max="3" width="5.5703125" customWidth="1"/>
    <col min="4" max="4" width="6.140625" customWidth="1"/>
    <col min="5" max="5" width="7.140625" customWidth="1"/>
    <col min="6" max="6" width="6.140625" customWidth="1"/>
    <col min="7" max="7" width="8" customWidth="1"/>
    <col min="8" max="8" width="7.140625" customWidth="1"/>
    <col min="9" max="9" width="5.85546875" customWidth="1"/>
    <col min="10" max="10" width="6.42578125" customWidth="1"/>
    <col min="11" max="11" width="7.28515625" customWidth="1"/>
    <col min="12" max="12" width="4.5703125" customWidth="1"/>
    <col min="13" max="13" width="4.7109375" customWidth="1"/>
    <col min="14" max="14" width="7.140625" customWidth="1"/>
    <col min="15" max="15" width="5.5703125" customWidth="1"/>
    <col min="16" max="16" width="6" customWidth="1"/>
    <col min="17" max="17" width="5" customWidth="1"/>
    <col min="18" max="19" width="4.5703125" customWidth="1"/>
  </cols>
  <sheetData>
    <row r="1" spans="1:1" x14ac:dyDescent="0.25">
      <c r="A1" t="s">
        <v>36</v>
      </c>
    </row>
    <row r="2" spans="1:1" x14ac:dyDescent="0.25">
      <c r="A2" t="s">
        <v>37</v>
      </c>
    </row>
    <row r="3" spans="1:1" x14ac:dyDescent="0.25">
      <c r="A3" t="s">
        <v>38</v>
      </c>
    </row>
    <row r="4" spans="1:1" x14ac:dyDescent="0.25">
      <c r="A4" t="s">
        <v>39</v>
      </c>
    </row>
    <row r="5" spans="1:1" x14ac:dyDescent="0.25">
      <c r="A5" t="s">
        <v>40</v>
      </c>
    </row>
    <row r="6" spans="1:1" x14ac:dyDescent="0.25">
      <c r="A6" t="s">
        <v>41</v>
      </c>
    </row>
    <row r="7" spans="1:1" x14ac:dyDescent="0.25">
      <c r="A7" t="s">
        <v>42</v>
      </c>
    </row>
    <row r="8" spans="1:1" x14ac:dyDescent="0.25">
      <c r="A8" t="s">
        <v>43</v>
      </c>
    </row>
    <row r="9" spans="1:1" x14ac:dyDescent="0.25">
      <c r="A9" t="s">
        <v>44</v>
      </c>
    </row>
    <row r="10" spans="1:1" x14ac:dyDescent="0.25">
      <c r="A10" t="s">
        <v>45</v>
      </c>
    </row>
    <row r="11" spans="1:1" x14ac:dyDescent="0.25">
      <c r="A11" t="s">
        <v>46</v>
      </c>
    </row>
    <row r="12" spans="1:1" x14ac:dyDescent="0.25">
      <c r="A12" t="s">
        <v>47</v>
      </c>
    </row>
    <row r="13" spans="1:1" x14ac:dyDescent="0.25">
      <c r="A13" t="s">
        <v>48</v>
      </c>
    </row>
    <row r="14" spans="1:1" x14ac:dyDescent="0.25">
      <c r="A14" t="s">
        <v>49</v>
      </c>
    </row>
    <row r="15" spans="1:1" x14ac:dyDescent="0.25">
      <c r="A15" t="s">
        <v>50</v>
      </c>
    </row>
    <row r="16" spans="1:1" x14ac:dyDescent="0.25">
      <c r="A16" t="s">
        <v>51</v>
      </c>
    </row>
    <row r="17" spans="1:1" x14ac:dyDescent="0.25">
      <c r="A17" t="s">
        <v>52</v>
      </c>
    </row>
    <row r="18" spans="1:1" x14ac:dyDescent="0.25">
      <c r="A18" t="s">
        <v>53</v>
      </c>
    </row>
    <row r="19" spans="1:1" x14ac:dyDescent="0.25">
      <c r="A19" t="s">
        <v>54</v>
      </c>
    </row>
    <row r="20" spans="1:1" x14ac:dyDescent="0.25">
      <c r="A20" t="s">
        <v>55</v>
      </c>
    </row>
    <row r="21" spans="1:1" x14ac:dyDescent="0.25">
      <c r="A21" t="s">
        <v>56</v>
      </c>
    </row>
    <row r="22" spans="1:1" x14ac:dyDescent="0.25">
      <c r="A22" t="s">
        <v>57</v>
      </c>
    </row>
    <row r="23" spans="1:1" x14ac:dyDescent="0.25">
      <c r="A23" t="s">
        <v>58</v>
      </c>
    </row>
    <row r="24" spans="1:1" x14ac:dyDescent="0.25">
      <c r="A24" t="s">
        <v>59</v>
      </c>
    </row>
    <row r="25" spans="1:1" x14ac:dyDescent="0.25">
      <c r="A25" t="s">
        <v>60</v>
      </c>
    </row>
    <row r="26" spans="1:1" x14ac:dyDescent="0.25">
      <c r="A26" t="s">
        <v>61</v>
      </c>
    </row>
    <row r="27" spans="1:1" x14ac:dyDescent="0.25">
      <c r="A27" t="s">
        <v>4910</v>
      </c>
    </row>
    <row r="28" spans="1:1" x14ac:dyDescent="0.25">
      <c r="A28" t="s">
        <v>46</v>
      </c>
    </row>
    <row r="29" spans="1:1" x14ac:dyDescent="0.25">
      <c r="A29" t="s">
        <v>47</v>
      </c>
    </row>
    <row r="30" spans="1:1" x14ac:dyDescent="0.25">
      <c r="A30" t="s">
        <v>48</v>
      </c>
    </row>
    <row r="31" spans="1:1" x14ac:dyDescent="0.25">
      <c r="A31" t="s">
        <v>49</v>
      </c>
    </row>
    <row r="32" spans="1:1" x14ac:dyDescent="0.25">
      <c r="A32" t="s">
        <v>50</v>
      </c>
    </row>
    <row r="33" spans="1:1" x14ac:dyDescent="0.25">
      <c r="A33" t="s">
        <v>62</v>
      </c>
    </row>
    <row r="34" spans="1:1" x14ac:dyDescent="0.25">
      <c r="A34" t="s">
        <v>63</v>
      </c>
    </row>
    <row r="35" spans="1:1" x14ac:dyDescent="0.25">
      <c r="A35" t="s">
        <v>64</v>
      </c>
    </row>
    <row r="36" spans="1:1" x14ac:dyDescent="0.25">
      <c r="A36" t="s">
        <v>1532</v>
      </c>
    </row>
    <row r="37" spans="1:1" x14ac:dyDescent="0.25">
      <c r="A37" t="s">
        <v>65</v>
      </c>
    </row>
    <row r="38" spans="1:1" x14ac:dyDescent="0.25">
      <c r="A38" t="s">
        <v>66</v>
      </c>
    </row>
    <row r="39" spans="1:1" x14ac:dyDescent="0.25">
      <c r="A39" t="s">
        <v>67</v>
      </c>
    </row>
    <row r="40" spans="1:1" x14ac:dyDescent="0.25">
      <c r="A40" t="s">
        <v>68</v>
      </c>
    </row>
    <row r="41" spans="1:1" x14ac:dyDescent="0.25">
      <c r="A41" t="s">
        <v>69</v>
      </c>
    </row>
    <row r="42" spans="1:1" x14ac:dyDescent="0.25">
      <c r="A42" t="s">
        <v>70</v>
      </c>
    </row>
    <row r="44" spans="1:1" x14ac:dyDescent="0.25">
      <c r="A44" t="s">
        <v>71</v>
      </c>
    </row>
    <row r="46" spans="1:1" x14ac:dyDescent="0.25">
      <c r="A46" t="s">
        <v>72</v>
      </c>
    </row>
    <row r="48" spans="1:1" x14ac:dyDescent="0.25">
      <c r="A48" t="s">
        <v>73</v>
      </c>
    </row>
    <row r="50" spans="1:1" x14ac:dyDescent="0.25">
      <c r="A50" t="s">
        <v>74</v>
      </c>
    </row>
    <row r="52" spans="1:1" x14ac:dyDescent="0.25">
      <c r="A52" t="s">
        <v>75</v>
      </c>
    </row>
    <row r="54" spans="1:1" x14ac:dyDescent="0.25">
      <c r="A54" t="s">
        <v>35</v>
      </c>
    </row>
    <row r="56" spans="1:1" x14ac:dyDescent="0.25">
      <c r="A56" t="s">
        <v>76</v>
      </c>
    </row>
    <row r="58" spans="1:1" x14ac:dyDescent="0.25">
      <c r="A58" t="s">
        <v>74</v>
      </c>
    </row>
    <row r="61" spans="1:1" x14ac:dyDescent="0.25">
      <c r="A61" t="s">
        <v>77</v>
      </c>
    </row>
    <row r="62" spans="1:1" x14ac:dyDescent="0.25">
      <c r="A62" t="s">
        <v>78</v>
      </c>
    </row>
    <row r="63" spans="1:1" x14ac:dyDescent="0.25">
      <c r="A63" t="s">
        <v>34</v>
      </c>
    </row>
    <row r="64" spans="1:1" x14ac:dyDescent="0.25">
      <c r="A64" t="s">
        <v>79</v>
      </c>
    </row>
    <row r="65" spans="1:1" x14ac:dyDescent="0.25">
      <c r="A65" t="s">
        <v>80</v>
      </c>
    </row>
    <row r="66" spans="1:1" x14ac:dyDescent="0.25">
      <c r="A66" t="s">
        <v>81</v>
      </c>
    </row>
    <row r="67" spans="1:1" x14ac:dyDescent="0.25">
      <c r="A67" t="s">
        <v>82</v>
      </c>
    </row>
    <row r="68" spans="1:1" x14ac:dyDescent="0.25">
      <c r="A68" t="s">
        <v>83</v>
      </c>
    </row>
    <row r="69" spans="1:1" x14ac:dyDescent="0.25">
      <c r="A69" t="s">
        <v>84</v>
      </c>
    </row>
    <row r="70" spans="1:1" x14ac:dyDescent="0.25">
      <c r="A70" t="s">
        <v>85</v>
      </c>
    </row>
    <row r="71" spans="1:1" x14ac:dyDescent="0.25">
      <c r="A71" t="s">
        <v>86</v>
      </c>
    </row>
    <row r="72" spans="1:1" x14ac:dyDescent="0.25">
      <c r="A72" t="s">
        <v>87</v>
      </c>
    </row>
    <row r="74" spans="1:1" x14ac:dyDescent="0.25">
      <c r="A74" t="s">
        <v>75</v>
      </c>
    </row>
    <row r="77" spans="1:1" x14ac:dyDescent="0.25">
      <c r="A77" t="s">
        <v>88</v>
      </c>
    </row>
    <row r="78" spans="1:1" x14ac:dyDescent="0.25">
      <c r="A78" t="s">
        <v>89</v>
      </c>
    </row>
    <row r="79" spans="1:1" x14ac:dyDescent="0.25">
      <c r="A79" t="s">
        <v>90</v>
      </c>
    </row>
    <row r="80" spans="1:1" x14ac:dyDescent="0.25">
      <c r="A80" t="s">
        <v>91</v>
      </c>
    </row>
    <row r="81" spans="1:1" x14ac:dyDescent="0.25">
      <c r="A81" t="s">
        <v>92</v>
      </c>
    </row>
    <row r="82" spans="1:1" x14ac:dyDescent="0.25">
      <c r="A82" t="s">
        <v>93</v>
      </c>
    </row>
    <row r="83" spans="1:1" x14ac:dyDescent="0.25">
      <c r="A83" t="s">
        <v>94</v>
      </c>
    </row>
    <row r="84" spans="1:1" x14ac:dyDescent="0.25">
      <c r="A84" t="s">
        <v>95</v>
      </c>
    </row>
    <row r="85" spans="1:1" x14ac:dyDescent="0.25">
      <c r="A85" t="s">
        <v>96</v>
      </c>
    </row>
    <row r="86" spans="1:1" x14ac:dyDescent="0.25">
      <c r="A86" t="s">
        <v>97</v>
      </c>
    </row>
    <row r="87" spans="1:1" x14ac:dyDescent="0.25">
      <c r="A87" t="s">
        <v>98</v>
      </c>
    </row>
    <row r="88" spans="1:1" x14ac:dyDescent="0.25">
      <c r="A88" t="s">
        <v>99</v>
      </c>
    </row>
    <row r="89" spans="1:1" x14ac:dyDescent="0.25">
      <c r="A89" t="s">
        <v>100</v>
      </c>
    </row>
    <row r="90" spans="1:1" x14ac:dyDescent="0.25">
      <c r="A90" t="s">
        <v>101</v>
      </c>
    </row>
    <row r="91" spans="1:1" x14ac:dyDescent="0.25">
      <c r="A91" t="s">
        <v>102</v>
      </c>
    </row>
    <row r="93" spans="1:1" x14ac:dyDescent="0.25">
      <c r="A93" t="s">
        <v>35</v>
      </c>
    </row>
    <row r="96" spans="1:1" x14ac:dyDescent="0.25">
      <c r="A96" t="s">
        <v>103</v>
      </c>
    </row>
    <row r="97" spans="1:1" x14ac:dyDescent="0.25">
      <c r="A97" t="s">
        <v>89</v>
      </c>
    </row>
    <row r="98" spans="1:1" x14ac:dyDescent="0.25">
      <c r="A98" t="s">
        <v>92</v>
      </c>
    </row>
    <row r="99" spans="1:1" x14ac:dyDescent="0.25">
      <c r="A99" t="s">
        <v>104</v>
      </c>
    </row>
    <row r="100" spans="1:1" x14ac:dyDescent="0.25">
      <c r="A100" t="s">
        <v>91</v>
      </c>
    </row>
    <row r="101" spans="1:1" x14ac:dyDescent="0.25">
      <c r="A101" t="s">
        <v>105</v>
      </c>
    </row>
    <row r="102" spans="1:1" x14ac:dyDescent="0.25">
      <c r="A102" t="s">
        <v>106</v>
      </c>
    </row>
    <row r="103" spans="1:1" x14ac:dyDescent="0.25">
      <c r="A103" t="s">
        <v>107</v>
      </c>
    </row>
    <row r="104" spans="1:1" x14ac:dyDescent="0.25">
      <c r="A104" t="s">
        <v>108</v>
      </c>
    </row>
    <row r="105" spans="1:1" x14ac:dyDescent="0.25">
      <c r="A105" t="s">
        <v>109</v>
      </c>
    </row>
    <row r="106" spans="1:1" x14ac:dyDescent="0.25">
      <c r="A106" t="s">
        <v>110</v>
      </c>
    </row>
    <row r="107" spans="1:1" x14ac:dyDescent="0.25">
      <c r="A107" t="s">
        <v>111</v>
      </c>
    </row>
    <row r="108" spans="1:1" x14ac:dyDescent="0.25">
      <c r="A108" t="s">
        <v>100</v>
      </c>
    </row>
    <row r="109" spans="1:1" x14ac:dyDescent="0.25">
      <c r="A109" t="s">
        <v>112</v>
      </c>
    </row>
    <row r="110" spans="1:1" x14ac:dyDescent="0.25">
      <c r="A110" t="s">
        <v>102</v>
      </c>
    </row>
    <row r="112" spans="1:1" x14ac:dyDescent="0.25">
      <c r="A112" t="s">
        <v>113</v>
      </c>
    </row>
    <row r="115" spans="1:1" x14ac:dyDescent="0.25">
      <c r="A115" t="s">
        <v>75</v>
      </c>
    </row>
    <row r="116" spans="1:1" x14ac:dyDescent="0.25">
      <c r="A116" t="s">
        <v>35</v>
      </c>
    </row>
    <row r="117" spans="1:1" x14ac:dyDescent="0.25">
      <c r="A117" t="s">
        <v>74</v>
      </c>
    </row>
    <row r="118" spans="1:1" x14ac:dyDescent="0.25">
      <c r="A118" t="s">
        <v>114</v>
      </c>
    </row>
    <row r="120" spans="1:1" x14ac:dyDescent="0.25">
      <c r="A120" t="s">
        <v>115</v>
      </c>
    </row>
    <row r="123" spans="1:1" x14ac:dyDescent="0.25">
      <c r="A123" t="s">
        <v>116</v>
      </c>
    </row>
    <row r="124" spans="1:1" x14ac:dyDescent="0.25">
      <c r="A124" t="s">
        <v>117</v>
      </c>
    </row>
    <row r="125" spans="1:1" x14ac:dyDescent="0.25">
      <c r="A125" t="s">
        <v>118</v>
      </c>
    </row>
    <row r="126" spans="1:1" x14ac:dyDescent="0.25">
      <c r="A126" t="s">
        <v>119</v>
      </c>
    </row>
    <row r="127" spans="1:1" x14ac:dyDescent="0.25">
      <c r="A127" t="s">
        <v>120</v>
      </c>
    </row>
    <row r="128" spans="1:1" x14ac:dyDescent="0.25">
      <c r="A128" t="s">
        <v>121</v>
      </c>
    </row>
    <row r="129" spans="1:1" x14ac:dyDescent="0.25">
      <c r="A129" t="s">
        <v>122</v>
      </c>
    </row>
    <row r="130" spans="1:1" x14ac:dyDescent="0.25">
      <c r="A130" t="s">
        <v>123</v>
      </c>
    </row>
    <row r="131" spans="1:1" x14ac:dyDescent="0.25">
      <c r="A131" t="s">
        <v>124</v>
      </c>
    </row>
    <row r="132" spans="1:1" x14ac:dyDescent="0.25">
      <c r="A132" t="s">
        <v>125</v>
      </c>
    </row>
    <row r="133" spans="1:1" x14ac:dyDescent="0.25">
      <c r="A133" t="s">
        <v>126</v>
      </c>
    </row>
    <row r="134" spans="1:1" x14ac:dyDescent="0.25">
      <c r="A134" t="s">
        <v>127</v>
      </c>
    </row>
    <row r="135" spans="1:1" x14ac:dyDescent="0.25">
      <c r="A135" t="s">
        <v>128</v>
      </c>
    </row>
    <row r="136" spans="1:1" x14ac:dyDescent="0.25">
      <c r="A136" t="s">
        <v>129</v>
      </c>
    </row>
    <row r="137" spans="1:1" x14ac:dyDescent="0.25">
      <c r="A137" t="s">
        <v>130</v>
      </c>
    </row>
    <row r="138" spans="1:1" x14ac:dyDescent="0.25">
      <c r="A138" t="s">
        <v>1251</v>
      </c>
    </row>
    <row r="139" spans="1:1" x14ac:dyDescent="0.25">
      <c r="A139" t="s">
        <v>71</v>
      </c>
    </row>
    <row r="140" spans="1:1" x14ac:dyDescent="0.25">
      <c r="A140" t="s">
        <v>72</v>
      </c>
    </row>
    <row r="141" spans="1:1" x14ac:dyDescent="0.25">
      <c r="A141" t="s">
        <v>73</v>
      </c>
    </row>
    <row r="142" spans="1:1" x14ac:dyDescent="0.25">
      <c r="A142" t="s">
        <v>74</v>
      </c>
    </row>
    <row r="144" spans="1:1" x14ac:dyDescent="0.25">
      <c r="A144" t="s">
        <v>77</v>
      </c>
    </row>
    <row r="145" spans="1:1" x14ac:dyDescent="0.25">
      <c r="A145" t="s">
        <v>78</v>
      </c>
    </row>
    <row r="146" spans="1:1" x14ac:dyDescent="0.25">
      <c r="A146" t="s">
        <v>34</v>
      </c>
    </row>
    <row r="147" spans="1:1" x14ac:dyDescent="0.25">
      <c r="A147" t="s">
        <v>79</v>
      </c>
    </row>
    <row r="148" spans="1:1" x14ac:dyDescent="0.25">
      <c r="A148" t="s">
        <v>80</v>
      </c>
    </row>
    <row r="149" spans="1:1" x14ac:dyDescent="0.25">
      <c r="A149" t="s">
        <v>81</v>
      </c>
    </row>
    <row r="150" spans="1:1" x14ac:dyDescent="0.25">
      <c r="A150" t="s">
        <v>82</v>
      </c>
    </row>
    <row r="151" spans="1:1" x14ac:dyDescent="0.25">
      <c r="A151" t="s">
        <v>83</v>
      </c>
    </row>
    <row r="152" spans="1:1" x14ac:dyDescent="0.25">
      <c r="A152" t="s">
        <v>84</v>
      </c>
    </row>
    <row r="153" spans="1:1" x14ac:dyDescent="0.25">
      <c r="A153" t="s">
        <v>85</v>
      </c>
    </row>
    <row r="154" spans="1:1" x14ac:dyDescent="0.25">
      <c r="A154" t="s">
        <v>86</v>
      </c>
    </row>
    <row r="155" spans="1:1" x14ac:dyDescent="0.25">
      <c r="A155" t="s">
        <v>87</v>
      </c>
    </row>
    <row r="156" spans="1:1" x14ac:dyDescent="0.25">
      <c r="A156" t="s">
        <v>75</v>
      </c>
    </row>
    <row r="158" spans="1:1" x14ac:dyDescent="0.25">
      <c r="A158" t="s">
        <v>88</v>
      </c>
    </row>
    <row r="159" spans="1:1" x14ac:dyDescent="0.25">
      <c r="A159" t="s">
        <v>89</v>
      </c>
    </row>
    <row r="160" spans="1:1" x14ac:dyDescent="0.25">
      <c r="A160" t="s">
        <v>90</v>
      </c>
    </row>
    <row r="161" spans="1:1" x14ac:dyDescent="0.25">
      <c r="A161" t="s">
        <v>91</v>
      </c>
    </row>
    <row r="162" spans="1:1" x14ac:dyDescent="0.25">
      <c r="A162" t="s">
        <v>92</v>
      </c>
    </row>
    <row r="163" spans="1:1" x14ac:dyDescent="0.25">
      <c r="A163" t="s">
        <v>93</v>
      </c>
    </row>
    <row r="164" spans="1:1" x14ac:dyDescent="0.25">
      <c r="A164" t="s">
        <v>94</v>
      </c>
    </row>
    <row r="165" spans="1:1" x14ac:dyDescent="0.25">
      <c r="A165" t="s">
        <v>95</v>
      </c>
    </row>
    <row r="166" spans="1:1" x14ac:dyDescent="0.25">
      <c r="A166" t="s">
        <v>96</v>
      </c>
    </row>
    <row r="167" spans="1:1" x14ac:dyDescent="0.25">
      <c r="A167" t="s">
        <v>97</v>
      </c>
    </row>
    <row r="168" spans="1:1" x14ac:dyDescent="0.25">
      <c r="A168" t="s">
        <v>98</v>
      </c>
    </row>
    <row r="169" spans="1:1" x14ac:dyDescent="0.25">
      <c r="A169" t="s">
        <v>99</v>
      </c>
    </row>
    <row r="170" spans="1:1" x14ac:dyDescent="0.25">
      <c r="A170" t="s">
        <v>100</v>
      </c>
    </row>
    <row r="171" spans="1:1" x14ac:dyDescent="0.25">
      <c r="A171" t="s">
        <v>101</v>
      </c>
    </row>
    <row r="172" spans="1:1" x14ac:dyDescent="0.25">
      <c r="A172" t="s">
        <v>102</v>
      </c>
    </row>
    <row r="173" spans="1:1" x14ac:dyDescent="0.25">
      <c r="A173" t="s">
        <v>35</v>
      </c>
    </row>
    <row r="175" spans="1:1" x14ac:dyDescent="0.25">
      <c r="A175" t="s">
        <v>103</v>
      </c>
    </row>
    <row r="176" spans="1:1" x14ac:dyDescent="0.25">
      <c r="A176" t="s">
        <v>89</v>
      </c>
    </row>
    <row r="177" spans="1:1" x14ac:dyDescent="0.25">
      <c r="A177" t="s">
        <v>92</v>
      </c>
    </row>
    <row r="178" spans="1:1" x14ac:dyDescent="0.25">
      <c r="A178" t="s">
        <v>104</v>
      </c>
    </row>
    <row r="179" spans="1:1" x14ac:dyDescent="0.25">
      <c r="A179" t="s">
        <v>91</v>
      </c>
    </row>
    <row r="180" spans="1:1" x14ac:dyDescent="0.25">
      <c r="A180" t="s">
        <v>105</v>
      </c>
    </row>
    <row r="181" spans="1:1" x14ac:dyDescent="0.25">
      <c r="A181" t="s">
        <v>106</v>
      </c>
    </row>
    <row r="182" spans="1:1" x14ac:dyDescent="0.25">
      <c r="A182" t="s">
        <v>107</v>
      </c>
    </row>
    <row r="183" spans="1:1" x14ac:dyDescent="0.25">
      <c r="A183" t="s">
        <v>108</v>
      </c>
    </row>
    <row r="184" spans="1:1" x14ac:dyDescent="0.25">
      <c r="A184" t="s">
        <v>109</v>
      </c>
    </row>
    <row r="185" spans="1:1" x14ac:dyDescent="0.25">
      <c r="A185" t="s">
        <v>110</v>
      </c>
    </row>
    <row r="186" spans="1:1" x14ac:dyDescent="0.25">
      <c r="A186" t="s">
        <v>111</v>
      </c>
    </row>
    <row r="187" spans="1:1" x14ac:dyDescent="0.25">
      <c r="A187" t="s">
        <v>100</v>
      </c>
    </row>
    <row r="188" spans="1:1" x14ac:dyDescent="0.25">
      <c r="A188" t="s">
        <v>112</v>
      </c>
    </row>
    <row r="189" spans="1:1" x14ac:dyDescent="0.25">
      <c r="A189" t="s">
        <v>102</v>
      </c>
    </row>
    <row r="190" spans="1:1" x14ac:dyDescent="0.25">
      <c r="A190" t="s">
        <v>76</v>
      </c>
    </row>
    <row r="191" spans="1:1" x14ac:dyDescent="0.25">
      <c r="A191" t="s">
        <v>113</v>
      </c>
    </row>
    <row r="193" spans="1:1" x14ac:dyDescent="0.25">
      <c r="A193" t="s">
        <v>75</v>
      </c>
    </row>
    <row r="194" spans="1:1" x14ac:dyDescent="0.25">
      <c r="A194" t="s">
        <v>35</v>
      </c>
    </row>
    <row r="195" spans="1:1" x14ac:dyDescent="0.25">
      <c r="A195" t="s">
        <v>74</v>
      </c>
    </row>
    <row r="196" spans="1:1" x14ac:dyDescent="0.25">
      <c r="A196" t="s">
        <v>114</v>
      </c>
    </row>
    <row r="197" spans="1:1" x14ac:dyDescent="0.25">
      <c r="A197" t="s">
        <v>115</v>
      </c>
    </row>
    <row r="199" spans="1:1" x14ac:dyDescent="0.25">
      <c r="A199" t="s">
        <v>116</v>
      </c>
    </row>
    <row r="200" spans="1:1" x14ac:dyDescent="0.25">
      <c r="A200" t="s">
        <v>117</v>
      </c>
    </row>
    <row r="201" spans="1:1" x14ac:dyDescent="0.25">
      <c r="A201" t="s">
        <v>118</v>
      </c>
    </row>
    <row r="202" spans="1:1" x14ac:dyDescent="0.25">
      <c r="A202" t="s">
        <v>119</v>
      </c>
    </row>
    <row r="203" spans="1:1" x14ac:dyDescent="0.25">
      <c r="A203" t="s">
        <v>120</v>
      </c>
    </row>
    <row r="204" spans="1:1" x14ac:dyDescent="0.25">
      <c r="A204" t="s">
        <v>121</v>
      </c>
    </row>
    <row r="205" spans="1:1" x14ac:dyDescent="0.25">
      <c r="A205" t="s">
        <v>122</v>
      </c>
    </row>
    <row r="206" spans="1:1" x14ac:dyDescent="0.25">
      <c r="A206" t="s">
        <v>123</v>
      </c>
    </row>
    <row r="207" spans="1:1" x14ac:dyDescent="0.25">
      <c r="A207" t="s">
        <v>124</v>
      </c>
    </row>
    <row r="208" spans="1:1" x14ac:dyDescent="0.25">
      <c r="A208" t="s">
        <v>125</v>
      </c>
    </row>
    <row r="209" spans="1:18" x14ac:dyDescent="0.25">
      <c r="A209" t="s">
        <v>126</v>
      </c>
    </row>
    <row r="210" spans="1:18" x14ac:dyDescent="0.25">
      <c r="A210" t="s">
        <v>127</v>
      </c>
    </row>
    <row r="211" spans="1:18" x14ac:dyDescent="0.25">
      <c r="A211" t="s">
        <v>128</v>
      </c>
    </row>
    <row r="212" spans="1:18" x14ac:dyDescent="0.25">
      <c r="A212" t="s">
        <v>129</v>
      </c>
    </row>
    <row r="213" spans="1:18" x14ac:dyDescent="0.25">
      <c r="A213" t="s">
        <v>130</v>
      </c>
    </row>
    <row r="214" spans="1:18" x14ac:dyDescent="0.25">
      <c r="A214" t="s">
        <v>1251</v>
      </c>
    </row>
    <row r="216" spans="1:18" x14ac:dyDescent="0.25">
      <c r="A216" t="s">
        <v>1307</v>
      </c>
    </row>
    <row r="218" spans="1:18" x14ac:dyDescent="0.25">
      <c r="A218" t="s">
        <v>4779</v>
      </c>
    </row>
    <row r="220" spans="1:18" x14ac:dyDescent="0.25">
      <c r="A220" t="s">
        <v>4780</v>
      </c>
      <c r="C220" s="62"/>
      <c r="D220" s="76"/>
      <c r="E220" s="76"/>
      <c r="F220" s="76"/>
      <c r="G220" s="76"/>
      <c r="H220" s="76"/>
      <c r="I220" s="62"/>
      <c r="L220" s="62"/>
      <c r="M220" s="62"/>
      <c r="N220" s="76"/>
      <c r="O220" s="62"/>
      <c r="R220" s="62"/>
    </row>
    <row r="221" spans="1:18" x14ac:dyDescent="0.25">
      <c r="C221" s="62"/>
      <c r="D221" s="76"/>
      <c r="E221" s="76"/>
      <c r="F221" s="76"/>
      <c r="G221" s="76"/>
      <c r="H221" s="76"/>
      <c r="I221" s="62"/>
      <c r="L221" s="62"/>
      <c r="M221" s="62"/>
      <c r="N221" s="76"/>
      <c r="O221" s="62"/>
      <c r="R221" s="62"/>
    </row>
    <row r="222" spans="1:18" x14ac:dyDescent="0.25">
      <c r="A222" t="s">
        <v>1533</v>
      </c>
      <c r="C222" s="62"/>
      <c r="D222" s="76"/>
      <c r="E222" s="76"/>
      <c r="F222" s="76"/>
      <c r="G222" s="76"/>
      <c r="H222" s="76"/>
      <c r="I222" s="62"/>
      <c r="L222" s="62"/>
      <c r="M222" s="62"/>
      <c r="N222" s="76"/>
      <c r="O222" s="62"/>
      <c r="R222" s="62"/>
    </row>
    <row r="223" spans="1:18" x14ac:dyDescent="0.25">
      <c r="C223" s="62"/>
      <c r="D223" s="76"/>
      <c r="E223" s="76"/>
      <c r="F223" s="76"/>
      <c r="G223" s="76"/>
      <c r="H223" s="76"/>
      <c r="I223" s="62"/>
      <c r="L223" s="62"/>
      <c r="M223" s="62"/>
      <c r="N223" s="76"/>
      <c r="O223" s="62"/>
      <c r="R223" s="62"/>
    </row>
    <row r="224" spans="1:18" x14ac:dyDescent="0.25">
      <c r="A224" t="s">
        <v>1534</v>
      </c>
      <c r="C224" s="62"/>
      <c r="D224" s="76"/>
      <c r="E224" s="76"/>
      <c r="F224" s="76"/>
      <c r="G224" s="76"/>
      <c r="H224" s="76"/>
      <c r="I224" s="62"/>
      <c r="L224" s="62"/>
      <c r="M224" s="62"/>
      <c r="N224" s="76"/>
      <c r="O224" s="62"/>
      <c r="R224" s="62"/>
    </row>
    <row r="225" spans="1:37" x14ac:dyDescent="0.25">
      <c r="A225" t="s">
        <v>131</v>
      </c>
      <c r="B225" t="s">
        <v>304</v>
      </c>
      <c r="C225" s="62" t="s">
        <v>1535</v>
      </c>
      <c r="D225" s="76" t="s">
        <v>1514</v>
      </c>
      <c r="E225" s="76" t="s">
        <v>1515</v>
      </c>
      <c r="F225" s="76" t="s">
        <v>1516</v>
      </c>
      <c r="G225" s="76" t="s">
        <v>1536</v>
      </c>
      <c r="H225" s="76" t="s">
        <v>1517</v>
      </c>
      <c r="I225" s="62" t="s">
        <v>1518</v>
      </c>
      <c r="J225" t="s">
        <v>1522</v>
      </c>
      <c r="K225" t="s">
        <v>1523</v>
      </c>
      <c r="L225" s="62" t="s">
        <v>1524</v>
      </c>
      <c r="M225" s="62" t="s">
        <v>1525</v>
      </c>
      <c r="N225" s="76" t="s">
        <v>1526</v>
      </c>
      <c r="O225" s="62" t="s">
        <v>1527</v>
      </c>
      <c r="P225" t="s">
        <v>1537</v>
      </c>
      <c r="Q225" t="s">
        <v>1538</v>
      </c>
      <c r="R225" s="62" t="s">
        <v>1539</v>
      </c>
      <c r="S225" t="s">
        <v>1540</v>
      </c>
      <c r="U225" t="s">
        <v>1539</v>
      </c>
      <c r="V225" t="s">
        <v>1538</v>
      </c>
      <c r="W225" t="s">
        <v>1537</v>
      </c>
      <c r="X225" t="s">
        <v>1527</v>
      </c>
      <c r="Y225" t="s">
        <v>1526</v>
      </c>
      <c r="Z225" t="s">
        <v>1525</v>
      </c>
      <c r="AA225" t="s">
        <v>1524</v>
      </c>
      <c r="AB225" t="s">
        <v>1523</v>
      </c>
      <c r="AC225" t="s">
        <v>1522</v>
      </c>
      <c r="AD225" t="s">
        <v>1518</v>
      </c>
      <c r="AE225" t="s">
        <v>1517</v>
      </c>
      <c r="AF225" t="s">
        <v>1536</v>
      </c>
      <c r="AG225" t="s">
        <v>1516</v>
      </c>
      <c r="AH225" t="s">
        <v>1515</v>
      </c>
      <c r="AI225" t="s">
        <v>1514</v>
      </c>
      <c r="AJ225" t="s">
        <v>1535</v>
      </c>
      <c r="AK225" t="s">
        <v>1531</v>
      </c>
    </row>
    <row r="226" spans="1:37" x14ac:dyDescent="0.25">
      <c r="A226" t="s">
        <v>4</v>
      </c>
      <c r="B226">
        <v>4.59</v>
      </c>
      <c r="C226" s="62">
        <v>0.48</v>
      </c>
      <c r="D226" s="76">
        <v>3.5000000000000003E-2</v>
      </c>
      <c r="E226" s="76">
        <v>0.22900000000000001</v>
      </c>
      <c r="F226" s="76">
        <v>8.3000000000000004E-2</v>
      </c>
      <c r="G226" s="76">
        <v>0.14599999999999999</v>
      </c>
      <c r="H226" s="76">
        <v>8.5999999999999993E-2</v>
      </c>
      <c r="I226" s="62">
        <v>0.38</v>
      </c>
      <c r="J226">
        <v>0.77</v>
      </c>
      <c r="K226">
        <v>1.0900000000000001</v>
      </c>
      <c r="L226" s="62">
        <v>0.64</v>
      </c>
      <c r="M226" s="62">
        <v>0.26</v>
      </c>
      <c r="N226" s="76">
        <v>0.105</v>
      </c>
      <c r="O226" s="62">
        <v>0.11</v>
      </c>
      <c r="P226">
        <v>1075</v>
      </c>
      <c r="Q226">
        <v>113</v>
      </c>
      <c r="R226" s="62">
        <v>0.11</v>
      </c>
      <c r="S226">
        <v>0</v>
      </c>
      <c r="U226">
        <f t="array" ref="U226:AK230">LINEST($B$226:$B$257,$C$226:$R$257,1,1)</f>
        <v>-21.37054691581713</v>
      </c>
      <c r="V226">
        <v>1.3427983668986773E-2</v>
      </c>
      <c r="W226">
        <v>-1.3646328072068161E-3</v>
      </c>
      <c r="X226">
        <v>0.28867988607169698</v>
      </c>
      <c r="Y226">
        <v>-47.507733361216907</v>
      </c>
      <c r="Z226">
        <v>-8.8846210536882175</v>
      </c>
      <c r="AA226">
        <v>1.3745921432387147</v>
      </c>
      <c r="AB226">
        <v>1.5016775981385873</v>
      </c>
      <c r="AC226">
        <v>0.13280754986076782</v>
      </c>
      <c r="AD226">
        <v>-11.374557330604652</v>
      </c>
      <c r="AE226">
        <v>58.562905532742306</v>
      </c>
      <c r="AF226">
        <v>-88.81931776779966</v>
      </c>
      <c r="AG226">
        <v>-64.354525944588232</v>
      </c>
      <c r="AH226">
        <v>92.745858452933518</v>
      </c>
      <c r="AI226">
        <v>179.91122461840436</v>
      </c>
      <c r="AJ226">
        <v>-2.3597072952292972</v>
      </c>
      <c r="AK226">
        <v>2.6986963996242381</v>
      </c>
    </row>
    <row r="227" spans="1:37" x14ac:dyDescent="0.25">
      <c r="A227" t="s">
        <v>10</v>
      </c>
      <c r="B227">
        <v>4.59</v>
      </c>
      <c r="C227" s="62">
        <v>0.49</v>
      </c>
      <c r="D227" s="76">
        <v>3.3000000000000002E-2</v>
      </c>
      <c r="E227" s="76">
        <v>0.223</v>
      </c>
      <c r="F227" s="76">
        <v>8.7999999999999995E-2</v>
      </c>
      <c r="G227" s="76">
        <v>0.13500000000000001</v>
      </c>
      <c r="H227" s="76">
        <v>7.6999999999999999E-2</v>
      </c>
      <c r="I227" s="62">
        <v>0.34</v>
      </c>
      <c r="J227">
        <v>0.84</v>
      </c>
      <c r="K227">
        <v>1.1399999999999999</v>
      </c>
      <c r="L227" s="62">
        <v>0.64</v>
      </c>
      <c r="M227" s="62">
        <v>0.25</v>
      </c>
      <c r="N227" s="76">
        <v>0.1</v>
      </c>
      <c r="O227" s="62">
        <v>0.11</v>
      </c>
      <c r="P227">
        <v>1156</v>
      </c>
      <c r="Q227">
        <v>134</v>
      </c>
      <c r="R227" s="62">
        <v>0.12</v>
      </c>
      <c r="S227">
        <v>0</v>
      </c>
      <c r="U227">
        <v>11.963675437366566</v>
      </c>
      <c r="V227">
        <v>1.2643766590213063E-2</v>
      </c>
      <c r="W227">
        <v>1.2846542620514854E-3</v>
      </c>
      <c r="X227">
        <v>4.2763751140929562</v>
      </c>
      <c r="Y227">
        <v>24.340210453648378</v>
      </c>
      <c r="Z227">
        <v>6.4288468149642251</v>
      </c>
      <c r="AA227">
        <v>10.282108555027063</v>
      </c>
      <c r="AB227">
        <v>1.1854156628297872</v>
      </c>
      <c r="AC227">
        <v>2.303169243929768</v>
      </c>
      <c r="AD227">
        <v>3.550755029701262</v>
      </c>
      <c r="AE227">
        <v>14.553138318094438</v>
      </c>
      <c r="AF227">
        <v>49.480460789142811</v>
      </c>
      <c r="AG227">
        <v>49.62290596758686</v>
      </c>
      <c r="AH227">
        <v>51.497702120013336</v>
      </c>
      <c r="AI227">
        <v>75.109874506671588</v>
      </c>
      <c r="AJ227">
        <v>0.87781408928779081</v>
      </c>
      <c r="AK227">
        <v>9.3804194949492885</v>
      </c>
    </row>
    <row r="228" spans="1:37" x14ac:dyDescent="0.25">
      <c r="A228" t="s">
        <v>8</v>
      </c>
      <c r="B228">
        <v>6.06</v>
      </c>
      <c r="C228" s="62">
        <v>0.51</v>
      </c>
      <c r="D228" s="76">
        <v>4.8000000000000001E-2</v>
      </c>
      <c r="E228" s="76">
        <v>0.19500000000000001</v>
      </c>
      <c r="F228" s="76">
        <v>8.7999999999999995E-2</v>
      </c>
      <c r="G228" s="76">
        <v>0.107</v>
      </c>
      <c r="H228" s="76">
        <v>0.10100000000000001</v>
      </c>
      <c r="I228" s="62">
        <v>0.42</v>
      </c>
      <c r="J228">
        <v>0.68</v>
      </c>
      <c r="K228">
        <v>0.93</v>
      </c>
      <c r="L228" s="62">
        <v>0.66</v>
      </c>
      <c r="M228" s="62">
        <v>0.26</v>
      </c>
      <c r="N228" s="76">
        <v>0.13</v>
      </c>
      <c r="O228" s="62">
        <v>0.12</v>
      </c>
      <c r="P228">
        <v>1203</v>
      </c>
      <c r="Q228">
        <v>134</v>
      </c>
      <c r="R228" s="62">
        <v>0.11</v>
      </c>
      <c r="S228">
        <v>0</v>
      </c>
      <c r="U228">
        <v>0.97219119926919306</v>
      </c>
      <c r="V228">
        <v>0.13966111156328187</v>
      </c>
      <c r="W228" t="e">
        <v>#N/A</v>
      </c>
      <c r="X228" t="e">
        <v>#N/A</v>
      </c>
      <c r="Y228" t="e">
        <v>#N/A</v>
      </c>
      <c r="Z228" t="e">
        <v>#N/A</v>
      </c>
      <c r="AA228" t="e">
        <v>#N/A</v>
      </c>
      <c r="AB228" t="e">
        <v>#N/A</v>
      </c>
      <c r="AC228" t="e">
        <v>#N/A</v>
      </c>
      <c r="AD228" t="e">
        <v>#N/A</v>
      </c>
      <c r="AE228" t="e">
        <v>#N/A</v>
      </c>
      <c r="AF228" t="e">
        <v>#N/A</v>
      </c>
      <c r="AG228" t="e">
        <v>#N/A</v>
      </c>
      <c r="AH228" t="e">
        <v>#N/A</v>
      </c>
      <c r="AI228" t="e">
        <v>#N/A</v>
      </c>
      <c r="AJ228" t="e">
        <v>#N/A</v>
      </c>
      <c r="AK228" t="e">
        <v>#N/A</v>
      </c>
    </row>
    <row r="229" spans="1:37" x14ac:dyDescent="0.25">
      <c r="A229" t="s">
        <v>9</v>
      </c>
      <c r="B229">
        <v>5.1100000000000003</v>
      </c>
      <c r="C229" s="62">
        <v>0.42</v>
      </c>
      <c r="D229" s="76">
        <v>3.4000000000000002E-2</v>
      </c>
      <c r="E229" s="76">
        <v>0.255</v>
      </c>
      <c r="F229" s="76">
        <v>9.5000000000000001E-2</v>
      </c>
      <c r="G229" s="76">
        <v>0.161</v>
      </c>
      <c r="H229" s="76">
        <v>8.7999999999999995E-2</v>
      </c>
      <c r="I229" s="62">
        <v>0.39</v>
      </c>
      <c r="J229">
        <v>0.76</v>
      </c>
      <c r="K229">
        <v>1.04</v>
      </c>
      <c r="L229" s="62">
        <v>0.6</v>
      </c>
      <c r="M229" s="62">
        <v>0.25</v>
      </c>
      <c r="N229" s="76">
        <v>0.105</v>
      </c>
      <c r="O229" s="62">
        <v>0.11</v>
      </c>
      <c r="P229">
        <v>1189</v>
      </c>
      <c r="Q229">
        <v>97</v>
      </c>
      <c r="R229" s="62">
        <v>0.08</v>
      </c>
      <c r="S229">
        <v>0</v>
      </c>
      <c r="U229">
        <v>32.774849161516592</v>
      </c>
      <c r="V229">
        <v>15</v>
      </c>
      <c r="W229" t="e">
        <v>#N/A</v>
      </c>
      <c r="X229" t="e">
        <v>#N/A</v>
      </c>
      <c r="Y229" t="e">
        <v>#N/A</v>
      </c>
      <c r="Z229" t="e">
        <v>#N/A</v>
      </c>
      <c r="AA229" t="e">
        <v>#N/A</v>
      </c>
      <c r="AB229" t="e">
        <v>#N/A</v>
      </c>
      <c r="AC229" t="e">
        <v>#N/A</v>
      </c>
      <c r="AD229" t="e">
        <v>#N/A</v>
      </c>
      <c r="AE229" t="e">
        <v>#N/A</v>
      </c>
      <c r="AF229" t="e">
        <v>#N/A</v>
      </c>
      <c r="AG229" t="e">
        <v>#N/A</v>
      </c>
      <c r="AH229" t="e">
        <v>#N/A</v>
      </c>
      <c r="AI229" t="e">
        <v>#N/A</v>
      </c>
      <c r="AJ229" t="e">
        <v>#N/A</v>
      </c>
      <c r="AK229" t="e">
        <v>#N/A</v>
      </c>
    </row>
    <row r="230" spans="1:37" x14ac:dyDescent="0.25">
      <c r="A230" t="s">
        <v>31</v>
      </c>
      <c r="B230">
        <v>4.43</v>
      </c>
      <c r="C230" s="62">
        <v>0.42</v>
      </c>
      <c r="D230" s="76">
        <v>3.2000000000000001E-2</v>
      </c>
      <c r="E230" s="76">
        <v>0.23300000000000001</v>
      </c>
      <c r="F230" s="76">
        <v>8.5999999999999993E-2</v>
      </c>
      <c r="G230" s="76">
        <v>0.14699999999999999</v>
      </c>
      <c r="H230" s="76">
        <v>7.8E-2</v>
      </c>
      <c r="I230" s="62">
        <v>0.35</v>
      </c>
      <c r="J230">
        <v>0.85</v>
      </c>
      <c r="K230">
        <v>1.23</v>
      </c>
      <c r="L230" s="62">
        <v>0.63</v>
      </c>
      <c r="M230" s="62">
        <v>0.26</v>
      </c>
      <c r="N230" s="76">
        <v>9.9000000000000005E-2</v>
      </c>
      <c r="O230" s="62">
        <v>0.11</v>
      </c>
      <c r="P230">
        <v>1124</v>
      </c>
      <c r="Q230">
        <v>133</v>
      </c>
      <c r="R230" s="62">
        <v>0.12</v>
      </c>
      <c r="S230">
        <v>0</v>
      </c>
      <c r="U230">
        <v>10.228493483753631</v>
      </c>
      <c r="V230">
        <v>0.29257839124637203</v>
      </c>
      <c r="W230" t="e">
        <v>#N/A</v>
      </c>
      <c r="X230" t="e">
        <v>#N/A</v>
      </c>
      <c r="Y230" t="e">
        <v>#N/A</v>
      </c>
      <c r="Z230" t="e">
        <v>#N/A</v>
      </c>
      <c r="AA230" t="e">
        <v>#N/A</v>
      </c>
      <c r="AB230" t="e">
        <v>#N/A</v>
      </c>
      <c r="AC230" t="e">
        <v>#N/A</v>
      </c>
      <c r="AD230" t="e">
        <v>#N/A</v>
      </c>
      <c r="AE230" t="e">
        <v>#N/A</v>
      </c>
      <c r="AF230" t="e">
        <v>#N/A</v>
      </c>
      <c r="AG230" t="e">
        <v>#N/A</v>
      </c>
      <c r="AH230" t="e">
        <v>#N/A</v>
      </c>
      <c r="AI230" t="e">
        <v>#N/A</v>
      </c>
      <c r="AJ230" t="e">
        <v>#N/A</v>
      </c>
      <c r="AK230" t="e">
        <v>#N/A</v>
      </c>
    </row>
    <row r="231" spans="1:37" x14ac:dyDescent="0.25">
      <c r="A231" t="s">
        <v>32</v>
      </c>
      <c r="B231">
        <v>5.17</v>
      </c>
      <c r="C231" s="62">
        <v>0.48</v>
      </c>
      <c r="D231" s="76">
        <v>3.9E-2</v>
      </c>
      <c r="E231" s="76">
        <v>0.21299999999999999</v>
      </c>
      <c r="F231" s="76">
        <v>9.5000000000000001E-2</v>
      </c>
      <c r="G231" s="76">
        <v>0.11899999999999999</v>
      </c>
      <c r="H231" s="76">
        <v>8.6999999999999994E-2</v>
      </c>
      <c r="I231" s="62">
        <v>0.37</v>
      </c>
      <c r="J231">
        <v>0.76</v>
      </c>
      <c r="K231">
        <v>1.0900000000000001</v>
      </c>
      <c r="L231" s="62">
        <v>0.64</v>
      </c>
      <c r="M231" s="62">
        <v>0.26</v>
      </c>
      <c r="N231" s="76">
        <v>0.114</v>
      </c>
      <c r="O231" s="62">
        <v>0.12</v>
      </c>
      <c r="P231">
        <v>1182</v>
      </c>
      <c r="Q231">
        <v>149</v>
      </c>
      <c r="R231" s="62">
        <v>0.13</v>
      </c>
      <c r="S231">
        <v>0</v>
      </c>
    </row>
    <row r="232" spans="1:37" x14ac:dyDescent="0.25">
      <c r="A232" t="s">
        <v>12</v>
      </c>
      <c r="B232">
        <v>4.3899999999999997</v>
      </c>
      <c r="C232" s="62">
        <v>0.52</v>
      </c>
      <c r="D232" s="76">
        <v>3.5000000000000003E-2</v>
      </c>
      <c r="E232" s="76">
        <v>0.25600000000000001</v>
      </c>
      <c r="F232" s="76">
        <v>8.8999999999999996E-2</v>
      </c>
      <c r="G232" s="76">
        <v>0.16800000000000001</v>
      </c>
      <c r="H232" s="76">
        <v>8.1000000000000003E-2</v>
      </c>
      <c r="I232" s="62">
        <v>0.39</v>
      </c>
      <c r="J232">
        <v>0.81</v>
      </c>
      <c r="K232">
        <v>1.1299999999999999</v>
      </c>
      <c r="L232" s="62">
        <v>0.6</v>
      </c>
      <c r="M232" s="62">
        <v>0.24</v>
      </c>
      <c r="N232" s="76">
        <v>0.113</v>
      </c>
      <c r="O232" s="62">
        <v>0.11</v>
      </c>
      <c r="P232">
        <v>996</v>
      </c>
      <c r="Q232">
        <v>104</v>
      </c>
      <c r="R232" s="62">
        <v>0.1</v>
      </c>
      <c r="S232">
        <v>0</v>
      </c>
    </row>
    <row r="233" spans="1:37" x14ac:dyDescent="0.25">
      <c r="A233" t="s">
        <v>3</v>
      </c>
      <c r="B233">
        <v>4.0599999999999996</v>
      </c>
      <c r="C233" s="62">
        <v>0.54</v>
      </c>
      <c r="D233" s="76">
        <v>3.5000000000000003E-2</v>
      </c>
      <c r="E233" s="76">
        <v>0.251</v>
      </c>
      <c r="F233" s="76">
        <v>7.4999999999999997E-2</v>
      </c>
      <c r="G233" s="76">
        <v>0.17599999999999999</v>
      </c>
      <c r="H233" s="76">
        <v>0.09</v>
      </c>
      <c r="I233" s="62">
        <v>0.41</v>
      </c>
      <c r="J233">
        <v>0.67</v>
      </c>
      <c r="K233">
        <v>0.87</v>
      </c>
      <c r="L233" s="62">
        <v>0.63</v>
      </c>
      <c r="M233" s="62">
        <v>0.26</v>
      </c>
      <c r="N233" s="76">
        <v>0.10100000000000001</v>
      </c>
      <c r="O233" s="62">
        <v>0.13</v>
      </c>
      <c r="P233">
        <v>996</v>
      </c>
      <c r="Q233">
        <v>86</v>
      </c>
      <c r="R233" s="62">
        <v>0.09</v>
      </c>
      <c r="S233">
        <v>0</v>
      </c>
    </row>
    <row r="234" spans="1:37" x14ac:dyDescent="0.25">
      <c r="A234" t="s">
        <v>11</v>
      </c>
      <c r="B234">
        <v>5.91</v>
      </c>
      <c r="C234" s="62">
        <v>0.5</v>
      </c>
      <c r="D234" s="76">
        <v>4.2000000000000003E-2</v>
      </c>
      <c r="E234" s="76">
        <v>0.19700000000000001</v>
      </c>
      <c r="F234" s="76">
        <v>9.1999999999999998E-2</v>
      </c>
      <c r="G234" s="76">
        <v>0.105</v>
      </c>
      <c r="H234" s="76">
        <v>0.1</v>
      </c>
      <c r="I234" s="62">
        <v>0.41</v>
      </c>
      <c r="J234">
        <v>0.87</v>
      </c>
      <c r="K234">
        <v>1.33</v>
      </c>
      <c r="L234" s="62">
        <v>0.65</v>
      </c>
      <c r="M234" s="62">
        <v>0.26</v>
      </c>
      <c r="N234" s="76">
        <v>0.124</v>
      </c>
      <c r="O234" s="62">
        <v>0.08</v>
      </c>
      <c r="P234">
        <v>1251</v>
      </c>
      <c r="Q234">
        <v>139</v>
      </c>
      <c r="R234" s="62">
        <v>0.11</v>
      </c>
      <c r="S234">
        <v>0</v>
      </c>
    </row>
    <row r="235" spans="1:37" x14ac:dyDescent="0.25">
      <c r="A235" t="s">
        <v>2</v>
      </c>
      <c r="B235">
        <v>5.68</v>
      </c>
      <c r="C235" s="62">
        <v>0.4</v>
      </c>
      <c r="D235" s="76">
        <v>3.9E-2</v>
      </c>
      <c r="E235" s="76">
        <v>0.216</v>
      </c>
      <c r="F235" s="76">
        <v>8.5000000000000006E-2</v>
      </c>
      <c r="G235" s="76">
        <v>0.13100000000000001</v>
      </c>
      <c r="H235" s="76">
        <v>9.6000000000000002E-2</v>
      </c>
      <c r="I235" s="62">
        <v>0.39</v>
      </c>
      <c r="J235">
        <v>0.75</v>
      </c>
      <c r="K235">
        <v>0.99</v>
      </c>
      <c r="L235" s="62">
        <v>0.65</v>
      </c>
      <c r="M235" s="62">
        <v>0.25</v>
      </c>
      <c r="N235" s="76">
        <v>0.114</v>
      </c>
      <c r="O235" s="62">
        <v>0.11</v>
      </c>
      <c r="P235">
        <v>1184</v>
      </c>
      <c r="Q235">
        <v>106</v>
      </c>
      <c r="R235" s="62">
        <v>0.09</v>
      </c>
      <c r="S235">
        <v>0</v>
      </c>
    </row>
    <row r="236" spans="1:37" x14ac:dyDescent="0.25">
      <c r="A236" t="s">
        <v>16</v>
      </c>
      <c r="B236">
        <v>3.95</v>
      </c>
      <c r="C236" s="62">
        <v>0.46</v>
      </c>
      <c r="D236" s="76">
        <v>3.7999999999999999E-2</v>
      </c>
      <c r="E236" s="76">
        <v>0.27900000000000003</v>
      </c>
      <c r="F236" s="76">
        <v>7.4999999999999997E-2</v>
      </c>
      <c r="G236" s="76">
        <v>0.20399999999999999</v>
      </c>
      <c r="H236" s="76">
        <v>8.1000000000000003E-2</v>
      </c>
      <c r="I236" s="62">
        <v>0.4</v>
      </c>
      <c r="J236">
        <v>0.78</v>
      </c>
      <c r="K236">
        <v>1.03</v>
      </c>
      <c r="L236" s="62">
        <v>0.6</v>
      </c>
      <c r="M236" s="62">
        <v>0.24</v>
      </c>
      <c r="N236" s="76">
        <v>0.122</v>
      </c>
      <c r="O236" s="62">
        <v>0.12</v>
      </c>
      <c r="P236">
        <v>957</v>
      </c>
      <c r="Q236">
        <v>83</v>
      </c>
      <c r="R236" s="62">
        <v>0.09</v>
      </c>
      <c r="S236">
        <v>0</v>
      </c>
    </row>
    <row r="237" spans="1:37" x14ac:dyDescent="0.25">
      <c r="A237" t="s">
        <v>30</v>
      </c>
      <c r="B237">
        <v>5.36</v>
      </c>
      <c r="C237" s="62">
        <v>0.45</v>
      </c>
      <c r="D237" s="76">
        <v>3.5000000000000003E-2</v>
      </c>
      <c r="E237" s="76">
        <v>0.19500000000000001</v>
      </c>
      <c r="F237" s="76">
        <v>9.1999999999999998E-2</v>
      </c>
      <c r="G237" s="76">
        <v>0.10299999999999999</v>
      </c>
      <c r="H237" s="76">
        <v>8.6999999999999994E-2</v>
      </c>
      <c r="I237" s="62">
        <v>0.36</v>
      </c>
      <c r="J237">
        <v>0.79</v>
      </c>
      <c r="K237">
        <v>1.07</v>
      </c>
      <c r="L237" s="62">
        <v>0.66</v>
      </c>
      <c r="M237" s="62">
        <v>0.26</v>
      </c>
      <c r="N237" s="76">
        <v>0.1</v>
      </c>
      <c r="O237" s="62">
        <v>0.1</v>
      </c>
      <c r="P237">
        <v>1343</v>
      </c>
      <c r="Q237">
        <v>133</v>
      </c>
      <c r="R237" s="62">
        <v>0.1</v>
      </c>
      <c r="S237">
        <v>0</v>
      </c>
    </row>
    <row r="238" spans="1:37" x14ac:dyDescent="0.25">
      <c r="A238" t="s">
        <v>7</v>
      </c>
      <c r="B238">
        <v>5.36</v>
      </c>
      <c r="C238" s="62">
        <v>0.47</v>
      </c>
      <c r="D238" s="76">
        <v>4.2999999999999997E-2</v>
      </c>
      <c r="E238" s="76">
        <v>0.223</v>
      </c>
      <c r="F238" s="76">
        <v>9.1999999999999998E-2</v>
      </c>
      <c r="G238" s="76">
        <v>0.13200000000000001</v>
      </c>
      <c r="H238" s="76">
        <v>9.1999999999999998E-2</v>
      </c>
      <c r="I238" s="62">
        <v>0.41</v>
      </c>
      <c r="J238">
        <v>0.69</v>
      </c>
      <c r="K238">
        <v>0.93</v>
      </c>
      <c r="L238" s="62">
        <v>0.63</v>
      </c>
      <c r="M238" s="62">
        <v>0.26</v>
      </c>
      <c r="N238" s="76">
        <v>0.122</v>
      </c>
      <c r="O238" s="62">
        <v>0.11</v>
      </c>
      <c r="P238">
        <v>1123</v>
      </c>
      <c r="Q238">
        <v>106</v>
      </c>
      <c r="R238" s="62">
        <v>0.09</v>
      </c>
      <c r="S238">
        <v>0</v>
      </c>
    </row>
    <row r="239" spans="1:37" x14ac:dyDescent="0.25">
      <c r="A239" t="s">
        <v>29</v>
      </c>
      <c r="B239">
        <v>3.78</v>
      </c>
      <c r="C239" s="62">
        <v>0.43</v>
      </c>
      <c r="D239" s="76">
        <v>3.1E-2</v>
      </c>
      <c r="E239" s="76">
        <v>0.25700000000000001</v>
      </c>
      <c r="F239" s="76">
        <v>6.6000000000000003E-2</v>
      </c>
      <c r="G239" s="76">
        <v>0.191</v>
      </c>
      <c r="H239" s="76">
        <v>7.5999999999999998E-2</v>
      </c>
      <c r="I239" s="62">
        <v>0.37</v>
      </c>
      <c r="J239">
        <v>0.82</v>
      </c>
      <c r="K239">
        <v>1.1200000000000001</v>
      </c>
      <c r="L239" s="62">
        <v>0.63</v>
      </c>
      <c r="M239" s="62">
        <v>0.24</v>
      </c>
      <c r="N239" s="76">
        <v>0.10100000000000001</v>
      </c>
      <c r="O239" s="62">
        <v>0.13</v>
      </c>
      <c r="P239">
        <v>1002</v>
      </c>
      <c r="Q239">
        <v>106</v>
      </c>
      <c r="R239" s="62">
        <v>0.11</v>
      </c>
      <c r="S239">
        <v>0</v>
      </c>
    </row>
    <row r="240" spans="1:37" x14ac:dyDescent="0.25">
      <c r="A240" t="s">
        <v>5</v>
      </c>
      <c r="B240">
        <v>4.99</v>
      </c>
      <c r="C240" s="62">
        <v>0.48</v>
      </c>
      <c r="D240" s="76">
        <v>3.7999999999999999E-2</v>
      </c>
      <c r="E240" s="76">
        <v>0.221</v>
      </c>
      <c r="F240" s="76">
        <v>9.8000000000000004E-2</v>
      </c>
      <c r="G240" s="76">
        <v>0.122</v>
      </c>
      <c r="H240" s="76">
        <v>8.6999999999999994E-2</v>
      </c>
      <c r="I240" s="62">
        <v>0.41</v>
      </c>
      <c r="J240">
        <v>0.63</v>
      </c>
      <c r="K240">
        <v>0.84</v>
      </c>
      <c r="L240" s="62">
        <v>0.62</v>
      </c>
      <c r="M240" s="62">
        <v>0.24</v>
      </c>
      <c r="N240" s="76">
        <v>0.109</v>
      </c>
      <c r="O240" s="62">
        <v>0.14000000000000001</v>
      </c>
      <c r="P240">
        <v>1144</v>
      </c>
      <c r="Q240">
        <v>113</v>
      </c>
      <c r="R240" s="62">
        <v>0.1</v>
      </c>
      <c r="S240">
        <v>0</v>
      </c>
    </row>
    <row r="241" spans="1:19" x14ac:dyDescent="0.25">
      <c r="A241" t="s">
        <v>6</v>
      </c>
      <c r="B241">
        <v>4.7300000000000004</v>
      </c>
      <c r="C241" s="62">
        <v>0.51</v>
      </c>
      <c r="D241" s="76">
        <v>3.5999999999999997E-2</v>
      </c>
      <c r="E241" s="76">
        <v>0.24</v>
      </c>
      <c r="F241" s="76">
        <v>9.0999999999999998E-2</v>
      </c>
      <c r="G241" s="76">
        <v>0.14799999999999999</v>
      </c>
      <c r="H241" s="76">
        <v>8.1000000000000003E-2</v>
      </c>
      <c r="I241" s="62">
        <v>0.37</v>
      </c>
      <c r="J241">
        <v>0.74</v>
      </c>
      <c r="K241">
        <v>1</v>
      </c>
      <c r="L241" s="62">
        <v>0.62</v>
      </c>
      <c r="M241" s="62">
        <v>0.25</v>
      </c>
      <c r="N241" s="76">
        <v>0.111</v>
      </c>
      <c r="O241" s="62">
        <v>0.13</v>
      </c>
      <c r="P241">
        <v>1171</v>
      </c>
      <c r="Q241">
        <v>109</v>
      </c>
      <c r="R241" s="62">
        <v>0.09</v>
      </c>
      <c r="S241">
        <v>0</v>
      </c>
    </row>
    <row r="242" spans="1:19" x14ac:dyDescent="0.25">
      <c r="A242" t="s">
        <v>13</v>
      </c>
      <c r="B242">
        <v>4.6500000000000004</v>
      </c>
      <c r="C242" s="62">
        <v>0.47</v>
      </c>
      <c r="D242" s="76">
        <v>3.2000000000000001E-2</v>
      </c>
      <c r="E242" s="76">
        <v>0.23400000000000001</v>
      </c>
      <c r="F242" s="76">
        <v>7.1999999999999995E-2</v>
      </c>
      <c r="G242" s="76">
        <v>0.16200000000000001</v>
      </c>
      <c r="H242" s="76">
        <v>8.1000000000000003E-2</v>
      </c>
      <c r="I242" s="62">
        <v>0.35</v>
      </c>
      <c r="J242">
        <v>0.73</v>
      </c>
      <c r="K242">
        <v>0.98</v>
      </c>
      <c r="L242" s="62">
        <v>0.65</v>
      </c>
      <c r="M242" s="62">
        <v>0.26</v>
      </c>
      <c r="N242" s="76">
        <v>9.1999999999999998E-2</v>
      </c>
      <c r="O242" s="62">
        <v>0.12</v>
      </c>
      <c r="P242">
        <v>1144</v>
      </c>
      <c r="Q242">
        <v>107</v>
      </c>
      <c r="R242" s="62">
        <v>0.09</v>
      </c>
      <c r="S242">
        <v>0</v>
      </c>
    </row>
    <row r="243" spans="1:19" x14ac:dyDescent="0.25">
      <c r="A243" t="s">
        <v>27</v>
      </c>
      <c r="B243">
        <v>4.55</v>
      </c>
      <c r="C243" s="62">
        <v>0.5</v>
      </c>
      <c r="D243" s="76">
        <v>3.3000000000000002E-2</v>
      </c>
      <c r="E243" s="76">
        <v>0.24399999999999999</v>
      </c>
      <c r="F243" s="76">
        <v>0.08</v>
      </c>
      <c r="G243" s="76">
        <v>0.16400000000000001</v>
      </c>
      <c r="H243" s="76">
        <v>8.2000000000000003E-2</v>
      </c>
      <c r="I243" s="62">
        <v>0.36</v>
      </c>
      <c r="J243">
        <v>0.77</v>
      </c>
      <c r="K243">
        <v>1.06</v>
      </c>
      <c r="L243" s="62">
        <v>0.63</v>
      </c>
      <c r="M243" s="62">
        <v>0.25</v>
      </c>
      <c r="N243" s="76">
        <v>0.10100000000000001</v>
      </c>
      <c r="O243" s="62">
        <v>0.13</v>
      </c>
      <c r="P243">
        <v>1143</v>
      </c>
      <c r="Q243">
        <v>116</v>
      </c>
      <c r="R243" s="62">
        <v>0.1</v>
      </c>
      <c r="S243">
        <v>0</v>
      </c>
    </row>
    <row r="244" spans="1:19" x14ac:dyDescent="0.25">
      <c r="A244" t="s">
        <v>28</v>
      </c>
      <c r="B244">
        <v>4.5599999999999996</v>
      </c>
      <c r="C244" s="62">
        <v>0.41</v>
      </c>
      <c r="D244" s="76">
        <v>0.04</v>
      </c>
      <c r="E244" s="76">
        <v>0.25</v>
      </c>
      <c r="F244" s="76">
        <v>8.3000000000000004E-2</v>
      </c>
      <c r="G244" s="76">
        <v>0.16800000000000001</v>
      </c>
      <c r="H244" s="76">
        <v>8.8999999999999996E-2</v>
      </c>
      <c r="I244" s="62">
        <v>0.4</v>
      </c>
      <c r="J244">
        <v>0.74</v>
      </c>
      <c r="K244">
        <v>0.99</v>
      </c>
      <c r="L244" s="62">
        <v>0.62</v>
      </c>
      <c r="M244" s="62">
        <v>0.24</v>
      </c>
      <c r="N244" s="76">
        <v>0.124</v>
      </c>
      <c r="O244" s="62">
        <v>0.13</v>
      </c>
      <c r="P244">
        <v>1073</v>
      </c>
      <c r="Q244">
        <v>119</v>
      </c>
      <c r="R244" s="62">
        <v>0.11</v>
      </c>
      <c r="S244">
        <v>0</v>
      </c>
    </row>
    <row r="245" spans="1:19" x14ac:dyDescent="0.25">
      <c r="A245" t="s">
        <v>17</v>
      </c>
      <c r="B245">
        <v>4.2</v>
      </c>
      <c r="C245" s="62">
        <v>0.47</v>
      </c>
      <c r="D245" s="76">
        <v>3.3000000000000002E-2</v>
      </c>
      <c r="E245" s="76">
        <v>0.21099999999999999</v>
      </c>
      <c r="F245" s="76">
        <v>7.8E-2</v>
      </c>
      <c r="G245" s="76">
        <v>0.13400000000000001</v>
      </c>
      <c r="H245" s="76">
        <v>7.6999999999999999E-2</v>
      </c>
      <c r="I245" s="62">
        <v>0.35</v>
      </c>
      <c r="J245">
        <v>0.71</v>
      </c>
      <c r="K245">
        <v>0.93</v>
      </c>
      <c r="L245" s="62">
        <v>0.66</v>
      </c>
      <c r="M245" s="62">
        <v>0.24</v>
      </c>
      <c r="N245" s="76">
        <v>9.5000000000000001E-2</v>
      </c>
      <c r="O245" s="62">
        <v>0.15</v>
      </c>
      <c r="P245">
        <v>1122</v>
      </c>
      <c r="Q245">
        <v>112</v>
      </c>
      <c r="R245" s="62">
        <v>0.1</v>
      </c>
      <c r="S245">
        <v>0</v>
      </c>
    </row>
    <row r="246" spans="1:19" x14ac:dyDescent="0.25">
      <c r="A246" t="s">
        <v>15</v>
      </c>
      <c r="B246">
        <v>4.9000000000000004</v>
      </c>
      <c r="C246" s="62">
        <v>0.52</v>
      </c>
      <c r="D246" s="76">
        <v>4.1000000000000002E-2</v>
      </c>
      <c r="E246" s="76">
        <v>0.222</v>
      </c>
      <c r="F246" s="76">
        <v>8.6999999999999994E-2</v>
      </c>
      <c r="G246" s="76">
        <v>0.13500000000000001</v>
      </c>
      <c r="H246" s="76">
        <v>8.5000000000000006E-2</v>
      </c>
      <c r="I246" s="62">
        <v>0.37</v>
      </c>
      <c r="J246">
        <v>0.77</v>
      </c>
      <c r="K246">
        <v>1.08</v>
      </c>
      <c r="L246" s="62">
        <v>0.63</v>
      </c>
      <c r="M246" s="62">
        <v>0.26</v>
      </c>
      <c r="N246" s="76">
        <v>0.122</v>
      </c>
      <c r="O246" s="62">
        <v>0.1</v>
      </c>
      <c r="P246">
        <v>1179</v>
      </c>
      <c r="Q246">
        <v>116</v>
      </c>
      <c r="R246" s="62">
        <v>0.1</v>
      </c>
      <c r="S246">
        <v>0</v>
      </c>
    </row>
    <row r="247" spans="1:19" x14ac:dyDescent="0.25">
      <c r="A247" t="s">
        <v>14</v>
      </c>
      <c r="B247">
        <v>5.62</v>
      </c>
      <c r="C247" s="62">
        <v>0.5</v>
      </c>
      <c r="D247" s="76">
        <v>3.7999999999999999E-2</v>
      </c>
      <c r="E247" s="76">
        <v>0.22600000000000001</v>
      </c>
      <c r="F247" s="76">
        <v>9.0999999999999998E-2</v>
      </c>
      <c r="G247" s="76">
        <v>0.13400000000000001</v>
      </c>
      <c r="H247" s="76">
        <v>9.8000000000000004E-2</v>
      </c>
      <c r="I247" s="62">
        <v>0.41</v>
      </c>
      <c r="J247">
        <v>0.74</v>
      </c>
      <c r="K247">
        <v>1.08</v>
      </c>
      <c r="L247" s="62">
        <v>0.63</v>
      </c>
      <c r="M247" s="62">
        <v>0.25</v>
      </c>
      <c r="N247" s="76">
        <v>0.112</v>
      </c>
      <c r="O247" s="62">
        <v>0.11</v>
      </c>
      <c r="P247">
        <v>1240</v>
      </c>
      <c r="Q247">
        <v>116</v>
      </c>
      <c r="R247" s="62">
        <v>0.09</v>
      </c>
      <c r="S247">
        <v>0</v>
      </c>
    </row>
    <row r="248" spans="1:19" x14ac:dyDescent="0.25">
      <c r="A248" t="s">
        <v>26</v>
      </c>
      <c r="B248">
        <v>4.87</v>
      </c>
      <c r="C248" s="62">
        <v>0.41</v>
      </c>
      <c r="D248" s="76">
        <v>3.5000000000000003E-2</v>
      </c>
      <c r="E248" s="76">
        <v>0.23899999999999999</v>
      </c>
      <c r="F248" s="76">
        <v>7.4999999999999997E-2</v>
      </c>
      <c r="G248" s="76">
        <v>0.16400000000000001</v>
      </c>
      <c r="H248" s="76">
        <v>8.7999999999999995E-2</v>
      </c>
      <c r="I248" s="62">
        <v>0.39</v>
      </c>
      <c r="J248">
        <v>0.77</v>
      </c>
      <c r="K248">
        <v>1.01</v>
      </c>
      <c r="L248" s="62">
        <v>0.63</v>
      </c>
      <c r="M248" s="62">
        <v>0.25</v>
      </c>
      <c r="N248" s="76">
        <v>0.104</v>
      </c>
      <c r="O248" s="62">
        <v>0.1</v>
      </c>
      <c r="P248">
        <v>1055</v>
      </c>
      <c r="Q248">
        <v>86</v>
      </c>
      <c r="R248" s="62">
        <v>0.08</v>
      </c>
      <c r="S248">
        <v>0</v>
      </c>
    </row>
    <row r="249" spans="1:19" x14ac:dyDescent="0.25">
      <c r="A249" t="s">
        <v>1</v>
      </c>
      <c r="B249">
        <v>5.51</v>
      </c>
      <c r="C249" s="62">
        <v>0.41</v>
      </c>
      <c r="D249" s="76">
        <v>4.2000000000000003E-2</v>
      </c>
      <c r="E249" s="76">
        <v>0.19800000000000001</v>
      </c>
      <c r="F249" s="76">
        <v>8.1000000000000003E-2</v>
      </c>
      <c r="G249" s="76">
        <v>0.11700000000000001</v>
      </c>
      <c r="H249" s="76">
        <v>9.9000000000000005E-2</v>
      </c>
      <c r="I249" s="62">
        <v>0.42</v>
      </c>
      <c r="J249">
        <v>0.78</v>
      </c>
      <c r="K249">
        <v>1.05</v>
      </c>
      <c r="L249" s="62">
        <v>0.67</v>
      </c>
      <c r="M249" s="62">
        <v>0.25</v>
      </c>
      <c r="N249" s="76">
        <v>0.11799999999999999</v>
      </c>
      <c r="O249" s="62">
        <v>0.12</v>
      </c>
      <c r="P249">
        <v>1110</v>
      </c>
      <c r="Q249">
        <v>131</v>
      </c>
      <c r="R249" s="62">
        <v>0.12</v>
      </c>
      <c r="S249">
        <v>0</v>
      </c>
    </row>
    <row r="250" spans="1:19" x14ac:dyDescent="0.25">
      <c r="A250" t="s">
        <v>25</v>
      </c>
      <c r="B250">
        <v>4.7699999999999996</v>
      </c>
      <c r="C250" s="62">
        <v>0.45</v>
      </c>
      <c r="D250" s="76">
        <v>3.5999999999999997E-2</v>
      </c>
      <c r="E250" s="76">
        <v>0.219</v>
      </c>
      <c r="F250" s="76">
        <v>8.3000000000000004E-2</v>
      </c>
      <c r="G250" s="76">
        <v>0.13600000000000001</v>
      </c>
      <c r="H250" s="76">
        <v>8.1000000000000003E-2</v>
      </c>
      <c r="I250" s="62">
        <v>0.36</v>
      </c>
      <c r="J250">
        <v>0.74</v>
      </c>
      <c r="K250">
        <v>1.02</v>
      </c>
      <c r="L250" s="62">
        <v>0.65</v>
      </c>
      <c r="M250" s="62">
        <v>0.25</v>
      </c>
      <c r="N250" s="76">
        <v>0.105</v>
      </c>
      <c r="O250" s="62">
        <v>0.11</v>
      </c>
      <c r="P250">
        <v>1167</v>
      </c>
      <c r="Q250">
        <v>125</v>
      </c>
      <c r="R250" s="62">
        <v>0.11</v>
      </c>
      <c r="S250">
        <v>0</v>
      </c>
    </row>
    <row r="251" spans="1:19" x14ac:dyDescent="0.25">
      <c r="A251" t="s">
        <v>24</v>
      </c>
      <c r="B251">
        <v>4.09</v>
      </c>
      <c r="C251" s="62">
        <v>0.54</v>
      </c>
      <c r="D251" s="76">
        <v>3.2000000000000001E-2</v>
      </c>
      <c r="E251" s="76">
        <v>0.23100000000000001</v>
      </c>
      <c r="F251" s="76">
        <v>0.09</v>
      </c>
      <c r="G251" s="76">
        <v>0.14099999999999999</v>
      </c>
      <c r="H251" s="76">
        <v>7.4999999999999997E-2</v>
      </c>
      <c r="I251" s="62">
        <v>0.36</v>
      </c>
      <c r="J251">
        <v>0.83</v>
      </c>
      <c r="K251">
        <v>1.19</v>
      </c>
      <c r="L251" s="62">
        <v>0.63</v>
      </c>
      <c r="M251" s="62">
        <v>0.25</v>
      </c>
      <c r="N251" s="76">
        <v>9.9000000000000005E-2</v>
      </c>
      <c r="O251" s="62">
        <v>0.11</v>
      </c>
      <c r="P251">
        <v>1146</v>
      </c>
      <c r="Q251">
        <v>139</v>
      </c>
      <c r="R251" s="62">
        <v>0.12</v>
      </c>
      <c r="S251">
        <v>0</v>
      </c>
    </row>
    <row r="252" spans="1:19" x14ac:dyDescent="0.25">
      <c r="A252" t="s">
        <v>23</v>
      </c>
      <c r="B252">
        <v>4.05</v>
      </c>
      <c r="C252" s="62">
        <v>0.45</v>
      </c>
      <c r="D252" s="76">
        <v>0.03</v>
      </c>
      <c r="E252" s="76">
        <v>0.26600000000000001</v>
      </c>
      <c r="F252" s="76">
        <v>7.3999999999999996E-2</v>
      </c>
      <c r="G252" s="76">
        <v>0.192</v>
      </c>
      <c r="H252" s="76">
        <v>7.6999999999999999E-2</v>
      </c>
      <c r="I252" s="62">
        <v>0.37</v>
      </c>
      <c r="J252">
        <v>0.79</v>
      </c>
      <c r="K252">
        <v>1.08</v>
      </c>
      <c r="L252" s="62">
        <v>0.62</v>
      </c>
      <c r="M252" s="62">
        <v>0.25</v>
      </c>
      <c r="N252" s="76">
        <v>9.6000000000000002E-2</v>
      </c>
      <c r="O252" s="62">
        <v>0.13</v>
      </c>
      <c r="P252">
        <v>1061</v>
      </c>
      <c r="Q252">
        <v>107</v>
      </c>
      <c r="R252" s="62">
        <v>0.1</v>
      </c>
      <c r="S252">
        <v>0</v>
      </c>
    </row>
    <row r="253" spans="1:19" x14ac:dyDescent="0.25">
      <c r="A253" t="s">
        <v>19</v>
      </c>
      <c r="B253">
        <v>5.42</v>
      </c>
      <c r="C253" s="62">
        <v>0.45</v>
      </c>
      <c r="D253" s="76">
        <v>3.7999999999999999E-2</v>
      </c>
      <c r="E253" s="76">
        <v>0.217</v>
      </c>
      <c r="F253" s="76">
        <v>9.1999999999999998E-2</v>
      </c>
      <c r="G253" s="76">
        <v>0.125</v>
      </c>
      <c r="H253" s="76">
        <v>9.1999999999999998E-2</v>
      </c>
      <c r="I253" s="62">
        <v>0.39</v>
      </c>
      <c r="J253">
        <v>0.73</v>
      </c>
      <c r="K253">
        <v>0.96</v>
      </c>
      <c r="L253" s="62">
        <v>0.64</v>
      </c>
      <c r="M253" s="62">
        <v>0.25</v>
      </c>
      <c r="N253" s="76">
        <v>0.11</v>
      </c>
      <c r="O253" s="62">
        <v>0.11</v>
      </c>
      <c r="P253">
        <v>1293</v>
      </c>
      <c r="Q253">
        <v>130</v>
      </c>
      <c r="R253" s="62">
        <v>0.1</v>
      </c>
      <c r="S253">
        <v>0</v>
      </c>
    </row>
    <row r="254" spans="1:19" x14ac:dyDescent="0.25">
      <c r="A254" t="s">
        <v>18</v>
      </c>
      <c r="B254">
        <v>5.1100000000000003</v>
      </c>
      <c r="C254" s="62">
        <v>0.5</v>
      </c>
      <c r="D254" s="76">
        <v>3.5999999999999997E-2</v>
      </c>
      <c r="E254" s="76">
        <v>0.21099999999999999</v>
      </c>
      <c r="F254" s="76">
        <v>9.6000000000000002E-2</v>
      </c>
      <c r="G254" s="76">
        <v>0.115</v>
      </c>
      <c r="H254" s="76">
        <v>9.4E-2</v>
      </c>
      <c r="I254" s="62">
        <v>0.41</v>
      </c>
      <c r="J254">
        <v>0.77</v>
      </c>
      <c r="K254">
        <v>1.01</v>
      </c>
      <c r="L254" s="62">
        <v>0.64</v>
      </c>
      <c r="M254" s="62">
        <v>0.25</v>
      </c>
      <c r="N254" s="76">
        <v>0.109</v>
      </c>
      <c r="O254" s="62">
        <v>0.13</v>
      </c>
      <c r="P254">
        <v>1164</v>
      </c>
      <c r="Q254">
        <v>110</v>
      </c>
      <c r="R254" s="62">
        <v>0.09</v>
      </c>
      <c r="S254">
        <v>0</v>
      </c>
    </row>
    <row r="255" spans="1:19" x14ac:dyDescent="0.25">
      <c r="A255" t="s">
        <v>22</v>
      </c>
      <c r="B255">
        <v>4.47</v>
      </c>
      <c r="C255" s="62">
        <v>0.48</v>
      </c>
      <c r="D255" s="76">
        <v>3.3000000000000002E-2</v>
      </c>
      <c r="E255" s="76">
        <v>0.246</v>
      </c>
      <c r="F255" s="76">
        <v>8.4000000000000005E-2</v>
      </c>
      <c r="G255" s="76">
        <v>0.16200000000000001</v>
      </c>
      <c r="H255" s="76">
        <v>8.2000000000000003E-2</v>
      </c>
      <c r="I255" s="62">
        <v>0.37</v>
      </c>
      <c r="J255">
        <v>0.75</v>
      </c>
      <c r="K255">
        <v>1.03</v>
      </c>
      <c r="L255" s="62">
        <v>0.62</v>
      </c>
      <c r="M255" s="62">
        <v>0.25</v>
      </c>
      <c r="N255" s="76">
        <v>0.1</v>
      </c>
      <c r="O255" s="62">
        <v>0.11</v>
      </c>
      <c r="P255">
        <v>1059</v>
      </c>
      <c r="Q255">
        <v>98</v>
      </c>
      <c r="R255" s="62">
        <v>0.09</v>
      </c>
      <c r="S255">
        <v>0</v>
      </c>
    </row>
    <row r="256" spans="1:19" x14ac:dyDescent="0.25">
      <c r="A256" t="s">
        <v>216</v>
      </c>
      <c r="B256">
        <v>4.83</v>
      </c>
      <c r="C256" s="62">
        <v>0.47</v>
      </c>
      <c r="D256" s="76">
        <v>3.5999999999999997E-2</v>
      </c>
      <c r="E256" s="76">
        <v>0.23</v>
      </c>
      <c r="F256" s="76">
        <v>8.5000000000000006E-2</v>
      </c>
      <c r="G256" s="76">
        <v>0.14399999999999999</v>
      </c>
      <c r="H256" s="76">
        <v>8.5999999999999993E-2</v>
      </c>
      <c r="I256" s="62">
        <v>0.38</v>
      </c>
      <c r="J256">
        <v>0.76</v>
      </c>
      <c r="K256">
        <v>1.04</v>
      </c>
      <c r="L256" s="62">
        <v>0.63</v>
      </c>
      <c r="M256" s="62">
        <v>0.25</v>
      </c>
      <c r="N256" s="76">
        <v>0.109</v>
      </c>
      <c r="O256" s="62">
        <v>0.12</v>
      </c>
      <c r="P256">
        <v>1135</v>
      </c>
      <c r="Q256">
        <v>115</v>
      </c>
      <c r="R256" s="62">
        <v>0.1</v>
      </c>
      <c r="S256">
        <v>0</v>
      </c>
    </row>
    <row r="257" spans="1:19" x14ac:dyDescent="0.25">
      <c r="B257">
        <v>4.83</v>
      </c>
      <c r="C257" s="62">
        <v>0.47</v>
      </c>
      <c r="D257" s="76">
        <v>3.5999999999999997E-2</v>
      </c>
      <c r="E257" s="76">
        <v>0.23</v>
      </c>
      <c r="F257" s="76">
        <v>8.5000000000000006E-2</v>
      </c>
      <c r="G257" s="76">
        <v>0.14399999999999999</v>
      </c>
      <c r="H257" s="76">
        <v>8.5999999999999993E-2</v>
      </c>
      <c r="I257" s="62">
        <v>0.38</v>
      </c>
      <c r="J257">
        <v>0.76</v>
      </c>
      <c r="K257">
        <v>1.04</v>
      </c>
      <c r="L257" s="62">
        <v>0.63</v>
      </c>
      <c r="M257" s="62">
        <v>0.25</v>
      </c>
      <c r="N257" s="76">
        <v>0.109</v>
      </c>
      <c r="O257" s="62">
        <v>0.12</v>
      </c>
      <c r="P257">
        <v>34052</v>
      </c>
      <c r="Q257">
        <v>3457</v>
      </c>
      <c r="R257" s="62">
        <v>0.1</v>
      </c>
      <c r="S257">
        <v>0</v>
      </c>
    </row>
    <row r="258" spans="1:19" x14ac:dyDescent="0.25">
      <c r="A258" t="s">
        <v>131</v>
      </c>
      <c r="B258" t="s">
        <v>304</v>
      </c>
      <c r="C258" t="s">
        <v>1535</v>
      </c>
      <c r="D258" t="s">
        <v>1514</v>
      </c>
      <c r="E258" t="s">
        <v>1515</v>
      </c>
      <c r="F258" t="s">
        <v>1516</v>
      </c>
      <c r="G258" t="s">
        <v>1536</v>
      </c>
      <c r="H258" t="s">
        <v>1517</v>
      </c>
      <c r="I258" t="s">
        <v>1518</v>
      </c>
      <c r="J258" t="s">
        <v>1522</v>
      </c>
      <c r="K258" t="s">
        <v>1523</v>
      </c>
      <c r="L258" t="s">
        <v>1524</v>
      </c>
      <c r="M258" t="s">
        <v>1525</v>
      </c>
      <c r="N258" t="s">
        <v>1526</v>
      </c>
      <c r="O258" t="s">
        <v>1527</v>
      </c>
      <c r="P258" t="s">
        <v>1537</v>
      </c>
      <c r="Q258" t="s">
        <v>1538</v>
      </c>
      <c r="R258" t="s">
        <v>1539</v>
      </c>
      <c r="S258" t="s">
        <v>1540</v>
      </c>
    </row>
    <row r="260" spans="1:19" x14ac:dyDescent="0.25">
      <c r="A260" t="s">
        <v>1528</v>
      </c>
    </row>
    <row r="262" spans="1:19" x14ac:dyDescent="0.25">
      <c r="A262" t="s">
        <v>1529</v>
      </c>
    </row>
    <row r="264" spans="1:19" x14ac:dyDescent="0.25">
      <c r="A264" t="s">
        <v>1541</v>
      </c>
    </row>
    <row r="266" spans="1:19" x14ac:dyDescent="0.25">
      <c r="A266" t="s">
        <v>70</v>
      </c>
    </row>
    <row r="268" spans="1:19" x14ac:dyDescent="0.25">
      <c r="A268" t="s">
        <v>69</v>
      </c>
    </row>
    <row r="270" spans="1:19" x14ac:dyDescent="0.25">
      <c r="A270" t="s">
        <v>71</v>
      </c>
    </row>
    <row r="272" spans="1:19" x14ac:dyDescent="0.25">
      <c r="A272" t="s">
        <v>72</v>
      </c>
    </row>
    <row r="274" spans="1:1" x14ac:dyDescent="0.25">
      <c r="A274" t="s">
        <v>73</v>
      </c>
    </row>
    <row r="276" spans="1:1" x14ac:dyDescent="0.25">
      <c r="A276" t="s">
        <v>74</v>
      </c>
    </row>
    <row r="278" spans="1:1" x14ac:dyDescent="0.25">
      <c r="A278" t="s">
        <v>75</v>
      </c>
    </row>
    <row r="280" spans="1:1" x14ac:dyDescent="0.25">
      <c r="A280" t="s">
        <v>35</v>
      </c>
    </row>
    <row r="282" spans="1:1" x14ac:dyDescent="0.25">
      <c r="A282" t="s">
        <v>76</v>
      </c>
    </row>
    <row r="284" spans="1:1" x14ac:dyDescent="0.25">
      <c r="A284" t="s">
        <v>74</v>
      </c>
    </row>
    <row r="285" spans="1:1" x14ac:dyDescent="0.25">
      <c r="A285" t="s">
        <v>77</v>
      </c>
    </row>
    <row r="286" spans="1:1" x14ac:dyDescent="0.25">
      <c r="A286" t="s">
        <v>78</v>
      </c>
    </row>
    <row r="287" spans="1:1" x14ac:dyDescent="0.25">
      <c r="A287" t="s">
        <v>34</v>
      </c>
    </row>
    <row r="288" spans="1:1" x14ac:dyDescent="0.25">
      <c r="A288" t="s">
        <v>79</v>
      </c>
    </row>
    <row r="289" spans="1:1" x14ac:dyDescent="0.25">
      <c r="A289" t="s">
        <v>80</v>
      </c>
    </row>
    <row r="290" spans="1:1" x14ac:dyDescent="0.25">
      <c r="A290" t="s">
        <v>81</v>
      </c>
    </row>
    <row r="291" spans="1:1" x14ac:dyDescent="0.25">
      <c r="A291" t="s">
        <v>82</v>
      </c>
    </row>
    <row r="292" spans="1:1" x14ac:dyDescent="0.25">
      <c r="A292" t="s">
        <v>83</v>
      </c>
    </row>
    <row r="293" spans="1:1" x14ac:dyDescent="0.25">
      <c r="A293" t="s">
        <v>84</v>
      </c>
    </row>
    <row r="294" spans="1:1" x14ac:dyDescent="0.25">
      <c r="A294" t="s">
        <v>85</v>
      </c>
    </row>
    <row r="295" spans="1:1" x14ac:dyDescent="0.25">
      <c r="A295" t="s">
        <v>86</v>
      </c>
    </row>
    <row r="296" spans="1:1" x14ac:dyDescent="0.25">
      <c r="A296" t="s">
        <v>87</v>
      </c>
    </row>
    <row r="297" spans="1:1" x14ac:dyDescent="0.25">
      <c r="A297" t="s">
        <v>75</v>
      </c>
    </row>
    <row r="298" spans="1:1" x14ac:dyDescent="0.25">
      <c r="A298" t="s">
        <v>88</v>
      </c>
    </row>
    <row r="299" spans="1:1" x14ac:dyDescent="0.25">
      <c r="A299" t="s">
        <v>89</v>
      </c>
    </row>
    <row r="300" spans="1:1" x14ac:dyDescent="0.25">
      <c r="A300" t="s">
        <v>90</v>
      </c>
    </row>
    <row r="301" spans="1:1" x14ac:dyDescent="0.25">
      <c r="A301" t="s">
        <v>91</v>
      </c>
    </row>
    <row r="302" spans="1:1" x14ac:dyDescent="0.25">
      <c r="A302" t="s">
        <v>92</v>
      </c>
    </row>
    <row r="303" spans="1:1" x14ac:dyDescent="0.25">
      <c r="A303" t="s">
        <v>93</v>
      </c>
    </row>
    <row r="304" spans="1:1" x14ac:dyDescent="0.25">
      <c r="A304" t="s">
        <v>94</v>
      </c>
    </row>
    <row r="305" spans="1:1" x14ac:dyDescent="0.25">
      <c r="A305" t="s">
        <v>95</v>
      </c>
    </row>
    <row r="306" spans="1:1" x14ac:dyDescent="0.25">
      <c r="A306" t="s">
        <v>96</v>
      </c>
    </row>
    <row r="307" spans="1:1" x14ac:dyDescent="0.25">
      <c r="A307" t="s">
        <v>97</v>
      </c>
    </row>
    <row r="308" spans="1:1" x14ac:dyDescent="0.25">
      <c r="A308" t="s">
        <v>98</v>
      </c>
    </row>
    <row r="309" spans="1:1" x14ac:dyDescent="0.25">
      <c r="A309" t="s">
        <v>99</v>
      </c>
    </row>
    <row r="310" spans="1:1" x14ac:dyDescent="0.25">
      <c r="A310" t="s">
        <v>100</v>
      </c>
    </row>
    <row r="311" spans="1:1" x14ac:dyDescent="0.25">
      <c r="A311" t="s">
        <v>101</v>
      </c>
    </row>
    <row r="312" spans="1:1" x14ac:dyDescent="0.25">
      <c r="A312" t="s">
        <v>102</v>
      </c>
    </row>
    <row r="313" spans="1:1" x14ac:dyDescent="0.25">
      <c r="A313" t="s">
        <v>35</v>
      </c>
    </row>
    <row r="314" spans="1:1" x14ac:dyDescent="0.25">
      <c r="A314" t="s">
        <v>103</v>
      </c>
    </row>
    <row r="315" spans="1:1" x14ac:dyDescent="0.25">
      <c r="A315" t="s">
        <v>89</v>
      </c>
    </row>
    <row r="316" spans="1:1" x14ac:dyDescent="0.25">
      <c r="A316" t="s">
        <v>92</v>
      </c>
    </row>
    <row r="317" spans="1:1" x14ac:dyDescent="0.25">
      <c r="A317" t="s">
        <v>104</v>
      </c>
    </row>
    <row r="318" spans="1:1" x14ac:dyDescent="0.25">
      <c r="A318" t="s">
        <v>91</v>
      </c>
    </row>
    <row r="319" spans="1:1" x14ac:dyDescent="0.25">
      <c r="A319" t="s">
        <v>105</v>
      </c>
    </row>
    <row r="320" spans="1:1" x14ac:dyDescent="0.25">
      <c r="A320" t="s">
        <v>106</v>
      </c>
    </row>
    <row r="321" spans="1:1" x14ac:dyDescent="0.25">
      <c r="A321" t="s">
        <v>107</v>
      </c>
    </row>
    <row r="322" spans="1:1" x14ac:dyDescent="0.25">
      <c r="A322" t="s">
        <v>108</v>
      </c>
    </row>
    <row r="323" spans="1:1" x14ac:dyDescent="0.25">
      <c r="A323" t="s">
        <v>109</v>
      </c>
    </row>
    <row r="324" spans="1:1" x14ac:dyDescent="0.25">
      <c r="A324" t="s">
        <v>110</v>
      </c>
    </row>
    <row r="325" spans="1:1" x14ac:dyDescent="0.25">
      <c r="A325" t="s">
        <v>111</v>
      </c>
    </row>
    <row r="326" spans="1:1" x14ac:dyDescent="0.25">
      <c r="A326" t="s">
        <v>100</v>
      </c>
    </row>
    <row r="327" spans="1:1" x14ac:dyDescent="0.25">
      <c r="A327" t="s">
        <v>112</v>
      </c>
    </row>
    <row r="328" spans="1:1" x14ac:dyDescent="0.25">
      <c r="A328" t="s">
        <v>102</v>
      </c>
    </row>
    <row r="329" spans="1:1" x14ac:dyDescent="0.25">
      <c r="A329" t="s">
        <v>113</v>
      </c>
    </row>
    <row r="330" spans="1:1" x14ac:dyDescent="0.25">
      <c r="A330" t="s">
        <v>75</v>
      </c>
    </row>
    <row r="331" spans="1:1" x14ac:dyDescent="0.25">
      <c r="A331" t="s">
        <v>35</v>
      </c>
    </row>
    <row r="332" spans="1:1" x14ac:dyDescent="0.25">
      <c r="A332" t="s">
        <v>74</v>
      </c>
    </row>
    <row r="333" spans="1:1" x14ac:dyDescent="0.25">
      <c r="A333" t="s">
        <v>114</v>
      </c>
    </row>
    <row r="334" spans="1:1" x14ac:dyDescent="0.25">
      <c r="A334" t="s">
        <v>115</v>
      </c>
    </row>
    <row r="335" spans="1:1" x14ac:dyDescent="0.25">
      <c r="A335" t="s">
        <v>116</v>
      </c>
    </row>
    <row r="336" spans="1:1" x14ac:dyDescent="0.25">
      <c r="A336" t="s">
        <v>117</v>
      </c>
    </row>
    <row r="337" spans="1:1" x14ac:dyDescent="0.25">
      <c r="A337" t="s">
        <v>118</v>
      </c>
    </row>
    <row r="338" spans="1:1" x14ac:dyDescent="0.25">
      <c r="A338" t="s">
        <v>119</v>
      </c>
    </row>
    <row r="339" spans="1:1" x14ac:dyDescent="0.25">
      <c r="A339" t="s">
        <v>120</v>
      </c>
    </row>
    <row r="340" spans="1:1" x14ac:dyDescent="0.25">
      <c r="A340" t="s">
        <v>121</v>
      </c>
    </row>
    <row r="341" spans="1:1" x14ac:dyDescent="0.25">
      <c r="A341" t="s">
        <v>122</v>
      </c>
    </row>
    <row r="342" spans="1:1" x14ac:dyDescent="0.25">
      <c r="A342" t="s">
        <v>123</v>
      </c>
    </row>
    <row r="343" spans="1:1" x14ac:dyDescent="0.25">
      <c r="A343" t="s">
        <v>124</v>
      </c>
    </row>
    <row r="344" spans="1:1" x14ac:dyDescent="0.25">
      <c r="A344" t="s">
        <v>125</v>
      </c>
    </row>
    <row r="345" spans="1:1" x14ac:dyDescent="0.25">
      <c r="A345" t="s">
        <v>126</v>
      </c>
    </row>
    <row r="346" spans="1:1" x14ac:dyDescent="0.25">
      <c r="A346" t="s">
        <v>127</v>
      </c>
    </row>
    <row r="347" spans="1:1" x14ac:dyDescent="0.25">
      <c r="A347" t="s">
        <v>128</v>
      </c>
    </row>
    <row r="348" spans="1:1" x14ac:dyDescent="0.25">
      <c r="A348" t="s">
        <v>129</v>
      </c>
    </row>
    <row r="349" spans="1:1" x14ac:dyDescent="0.25">
      <c r="A349" t="s">
        <v>130</v>
      </c>
    </row>
    <row r="350" spans="1:1" x14ac:dyDescent="0.25">
      <c r="A350" t="s">
        <v>1251</v>
      </c>
    </row>
    <row r="351" spans="1:1" x14ac:dyDescent="0.25">
      <c r="A351" t="s">
        <v>68</v>
      </c>
    </row>
    <row r="352" spans="1:1" x14ac:dyDescent="0.25">
      <c r="A352" t="s">
        <v>46</v>
      </c>
    </row>
    <row r="353" spans="1:1" x14ac:dyDescent="0.25">
      <c r="A353" t="s">
        <v>47</v>
      </c>
    </row>
    <row r="354" spans="1:1" x14ac:dyDescent="0.25">
      <c r="A354" t="s">
        <v>48</v>
      </c>
    </row>
    <row r="355" spans="1:1" x14ac:dyDescent="0.25">
      <c r="A355" t="s">
        <v>49</v>
      </c>
    </row>
    <row r="356" spans="1:1" x14ac:dyDescent="0.25">
      <c r="A356" t="s">
        <v>50</v>
      </c>
    </row>
    <row r="357" spans="1:1" x14ac:dyDescent="0.25">
      <c r="A357" t="s">
        <v>4911</v>
      </c>
    </row>
    <row r="359" spans="1:1" x14ac:dyDescent="0.25">
      <c r="A359" t="s">
        <v>133</v>
      </c>
    </row>
    <row r="360" spans="1:1" x14ac:dyDescent="0.25">
      <c r="A360" t="s">
        <v>134</v>
      </c>
    </row>
    <row r="361" spans="1:1" x14ac:dyDescent="0.25">
      <c r="A361" t="s">
        <v>135</v>
      </c>
    </row>
    <row r="362" spans="1:1" x14ac:dyDescent="0.25">
      <c r="A362" t="s">
        <v>136</v>
      </c>
    </row>
    <row r="363" spans="1:1" x14ac:dyDescent="0.25">
      <c r="A363" t="s">
        <v>137</v>
      </c>
    </row>
    <row r="364" spans="1:1" x14ac:dyDescent="0.25">
      <c r="A364" t="s">
        <v>138</v>
      </c>
    </row>
    <row r="365" spans="1:1" x14ac:dyDescent="0.25">
      <c r="A365" t="s">
        <v>139</v>
      </c>
    </row>
    <row r="366" spans="1:1" x14ac:dyDescent="0.25">
      <c r="A366" t="s">
        <v>140</v>
      </c>
    </row>
    <row r="367" spans="1:1" x14ac:dyDescent="0.25">
      <c r="A367" t="s">
        <v>141</v>
      </c>
    </row>
    <row r="368" spans="1:1" x14ac:dyDescent="0.25">
      <c r="A368" t="s">
        <v>142</v>
      </c>
    </row>
    <row r="369" spans="1:1" x14ac:dyDescent="0.25">
      <c r="A369" t="s">
        <v>143</v>
      </c>
    </row>
    <row r="370" spans="1:1" x14ac:dyDescent="0.25">
      <c r="A370" t="s">
        <v>144</v>
      </c>
    </row>
    <row r="371" spans="1:1" x14ac:dyDescent="0.25">
      <c r="A371" t="s">
        <v>55</v>
      </c>
    </row>
    <row r="372" spans="1:1" x14ac:dyDescent="0.25">
      <c r="A372" t="s">
        <v>145</v>
      </c>
    </row>
    <row r="373" spans="1:1" x14ac:dyDescent="0.25">
      <c r="A373" t="s">
        <v>146</v>
      </c>
    </row>
    <row r="374" spans="1:1" x14ac:dyDescent="0.25">
      <c r="A374" t="s">
        <v>147</v>
      </c>
    </row>
    <row r="375" spans="1:1" x14ac:dyDescent="0.25">
      <c r="A375" t="s">
        <v>57</v>
      </c>
    </row>
    <row r="376" spans="1:1" x14ac:dyDescent="0.25">
      <c r="A376" t="s">
        <v>148</v>
      </c>
    </row>
    <row r="377" spans="1:1" x14ac:dyDescent="0.25">
      <c r="A377" t="s">
        <v>73</v>
      </c>
    </row>
    <row r="378" spans="1:1" x14ac:dyDescent="0.25">
      <c r="A378" t="s">
        <v>72</v>
      </c>
    </row>
    <row r="379" spans="1:1" x14ac:dyDescent="0.25">
      <c r="A379" t="s">
        <v>149</v>
      </c>
    </row>
    <row r="380" spans="1:1" x14ac:dyDescent="0.25">
      <c r="A380" t="s">
        <v>58</v>
      </c>
    </row>
    <row r="381" spans="1:1" x14ac:dyDescent="0.25">
      <c r="A381" t="s">
        <v>150</v>
      </c>
    </row>
    <row r="382" spans="1:1" x14ac:dyDescent="0.25">
      <c r="A382" t="s">
        <v>59</v>
      </c>
    </row>
    <row r="383" spans="1:1" x14ac:dyDescent="0.25">
      <c r="A383" t="s">
        <v>151</v>
      </c>
    </row>
    <row r="384" spans="1:1" x14ac:dyDescent="0.25">
      <c r="A384" t="s">
        <v>152</v>
      </c>
    </row>
    <row r="385" spans="1:1" x14ac:dyDescent="0.25">
      <c r="A385" t="s">
        <v>153</v>
      </c>
    </row>
    <row r="386" spans="1:1" x14ac:dyDescent="0.25">
      <c r="A386" t="s">
        <v>76</v>
      </c>
    </row>
    <row r="387" spans="1:1" x14ac:dyDescent="0.25">
      <c r="A387" t="s">
        <v>154</v>
      </c>
    </row>
    <row r="388" spans="1:1" x14ac:dyDescent="0.25">
      <c r="A388" t="s">
        <v>155</v>
      </c>
    </row>
    <row r="389" spans="1:1" x14ac:dyDescent="0.25">
      <c r="A389" t="s">
        <v>156</v>
      </c>
    </row>
    <row r="390" spans="1:1" x14ac:dyDescent="0.25">
      <c r="A390" t="s">
        <v>157</v>
      </c>
    </row>
    <row r="391" spans="1:1" x14ac:dyDescent="0.25">
      <c r="A391" t="s">
        <v>158</v>
      </c>
    </row>
    <row r="392" spans="1:1" x14ac:dyDescent="0.25">
      <c r="A392" t="s">
        <v>1464</v>
      </c>
    </row>
    <row r="393" spans="1:1" x14ac:dyDescent="0.25">
      <c r="A393" t="s">
        <v>159</v>
      </c>
    </row>
    <row r="394" spans="1:1" x14ac:dyDescent="0.25">
      <c r="A394" t="s">
        <v>160</v>
      </c>
    </row>
    <row r="395" spans="1:1" x14ac:dyDescent="0.25">
      <c r="A395" t="s">
        <v>161</v>
      </c>
    </row>
    <row r="396" spans="1:1" x14ac:dyDescent="0.25">
      <c r="A396" t="s">
        <v>1374</v>
      </c>
    </row>
    <row r="397" spans="1:1" x14ac:dyDescent="0.25">
      <c r="A397" t="s">
        <v>1375</v>
      </c>
    </row>
    <row r="398" spans="1:1" x14ac:dyDescent="0.25">
      <c r="A398" t="s">
        <v>162</v>
      </c>
    </row>
    <row r="399" spans="1:1" x14ac:dyDescent="0.25">
      <c r="A399" t="s">
        <v>163</v>
      </c>
    </row>
    <row r="400" spans="1:1" x14ac:dyDescent="0.25">
      <c r="A400" t="s">
        <v>164</v>
      </c>
    </row>
    <row r="401" spans="1:1" x14ac:dyDescent="0.25">
      <c r="A401" t="s">
        <v>165</v>
      </c>
    </row>
    <row r="402" spans="1:1" x14ac:dyDescent="0.25">
      <c r="A402" t="s">
        <v>166</v>
      </c>
    </row>
    <row r="404" spans="1:1" x14ac:dyDescent="0.25">
      <c r="A404" t="s">
        <v>167</v>
      </c>
    </row>
    <row r="406" spans="1:1" x14ac:dyDescent="0.25">
      <c r="A406" t="s">
        <v>168</v>
      </c>
    </row>
    <row r="408" spans="1:1" x14ac:dyDescent="0.25">
      <c r="A408" t="s">
        <v>4777</v>
      </c>
    </row>
    <row r="410" spans="1:1" x14ac:dyDescent="0.25">
      <c r="A410" t="s">
        <v>169</v>
      </c>
    </row>
    <row r="412" spans="1:1" x14ac:dyDescent="0.25">
      <c r="A412" t="s">
        <v>170</v>
      </c>
    </row>
    <row r="414" spans="1:1" x14ac:dyDescent="0.25">
      <c r="A414" t="s">
        <v>1307</v>
      </c>
    </row>
    <row r="415" spans="1:1" x14ac:dyDescent="0.25">
      <c r="A415" t="s">
        <v>1308</v>
      </c>
    </row>
    <row r="417" spans="1:1" x14ac:dyDescent="0.25">
      <c r="A417" t="s">
        <v>1309</v>
      </c>
    </row>
    <row r="419" spans="1:1" x14ac:dyDescent="0.25">
      <c r="A419" t="s">
        <v>171</v>
      </c>
    </row>
    <row r="420" spans="1:1" x14ac:dyDescent="0.25">
      <c r="A420" t="s">
        <v>172</v>
      </c>
    </row>
    <row r="421" spans="1:1" x14ac:dyDescent="0.25">
      <c r="A421" t="s">
        <v>173</v>
      </c>
    </row>
    <row r="422" spans="1:1" x14ac:dyDescent="0.25">
      <c r="A422" t="s">
        <v>174</v>
      </c>
    </row>
    <row r="423" spans="1:1" x14ac:dyDescent="0.25">
      <c r="A423" t="s">
        <v>175</v>
      </c>
    </row>
    <row r="424" spans="1:1" x14ac:dyDescent="0.25">
      <c r="A424" t="s">
        <v>176</v>
      </c>
    </row>
    <row r="425" spans="1:1" x14ac:dyDescent="0.25">
      <c r="A425" t="s">
        <v>177</v>
      </c>
    </row>
    <row r="427" spans="1:1" x14ac:dyDescent="0.25">
      <c r="A427" t="s">
        <v>178</v>
      </c>
    </row>
    <row r="429" spans="1:1" x14ac:dyDescent="0.25">
      <c r="A429" t="s">
        <v>179</v>
      </c>
    </row>
    <row r="431" spans="1:1" x14ac:dyDescent="0.25">
      <c r="A431" t="s">
        <v>180</v>
      </c>
    </row>
    <row r="433" spans="1:1" x14ac:dyDescent="0.25">
      <c r="A433" t="s">
        <v>181</v>
      </c>
    </row>
    <row r="435" spans="1:1" x14ac:dyDescent="0.25">
      <c r="A435" t="s">
        <v>182</v>
      </c>
    </row>
    <row r="437" spans="1:1" x14ac:dyDescent="0.25">
      <c r="A437" t="s">
        <v>183</v>
      </c>
    </row>
    <row r="439" spans="1:1" x14ac:dyDescent="0.25">
      <c r="A439" t="s">
        <v>184</v>
      </c>
    </row>
    <row r="441" spans="1:1" x14ac:dyDescent="0.25">
      <c r="A441" t="s">
        <v>185</v>
      </c>
    </row>
    <row r="443" spans="1:1" x14ac:dyDescent="0.25">
      <c r="A443" t="s">
        <v>186</v>
      </c>
    </row>
    <row r="445" spans="1:1" x14ac:dyDescent="0.25">
      <c r="A445" t="s">
        <v>187</v>
      </c>
    </row>
    <row r="447" spans="1:1" x14ac:dyDescent="0.25">
      <c r="A447" t="s">
        <v>188</v>
      </c>
    </row>
    <row r="449" spans="1:1" x14ac:dyDescent="0.25">
      <c r="A449" t="s">
        <v>189</v>
      </c>
    </row>
    <row r="451" spans="1:1" x14ac:dyDescent="0.25">
      <c r="A451" t="s">
        <v>36</v>
      </c>
    </row>
    <row r="452" spans="1:1" x14ac:dyDescent="0.25">
      <c r="A452" t="s">
        <v>37</v>
      </c>
    </row>
    <row r="453" spans="1:1" x14ac:dyDescent="0.25">
      <c r="A453" t="s">
        <v>38</v>
      </c>
    </row>
    <row r="454" spans="1:1" x14ac:dyDescent="0.25">
      <c r="A454" t="s">
        <v>39</v>
      </c>
    </row>
    <row r="455" spans="1:1" x14ac:dyDescent="0.25">
      <c r="A455" t="s">
        <v>40</v>
      </c>
    </row>
    <row r="456" spans="1:1" x14ac:dyDescent="0.25">
      <c r="A456" t="s">
        <v>41</v>
      </c>
    </row>
    <row r="457" spans="1:1" x14ac:dyDescent="0.25">
      <c r="A457" t="s">
        <v>42</v>
      </c>
    </row>
    <row r="458" spans="1:1" x14ac:dyDescent="0.25">
      <c r="A458" t="s">
        <v>43</v>
      </c>
    </row>
    <row r="459" spans="1:1" x14ac:dyDescent="0.25">
      <c r="A459" t="s">
        <v>44</v>
      </c>
    </row>
    <row r="460" spans="1:1" x14ac:dyDescent="0.25">
      <c r="A460" t="s">
        <v>190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16</vt:i4>
      </vt:variant>
      <vt:variant>
        <vt:lpstr>Named Ranges</vt:lpstr>
      </vt:variant>
      <vt:variant>
        <vt:i4>6</vt:i4>
      </vt:variant>
    </vt:vector>
  </HeadingPairs>
  <TitlesOfParts>
    <vt:vector size="22" baseType="lpstr">
      <vt:lpstr>Summary</vt:lpstr>
      <vt:lpstr>Confidence Scale Validation</vt:lpstr>
      <vt:lpstr>Validation_Max</vt:lpstr>
      <vt:lpstr>Validation_WinUnit</vt:lpstr>
      <vt:lpstr>Validation_BetUnit</vt:lpstr>
      <vt:lpstr>Bet</vt:lpstr>
      <vt:lpstr>ScoreImport</vt:lpstr>
      <vt:lpstr>Scores</vt:lpstr>
      <vt:lpstr>Overview</vt:lpstr>
      <vt:lpstr>TeamAdvBatting</vt:lpstr>
      <vt:lpstr>TeamStandardPitching</vt:lpstr>
      <vt:lpstr>538</vt:lpstr>
      <vt:lpstr>PlayerPitching</vt:lpstr>
      <vt:lpstr>BattingRatios</vt:lpstr>
      <vt:lpstr>Honeymoon</vt:lpstr>
      <vt:lpstr>PitchingRatios</vt:lpstr>
      <vt:lpstr>TeamAdvBatting!_2019_advanced_batting.shtml</vt:lpstr>
      <vt:lpstr>BattingRatios!_2019_ratio_batting.shtml</vt:lpstr>
      <vt:lpstr>PitchingRatios!_2019_ratio_pitching.shtml</vt:lpstr>
      <vt:lpstr>ScoreImport!_2019_schedule.shtml</vt:lpstr>
      <vt:lpstr>TeamStandardPitching!_2019_standard_pitching.shtml</vt:lpstr>
      <vt:lpstr>'538'!games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Riordan, Ken</dc:creator>
  <cp:lastModifiedBy>Ken Riordan</cp:lastModifiedBy>
  <dcterms:created xsi:type="dcterms:W3CDTF">2019-04-02T17:11:22Z</dcterms:created>
  <dcterms:modified xsi:type="dcterms:W3CDTF">2019-10-01T16:33:25Z</dcterms:modified>
</cp:coreProperties>
</file>